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6.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6f0913615f64de7/Doutorado 2023/TESE/SLR/"/>
    </mc:Choice>
  </mc:AlternateContent>
  <xr:revisionPtr revIDLastSave="52" documentId="14_{99A8294F-5CA0-4028-B539-FFF4E041DAFA}" xr6:coauthVersionLast="47" xr6:coauthVersionMax="47" xr10:uidLastSave="{1735911C-5358-47D2-90B6-B52E577BB965}"/>
  <workbookProtection workbookAlgorithmName="SHA-512" workbookHashValue="9NlhR4H4BfTmduizDw5ken5aQATisPsO8AU49sjXuGM9FfndahmoBcbegE1T4vUr//G2NjWDWzhNm+W/bZtMvA==" workbookSaltValue="clPgn35ik0W2xQiBqcROcw==" workbookSpinCount="100000" lockStructure="1"/>
  <bookViews>
    <workbookView xWindow="28680" yWindow="-120" windowWidth="38640" windowHeight="15720" tabRatio="788" firstSheet="4" activeTab="4" xr2:uid="{15A56C46-1FA9-442F-A505-F5413B19B6DB}"/>
  </bookViews>
  <sheets>
    <sheet name="WOS {29-8-22}" sheetId="5" state="hidden" r:id="rId1"/>
    <sheet name="scopus{29-8-2022}" sheetId="3" state="hidden" r:id="rId2"/>
    <sheet name="Criteria Definitions (old)" sheetId="11" state="hidden" r:id="rId3"/>
    <sheet name="Criteria Definitions (paper)" sheetId="12" state="hidden" r:id="rId4"/>
    <sheet name="Principal Information" sheetId="2" r:id="rId5"/>
    <sheet name="Criteria Database" sheetId="4" r:id="rId6"/>
    <sheet name="SLR-Authors 2022" sheetId="6" state="hidden" r:id="rId7"/>
    <sheet name="highly_cited" sheetId="7" state="hidden" r:id="rId8"/>
    <sheet name="co-citation" sheetId="8" state="hidden" r:id="rId9"/>
    <sheet name="annual_sc_prod" sheetId="9" state="hidden" r:id="rId10"/>
    <sheet name="crite-year" sheetId="10" state="hidden" r:id="rId11"/>
  </sheets>
  <definedNames>
    <definedName name="_xlnm._FilterDatabase" localSheetId="8" hidden="1">'co-citation'!$A$2:$K$45</definedName>
    <definedName name="_xlnm._FilterDatabase" localSheetId="5" hidden="1">'Criteria Database'!$A$2:$BL$321</definedName>
    <definedName name="_xlnm._FilterDatabase" localSheetId="4" hidden="1">'Principal Information'!$A$4:$AJ$131</definedName>
    <definedName name="_GoBack" localSheetId="8">'co-citation'!$F$10</definedName>
    <definedName name="_xlnm.Print_Area" localSheetId="10">'crite-year'!$A$1:$P$20</definedName>
    <definedName name="DadosExternos_1" localSheetId="1" hidden="1">'scopus{29-8-2022}'!$A$5:$BI$1752</definedName>
  </definedName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21" i="4" l="1"/>
  <c r="U320" i="4"/>
  <c r="U319" i="4"/>
  <c r="U318" i="4"/>
  <c r="U317" i="4"/>
  <c r="U316" i="4"/>
  <c r="U315" i="4"/>
  <c r="U314" i="4"/>
  <c r="U313" i="4"/>
  <c r="U312" i="4"/>
  <c r="U311" i="4"/>
  <c r="U310" i="4"/>
  <c r="U309" i="4"/>
  <c r="U308" i="4"/>
  <c r="U307" i="4"/>
  <c r="U306" i="4"/>
  <c r="U305" i="4"/>
  <c r="U304" i="4"/>
  <c r="U303" i="4"/>
  <c r="U302" i="4"/>
  <c r="U301" i="4"/>
  <c r="U300" i="4"/>
  <c r="U299" i="4"/>
  <c r="U298" i="4"/>
  <c r="U297" i="4"/>
  <c r="U296" i="4"/>
  <c r="U295" i="4"/>
  <c r="U294" i="4"/>
  <c r="U293" i="4"/>
  <c r="U292" i="4"/>
  <c r="U291" i="4"/>
  <c r="U290" i="4"/>
  <c r="U289" i="4"/>
  <c r="U288" i="4"/>
  <c r="U287" i="4"/>
  <c r="U286" i="4"/>
  <c r="U285" i="4"/>
  <c r="U284" i="4"/>
  <c r="U283" i="4"/>
  <c r="U282" i="4"/>
  <c r="U281" i="4"/>
  <c r="U280" i="4"/>
  <c r="U279" i="4"/>
  <c r="U278" i="4"/>
  <c r="U277" i="4"/>
  <c r="U276" i="4"/>
  <c r="U275" i="4"/>
  <c r="U274" i="4"/>
  <c r="U273" i="4"/>
  <c r="U272" i="4"/>
  <c r="U271" i="4"/>
  <c r="U270" i="4"/>
  <c r="U269" i="4"/>
  <c r="U268" i="4"/>
  <c r="U267" i="4"/>
  <c r="U266" i="4"/>
  <c r="U265" i="4"/>
  <c r="U264" i="4"/>
  <c r="U263" i="4"/>
  <c r="U262" i="4"/>
  <c r="U261" i="4"/>
  <c r="U260" i="4"/>
  <c r="U259" i="4"/>
  <c r="U258" i="4"/>
  <c r="U257" i="4"/>
  <c r="U256" i="4"/>
  <c r="U255" i="4"/>
  <c r="U254" i="4"/>
  <c r="U253" i="4"/>
  <c r="U252" i="4"/>
  <c r="U251" i="4"/>
  <c r="U250" i="4"/>
  <c r="U249" i="4"/>
  <c r="U248" i="4"/>
  <c r="U247" i="4"/>
  <c r="U246" i="4"/>
  <c r="U245" i="4"/>
  <c r="U244" i="4"/>
  <c r="U243" i="4"/>
  <c r="U242" i="4"/>
  <c r="U241" i="4"/>
  <c r="U240" i="4"/>
  <c r="U239" i="4"/>
  <c r="U238" i="4"/>
  <c r="U237" i="4"/>
  <c r="U236" i="4"/>
  <c r="U235" i="4"/>
  <c r="U234" i="4"/>
  <c r="U233" i="4"/>
  <c r="U232" i="4"/>
  <c r="U231" i="4"/>
  <c r="U230" i="4"/>
  <c r="U229" i="4"/>
  <c r="U228" i="4"/>
  <c r="U227" i="4"/>
  <c r="U226" i="4"/>
  <c r="U225" i="4"/>
  <c r="U224" i="4"/>
  <c r="U223" i="4"/>
  <c r="U222" i="4"/>
  <c r="U221" i="4"/>
  <c r="U220" i="4"/>
  <c r="U219" i="4"/>
  <c r="U218" i="4"/>
  <c r="U217" i="4"/>
  <c r="U216" i="4"/>
  <c r="U215" i="4"/>
  <c r="U214" i="4"/>
  <c r="U213" i="4"/>
  <c r="U212" i="4"/>
  <c r="U211" i="4"/>
  <c r="U210" i="4"/>
  <c r="U209" i="4"/>
  <c r="U208" i="4"/>
  <c r="U207" i="4"/>
  <c r="U206" i="4"/>
  <c r="U205" i="4"/>
  <c r="U204" i="4"/>
  <c r="U203" i="4"/>
  <c r="U202" i="4"/>
  <c r="U201" i="4"/>
  <c r="U200" i="4"/>
  <c r="U199" i="4"/>
  <c r="U198" i="4"/>
  <c r="U197" i="4"/>
  <c r="U196" i="4"/>
  <c r="U195" i="4"/>
  <c r="U194" i="4"/>
  <c r="U193" i="4"/>
  <c r="U192" i="4"/>
  <c r="U191" i="4"/>
  <c r="U190" i="4"/>
  <c r="U189" i="4"/>
  <c r="U188" i="4"/>
  <c r="U187" i="4"/>
  <c r="U186" i="4"/>
  <c r="U185" i="4"/>
  <c r="U184" i="4"/>
  <c r="U183" i="4"/>
  <c r="U182" i="4"/>
  <c r="U181" i="4"/>
  <c r="U180" i="4"/>
  <c r="U179" i="4"/>
  <c r="U178" i="4"/>
  <c r="U177" i="4"/>
  <c r="U176" i="4"/>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9" i="4"/>
  <c r="U108" i="4"/>
  <c r="U107" i="4"/>
  <c r="U106" i="4"/>
  <c r="U105" i="4"/>
  <c r="U104" i="4"/>
  <c r="U103" i="4"/>
  <c r="U102" i="4"/>
  <c r="U101" i="4"/>
  <c r="U100" i="4"/>
  <c r="U99" i="4"/>
  <c r="U98" i="4"/>
  <c r="U97" i="4"/>
  <c r="U96" i="4"/>
  <c r="U95" i="4"/>
  <c r="U94" i="4"/>
  <c r="U93" i="4"/>
  <c r="U92" i="4"/>
  <c r="U91" i="4"/>
  <c r="U90" i="4"/>
  <c r="U89" i="4"/>
  <c r="U88" i="4"/>
  <c r="U87" i="4"/>
  <c r="U86" i="4"/>
  <c r="U85" i="4"/>
  <c r="U84" i="4"/>
  <c r="U83" i="4"/>
  <c r="U82" i="4"/>
  <c r="U81" i="4"/>
  <c r="U80" i="4"/>
  <c r="U79" i="4"/>
  <c r="U78" i="4"/>
  <c r="U77" i="4"/>
  <c r="U76" i="4"/>
  <c r="U75" i="4"/>
  <c r="U74" i="4"/>
  <c r="U73" i="4"/>
  <c r="U72" i="4"/>
  <c r="U71" i="4"/>
  <c r="U70" i="4"/>
  <c r="U69" i="4"/>
  <c r="U68" i="4"/>
  <c r="U67" i="4"/>
  <c r="U66" i="4"/>
  <c r="U65" i="4"/>
  <c r="U64" i="4"/>
  <c r="U63" i="4"/>
  <c r="U62" i="4"/>
  <c r="U61" i="4"/>
  <c r="U60" i="4"/>
  <c r="U59" i="4"/>
  <c r="U58" i="4"/>
  <c r="U57" i="4"/>
  <c r="U56" i="4"/>
  <c r="U55" i="4"/>
  <c r="U54" i="4"/>
  <c r="U53" i="4"/>
  <c r="U52" i="4"/>
  <c r="U51" i="4"/>
  <c r="U50" i="4"/>
  <c r="U49" i="4"/>
  <c r="U48" i="4"/>
  <c r="U47" i="4"/>
  <c r="U46" i="4"/>
  <c r="U45" i="4"/>
  <c r="U44" i="4"/>
  <c r="U43" i="4"/>
  <c r="U42" i="4"/>
  <c r="U41" i="4"/>
  <c r="U40" i="4"/>
  <c r="U39" i="4"/>
  <c r="U38" i="4"/>
  <c r="U37" i="4"/>
  <c r="U36" i="4"/>
  <c r="U35" i="4"/>
  <c r="U34" i="4"/>
  <c r="U33" i="4"/>
  <c r="U32" i="4"/>
  <c r="U31" i="4"/>
  <c r="U30" i="4"/>
  <c r="U29" i="4"/>
  <c r="U28" i="4"/>
  <c r="U27" i="4"/>
  <c r="U26" i="4"/>
  <c r="U25" i="4"/>
  <c r="U24" i="4"/>
  <c r="U23" i="4"/>
  <c r="U22" i="4"/>
  <c r="U21" i="4"/>
  <c r="U20" i="4"/>
  <c r="U19" i="4"/>
  <c r="U18" i="4"/>
  <c r="U17" i="4"/>
  <c r="U16" i="4"/>
  <c r="U15" i="4"/>
  <c r="U14" i="4"/>
  <c r="U13" i="4"/>
  <c r="U12" i="4"/>
  <c r="U11" i="4"/>
  <c r="U10" i="4"/>
  <c r="U9" i="4"/>
  <c r="U8" i="4"/>
  <c r="U7" i="4"/>
  <c r="U6" i="4"/>
  <c r="U5" i="4"/>
  <c r="U4" i="4"/>
  <c r="U3" i="4"/>
  <c r="P20" i="9"/>
  <c r="P21" i="9"/>
  <c r="P22" i="9"/>
  <c r="P23" i="9"/>
  <c r="P19" i="9"/>
  <c r="O24" i="9"/>
  <c r="AJ132" i="2"/>
  <c r="AJ133" i="2" s="1"/>
  <c r="O4" i="10"/>
  <c r="O17" i="10" l="1"/>
  <c r="O16" i="10"/>
  <c r="O15" i="10"/>
  <c r="O14" i="10"/>
  <c r="O13" i="10"/>
  <c r="O12" i="10"/>
  <c r="O11" i="10"/>
  <c r="O10" i="10"/>
  <c r="O9" i="10"/>
  <c r="O8" i="10"/>
  <c r="O7" i="10"/>
  <c r="O6" i="10"/>
  <c r="O5" i="10"/>
  <c r="AA2" i="6" l="1"/>
  <c r="AA1" i="6"/>
  <c r="V2" i="6"/>
  <c r="V1" i="6"/>
  <c r="MU131" i="2" l="1"/>
  <c r="Z132" i="2"/>
  <c r="AA132" i="2"/>
  <c r="AB132" i="2"/>
  <c r="AC132" i="2"/>
  <c r="AD132" i="2"/>
  <c r="AE132" i="2"/>
  <c r="AF132" i="2"/>
  <c r="AG132" i="2"/>
  <c r="AH132" i="2"/>
  <c r="AI132" i="2"/>
  <c r="AK132" i="2"/>
  <c r="AL132" i="2"/>
  <c r="AM132" i="2"/>
  <c r="AN132" i="2"/>
  <c r="AN133" i="2" s="1"/>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IY132" i="2"/>
  <c r="IZ132" i="2"/>
  <c r="JA132" i="2"/>
  <c r="JB132" i="2"/>
  <c r="JC132" i="2"/>
  <c r="JD132" i="2"/>
  <c r="JE132" i="2"/>
  <c r="JF132" i="2"/>
  <c r="JG132" i="2"/>
  <c r="JH132" i="2"/>
  <c r="JI132" i="2"/>
  <c r="JJ132" i="2"/>
  <c r="JK132" i="2"/>
  <c r="JL132" i="2"/>
  <c r="JM132" i="2"/>
  <c r="JN132" i="2"/>
  <c r="JO132" i="2"/>
  <c r="JP132" i="2"/>
  <c r="JQ132" i="2"/>
  <c r="JR132" i="2"/>
  <c r="JS132" i="2"/>
  <c r="JT132" i="2"/>
  <c r="JU132" i="2"/>
  <c r="JV132" i="2"/>
  <c r="JW132" i="2"/>
  <c r="JX132" i="2"/>
  <c r="JY132" i="2"/>
  <c r="JZ132" i="2"/>
  <c r="KA132" i="2"/>
  <c r="KB132" i="2"/>
  <c r="KC132" i="2"/>
  <c r="KD132" i="2"/>
  <c r="KE132" i="2"/>
  <c r="KF132" i="2"/>
  <c r="KG132" i="2"/>
  <c r="KH132" i="2"/>
  <c r="KI132" i="2"/>
  <c r="KJ132" i="2"/>
  <c r="KK132"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LU133" i="2" s="1"/>
  <c r="LV132" i="2"/>
  <c r="LV133" i="2" s="1"/>
  <c r="LW132" i="2"/>
  <c r="LW133" i="2" s="1"/>
  <c r="LX132" i="2"/>
  <c r="LX133" i="2" s="1"/>
  <c r="LY132" i="2"/>
  <c r="LY133" i="2" s="1"/>
  <c r="LZ132" i="2"/>
  <c r="LZ133" i="2" s="1"/>
  <c r="MA132" i="2"/>
  <c r="MA133" i="2" s="1"/>
  <c r="MB132" i="2"/>
  <c r="MB133" i="2" s="1"/>
  <c r="MC132" i="2"/>
  <c r="MC133" i="2" s="1"/>
  <c r="MD132" i="2"/>
  <c r="MD133" i="2" s="1"/>
  <c r="ME132" i="2"/>
  <c r="ME133" i="2" s="1"/>
  <c r="MF132" i="2"/>
  <c r="MF133" i="2" s="1"/>
  <c r="MG132" i="2"/>
  <c r="MG133" i="2" s="1"/>
  <c r="MH132" i="2"/>
  <c r="MH133" i="2" s="1"/>
  <c r="MI132" i="2"/>
  <c r="MI133" i="2" s="1"/>
  <c r="MJ132" i="2"/>
  <c r="MJ133" i="2" s="1"/>
  <c r="MK132" i="2"/>
  <c r="MK133" i="2" s="1"/>
  <c r="ML132" i="2"/>
  <c r="ML133" i="2" s="1"/>
  <c r="MM132" i="2"/>
  <c r="MM133" i="2" s="1"/>
  <c r="MN132" i="2"/>
  <c r="MN133" i="2" s="1"/>
  <c r="MO132" i="2"/>
  <c r="MO133" i="2" s="1"/>
  <c r="MP132" i="2"/>
  <c r="MP133" i="2" s="1"/>
  <c r="MQ132" i="2"/>
  <c r="MQ133" i="2" s="1"/>
  <c r="MR132" i="2"/>
  <c r="MR133" i="2" s="1"/>
  <c r="MS132" i="2"/>
  <c r="MS133" i="2" s="1"/>
  <c r="MT132" i="2"/>
  <c r="MT133" i="2" s="1"/>
  <c r="MU130" i="2"/>
  <c r="MU129" i="2"/>
  <c r="MU128" i="2"/>
  <c r="MU5" i="2"/>
  <c r="MU6" i="2"/>
  <c r="MU7" i="2"/>
  <c r="MU8" i="2"/>
  <c r="MU9" i="2"/>
  <c r="MU10" i="2"/>
  <c r="MU11" i="2"/>
  <c r="MU12" i="2"/>
  <c r="MU13" i="2"/>
  <c r="MU14" i="2"/>
  <c r="MU15" i="2"/>
  <c r="MU16" i="2"/>
  <c r="MU17" i="2"/>
  <c r="MU18" i="2"/>
  <c r="MU19" i="2"/>
  <c r="MU20" i="2"/>
  <c r="MU21" i="2"/>
  <c r="MU22" i="2"/>
  <c r="MU23" i="2"/>
  <c r="MU24" i="2"/>
  <c r="MU25" i="2"/>
  <c r="MU26" i="2"/>
  <c r="MU27" i="2"/>
  <c r="MU28" i="2"/>
  <c r="MU29" i="2"/>
  <c r="MU30" i="2"/>
  <c r="MU31" i="2"/>
  <c r="MU32" i="2"/>
  <c r="MU33" i="2"/>
  <c r="MU34" i="2"/>
  <c r="MU35" i="2"/>
  <c r="MU36" i="2"/>
  <c r="MU37" i="2"/>
  <c r="MU38" i="2"/>
  <c r="MU39" i="2"/>
  <c r="MU40" i="2"/>
  <c r="MU41" i="2"/>
  <c r="MU42" i="2"/>
  <c r="MU43" i="2"/>
  <c r="MU44" i="2"/>
  <c r="MU45" i="2"/>
  <c r="MU46" i="2"/>
  <c r="MU47" i="2"/>
  <c r="MU48" i="2"/>
  <c r="MU49" i="2"/>
  <c r="MU50" i="2"/>
  <c r="MU51" i="2"/>
  <c r="MU52" i="2"/>
  <c r="MU53" i="2"/>
  <c r="MU54" i="2"/>
  <c r="MU55" i="2"/>
  <c r="MU56" i="2"/>
  <c r="MU57" i="2"/>
  <c r="MU58" i="2"/>
  <c r="MU59" i="2"/>
  <c r="MU60" i="2"/>
  <c r="MU61" i="2"/>
  <c r="MU62" i="2"/>
  <c r="MU63" i="2"/>
  <c r="MU64" i="2"/>
  <c r="MU65" i="2"/>
  <c r="MU66" i="2"/>
  <c r="MU67" i="2"/>
  <c r="MU68" i="2"/>
  <c r="MU69" i="2"/>
  <c r="MU70" i="2"/>
  <c r="MU71" i="2"/>
  <c r="MU72" i="2"/>
  <c r="MU73" i="2"/>
  <c r="MU74" i="2"/>
  <c r="MU75" i="2"/>
  <c r="MU76" i="2"/>
  <c r="MU77" i="2"/>
  <c r="MU78" i="2"/>
  <c r="MU79" i="2"/>
  <c r="MU80" i="2"/>
  <c r="MU81" i="2"/>
  <c r="MU82" i="2"/>
  <c r="MU83" i="2"/>
  <c r="MU84" i="2"/>
  <c r="MU85" i="2"/>
  <c r="MU86" i="2"/>
  <c r="MU87" i="2"/>
  <c r="MU88" i="2"/>
  <c r="MU89" i="2"/>
  <c r="MU90" i="2"/>
  <c r="MU91" i="2"/>
  <c r="MU92" i="2"/>
  <c r="MU93" i="2"/>
  <c r="MU94" i="2"/>
  <c r="MU95" i="2"/>
  <c r="MU96" i="2"/>
  <c r="MU97" i="2"/>
  <c r="MU98" i="2"/>
  <c r="MU99" i="2"/>
  <c r="MU100" i="2"/>
  <c r="MU101" i="2"/>
  <c r="MU102" i="2"/>
  <c r="MU103" i="2"/>
  <c r="MU104" i="2"/>
  <c r="MU105" i="2"/>
  <c r="MU106" i="2"/>
  <c r="MU107" i="2"/>
  <c r="MU108" i="2"/>
  <c r="MU109" i="2"/>
  <c r="MU110" i="2"/>
  <c r="MU111" i="2"/>
  <c r="MU112" i="2"/>
  <c r="MU113" i="2"/>
  <c r="MU114" i="2"/>
  <c r="MU115" i="2"/>
  <c r="MU116" i="2"/>
  <c r="MU117" i="2"/>
  <c r="MU118" i="2"/>
  <c r="MU119" i="2"/>
  <c r="MU120" i="2"/>
  <c r="MU121" i="2"/>
  <c r="MU122" i="2"/>
  <c r="MU123" i="2"/>
  <c r="MU124" i="2"/>
  <c r="MU125" i="2"/>
  <c r="MU126" i="2"/>
  <c r="MU127" i="2"/>
  <c r="P1035" i="5"/>
  <c r="P1034" i="5"/>
  <c r="P1033" i="5"/>
  <c r="P1032" i="5"/>
  <c r="P1031" i="5"/>
  <c r="P1029"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5" i="5"/>
  <c r="P994" i="5"/>
  <c r="P993" i="5"/>
  <c r="P992" i="5"/>
  <c r="P991" i="5"/>
  <c r="P990" i="5"/>
  <c r="P989" i="5"/>
  <c r="P988" i="5"/>
  <c r="P987" i="5"/>
  <c r="P985" i="5"/>
  <c r="P983" i="5"/>
  <c r="P982" i="5"/>
  <c r="P981" i="5"/>
  <c r="P980" i="5"/>
  <c r="P979" i="5"/>
  <c r="P977" i="5"/>
  <c r="P976" i="5"/>
  <c r="P975" i="5"/>
  <c r="P974" i="5"/>
  <c r="P973" i="5"/>
  <c r="P972" i="5"/>
  <c r="P971" i="5"/>
  <c r="P970" i="5"/>
  <c r="P968" i="5"/>
  <c r="P967" i="5"/>
  <c r="P966" i="5"/>
  <c r="P965" i="5"/>
  <c r="P964" i="5"/>
  <c r="P963" i="5"/>
  <c r="P962" i="5"/>
  <c r="P961" i="5"/>
  <c r="P960" i="5"/>
  <c r="P956" i="5"/>
  <c r="P955" i="5"/>
  <c r="P954" i="5"/>
  <c r="P953" i="5"/>
  <c r="P952" i="5"/>
  <c r="P951" i="5"/>
  <c r="P949" i="5"/>
  <c r="P947" i="5"/>
  <c r="P946" i="5"/>
  <c r="P945" i="5"/>
  <c r="P944" i="5"/>
  <c r="P943" i="5"/>
  <c r="P942" i="5"/>
  <c r="P940" i="5"/>
  <c r="P939" i="5"/>
  <c r="P938" i="5"/>
  <c r="P937" i="5"/>
  <c r="P936" i="5"/>
  <c r="P935" i="5"/>
  <c r="P934" i="5"/>
  <c r="P933" i="5"/>
  <c r="P932" i="5"/>
  <c r="P931" i="5"/>
  <c r="P930" i="5"/>
  <c r="P928" i="5"/>
  <c r="P927" i="5"/>
  <c r="P926" i="5"/>
  <c r="P925" i="5"/>
  <c r="P924" i="5"/>
  <c r="P923" i="5"/>
  <c r="P922" i="5"/>
  <c r="P921" i="5"/>
  <c r="P919" i="5"/>
  <c r="P918" i="5"/>
  <c r="P917" i="5"/>
  <c r="P916" i="5"/>
  <c r="P915" i="5"/>
  <c r="P914" i="5"/>
  <c r="P913" i="5"/>
  <c r="P911" i="5"/>
  <c r="P910" i="5"/>
  <c r="P909" i="5"/>
  <c r="P908" i="5"/>
  <c r="P907" i="5"/>
  <c r="P906" i="5"/>
  <c r="P905" i="5"/>
  <c r="P904" i="5"/>
  <c r="P903" i="5"/>
  <c r="P902" i="5"/>
  <c r="P901" i="5"/>
  <c r="P900" i="5"/>
  <c r="P899" i="5"/>
  <c r="P898" i="5"/>
  <c r="P897"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69" i="5"/>
  <c r="P868" i="5"/>
  <c r="P867" i="5"/>
  <c r="P866" i="5"/>
  <c r="P864" i="5"/>
  <c r="P862" i="5"/>
  <c r="P860" i="5"/>
  <c r="P859" i="5"/>
  <c r="P857" i="5"/>
  <c r="P856" i="5"/>
  <c r="P855" i="5"/>
  <c r="P854" i="5"/>
  <c r="P853" i="5"/>
  <c r="P852" i="5"/>
  <c r="P851" i="5"/>
  <c r="P850" i="5"/>
  <c r="P849" i="5"/>
  <c r="P848" i="5"/>
  <c r="P847" i="5"/>
  <c r="P845" i="5"/>
  <c r="P844" i="5"/>
  <c r="P843" i="5"/>
  <c r="P842" i="5"/>
  <c r="P841" i="5"/>
  <c r="P840" i="5"/>
  <c r="P839" i="5"/>
  <c r="P838" i="5"/>
  <c r="P837" i="5"/>
  <c r="P836" i="5"/>
  <c r="P833" i="5"/>
  <c r="P832" i="5"/>
  <c r="P831" i="5"/>
  <c r="P830" i="5"/>
  <c r="P829" i="5"/>
  <c r="P828" i="5"/>
  <c r="P827" i="5"/>
  <c r="P826" i="5"/>
  <c r="P825" i="5"/>
  <c r="P824" i="5"/>
  <c r="P823" i="5"/>
  <c r="P822" i="5"/>
  <c r="P821" i="5"/>
  <c r="P820" i="5"/>
  <c r="P819" i="5"/>
  <c r="P818" i="5"/>
  <c r="P817" i="5"/>
  <c r="P816" i="5"/>
  <c r="P815" i="5"/>
  <c r="P814" i="5"/>
  <c r="P813" i="5"/>
  <c r="P811" i="5"/>
  <c r="P810" i="5"/>
  <c r="P809" i="5"/>
  <c r="P808" i="5"/>
  <c r="P807" i="5"/>
  <c r="P806" i="5"/>
  <c r="P805" i="5"/>
  <c r="P804" i="5"/>
  <c r="P803" i="5"/>
  <c r="P801" i="5"/>
  <c r="P800" i="5"/>
  <c r="P799" i="5"/>
  <c r="P798" i="5"/>
  <c r="P797" i="5"/>
  <c r="P796" i="5"/>
  <c r="P795" i="5"/>
  <c r="P793" i="5"/>
  <c r="P791" i="5"/>
  <c r="P790" i="5"/>
  <c r="P789" i="5"/>
  <c r="P788" i="5"/>
  <c r="P787" i="5"/>
  <c r="P786" i="5"/>
  <c r="P785" i="5"/>
  <c r="P784" i="5"/>
  <c r="P782" i="5"/>
  <c r="P781" i="5"/>
  <c r="P780" i="5"/>
  <c r="P779" i="5"/>
  <c r="P778" i="5"/>
  <c r="P777" i="5"/>
  <c r="P776" i="5"/>
  <c r="P775" i="5"/>
  <c r="P774" i="5"/>
  <c r="P773" i="5"/>
  <c r="P772" i="5"/>
  <c r="P771" i="5"/>
  <c r="P770" i="5"/>
  <c r="P769" i="5"/>
  <c r="P768" i="5"/>
  <c r="P767" i="5"/>
  <c r="P766" i="5"/>
  <c r="P765" i="5"/>
  <c r="P762" i="5"/>
  <c r="P761" i="5"/>
  <c r="P759" i="5"/>
  <c r="P758" i="5"/>
  <c r="P757" i="5"/>
  <c r="P756" i="5"/>
  <c r="P755" i="5"/>
  <c r="P753" i="5"/>
  <c r="P752" i="5"/>
  <c r="P751" i="5"/>
  <c r="P750" i="5"/>
  <c r="P749" i="5"/>
  <c r="P748" i="5"/>
  <c r="P747" i="5"/>
  <c r="P746" i="5"/>
  <c r="P744" i="5"/>
  <c r="P743" i="5"/>
  <c r="P742" i="5"/>
  <c r="P741" i="5"/>
  <c r="P740" i="5"/>
  <c r="P739" i="5"/>
  <c r="P738" i="5"/>
  <c r="P737" i="5"/>
  <c r="P736" i="5"/>
  <c r="P735" i="5"/>
  <c r="P733" i="5"/>
  <c r="P732" i="5"/>
  <c r="P731" i="5"/>
  <c r="P730" i="5"/>
  <c r="P729" i="5"/>
  <c r="P728" i="5"/>
  <c r="P727" i="5"/>
  <c r="P726" i="5"/>
  <c r="P725" i="5"/>
  <c r="P724" i="5"/>
  <c r="P723" i="5"/>
  <c r="P722" i="5"/>
  <c r="P721" i="5"/>
  <c r="P720" i="5"/>
  <c r="P718" i="5"/>
  <c r="P717" i="5"/>
  <c r="P714" i="5"/>
  <c r="P713" i="5"/>
  <c r="P712" i="5"/>
  <c r="P710" i="5"/>
  <c r="P709" i="5"/>
  <c r="P708" i="5"/>
  <c r="P707" i="5"/>
  <c r="P706" i="5"/>
  <c r="P705" i="5"/>
  <c r="P704" i="5"/>
  <c r="P703" i="5"/>
  <c r="P701" i="5"/>
  <c r="P700" i="5"/>
  <c r="P699" i="5"/>
  <c r="P698" i="5"/>
  <c r="P697" i="5"/>
  <c r="P695" i="5"/>
  <c r="P694" i="5"/>
  <c r="P693" i="5"/>
  <c r="P692" i="5"/>
  <c r="P690" i="5"/>
  <c r="P688" i="5"/>
  <c r="P687" i="5"/>
  <c r="P686" i="5"/>
  <c r="P685" i="5"/>
  <c r="P684" i="5"/>
  <c r="P683" i="5"/>
  <c r="P682" i="5"/>
  <c r="P681" i="5"/>
  <c r="P679" i="5"/>
  <c r="P678" i="5"/>
  <c r="P677" i="5"/>
  <c r="P676" i="5"/>
  <c r="P675" i="5"/>
  <c r="P674" i="5"/>
  <c r="P672" i="5"/>
  <c r="P671" i="5"/>
  <c r="P670" i="5"/>
  <c r="P669" i="5"/>
  <c r="P668" i="5"/>
  <c r="P666" i="5"/>
  <c r="P665" i="5"/>
  <c r="P663" i="5"/>
  <c r="P662" i="5"/>
  <c r="P661" i="5"/>
  <c r="P660" i="5"/>
  <c r="P659" i="5"/>
  <c r="P658" i="5"/>
  <c r="P657" i="5"/>
  <c r="P655" i="5"/>
  <c r="P652" i="5"/>
  <c r="P651" i="5"/>
  <c r="P650" i="5"/>
  <c r="P649" i="5"/>
  <c r="P648" i="5"/>
  <c r="P647" i="5"/>
  <c r="P646" i="5"/>
  <c r="P645" i="5"/>
  <c r="P644" i="5"/>
  <c r="P643" i="5"/>
  <c r="P642" i="5"/>
  <c r="P641" i="5"/>
  <c r="P640" i="5"/>
  <c r="P639" i="5"/>
  <c r="P638" i="5"/>
  <c r="P637" i="5"/>
  <c r="P636" i="5"/>
  <c r="P635" i="5"/>
  <c r="P634" i="5"/>
  <c r="P633" i="5"/>
  <c r="P632" i="5"/>
  <c r="P631" i="5"/>
  <c r="P629" i="5"/>
  <c r="P627" i="5"/>
  <c r="P625" i="5"/>
  <c r="P624" i="5"/>
  <c r="P623" i="5"/>
  <c r="P621" i="5"/>
  <c r="P620" i="5"/>
  <c r="P619" i="5"/>
  <c r="P618" i="5"/>
  <c r="P617" i="5"/>
  <c r="P616" i="5"/>
  <c r="P614" i="5"/>
  <c r="P613" i="5"/>
  <c r="P612" i="5"/>
  <c r="P610" i="5"/>
  <c r="P609" i="5"/>
  <c r="P608" i="5"/>
  <c r="P607" i="5"/>
  <c r="P606" i="5"/>
  <c r="P605" i="5"/>
  <c r="P604" i="5"/>
  <c r="P603" i="5"/>
  <c r="P602" i="5"/>
  <c r="P601" i="5"/>
  <c r="P600" i="5"/>
  <c r="P598" i="5"/>
  <c r="P597" i="5"/>
  <c r="P596" i="5"/>
  <c r="P595" i="5"/>
  <c r="P594" i="5"/>
  <c r="P592" i="5"/>
  <c r="P591" i="5"/>
  <c r="P589" i="5"/>
  <c r="P588" i="5"/>
  <c r="P585" i="5"/>
  <c r="P583" i="5"/>
  <c r="P582" i="5"/>
  <c r="P581" i="5"/>
  <c r="P578" i="5"/>
  <c r="P576" i="5"/>
  <c r="P575" i="5"/>
  <c r="P574" i="5"/>
  <c r="P573" i="5"/>
  <c r="P572" i="5"/>
  <c r="P570" i="5"/>
  <c r="P569" i="5"/>
  <c r="P567" i="5"/>
  <c r="P566" i="5"/>
  <c r="P565" i="5"/>
  <c r="P564" i="5"/>
  <c r="P563" i="5"/>
  <c r="P562" i="5"/>
  <c r="P561" i="5"/>
  <c r="P560" i="5"/>
  <c r="P559" i="5"/>
  <c r="P557" i="5"/>
  <c r="P556" i="5"/>
  <c r="P555" i="5"/>
  <c r="P554" i="5"/>
  <c r="P553" i="5"/>
  <c r="P552" i="5"/>
  <c r="P551" i="5"/>
  <c r="P550" i="5"/>
  <c r="P549" i="5"/>
  <c r="P548" i="5"/>
  <c r="P547" i="5"/>
  <c r="P546" i="5"/>
  <c r="P543" i="5"/>
  <c r="P542" i="5"/>
  <c r="P541" i="5"/>
  <c r="P540" i="5"/>
  <c r="P539" i="5"/>
  <c r="P538" i="5"/>
  <c r="P537" i="5"/>
  <c r="P536" i="5"/>
  <c r="P535" i="5"/>
  <c r="P534" i="5"/>
  <c r="P533" i="5"/>
  <c r="P532" i="5"/>
  <c r="P531" i="5"/>
  <c r="P529" i="5"/>
  <c r="P528" i="5"/>
  <c r="P527" i="5"/>
  <c r="P526" i="5"/>
  <c r="P525" i="5"/>
  <c r="P524" i="5"/>
  <c r="P523" i="5"/>
  <c r="P522" i="5"/>
  <c r="P521" i="5"/>
  <c r="P520" i="5"/>
  <c r="P519" i="5"/>
  <c r="P516" i="5"/>
  <c r="P515" i="5"/>
  <c r="P514" i="5"/>
  <c r="P513" i="5"/>
  <c r="P512" i="5"/>
  <c r="P510" i="5"/>
  <c r="P509" i="5"/>
  <c r="P508" i="5"/>
  <c r="P506" i="5"/>
  <c r="P505" i="5"/>
  <c r="P504" i="5"/>
  <c r="P502" i="5"/>
  <c r="P501" i="5"/>
  <c r="P500" i="5"/>
  <c r="P499" i="5"/>
  <c r="P497" i="5"/>
  <c r="P496" i="5"/>
  <c r="P495" i="5"/>
  <c r="P494" i="5"/>
  <c r="P493" i="5"/>
  <c r="P492" i="5"/>
  <c r="P491" i="5"/>
  <c r="P490" i="5"/>
  <c r="P489" i="5"/>
  <c r="P488" i="5"/>
  <c r="P487" i="5"/>
  <c r="P486" i="5"/>
  <c r="P485" i="5"/>
  <c r="P483" i="5"/>
  <c r="P482" i="5"/>
  <c r="P481" i="5"/>
  <c r="P480" i="5"/>
  <c r="P478" i="5"/>
  <c r="P477" i="5"/>
  <c r="P476" i="5"/>
  <c r="P475" i="5"/>
  <c r="P474" i="5"/>
  <c r="P472" i="5"/>
  <c r="P470" i="5"/>
  <c r="P469" i="5"/>
  <c r="P468" i="5"/>
  <c r="P466" i="5"/>
  <c r="P460" i="5"/>
  <c r="P459" i="5"/>
  <c r="P458" i="5"/>
  <c r="P457" i="5"/>
  <c r="P456" i="5"/>
  <c r="P455" i="5"/>
  <c r="P454" i="5"/>
  <c r="P453" i="5"/>
  <c r="P452" i="5"/>
  <c r="P451" i="5"/>
  <c r="P450" i="5"/>
  <c r="P449"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1"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2" i="5"/>
  <c r="P371" i="5"/>
  <c r="P370" i="5"/>
  <c r="P369" i="5"/>
  <c r="P368" i="5"/>
  <c r="P367" i="5"/>
  <c r="P366" i="5"/>
  <c r="P365" i="5"/>
  <c r="P364" i="5"/>
  <c r="P363" i="5"/>
  <c r="P362" i="5"/>
  <c r="P361" i="5"/>
  <c r="P357" i="5"/>
  <c r="P355" i="5"/>
  <c r="P353" i="5"/>
  <c r="P352" i="5"/>
  <c r="P351" i="5"/>
  <c r="P350" i="5"/>
  <c r="P347" i="5"/>
  <c r="P346" i="5"/>
  <c r="P345" i="5"/>
  <c r="P343" i="5"/>
  <c r="P341" i="5"/>
  <c r="P340" i="5"/>
  <c r="P339" i="5"/>
  <c r="P336" i="5"/>
  <c r="P334" i="5"/>
  <c r="P333" i="5"/>
  <c r="P332" i="5"/>
  <c r="P331" i="5"/>
  <c r="P330" i="5"/>
  <c r="P328" i="5"/>
  <c r="P327" i="5"/>
  <c r="P326" i="5"/>
  <c r="P325" i="5"/>
  <c r="P324" i="5"/>
  <c r="P323" i="5"/>
  <c r="P322" i="5"/>
  <c r="P321" i="5"/>
  <c r="P320" i="5"/>
  <c r="P319" i="5"/>
  <c r="P318" i="5"/>
  <c r="P317" i="5"/>
  <c r="P316" i="5"/>
  <c r="P315" i="5"/>
  <c r="P313" i="5"/>
  <c r="P312" i="5"/>
  <c r="P310" i="5"/>
  <c r="P309" i="5"/>
  <c r="P308" i="5"/>
  <c r="P306" i="5"/>
  <c r="P305" i="5"/>
  <c r="P303" i="5"/>
  <c r="P301" i="5"/>
  <c r="P300" i="5"/>
  <c r="P299" i="5"/>
  <c r="P297" i="5"/>
  <c r="P296" i="5"/>
  <c r="P295" i="5"/>
  <c r="P294" i="5"/>
  <c r="P293" i="5"/>
  <c r="P292" i="5"/>
  <c r="P291" i="5"/>
  <c r="P290" i="5"/>
  <c r="P289" i="5"/>
  <c r="P287" i="5"/>
  <c r="P286" i="5"/>
  <c r="P285" i="5"/>
  <c r="P284" i="5"/>
  <c r="P283" i="5"/>
  <c r="P282" i="5"/>
  <c r="P281" i="5"/>
  <c r="P280" i="5"/>
  <c r="P279" i="5"/>
  <c r="P278" i="5"/>
  <c r="P277" i="5"/>
  <c r="P276" i="5"/>
  <c r="P274" i="5"/>
  <c r="P273" i="5"/>
  <c r="P272" i="5"/>
  <c r="P271" i="5"/>
  <c r="P268" i="5"/>
  <c r="P267" i="5"/>
  <c r="P266" i="5"/>
  <c r="P265" i="5"/>
  <c r="P264" i="5"/>
  <c r="P263" i="5"/>
  <c r="P262" i="5"/>
  <c r="P261" i="5"/>
  <c r="P260" i="5"/>
  <c r="P259" i="5"/>
  <c r="P258" i="5"/>
  <c r="P257" i="5"/>
  <c r="P256" i="5"/>
  <c r="P255" i="5"/>
  <c r="P254" i="5"/>
  <c r="P253" i="5"/>
  <c r="P252" i="5"/>
  <c r="P251" i="5"/>
  <c r="P250" i="5"/>
  <c r="P249" i="5"/>
  <c r="P248" i="5"/>
  <c r="P247" i="5"/>
  <c r="P243" i="5"/>
  <c r="P242" i="5"/>
  <c r="P241" i="5"/>
  <c r="P240" i="5"/>
  <c r="P239" i="5"/>
  <c r="P238" i="5"/>
  <c r="P235" i="5"/>
  <c r="P234" i="5"/>
  <c r="P233" i="5"/>
  <c r="P231" i="5"/>
  <c r="P230" i="5"/>
  <c r="P229" i="5"/>
  <c r="P228" i="5"/>
  <c r="P227" i="5"/>
  <c r="P225" i="5"/>
  <c r="P224" i="5"/>
  <c r="P223" i="5"/>
  <c r="P222" i="5"/>
  <c r="P221" i="5"/>
  <c r="P220" i="5"/>
  <c r="P219" i="5"/>
  <c r="P218" i="5"/>
  <c r="P217" i="5"/>
  <c r="P216" i="5"/>
  <c r="P215" i="5"/>
  <c r="P213" i="5"/>
  <c r="P212" i="5"/>
  <c r="P211" i="5"/>
  <c r="P210" i="5"/>
  <c r="P209" i="5"/>
  <c r="P208" i="5"/>
  <c r="P207" i="5"/>
  <c r="P206" i="5"/>
  <c r="P205" i="5"/>
  <c r="P204" i="5"/>
  <c r="P203" i="5"/>
  <c r="P202" i="5"/>
  <c r="P201" i="5"/>
  <c r="P200" i="5"/>
  <c r="P199" i="5"/>
  <c r="P198" i="5"/>
  <c r="P197" i="5"/>
  <c r="P196" i="5"/>
  <c r="P195" i="5"/>
  <c r="P194" i="5"/>
  <c r="P193" i="5"/>
  <c r="P192" i="5"/>
  <c r="P190" i="5"/>
  <c r="P189" i="5"/>
  <c r="P188" i="5"/>
  <c r="P187" i="5"/>
  <c r="P186" i="5"/>
  <c r="P185" i="5"/>
  <c r="P184" i="5"/>
  <c r="P183" i="5"/>
  <c r="P182" i="5"/>
  <c r="P181" i="5"/>
  <c r="P180" i="5"/>
  <c r="P179" i="5"/>
  <c r="P178" i="5"/>
  <c r="P177" i="5"/>
  <c r="P175" i="5"/>
  <c r="P174" i="5"/>
  <c r="P173" i="5"/>
  <c r="P172" i="5"/>
  <c r="P171" i="5"/>
  <c r="P169" i="5"/>
  <c r="P167" i="5"/>
  <c r="P166" i="5"/>
  <c r="P164" i="5"/>
  <c r="P163" i="5"/>
  <c r="P162" i="5"/>
  <c r="P161" i="5"/>
  <c r="P160" i="5"/>
  <c r="P159" i="5"/>
  <c r="P156" i="5"/>
  <c r="P155" i="5"/>
  <c r="P154" i="5"/>
  <c r="P153" i="5"/>
  <c r="P151" i="5"/>
  <c r="P150" i="5"/>
  <c r="P149" i="5"/>
  <c r="P148" i="5"/>
  <c r="P147" i="5"/>
  <c r="P146" i="5"/>
  <c r="P145" i="5"/>
  <c r="P144" i="5"/>
  <c r="P143" i="5"/>
  <c r="P142" i="5"/>
  <c r="P141" i="5"/>
  <c r="P140" i="5"/>
  <c r="P139" i="5"/>
  <c r="P138" i="5"/>
  <c r="P137" i="5"/>
  <c r="P136" i="5"/>
  <c r="P135" i="5"/>
  <c r="P134" i="5"/>
  <c r="P133" i="5"/>
  <c r="P131" i="5"/>
  <c r="P129" i="5"/>
  <c r="P126" i="5"/>
  <c r="P124" i="5"/>
  <c r="P123" i="5"/>
  <c r="P121" i="5"/>
  <c r="P120" i="5"/>
  <c r="P119" i="5"/>
  <c r="P118" i="5"/>
  <c r="P117" i="5"/>
  <c r="P114" i="5"/>
  <c r="P112" i="5"/>
  <c r="P111" i="5"/>
  <c r="P108" i="5"/>
  <c r="P107" i="5"/>
  <c r="P106" i="5"/>
  <c r="P103" i="5"/>
  <c r="P102" i="5"/>
  <c r="P101" i="5"/>
  <c r="P99" i="5"/>
  <c r="P98" i="5"/>
  <c r="P94" i="5"/>
  <c r="P91" i="5"/>
  <c r="P89" i="5"/>
  <c r="P87" i="5"/>
  <c r="P86" i="5"/>
  <c r="P83" i="5"/>
  <c r="P82" i="5"/>
  <c r="P79" i="5"/>
  <c r="P78" i="5"/>
  <c r="P76" i="5"/>
  <c r="P73" i="5"/>
  <c r="P72" i="5"/>
  <c r="P70" i="5"/>
  <c r="P69" i="5"/>
  <c r="P68" i="5"/>
  <c r="P67" i="5"/>
  <c r="P66" i="5"/>
  <c r="P65" i="5"/>
  <c r="P64" i="5"/>
  <c r="P62" i="5"/>
  <c r="P60" i="5"/>
  <c r="P59" i="5"/>
  <c r="P58" i="5"/>
  <c r="P57" i="5"/>
  <c r="P55" i="5"/>
  <c r="P54" i="5"/>
  <c r="P52" i="5"/>
  <c r="P51" i="5"/>
  <c r="P50" i="5"/>
  <c r="P49" i="5"/>
  <c r="P47" i="5"/>
  <c r="P44" i="5"/>
  <c r="P43" i="5"/>
  <c r="P42" i="5"/>
  <c r="P39" i="5"/>
  <c r="P38" i="5"/>
  <c r="P37" i="5"/>
  <c r="P36" i="5"/>
  <c r="P34" i="5"/>
  <c r="P33" i="5"/>
  <c r="P31" i="5"/>
  <c r="P30" i="5"/>
  <c r="P28" i="5"/>
  <c r="P25" i="5"/>
  <c r="P24" i="5"/>
  <c r="P23" i="5"/>
  <c r="P22" i="5"/>
  <c r="P21" i="5"/>
  <c r="P20" i="5"/>
  <c r="P18" i="5"/>
  <c r="P17" i="5"/>
  <c r="P16" i="5"/>
  <c r="P15" i="5"/>
  <c r="P14" i="5"/>
  <c r="P12" i="5"/>
  <c r="P10" i="5"/>
  <c r="P9" i="5"/>
  <c r="P8" i="5"/>
  <c r="P7" i="5"/>
  <c r="P6" i="5"/>
  <c r="CC1037" i="5"/>
  <c r="B1037" i="5"/>
  <c r="CC1036" i="5"/>
  <c r="B1036" i="5"/>
  <c r="CC1035" i="5"/>
  <c r="BO1035" i="5"/>
  <c r="B1035" i="5"/>
  <c r="CC1034" i="5"/>
  <c r="BO1034" i="5"/>
  <c r="B1034" i="5"/>
  <c r="CC1033" i="5"/>
  <c r="BO1033" i="5"/>
  <c r="B1033" i="5"/>
  <c r="CC1032" i="5"/>
  <c r="BO1032" i="5"/>
  <c r="B1032" i="5"/>
  <c r="CC1031" i="5"/>
  <c r="BO1031" i="5"/>
  <c r="B1031" i="5"/>
  <c r="CC1030" i="5"/>
  <c r="B1030" i="5"/>
  <c r="CC1029" i="5"/>
  <c r="BO1029" i="5"/>
  <c r="B1029" i="5"/>
  <c r="CC1028" i="5"/>
  <c r="B1028" i="5"/>
  <c r="CC1027" i="5"/>
  <c r="BO1027" i="5"/>
  <c r="B1027" i="5"/>
  <c r="CC1026" i="5"/>
  <c r="BO1026" i="5"/>
  <c r="B1026" i="5"/>
  <c r="CC1025" i="5"/>
  <c r="BO1025" i="5"/>
  <c r="B1025" i="5"/>
  <c r="CC1024" i="5"/>
  <c r="BO1024" i="5"/>
  <c r="B1024" i="5"/>
  <c r="CC1023" i="5"/>
  <c r="BO1023" i="5"/>
  <c r="B1023" i="5"/>
  <c r="CC1022" i="5"/>
  <c r="BO1022" i="5"/>
  <c r="B1022" i="5"/>
  <c r="CC1021" i="5"/>
  <c r="BO1021" i="5"/>
  <c r="B1021" i="5"/>
  <c r="CC1020" i="5"/>
  <c r="BO1020" i="5"/>
  <c r="B1020" i="5"/>
  <c r="CC1019" i="5"/>
  <c r="BO1019" i="5"/>
  <c r="B1019" i="5"/>
  <c r="CC1018" i="5"/>
  <c r="BO1018" i="5"/>
  <c r="B1018" i="5"/>
  <c r="CC1017" i="5"/>
  <c r="BO1017" i="5"/>
  <c r="B1017" i="5"/>
  <c r="CC1016" i="5"/>
  <c r="BO1016" i="5"/>
  <c r="B1016" i="5"/>
  <c r="CC1015" i="5"/>
  <c r="BO1015" i="5"/>
  <c r="B1015" i="5"/>
  <c r="CC1014" i="5"/>
  <c r="BO1014" i="5"/>
  <c r="B1014" i="5"/>
  <c r="CC1013" i="5"/>
  <c r="BO1013" i="5"/>
  <c r="B1013" i="5"/>
  <c r="CC1012" i="5"/>
  <c r="BO1012" i="5"/>
  <c r="B1012" i="5"/>
  <c r="CC1011" i="5"/>
  <c r="BO1011" i="5"/>
  <c r="B1011" i="5"/>
  <c r="CC1010" i="5"/>
  <c r="BO1010" i="5"/>
  <c r="B1010" i="5"/>
  <c r="CC1009" i="5"/>
  <c r="BO1009" i="5"/>
  <c r="B1009" i="5"/>
  <c r="CC1008" i="5"/>
  <c r="BO1008" i="5"/>
  <c r="B1008" i="5"/>
  <c r="CC1007" i="5"/>
  <c r="BO1007" i="5"/>
  <c r="B1007" i="5"/>
  <c r="CC1006" i="5"/>
  <c r="BO1006" i="5"/>
  <c r="B1006" i="5"/>
  <c r="CC1005" i="5"/>
  <c r="BO1005" i="5"/>
  <c r="B1005" i="5"/>
  <c r="CC1004" i="5"/>
  <c r="BO1004" i="5"/>
  <c r="B1004" i="5"/>
  <c r="CC1003" i="5"/>
  <c r="BO1003" i="5"/>
  <c r="B1003" i="5"/>
  <c r="CC1002" i="5"/>
  <c r="BO1002" i="5"/>
  <c r="B1002" i="5"/>
  <c r="CC1001" i="5"/>
  <c r="BO1001" i="5"/>
  <c r="B1001" i="5"/>
  <c r="CC1000" i="5"/>
  <c r="BO1000" i="5"/>
  <c r="B1000" i="5"/>
  <c r="CC999" i="5"/>
  <c r="BO999" i="5"/>
  <c r="B999" i="5"/>
  <c r="CC998" i="5"/>
  <c r="BO998" i="5"/>
  <c r="B998" i="5"/>
  <c r="CC997" i="5"/>
  <c r="B997" i="5"/>
  <c r="CC996" i="5"/>
  <c r="B996" i="5"/>
  <c r="CC995" i="5"/>
  <c r="BO995" i="5"/>
  <c r="B995" i="5"/>
  <c r="CC994" i="5"/>
  <c r="BO994" i="5"/>
  <c r="B994" i="5"/>
  <c r="CC993" i="5"/>
  <c r="BO993" i="5"/>
  <c r="B993" i="5"/>
  <c r="CC992" i="5"/>
  <c r="BO992" i="5"/>
  <c r="B992" i="5"/>
  <c r="CC991" i="5"/>
  <c r="BO991" i="5"/>
  <c r="B991" i="5"/>
  <c r="CC990" i="5"/>
  <c r="BO990" i="5"/>
  <c r="B990" i="5"/>
  <c r="CC989" i="5"/>
  <c r="BO989" i="5"/>
  <c r="B989" i="5"/>
  <c r="CC988" i="5"/>
  <c r="BO988" i="5"/>
  <c r="B988" i="5"/>
  <c r="CC987" i="5"/>
  <c r="BO987" i="5"/>
  <c r="B987" i="5"/>
  <c r="CC986" i="5"/>
  <c r="B986" i="5"/>
  <c r="CC985" i="5"/>
  <c r="BO985" i="5"/>
  <c r="B985" i="5"/>
  <c r="CC984" i="5"/>
  <c r="B984" i="5"/>
  <c r="CC983" i="5"/>
  <c r="BO983" i="5"/>
  <c r="B983" i="5"/>
  <c r="CC982" i="5"/>
  <c r="BO982" i="5"/>
  <c r="B982" i="5"/>
  <c r="CC981" i="5"/>
  <c r="BO981" i="5"/>
  <c r="B981" i="5"/>
  <c r="CC980" i="5"/>
  <c r="BO980" i="5"/>
  <c r="B980" i="5"/>
  <c r="CC979" i="5"/>
  <c r="BO979" i="5"/>
  <c r="B979" i="5"/>
  <c r="CC978" i="5"/>
  <c r="B978" i="5"/>
  <c r="CC977" i="5"/>
  <c r="BO977" i="5"/>
  <c r="B977" i="5"/>
  <c r="CC976" i="5"/>
  <c r="BO976" i="5"/>
  <c r="B976" i="5"/>
  <c r="CC975" i="5"/>
  <c r="BO975" i="5"/>
  <c r="B975" i="5"/>
  <c r="CC974" i="5"/>
  <c r="BO974" i="5"/>
  <c r="B974" i="5"/>
  <c r="CC973" i="5"/>
  <c r="BO973" i="5"/>
  <c r="B973" i="5"/>
  <c r="CC972" i="5"/>
  <c r="BO972" i="5"/>
  <c r="B972" i="5"/>
  <c r="CC971" i="5"/>
  <c r="BO971" i="5"/>
  <c r="B971" i="5"/>
  <c r="CC970" i="5"/>
  <c r="BO970" i="5"/>
  <c r="B970" i="5"/>
  <c r="CC969" i="5"/>
  <c r="B969" i="5"/>
  <c r="CC968" i="5"/>
  <c r="BO968" i="5"/>
  <c r="B968" i="5"/>
  <c r="CC967" i="5"/>
  <c r="BO967" i="5"/>
  <c r="B967" i="5"/>
  <c r="CC966" i="5"/>
  <c r="BO966" i="5"/>
  <c r="B966" i="5"/>
  <c r="CC965" i="5"/>
  <c r="BO965" i="5"/>
  <c r="B965" i="5"/>
  <c r="CC964" i="5"/>
  <c r="BO964" i="5"/>
  <c r="B964" i="5"/>
  <c r="CC963" i="5"/>
  <c r="BO963" i="5"/>
  <c r="B963" i="5"/>
  <c r="CC962" i="5"/>
  <c r="BO962" i="5"/>
  <c r="B962" i="5"/>
  <c r="CC961" i="5"/>
  <c r="BO961" i="5"/>
  <c r="B961" i="5"/>
  <c r="CC960" i="5"/>
  <c r="BO960" i="5"/>
  <c r="B960" i="5"/>
  <c r="CC959" i="5"/>
  <c r="B959" i="5"/>
  <c r="CC958" i="5"/>
  <c r="B958" i="5"/>
  <c r="CC957" i="5"/>
  <c r="B957" i="5"/>
  <c r="CC956" i="5"/>
  <c r="BO956" i="5"/>
  <c r="B956" i="5"/>
  <c r="CC955" i="5"/>
  <c r="BO955" i="5"/>
  <c r="B955" i="5"/>
  <c r="CC954" i="5"/>
  <c r="BO954" i="5"/>
  <c r="B954" i="5"/>
  <c r="CC953" i="5"/>
  <c r="BO953" i="5"/>
  <c r="B953" i="5"/>
  <c r="CC952" i="5"/>
  <c r="BO952" i="5"/>
  <c r="B952" i="5"/>
  <c r="CC951" i="5"/>
  <c r="BO951" i="5"/>
  <c r="B951" i="5"/>
  <c r="CC950" i="5"/>
  <c r="B950" i="5"/>
  <c r="CC949" i="5"/>
  <c r="BO949" i="5"/>
  <c r="B949" i="5"/>
  <c r="CC948" i="5"/>
  <c r="B948" i="5"/>
  <c r="CC947" i="5"/>
  <c r="BO947" i="5"/>
  <c r="B947" i="5"/>
  <c r="CC946" i="5"/>
  <c r="BO946" i="5"/>
  <c r="B946" i="5"/>
  <c r="CC945" i="5"/>
  <c r="BO945" i="5"/>
  <c r="B945" i="5"/>
  <c r="CC944" i="5"/>
  <c r="BO944" i="5"/>
  <c r="B944" i="5"/>
  <c r="CC943" i="5"/>
  <c r="BO943" i="5"/>
  <c r="B943" i="5"/>
  <c r="CC942" i="5"/>
  <c r="BO942" i="5"/>
  <c r="B942" i="5"/>
  <c r="CC941" i="5"/>
  <c r="B941" i="5"/>
  <c r="CC940" i="5"/>
  <c r="BO940" i="5"/>
  <c r="B940" i="5"/>
  <c r="CC939" i="5"/>
  <c r="BO939" i="5"/>
  <c r="B939" i="5"/>
  <c r="CC938" i="5"/>
  <c r="BO938" i="5"/>
  <c r="B938" i="5"/>
  <c r="CC937" i="5"/>
  <c r="BO937" i="5"/>
  <c r="B937" i="5"/>
  <c r="CC936" i="5"/>
  <c r="BO936" i="5"/>
  <c r="B936" i="5"/>
  <c r="CC935" i="5"/>
  <c r="BO935" i="5"/>
  <c r="B935" i="5"/>
  <c r="CC934" i="5"/>
  <c r="BO934" i="5"/>
  <c r="B934" i="5"/>
  <c r="CC933" i="5"/>
  <c r="BO933" i="5"/>
  <c r="B933" i="5"/>
  <c r="CC932" i="5"/>
  <c r="BO932" i="5"/>
  <c r="B932" i="5"/>
  <c r="CC931" i="5"/>
  <c r="BO931" i="5"/>
  <c r="B931" i="5"/>
  <c r="CC930" i="5"/>
  <c r="BO930" i="5"/>
  <c r="B930" i="5"/>
  <c r="CC929" i="5"/>
  <c r="B929" i="5"/>
  <c r="CC928" i="5"/>
  <c r="BO928" i="5"/>
  <c r="B928" i="5"/>
  <c r="CC927" i="5"/>
  <c r="BO927" i="5"/>
  <c r="B927" i="5"/>
  <c r="CC926" i="5"/>
  <c r="BO926" i="5"/>
  <c r="B926" i="5"/>
  <c r="CC925" i="5"/>
  <c r="BO925" i="5"/>
  <c r="B925" i="5"/>
  <c r="CC924" i="5"/>
  <c r="BO924" i="5"/>
  <c r="B924" i="5"/>
  <c r="CC923" i="5"/>
  <c r="BO923" i="5"/>
  <c r="B923" i="5"/>
  <c r="CC922" i="5"/>
  <c r="BO922" i="5"/>
  <c r="B922" i="5"/>
  <c r="CC921" i="5"/>
  <c r="BO921" i="5"/>
  <c r="B921" i="5"/>
  <c r="CC920" i="5"/>
  <c r="B920" i="5"/>
  <c r="CC919" i="5"/>
  <c r="BO919" i="5"/>
  <c r="B919" i="5"/>
  <c r="CC918" i="5"/>
  <c r="BO918" i="5"/>
  <c r="B918" i="5"/>
  <c r="CC917" i="5"/>
  <c r="BO917" i="5"/>
  <c r="B917" i="5"/>
  <c r="CC916" i="5"/>
  <c r="BO916" i="5"/>
  <c r="B916" i="5"/>
  <c r="CC915" i="5"/>
  <c r="BO915" i="5"/>
  <c r="B915" i="5"/>
  <c r="CC914" i="5"/>
  <c r="BO914" i="5"/>
  <c r="B914" i="5"/>
  <c r="CC913" i="5"/>
  <c r="BO913" i="5"/>
  <c r="B913" i="5"/>
  <c r="CC912" i="5"/>
  <c r="B912" i="5"/>
  <c r="CC911" i="5"/>
  <c r="BO911" i="5"/>
  <c r="B911" i="5"/>
  <c r="CC910" i="5"/>
  <c r="BO910" i="5"/>
  <c r="B910" i="5"/>
  <c r="CC909" i="5"/>
  <c r="BO909" i="5"/>
  <c r="B909" i="5"/>
  <c r="CC908" i="5"/>
  <c r="BO908" i="5"/>
  <c r="B908" i="5"/>
  <c r="CC907" i="5"/>
  <c r="BO907" i="5"/>
  <c r="B907" i="5"/>
  <c r="CC906" i="5"/>
  <c r="BO906" i="5"/>
  <c r="B906" i="5"/>
  <c r="CC905" i="5"/>
  <c r="BO905" i="5"/>
  <c r="B905" i="5"/>
  <c r="CC904" i="5"/>
  <c r="BO904" i="5"/>
  <c r="B904" i="5"/>
  <c r="CC903" i="5"/>
  <c r="BO903" i="5"/>
  <c r="B903" i="5"/>
  <c r="CC902" i="5"/>
  <c r="BO902" i="5"/>
  <c r="B902" i="5"/>
  <c r="CC901" i="5"/>
  <c r="BO901" i="5"/>
  <c r="B901" i="5"/>
  <c r="CC900" i="5"/>
  <c r="BO900" i="5"/>
  <c r="B900" i="5"/>
  <c r="CC899" i="5"/>
  <c r="BO899" i="5"/>
  <c r="B899" i="5"/>
  <c r="CC898" i="5"/>
  <c r="BO898" i="5"/>
  <c r="B898" i="5"/>
  <c r="CC897" i="5"/>
  <c r="BO897" i="5"/>
  <c r="B897" i="5"/>
  <c r="CC896" i="5"/>
  <c r="B896" i="5"/>
  <c r="CC895" i="5"/>
  <c r="BO895" i="5"/>
  <c r="B895" i="5"/>
  <c r="CC894" i="5"/>
  <c r="BO894" i="5"/>
  <c r="B894" i="5"/>
  <c r="CC893" i="5"/>
  <c r="BO893" i="5"/>
  <c r="B893" i="5"/>
  <c r="CC892" i="5"/>
  <c r="BO892" i="5"/>
  <c r="B892" i="5"/>
  <c r="CC891" i="5"/>
  <c r="BO891" i="5"/>
  <c r="B891" i="5"/>
  <c r="CC890" i="5"/>
  <c r="BO890" i="5"/>
  <c r="B890" i="5"/>
  <c r="CC889" i="5"/>
  <c r="BO889" i="5"/>
  <c r="B889" i="5"/>
  <c r="CC888" i="5"/>
  <c r="BO888" i="5"/>
  <c r="B888" i="5"/>
  <c r="CC887" i="5"/>
  <c r="BO887" i="5"/>
  <c r="B887" i="5"/>
  <c r="CC886" i="5"/>
  <c r="BO886" i="5"/>
  <c r="B886" i="5"/>
  <c r="CC885" i="5"/>
  <c r="BO885" i="5"/>
  <c r="B885" i="5"/>
  <c r="CC884" i="5"/>
  <c r="BO884" i="5"/>
  <c r="B884" i="5"/>
  <c r="CC883" i="5"/>
  <c r="BO883" i="5"/>
  <c r="B883" i="5"/>
  <c r="CC882" i="5"/>
  <c r="BO882" i="5"/>
  <c r="B882" i="5"/>
  <c r="CC881" i="5"/>
  <c r="BO881" i="5"/>
  <c r="B881" i="5"/>
  <c r="CC880" i="5"/>
  <c r="BO880" i="5"/>
  <c r="B880" i="5"/>
  <c r="CC879" i="5"/>
  <c r="BO879" i="5"/>
  <c r="B879" i="5"/>
  <c r="CC878" i="5"/>
  <c r="BO878" i="5"/>
  <c r="B878" i="5"/>
  <c r="CC877" i="5"/>
  <c r="BO877" i="5"/>
  <c r="B877" i="5"/>
  <c r="CC876" i="5"/>
  <c r="BO876" i="5"/>
  <c r="B876" i="5"/>
  <c r="CC875" i="5"/>
  <c r="BO875" i="5"/>
  <c r="B875" i="5"/>
  <c r="CC874" i="5"/>
  <c r="BO874" i="5"/>
  <c r="B874" i="5"/>
  <c r="CC873" i="5"/>
  <c r="BO873" i="5"/>
  <c r="B873" i="5"/>
  <c r="CC872" i="5"/>
  <c r="BO872" i="5"/>
  <c r="B872" i="5"/>
  <c r="CC871" i="5"/>
  <c r="BO871" i="5"/>
  <c r="B871" i="5"/>
  <c r="CC870" i="5"/>
  <c r="B870" i="5"/>
  <c r="CC869" i="5"/>
  <c r="BO869" i="5"/>
  <c r="B869" i="5"/>
  <c r="CC868" i="5"/>
  <c r="BO868" i="5"/>
  <c r="B868" i="5"/>
  <c r="CC867" i="5"/>
  <c r="BO867" i="5"/>
  <c r="B867" i="5"/>
  <c r="CC866" i="5"/>
  <c r="BO866" i="5"/>
  <c r="B866" i="5"/>
  <c r="CC865" i="5"/>
  <c r="B865" i="5"/>
  <c r="CC864" i="5"/>
  <c r="BO864" i="5"/>
  <c r="B864" i="5"/>
  <c r="CC863" i="5"/>
  <c r="B863" i="5"/>
  <c r="CC862" i="5"/>
  <c r="BO862" i="5"/>
  <c r="B862" i="5"/>
  <c r="CC861" i="5"/>
  <c r="B861" i="5"/>
  <c r="CC860" i="5"/>
  <c r="BO860" i="5"/>
  <c r="B860" i="5"/>
  <c r="CC859" i="5"/>
  <c r="BO859" i="5"/>
  <c r="B859" i="5"/>
  <c r="CC858" i="5"/>
  <c r="B858" i="5"/>
  <c r="CC857" i="5"/>
  <c r="BO857" i="5"/>
  <c r="B857" i="5"/>
  <c r="CC856" i="5"/>
  <c r="BO856" i="5"/>
  <c r="B856" i="5"/>
  <c r="CC855" i="5"/>
  <c r="BO855" i="5"/>
  <c r="B855" i="5"/>
  <c r="CC854" i="5"/>
  <c r="BO854" i="5"/>
  <c r="B854" i="5"/>
  <c r="CC853" i="5"/>
  <c r="BO853" i="5"/>
  <c r="B853" i="5"/>
  <c r="CC852" i="5"/>
  <c r="BO852" i="5"/>
  <c r="B852" i="5"/>
  <c r="CC851" i="5"/>
  <c r="BO851" i="5"/>
  <c r="B851" i="5"/>
  <c r="CC850" i="5"/>
  <c r="BO850" i="5"/>
  <c r="B850" i="5"/>
  <c r="CC849" i="5"/>
  <c r="BO849" i="5"/>
  <c r="B849" i="5"/>
  <c r="CC848" i="5"/>
  <c r="BO848" i="5"/>
  <c r="B848" i="5"/>
  <c r="CC847" i="5"/>
  <c r="BO847" i="5"/>
  <c r="B847" i="5"/>
  <c r="CC846" i="5"/>
  <c r="B846" i="5"/>
  <c r="CC845" i="5"/>
  <c r="BO845" i="5"/>
  <c r="B845" i="5"/>
  <c r="CC844" i="5"/>
  <c r="BO844" i="5"/>
  <c r="B844" i="5"/>
  <c r="CC843" i="5"/>
  <c r="BO843" i="5"/>
  <c r="B843" i="5"/>
  <c r="CC842" i="5"/>
  <c r="BO842" i="5"/>
  <c r="B842" i="5"/>
  <c r="CC841" i="5"/>
  <c r="BO841" i="5"/>
  <c r="B841" i="5"/>
  <c r="CC840" i="5"/>
  <c r="BO840" i="5"/>
  <c r="B840" i="5"/>
  <c r="CC839" i="5"/>
  <c r="BO839" i="5"/>
  <c r="B839" i="5"/>
  <c r="CC838" i="5"/>
  <c r="BO838" i="5"/>
  <c r="B838" i="5"/>
  <c r="CC837" i="5"/>
  <c r="BO837" i="5"/>
  <c r="B837" i="5"/>
  <c r="CC836" i="5"/>
  <c r="BO836" i="5"/>
  <c r="B836" i="5"/>
  <c r="CC835" i="5"/>
  <c r="B835" i="5"/>
  <c r="CC834" i="5"/>
  <c r="B834" i="5"/>
  <c r="CC833" i="5"/>
  <c r="BO833" i="5"/>
  <c r="B833" i="5"/>
  <c r="CC832" i="5"/>
  <c r="BO832" i="5"/>
  <c r="B832" i="5"/>
  <c r="CC831" i="5"/>
  <c r="BO831" i="5"/>
  <c r="B831" i="5"/>
  <c r="CC830" i="5"/>
  <c r="BO830" i="5"/>
  <c r="B830" i="5"/>
  <c r="CC829" i="5"/>
  <c r="BO829" i="5"/>
  <c r="B829" i="5"/>
  <c r="CC828" i="5"/>
  <c r="BO828" i="5"/>
  <c r="B828" i="5"/>
  <c r="CC827" i="5"/>
  <c r="BO827" i="5"/>
  <c r="B827" i="5"/>
  <c r="CC826" i="5"/>
  <c r="BO826" i="5"/>
  <c r="B826" i="5"/>
  <c r="CC825" i="5"/>
  <c r="BO825" i="5"/>
  <c r="B825" i="5"/>
  <c r="CC824" i="5"/>
  <c r="BO824" i="5"/>
  <c r="B824" i="5"/>
  <c r="CC823" i="5"/>
  <c r="BO823" i="5"/>
  <c r="B823" i="5"/>
  <c r="CC822" i="5"/>
  <c r="BO822" i="5"/>
  <c r="B822" i="5"/>
  <c r="CC821" i="5"/>
  <c r="BO821" i="5"/>
  <c r="B821" i="5"/>
  <c r="CC820" i="5"/>
  <c r="BO820" i="5"/>
  <c r="B820" i="5"/>
  <c r="CC819" i="5"/>
  <c r="BO819" i="5"/>
  <c r="B819" i="5"/>
  <c r="CC818" i="5"/>
  <c r="BO818" i="5"/>
  <c r="B818" i="5"/>
  <c r="CC817" i="5"/>
  <c r="BO817" i="5"/>
  <c r="B817" i="5"/>
  <c r="CC816" i="5"/>
  <c r="BO816" i="5"/>
  <c r="B816" i="5"/>
  <c r="CC815" i="5"/>
  <c r="BO815" i="5"/>
  <c r="B815" i="5"/>
  <c r="CC814" i="5"/>
  <c r="BO814" i="5"/>
  <c r="B814" i="5"/>
  <c r="CC813" i="5"/>
  <c r="BO813" i="5"/>
  <c r="B813" i="5"/>
  <c r="CC812" i="5"/>
  <c r="B812" i="5"/>
  <c r="CC811" i="5"/>
  <c r="BO811" i="5"/>
  <c r="B811" i="5"/>
  <c r="CC810" i="5"/>
  <c r="BO810" i="5"/>
  <c r="B810" i="5"/>
  <c r="CC809" i="5"/>
  <c r="BO809" i="5"/>
  <c r="B809" i="5"/>
  <c r="CC808" i="5"/>
  <c r="BO808" i="5"/>
  <c r="B808" i="5"/>
  <c r="CC807" i="5"/>
  <c r="BO807" i="5"/>
  <c r="B807" i="5"/>
  <c r="CC806" i="5"/>
  <c r="BO806" i="5"/>
  <c r="B806" i="5"/>
  <c r="CC805" i="5"/>
  <c r="BO805" i="5"/>
  <c r="B805" i="5"/>
  <c r="CC804" i="5"/>
  <c r="BO804" i="5"/>
  <c r="B804" i="5"/>
  <c r="CC803" i="5"/>
  <c r="BO803" i="5"/>
  <c r="B803" i="5"/>
  <c r="CC802" i="5"/>
  <c r="B802" i="5"/>
  <c r="CC801" i="5"/>
  <c r="BO801" i="5"/>
  <c r="B801" i="5"/>
  <c r="CC800" i="5"/>
  <c r="BO800" i="5"/>
  <c r="B800" i="5"/>
  <c r="CC799" i="5"/>
  <c r="BO799" i="5"/>
  <c r="B799" i="5"/>
  <c r="CC798" i="5"/>
  <c r="BO798" i="5"/>
  <c r="B798" i="5"/>
  <c r="CC797" i="5"/>
  <c r="BO797" i="5"/>
  <c r="B797" i="5"/>
  <c r="CC796" i="5"/>
  <c r="BO796" i="5"/>
  <c r="B796" i="5"/>
  <c r="CC795" i="5"/>
  <c r="BO795" i="5"/>
  <c r="B795" i="5"/>
  <c r="CC794" i="5"/>
  <c r="B794" i="5"/>
  <c r="CC793" i="5"/>
  <c r="BO793" i="5"/>
  <c r="B793" i="5"/>
  <c r="CC792" i="5"/>
  <c r="B792" i="5"/>
  <c r="CC791" i="5"/>
  <c r="BO791" i="5"/>
  <c r="B791" i="5"/>
  <c r="CC790" i="5"/>
  <c r="BO790" i="5"/>
  <c r="B790" i="5"/>
  <c r="CC789" i="5"/>
  <c r="BO789" i="5"/>
  <c r="B789" i="5"/>
  <c r="CC788" i="5"/>
  <c r="BO788" i="5"/>
  <c r="B788" i="5"/>
  <c r="CC787" i="5"/>
  <c r="BO787" i="5"/>
  <c r="B787" i="5"/>
  <c r="CC786" i="5"/>
  <c r="BO786" i="5"/>
  <c r="B786" i="5"/>
  <c r="CC785" i="5"/>
  <c r="BO785" i="5"/>
  <c r="B785" i="5"/>
  <c r="CC784" i="5"/>
  <c r="BO784" i="5"/>
  <c r="B784" i="5"/>
  <c r="CC783" i="5"/>
  <c r="B783" i="5"/>
  <c r="CC782" i="5"/>
  <c r="BO782" i="5"/>
  <c r="B782" i="5"/>
  <c r="CC781" i="5"/>
  <c r="BO781" i="5"/>
  <c r="B781" i="5"/>
  <c r="CC780" i="5"/>
  <c r="BO780" i="5"/>
  <c r="B780" i="5"/>
  <c r="CC779" i="5"/>
  <c r="BO779" i="5"/>
  <c r="B779" i="5"/>
  <c r="CC778" i="5"/>
  <c r="BO778" i="5"/>
  <c r="B778" i="5"/>
  <c r="CC777" i="5"/>
  <c r="BO777" i="5"/>
  <c r="B777" i="5"/>
  <c r="CC776" i="5"/>
  <c r="BO776" i="5"/>
  <c r="B776" i="5"/>
  <c r="CC775" i="5"/>
  <c r="BO775" i="5"/>
  <c r="B775" i="5"/>
  <c r="CC774" i="5"/>
  <c r="BO774" i="5"/>
  <c r="B774" i="5"/>
  <c r="CC773" i="5"/>
  <c r="BO773" i="5"/>
  <c r="B773" i="5"/>
  <c r="CC772" i="5"/>
  <c r="BO772" i="5"/>
  <c r="B772" i="5"/>
  <c r="CC771" i="5"/>
  <c r="BO771" i="5"/>
  <c r="B771" i="5"/>
  <c r="CC770" i="5"/>
  <c r="BO770" i="5"/>
  <c r="B770" i="5"/>
  <c r="CC769" i="5"/>
  <c r="BO769" i="5"/>
  <c r="B769" i="5"/>
  <c r="CC768" i="5"/>
  <c r="BO768" i="5"/>
  <c r="B768" i="5"/>
  <c r="CC767" i="5"/>
  <c r="BO767" i="5"/>
  <c r="B767" i="5"/>
  <c r="CC766" i="5"/>
  <c r="BO766" i="5"/>
  <c r="B766" i="5"/>
  <c r="CC765" i="5"/>
  <c r="BO765" i="5"/>
  <c r="B765" i="5"/>
  <c r="CC764" i="5"/>
  <c r="B764" i="5"/>
  <c r="CC763" i="5"/>
  <c r="B763" i="5"/>
  <c r="CC762" i="5"/>
  <c r="BO762" i="5"/>
  <c r="B762" i="5"/>
  <c r="CC761" i="5"/>
  <c r="BO761" i="5"/>
  <c r="B761" i="5"/>
  <c r="CC760" i="5"/>
  <c r="B760" i="5"/>
  <c r="CC759" i="5"/>
  <c r="BO759" i="5"/>
  <c r="B759" i="5"/>
  <c r="CC758" i="5"/>
  <c r="BO758" i="5"/>
  <c r="B758" i="5"/>
  <c r="CC757" i="5"/>
  <c r="BO757" i="5"/>
  <c r="B757" i="5"/>
  <c r="CC756" i="5"/>
  <c r="BO756" i="5"/>
  <c r="B756" i="5"/>
  <c r="CC755" i="5"/>
  <c r="BO755" i="5"/>
  <c r="B755" i="5"/>
  <c r="CC754" i="5"/>
  <c r="B754" i="5"/>
  <c r="CC753" i="5"/>
  <c r="BO753" i="5"/>
  <c r="B753" i="5"/>
  <c r="CC752" i="5"/>
  <c r="BO752" i="5"/>
  <c r="B752" i="5"/>
  <c r="CC751" i="5"/>
  <c r="BO751" i="5"/>
  <c r="B751" i="5"/>
  <c r="CC750" i="5"/>
  <c r="BO750" i="5"/>
  <c r="B750" i="5"/>
  <c r="CC749" i="5"/>
  <c r="BO749" i="5"/>
  <c r="B749" i="5"/>
  <c r="CC748" i="5"/>
  <c r="BO748" i="5"/>
  <c r="B748" i="5"/>
  <c r="CC747" i="5"/>
  <c r="BO747" i="5"/>
  <c r="B747" i="5"/>
  <c r="CC746" i="5"/>
  <c r="BO746" i="5"/>
  <c r="B746" i="5"/>
  <c r="CC745" i="5"/>
  <c r="B745" i="5"/>
  <c r="CC744" i="5"/>
  <c r="BO744" i="5"/>
  <c r="B744" i="5"/>
  <c r="CC743" i="5"/>
  <c r="BO743" i="5"/>
  <c r="B743" i="5"/>
  <c r="CC742" i="5"/>
  <c r="BO742" i="5"/>
  <c r="B742" i="5"/>
  <c r="CC741" i="5"/>
  <c r="BO741" i="5"/>
  <c r="B741" i="5"/>
  <c r="CC740" i="5"/>
  <c r="BO740" i="5"/>
  <c r="B740" i="5"/>
  <c r="CC739" i="5"/>
  <c r="BO739" i="5"/>
  <c r="B739" i="5"/>
  <c r="CC738" i="5"/>
  <c r="BO738" i="5"/>
  <c r="B738" i="5"/>
  <c r="CC737" i="5"/>
  <c r="BO737" i="5"/>
  <c r="B737" i="5"/>
  <c r="CC736" i="5"/>
  <c r="BO736" i="5"/>
  <c r="B736" i="5"/>
  <c r="CC735" i="5"/>
  <c r="BO735" i="5"/>
  <c r="B735" i="5"/>
  <c r="CC734" i="5"/>
  <c r="B734" i="5"/>
  <c r="CC733" i="5"/>
  <c r="BO733" i="5"/>
  <c r="B733" i="5"/>
  <c r="CC732" i="5"/>
  <c r="BO732" i="5"/>
  <c r="B732" i="5"/>
  <c r="CC731" i="5"/>
  <c r="BO731" i="5"/>
  <c r="B731" i="5"/>
  <c r="CC730" i="5"/>
  <c r="BO730" i="5"/>
  <c r="B730" i="5"/>
  <c r="CC729" i="5"/>
  <c r="BO729" i="5"/>
  <c r="B729" i="5"/>
  <c r="CC728" i="5"/>
  <c r="BO728" i="5"/>
  <c r="B728" i="5"/>
  <c r="CC727" i="5"/>
  <c r="BO727" i="5"/>
  <c r="B727" i="5"/>
  <c r="CC726" i="5"/>
  <c r="BO726" i="5"/>
  <c r="B726" i="5"/>
  <c r="CC725" i="5"/>
  <c r="BO725" i="5"/>
  <c r="B725" i="5"/>
  <c r="CC724" i="5"/>
  <c r="BO724" i="5"/>
  <c r="B724" i="5"/>
  <c r="CC723" i="5"/>
  <c r="BO723" i="5"/>
  <c r="B723" i="5"/>
  <c r="CC722" i="5"/>
  <c r="BO722" i="5"/>
  <c r="B722" i="5"/>
  <c r="CC721" i="5"/>
  <c r="BO721" i="5"/>
  <c r="B721" i="5"/>
  <c r="CC720" i="5"/>
  <c r="BO720" i="5"/>
  <c r="B720" i="5"/>
  <c r="CC719" i="5"/>
  <c r="B719" i="5"/>
  <c r="CC718" i="5"/>
  <c r="BO718" i="5"/>
  <c r="B718" i="5"/>
  <c r="CC717" i="5"/>
  <c r="BO717" i="5"/>
  <c r="B717" i="5"/>
  <c r="CC716" i="5"/>
  <c r="B716" i="5"/>
  <c r="CC715" i="5"/>
  <c r="B715" i="5"/>
  <c r="CC714" i="5"/>
  <c r="BO714" i="5"/>
  <c r="B714" i="5"/>
  <c r="CC713" i="5"/>
  <c r="BO713" i="5"/>
  <c r="B713" i="5"/>
  <c r="CC712" i="5"/>
  <c r="BO712" i="5"/>
  <c r="B712" i="5"/>
  <c r="CC711" i="5"/>
  <c r="B711" i="5"/>
  <c r="CC710" i="5"/>
  <c r="BO710" i="5"/>
  <c r="B710" i="5"/>
  <c r="CC709" i="5"/>
  <c r="BO709" i="5"/>
  <c r="B709" i="5"/>
  <c r="CC708" i="5"/>
  <c r="BO708" i="5"/>
  <c r="B708" i="5"/>
  <c r="CC707" i="5"/>
  <c r="BO707" i="5"/>
  <c r="B707" i="5"/>
  <c r="CC706" i="5"/>
  <c r="BO706" i="5"/>
  <c r="B706" i="5"/>
  <c r="CC705" i="5"/>
  <c r="BO705" i="5"/>
  <c r="B705" i="5"/>
  <c r="CC704" i="5"/>
  <c r="BO704" i="5"/>
  <c r="B704" i="5"/>
  <c r="CC703" i="5"/>
  <c r="BO703" i="5"/>
  <c r="B703" i="5"/>
  <c r="CC702" i="5"/>
  <c r="B702" i="5"/>
  <c r="CC701" i="5"/>
  <c r="BO701" i="5"/>
  <c r="B701" i="5"/>
  <c r="CC700" i="5"/>
  <c r="BO700" i="5"/>
  <c r="B700" i="5"/>
  <c r="CC699" i="5"/>
  <c r="BO699" i="5"/>
  <c r="B699" i="5"/>
  <c r="CC698" i="5"/>
  <c r="BO698" i="5"/>
  <c r="B698" i="5"/>
  <c r="CC697" i="5"/>
  <c r="BO697" i="5"/>
  <c r="B697" i="5"/>
  <c r="CC696" i="5"/>
  <c r="B696" i="5"/>
  <c r="CC695" i="5"/>
  <c r="BO695" i="5"/>
  <c r="B695" i="5"/>
  <c r="CC694" i="5"/>
  <c r="BO694" i="5"/>
  <c r="B694" i="5"/>
  <c r="CC693" i="5"/>
  <c r="BO693" i="5"/>
  <c r="B693" i="5"/>
  <c r="CC692" i="5"/>
  <c r="BO692" i="5"/>
  <c r="B692" i="5"/>
  <c r="CC691" i="5"/>
  <c r="B691" i="5"/>
  <c r="CC690" i="5"/>
  <c r="BO690" i="5"/>
  <c r="B690" i="5"/>
  <c r="CC689" i="5"/>
  <c r="B689" i="5"/>
  <c r="CC688" i="5"/>
  <c r="BO688" i="5"/>
  <c r="B688" i="5"/>
  <c r="CC687" i="5"/>
  <c r="BO687" i="5"/>
  <c r="B687" i="5"/>
  <c r="CC686" i="5"/>
  <c r="BO686" i="5"/>
  <c r="B686" i="5"/>
  <c r="CC685" i="5"/>
  <c r="BO685" i="5"/>
  <c r="B685" i="5"/>
  <c r="CC684" i="5"/>
  <c r="BO684" i="5"/>
  <c r="B684" i="5"/>
  <c r="CC683" i="5"/>
  <c r="BO683" i="5"/>
  <c r="B683" i="5"/>
  <c r="CC682" i="5"/>
  <c r="BO682" i="5"/>
  <c r="B682" i="5"/>
  <c r="CC681" i="5"/>
  <c r="BO681" i="5"/>
  <c r="B681" i="5"/>
  <c r="CC680" i="5"/>
  <c r="B680" i="5"/>
  <c r="CC679" i="5"/>
  <c r="BO679" i="5"/>
  <c r="B679" i="5"/>
  <c r="CC678" i="5"/>
  <c r="BO678" i="5"/>
  <c r="B678" i="5"/>
  <c r="CC677" i="5"/>
  <c r="BO677" i="5"/>
  <c r="B677" i="5"/>
  <c r="CC676" i="5"/>
  <c r="BO676" i="5"/>
  <c r="B676" i="5"/>
  <c r="CC675" i="5"/>
  <c r="BO675" i="5"/>
  <c r="B675" i="5"/>
  <c r="CC674" i="5"/>
  <c r="BO674" i="5"/>
  <c r="B674" i="5"/>
  <c r="CC673" i="5"/>
  <c r="B673" i="5"/>
  <c r="CC672" i="5"/>
  <c r="BO672" i="5"/>
  <c r="B672" i="5"/>
  <c r="CC671" i="5"/>
  <c r="BO671" i="5"/>
  <c r="B671" i="5"/>
  <c r="CC670" i="5"/>
  <c r="BO670" i="5"/>
  <c r="B670" i="5"/>
  <c r="CC669" i="5"/>
  <c r="BO669" i="5"/>
  <c r="B669" i="5"/>
  <c r="CC668" i="5"/>
  <c r="BO668" i="5"/>
  <c r="B668" i="5"/>
  <c r="CC667" i="5"/>
  <c r="B667" i="5"/>
  <c r="CC666" i="5"/>
  <c r="BO666" i="5"/>
  <c r="B666" i="5"/>
  <c r="CC665" i="5"/>
  <c r="BO665" i="5"/>
  <c r="B665" i="5"/>
  <c r="CC664" i="5"/>
  <c r="B664" i="5"/>
  <c r="CC663" i="5"/>
  <c r="BO663" i="5"/>
  <c r="B663" i="5"/>
  <c r="CC662" i="5"/>
  <c r="BO662" i="5"/>
  <c r="B662" i="5"/>
  <c r="CC661" i="5"/>
  <c r="BO661" i="5"/>
  <c r="B661" i="5"/>
  <c r="CC660" i="5"/>
  <c r="BO660" i="5"/>
  <c r="B660" i="5"/>
  <c r="CC659" i="5"/>
  <c r="BO659" i="5"/>
  <c r="B659" i="5"/>
  <c r="CC658" i="5"/>
  <c r="BO658" i="5"/>
  <c r="B658" i="5"/>
  <c r="CC657" i="5"/>
  <c r="BO657" i="5"/>
  <c r="B657" i="5"/>
  <c r="CC656" i="5"/>
  <c r="B656" i="5"/>
  <c r="CC655" i="5"/>
  <c r="BO655" i="5"/>
  <c r="B655" i="5"/>
  <c r="CC654" i="5"/>
  <c r="B654" i="5"/>
  <c r="CC653" i="5"/>
  <c r="B653" i="5"/>
  <c r="CC652" i="5"/>
  <c r="BO652" i="5"/>
  <c r="B652" i="5"/>
  <c r="CC651" i="5"/>
  <c r="BO651" i="5"/>
  <c r="B651" i="5"/>
  <c r="CC650" i="5"/>
  <c r="BO650" i="5"/>
  <c r="B650" i="5"/>
  <c r="CC649" i="5"/>
  <c r="BO649" i="5"/>
  <c r="B649" i="5"/>
  <c r="CC648" i="5"/>
  <c r="BO648" i="5"/>
  <c r="B648" i="5"/>
  <c r="CC647" i="5"/>
  <c r="BO647" i="5"/>
  <c r="B647" i="5"/>
  <c r="CC646" i="5"/>
  <c r="BO646" i="5"/>
  <c r="B646" i="5"/>
  <c r="CC645" i="5"/>
  <c r="BO645" i="5"/>
  <c r="B645" i="5"/>
  <c r="CC644" i="5"/>
  <c r="BO644" i="5"/>
  <c r="B644" i="5"/>
  <c r="CC643" i="5"/>
  <c r="BO643" i="5"/>
  <c r="B643" i="5"/>
  <c r="CC642" i="5"/>
  <c r="BO642" i="5"/>
  <c r="B642" i="5"/>
  <c r="CC641" i="5"/>
  <c r="BO641" i="5"/>
  <c r="B641" i="5"/>
  <c r="CC640" i="5"/>
  <c r="BO640" i="5"/>
  <c r="B640" i="5"/>
  <c r="CC639" i="5"/>
  <c r="BO639" i="5"/>
  <c r="B639" i="5"/>
  <c r="CC638" i="5"/>
  <c r="BO638" i="5"/>
  <c r="B638" i="5"/>
  <c r="CC637" i="5"/>
  <c r="BO637" i="5"/>
  <c r="B637" i="5"/>
  <c r="CC636" i="5"/>
  <c r="BO636" i="5"/>
  <c r="B636" i="5"/>
  <c r="CC635" i="5"/>
  <c r="BO635" i="5"/>
  <c r="B635" i="5"/>
  <c r="CC634" i="5"/>
  <c r="BO634" i="5"/>
  <c r="B634" i="5"/>
  <c r="CC633" i="5"/>
  <c r="BO633" i="5"/>
  <c r="B633" i="5"/>
  <c r="CC632" i="5"/>
  <c r="BO632" i="5"/>
  <c r="B632" i="5"/>
  <c r="CC631" i="5"/>
  <c r="BO631" i="5"/>
  <c r="B631" i="5"/>
  <c r="CC630" i="5"/>
  <c r="B630" i="5"/>
  <c r="CC629" i="5"/>
  <c r="BO629" i="5"/>
  <c r="B629" i="5"/>
  <c r="CC628" i="5"/>
  <c r="B628" i="5"/>
  <c r="CC627" i="5"/>
  <c r="BO627" i="5"/>
  <c r="B627" i="5"/>
  <c r="CC626" i="5"/>
  <c r="B626" i="5"/>
  <c r="CC625" i="5"/>
  <c r="BO625" i="5"/>
  <c r="B625" i="5"/>
  <c r="CC624" i="5"/>
  <c r="BO624" i="5"/>
  <c r="B624" i="5"/>
  <c r="CC623" i="5"/>
  <c r="BO623" i="5"/>
  <c r="B623" i="5"/>
  <c r="CC622" i="5"/>
  <c r="B622" i="5"/>
  <c r="CC621" i="5"/>
  <c r="BO621" i="5"/>
  <c r="B621" i="5"/>
  <c r="CC620" i="5"/>
  <c r="BO620" i="5"/>
  <c r="B620" i="5"/>
  <c r="CC619" i="5"/>
  <c r="BO619" i="5"/>
  <c r="B619" i="5"/>
  <c r="CC618" i="5"/>
  <c r="BO618" i="5"/>
  <c r="B618" i="5"/>
  <c r="CC617" i="5"/>
  <c r="BO617" i="5"/>
  <c r="B617" i="5"/>
  <c r="CC616" i="5"/>
  <c r="BO616" i="5"/>
  <c r="B616" i="5"/>
  <c r="CC615" i="5"/>
  <c r="B615" i="5"/>
  <c r="CC614" i="5"/>
  <c r="BO614" i="5"/>
  <c r="B614" i="5"/>
  <c r="CC613" i="5"/>
  <c r="BO613" i="5"/>
  <c r="B613" i="5"/>
  <c r="CC612" i="5"/>
  <c r="BO612" i="5"/>
  <c r="B612" i="5"/>
  <c r="CC611" i="5"/>
  <c r="B611" i="5"/>
  <c r="CC610" i="5"/>
  <c r="BO610" i="5"/>
  <c r="B610" i="5"/>
  <c r="CC609" i="5"/>
  <c r="BO609" i="5"/>
  <c r="B609" i="5"/>
  <c r="CC608" i="5"/>
  <c r="BO608" i="5"/>
  <c r="B608" i="5"/>
  <c r="CC607" i="5"/>
  <c r="BO607" i="5"/>
  <c r="B607" i="5"/>
  <c r="CC606" i="5"/>
  <c r="BO606" i="5"/>
  <c r="B606" i="5"/>
  <c r="CC605" i="5"/>
  <c r="BO605" i="5"/>
  <c r="B605" i="5"/>
  <c r="CC604" i="5"/>
  <c r="BO604" i="5"/>
  <c r="B604" i="5"/>
  <c r="CC603" i="5"/>
  <c r="BO603" i="5"/>
  <c r="B603" i="5"/>
  <c r="CC602" i="5"/>
  <c r="BO602" i="5"/>
  <c r="B602" i="5"/>
  <c r="CC601" i="5"/>
  <c r="BO601" i="5"/>
  <c r="B601" i="5"/>
  <c r="CC600" i="5"/>
  <c r="BO600" i="5"/>
  <c r="B600" i="5"/>
  <c r="CC599" i="5"/>
  <c r="B599" i="5"/>
  <c r="CC598" i="5"/>
  <c r="BO598" i="5"/>
  <c r="B598" i="5"/>
  <c r="CC597" i="5"/>
  <c r="BO597" i="5"/>
  <c r="B597" i="5"/>
  <c r="CC596" i="5"/>
  <c r="BO596" i="5"/>
  <c r="B596" i="5"/>
  <c r="CC595" i="5"/>
  <c r="BO595" i="5"/>
  <c r="B595" i="5"/>
  <c r="CC594" i="5"/>
  <c r="BO594" i="5"/>
  <c r="B594" i="5"/>
  <c r="CC593" i="5"/>
  <c r="B593" i="5"/>
  <c r="CC592" i="5"/>
  <c r="BO592" i="5"/>
  <c r="B592" i="5"/>
  <c r="CC591" i="5"/>
  <c r="BO591" i="5"/>
  <c r="B591" i="5"/>
  <c r="CC590" i="5"/>
  <c r="B590" i="5"/>
  <c r="CC589" i="5"/>
  <c r="BO589" i="5"/>
  <c r="B589" i="5"/>
  <c r="CC588" i="5"/>
  <c r="BO588" i="5"/>
  <c r="B588" i="5"/>
  <c r="CC587" i="5"/>
  <c r="B587" i="5"/>
  <c r="CC586" i="5"/>
  <c r="B586" i="5"/>
  <c r="CC585" i="5"/>
  <c r="BO585" i="5"/>
  <c r="B585" i="5"/>
  <c r="CC584" i="5"/>
  <c r="B584" i="5"/>
  <c r="CC583" i="5"/>
  <c r="BO583" i="5"/>
  <c r="B583" i="5"/>
  <c r="CC582" i="5"/>
  <c r="BO582" i="5"/>
  <c r="B582" i="5"/>
  <c r="CC581" i="5"/>
  <c r="BO581" i="5"/>
  <c r="B581" i="5"/>
  <c r="CC580" i="5"/>
  <c r="B580" i="5"/>
  <c r="CC579" i="5"/>
  <c r="B579" i="5"/>
  <c r="CC578" i="5"/>
  <c r="BO578" i="5"/>
  <c r="B578" i="5"/>
  <c r="CC577" i="5"/>
  <c r="B577" i="5"/>
  <c r="CC576" i="5"/>
  <c r="BO576" i="5"/>
  <c r="B576" i="5"/>
  <c r="CC575" i="5"/>
  <c r="BO575" i="5"/>
  <c r="B575" i="5"/>
  <c r="CC574" i="5"/>
  <c r="BO574" i="5"/>
  <c r="B574" i="5"/>
  <c r="CC573" i="5"/>
  <c r="BO573" i="5"/>
  <c r="B573" i="5"/>
  <c r="CC572" i="5"/>
  <c r="BO572" i="5"/>
  <c r="B572" i="5"/>
  <c r="CC571" i="5"/>
  <c r="B571" i="5"/>
  <c r="CC570" i="5"/>
  <c r="BO570" i="5"/>
  <c r="B570" i="5"/>
  <c r="CC569" i="5"/>
  <c r="BO569" i="5"/>
  <c r="B569" i="5"/>
  <c r="CC568" i="5"/>
  <c r="B568" i="5"/>
  <c r="CC567" i="5"/>
  <c r="BO567" i="5"/>
  <c r="B567" i="5"/>
  <c r="CC566" i="5"/>
  <c r="BO566" i="5"/>
  <c r="B566" i="5"/>
  <c r="CC565" i="5"/>
  <c r="BO565" i="5"/>
  <c r="B565" i="5"/>
  <c r="CC564" i="5"/>
  <c r="BO564" i="5"/>
  <c r="B564" i="5"/>
  <c r="CC563" i="5"/>
  <c r="BO563" i="5"/>
  <c r="B563" i="5"/>
  <c r="CC562" i="5"/>
  <c r="BO562" i="5"/>
  <c r="B562" i="5"/>
  <c r="CC561" i="5"/>
  <c r="BO561" i="5"/>
  <c r="B561" i="5"/>
  <c r="CC560" i="5"/>
  <c r="BO560" i="5"/>
  <c r="B560" i="5"/>
  <c r="CC559" i="5"/>
  <c r="BO559" i="5"/>
  <c r="B559" i="5"/>
  <c r="CC558" i="5"/>
  <c r="B558" i="5"/>
  <c r="CC557" i="5"/>
  <c r="BO557" i="5"/>
  <c r="B557" i="5"/>
  <c r="CC556" i="5"/>
  <c r="BO556" i="5"/>
  <c r="B556" i="5"/>
  <c r="CC555" i="5"/>
  <c r="BO555" i="5"/>
  <c r="B555" i="5"/>
  <c r="CC554" i="5"/>
  <c r="BO554" i="5"/>
  <c r="B554" i="5"/>
  <c r="CC553" i="5"/>
  <c r="BO553" i="5"/>
  <c r="B553" i="5"/>
  <c r="CC552" i="5"/>
  <c r="BO552" i="5"/>
  <c r="B552" i="5"/>
  <c r="CC551" i="5"/>
  <c r="BO551" i="5"/>
  <c r="B551" i="5"/>
  <c r="CC550" i="5"/>
  <c r="BO550" i="5"/>
  <c r="B550" i="5"/>
  <c r="CC549" i="5"/>
  <c r="BO549" i="5"/>
  <c r="B549" i="5"/>
  <c r="CC548" i="5"/>
  <c r="BO548" i="5"/>
  <c r="B548" i="5"/>
  <c r="CC547" i="5"/>
  <c r="BO547" i="5"/>
  <c r="B547" i="5"/>
  <c r="CC546" i="5"/>
  <c r="BO546" i="5"/>
  <c r="B546" i="5"/>
  <c r="CC545" i="5"/>
  <c r="B545" i="5"/>
  <c r="CC544" i="5"/>
  <c r="B544" i="5"/>
  <c r="CC543" i="5"/>
  <c r="BO543" i="5"/>
  <c r="B543" i="5"/>
  <c r="CC542" i="5"/>
  <c r="BO542" i="5"/>
  <c r="B542" i="5"/>
  <c r="CC541" i="5"/>
  <c r="BO541" i="5"/>
  <c r="B541" i="5"/>
  <c r="CC540" i="5"/>
  <c r="BO540" i="5"/>
  <c r="B540" i="5"/>
  <c r="CC539" i="5"/>
  <c r="BO539" i="5"/>
  <c r="B539" i="5"/>
  <c r="CC538" i="5"/>
  <c r="BO538" i="5"/>
  <c r="B538" i="5"/>
  <c r="CC537" i="5"/>
  <c r="BO537" i="5"/>
  <c r="B537" i="5"/>
  <c r="CC536" i="5"/>
  <c r="BO536" i="5"/>
  <c r="B536" i="5"/>
  <c r="CC535" i="5"/>
  <c r="BO535" i="5"/>
  <c r="B535" i="5"/>
  <c r="CC534" i="5"/>
  <c r="BO534" i="5"/>
  <c r="B534" i="5"/>
  <c r="CC533" i="5"/>
  <c r="BO533" i="5"/>
  <c r="B533" i="5"/>
  <c r="CC532" i="5"/>
  <c r="BO532" i="5"/>
  <c r="B532" i="5"/>
  <c r="CC531" i="5"/>
  <c r="BO531" i="5"/>
  <c r="B531" i="5"/>
  <c r="CC530" i="5"/>
  <c r="B530" i="5"/>
  <c r="CC529" i="5"/>
  <c r="BO529" i="5"/>
  <c r="B529" i="5"/>
  <c r="CC528" i="5"/>
  <c r="BO528" i="5"/>
  <c r="B528" i="5"/>
  <c r="CC527" i="5"/>
  <c r="BO527" i="5"/>
  <c r="B527" i="5"/>
  <c r="CC526" i="5"/>
  <c r="BO526" i="5"/>
  <c r="B526" i="5"/>
  <c r="CC525" i="5"/>
  <c r="BO525" i="5"/>
  <c r="B525" i="5"/>
  <c r="CC524" i="5"/>
  <c r="BO524" i="5"/>
  <c r="B524" i="5"/>
  <c r="CC523" i="5"/>
  <c r="BO523" i="5"/>
  <c r="B523" i="5"/>
  <c r="CC522" i="5"/>
  <c r="BO522" i="5"/>
  <c r="B522" i="5"/>
  <c r="CC521" i="5"/>
  <c r="BO521" i="5"/>
  <c r="B521" i="5"/>
  <c r="CC520" i="5"/>
  <c r="BO520" i="5"/>
  <c r="B520" i="5"/>
  <c r="CC519" i="5"/>
  <c r="BO519" i="5"/>
  <c r="B519" i="5"/>
  <c r="CC518" i="5"/>
  <c r="B518" i="5"/>
  <c r="CC517" i="5"/>
  <c r="B517" i="5"/>
  <c r="CC516" i="5"/>
  <c r="BO516" i="5"/>
  <c r="B516" i="5"/>
  <c r="CC515" i="5"/>
  <c r="BO515" i="5"/>
  <c r="B515" i="5"/>
  <c r="CC514" i="5"/>
  <c r="BO514" i="5"/>
  <c r="B514" i="5"/>
  <c r="CC513" i="5"/>
  <c r="BO513" i="5"/>
  <c r="B513" i="5"/>
  <c r="CC512" i="5"/>
  <c r="BO512" i="5"/>
  <c r="B512" i="5"/>
  <c r="CC511" i="5"/>
  <c r="B511" i="5"/>
  <c r="CC510" i="5"/>
  <c r="BO510" i="5"/>
  <c r="B510" i="5"/>
  <c r="CC509" i="5"/>
  <c r="BO509" i="5"/>
  <c r="B509" i="5"/>
  <c r="CC508" i="5"/>
  <c r="BO508" i="5"/>
  <c r="B508" i="5"/>
  <c r="CC507" i="5"/>
  <c r="B507" i="5"/>
  <c r="CC506" i="5"/>
  <c r="BO506" i="5"/>
  <c r="B506" i="5"/>
  <c r="CC505" i="5"/>
  <c r="BO505" i="5"/>
  <c r="B505" i="5"/>
  <c r="CC504" i="5"/>
  <c r="BO504" i="5"/>
  <c r="B504" i="5"/>
  <c r="CC503" i="5"/>
  <c r="B503" i="5"/>
  <c r="CC502" i="5"/>
  <c r="BO502" i="5"/>
  <c r="B502" i="5"/>
  <c r="CC501" i="5"/>
  <c r="BO501" i="5"/>
  <c r="B501" i="5"/>
  <c r="CC500" i="5"/>
  <c r="BO500" i="5"/>
  <c r="B500" i="5"/>
  <c r="CC499" i="5"/>
  <c r="BO499" i="5"/>
  <c r="B499" i="5"/>
  <c r="CC498" i="5"/>
  <c r="B498" i="5"/>
  <c r="CC497" i="5"/>
  <c r="BO497" i="5"/>
  <c r="B497" i="5"/>
  <c r="CC496" i="5"/>
  <c r="BO496" i="5"/>
  <c r="B496" i="5"/>
  <c r="CC495" i="5"/>
  <c r="BO495" i="5"/>
  <c r="B495" i="5"/>
  <c r="CC494" i="5"/>
  <c r="BO494" i="5"/>
  <c r="B494" i="5"/>
  <c r="CC493" i="5"/>
  <c r="BO493" i="5"/>
  <c r="B493" i="5"/>
  <c r="CC492" i="5"/>
  <c r="BO492" i="5"/>
  <c r="B492" i="5"/>
  <c r="CC491" i="5"/>
  <c r="BO491" i="5"/>
  <c r="B491" i="5"/>
  <c r="CC490" i="5"/>
  <c r="BO490" i="5"/>
  <c r="B490" i="5"/>
  <c r="CC489" i="5"/>
  <c r="BO489" i="5"/>
  <c r="B489" i="5"/>
  <c r="CC488" i="5"/>
  <c r="BO488" i="5"/>
  <c r="B488" i="5"/>
  <c r="CC487" i="5"/>
  <c r="BO487" i="5"/>
  <c r="B487" i="5"/>
  <c r="CC486" i="5"/>
  <c r="BO486" i="5"/>
  <c r="B486" i="5"/>
  <c r="CC485" i="5"/>
  <c r="BO485" i="5"/>
  <c r="B485" i="5"/>
  <c r="CC484" i="5"/>
  <c r="B484" i="5"/>
  <c r="CC483" i="5"/>
  <c r="BO483" i="5"/>
  <c r="B483" i="5"/>
  <c r="CC482" i="5"/>
  <c r="BO482" i="5"/>
  <c r="B482" i="5"/>
  <c r="CC481" i="5"/>
  <c r="BO481" i="5"/>
  <c r="B481" i="5"/>
  <c r="CC480" i="5"/>
  <c r="BO480" i="5"/>
  <c r="B480" i="5"/>
  <c r="CC479" i="5"/>
  <c r="B479" i="5"/>
  <c r="CC478" i="5"/>
  <c r="BO478" i="5"/>
  <c r="B478" i="5"/>
  <c r="CC477" i="5"/>
  <c r="BO477" i="5"/>
  <c r="B477" i="5"/>
  <c r="CC476" i="5"/>
  <c r="BO476" i="5"/>
  <c r="B476" i="5"/>
  <c r="CC475" i="5"/>
  <c r="BO475" i="5"/>
  <c r="B475" i="5"/>
  <c r="CC474" i="5"/>
  <c r="BO474" i="5"/>
  <c r="B474" i="5"/>
  <c r="CC473" i="5"/>
  <c r="B473" i="5"/>
  <c r="CC472" i="5"/>
  <c r="BO472" i="5"/>
  <c r="B472" i="5"/>
  <c r="CC471" i="5"/>
  <c r="B471" i="5"/>
  <c r="CC470" i="5"/>
  <c r="BO470" i="5"/>
  <c r="B470" i="5"/>
  <c r="CC469" i="5"/>
  <c r="BO469" i="5"/>
  <c r="B469" i="5"/>
  <c r="CC468" i="5"/>
  <c r="BO468" i="5"/>
  <c r="B468" i="5"/>
  <c r="CC467" i="5"/>
  <c r="B467" i="5"/>
  <c r="CC466" i="5"/>
  <c r="BO466" i="5"/>
  <c r="B466" i="5"/>
  <c r="CC465" i="5"/>
  <c r="B465" i="5"/>
  <c r="CC464" i="5"/>
  <c r="B464" i="5"/>
  <c r="CC463" i="5"/>
  <c r="B463" i="5"/>
  <c r="CC462" i="5"/>
  <c r="B462" i="5"/>
  <c r="CC461" i="5"/>
  <c r="B461" i="5"/>
  <c r="CC460" i="5"/>
  <c r="BO460" i="5"/>
  <c r="B460" i="5"/>
  <c r="CC459" i="5"/>
  <c r="BO459" i="5"/>
  <c r="B459" i="5"/>
  <c r="CC458" i="5"/>
  <c r="BO458" i="5"/>
  <c r="B458" i="5"/>
  <c r="CC457" i="5"/>
  <c r="BO457" i="5"/>
  <c r="B457" i="5"/>
  <c r="CC456" i="5"/>
  <c r="BO456" i="5"/>
  <c r="B456" i="5"/>
  <c r="CC455" i="5"/>
  <c r="BO455" i="5"/>
  <c r="B455" i="5"/>
  <c r="CC454" i="5"/>
  <c r="BO454" i="5"/>
  <c r="B454" i="5"/>
  <c r="CC453" i="5"/>
  <c r="BO453" i="5"/>
  <c r="B453" i="5"/>
  <c r="CC452" i="5"/>
  <c r="BO452" i="5"/>
  <c r="B452" i="5"/>
  <c r="CC451" i="5"/>
  <c r="BO451" i="5"/>
  <c r="B451" i="5"/>
  <c r="CC450" i="5"/>
  <c r="BO450" i="5"/>
  <c r="B450" i="5"/>
  <c r="CC449" i="5"/>
  <c r="BO449" i="5"/>
  <c r="B449" i="5"/>
  <c r="CC448" i="5"/>
  <c r="B448" i="5"/>
  <c r="CC447" i="5"/>
  <c r="BO447" i="5"/>
  <c r="B447" i="5"/>
  <c r="CC446" i="5"/>
  <c r="BO446" i="5"/>
  <c r="B446" i="5"/>
  <c r="CC445" i="5"/>
  <c r="BO445" i="5"/>
  <c r="B445" i="5"/>
  <c r="CC444" i="5"/>
  <c r="BO444" i="5"/>
  <c r="B444" i="5"/>
  <c r="CC443" i="5"/>
  <c r="BO443" i="5"/>
  <c r="B443" i="5"/>
  <c r="CC442" i="5"/>
  <c r="BO442" i="5"/>
  <c r="B442" i="5"/>
  <c r="CC441" i="5"/>
  <c r="BO441" i="5"/>
  <c r="B441" i="5"/>
  <c r="CC440" i="5"/>
  <c r="BO440" i="5"/>
  <c r="B440" i="5"/>
  <c r="CC439" i="5"/>
  <c r="BO439" i="5"/>
  <c r="B439" i="5"/>
  <c r="CC438" i="5"/>
  <c r="BO438" i="5"/>
  <c r="B438" i="5"/>
  <c r="CC437" i="5"/>
  <c r="BO437" i="5"/>
  <c r="B437" i="5"/>
  <c r="CC436" i="5"/>
  <c r="BO436" i="5"/>
  <c r="B436" i="5"/>
  <c r="CC435" i="5"/>
  <c r="BO435" i="5"/>
  <c r="B435" i="5"/>
  <c r="CC434" i="5"/>
  <c r="BO434" i="5"/>
  <c r="B434" i="5"/>
  <c r="CC433" i="5"/>
  <c r="BO433" i="5"/>
  <c r="B433" i="5"/>
  <c r="CC432" i="5"/>
  <c r="BO432" i="5"/>
  <c r="B432" i="5"/>
  <c r="CC431" i="5"/>
  <c r="BO431" i="5"/>
  <c r="B431" i="5"/>
  <c r="CC430" i="5"/>
  <c r="BO430" i="5"/>
  <c r="B430" i="5"/>
  <c r="CC429" i="5"/>
  <c r="BO429" i="5"/>
  <c r="B429" i="5"/>
  <c r="CC428" i="5"/>
  <c r="BO428" i="5"/>
  <c r="B428" i="5"/>
  <c r="CC427" i="5"/>
  <c r="BO427" i="5"/>
  <c r="B427" i="5"/>
  <c r="CC426" i="5"/>
  <c r="BO426" i="5"/>
  <c r="B426" i="5"/>
  <c r="CC425" i="5"/>
  <c r="BO425" i="5"/>
  <c r="B425" i="5"/>
  <c r="CC424" i="5"/>
  <c r="BO424" i="5"/>
  <c r="B424" i="5"/>
  <c r="CC423" i="5"/>
  <c r="BO423" i="5"/>
  <c r="B423" i="5"/>
  <c r="CC422" i="5"/>
  <c r="B422" i="5"/>
  <c r="CC421" i="5"/>
  <c r="BO421" i="5"/>
  <c r="B421" i="5"/>
  <c r="CC420" i="5"/>
  <c r="B420" i="5"/>
  <c r="CC419" i="5"/>
  <c r="BO419" i="5"/>
  <c r="B419" i="5"/>
  <c r="CC418" i="5"/>
  <c r="BO418" i="5"/>
  <c r="B418" i="5"/>
  <c r="CC417" i="5"/>
  <c r="BO417" i="5"/>
  <c r="B417" i="5"/>
  <c r="CC416" i="5"/>
  <c r="BO416" i="5"/>
  <c r="B416" i="5"/>
  <c r="CC415" i="5"/>
  <c r="BO415" i="5"/>
  <c r="B415" i="5"/>
  <c r="CC414" i="5"/>
  <c r="BO414" i="5"/>
  <c r="B414" i="5"/>
  <c r="CC413" i="5"/>
  <c r="BO413" i="5"/>
  <c r="B413" i="5"/>
  <c r="CC412" i="5"/>
  <c r="BO412" i="5"/>
  <c r="B412" i="5"/>
  <c r="CC411" i="5"/>
  <c r="BO411" i="5"/>
  <c r="B411" i="5"/>
  <c r="CC410" i="5"/>
  <c r="BO410" i="5"/>
  <c r="B410" i="5"/>
  <c r="CC409" i="5"/>
  <c r="BO409" i="5"/>
  <c r="B409" i="5"/>
  <c r="CC408" i="5"/>
  <c r="BO408" i="5"/>
  <c r="B408" i="5"/>
  <c r="CC407" i="5"/>
  <c r="BO407" i="5"/>
  <c r="B407" i="5"/>
  <c r="CC406" i="5"/>
  <c r="BO406" i="5"/>
  <c r="B406" i="5"/>
  <c r="CC405" i="5"/>
  <c r="BO405" i="5"/>
  <c r="B405" i="5"/>
  <c r="CC404" i="5"/>
  <c r="BO404" i="5"/>
  <c r="B404" i="5"/>
  <c r="CC403" i="5"/>
  <c r="BO403" i="5"/>
  <c r="B403" i="5"/>
  <c r="CC402" i="5"/>
  <c r="BO402" i="5"/>
  <c r="B402" i="5"/>
  <c r="CC401" i="5"/>
  <c r="BO401" i="5"/>
  <c r="B401" i="5"/>
  <c r="CC400" i="5"/>
  <c r="BO400" i="5"/>
  <c r="B400" i="5"/>
  <c r="CC399" i="5"/>
  <c r="BO399" i="5"/>
  <c r="B399" i="5"/>
  <c r="CC398" i="5"/>
  <c r="BO398" i="5"/>
  <c r="B398" i="5"/>
  <c r="CC397" i="5"/>
  <c r="BO397" i="5"/>
  <c r="B397" i="5"/>
  <c r="CC396" i="5"/>
  <c r="BO396" i="5"/>
  <c r="B396" i="5"/>
  <c r="CC395" i="5"/>
  <c r="BO395" i="5"/>
  <c r="B395" i="5"/>
  <c r="CC394" i="5"/>
  <c r="BO394" i="5"/>
  <c r="B394" i="5"/>
  <c r="CC393" i="5"/>
  <c r="BO393" i="5"/>
  <c r="B393" i="5"/>
  <c r="CC392" i="5"/>
  <c r="BO392" i="5"/>
  <c r="B392" i="5"/>
  <c r="CC391" i="5"/>
  <c r="BO391" i="5"/>
  <c r="B391" i="5"/>
  <c r="CC390" i="5"/>
  <c r="BO390" i="5"/>
  <c r="B390" i="5"/>
  <c r="CC389" i="5"/>
  <c r="BO389" i="5"/>
  <c r="B389" i="5"/>
  <c r="CC388" i="5"/>
  <c r="BO388" i="5"/>
  <c r="B388" i="5"/>
  <c r="CC387" i="5"/>
  <c r="BO387" i="5"/>
  <c r="B387" i="5"/>
  <c r="CC386" i="5"/>
  <c r="BO386" i="5"/>
  <c r="B386" i="5"/>
  <c r="CC385" i="5"/>
  <c r="BO385" i="5"/>
  <c r="B385" i="5"/>
  <c r="CC384" i="5"/>
  <c r="BO384" i="5"/>
  <c r="B384" i="5"/>
  <c r="CC383" i="5"/>
  <c r="BO383" i="5"/>
  <c r="B383" i="5"/>
  <c r="CC382" i="5"/>
  <c r="BO382" i="5"/>
  <c r="B382" i="5"/>
  <c r="CC381" i="5"/>
  <c r="BO381" i="5"/>
  <c r="B381" i="5"/>
  <c r="CC380" i="5"/>
  <c r="BO380" i="5"/>
  <c r="B380" i="5"/>
  <c r="CC379" i="5"/>
  <c r="BO379" i="5"/>
  <c r="B379" i="5"/>
  <c r="CC378" i="5"/>
  <c r="BO378" i="5"/>
  <c r="B378" i="5"/>
  <c r="CC377" i="5"/>
  <c r="BO377" i="5"/>
  <c r="B377" i="5"/>
  <c r="CC376" i="5"/>
  <c r="BO376" i="5"/>
  <c r="B376" i="5"/>
  <c r="CC375" i="5"/>
  <c r="BO375" i="5"/>
  <c r="B375" i="5"/>
  <c r="CC374" i="5"/>
  <c r="BO374" i="5"/>
  <c r="B374" i="5"/>
  <c r="CC373" i="5"/>
  <c r="B373" i="5"/>
  <c r="CC372" i="5"/>
  <c r="BO372" i="5"/>
  <c r="B372" i="5"/>
  <c r="CC371" i="5"/>
  <c r="BO371" i="5"/>
  <c r="B371" i="5"/>
  <c r="CC370" i="5"/>
  <c r="BO370" i="5"/>
  <c r="B370" i="5"/>
  <c r="CC369" i="5"/>
  <c r="BO369" i="5"/>
  <c r="B369" i="5"/>
  <c r="CC368" i="5"/>
  <c r="BO368" i="5"/>
  <c r="B368" i="5"/>
  <c r="CC367" i="5"/>
  <c r="BO367" i="5"/>
  <c r="B367" i="5"/>
  <c r="CC366" i="5"/>
  <c r="BO366" i="5"/>
  <c r="B366" i="5"/>
  <c r="CC365" i="5"/>
  <c r="BO365" i="5"/>
  <c r="B365" i="5"/>
  <c r="CC364" i="5"/>
  <c r="BO364" i="5"/>
  <c r="B364" i="5"/>
  <c r="CC363" i="5"/>
  <c r="BO363" i="5"/>
  <c r="B363" i="5"/>
  <c r="CC362" i="5"/>
  <c r="BO362" i="5"/>
  <c r="B362" i="5"/>
  <c r="CC361" i="5"/>
  <c r="BO361" i="5"/>
  <c r="B361" i="5"/>
  <c r="CC360" i="5"/>
  <c r="B360" i="5"/>
  <c r="CC359" i="5"/>
  <c r="B359" i="5"/>
  <c r="CC358" i="5"/>
  <c r="B358" i="5"/>
  <c r="CC357" i="5"/>
  <c r="BO357" i="5"/>
  <c r="B357" i="5"/>
  <c r="CC356" i="5"/>
  <c r="B356" i="5"/>
  <c r="CC355" i="5"/>
  <c r="BO355" i="5"/>
  <c r="B355" i="5"/>
  <c r="CC354" i="5"/>
  <c r="B354" i="5"/>
  <c r="CC353" i="5"/>
  <c r="BO353" i="5"/>
  <c r="B353" i="5"/>
  <c r="CC352" i="5"/>
  <c r="BO352" i="5"/>
  <c r="B352" i="5"/>
  <c r="CC351" i="5"/>
  <c r="BO351" i="5"/>
  <c r="B351" i="5"/>
  <c r="CC350" i="5"/>
  <c r="BO350" i="5"/>
  <c r="B350" i="5"/>
  <c r="CC349" i="5"/>
  <c r="B349" i="5"/>
  <c r="CC348" i="5"/>
  <c r="B348" i="5"/>
  <c r="CC347" i="5"/>
  <c r="BO347" i="5"/>
  <c r="B347" i="5"/>
  <c r="CC346" i="5"/>
  <c r="BO346" i="5"/>
  <c r="B346" i="5"/>
  <c r="CC345" i="5"/>
  <c r="BO345" i="5"/>
  <c r="B345" i="5"/>
  <c r="CC344" i="5"/>
  <c r="B344" i="5"/>
  <c r="CC343" i="5"/>
  <c r="BO343" i="5"/>
  <c r="B343" i="5"/>
  <c r="CC342" i="5"/>
  <c r="B342" i="5"/>
  <c r="CC341" i="5"/>
  <c r="BO341" i="5"/>
  <c r="B341" i="5"/>
  <c r="CC340" i="5"/>
  <c r="BO340" i="5"/>
  <c r="B340" i="5"/>
  <c r="CC339" i="5"/>
  <c r="BO339" i="5"/>
  <c r="B339" i="5"/>
  <c r="CC338" i="5"/>
  <c r="B338" i="5"/>
  <c r="CC337" i="5"/>
  <c r="B337" i="5"/>
  <c r="CC336" i="5"/>
  <c r="BO336" i="5"/>
  <c r="B336" i="5"/>
  <c r="CC335" i="5"/>
  <c r="B335" i="5"/>
  <c r="CC334" i="5"/>
  <c r="BO334" i="5"/>
  <c r="B334" i="5"/>
  <c r="CC333" i="5"/>
  <c r="BO333" i="5"/>
  <c r="B333" i="5"/>
  <c r="CC332" i="5"/>
  <c r="BO332" i="5"/>
  <c r="B332" i="5"/>
  <c r="CC331" i="5"/>
  <c r="BO331" i="5"/>
  <c r="B331" i="5"/>
  <c r="CC330" i="5"/>
  <c r="BO330" i="5"/>
  <c r="B330" i="5"/>
  <c r="CC329" i="5"/>
  <c r="B329" i="5"/>
  <c r="CC328" i="5"/>
  <c r="BO328" i="5"/>
  <c r="B328" i="5"/>
  <c r="CC327" i="5"/>
  <c r="BO327" i="5"/>
  <c r="B327" i="5"/>
  <c r="CC326" i="5"/>
  <c r="BO326" i="5"/>
  <c r="B326" i="5"/>
  <c r="CC325" i="5"/>
  <c r="BO325" i="5"/>
  <c r="B325" i="5"/>
  <c r="CC324" i="5"/>
  <c r="BO324" i="5"/>
  <c r="B324" i="5"/>
  <c r="CC323" i="5"/>
  <c r="BO323" i="5"/>
  <c r="B323" i="5"/>
  <c r="CC322" i="5"/>
  <c r="BO322" i="5"/>
  <c r="B322" i="5"/>
  <c r="CC321" i="5"/>
  <c r="BO321" i="5"/>
  <c r="B321" i="5"/>
  <c r="CC320" i="5"/>
  <c r="BO320" i="5"/>
  <c r="B320" i="5"/>
  <c r="CC319" i="5"/>
  <c r="BO319" i="5"/>
  <c r="B319" i="5"/>
  <c r="CC318" i="5"/>
  <c r="BO318" i="5"/>
  <c r="B318" i="5"/>
  <c r="CC317" i="5"/>
  <c r="BO317" i="5"/>
  <c r="B317" i="5"/>
  <c r="CC316" i="5"/>
  <c r="BO316" i="5"/>
  <c r="B316" i="5"/>
  <c r="CC315" i="5"/>
  <c r="BO315" i="5"/>
  <c r="B315" i="5"/>
  <c r="CC314" i="5"/>
  <c r="B314" i="5"/>
  <c r="CC313" i="5"/>
  <c r="BO313" i="5"/>
  <c r="B313" i="5"/>
  <c r="CC312" i="5"/>
  <c r="BO312" i="5"/>
  <c r="B312" i="5"/>
  <c r="CC311" i="5"/>
  <c r="B311" i="5"/>
  <c r="CC310" i="5"/>
  <c r="BO310" i="5"/>
  <c r="B310" i="5"/>
  <c r="CC309" i="5"/>
  <c r="BO309" i="5"/>
  <c r="B309" i="5"/>
  <c r="CC308" i="5"/>
  <c r="BO308" i="5"/>
  <c r="B308" i="5"/>
  <c r="CC307" i="5"/>
  <c r="B307" i="5"/>
  <c r="CC306" i="5"/>
  <c r="BO306" i="5"/>
  <c r="B306" i="5"/>
  <c r="CC305" i="5"/>
  <c r="BO305" i="5"/>
  <c r="B305" i="5"/>
  <c r="CC304" i="5"/>
  <c r="B304" i="5"/>
  <c r="CC303" i="5"/>
  <c r="BO303" i="5"/>
  <c r="B303" i="5"/>
  <c r="CC302" i="5"/>
  <c r="B302" i="5"/>
  <c r="CC301" i="5"/>
  <c r="BO301" i="5"/>
  <c r="B301" i="5"/>
  <c r="CC300" i="5"/>
  <c r="BO300" i="5"/>
  <c r="B300" i="5"/>
  <c r="CC299" i="5"/>
  <c r="BO299" i="5"/>
  <c r="B299" i="5"/>
  <c r="CC298" i="5"/>
  <c r="B298" i="5"/>
  <c r="CC297" i="5"/>
  <c r="BO297" i="5"/>
  <c r="B297" i="5"/>
  <c r="CC296" i="5"/>
  <c r="BO296" i="5"/>
  <c r="B296" i="5"/>
  <c r="CC295" i="5"/>
  <c r="BO295" i="5"/>
  <c r="B295" i="5"/>
  <c r="CC294" i="5"/>
  <c r="BO294" i="5"/>
  <c r="B294" i="5"/>
  <c r="CC293" i="5"/>
  <c r="BO293" i="5"/>
  <c r="B293" i="5"/>
  <c r="CC292" i="5"/>
  <c r="BO292" i="5"/>
  <c r="B292" i="5"/>
  <c r="CC291" i="5"/>
  <c r="BO291" i="5"/>
  <c r="B291" i="5"/>
  <c r="CC290" i="5"/>
  <c r="BO290" i="5"/>
  <c r="B290" i="5"/>
  <c r="CC289" i="5"/>
  <c r="BO289" i="5"/>
  <c r="B289" i="5"/>
  <c r="CC288" i="5"/>
  <c r="B288" i="5"/>
  <c r="CC287" i="5"/>
  <c r="BO287" i="5"/>
  <c r="B287" i="5"/>
  <c r="CC286" i="5"/>
  <c r="BO286" i="5"/>
  <c r="B286" i="5"/>
  <c r="CC285" i="5"/>
  <c r="BO285" i="5"/>
  <c r="B285" i="5"/>
  <c r="CC284" i="5"/>
  <c r="BO284" i="5"/>
  <c r="B284" i="5"/>
  <c r="CC283" i="5"/>
  <c r="BO283" i="5"/>
  <c r="B283" i="5"/>
  <c r="CC282" i="5"/>
  <c r="BO282" i="5"/>
  <c r="B282" i="5"/>
  <c r="CC281" i="5"/>
  <c r="BO281" i="5"/>
  <c r="B281" i="5"/>
  <c r="CC280" i="5"/>
  <c r="BO280" i="5"/>
  <c r="B280" i="5"/>
  <c r="CC279" i="5"/>
  <c r="BO279" i="5"/>
  <c r="B279" i="5"/>
  <c r="CC278" i="5"/>
  <c r="BO278" i="5"/>
  <c r="B278" i="5"/>
  <c r="CC277" i="5"/>
  <c r="BO277" i="5"/>
  <c r="B277" i="5"/>
  <c r="CC276" i="5"/>
  <c r="BO276" i="5"/>
  <c r="B276" i="5"/>
  <c r="CC275" i="5"/>
  <c r="B275" i="5"/>
  <c r="CC274" i="5"/>
  <c r="BO274" i="5"/>
  <c r="B274" i="5"/>
  <c r="CC273" i="5"/>
  <c r="BO273" i="5"/>
  <c r="B273" i="5"/>
  <c r="CC272" i="5"/>
  <c r="BO272" i="5"/>
  <c r="B272" i="5"/>
  <c r="CC271" i="5"/>
  <c r="BO271" i="5"/>
  <c r="B271" i="5"/>
  <c r="CC270" i="5"/>
  <c r="B270" i="5"/>
  <c r="CC269" i="5"/>
  <c r="B269" i="5"/>
  <c r="CC268" i="5"/>
  <c r="BO268" i="5"/>
  <c r="B268" i="5"/>
  <c r="CC267" i="5"/>
  <c r="BO267" i="5"/>
  <c r="B267" i="5"/>
  <c r="CC266" i="5"/>
  <c r="BO266" i="5"/>
  <c r="B266" i="5"/>
  <c r="CC265" i="5"/>
  <c r="BO265" i="5"/>
  <c r="B265" i="5"/>
  <c r="CC264" i="5"/>
  <c r="BO264" i="5"/>
  <c r="B264" i="5"/>
  <c r="CC263" i="5"/>
  <c r="BO263" i="5"/>
  <c r="B263" i="5"/>
  <c r="CC262" i="5"/>
  <c r="BO262" i="5"/>
  <c r="B262" i="5"/>
  <c r="CC261" i="5"/>
  <c r="BO261" i="5"/>
  <c r="B261" i="5"/>
  <c r="CC260" i="5"/>
  <c r="BO260" i="5"/>
  <c r="B260" i="5"/>
  <c r="CC259" i="5"/>
  <c r="BO259" i="5"/>
  <c r="B259" i="5"/>
  <c r="CC258" i="5"/>
  <c r="BO258" i="5"/>
  <c r="B258" i="5"/>
  <c r="CC257" i="5"/>
  <c r="BO257" i="5"/>
  <c r="B257" i="5"/>
  <c r="CC256" i="5"/>
  <c r="BO256" i="5"/>
  <c r="B256" i="5"/>
  <c r="CC255" i="5"/>
  <c r="BO255" i="5"/>
  <c r="B255" i="5"/>
  <c r="CC254" i="5"/>
  <c r="BO254" i="5"/>
  <c r="B254" i="5"/>
  <c r="CC253" i="5"/>
  <c r="BO253" i="5"/>
  <c r="B253" i="5"/>
  <c r="CC252" i="5"/>
  <c r="BO252" i="5"/>
  <c r="B252" i="5"/>
  <c r="CC251" i="5"/>
  <c r="BO251" i="5"/>
  <c r="B251" i="5"/>
  <c r="CC250" i="5"/>
  <c r="BO250" i="5"/>
  <c r="B250" i="5"/>
  <c r="CC249" i="5"/>
  <c r="BO249" i="5"/>
  <c r="B249" i="5"/>
  <c r="CC248" i="5"/>
  <c r="BO248" i="5"/>
  <c r="B248" i="5"/>
  <c r="CC247" i="5"/>
  <c r="BO247" i="5"/>
  <c r="B247" i="5"/>
  <c r="CC246" i="5"/>
  <c r="B246" i="5"/>
  <c r="CC245" i="5"/>
  <c r="B245" i="5"/>
  <c r="CC244" i="5"/>
  <c r="B244" i="5"/>
  <c r="CC243" i="5"/>
  <c r="BO243" i="5"/>
  <c r="B243" i="5"/>
  <c r="CC242" i="5"/>
  <c r="BO242" i="5"/>
  <c r="B242" i="5"/>
  <c r="CC241" i="5"/>
  <c r="BO241" i="5"/>
  <c r="B241" i="5"/>
  <c r="CC240" i="5"/>
  <c r="BO240" i="5"/>
  <c r="B240" i="5"/>
  <c r="CC239" i="5"/>
  <c r="BO239" i="5"/>
  <c r="B239" i="5"/>
  <c r="CC238" i="5"/>
  <c r="BO238" i="5"/>
  <c r="B238" i="5"/>
  <c r="CC237" i="5"/>
  <c r="B237" i="5"/>
  <c r="CC236" i="5"/>
  <c r="B236" i="5"/>
  <c r="CC235" i="5"/>
  <c r="BO235" i="5"/>
  <c r="B235" i="5"/>
  <c r="CC234" i="5"/>
  <c r="BO234" i="5"/>
  <c r="B234" i="5"/>
  <c r="CC233" i="5"/>
  <c r="BO233" i="5"/>
  <c r="B233" i="5"/>
  <c r="CC232" i="5"/>
  <c r="B232" i="5"/>
  <c r="CC231" i="5"/>
  <c r="BO231" i="5"/>
  <c r="B231" i="5"/>
  <c r="CC230" i="5"/>
  <c r="BO230" i="5"/>
  <c r="B230" i="5"/>
  <c r="CC229" i="5"/>
  <c r="BO229" i="5"/>
  <c r="B229" i="5"/>
  <c r="CC228" i="5"/>
  <c r="BO228" i="5"/>
  <c r="B228" i="5"/>
  <c r="CC227" i="5"/>
  <c r="BO227" i="5"/>
  <c r="B227" i="5"/>
  <c r="CC226" i="5"/>
  <c r="B226" i="5"/>
  <c r="CC225" i="5"/>
  <c r="BO225" i="5"/>
  <c r="B225" i="5"/>
  <c r="CC224" i="5"/>
  <c r="BO224" i="5"/>
  <c r="B224" i="5"/>
  <c r="CC223" i="5"/>
  <c r="BO223" i="5"/>
  <c r="B223" i="5"/>
  <c r="CC222" i="5"/>
  <c r="BO222" i="5"/>
  <c r="B222" i="5"/>
  <c r="CC221" i="5"/>
  <c r="BO221" i="5"/>
  <c r="B221" i="5"/>
  <c r="CC220" i="5"/>
  <c r="BO220" i="5"/>
  <c r="B220" i="5"/>
  <c r="CC219" i="5"/>
  <c r="BO219" i="5"/>
  <c r="B219" i="5"/>
  <c r="CC218" i="5"/>
  <c r="BO218" i="5"/>
  <c r="B218" i="5"/>
  <c r="CC217" i="5"/>
  <c r="BO217" i="5"/>
  <c r="B217" i="5"/>
  <c r="CC216" i="5"/>
  <c r="BO216" i="5"/>
  <c r="B216" i="5"/>
  <c r="CC215" i="5"/>
  <c r="BO215" i="5"/>
  <c r="B215" i="5"/>
  <c r="CC214" i="5"/>
  <c r="B214" i="5"/>
  <c r="CC213" i="5"/>
  <c r="BO213" i="5"/>
  <c r="B213" i="5"/>
  <c r="CC212" i="5"/>
  <c r="BO212" i="5"/>
  <c r="B212" i="5"/>
  <c r="CC211" i="5"/>
  <c r="BO211" i="5"/>
  <c r="B211" i="5"/>
  <c r="CC210" i="5"/>
  <c r="BO210" i="5"/>
  <c r="B210" i="5"/>
  <c r="CC209" i="5"/>
  <c r="BO209" i="5"/>
  <c r="B209" i="5"/>
  <c r="CC208" i="5"/>
  <c r="BO208" i="5"/>
  <c r="B208" i="5"/>
  <c r="CC207" i="5"/>
  <c r="BO207" i="5"/>
  <c r="B207" i="5"/>
  <c r="CC206" i="5"/>
  <c r="BO206" i="5"/>
  <c r="B206" i="5"/>
  <c r="CC205" i="5"/>
  <c r="BO205" i="5"/>
  <c r="B205" i="5"/>
  <c r="CC204" i="5"/>
  <c r="BO204" i="5"/>
  <c r="B204" i="5"/>
  <c r="CC203" i="5"/>
  <c r="BO203" i="5"/>
  <c r="B203" i="5"/>
  <c r="CC202" i="5"/>
  <c r="BO202" i="5"/>
  <c r="B202" i="5"/>
  <c r="CC201" i="5"/>
  <c r="BO201" i="5"/>
  <c r="B201" i="5"/>
  <c r="CC200" i="5"/>
  <c r="BO200" i="5"/>
  <c r="B200" i="5"/>
  <c r="CC199" i="5"/>
  <c r="BO199" i="5"/>
  <c r="B199" i="5"/>
  <c r="CC198" i="5"/>
  <c r="BO198" i="5"/>
  <c r="B198" i="5"/>
  <c r="CC197" i="5"/>
  <c r="BO197" i="5"/>
  <c r="B197" i="5"/>
  <c r="CC196" i="5"/>
  <c r="BO196" i="5"/>
  <c r="B196" i="5"/>
  <c r="CC195" i="5"/>
  <c r="BO195" i="5"/>
  <c r="B195" i="5"/>
  <c r="CC194" i="5"/>
  <c r="BO194" i="5"/>
  <c r="B194" i="5"/>
  <c r="CC193" i="5"/>
  <c r="BO193" i="5"/>
  <c r="B193" i="5"/>
  <c r="CC192" i="5"/>
  <c r="BO192" i="5"/>
  <c r="B192" i="5"/>
  <c r="CC191" i="5"/>
  <c r="B191" i="5"/>
  <c r="CC190" i="5"/>
  <c r="BO190" i="5"/>
  <c r="B190" i="5"/>
  <c r="CC189" i="5"/>
  <c r="BO189" i="5"/>
  <c r="B189" i="5"/>
  <c r="CC188" i="5"/>
  <c r="BO188" i="5"/>
  <c r="B188" i="5"/>
  <c r="CC187" i="5"/>
  <c r="BO187" i="5"/>
  <c r="B187" i="5"/>
  <c r="CC186" i="5"/>
  <c r="BO186" i="5"/>
  <c r="B186" i="5"/>
  <c r="CC185" i="5"/>
  <c r="BO185" i="5"/>
  <c r="B185" i="5"/>
  <c r="CC184" i="5"/>
  <c r="BO184" i="5"/>
  <c r="B184" i="5"/>
  <c r="CC183" i="5"/>
  <c r="BO183" i="5"/>
  <c r="B183" i="5"/>
  <c r="CC182" i="5"/>
  <c r="BO182" i="5"/>
  <c r="B182" i="5"/>
  <c r="CC181" i="5"/>
  <c r="BO181" i="5"/>
  <c r="B181" i="5"/>
  <c r="CC180" i="5"/>
  <c r="BO180" i="5"/>
  <c r="B180" i="5"/>
  <c r="CC179" i="5"/>
  <c r="BO179" i="5"/>
  <c r="B179" i="5"/>
  <c r="CC178" i="5"/>
  <c r="BO178" i="5"/>
  <c r="B178" i="5"/>
  <c r="CC177" i="5"/>
  <c r="BO177" i="5"/>
  <c r="B177" i="5"/>
  <c r="CC176" i="5"/>
  <c r="B176" i="5"/>
  <c r="CC175" i="5"/>
  <c r="BO175" i="5"/>
  <c r="B175" i="5"/>
  <c r="CC174" i="5"/>
  <c r="BO174" i="5"/>
  <c r="B174" i="5"/>
  <c r="CC173" i="5"/>
  <c r="BO173" i="5"/>
  <c r="B173" i="5"/>
  <c r="CC172" i="5"/>
  <c r="BO172" i="5"/>
  <c r="B172" i="5"/>
  <c r="CC171" i="5"/>
  <c r="BO171" i="5"/>
  <c r="B171" i="5"/>
  <c r="CC170" i="5"/>
  <c r="B170" i="5"/>
  <c r="CC169" i="5"/>
  <c r="BO169" i="5"/>
  <c r="B169" i="5"/>
  <c r="CC168" i="5"/>
  <c r="B168" i="5"/>
  <c r="CC167" i="5"/>
  <c r="BO167" i="5"/>
  <c r="B167" i="5"/>
  <c r="CC166" i="5"/>
  <c r="BO166" i="5"/>
  <c r="B166" i="5"/>
  <c r="CC165" i="5"/>
  <c r="B165" i="5"/>
  <c r="CC164" i="5"/>
  <c r="BO164" i="5"/>
  <c r="B164" i="5"/>
  <c r="CC163" i="5"/>
  <c r="BO163" i="5"/>
  <c r="B163" i="5"/>
  <c r="CC162" i="5"/>
  <c r="BO162" i="5"/>
  <c r="B162" i="5"/>
  <c r="CC161" i="5"/>
  <c r="BO161" i="5"/>
  <c r="B161" i="5"/>
  <c r="CC160" i="5"/>
  <c r="BO160" i="5"/>
  <c r="B160" i="5"/>
  <c r="CC159" i="5"/>
  <c r="BO159" i="5"/>
  <c r="B159" i="5"/>
  <c r="CC158" i="5"/>
  <c r="B158" i="5"/>
  <c r="CC157" i="5"/>
  <c r="B157" i="5"/>
  <c r="CC156" i="5"/>
  <c r="BO156" i="5"/>
  <c r="B156" i="5"/>
  <c r="CC155" i="5"/>
  <c r="BO155" i="5"/>
  <c r="B155" i="5"/>
  <c r="CC154" i="5"/>
  <c r="BO154" i="5"/>
  <c r="B154" i="5"/>
  <c r="CC153" i="5"/>
  <c r="BO153" i="5"/>
  <c r="B153" i="5"/>
  <c r="CC152" i="5"/>
  <c r="B152" i="5"/>
  <c r="CC151" i="5"/>
  <c r="BO151" i="5"/>
  <c r="B151" i="5"/>
  <c r="CC150" i="5"/>
  <c r="BO150" i="5"/>
  <c r="B150" i="5"/>
  <c r="CC149" i="5"/>
  <c r="BO149" i="5"/>
  <c r="B149" i="5"/>
  <c r="CC148" i="5"/>
  <c r="BO148" i="5"/>
  <c r="B148" i="5"/>
  <c r="CC147" i="5"/>
  <c r="BO147" i="5"/>
  <c r="B147" i="5"/>
  <c r="CC146" i="5"/>
  <c r="BO146" i="5"/>
  <c r="B146" i="5"/>
  <c r="CC145" i="5"/>
  <c r="BO145" i="5"/>
  <c r="B145" i="5"/>
  <c r="CC144" i="5"/>
  <c r="BO144" i="5"/>
  <c r="B144" i="5"/>
  <c r="CC143" i="5"/>
  <c r="BO143" i="5"/>
  <c r="B143" i="5"/>
  <c r="CC142" i="5"/>
  <c r="BO142" i="5"/>
  <c r="B142" i="5"/>
  <c r="CC141" i="5"/>
  <c r="BO141" i="5"/>
  <c r="B141" i="5"/>
  <c r="CC140" i="5"/>
  <c r="BO140" i="5"/>
  <c r="B140" i="5"/>
  <c r="CC139" i="5"/>
  <c r="BO139" i="5"/>
  <c r="B139" i="5"/>
  <c r="CC138" i="5"/>
  <c r="BO138" i="5"/>
  <c r="B138" i="5"/>
  <c r="CC137" i="5"/>
  <c r="BO137" i="5"/>
  <c r="B137" i="5"/>
  <c r="CC136" i="5"/>
  <c r="BO136" i="5"/>
  <c r="B136" i="5"/>
  <c r="CC135" i="5"/>
  <c r="BO135" i="5"/>
  <c r="B135" i="5"/>
  <c r="CC134" i="5"/>
  <c r="BO134" i="5"/>
  <c r="B134" i="5"/>
  <c r="CC133" i="5"/>
  <c r="BO133" i="5"/>
  <c r="B133" i="5"/>
  <c r="CC132" i="5"/>
  <c r="B132" i="5"/>
  <c r="CC131" i="5"/>
  <c r="BO131" i="5"/>
  <c r="B131" i="5"/>
  <c r="CC130" i="5"/>
  <c r="B130" i="5"/>
  <c r="CC129" i="5"/>
  <c r="BO129" i="5"/>
  <c r="B129" i="5"/>
  <c r="CC128" i="5"/>
  <c r="B128" i="5"/>
  <c r="CC127" i="5"/>
  <c r="B127" i="5"/>
  <c r="CC126" i="5"/>
  <c r="BO126" i="5"/>
  <c r="B126" i="5"/>
  <c r="CC125" i="5"/>
  <c r="B125" i="5"/>
  <c r="CC124" i="5"/>
  <c r="BO124" i="5"/>
  <c r="B124" i="5"/>
  <c r="CC123" i="5"/>
  <c r="BO123" i="5"/>
  <c r="B123" i="5"/>
  <c r="CC122" i="5"/>
  <c r="B122" i="5"/>
  <c r="CC121" i="5"/>
  <c r="BO121" i="5"/>
  <c r="B121" i="5"/>
  <c r="CC120" i="5"/>
  <c r="BO120" i="5"/>
  <c r="B120" i="5"/>
  <c r="CC119" i="5"/>
  <c r="BO119" i="5"/>
  <c r="B119" i="5"/>
  <c r="CC118" i="5"/>
  <c r="BO118" i="5"/>
  <c r="B118" i="5"/>
  <c r="CC117" i="5"/>
  <c r="BO117" i="5"/>
  <c r="B117" i="5"/>
  <c r="CC116" i="5"/>
  <c r="B116" i="5"/>
  <c r="CC115" i="5"/>
  <c r="B115" i="5"/>
  <c r="CC114" i="5"/>
  <c r="BO114" i="5"/>
  <c r="B114" i="5"/>
  <c r="CC113" i="5"/>
  <c r="B113" i="5"/>
  <c r="CC112" i="5"/>
  <c r="BO112" i="5"/>
  <c r="B112" i="5"/>
  <c r="CC111" i="5"/>
  <c r="BO111" i="5"/>
  <c r="B111" i="5"/>
  <c r="CC110" i="5"/>
  <c r="B110" i="5"/>
  <c r="CC109" i="5"/>
  <c r="B109" i="5"/>
  <c r="CC108" i="5"/>
  <c r="BO108" i="5"/>
  <c r="B108" i="5"/>
  <c r="CC107" i="5"/>
  <c r="BO107" i="5"/>
  <c r="B107" i="5"/>
  <c r="CC106" i="5"/>
  <c r="BO106" i="5"/>
  <c r="B106" i="5"/>
  <c r="CC105" i="5"/>
  <c r="B105" i="5"/>
  <c r="CC104" i="5"/>
  <c r="B104" i="5"/>
  <c r="CC103" i="5"/>
  <c r="BO103" i="5"/>
  <c r="B103" i="5"/>
  <c r="CC102" i="5"/>
  <c r="BO102" i="5"/>
  <c r="B102" i="5"/>
  <c r="CC101" i="5"/>
  <c r="BO101" i="5"/>
  <c r="B101" i="5"/>
  <c r="CC100" i="5"/>
  <c r="B100" i="5"/>
  <c r="CC99" i="5"/>
  <c r="BO99" i="5"/>
  <c r="B99" i="5"/>
  <c r="CC98" i="5"/>
  <c r="BO98" i="5"/>
  <c r="B98" i="5"/>
  <c r="CC97" i="5"/>
  <c r="B97" i="5"/>
  <c r="CC96" i="5"/>
  <c r="B96" i="5"/>
  <c r="CC95" i="5"/>
  <c r="B95" i="5"/>
  <c r="CC94" i="5"/>
  <c r="BO94" i="5"/>
  <c r="B94" i="5"/>
  <c r="CC93" i="5"/>
  <c r="B93" i="5"/>
  <c r="CC92" i="5"/>
  <c r="B92" i="5"/>
  <c r="CC91" i="5"/>
  <c r="BO91" i="5"/>
  <c r="B91" i="5"/>
  <c r="CC90" i="5"/>
  <c r="B90" i="5"/>
  <c r="CC89" i="5"/>
  <c r="BO89" i="5"/>
  <c r="B89" i="5"/>
  <c r="CC88" i="5"/>
  <c r="B88" i="5"/>
  <c r="CC87" i="5"/>
  <c r="BO87" i="5"/>
  <c r="B87" i="5"/>
  <c r="CC86" i="5"/>
  <c r="BO86" i="5"/>
  <c r="B86" i="5"/>
  <c r="CC85" i="5"/>
  <c r="B85" i="5"/>
  <c r="CC84" i="5"/>
  <c r="B84" i="5"/>
  <c r="CC83" i="5"/>
  <c r="BO83" i="5"/>
  <c r="B83" i="5"/>
  <c r="CC82" i="5"/>
  <c r="BO82" i="5"/>
  <c r="B82" i="5"/>
  <c r="CC81" i="5"/>
  <c r="B81" i="5"/>
  <c r="CC80" i="5"/>
  <c r="B80" i="5"/>
  <c r="CC79" i="5"/>
  <c r="BO79" i="5"/>
  <c r="B79" i="5"/>
  <c r="CC78" i="5"/>
  <c r="BO78" i="5"/>
  <c r="B78" i="5"/>
  <c r="CC77" i="5"/>
  <c r="B77" i="5"/>
  <c r="CC76" i="5"/>
  <c r="BO76" i="5"/>
  <c r="B76" i="5"/>
  <c r="CC75" i="5"/>
  <c r="B75" i="5"/>
  <c r="CC74" i="5"/>
  <c r="B74" i="5"/>
  <c r="CC73" i="5"/>
  <c r="BO73" i="5"/>
  <c r="B73" i="5"/>
  <c r="CC72" i="5"/>
  <c r="BO72" i="5"/>
  <c r="B72" i="5"/>
  <c r="CC71" i="5"/>
  <c r="B71" i="5"/>
  <c r="CC70" i="5"/>
  <c r="BO70" i="5"/>
  <c r="B70" i="5"/>
  <c r="CC69" i="5"/>
  <c r="BO69" i="5"/>
  <c r="B69" i="5"/>
  <c r="CC68" i="5"/>
  <c r="BO68" i="5"/>
  <c r="B68" i="5"/>
  <c r="CC67" i="5"/>
  <c r="BO67" i="5"/>
  <c r="B67" i="5"/>
  <c r="CC66" i="5"/>
  <c r="BO66" i="5"/>
  <c r="B66" i="5"/>
  <c r="CC65" i="5"/>
  <c r="BO65" i="5"/>
  <c r="B65" i="5"/>
  <c r="CC64" i="5"/>
  <c r="BO64" i="5"/>
  <c r="B64" i="5"/>
  <c r="CC63" i="5"/>
  <c r="B63" i="5"/>
  <c r="CC62" i="5"/>
  <c r="BO62" i="5"/>
  <c r="B62" i="5"/>
  <c r="CC61" i="5"/>
  <c r="B61" i="5"/>
  <c r="CC60" i="5"/>
  <c r="BO60" i="5"/>
  <c r="B60" i="5"/>
  <c r="CC59" i="5"/>
  <c r="BO59" i="5"/>
  <c r="B59" i="5"/>
  <c r="CC58" i="5"/>
  <c r="BO58" i="5"/>
  <c r="B58" i="5"/>
  <c r="CC57" i="5"/>
  <c r="BO57" i="5"/>
  <c r="B57" i="5"/>
  <c r="CC56" i="5"/>
  <c r="B56" i="5"/>
  <c r="CC55" i="5"/>
  <c r="BO55" i="5"/>
  <c r="B55" i="5"/>
  <c r="CC54" i="5"/>
  <c r="BO54" i="5"/>
  <c r="B54" i="5"/>
  <c r="CC53" i="5"/>
  <c r="B53" i="5"/>
  <c r="CC52" i="5"/>
  <c r="BO52" i="5"/>
  <c r="B52" i="5"/>
  <c r="CC51" i="5"/>
  <c r="BO51" i="5"/>
  <c r="B51" i="5"/>
  <c r="CC50" i="5"/>
  <c r="BO50" i="5"/>
  <c r="B50" i="5"/>
  <c r="CC49" i="5"/>
  <c r="BO49" i="5"/>
  <c r="B49" i="5"/>
  <c r="CC48" i="5"/>
  <c r="B48" i="5"/>
  <c r="CC47" i="5"/>
  <c r="BO47" i="5"/>
  <c r="B47" i="5"/>
  <c r="CC46" i="5"/>
  <c r="B46" i="5"/>
  <c r="CC45" i="5"/>
  <c r="B45" i="5"/>
  <c r="CC44" i="5"/>
  <c r="BO44" i="5"/>
  <c r="CC43" i="5"/>
  <c r="BO43" i="5"/>
  <c r="B43" i="5"/>
  <c r="CC42" i="5"/>
  <c r="BO42" i="5"/>
  <c r="B42" i="5"/>
  <c r="CC41" i="5"/>
  <c r="B41" i="5"/>
  <c r="CC40" i="5"/>
  <c r="B40" i="5"/>
  <c r="CC39" i="5"/>
  <c r="BO39" i="5"/>
  <c r="B39" i="5"/>
  <c r="CC38" i="5"/>
  <c r="BO38" i="5"/>
  <c r="B38" i="5"/>
  <c r="CC37" i="5"/>
  <c r="BO37" i="5"/>
  <c r="B37" i="5"/>
  <c r="CC36" i="5"/>
  <c r="BO36" i="5"/>
  <c r="B36" i="5"/>
  <c r="CC35" i="5"/>
  <c r="B35" i="5"/>
  <c r="CC34" i="5"/>
  <c r="BO34" i="5"/>
  <c r="B34" i="5"/>
  <c r="CC33" i="5"/>
  <c r="BO33" i="5"/>
  <c r="B33" i="5"/>
  <c r="CC32" i="5"/>
  <c r="B32" i="5"/>
  <c r="CC31" i="5"/>
  <c r="BO31" i="5"/>
  <c r="CC30" i="5"/>
  <c r="BO30" i="5"/>
  <c r="B30" i="5"/>
  <c r="CC29" i="5"/>
  <c r="B29" i="5"/>
  <c r="CC28" i="5"/>
  <c r="BO28" i="5"/>
  <c r="CC27" i="5"/>
  <c r="B27" i="5"/>
  <c r="CC26" i="5"/>
  <c r="B26" i="5"/>
  <c r="CC25" i="5"/>
  <c r="BO25" i="5"/>
  <c r="B25" i="5"/>
  <c r="CC24" i="5"/>
  <c r="BO24" i="5"/>
  <c r="B24" i="5"/>
  <c r="CC23" i="5"/>
  <c r="BO23" i="5"/>
  <c r="B23" i="5"/>
  <c r="CC22" i="5"/>
  <c r="BO22" i="5"/>
  <c r="B22" i="5"/>
  <c r="CC21" i="5"/>
  <c r="BO21" i="5"/>
  <c r="CC20" i="5"/>
  <c r="BO20" i="5"/>
  <c r="B20" i="5"/>
  <c r="CC19" i="5"/>
  <c r="B19" i="5"/>
  <c r="CC18" i="5"/>
  <c r="BO18" i="5"/>
  <c r="B18" i="5"/>
  <c r="CC17" i="5"/>
  <c r="BO17" i="5"/>
  <c r="B17" i="5"/>
  <c r="CC16" i="5"/>
  <c r="BO16" i="5"/>
  <c r="B16" i="5"/>
  <c r="CC15" i="5"/>
  <c r="BO15" i="5"/>
  <c r="CC14" i="5"/>
  <c r="BO14" i="5"/>
  <c r="B14" i="5"/>
  <c r="CC13" i="5"/>
  <c r="B13" i="5"/>
  <c r="CC12" i="5"/>
  <c r="BO12" i="5"/>
  <c r="B12" i="5"/>
  <c r="CC11" i="5"/>
  <c r="B11" i="5"/>
  <c r="CC10" i="5"/>
  <c r="BO10" i="5"/>
  <c r="B10" i="5"/>
  <c r="CC9" i="5"/>
  <c r="BO9" i="5"/>
  <c r="B9" i="5"/>
  <c r="CC8" i="5"/>
  <c r="BO8" i="5"/>
  <c r="B8" i="5"/>
  <c r="CC7" i="5"/>
  <c r="BO7" i="5"/>
  <c r="B7" i="5"/>
  <c r="CC6" i="5"/>
  <c r="BO6" i="5"/>
  <c r="MU132" i="2" l="1"/>
  <c r="AF133" i="2" l="1"/>
  <c r="AH133" i="2"/>
  <c r="AV133" i="2"/>
  <c r="BD133" i="2"/>
  <c r="BL133" i="2"/>
  <c r="BT133" i="2"/>
  <c r="BX133" i="2"/>
  <c r="CB133" i="2"/>
  <c r="CJ133" i="2"/>
  <c r="CN133" i="2"/>
  <c r="CR133" i="2"/>
  <c r="CV133" i="2"/>
  <c r="CZ133" i="2"/>
  <c r="DD133" i="2"/>
  <c r="DH133" i="2"/>
  <c r="DP133" i="2"/>
  <c r="DT133" i="2"/>
  <c r="DX133" i="2"/>
  <c r="EB133" i="2"/>
  <c r="EF133" i="2"/>
  <c r="EJ133" i="2"/>
  <c r="EN133" i="2"/>
  <c r="EV133" i="2"/>
  <c r="EZ133" i="2"/>
  <c r="FD133" i="2"/>
  <c r="FH133" i="2"/>
  <c r="FL133" i="2"/>
  <c r="FP133" i="2"/>
  <c r="FT133" i="2"/>
  <c r="GB133" i="2"/>
  <c r="GF133" i="2"/>
  <c r="GJ133" i="2"/>
  <c r="GN133" i="2"/>
  <c r="GR133" i="2"/>
  <c r="GV133" i="2"/>
  <c r="GZ133" i="2"/>
  <c r="HH133" i="2"/>
  <c r="HL133" i="2"/>
  <c r="HP133" i="2"/>
  <c r="HT133" i="2"/>
  <c r="HX133" i="2"/>
  <c r="HY133" i="2"/>
  <c r="IA133" i="2"/>
  <c r="IB133" i="2"/>
  <c r="ID133" i="2"/>
  <c r="IF133" i="2"/>
  <c r="IG133" i="2"/>
  <c r="IL133" i="2"/>
  <c r="IN133" i="2"/>
  <c r="IR133" i="2"/>
  <c r="IU133" i="2"/>
  <c r="IV133" i="2"/>
  <c r="IW133" i="2"/>
  <c r="IZ133" i="2"/>
  <c r="JB133" i="2"/>
  <c r="JD133" i="2"/>
  <c r="JE133" i="2"/>
  <c r="JH133" i="2"/>
  <c r="JJ133" i="2"/>
  <c r="JL133" i="2"/>
  <c r="JM133" i="2"/>
  <c r="JO133" i="2"/>
  <c r="JS133" i="2"/>
  <c r="JT133" i="2"/>
  <c r="JW133" i="2"/>
  <c r="JX133" i="2"/>
  <c r="KB133" i="2"/>
  <c r="KE133" i="2"/>
  <c r="KF133" i="2"/>
  <c r="KH133" i="2"/>
  <c r="KI133" i="2"/>
  <c r="KJ133" i="2"/>
  <c r="KK133" i="2"/>
  <c r="KN133" i="2"/>
  <c r="KP133" i="2"/>
  <c r="KQ133" i="2"/>
  <c r="KR133" i="2"/>
  <c r="KS133" i="2"/>
  <c r="KU133" i="2"/>
  <c r="KZ133" i="2"/>
  <c r="LD133" i="2"/>
  <c r="LF133" i="2"/>
  <c r="LH133" i="2"/>
  <c r="LI133" i="2"/>
  <c r="LL133" i="2"/>
  <c r="LN133" i="2"/>
  <c r="LP133" i="2"/>
  <c r="LQ133" i="2"/>
  <c r="LS133" i="2"/>
  <c r="LT133" i="2"/>
  <c r="LR133" i="2"/>
  <c r="LO133" i="2"/>
  <c r="LM133" i="2"/>
  <c r="LK133" i="2"/>
  <c r="LJ133" i="2"/>
  <c r="LG133" i="2"/>
  <c r="LE133" i="2"/>
  <c r="LC133" i="2"/>
  <c r="LB133" i="2"/>
  <c r="LA133" i="2"/>
  <c r="KY133" i="2"/>
  <c r="KX133" i="2"/>
  <c r="KW133" i="2"/>
  <c r="KV133" i="2"/>
  <c r="KT133" i="2"/>
  <c r="KO133" i="2"/>
  <c r="KM133" i="2"/>
  <c r="KL133" i="2"/>
  <c r="KG133" i="2"/>
  <c r="KD133" i="2"/>
  <c r="KC133" i="2"/>
  <c r="KA133" i="2"/>
  <c r="JZ133" i="2"/>
  <c r="JY133" i="2"/>
  <c r="JV133" i="2"/>
  <c r="JU133" i="2"/>
  <c r="JR133" i="2"/>
  <c r="JQ133" i="2"/>
  <c r="JP133" i="2"/>
  <c r="JN133" i="2"/>
  <c r="JK133" i="2"/>
  <c r="JI133" i="2"/>
  <c r="JG133" i="2"/>
  <c r="JF133" i="2"/>
  <c r="JC133" i="2"/>
  <c r="JA133" i="2"/>
  <c r="IY133" i="2"/>
  <c r="IX133" i="2"/>
  <c r="IT133" i="2"/>
  <c r="IS133" i="2"/>
  <c r="IQ133" i="2"/>
  <c r="IP133" i="2"/>
  <c r="IO133" i="2"/>
  <c r="IM133" i="2"/>
  <c r="IK133" i="2"/>
  <c r="IJ133" i="2"/>
  <c r="II133" i="2"/>
  <c r="IH133" i="2"/>
  <c r="IE133" i="2"/>
  <c r="IC133" i="2"/>
  <c r="HZ133" i="2"/>
  <c r="HW133" i="2"/>
  <c r="HV133" i="2"/>
  <c r="HU133" i="2"/>
  <c r="HS133" i="2"/>
  <c r="HR133" i="2"/>
  <c r="HQ133" i="2"/>
  <c r="HO133" i="2"/>
  <c r="HN133" i="2"/>
  <c r="HM133" i="2"/>
  <c r="HK133" i="2"/>
  <c r="HJ133" i="2"/>
  <c r="HI133" i="2"/>
  <c r="HG133" i="2"/>
  <c r="HF133" i="2"/>
  <c r="HE133" i="2"/>
  <c r="HD133" i="2"/>
  <c r="HC133" i="2"/>
  <c r="HB133" i="2"/>
  <c r="HA133" i="2"/>
  <c r="GY133" i="2"/>
  <c r="GX133" i="2"/>
  <c r="GW133" i="2"/>
  <c r="GU133" i="2"/>
  <c r="GT133" i="2"/>
  <c r="GS133" i="2"/>
  <c r="GQ133" i="2"/>
  <c r="GP133" i="2"/>
  <c r="GO133" i="2"/>
  <c r="GM133" i="2"/>
  <c r="GL133" i="2"/>
  <c r="GK133" i="2"/>
  <c r="GI133" i="2"/>
  <c r="GH133" i="2"/>
  <c r="GG133" i="2"/>
  <c r="GE133" i="2"/>
  <c r="GD133" i="2"/>
  <c r="GC133" i="2"/>
  <c r="GA133" i="2"/>
  <c r="FZ133" i="2"/>
  <c r="FY133" i="2"/>
  <c r="FX133" i="2"/>
  <c r="FW133" i="2"/>
  <c r="FV133" i="2"/>
  <c r="FU133" i="2"/>
  <c r="FS133" i="2"/>
  <c r="FR133" i="2"/>
  <c r="FQ133" i="2"/>
  <c r="FO133" i="2"/>
  <c r="FN133" i="2"/>
  <c r="FM133" i="2"/>
  <c r="FK133" i="2"/>
  <c r="FJ133" i="2"/>
  <c r="FI133" i="2"/>
  <c r="FG133" i="2"/>
  <c r="FF133" i="2"/>
  <c r="FE133" i="2"/>
  <c r="FC133" i="2"/>
  <c r="FB133" i="2"/>
  <c r="FA133" i="2"/>
  <c r="EY133" i="2"/>
  <c r="EX133" i="2"/>
  <c r="EW133" i="2"/>
  <c r="EU133" i="2"/>
  <c r="ET133" i="2"/>
  <c r="ES133" i="2"/>
  <c r="ER133" i="2"/>
  <c r="EQ133" i="2"/>
  <c r="EP133" i="2"/>
  <c r="EO133" i="2"/>
  <c r="EM133" i="2"/>
  <c r="EL133" i="2"/>
  <c r="EK133" i="2"/>
  <c r="EI133" i="2"/>
  <c r="EH133" i="2"/>
  <c r="EG133" i="2"/>
  <c r="EE133" i="2"/>
  <c r="ED133" i="2"/>
  <c r="EC133" i="2"/>
  <c r="EA133" i="2"/>
  <c r="DZ133" i="2"/>
  <c r="DY133" i="2"/>
  <c r="DW133" i="2"/>
  <c r="DV133" i="2"/>
  <c r="DU133" i="2"/>
  <c r="DS133" i="2"/>
  <c r="DR133" i="2"/>
  <c r="DQ133" i="2"/>
  <c r="DO133" i="2"/>
  <c r="DN133" i="2"/>
  <c r="DM133" i="2"/>
  <c r="DL133" i="2"/>
  <c r="DK133" i="2"/>
  <c r="DJ133" i="2"/>
  <c r="DI133" i="2"/>
  <c r="DG133" i="2"/>
  <c r="DF133" i="2"/>
  <c r="DE133" i="2"/>
  <c r="DC133" i="2"/>
  <c r="DB133" i="2"/>
  <c r="DA133" i="2"/>
  <c r="CY133" i="2"/>
  <c r="CX133" i="2"/>
  <c r="CW133" i="2"/>
  <c r="CU133" i="2"/>
  <c r="CT133" i="2"/>
  <c r="CS133" i="2"/>
  <c r="CQ133" i="2"/>
  <c r="CP133" i="2"/>
  <c r="CO133" i="2"/>
  <c r="CM133" i="2"/>
  <c r="CL133" i="2"/>
  <c r="CK133" i="2"/>
  <c r="CI133" i="2"/>
  <c r="CH133" i="2"/>
  <c r="CG133" i="2"/>
  <c r="CF133" i="2"/>
  <c r="CE133" i="2"/>
  <c r="CD133" i="2"/>
  <c r="CC133" i="2"/>
  <c r="CA133" i="2"/>
  <c r="BZ133" i="2"/>
  <c r="BY133" i="2"/>
  <c r="BW133" i="2"/>
  <c r="BV133" i="2"/>
  <c r="BU133" i="2"/>
  <c r="BS133" i="2"/>
  <c r="BR133" i="2"/>
  <c r="BQ133" i="2"/>
  <c r="BP133" i="2"/>
  <c r="BO133" i="2"/>
  <c r="BN133" i="2"/>
  <c r="BM133" i="2"/>
  <c r="BK133" i="2"/>
  <c r="BJ133" i="2"/>
  <c r="BI133" i="2"/>
  <c r="BH133" i="2"/>
  <c r="BG133" i="2"/>
  <c r="BF133" i="2"/>
  <c r="BE133" i="2"/>
  <c r="BC133" i="2"/>
  <c r="BB133" i="2"/>
  <c r="BA133" i="2"/>
  <c r="AZ133" i="2"/>
  <c r="AY133" i="2"/>
  <c r="AX133" i="2"/>
  <c r="AW133" i="2"/>
  <c r="AU133" i="2"/>
  <c r="AT133" i="2"/>
  <c r="AS133" i="2"/>
  <c r="AR133" i="2"/>
  <c r="AQ133" i="2"/>
  <c r="AP133" i="2"/>
  <c r="AO133" i="2"/>
  <c r="AM133" i="2"/>
  <c r="AL133" i="2"/>
  <c r="AK133" i="2"/>
  <c r="AI133" i="2"/>
  <c r="AG133" i="2"/>
  <c r="AE133" i="2"/>
  <c r="AD133" i="2"/>
  <c r="AC133" i="2"/>
  <c r="AB133" i="2"/>
  <c r="AA133" i="2"/>
  <c r="Z133" i="2"/>
  <c r="Y132" i="2"/>
  <c r="Y13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tc={9361C52E-2AB5-4E0D-9E43-F6DEE10AC6CB}</author>
    <author>tc={54E84392-D1FC-4DD3-9548-C187844FCDE5}</author>
  </authors>
  <commentList>
    <comment ref="A875" authorId="0" shapeId="0" xr:uid="{9361C52E-2AB5-4E0D-9E43-F6DEE10AC6CB}">
      <text>
        <t>[Comentário encadeado]
Sua versão do Excel permite que você leia este comentário encadeado, no entanto, as edições serão removidas se o arquivo for aberto em uma versão mais recente do Excel. Saiba mais: https://go.microsoft.com/fwlink/?linkid=870924
Comentário:
    EXPLICAR O USO DA STRING DE BUSCA</t>
      </text>
    </comment>
    <comment ref="A918" authorId="1" shapeId="0" xr:uid="{54E84392-D1FC-4DD3-9548-C187844FCDE5}">
      <text>
        <t>[Comentário encadeado]
Sua versão do Excel permite que você leia este comentário encadeado, no entanto, as edições serão removidas se o arquivo for aberto em uma versão mais recente do Excel. Saiba mais: https://go.microsoft.com/fwlink/?linkid=870924
Comentário:
    EXCELENTE ARTIGO DE REVISÃO SISTEMATICA DE LITERATURA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tc={D1120887-F8BC-4EE6-BD14-D5ABDCA0C087}</author>
    <author>tc={D763F4E1-E2F9-4BEF-908A-590D85C82DCC}</author>
    <author>tc={33B573C1-643B-4E48-A3FD-C6DC54819146}</author>
    <author>tc={554BE8A8-5928-411C-82A8-5A734840A940}</author>
    <author>tc={8A7B7702-964A-444B-8716-30C09ACED45C}</author>
    <author>tc={1E539ABC-1BAC-4333-8880-27B326B80B7F}</author>
    <author>tc={F79F2636-3813-411C-AE27-2EE3694A3366}</author>
    <author>tc={BD7FA580-6F7E-48CC-A39A-FB566E730F24}</author>
    <author>tc={C5BC9C65-4DCC-48BF-B632-E154C9148D80}</author>
    <author>tc={D7E1C65E-447C-4634-81F7-DB211A221EC7}</author>
    <author>tc={AC6EF650-2DEC-428B-8999-B48CF9E80CF3}</author>
    <author>tc={55D23BE2-7502-4EAA-9BEE-47E0CCD6EE16}</author>
    <author>tc={608589FC-EE44-40D1-94B5-F32D47CCD865}</author>
    <author>tc={173D9E5E-4A06-43C6-925A-D12E2EA0A904}</author>
    <author>tc={820407BE-3FFE-4AF7-8BDE-4231AC1221DC}</author>
    <author>tc={34324461-214B-4CD4-9ED7-30BE3EA4F655}</author>
    <author>tc={44A91B88-E829-4142-AFF8-D30CF2BBFA32}</author>
    <author>tc={DD212920-2BFA-4160-9FF3-4886455F6426}</author>
    <author>tc={8C1C9B04-3719-4FE0-9D23-5E2FD4E0B4B5}</author>
    <author>tc={3A503320-354D-4686-AC7F-8515A1A6195F}</author>
    <author>tc={00829BCD-72DF-4550-A918-B04AE7EA171C}</author>
  </authors>
  <commentList>
    <comment ref="C5" authorId="0" shapeId="0" xr:uid="{D1120887-F8BC-4EE6-BD14-D5ABDCA0C087}">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12" authorId="1" shapeId="0" xr:uid="{D763F4E1-E2F9-4BEF-908A-590D85C82DCC}">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 no researchgate</t>
      </text>
    </comment>
    <comment ref="C20" authorId="2" shapeId="0" xr:uid="{33B573C1-643B-4E48-A3FD-C6DC5481914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recebido dia 06-11</t>
      </text>
    </comment>
    <comment ref="C21" authorId="3" shapeId="0" xr:uid="{554BE8A8-5928-411C-82A8-5A734840A940}">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25" authorId="4" shapeId="0" xr:uid="{8A7B7702-964A-444B-8716-30C09ACED45C}">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G26" authorId="5" shapeId="0" xr:uid="{1E539ABC-1BAC-4333-8880-27B326B80B7F}">
      <text>
        <t>[Comentário encadeado]
Sua versão do Excel permite que você leia este comentário encadeado, no entanto, as edições serão removidas se o arquivo for aberto em uma versão mais recente do Excel. Saiba mais: https://go.microsoft.com/fwlink/?linkid=870924
Comentário:
    trust</t>
      </text>
    </comment>
    <comment ref="C33" authorId="6" shapeId="0" xr:uid="{F79F2636-3813-411C-AE27-2EE3694A336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44" authorId="7" shapeId="0" xr:uid="{BD7FA580-6F7E-48CC-A39A-FB566E730F24}">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51" authorId="8" shapeId="0" xr:uid="{C5BC9C65-4DCC-48BF-B632-E154C9148D80}">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t>
      </text>
    </comment>
    <comment ref="C61" authorId="9" shapeId="0" xr:uid="{D7E1C65E-447C-4634-81F7-DB211A221EC7}">
      <text>
        <t>[Comentário encadeado]
Sua versão do Excel permite que você leia este comentário encadeado, no entanto, as edições serão removidas se o arquivo for aberto em uma versão mais recente do Excel. Saiba mais: https://go.microsoft.com/fwlink/?linkid=870924
Comentário:
    solicitação de paper enviada</t>
      </text>
    </comment>
    <comment ref="C69" authorId="10" shapeId="0" xr:uid="{AC6EF650-2DEC-428B-8999-B48CF9E80CF3}">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B71" authorId="11" shapeId="0" xr:uid="{55D23BE2-7502-4EAA-9BEE-47E0CCD6EE16}">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75" authorId="12" shapeId="0" xr:uid="{608589FC-EE44-40D1-94B5-F32D47CCD865}">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76" authorId="13" shapeId="0" xr:uid="{173D9E5E-4A06-43C6-925A-D12E2EA0A90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80" authorId="14" shapeId="0" xr:uid="{820407BE-3FFE-4AF7-8BDE-4231AC1221DC}">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88" authorId="15" shapeId="0" xr:uid="{34324461-214B-4CD4-9ED7-30BE3EA4F655}">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 ref="C92" authorId="16" shapeId="0" xr:uid="{44A91B88-E829-4142-AFF8-D30CF2BBFA32}">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98" authorId="17" shapeId="0" xr:uid="{DD212920-2BFA-4160-9FF3-4886455F642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resposta ok</t>
      </text>
    </comment>
    <comment ref="C99" authorId="18" shapeId="0" xr:uid="{8C1C9B04-3719-4FE0-9D23-5E2FD4E0B4B5}">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C103" authorId="19" shapeId="0" xr:uid="{3A503320-354D-4686-AC7F-8515A1A6195F}">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B109" authorId="20" shapeId="0" xr:uid="{00829BCD-72DF-4550-A918-B04AE7EA171C}">
      <text>
        <t>[Comentário encadeado]
Sua versão do Excel permite que você leia este comentário encadeado, no entanto, as edições serão removidas se o arquivo for aberto em uma versão mais recente do Excel. Saiba mais: https://go.microsoft.com/fwlink/?linkid=870924
Comentário:
    artigo de 1995 - muito interessante utilização do método de newton como inteligencia artificial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tc={AE57015C-034F-4570-AE92-F701500D3E4A}</author>
    <author>tc={BF5B5DD1-2767-4013-B9E1-7089BB4A47EB}</author>
    <author>tc={C57D41A3-607E-469D-9AD0-6C00629D3B24}</author>
    <author>tc={645F1A7F-E4B4-4716-BB54-8911A6FBEB5F}</author>
    <author>tc={C2A9BC1E-B29A-4F72-8C05-9797F068D09A}</author>
  </authors>
  <commentList>
    <comment ref="B27" authorId="0" shapeId="0" xr:uid="{AE57015C-034F-4570-AE92-F701500D3E4A}">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30" authorId="1" shapeId="0" xr:uid="{BF5B5DD1-2767-4013-B9E1-7089BB4A47EB}">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31" authorId="2" shapeId="0" xr:uid="{C57D41A3-607E-469D-9AD0-6C00629D3B2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33" authorId="3" shapeId="0" xr:uid="{645F1A7F-E4B4-4716-BB54-8911A6FBEB5F}">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36" authorId="4" shapeId="0" xr:uid="{C2A9BC1E-B29A-4F72-8C05-9797F068D09A}">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84A8C0-1C24-48F4-9D57-DA59655A605D}" keepAlive="1" name="Consulta - scopus (5)" description="Conexão com a consulta 'scopus (5)' na pasta de trabalho." type="5" refreshedVersion="8" background="1" saveData="1">
    <dbPr connection="Provider=Microsoft.Mashup.OleDb.1;Data Source=$Workbook$;Location=&quot;scopus (5)&quot;;Extended Properties=&quot;&quot;" command="SELECT * FROM [scopus (5)]"/>
  </connection>
</connections>
</file>

<file path=xl/sharedStrings.xml><?xml version="1.0" encoding="utf-8"?>
<sst xmlns="http://schemas.openxmlformats.org/spreadsheetml/2006/main" count="102543" uniqueCount="27250">
  <si>
    <t>0 - no</t>
  </si>
  <si>
    <t>p - Partial aligned</t>
  </si>
  <si>
    <t xml:space="preserve">p - Partial </t>
  </si>
  <si>
    <t>Human Factors</t>
  </si>
  <si>
    <t>Infrastructure</t>
  </si>
  <si>
    <t>0 - Not aligned</t>
  </si>
  <si>
    <t>0 - Not defined</t>
  </si>
  <si>
    <t>Criterias definition ==&gt;&gt;</t>
  </si>
  <si>
    <t>1 - yes</t>
  </si>
  <si>
    <t>1 - Fully aligned</t>
  </si>
  <si>
    <t>1 - Several</t>
  </si>
  <si>
    <t>Research methodology</t>
  </si>
  <si>
    <t>Process setup</t>
  </si>
  <si>
    <t>Analysis scenario</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</si>
  <si>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</si>
  <si>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</si>
  <si>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</si>
  <si>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</si>
  <si>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</si>
  <si>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</si>
  <si>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</si>
  <si>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</si>
  <si>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</si>
  <si>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</si>
  <si>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</si>
  <si>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</si>
  <si>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</si>
  <si>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</si>
  <si>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</si>
  <si>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</si>
  <si>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</si>
  <si>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</si>
  <si>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</si>
  <si>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</si>
  <si>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</si>
  <si>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</si>
  <si>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</si>
  <si>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</si>
  <si>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</si>
  <si>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</si>
  <si>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</si>
  <si>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</si>
  <si>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</si>
  <si>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</si>
  <si>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</si>
  <si>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</si>
  <si>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</si>
  <si>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</si>
  <si>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C035</t>
  </si>
  <si>
    <t>C036</t>
  </si>
  <si>
    <t>C037</t>
  </si>
  <si>
    <t>C038</t>
  </si>
  <si>
    <t>C039</t>
  </si>
  <si>
    <t>C040</t>
  </si>
  <si>
    <t>C041</t>
  </si>
  <si>
    <t>C042</t>
  </si>
  <si>
    <t>C043</t>
  </si>
  <si>
    <t>C044</t>
  </si>
  <si>
    <t>C045</t>
  </si>
  <si>
    <t>C046</t>
  </si>
  <si>
    <t>C047</t>
  </si>
  <si>
    <t>C048</t>
  </si>
  <si>
    <t>C049</t>
  </si>
  <si>
    <t>C050</t>
  </si>
  <si>
    <t>C051</t>
  </si>
  <si>
    <t>C052</t>
  </si>
  <si>
    <t>C053</t>
  </si>
  <si>
    <t>C054</t>
  </si>
  <si>
    <t>C055</t>
  </si>
  <si>
    <t>C056</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</si>
  <si>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</si>
  <si>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</si>
  <si>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</si>
  <si>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</si>
  <si>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</si>
  <si>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</si>
  <si>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</si>
  <si>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</si>
  <si>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</si>
  <si>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</si>
  <si>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</si>
  <si>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</si>
  <si>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</si>
  <si>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</si>
  <si>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</si>
  <si>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</si>
  <si>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</si>
  <si>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</si>
  <si>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</si>
  <si>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</si>
  <si>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</si>
  <si>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</si>
  <si>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</si>
  <si>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</si>
  <si>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</si>
  <si>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</si>
  <si>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</si>
  <si>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</si>
  <si>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</si>
  <si>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</si>
  <si>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</si>
  <si>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</si>
  <si>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</si>
  <si>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</si>
  <si>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</si>
  <si>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</si>
  <si>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</si>
  <si>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</si>
  <si>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</si>
  <si>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</si>
  <si>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</si>
  <si>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</si>
  <si>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</si>
  <si>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</si>
  <si>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</si>
  <si>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</si>
  <si>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</si>
  <si>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</si>
  <si>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</si>
  <si>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</si>
  <si>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</si>
  <si>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</si>
  <si>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</si>
  <si>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</si>
  <si>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</si>
  <si>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</si>
  <si>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</si>
  <si>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</si>
  <si>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</si>
  <si>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</si>
  <si>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</si>
  <si>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</si>
  <si>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</si>
  <si>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</si>
  <si>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</si>
  <si>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</si>
  <si>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</si>
  <si>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</si>
  <si>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</si>
  <si>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</si>
  <si>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</si>
  <si>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</si>
  <si>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</si>
  <si>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</si>
  <si>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</si>
  <si>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</si>
  <si>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</si>
  <si>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</si>
  <si>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</si>
  <si>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</si>
  <si>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</si>
  <si>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</si>
  <si>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</si>
  <si>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</si>
  <si>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</si>
  <si>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</si>
  <si>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</si>
  <si>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</si>
  <si>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</si>
  <si>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</si>
  <si>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</si>
  <si>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</si>
  <si>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</si>
  <si>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</si>
  <si>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</si>
  <si>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</si>
  <si>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</si>
  <si>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</si>
  <si>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</si>
  <si>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</si>
  <si>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</si>
  <si>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</si>
  <si>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</si>
  <si>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</si>
  <si>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</si>
  <si>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</si>
  <si>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</si>
  <si>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</si>
  <si>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</si>
  <si>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</si>
  <si>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</si>
  <si>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</si>
  <si>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</si>
  <si>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</si>
  <si>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</si>
  <si>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</si>
  <si>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</si>
  <si>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</si>
  <si>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</si>
  <si>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</si>
  <si>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</si>
  <si>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</si>
  <si>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</si>
  <si>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</si>
  <si>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</si>
  <si>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</si>
  <si>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</si>
  <si>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</si>
  <si>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</si>
  <si>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</si>
  <si>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</si>
  <si>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</si>
  <si>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C189</t>
  </si>
  <si>
    <t>C190</t>
  </si>
  <si>
    <t>C191</t>
  </si>
  <si>
    <t>C192</t>
  </si>
  <si>
    <t>C193</t>
  </si>
  <si>
    <t>C194</t>
  </si>
  <si>
    <t>C195</t>
  </si>
  <si>
    <t>C196</t>
  </si>
  <si>
    <t>C197</t>
  </si>
  <si>
    <t>C198</t>
  </si>
  <si>
    <t>C199</t>
  </si>
  <si>
    <t>C200</t>
  </si>
  <si>
    <t>C201</t>
  </si>
  <si>
    <t>C202</t>
  </si>
  <si>
    <t>C203</t>
  </si>
  <si>
    <t>C204</t>
  </si>
  <si>
    <t>C205</t>
  </si>
  <si>
    <t>C206</t>
  </si>
  <si>
    <t>C207</t>
  </si>
  <si>
    <t>C208</t>
  </si>
  <si>
    <t>C209</t>
  </si>
  <si>
    <t>C210</t>
  </si>
  <si>
    <t>C211</t>
  </si>
  <si>
    <t>C212</t>
  </si>
  <si>
    <t>C213</t>
  </si>
  <si>
    <t>C214</t>
  </si>
  <si>
    <t>C215</t>
  </si>
  <si>
    <t>C216</t>
  </si>
  <si>
    <t>C217</t>
  </si>
  <si>
    <t>C218</t>
  </si>
  <si>
    <t>C219</t>
  </si>
  <si>
    <t>C220</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</si>
  <si>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</si>
  <si>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</si>
  <si>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</si>
  <si>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</si>
  <si>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</si>
  <si>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</si>
  <si>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</si>
  <si>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</si>
  <si>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</si>
  <si>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</si>
  <si>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</si>
  <si>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</si>
  <si>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</si>
  <si>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</si>
  <si>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</si>
  <si>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</si>
  <si>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</si>
  <si>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</si>
  <si>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</si>
  <si>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</si>
  <si>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</si>
  <si>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</si>
  <si>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</si>
  <si>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</si>
  <si>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</si>
  <si>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</si>
  <si>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</si>
  <si>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</si>
  <si>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</si>
  <si>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</si>
  <si>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</si>
  <si>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</si>
  <si>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</si>
  <si>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</si>
  <si>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</si>
  <si>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</si>
  <si>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</si>
  <si>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</si>
  <si>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</si>
  <si>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</si>
  <si>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</si>
  <si>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</si>
  <si>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</si>
  <si>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</si>
  <si>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</si>
  <si>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</si>
  <si>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</si>
  <si>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</si>
  <si>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</si>
  <si>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</si>
  <si>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</si>
  <si>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</si>
  <si>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</si>
  <si>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</si>
  <si>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</si>
  <si>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</si>
  <si>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</si>
  <si>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</si>
  <si>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</si>
  <si>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</si>
  <si>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</si>
  <si>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</si>
  <si>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</si>
  <si>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</si>
  <si>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</si>
  <si>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</si>
  <si>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</si>
  <si>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</si>
  <si>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</si>
  <si>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</si>
  <si>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</si>
  <si>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</si>
  <si>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</si>
  <si>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</si>
  <si>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</si>
  <si>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Title</t>
  </si>
  <si>
    <t>Int code</t>
  </si>
  <si>
    <t>Paper found?</t>
  </si>
  <si>
    <t>SOURCE ATUAL</t>
  </si>
  <si>
    <t>Title screening?</t>
  </si>
  <si>
    <t>Abstract screening?</t>
  </si>
  <si>
    <t>DOI</t>
  </si>
  <si>
    <t>Authors</t>
  </si>
  <si>
    <t>Author(s) ID</t>
  </si>
  <si>
    <t>Abstract</t>
  </si>
  <si>
    <t>AREA GSD</t>
  </si>
  <si>
    <t>Year</t>
  </si>
  <si>
    <t>Source title</t>
  </si>
  <si>
    <t>Cited by</t>
  </si>
  <si>
    <t>Link</t>
  </si>
  <si>
    <t>Affiliations CITY</t>
  </si>
  <si>
    <t>Affiliations</t>
  </si>
  <si>
    <t>Authors with affiliations</t>
  </si>
  <si>
    <t>Correspondence Address</t>
  </si>
  <si>
    <t>Document Type</t>
  </si>
  <si>
    <t>Source2</t>
  </si>
  <si>
    <t>Alignment?</t>
  </si>
  <si>
    <t>Have the criteria been defined or explained?</t>
  </si>
  <si>
    <t>Single 
case-study</t>
  </si>
  <si>
    <t>Multi-case/  
Long study</t>
  </si>
  <si>
    <t>Literature review</t>
  </si>
  <si>
    <t>Conceptual model proposal</t>
  </si>
  <si>
    <t>Model proposal and testing</t>
  </si>
  <si>
    <t>Survey/interview</t>
  </si>
  <si>
    <t>0 - context analysis</t>
  </si>
  <si>
    <t>1 - identification</t>
  </si>
  <si>
    <t>2 - evaluation</t>
  </si>
  <si>
    <t>3 - treatment</t>
  </si>
  <si>
    <t>4 - monitor and report</t>
  </si>
  <si>
    <t>Problems/ issues/ gaps (Fact)</t>
  </si>
  <si>
    <t>Challenges/ Barriers</t>
  </si>
  <si>
    <t>Risks and threats</t>
  </si>
  <si>
    <t>Best Practices/ Success factors</t>
  </si>
  <si>
    <t>Communication</t>
  </si>
  <si>
    <t>English domain</t>
  </si>
  <si>
    <t>Cultural differences among teams</t>
  </si>
  <si>
    <t>Temporal distances</t>
  </si>
  <si>
    <t>Fear impact</t>
  </si>
  <si>
    <t>Employee Satisfaction</t>
  </si>
  <si>
    <t>Trust building</t>
  </si>
  <si>
    <t>Degree of cooperation</t>
  </si>
  <si>
    <t>Precise cost stimation</t>
  </si>
  <si>
    <t>Effective leadership</t>
  </si>
  <si>
    <t>Project failure risk</t>
  </si>
  <si>
    <t>Defined of roles and responsibilities</t>
  </si>
  <si>
    <t xml:space="preserve">Technical requirements </t>
  </si>
  <si>
    <t>Effective Partitioning</t>
  </si>
  <si>
    <t>Team Skills Database</t>
  </si>
  <si>
    <t>Knowledge interchange rate</t>
  </si>
  <si>
    <t>Coordination challenges level</t>
  </si>
  <si>
    <t>Transparency of roles and responsibilities</t>
  </si>
  <si>
    <t>Reporting requirement</t>
  </si>
  <si>
    <t>Relevant information disclosure</t>
  </si>
  <si>
    <t xml:space="preserve">Team issues </t>
  </si>
  <si>
    <t>Process Management</t>
  </si>
  <si>
    <t>Software support tools</t>
  </si>
  <si>
    <t>Technical support</t>
  </si>
  <si>
    <t>Communication Tools</t>
  </si>
  <si>
    <t>Proficiency in a programming language</t>
  </si>
  <si>
    <t>Experience in similar projects</t>
  </si>
  <si>
    <t>Use of software tools</t>
  </si>
  <si>
    <t>Contribution to team effort</t>
  </si>
  <si>
    <t>Accomplishment of assigned responsibilities</t>
  </si>
  <si>
    <t>Task efficiency</t>
  </si>
  <si>
    <t>Tasks effectiveness</t>
  </si>
  <si>
    <t>Self learning, autodidact</t>
  </si>
  <si>
    <t>Creativity in approach to problem</t>
  </si>
  <si>
    <t>Scientific attitude</t>
  </si>
  <si>
    <t>Determination and effort</t>
  </si>
  <si>
    <t>Contributing to discussions</t>
  </si>
  <si>
    <t>Accepting criticism gracefully</t>
  </si>
  <si>
    <t>Communicate clearly with team</t>
  </si>
  <si>
    <t>Communicate civility with team</t>
  </si>
  <si>
    <t>Communicate clearly with stakeholders</t>
  </si>
  <si>
    <t>Communicate civility with stakeholders</t>
  </si>
  <si>
    <t>Collaborative work friendly</t>
  </si>
  <si>
    <t>Culture of leadership</t>
  </si>
  <si>
    <t>Comprehension ability</t>
  </si>
  <si>
    <t>Assignment of roles and responsibilities</t>
  </si>
  <si>
    <t>Vision and goal</t>
  </si>
  <si>
    <t>Team training and monitoring</t>
  </si>
  <si>
    <t>Geographically distributed CCB (change control block)</t>
  </si>
  <si>
    <t>Resistance management of changing</t>
  </si>
  <si>
    <t>Strong team relationship</t>
  </si>
  <si>
    <t>Skilled human resources</t>
  </si>
  <si>
    <t>Response/ feedback online</t>
  </si>
  <si>
    <t>Requirement and data traceability</t>
  </si>
  <si>
    <t>Process awareness</t>
  </si>
  <si>
    <t>Formal standard and procedures</t>
  </si>
  <si>
    <t>Change acceptability</t>
  </si>
  <si>
    <t>Continuous organisational support</t>
  </si>
  <si>
    <t>Frequency of social events</t>
  </si>
  <si>
    <t>Task synchronization</t>
  </si>
  <si>
    <t>Software testing methods</t>
  </si>
  <si>
    <t>Geographical dimension</t>
  </si>
  <si>
    <t>Organizational dispersion</t>
  </si>
  <si>
    <t>Turnover (team/staff)</t>
  </si>
  <si>
    <t>Degree of novelty</t>
  </si>
  <si>
    <t>New vendor relantionship</t>
  </si>
  <si>
    <t>Updated Knowledge transfer documents</t>
  </si>
  <si>
    <t xml:space="preserve">Knowledge Codifiability </t>
  </si>
  <si>
    <t>Proper documentation</t>
  </si>
  <si>
    <t>Compatibility of data</t>
  </si>
  <si>
    <t xml:space="preserve">Appropriate architecture </t>
  </si>
  <si>
    <t>Similar programming languages</t>
  </si>
  <si>
    <t>Product selection and customization (off the shelf)</t>
  </si>
  <si>
    <t>Availability of human resource</t>
  </si>
  <si>
    <t>Proper component interfaces</t>
  </si>
  <si>
    <t>Relationship between person at different sites</t>
  </si>
  <si>
    <t>Common working experience</t>
  </si>
  <si>
    <t>Criticality of the task</t>
  </si>
  <si>
    <t>Complexity of the task</t>
  </si>
  <si>
    <t>Degree of formality of the task</t>
  </si>
  <si>
    <t>Process phase</t>
  </si>
  <si>
    <t>Task coupling</t>
  </si>
  <si>
    <t>Process maturity</t>
  </si>
  <si>
    <t>Product size</t>
  </si>
  <si>
    <t>Stable requirements</t>
  </si>
  <si>
    <t>Number of involved sites</t>
  </si>
  <si>
    <t>Time pressure</t>
  </si>
  <si>
    <t>Learning curve</t>
  </si>
  <si>
    <t>Integration plan</t>
  </si>
  <si>
    <t>Vision for the end product</t>
  </si>
  <si>
    <t>Overloading of key personnel</t>
  </si>
  <si>
    <t>Consistent data</t>
  </si>
  <si>
    <t>Spelling in data entry</t>
  </si>
  <si>
    <t>Missing information</t>
  </si>
  <si>
    <t>Data Harmonization</t>
  </si>
  <si>
    <t xml:space="preserve">Data visualization tools </t>
  </si>
  <si>
    <t xml:space="preserve">Sharing project details </t>
  </si>
  <si>
    <t>Measuring provenance of data</t>
  </si>
  <si>
    <t>Storage of transition logs</t>
  </si>
  <si>
    <t>Analyze Data in Real Time</t>
  </si>
  <si>
    <t>Integration of new visualization techniques</t>
  </si>
  <si>
    <t>Contract management</t>
  </si>
  <si>
    <t>Task updating</t>
  </si>
  <si>
    <t>Quality assurance procedure</t>
  </si>
  <si>
    <t>Incremental integration</t>
  </si>
  <si>
    <t>Regular deliveries</t>
  </si>
  <si>
    <t>Use of modular approach</t>
  </si>
  <si>
    <t>Cross-funcional teams</t>
  </si>
  <si>
    <t>Expert area</t>
  </si>
  <si>
    <t>Scrum expertise</t>
  </si>
  <si>
    <t>Scrum hours</t>
  </si>
  <si>
    <t>Number os sprints</t>
  </si>
  <si>
    <t>Analytical thinking</t>
  </si>
  <si>
    <t>Time management</t>
  </si>
  <si>
    <t>Conflict management</t>
  </si>
  <si>
    <t>Flexibilility</t>
  </si>
  <si>
    <t>Handling stress</t>
  </si>
  <si>
    <t>Problem solving</t>
  </si>
  <si>
    <t>Diplomacy</t>
  </si>
  <si>
    <t>Interfacing with different layers of development framework</t>
  </si>
  <si>
    <t>Code coverage concepts and tools</t>
  </si>
  <si>
    <t>Refactoring concepts</t>
  </si>
  <si>
    <t>Code-smell concepts</t>
  </si>
  <si>
    <t>Religion and political factor?</t>
  </si>
  <si>
    <t>Updated requirements</t>
  </si>
  <si>
    <t>Change impact analysis in all sites</t>
  </si>
  <si>
    <t>Management support</t>
  </si>
  <si>
    <t>Globally compete to market</t>
  </si>
  <si>
    <t>Progress measure in distributed sites</t>
  </si>
  <si>
    <t>Management commitment</t>
  </si>
  <si>
    <t>Software Process improvement - Consultancy</t>
  </si>
  <si>
    <t>Process improvement evaluation</t>
  </si>
  <si>
    <t>Process improvement standards and procedures</t>
  </si>
  <si>
    <t>Site characteristics</t>
  </si>
  <si>
    <t>Task site dependency</t>
  </si>
  <si>
    <t>Personnal availability</t>
  </si>
  <si>
    <t>Process ownership</t>
  </si>
  <si>
    <t>Component dependency</t>
  </si>
  <si>
    <t>Workload</t>
  </si>
  <si>
    <t>Task Size</t>
  </si>
  <si>
    <t>Participation and support to solve issues</t>
  </si>
  <si>
    <t>Persistent, conscientious responsiveness information</t>
  </si>
  <si>
    <t>Project requirements</t>
  </si>
  <si>
    <t>Capacity to absorb technical and business knowledge</t>
  </si>
  <si>
    <t xml:space="preserve">Understanding the process </t>
  </si>
  <si>
    <t>Mutual coordination among team members (managerial practices)</t>
  </si>
  <si>
    <t>Clear objective</t>
  </si>
  <si>
    <t>Knowledge incentive toward client business process</t>
  </si>
  <si>
    <t>Pilot knowledge between teams</t>
  </si>
  <si>
    <t>Project functionality toward client’s business process</t>
  </si>
  <si>
    <t>Understanding over the client’s business process environment</t>
  </si>
  <si>
    <t>Brainstorming actions for organizations</t>
  </si>
  <si>
    <t>Flexibility among teams</t>
  </si>
  <si>
    <t>Learning of innovative technology</t>
  </si>
  <si>
    <t>Component/Unit Testing prior to integration</t>
  </si>
  <si>
    <t>Development Environment and Training</t>
  </si>
  <si>
    <t>Incremental integration2</t>
  </si>
  <si>
    <t>Interface Compatibility</t>
  </si>
  <si>
    <t>Configuration management</t>
  </si>
  <si>
    <t>Components evaluation (off the shelf)</t>
  </si>
  <si>
    <t>Process, Data and Product’s Components</t>
  </si>
  <si>
    <t>Metrics</t>
  </si>
  <si>
    <t xml:space="preserve">Integration </t>
  </si>
  <si>
    <t>Organization: resource</t>
  </si>
  <si>
    <t>Organization: strategies</t>
  </si>
  <si>
    <t>Organization: standard</t>
  </si>
  <si>
    <t>Organization: culture</t>
  </si>
  <si>
    <t>Organization: politics</t>
  </si>
  <si>
    <t>Organization: practices</t>
  </si>
  <si>
    <t>Organization: regulations</t>
  </si>
  <si>
    <t>Organization: environment</t>
  </si>
  <si>
    <t>Organization: structure</t>
  </si>
  <si>
    <t>Organization: size</t>
  </si>
  <si>
    <t>Inter-team culture (NCASN)</t>
  </si>
  <si>
    <t>Social facilities</t>
  </si>
  <si>
    <t>Social interaction</t>
  </si>
  <si>
    <t>Stakeholder: Client</t>
  </si>
  <si>
    <t>Stakeholder: Relationship</t>
  </si>
  <si>
    <t>Stakeholder: Interaction mode</t>
  </si>
  <si>
    <t>Stakeholder: requirements realization</t>
  </si>
  <si>
    <t>Stakeholder: perfomance</t>
  </si>
  <si>
    <t>Stakeholder: problem domain</t>
  </si>
  <si>
    <t>Stakeholder: individual attitude</t>
  </si>
  <si>
    <t>Climatic condition</t>
  </si>
  <si>
    <t>Geological condition</t>
  </si>
  <si>
    <t>Workspace atmosphere</t>
  </si>
  <si>
    <t>Project: Characteristics</t>
  </si>
  <si>
    <t>Requirement estimation</t>
  </si>
  <si>
    <t>Collaboration, communication and coordination: inter-team, inter-site</t>
  </si>
  <si>
    <t>Collaboration, communication and coordination: cross-boundary</t>
  </si>
  <si>
    <t>Process selection</t>
  </si>
  <si>
    <t>Management performance</t>
  </si>
  <si>
    <t>Management decision</t>
  </si>
  <si>
    <t>Defect occurence</t>
  </si>
  <si>
    <t>Testing accuracy</t>
  </si>
  <si>
    <t>Knowledge assets</t>
  </si>
  <si>
    <t xml:space="preserve">Trust: among team members </t>
  </si>
  <si>
    <t>Trust: cross-boundary</t>
  </si>
  <si>
    <t>Trust: company and leadership</t>
  </si>
  <si>
    <t>Team size/ structure</t>
  </si>
  <si>
    <t>Team cohesion</t>
  </si>
  <si>
    <t>Capability to adopt team members</t>
  </si>
  <si>
    <t>Team experience</t>
  </si>
  <si>
    <t>Requirement management</t>
  </si>
  <si>
    <t>Global project management issues</t>
  </si>
  <si>
    <t>Face to face meeting</t>
  </si>
  <si>
    <t>User involvement</t>
  </si>
  <si>
    <t>Labour cost</t>
  </si>
  <si>
    <t>Human related problems</t>
  </si>
  <si>
    <t>Technical Infrastructure</t>
  </si>
  <si>
    <t>Effort and cost estimation for change</t>
  </si>
  <si>
    <t>Productivity</t>
  </si>
  <si>
    <t>Project methodology (approach, mentoring)</t>
  </si>
  <si>
    <t>Quality of build</t>
  </si>
  <si>
    <t>Quality of test</t>
  </si>
  <si>
    <t>Team rewards and recognitions</t>
  </si>
  <si>
    <t>Employee facilitation</t>
  </si>
  <si>
    <t xml:space="preserve">Alignment between architectural decisions to organization structure </t>
  </si>
  <si>
    <t>Project instability</t>
  </si>
  <si>
    <t>Software quality control</t>
  </si>
  <si>
    <t>Align architecture with organization arrangement</t>
  </si>
  <si>
    <t>knowledge management practices</t>
  </si>
  <si>
    <t>Communicate architectural decisions to all stakeholders</t>
  </si>
  <si>
    <t>Conformance to share practices</t>
  </si>
  <si>
    <t>Standardize architectural practices</t>
  </si>
  <si>
    <t>Identifyind dependencies on architectural desing decision</t>
  </si>
  <si>
    <t>Architectural design practices</t>
  </si>
  <si>
    <t>Architecting modeling techniques</t>
  </si>
  <si>
    <t>Task allocation</t>
  </si>
  <si>
    <t>Architecturebased task allocation</t>
  </si>
  <si>
    <t>Compliance to processes</t>
  </si>
  <si>
    <t>Governance implemented</t>
  </si>
  <si>
    <t>Handling soft issues</t>
  </si>
  <si>
    <t>Socio-culture distance</t>
  </si>
  <si>
    <t>Team member's attitude</t>
  </si>
  <si>
    <t>Customer relationship</t>
  </si>
  <si>
    <t xml:space="preserve">Cost and logistics of meetings </t>
  </si>
  <si>
    <t>Effort to initiate contact</t>
  </si>
  <si>
    <t>Time overlapping</t>
  </si>
  <si>
    <t>Communication frequency</t>
  </si>
  <si>
    <t>Detailed level of communication</t>
  </si>
  <si>
    <t>Mutual undestanding</t>
  </si>
  <si>
    <t>Domain of manager's opinion</t>
  </si>
  <si>
    <t xml:space="preserve">Connectivity issues </t>
  </si>
  <si>
    <t>Communication infrastructure</t>
  </si>
  <si>
    <t>Quality of telecommunication bandwidth</t>
  </si>
  <si>
    <t>ICT/ Technological</t>
  </si>
  <si>
    <t>Uniform processes</t>
  </si>
  <si>
    <t>Communication of customer requirements</t>
  </si>
  <si>
    <t>knowledge creation ability among the teams</t>
  </si>
  <si>
    <t>Ability to solve their professional problems</t>
  </si>
  <si>
    <t>Cooperation and competing within the teams’ to fulfill the goals</t>
  </si>
  <si>
    <t xml:space="preserve">Communication pattern </t>
  </si>
  <si>
    <t>knowledge creation ability inside the teams</t>
  </si>
  <si>
    <t xml:space="preserve">mediating role knowledge transfer </t>
  </si>
  <si>
    <t>Assessment of teams knowledge transfer effectiveness</t>
  </si>
  <si>
    <t>Communality</t>
  </si>
  <si>
    <t xml:space="preserve">Benevolence </t>
  </si>
  <si>
    <t>Internalised norms</t>
  </si>
  <si>
    <t xml:space="preserve">Accountability </t>
  </si>
  <si>
    <t>Negotiation skills</t>
  </si>
  <si>
    <t>Reasoning skills</t>
  </si>
  <si>
    <t>Communication protocols and customs</t>
  </si>
  <si>
    <t>Communication skills in a second language</t>
  </si>
  <si>
    <t>Ability to motivate others and create trust</t>
  </si>
  <si>
    <t>Extroversion (personality dimensions)</t>
  </si>
  <si>
    <t>Anxiety  (personality dimensions)</t>
  </si>
  <si>
    <t>Self-control  (personality dimensions)</t>
  </si>
  <si>
    <t>Sensitivity  (personality dimensions)</t>
  </si>
  <si>
    <t>Emotional stability  (personality dimensions)</t>
  </si>
  <si>
    <t>Reasoning or dominance (personality dimensions)</t>
  </si>
  <si>
    <t>Personality or charisma (personality dimensions)</t>
  </si>
  <si>
    <t>Age</t>
  </si>
  <si>
    <t>Frequent information sharing</t>
  </si>
  <si>
    <t>Elicitation techniques</t>
  </si>
  <si>
    <t>Client and vendor organizational management commitment</t>
  </si>
  <si>
    <t>Financial maturity</t>
  </si>
  <si>
    <t>Use of English for communication</t>
  </si>
  <si>
    <t>Informal communication</t>
  </si>
  <si>
    <t>Experioned staff</t>
  </si>
  <si>
    <t>Agile training</t>
  </si>
  <si>
    <t>Budget constraints</t>
  </si>
  <si>
    <t>Project scope</t>
  </si>
  <si>
    <t>Organizational commitments</t>
  </si>
  <si>
    <t>Scaling tools and standards</t>
  </si>
  <si>
    <t>Error management culture</t>
  </si>
  <si>
    <t>Handling of data</t>
  </si>
  <si>
    <t>Lifelong learning</t>
  </si>
  <si>
    <t>Legislation and regulation with cloud provider</t>
  </si>
  <si>
    <t>Choose the right cloud service provider</t>
  </si>
  <si>
    <t>Reuse ability</t>
  </si>
  <si>
    <t>Lack of Eminence Education &amp; Domain Knowledge issues</t>
  </si>
  <si>
    <t>Lack of conviction issues</t>
  </si>
  <si>
    <t>Gender preference and segregation</t>
  </si>
  <si>
    <t>Sub-total</t>
  </si>
  <si>
    <t>Exploring the influence of partnership quality factors towards the outcome of global software development projects</t>
  </si>
  <si>
    <t>L01</t>
  </si>
  <si>
    <t>Scopus</t>
  </si>
  <si>
    <t>d</t>
  </si>
  <si>
    <t/>
  </si>
  <si>
    <t>Sangaiah A.K., Thangavelu A.K.</t>
  </si>
  <si>
    <t>55616335800;57055634400;</t>
  </si>
  <si>
    <t>Context: Offshore and on-site teams' partnership quality has been key predictors to achieve high quality software and reduce cost in the case of Global Software Development (GSD) projects from the software service provider perspective in India. Aim: Our research aim is to build a unified and theoretically grounded research model which specifies the different dimensions of offshore and onsite teams partnership quality and underlying the influencing factors towards the outcome of GSD projects. Objective: Specifically, our study focused on the measurement of perceived partnership quality factors (knowledge sharing, trust, commitment and requirements flow down) between offshore and on-site teams rather than gap analysis, as earlier research has indicated the partnership quality factors influence the outcome of GSD projects. Method: The purpose of this study is to specify the working relationship between offshore and onsite teams in the outsourcing on-going stage based on Social Exchange Theory (SET) perspective. To explore the influence of partnership quality factors towards the outcome of GSD projects from the service provider perspective into three dimensions: schedule, cost improvement, and service quality. This study employs survey research methods to empirically validate the research model based on the data collected from 338 software professionals for their view of GSD projects in India. © 2012 Praise Worthy Prize S.r.l. - All rights reserved.</t>
  </si>
  <si>
    <t>International Review on Computers and Software</t>
  </si>
  <si>
    <t>https://www.scopus.com/inward/record.uri?eid=2-s2.0-84869825785&amp;partnerID=40&amp;md5=88c1674a41df8de307de1a1401bf8a32</t>
  </si>
  <si>
    <t>School of Computing Science and Engineering (SCSE), VIT University, Vellore, Tamil Nadu, India</t>
  </si>
  <si>
    <t>Sangaiah, A.K., School of Computing Science and Engineering (SCSE), VIT University, Vellore, Tamil Nadu, India; Thangavelu, A.K., School of Computing Science and Engineering (SCSE), VIT University, Vellore, Tamil Nadu, India</t>
  </si>
  <si>
    <t>Sangaiah, A.K.; School of Computing Science and Engineering (SCSE), VIT UniversityIndia; email: sarunkumar@vit.ac.in</t>
  </si>
  <si>
    <t>Article</t>
  </si>
  <si>
    <t>Change prioritization, Scheduling of changes, Requirements analysis, Design</t>
  </si>
  <si>
    <t>Construction, retrofit test, regression test, perfomance test</t>
  </si>
  <si>
    <t>Team Competency, Employee goal setting, Employee appraisal, Employee rewards &amp;
recognition,  Employee onsite
assignment</t>
  </si>
  <si>
    <t>Individual initiatives, Mentoring by core team,  Employee work life balance</t>
  </si>
  <si>
    <t>Improving requirement prioritization and traceability using artificial intelligence technique for global software development</t>
  </si>
  <si>
    <t>L02</t>
  </si>
  <si>
    <t>10.1109/INMIC48123.2019.9022775</t>
  </si>
  <si>
    <t>Haider W., Hafeez Y., Ali S., Jawad M., Ahmad F.B., Rafi M.N.</t>
  </si>
  <si>
    <t>57202746491;53984257400;57203224747;55648773200;57216161569;57216150563;</t>
  </si>
  <si>
    <t>Global software development (GSD) organizations encouraged to improve software quality of products. The GSD used highly skilled and advance technology at one place through the internet. The main challenges face in GSD with benefits are communication, coordination and control. These issues create ambiguities and incompleteness in requirements prioritization and traceability process due to lots of stakeholders and human efforts involved. Therefore, we proposed a framework to improve requirements prioritization and traceability process using artificial intelligent technique. The framework was evaluated using experiment and compared with existing solutions. Results described that proposed framework significantly improved requirements prioritization and traceability with less human interaction to reduce GSD challenges. © 2019 IEEE.</t>
  </si>
  <si>
    <t>Proceedings - 22nd International Multitopic Conference, INMIC 2019</t>
  </si>
  <si>
    <t>https://www.scopus.com/inward/record.uri?eid=2-s2.0-85082715297&amp;doi=10.1109%2fINMIC48123.2019.9022775&amp;partnerID=40&amp;md5=6f1d4aac811880b470ce8dc319c683e1</t>
  </si>
  <si>
    <t>UIIT PMAS Arid Agriculture University, Rawalpindi, Pakistan</t>
  </si>
  <si>
    <t>Haider, W., UIIT PMAS Arid Agriculture University, Rawalpindi, Pakistan; Hafeez, Y., UIIT PMAS Arid Agriculture University, Rawalpindi, Pakistan; Ali, S., UIIT PMAS Arid Agriculture University, Rawalpindi, Pakistan; Jawad, M., UIIT PMAS Arid Agriculture University, Rawalpindi, Pakistan; Ahmad, F.B., UIIT PMAS Arid Agriculture University, Rawalpindi, Pakistan; Rafi, M.N., UIIT PMAS Arid Agriculture University, Rawalpindi, Pakistan</t>
  </si>
  <si>
    <t>Conference Paper</t>
  </si>
  <si>
    <t>Global Software Development and Capability Maturity Model Integration: A Systematic Literature Review</t>
  </si>
  <si>
    <t>L03</t>
  </si>
  <si>
    <t>10.1109/IAC.2018.8780489</t>
  </si>
  <si>
    <t>Hidayati A., Purwandari B., Budiardjo E.K., Solichah I.</t>
  </si>
  <si>
    <t>57201446053;56716397400;6505807438;55014342100;</t>
  </si>
  <si>
    <t>Global Software Development (GSD) offers many benefits. On the other hand, it also has several challenges such as its impact on software quality. The implementation of software processes improvement, such as the Capability Maturity Model Integration (CMMI), can improve quality of software products. However, CMMI as a process improvement model has been rarely discussed in GSD context. To fill this gap a systematic literature study was conducted by using Kitchenham's method. It investigated GSD research from several databases between 2013-2018. At the end there are 12 selected papers. The findings indicate that CMMI is essential for the success of GSD projects. However, it requires multiple customizations and combinations with other standards. Concept Process Areas (PAs) and maturity level from CMMI are used in new standards Software Process Improvement (SPI) with different approaches. The results of this study are potential as a reference to develop customized CMMI to increase success rate in GSD projects. © 2018 IEEE.</t>
  </si>
  <si>
    <t>Proceedings of the 3rd International Conference on Informatics and Computing, ICIC 2018</t>
  </si>
  <si>
    <t>https://www.scopus.com/inward/record.uri?eid=2-s2.0-85070813935&amp;doi=10.1109%2fIAC.2018.8780489&amp;partnerID=40&amp;md5=91e21561fbb4d173e34f9ba9217b616a</t>
  </si>
  <si>
    <t>Faculty of Computer, Science Universitas Indonesia, Depok, Indonesia</t>
  </si>
  <si>
    <t>Hidayati, A., Faculty of Computer, Science Universitas Indonesia, Depok, Indonesia; Purwandari, B., Faculty of Computer, Science Universitas Indonesia, Depok, Indonesia; Budiardjo, E.K., Faculty of Computer, Science Universitas Indonesia, Depok, Indonesia; Solichah, I., Faculty of Computer, Science Universitas Indonesia, Depok, Indonesia</t>
  </si>
  <si>
    <t>Software cost attributes in global software development projects: A survey</t>
  </si>
  <si>
    <t>L04</t>
  </si>
  <si>
    <t>10.1145/3149572.3149607</t>
  </si>
  <si>
    <t>El Bajta M., Idri A., Ros J.N., Fernández-Alemán J.L., Toval A.</t>
  </si>
  <si>
    <t>56593302500;6602789810;56702109500;6504105559;22982044800;</t>
  </si>
  <si>
    <t>Global software development is nowadays becoming a priority for software industry. The actual global software engineering research has mainly focused on challenges and methodologies. Research on the cost attributes and the software development was fundamental to emphasize on the application of these attributes in the overall software development. A major research to explicit how global companies practicing global software development are undertaken to address those cost attributes. In this paper, a descriptive survey is conducted to define the position of cost attributes in global software development. This survey is a data collection from an empirical strategy through an online questionnaire targeting 30 practitioners with practical software engineering experience. Moreover, results of 26 questions, chosen with major care, are analyzed and discussed. The results show that interest in cost attributes for global software development projects is a critical topic for distributed software development. The control and the evaluation of cost attributes allow companies principally to save cost and also to remain focused on development of projects. © 2017 Association for Computing Machinery.</t>
  </si>
  <si>
    <t>ACM International Conference Proceeding Series</t>
  </si>
  <si>
    <t>https://www.scopus.com/inward/record.uri?eid=2-s2.0-85045682013&amp;doi=10.1145%2f3149572.3149607&amp;partnerID=40&amp;md5=16000f11f68542d040793a7c5ac8ef9b</t>
  </si>
  <si>
    <t>Software Project Management Research Team ENSIAS, Mohammed V University, Rabat, Morocco; Dept. Informatica y Sistemas, University of Murcia, Murcia, Spain</t>
  </si>
  <si>
    <t>El Bajta, M., Software Project Management Research Team ENSIAS, Mohammed V University, Rabat, Morocco; Idri, A., Software Project Management Research Team ENSIAS, Mohammed V University, Rabat, Morocco; Ros, J.N., Dept. Informatica y Sistemas, University of Murcia, Murcia, Spain; Fernández-Alemán, J.L., Software Project Management Research Team ENSIAS, Mohammed V University, Rabat, Morocco; Toval, A., Dept. Informatica y Sistemas, University of Murcia, Murcia, Spain</t>
  </si>
  <si>
    <t>Comparing the similarity of responses received from studies in Amazon's Mechanical Turk to studies conducted online and with direct recruitment</t>
  </si>
  <si>
    <t>L05</t>
  </si>
  <si>
    <t>10.1371/journal.pone.0121595</t>
  </si>
  <si>
    <t>Bartneck C., Duenser A., Moltchanova E., Zawieska K.</t>
  </si>
  <si>
    <t>6602256988;8649328200;6508318897;55515563700;</t>
  </si>
  <si>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 © 2015 Bartneck et al.</t>
  </si>
  <si>
    <t>PLoS ONE</t>
  </si>
  <si>
    <t>https://www.scopus.com/inward/record.uri?eid=2-s2.0-84928923283&amp;doi=10.1371%2fjournal.pone.0121595&amp;partnerID=40&amp;md5=8353de1eaeca4bfd931cc2d847bfee05</t>
  </si>
  <si>
    <t>University of Canterbury, Private Bag 4800, Christchurch, 8140, New Zealand; CSIRO Computational Informatics Castray Esplanade, Hobart, TAS  7000, Australia; Industrial Research Institute for Automation and Measurements (PIAP) Al, Jerozolimskie 202, Warsaw, 02-486, Poland</t>
  </si>
  <si>
    <t>Bartneck, C., University of Canterbury, Private Bag 4800, Christchurch, 8140, New Zealand; Duenser, A., CSIRO Computational Informatics Castray Esplanade, Hobart, TAS  7000, Australia; Moltchanova, E., University of Canterbury, Private Bag 4800, Christchurch, 8140, New Zealand; Zawieska, K., Industrial Research Institute for Automation and Measurements (PIAP) Al, Jerozolimskie 202, Warsaw, 02-486, Poland</t>
  </si>
  <si>
    <t>The impact of global dispersion on coordination, team performance and software quality-A systematic literature review</t>
  </si>
  <si>
    <t>L06</t>
  </si>
  <si>
    <t>10.1016/j.infsof.2014.06.002</t>
  </si>
  <si>
    <t>Nguyen-Duc A., Cruzes D.S., Conradi R.</t>
  </si>
  <si>
    <t>55925400800;9844349100;35606380100;</t>
  </si>
  <si>
    <t>Context: Global software development (GSD) contains different context setting dimensions, which are essential for effective teamwork and success of projects. Although considerable research effort has been made in this area, as yet, no agreement has been reached about the impact of these dispersion dimensions on team coordination and project outcomes. Objective: This paper summarizes empirical evidence on the impact of global dispersion dimensions on coordination, team performance and project outcomes. Method: We performed a systematic literature review of 46 publications from 25 journals and 19 conference and workshop proceedings, which were published between 2001 and 2013. Thematic analysis was used to identify global dimensions and their measures. Vote counting was used to decide on the impact trends of dispersion dimensions on team performance and software quality. Results: Global dispersion dimensions are consistently conceptualized, but quantified in many different ways. Different dispersion dimensions are associated with a distinct set of coordination challenges. Overall, geographical dispersion tends to have a negative impact on team performance and software quality. Temporal dispersion tends to have a negative impact on software quality, but its impact on team performance is inconsistent and can be explained by type of performance. Conclusion: For researchers, we reveal several opportunities for future research, such as coordination challenges in inter-organizational software projects, impact of processes and practices mismatches on project outcomes, evolution of coordination needs and mechanism over time and impact of dispersion dimensions on open source project outcomes. For practitioners, they should consider the tradeoff between cost and benefits while dispersing tasks, alignment impact of dispersion dimensions with individual and organizational objectives, coordination mechanisms as situational approaches and collocation of development activities of high quality demand components in GSD projects. © 2014 Elsevier B.V. All rights reserved.</t>
  </si>
  <si>
    <t>TEAMWORK</t>
  </si>
  <si>
    <t>Information and Software Technology</t>
  </si>
  <si>
    <t>https://www.scopus.com/inward/record.uri?eid=2-s2.0-84922680287&amp;doi=10.1016%2fj.infsof.2014.06.002&amp;partnerID=40&amp;md5=f9d1f0dc2822417328a59f5210bb12e7</t>
  </si>
  <si>
    <t>NORWAY</t>
  </si>
  <si>
    <t>Department of Computer and Information Science (IDI), NTNU, Sem Saelands vei 7-9, Trondheim, Norway</t>
  </si>
  <si>
    <t>Nguyen-Duc, A., Department of Computer and Information Science (IDI), NTNU, Sem Saelands vei 7-9, Trondheim, Norway; Cruzes, D.S., Department of Computer and Information Science (IDI), NTNU, Sem Saelands vei 7-9, Trondheim, Norway; Conradi, R., Department of Computer and Information Science (IDI), NTNU, Sem Saelands vei 7-9, Trondheim, Norway</t>
  </si>
  <si>
    <t>Nguyen-Duc, A.; Department of Computer and Information Science (IDI), NTNU, Sem Saelands vei 7-9, Norway</t>
  </si>
  <si>
    <t>p</t>
  </si>
  <si>
    <t>CrowdEval: A cost-efficient strategy to evaluate crowdsourced worker's reliability</t>
  </si>
  <si>
    <t>L07</t>
  </si>
  <si>
    <t>Both</t>
  </si>
  <si>
    <t>Qiu C., Squicciarini A., Khare D.R., Carminati B., Caverlee J.</t>
  </si>
  <si>
    <t>55523851000;6506303417;57192062530;13402877800;8567605000;</t>
  </si>
  <si>
    <t>Crowdsourcing platforms depend on the quality of work provided by a distributed workforce. Yet, it is challenging to dependably measure the reliability of these workers, particularly in the face of strategic or malicious behavior. In this paper, we present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 © 2018 International Foundation for Autonomous Agents and Multiagent Systems (www.ifaamas.org). All rights reserved.</t>
  </si>
  <si>
    <t>Proceedings of the International Joint Conference on Autonomous Agents and Multiagent Systems, AAMAS</t>
  </si>
  <si>
    <t>https://www.scopus.com/inward/record.uri?eid=2-s2.0-85054646998&amp;partnerID=40&amp;md5=d71de2591740959e01661144f5c8e48e</t>
  </si>
  <si>
    <t>College of Information Science and Technology, Pennsylvania State University, University Park, PA, United States; Department of Theoretical and Applied Sciences, University of Insubria, Varese, Italy; Department of Computer Science and Engineering, Texas A and M University, College Station, TX, United States</t>
  </si>
  <si>
    <t>Qiu, C., College of Information Science and Technology, Pennsylvania State University, University Park, PA, United States; Squicciarini, A., College of Information Science and Technology, Pennsylvania State University, University Park, PA, United States; Khare, D.R., College of Information Science and Technology, Pennsylvania State University, University Park, PA, United States; Carminati, B., Department of Theoretical and Applied Sciences, University of Insubria, Varese, Italy; Caverlee, J., Department of Computer Science and Engineering, Texas A and M University, College Station, TX, United States</t>
  </si>
  <si>
    <t>Formulating evaluation model to assess the effectiveness of coordination processes in global software development projects: Research-in-progress</t>
  </si>
  <si>
    <t>L08</t>
  </si>
  <si>
    <t>10.3233/978-1-61499-800-6-593</t>
  </si>
  <si>
    <t>Subbarao A., Mahrin M.N.</t>
  </si>
  <si>
    <t>57195614839;24338609500;</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</si>
  <si>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 © 2017 The authors and IOS Press. All rights reserved.</t>
  </si>
  <si>
    <t>Frontiers in Artificial Intelligence and Applications</t>
  </si>
  <si>
    <t>https://www.scopus.com/inward/record.uri?eid=2-s2.0-85029222473&amp;doi=10.3233%2f978-1-61499-800-6-593&amp;partnerID=40&amp;md5=36ad06d15b4b27ce2bef8950156bbbf0</t>
  </si>
  <si>
    <t>Advance Informatics School, Universiti Teknologi Malaysia, Malaysia</t>
  </si>
  <si>
    <t>Subbarao, A., Advance Informatics School, Universiti Teknologi Malaysia, Malaysia; Mahrin, M.N., Advance Informatics School, Universiti Teknologi Malaysia, Malaysia</t>
  </si>
  <si>
    <t>Subbarao, A.; Advance Informatics School, Universiti Teknologi MalaysiaMalaysia; email: anusya_r@yahoo.com</t>
  </si>
  <si>
    <t>Knowledge transfer challenges and mitigation strategies in global software development—A systematic literature review and industrial validation</t>
  </si>
  <si>
    <t>L09</t>
  </si>
  <si>
    <t>10.1016/j.ijinfomgt.2012.11.004</t>
  </si>
  <si>
    <t>Nidhra S., Yanamadala M., Afzal W., Torkar R.</t>
  </si>
  <si>
    <t>55516676400;55533959900;24832739300;24476597300;</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</si>
  <si>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 2012 Elsevier Ltd</t>
  </si>
  <si>
    <t>KNOWLEDGE TRANSFER</t>
  </si>
  <si>
    <t>International Journal of Information Management</t>
  </si>
  <si>
    <t>https://www.scopus.com/inward/record.uri?eid=2-s2.0-84871359508&amp;doi=10.1016%2fj.ijinfomgt.2012.11.004&amp;partnerID=40&amp;md5=80a5f7b9017eede9863938a16cc58eff</t>
  </si>
  <si>
    <t>SWEDEN</t>
  </si>
  <si>
    <t>Blekinge Institute of Technology, Karlskrona, SE-37179, Sweden; Department of Computer Sciences, Bahria University, Islamabad, Pakistan; Chalmers University of Technology, Gothenburg, SE-41296, Sweden</t>
  </si>
  <si>
    <t>Nidhra, S., Blekinge Institute of Technology, Karlskrona, SE-37179, Sweden; Yanamadala, M., Blekinge Institute of Technology, Karlskrona, SE-37179, Sweden; Afzal, W., Department of Computer Sciences, Bahria University, Islamabad, Pakistan; Torkar, R., Blekinge Institute of Technology, Karlskrona, SE-37179, Sweden, Chalmers University of Technology, Gothenburg, SE-41296, Sweden</t>
  </si>
  <si>
    <t>Afzal, W.; Department of Computer Sciences, Bahria UniversityPakistan; email: wasif.afzal@gmail.com</t>
  </si>
  <si>
    <t>An Analysis of the Use of Qualifications on the Amazon Mechanical Turk Online Labor Market</t>
  </si>
  <si>
    <t>L10</t>
  </si>
  <si>
    <t>10.1007/s10606-017-9283-z</t>
  </si>
  <si>
    <t>Sodré I., Brasileiro F.</t>
  </si>
  <si>
    <t>57194763314;6602598797;</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</si>
  <si>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 © 2017, Springer Science+Business Media Dordrecht.</t>
  </si>
  <si>
    <t>Computer Supported Cooperative Work: CSCW: An International Journal</t>
  </si>
  <si>
    <t>https://www.scopus.com/inward/record.uri?eid=2-s2.0-85022024448&amp;doi=10.1007%2fs10606-017-9283-z&amp;partnerID=40&amp;md5=3919da18cda53c46723a550ca99ace28</t>
  </si>
  <si>
    <t>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</si>
  <si>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Campina Grande, Paraíba  58429-900, Brazil; Brasileiro, F., 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</si>
  <si>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Brazil; email: ianna@ifpb.edu.br</t>
  </si>
  <si>
    <t>A framework to preserve confidentiality in crowdsourced software development</t>
  </si>
  <si>
    <t>L11</t>
  </si>
  <si>
    <t>10.1109/ICSE-C.2017.145</t>
  </si>
  <si>
    <t>Dubey A., Abhinav K., Virdi G.</t>
  </si>
  <si>
    <t>8987224400;57188546039;57119627900;</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</si>
  <si>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 © 2017 IEEE.</t>
  </si>
  <si>
    <t>Proceedings - 2017 IEEE/ACM 39th International Conference on Software Engineering Companion, ICSE-C 2017</t>
  </si>
  <si>
    <t>https://www.scopus.com/inward/record.uri?eid=2-s2.0-85026743463&amp;doi=10.1109%2fICSE-C.2017.145&amp;partnerID=40&amp;md5=5444a8bad60082c6a681c9e8b69e9826</t>
  </si>
  <si>
    <t>Accenture Labs, Bangalore, India</t>
  </si>
  <si>
    <t>Dubey, A., Accenture Labs, Bangalore, India; Abhinav, K., Accenture Labs, Bangalore, India; Virdi, G., Accenture Labs, Bangalore, India</t>
  </si>
  <si>
    <t>An integrated fuzzy DEMATEL, TOPSIS, and ELECTRE approach for evaluating knowledge transfer effectiveness with reference to GSD project outcome</t>
  </si>
  <si>
    <t>L12</t>
  </si>
  <si>
    <t>10.1007/s00521-015-2040-7</t>
  </si>
  <si>
    <t>Sangaiah A.K., Gopal J., Basu A., Subramaniam P.R.</t>
  </si>
  <si>
    <t>55616335800;56512554700;57212861202;54411374000;</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</si>
  <si>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 © 2015, The Natural Computing Applications Forum.</t>
  </si>
  <si>
    <t>Neural Computing and Applications</t>
  </si>
  <si>
    <t>https://www.scopus.com/inward/record.uri?eid=2-s2.0-84940945729&amp;doi=10.1007%2fs00521-015-2040-7&amp;partnerID=40&amp;md5=b74d153c1f9383e4ff6e62191260d917</t>
  </si>
  <si>
    <t>School of Computing Science and Engineering, VIT University, Vellore, Tamil Nadu, India; School of Information Technology and Engineering, VIT University, Vellore, Tamil Nadu, India; East Point College of Engineering, Bangalore, India; Discipline of Information Systems and Technology, University of KwaZulu-Natal, Pietermaritzburg, South Africa</t>
  </si>
  <si>
    <t>Sangaiah, A.K., School of Computing Science and Engineering, VIT University, Vellore, Tamil Nadu, India; Gopal, J., School of Information Technology and Engineering, VIT University, Vellore, Tamil Nadu, India; Basu, A., East Point College of Engineering, Bangalore, India; Subramaniam, P.R., Discipline of Information Systems and Technology, University of KwaZulu-Natal, Pietermaritzburg, South Africa</t>
  </si>
  <si>
    <t>Sangaiah, A.K.; School of Computing Science and Engineering, VIT UniversityIndia; email: arunkumarsangaiah@gmail.com</t>
  </si>
  <si>
    <t>Tools used in Global Software Engineering: A systematic mapping review</t>
  </si>
  <si>
    <t>L13</t>
  </si>
  <si>
    <t>10.1016/j.infsof.2012.02.006</t>
  </si>
  <si>
    <t>Portillo-Rodríguez J., Vizcaíno A., Piattini M., Beecham S.</t>
  </si>
  <si>
    <t>23398116200;7003393897;7004203473;6505937694;</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</si>
  <si>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 2012 Elsevier B.V. All rights reserved.</t>
  </si>
  <si>
    <t>https://www.scopus.com/inward/record.uri?eid=2-s2.0-84860230057&amp;doi=10.1016%2fj.infsof.2012.02.006&amp;partnerID=40&amp;md5=3b7c203785b1c776208ef0212bad7b69</t>
  </si>
  <si>
    <t>Alarcos Research Group, University of Castilla-La Mancha, Paseo de la Universidad, 4, 13071 Ciudad Real, Spain; Lero-The Irish Software Engineering Research Centre, University of Limerick, Ireland</t>
  </si>
  <si>
    <t>Portillo-Rodríguez, J., Alarcos Research Group, University of Castilla-La Mancha, Paseo de la Universidad, 4, 13071 Ciudad Real, Spain; Vizcaíno, A., Alarcos Research Group, University of Castilla-La Mancha, Paseo de la Universidad, 4, 13071 Ciudad Real, Spain; Piattini, M., Alarcos Research Group, University of Castilla-La Mancha, Paseo de la Universidad, 4, 13071 Ciudad Real, Spain; Beecham, S., Lero-The Irish Software Engineering Research Centre, University of Limerick, Ireland</t>
  </si>
  <si>
    <t>Portillo-Rodríguez, J.; Alarcos Research Group, University of Castilla-La Mancha, Paseo de la Universidad, 4, 13071 Ciudad Real, Spain; email: javier.portillo@uclm.es</t>
  </si>
  <si>
    <t>Review</t>
  </si>
  <si>
    <t>A systematic literature review on factors impacting agile adaptation in global software development</t>
  </si>
  <si>
    <t>L14</t>
  </si>
  <si>
    <t>10.1145/3348445.3348463</t>
  </si>
  <si>
    <t>Altaf A., Fatima U., Butt W.H., Anwar M.W., Hamdani M.</t>
  </si>
  <si>
    <t>57211267851;37118825500;26665905200;56677318200;57202077421;</t>
  </si>
  <si>
    <t>Agile practices are considered as a major attraction for global software development (GSD) projects owing to its flexible nature. Beside the major benefits it offers to GSD, there are few challenges that hinders its implementation across the global software industry. This study contributes in constructing a systematic literature review for exploring the major factors impacting the agile adaptation at global level. We have identified and analyzed 28 research studies (2015-2019). These selected studies have revealed Scrum and Extreme Programming (XP) as the most popular agile practices that are adapted irrespective of the software type and organizational structure. Furthermore 5 tool categories are also presented i.e. modeling, requirement elicitation, data tracking tools etc. that are commonly used while practicing agile. The major findings of this study conclude that these agile methodologies are heavily adapted due to their iterative model and quick code delivery but basic challenges like poor customer involvement and lack of documentation are badly affecting its growth at global level. © 2019 Association for Computing Machinery.</t>
  </si>
  <si>
    <t>https://www.scopus.com/inward/record.uri?eid=2-s2.0-85073203618&amp;doi=10.1145%2f3348445.3348463&amp;partnerID=40&amp;md5=6a96743333492cc3ba3305db582aca3c</t>
  </si>
  <si>
    <t>Department of Computer and Software Engineering, College of E and ME, National University of Sciences and Technology (NUST), Islamabad, H-12, Pakistan</t>
  </si>
  <si>
    <t>Altaf, A., Department of Computer and Software Engineering, College of E and ME, National University of Sciences and Technology (NUST), Islamabad, H-12, Pakistan; Fatima, U., Department of Computer and Software Engineering, College of E and ME, National University of Sciences and Technology (NUST), Islamabad, H-12, Pakistan; Butt, W.H., Department of Computer and Software Engineering, College of E and ME, National University of Sciences and Technology (NUST), Islamabad, H-12, Pakistan; Anwar, M.W., Department of Computer and Software Engineering, College of E and ME, National University of Sciences and Technology (NUST), Islamabad, H-12, Pakistan; Hamdani, M., Department of Computer and Software Engineering, College of E and ME, National University of Sciences and Technology (NUST), Islamabad, H-12, Pakistan</t>
  </si>
  <si>
    <t>Software project management approaches for global software development: A systematic mapping study</t>
  </si>
  <si>
    <t>L15</t>
  </si>
  <si>
    <t>10.26599/TST.2018.9010029</t>
  </si>
  <si>
    <t>Bajta M.E., Idri A., Ros J.N., Fernández-Alemán J.L., De Gea J.M.C., García F., Toval A.</t>
  </si>
  <si>
    <t>56593302500;6602789810;56702109500;6504105559;36462477200;57215539024;22982044800;</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</si>
  <si>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 © 2018 Tsinghua University Press. All rights reserved.</t>
  </si>
  <si>
    <t>Tsinghua Science and Technology</t>
  </si>
  <si>
    <t>https://www.scopus.com/inward/record.uri?eid=2-s2.0-85055661732&amp;doi=10.26599%2fTST.2018.9010029&amp;partnerID=40&amp;md5=7601769b8094dafca96fea06d11fd3db</t>
  </si>
  <si>
    <t>Software Project Management Research Team, Ecole Nationale Supérieure d'Informatique et d'Analyse des Systèmes (ENSIAS), Mohammed v University, Rabat, 713, Morocco; Department of Informatica y Sistemas, University of Murcia, Murcia, 30100, Spain; ALARCOS Research Group, Department of Information Systems and Technologies, University of Castilla-La Mancha (UCLM), Ciudad Real, 13071, Spain</t>
  </si>
  <si>
    <t>Bajta, M.E., Software Project Management Research Team, Ecole Nationale Supérieure d'Informatique et d'Analyse des Systèmes (ENSIAS), Mohammed v University, Rabat, 713, Morocco; Idri, A., Software Project Management Research Team, Ecole Nationale Supérieure d'Informatique et d'Analyse des Systèmes (ENSIAS), Mohammed v University, Rabat, 713, Morocco; Ros, J.N., Department of Informatica y Sistemas, University of Murcia, Murcia, 30100, Spain; Fernández-Alemán, J.L., Department of Informatica y Sistemas, University of Murcia, Murcia, 30100, Spain; De Gea, J.M.C., Department of Informatica y Sistemas, University of Murcia, Murcia, 30100, Spain; García, F., ALARCOS Research Group, Department of Information Systems and Technologies, University of Castilla-La Mancha (UCLM), Ciudad Real, 13071, Spain; Toval, A., Department of Informatica y Sistemas, University of Murcia, Murcia, 30100, Spain</t>
  </si>
  <si>
    <t>Bajta, M.E.; Software Project Management Research Team, Ecole Nationale Supérieure d'Informatique et d'Analyse des Systèmes (ENSIAS), Mohammed v UniversityMorocco; email: manal.elbajta@gmail.com</t>
  </si>
  <si>
    <t>Transformation action cycle: Suggestions for employee centered transformation to digital work in smes</t>
  </si>
  <si>
    <t>L16</t>
  </si>
  <si>
    <t>10.1007/978-3-030-50341-3_8</t>
  </si>
  <si>
    <t>Kluge J., Ziefle M., Buschmeyer A., Hahn C.</t>
  </si>
  <si>
    <t>55803547500;6602475572;56786469500;57218310960;</t>
  </si>
  <si>
    <t>The transformation to innovative and digital work environments is one major task for the working world. Actively shaping change processes in such a way that employees find the best possible working conditions offers many opportunities and potentials. On the one hand, it improves the working climate and employee loyalty. On the other hand, it creates optimal conditions for employees to optimally develop their potential. Requirements for employees and employers arise from changes due to the digital transformation of work. Both perspectives were considered in this paper. Focus is on the employees perspective and transformation in SMEs. On the basis of quantitative and qualitative surveys, fields of action in organizations were identified in this paper that are particularly relevant for the transformation process. An action transformation cycle has been developed, including fields of action in organizations from which specific measures for a transformation strategy can be inferred. An evaluation in an SME in the construction industry showed the transformation action cycle as useful tool for the support in planning transformation measures. © Springer Nature Switzerland AG 2020.</t>
  </si>
  <si>
    <t>Lecture Notes in Computer Science (including subseries Lecture Notes in Artificial Intelligence and Lecture Notes in Bioinformatics)</t>
  </si>
  <si>
    <t>https://www.scopus.com/inward/record.uri?eid=2-s2.0-85088744570&amp;doi=10.1007%2f978-3-030-50341-3_8&amp;partnerID=40&amp;md5=3c29d07d1ce07da9d473bd54264d744d</t>
  </si>
  <si>
    <t>GERMANY</t>
  </si>
  <si>
    <t>RWTH Aachen, Campus-Boulevard 57, Aachen, 52074, Germany; Derichs u Konertz GmbH u Co. KG, Oranienstraße 27-31, Aachen, 52066, Germany</t>
  </si>
  <si>
    <t>Kluge, J., RWTH Aachen, Campus-Boulevard 57, Aachen, 52074, Germany; Ziefle, M., RWTH Aachen, Campus-Boulevard 57, Aachen, 52074, Germany; Buschmeyer, A., Derichs u Konertz GmbH u Co. KG, Oranienstraße 27-31, Aachen, 52066, Germany; Hahn, C., Derichs u Konertz GmbH u Co. KG, Oranienstraße 27-31, Aachen, 52066, Germany</t>
  </si>
  <si>
    <t>Kluge, J.; Human Computer Interaction Center, RWTH Aachen, Campus-Boulevard 57, Germany; email: kluge@comm.rwth-aachen.de</t>
  </si>
  <si>
    <t>11th International Workshop on Software Engineering for Resilient Systems, SERENE 2019</t>
  </si>
  <si>
    <t>L17</t>
  </si>
  <si>
    <t>[No author name available]</t>
  </si>
  <si>
    <t>[No author id available]</t>
  </si>
  <si>
    <t>The proceedings contain 11 papers. The special focus in this conference is on Software Engineering for Resilient Systems. The topics include: On the Use of Quality Models to Characterize Trustworthiness Properties; a Distilled Characterization of Resilience and Its Embraced Properties Based on State-Spaces; modelling Autonomous Resilient Multi-robotic Systems; reactive Middleware for Effective Requirement Change Management of Cloud-Based Global Software Development; fault-Tolerant IoT: A Systematic Mapping Study; JARVIS, A Hardware/Software Framework for Resilient Industry 4.0 Systems; toward Testing Self-organizations in Multi-Embedded-Agent Systems; towards Integrated Correctness Analysis and Performance Evaluation of Software Systems (Doctoral Forum Paper); an Energy Aware Approach to Trust Management Systems for Embedded Multi-Agent Systems.</t>
  </si>
  <si>
    <t>https://www.scopus.com/inward/record.uri?eid=2-s2.0-85072870390&amp;partnerID=40&amp;md5=ca7d2587dbb7d7ee67c24883337c7c75</t>
  </si>
  <si>
    <t>Conference Review</t>
  </si>
  <si>
    <t>Scrum+: An agile guide for the global software development (GSD) multi-model project management</t>
  </si>
  <si>
    <t>L18</t>
  </si>
  <si>
    <t>10.1109/ColComCon.2018.8466710</t>
  </si>
  <si>
    <t>Chilito P., Viveros D., Pardo C., Pino F.J.</t>
  </si>
  <si>
    <t>57204397537;57204393475;35318545900;57195195220;</t>
  </si>
  <si>
    <t>Carrying out a project management is difficult in any situation, even more in global projects of software development, whose environment faces different aspects that make it even more difficult to manage this type of projects, for example: Lack of coordination, lack of face to face communication, temporary differences, cultural diversity, application of different standards, models, approaches, among others. In this sense, this article presents an agile guide called Scrum+, which is based on Scrum, and defines a set of activities, tasks, roles and criteria to support the management of global software development projects when multiple reference models are present. Likewise, the evaluation of the proposal applied in a focus group with experts in different related areas is presented, whose recommendations were taken into account to improve the proposal and generate a final version. © 2018 IEEE.</t>
  </si>
  <si>
    <t>2018 IEEE Colombian Conference on Communications and Computing, COLCOM 2018 - Proceedings</t>
  </si>
  <si>
    <t>https://www.scopus.com/inward/record.uri?eid=2-s2.0-85055444889&amp;doi=10.1109%2fColComCon.2018.8466710&amp;partnerID=40&amp;md5=3f9d0736770bd63d19a35aefe6d9e7af</t>
  </si>
  <si>
    <t>GTI Research Group, Electronic and Telecommunications Engineering Faculty, Universidad of Cauca, Calle, Popayán, Colombia</t>
  </si>
  <si>
    <t>Chilito, P., GTI Research Group, Electronic and Telecommunications Engineering Faculty, Universidad of Cauca, Calle, Popayán, Colombia; Viveros, D., GTI Research Group, Electronic and Telecommunications Engineering Faculty, Universidad of Cauca, Calle, Popayán, Colombia; Pardo, C., GTI Research Group, Electronic and Telecommunications Engineering Faculty, Universidad of Cauca, Calle, Popayán, Colombia; Pino, F.J., GTI Research Group, Electronic and Telecommunications Engineering Faculty, Universidad of Cauca, Calle, Popayán, Colombia</t>
  </si>
  <si>
    <t>An Evaluation of Amazon’s Mechanical Turk, Its Rapid Rise, and Its Effective Use</t>
  </si>
  <si>
    <t>L19</t>
  </si>
  <si>
    <t>10.1177/1745691617706516</t>
  </si>
  <si>
    <t>Buhrmester M.D., Talaifar S., Gosling S.D.</t>
  </si>
  <si>
    <t>36489258000;56820190600;16733981500;</t>
  </si>
  <si>
    <t>Over the past 2 decades, many social scientists have expanded their data-collection capabilities by using various online research tools. In the 2011 article “Amazon’s Mechanical Turk: A new source of inexpensive, yet high-quality, data?” in Perspectives on Psychological Science, Buhrmester, Kwang, and Gosling introduced researchers to what was then considered to be a promising but nascent research platform. Since then, thousands of social scientists from seemingly every field have conducted research using the platform. Here, we reflect on the impact of Mechanical Turk on the social sciences and our article’s role in its rise, provide the newest data-driven recommendations to help researchers effectively use the platform, and highlight other online research platforms worth consideration. © 2017, © The Author(s) 2017.</t>
  </si>
  <si>
    <t>Perspectives on Psychological Science</t>
  </si>
  <si>
    <t>https://www.scopus.com/inward/record.uri?eid=2-s2.0-85044759585&amp;doi=10.1177%2f1745691617706516&amp;partnerID=40&amp;md5=82858cb551513dc1a95f9c86cc297cf8</t>
  </si>
  <si>
    <t>Institute of Cognitive and Evolutionary Anthropology, University of Oxford, United Kingdom; Department of Psychology, University of Texas at Austin, United States; Melbourne School of Psychological Sciences, University of Melbourne, Australia</t>
  </si>
  <si>
    <t>Buhrmester, M.D., Institute of Cognitive and Evolutionary Anthropology, University of Oxford, United Kingdom; Talaifar, S., Department of Psychology, University of Texas at Austin, United States; Gosling, S.D., Department of Psychology, University of Texas at Austin, United States, Melbourne School of Psychological Sciences, University of Melbourne, Australia</t>
  </si>
  <si>
    <t>Buhrmester, M.D.; Institute of Cognitive and Evolutionary Anthropology, University of Oxford, 64 Banbury Rd., United Kingdom; email: buhrmester@gmail.com</t>
  </si>
  <si>
    <t>Juggling with information sources, task type, and information quality</t>
  </si>
  <si>
    <t>L20</t>
  </si>
  <si>
    <t>10.1145/3176349.3176390</t>
  </si>
  <si>
    <t>Wang Y., Sarkar S., Shah C.</t>
  </si>
  <si>
    <t>57193625192;57193832022;55684215000;</t>
  </si>
  <si>
    <t>This paper examines how individuals judge the accuracy, adequacy, relevance, and trustworthiness of different types of impersonal and interpersonal information sources and how task type influences their evaluation process. 53 participants from diverse backgrounds recruited via Amazon’s Mechanical Turk performed four simulated information seeking tasks. This study analyzed the data collected from participants’ self-reported information seeking experiences in online logbooks and follow-up semi-structured interviews with 23 participants by applying both qualitative and quantitative methods. The findings suggest that task type and information source type affect individuals’ information quality judgment, and they perceive websites are more accurate than interpersonal sources, though the latter can be trustworthy. Moreover, their understanding of the type of information also affects their quality judgment. For example, they prefer factual information to opinions in some situations. © 2018 Copyright held by the owner/author(s).</t>
  </si>
  <si>
    <t>CHIIR 2018 - Proceedings of the 2018 Conference on Human Information Interaction and Retrieval</t>
  </si>
  <si>
    <t>https://www.scopus.com/inward/record.uri?eid=2-s2.0-85052022691&amp;doi=10.1145%2f3176349.3176390&amp;partnerID=40&amp;md5=87c3fcd0d4d9b2cfdf2e1a54f4eb7e23</t>
  </si>
  <si>
    <t>Rutgers University, New Brunswick, NJ, United States</t>
  </si>
  <si>
    <t>Wang, Y., Rutgers University, New Brunswick, NJ, United States; Sarkar, S., Rutgers University, New Brunswick, NJ, United States; Shah, C., Rutgers University, New Brunswick, NJ, United States</t>
  </si>
  <si>
    <t>19th International Conference on Product-Focused Software Process Improvement, PROFES 2018</t>
  </si>
  <si>
    <t>L21</t>
  </si>
  <si>
    <t>The proceedings contain 36 papers. The special focus in this conference is on Product-Focused Software Process Improvement. The topics include: Software professionals’ attitudes towards video as a medium in requirements engineering; do developers really worry about refactoring re-test? An empirical study of open-source systems; moving beyond the mean: Analyzing variance in software engineering experiments; an activity and metric model for online controlled experiments; influential factors of aligning spotify squads in mission-critical and offshore projects – A longitudinal embedded case study; test-driving fintech product development: An experience report; Does the performance of TDD hold across software companies and premises? A group of industrial experiments on TDD; test case prioritization using test similarities; feature crumbs: Adapting usage monitoring to continuous software engineering; agile manifesto and practices selection for tailoring software development: A systematic literature review; software process measurement and related challenges in agile software development: A multiple case study; emperor’s new clothes: Transparency through metrication in customer-supplier relationships; global software development: Practices for cultural differences; exploring cross-site networking in large-scale distributed projects; Benefits and challenges of adopting the Scaled Agile Framework (SAFe): Preliminary results from a multivocal literature review; threat analysis in practice – Systematically deriving security requirements; process evolution and product maturity: From prototype to product; workshops and tutorials; 2nd QuASD workshop: Managing quality in agile and rapid software development processes; quality improvement of mobile apps – Tool-supported lightweight feedback analyses; agile meets assessments: Case study on how to do agile process improvement in a very small enterprise.</t>
  </si>
  <si>
    <t>https://www.scopus.com/inward/record.uri?eid=2-s2.0-85057265727&amp;partnerID=40&amp;md5=c940da61720f15626746aadb9901e3de</t>
  </si>
  <si>
    <t>An empirical study of the complex relationship between KMR and trust in GSD</t>
  </si>
  <si>
    <t>L22</t>
  </si>
  <si>
    <t>10.4304/jsw.8.4.776-784</t>
  </si>
  <si>
    <t>Humayun M., Cui G.</t>
  </si>
  <si>
    <t>56580449600;7102753804;</t>
  </si>
  <si>
    <t>In GSD, trusting working relationships is critical for the success of the strategic goals of the organization. In order for an organization to build and maintain this rela-tionship there must be a process in place. This paper out-lines the use of a KMS which integrates the overall knowledge of an organization and helps in easy access and sharing of this knowledge among the distributed develop-ment teams, and ultimately helps in the development of trust. Most investigations have focused on how trust helps in knowledge sharing and acceptance by examining the impact of trust on knowledge management. In this study we focus on the dynamics of knowledge management system in the development of trust among GSD teams. This paper first investigates the relationship between KM and trust through literature review. Secondly, it aims to evaluate the role KM plays in the development of trust. Finally, we conducted a controlled experiment in academic settings with four groups of students located into two different countries to study the impact of KMS in the development of trust. The results in-dicate that applying KMS in GSD projects positively affects the trusting working relationship among GSD teams. An evaluation of the results is presented along with a proposal for future work. © 2013 ACADEMY PUBLISHER.</t>
  </si>
  <si>
    <t>TRUST</t>
  </si>
  <si>
    <t>Journal of Software</t>
  </si>
  <si>
    <t>https://www.scopus.com/inward/record.uri?eid=2-s2.0-84875748117&amp;doi=10.4304%2fjsw.8.4.776-784&amp;partnerID=40&amp;md5=8823a68108646b34afb8743857cec10d</t>
  </si>
  <si>
    <t>CHINA</t>
  </si>
  <si>
    <t>Department of computer Science and Technology, Harbin Institute of Technology, Harbin, China</t>
  </si>
  <si>
    <t>Humayun, M., Department of computer Science and Technology, Harbin Institute of Technology, Harbin, China; Cui, G., Department of computer Science and Technology, Harbin Institute of Technology, Harbin, China</t>
  </si>
  <si>
    <t>Humayun, M.; Department of computer Science and Technology, Harbin Institute of Technology, Harbin, China; email: mamoona@hit.edu.cn</t>
  </si>
  <si>
    <t>Managing product delivery quality in distributed software development</t>
  </si>
  <si>
    <t>L23</t>
  </si>
  <si>
    <t>10.1109/ICGSE.2013.28</t>
  </si>
  <si>
    <t>Bhattacharjee S., Bhadauria A., Kumar Ik G.</t>
  </si>
  <si>
    <t>57209633499;55513490700;55925838800;</t>
  </si>
  <si>
    <t>Distributed software development is a globally accepted practice by large organizations for achieving significant cost savings in research and development. However when it comes to product quality, defect prevention and early detection has always been a challenge. Factors such as differences in language, coding standards and documentation styles across distributed teams can aggravate the situation. These issues, if not addressed, will manifest themselves as product defects leading to enormous costs in fixing at later phases of development. This in turn reduces the business partner or product owner's confidence. Thus, along with defining effective processes to address these issues, it becomes very important to ensure that the product quality expectations of various stakeholders are understood and mutually agreed upon. This paper summarizes our approach and practice in managing these issues while also delivering the expected product quality in our recent project. © 2013 IEEE.</t>
  </si>
  <si>
    <t>Proceedings - IEEE 8th International Conference on Global Software Engineering, ICGSE 2013</t>
  </si>
  <si>
    <t>https://www.scopus.com/inward/record.uri?eid=2-s2.0-84887446894&amp;doi=10.1109%2fICGSE.2013.28&amp;partnerID=40&amp;md5=a551be7670a8e7874d824bc076d2eba0</t>
  </si>
  <si>
    <t>Corporate Development Center Asia-Australia, Siemens Technology and Services Private Limited, Bangalore, India</t>
  </si>
  <si>
    <t>Bhattacharjee, S., Corporate Development Center Asia-Australia, Siemens Technology and Services Private Limited, Bangalore, India; Bhadauria, A., Corporate Development Center Asia-Australia, Siemens Technology and Services Private Limited, Bangalore, India; Kumar Ik, G., Corporate Development Center Asia-Australia, Siemens Technology and Services Private Limited, Bangalore, India</t>
  </si>
  <si>
    <t>Setting up a stochastic model for teams working in a follow-the-sun environment</t>
  </si>
  <si>
    <t>L24</t>
  </si>
  <si>
    <t>10.1109/ICGSE.2012.21</t>
  </si>
  <si>
    <t>Santos A.R., Sales A., Fernandes P.</t>
  </si>
  <si>
    <t>57199742377;8944846500;7102795205;</t>
  </si>
  <si>
    <t>Project management is an important aspect of global software development. Companies and institutions can obtain benefits by the use of performance evaluation of teams working indifferent sites. The objective of this work is to discuss a stochastic model definition to performance evaluation of Follow-The-Sun (FTS) projects. © 2012 IEEE.</t>
  </si>
  <si>
    <t>Proceedings - 2012 IEEE 7th International Conference on Global Software Engineering, ICGSE 2012</t>
  </si>
  <si>
    <t>https://www.scopus.com/inward/record.uri?eid=2-s2.0-84870695340&amp;doi=10.1109%2fICGSE.2012.21&amp;partnerID=40&amp;md5=54b726e1deedafabee325bef50951036</t>
  </si>
  <si>
    <t>Pontifícia Universidade Católica Do Rio Grande Do Sul, Av. Ipiranga, 6681 - Prédio 32, 90619-900 - Porto Alegre, Brazil</t>
  </si>
  <si>
    <t>Santos, A.R., Pontifícia Universidade Católica Do Rio Grande Do Sul, Av. Ipiranga, 6681 - Prédio 32, 90619-900 - Porto Alegre, Brazil; Sales, A., Pontifícia Universidade Católica Do Rio Grande Do Sul, Av. Ipiranga, 6681 - Prédio 32, 90619-900 - Porto Alegre, Brazil; Fernandes, P., Pontifícia Universidade Católica Do Rio Grande Do Sul, Av. Ipiranga, 6681 - Prédio 32, 90619-900 - Porto Alegre, Brazil</t>
  </si>
  <si>
    <t>Santos, A.R.; Pontifícia Universidade Católica Do Rio Grande Do Sul, Av. Ipiranga, 6681 - Prédio 32, 90619-900 - Porto Alegre, Brazil; email: alan.ricardo@acad.pucrs.br</t>
  </si>
  <si>
    <t>An exploratory study of software evolution and quality: Before, during and after a transfer</t>
  </si>
  <si>
    <t>L25</t>
  </si>
  <si>
    <t>10.1109/ICGSE.2012.30</t>
  </si>
  <si>
    <t>Jabangwe R., Šmite D.</t>
  </si>
  <si>
    <t>54418751100;22433869800;</t>
  </si>
  <si>
    <t>In the light of globalization it is not uncommon that different teams from different locations get involved in the development of a software product during its evolution. However, empirical evidence that demonstrates the effect of changing team members on software quality is scarce. In this paper, we investigate quality of a software product, across subsequent software releases, that was first developed in one location of Ericsson, a large multinational corporation, then jointly with an offshore location of the same company, and finally transferred offshore. To get a better understanding multiple data sources are used in the analysis: qualitative data, consisting of interviews and documentation, and quantitative data, consisting of release history and defect statistics. Our findings confirm an initial decline in efficiency and quality after a transfer, and highlight the areas of concern for companies that are considering transferring their product development from experienced teams to those having limited or no previous engagement with the product. © 2012 IEEE.</t>
  </si>
  <si>
    <t>https://www.scopus.com/inward/record.uri?eid=2-s2.0-84870700608&amp;doi=10.1109%2fICGSE.2012.30&amp;partnerID=40&amp;md5=58ad647ad62ca6a4f2160826d5937e07</t>
  </si>
  <si>
    <t>Blekinge Institute of Technology, Karlskrona, Sweden</t>
  </si>
  <si>
    <t>Jabangwe, R., Blekinge Institute of Technology, Karlskrona, Sweden; Šmite, D., Blekinge Institute of Technology, Karlskrona, Sweden</t>
  </si>
  <si>
    <t>Jabangwe, R.; Blekinge Institute of Technology, Karlskrona, Sweden; email: Ronald.Jabangwe@bth.se</t>
  </si>
  <si>
    <t>A process framework for global software engineering teams</t>
  </si>
  <si>
    <t>L26</t>
  </si>
  <si>
    <t>10.1016/j.infsof.2012.05.002</t>
  </si>
  <si>
    <t>Richardson I., Casey V., McCaffery F., Burton J., Beecham S.</t>
  </si>
  <si>
    <t>23006200900;24760088700;57206225576;7403202514;6505937694;</t>
  </si>
  <si>
    <t>Context: Global Software Engineering (GSE) continues to experience substantial growth and is fundamentally different to collocated development. As a result, software managers have a pressing need for support in how to successfully manage teams in a global environment. Unfortunately, de facto process frameworks such as the Capability Maturity Model Integration (CMMI®) do not explicitly cater for the complex and changing needs of global software management. Objective: To develop a Global Teaming (GT) process area to address specific problems relating to temporal, cultural, geographic and linguistic distance which will meet the complex and changing needs of global software management. Method: We carried out three in-depth case studies of GSE within industry from 1999 to 2007. To supplement these studies we conducted three literature reviews. This allowed us to identify factors which are important to GSE. Based on a gap analysis between these GSE factors and the CMMI®, we developed the GT process area. Finally, the literature and our empirical data were used to identify threats to software projects if these processes are not implemented. Results: Our new GT process area brings together practices drawn from the GSE literature and our previous empirical work, including many socio-technical factors important to global software development. The GT process area presented in this paper encompasses recommended practices that can be used independently or with existing models. We found that if managers are not proactive in implementing new GT practices they are putting their projects under threat of failure. We therefore include a list of threats that if ignored could have an adverse effect on an organization's competitive advantage, employee satisfaction, timescales, and software quality. Conclusion: The GT process area and associated threats presented in this paper provides both a guide and motivation for software managers to better understand how to manage technical talent across the globe. © 2012 Elsevier B.V. All rights reserved.</t>
  </si>
  <si>
    <t>https://www.scopus.com/inward/record.uri?eid=2-s2.0-84864757335&amp;doi=10.1016%2fj.infsof.2012.05.002&amp;partnerID=40&amp;md5=e406029199d6745971470039354553e8</t>
  </si>
  <si>
    <t>IRELAND</t>
  </si>
  <si>
    <t>Lero - the Irish Software Engineering Research Centre, University of Limerick, Ireland; Department of Computing and Mathematics, Dundalk Institute of Technology, Dundalk, Ireland; Vitalograph Ireland Ltd., Gort Rd Business Park, Ennis Co. Clare, Ireland</t>
  </si>
  <si>
    <t>Richardson, I., Lero - the Irish Software Engineering Research Centre, University of Limerick, Ireland; Casey, V., Department of Computing and Mathematics, Dundalk Institute of Technology, Dundalk, Ireland; McCaffery, F., Department of Computing and Mathematics, Dundalk Institute of Technology, Dundalk, Ireland; Burton, J., Vitalograph Ireland Ltd., Gort Rd Business Park, Ennis Co. Clare, Ireland; Beecham, S., Lero - the Irish Software Engineering Research Centre, University of Limerick, Ireland</t>
  </si>
  <si>
    <t>Beecham, S.; Lero - the Irish Software Engineering Research Centre, University of LimerickIreland; email: Sarah.Beecham@lero.ie</t>
  </si>
  <si>
    <t>Understanding a lack of trust in global software teams: A multiple-case study</t>
  </si>
  <si>
    <t>L27</t>
  </si>
  <si>
    <t>10.1002/spip.378</t>
  </si>
  <si>
    <t>Moe N.B., Smite D.</t>
  </si>
  <si>
    <t>8300213700;22433869800;</t>
  </si>
  <si>
    <t>Many organizations have turned towards globally distributed software development (GSD) in their quest for cheap, higher-quality software that has a short development cycle. However, this kind of development has often been reported as being problematic and complex to manage. There are indications that trust is a fundamental factor in determining the success or failure of GSD projects. This article studies the key factors that cause a lack of trust and the effect of lacking trust and present data from four projects in which problems with trust were experienced. We found the key factors to be poor socialization and socio-cultural fit, increased monitoring, inconsistency and disparities in work practices, reduction of and unpredictability in communication; and a lack of face-to-face meetings, language skills, conflict handling, and cognitive-based trust. The effect of lacking trust was a decrease in productivity, quality, information exchange and feedback, morale among the employees, and an increase in relationship conflicts. In addition, the employees tended to self-protect, to prioritize individual goals over group goals, and to doubt negative feedback from the manager. Further, the managers increased monitoring, which reduced the level of trust even more. These findings have implications for software development managers and practitioners involved in GSD. Copyright ©2008 John Wiley &amp; Sons, Ltd.</t>
  </si>
  <si>
    <t>Software Process Improvement and Practice</t>
  </si>
  <si>
    <t>https://www.scopus.com/inward/record.uri?eid=2-s2.0-47749090951&amp;doi=10.1002%2fspip.378&amp;partnerID=40&amp;md5=022806d0ab6a47e444b5416f62d56a65</t>
  </si>
  <si>
    <t>SINTEF, Information and Communication Technology, NO-7465 Trondheim, Norway; University of Latvia, LV-1050, Raina bulv.19, Riga, Latvia; SINTEF ICT, NO-7465 Trondheim, Norway</t>
  </si>
  <si>
    <t>Moe, N.B., SINTEF, Information and Communication Technology, NO-7465 Trondheim, Norway, SINTEF ICT, NO-7465 Trondheim, Norway; Smite, D., University of Latvia, LV-1050, Raina bulv.19, Riga, Latvia</t>
  </si>
  <si>
    <t>Moe, N. B.; SINTEF ICT, NO-7465 Trondheim, Norway; email: nils.b.moe@sintef.no</t>
  </si>
  <si>
    <t>Exploring the characteristics of an IT professional's employment arrangement</t>
  </si>
  <si>
    <t>L28</t>
  </si>
  <si>
    <t>10.1145/1235000.1235002</t>
  </si>
  <si>
    <t>Newton S.K., Blanton J.E., Wingreen S.C.</t>
  </si>
  <si>
    <t>10045820000;7005506640;56276458200;</t>
  </si>
  <si>
    <t>There are a variety of employment arrangements commonly held by IT professionals. This exploratory analysis provides an initial background for continuing investigation into IT professionals' varied employment arrangements. Significant differences were found among the 21 employment arrangement characteristics provided each of the 258 surveyed IT professionals. The study revealed that permanent full-time employees view their employment arrangement characteristics differently from independent contractors and contract company workers. Permanent part-time employees view their employment arrangement characteristics differently from permanent full-time employees, but are more similar to permanent full-time than independent contractors and contract company workers. These results provide practitioner relevance to sourcing and managerial issues of IT professionals. Copyright 2007 ACM.</t>
  </si>
  <si>
    <t>SIGMIS-CPR 2007 - Proceedings of the 2007 ACM SIGMIS CPR Conference: The Global Information Technology Workforce</t>
  </si>
  <si>
    <t>https://www.scopus.com/inward/record.uri?eid=2-s2.0-57349185819&amp;doi=10.1145%2f1235000.1235002&amp;partnerID=40&amp;md5=e3422f82ed1b6a393c36d022e813750e</t>
  </si>
  <si>
    <t>Sonoma State University, 1801 East Cotati Avenue, Rohnert Park, CA 94928, United States; University of South Florida, 4202 East Fowler Ave, CIS 1040, Tampa, FL 33620, United States; Southeastern University, 1000 Longfellow Blvd., Lakeland, FL 33801, United States</t>
  </si>
  <si>
    <t>Newton, S.K., Sonoma State University, 1801 East Cotati Avenue, Rohnert Park, CA 94928, United States; Blanton, J.E., University of South Florida, 4202 East Fowler Ave, CIS 1040, Tampa, FL 33620, United States; Wingreen, S.C., Southeastern University, 1000 Longfellow Blvd., Lakeland, FL 33801, United States</t>
  </si>
  <si>
    <t>Newton, S. K.; Sonoma State University, 1801 East Cotati Avenue, Rohnert Park, CA 94928, United States; email: newtonsa@sonoma.edu</t>
  </si>
  <si>
    <t>Solving the offshoring dilemma</t>
  </si>
  <si>
    <t>L29</t>
  </si>
  <si>
    <t>Klingshirn R.G., Wisniewski B.</t>
  </si>
  <si>
    <t>14024488000;14025114400;</t>
  </si>
  <si>
    <t>The debate over the best way to benefit from offshoring corporate functions continues to rage. Despite the complexities, industry experts believe that outsourcing selected functions-particularly content development and delivery - is the most popular. There are three basic questions that must be addressed when evaluating an off-shoring relationship: What learning functions or activities should you outsource? Who is the right service provider? How do you develop an effective relationship? The two basic ways you can outsource your content development are by project or by processes that cut across projects. According to M. Ray McGowen, chief learning officer at Ernst &amp; Young, the offshore partner should be invisible to the customer. "Our offshore partner uses the same methodology with all its tools, templates, and applications that our own team uses," he explains. "This approach has allowed our partner team to truly become an extension of our own content development team." The most important aspect of any effective offshore relationship is to treat the vendor as a true partner, rather than an independent contractor, Never forget that the offshore vendor is an extension of your team. When you have a win-win relationship, the offshore vendor is a partner, the team is integrated, and common goals and performance measures are established upfront. The senior managers will agree to a reciprocal process. Also, both teams will know that once the evaluation is conducted, results will be shared, and identifying improvement opportunities and action steps will be expected.</t>
  </si>
  <si>
    <t>T and D</t>
  </si>
  <si>
    <t>https://www.scopus.com/inward/record.uri?eid=2-s2.0-33745446459&amp;partnerID=40&amp;md5=f72ee5782768457c2adbe4dd13f97c9e</t>
  </si>
  <si>
    <t>Intellinex</t>
  </si>
  <si>
    <t>Klingshirn, R.G., Intellinex; Wisniewski, B., Intellinex</t>
  </si>
  <si>
    <t>Klingshirn, R.G.; Intellinexemail: richard.klingshirn@intellinex.com</t>
  </si>
  <si>
    <t>National boundaries and semantics of artefacts in open source development</t>
  </si>
  <si>
    <t>L30</t>
  </si>
  <si>
    <t>10.1145/3194124.3194131</t>
  </si>
  <si>
    <t>Capiluppi A., Ajienka N.</t>
  </si>
  <si>
    <t>14037028300;57191581785;</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</si>
  <si>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 © 2018 ACM.</t>
  </si>
  <si>
    <t>Proceedings - International Conference on Software Engineering</t>
  </si>
  <si>
    <t>https://www.scopus.com/inward/record.uri?eid=2-s2.0-85051464468&amp;doi=10.1145%2f3194124.3194131&amp;partnerID=40&amp;md5=b72a88acd3e8d22617cc6dce54328284</t>
  </si>
  <si>
    <t>Department of Computer Science, Brunel University, London, United Kingdom; Department of Computer Science, Edge Hill University, United Kingdom</t>
  </si>
  <si>
    <t>Capiluppi, A., Department of Computer Science, Brunel University, London, United Kingdom; Ajienka, N., Department of Computer Science, Edge Hill University, United Kingdom</t>
  </si>
  <si>
    <t>Empirical evidence in follow the Sun software development: A systematic mapping study</t>
  </si>
  <si>
    <t>L31</t>
  </si>
  <si>
    <t>10.1016/j.infsof.2017.08.011</t>
  </si>
  <si>
    <t>Kroll J., Richardson I., Prikladnicki R., Audy J.L.N.</t>
  </si>
  <si>
    <t>54393339600;23006200900;13612977400;6701628401;</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</si>
  <si>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 2017 Elsevier B.V.</t>
  </si>
  <si>
    <t>FTS</t>
  </si>
  <si>
    <t>https://www.scopus.com/inward/record.uri?eid=2-s2.0-85028618816&amp;doi=10.1016%2fj.infsof.2017.08.011&amp;partnerID=40&amp;md5=a890debffb6a8d8482650a45d102ced9</t>
  </si>
  <si>
    <t>BRAZIL</t>
  </si>
  <si>
    <t>Computer Science School, Pontifical Catholic University of Rio Grande do Sul (PUCRS), Porto Alegre, Brazil; Lero - The Irish Software Engineering Research Centre, University of Limerick, Ireland</t>
  </si>
  <si>
    <t>Kroll, J., Computer Science School, Pontifical Catholic University of Rio Grande do Sul (PUCRS), Porto Alegre, Brazil; Richardson, I., Lero - The Irish Software Engineering Research Centre, University of Limerick, Ireland; Prikladnicki, R., Computer Science School, Pontifical Catholic University of Rio Grande do Sul (PUCRS), Porto Alegre, Brazil; Audy, J.L.N., Computer Science School, Pontifical Catholic University of Rio Grande do Sul (PUCRS), Porto Alegre, Brazil</t>
  </si>
  <si>
    <t>Kroll, J.; Computer Science School, Pontifical Catholic University of Rio Grande do Sul (PUCRS), Porto AlegreBrazil; email: josiane.kroll@acad.pucrs.br</t>
  </si>
  <si>
    <t>Software integration in global software development: Challenges for GSD vendors</t>
  </si>
  <si>
    <t>L32</t>
  </si>
  <si>
    <t>10.1002/smr.1875</t>
  </si>
  <si>
    <t>Ilyas M., Khan S.U.</t>
  </si>
  <si>
    <t>56697931800;57191171688;</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</si>
  <si>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 Copyright © 2017 John Wiley &amp; Sons, Ltd.</t>
  </si>
  <si>
    <t>CHALLENGES</t>
  </si>
  <si>
    <t>Journal of Software: Evolution and Process</t>
  </si>
  <si>
    <t>https://www.scopus.com/inward/record.uri?eid=2-s2.0-85018645451&amp;doi=10.1002%2fsmr.1875&amp;partnerID=40&amp;md5=a93df461a87aa7b68020f60c06cfaa0d</t>
  </si>
  <si>
    <t>PAKISTAN</t>
  </si>
  <si>
    <t>Software Engineering Research Group (SERG_UOM), Department of Computer Science &amp; IT, University of Malakand, Chakdara, Pakistan</t>
  </si>
  <si>
    <t>Ilyas, M., Software Engineering Research Group (SERG_UOM), Department of Computer Science &amp; IT, University of Malakand, Chakdara, Pakistan; Khan, S.U., Software Engineering Research Group (SERG_UOM), Department of Computer Science &amp; IT, University of Malakand, Chakdara, Pakistan</t>
  </si>
  <si>
    <t>Ilyas, M.; Software Engineering Research Group (SERG_UOM), Department of Computer Science &amp; IT, University of MalakandPakistan; email: milyasmkd@uom.edu.pk</t>
  </si>
  <si>
    <t>Are the expected benefits of requirements reuse hampered by distance? An experiment</t>
  </si>
  <si>
    <t>L33</t>
  </si>
  <si>
    <t>10.1186/s40064-016-3782-0</t>
  </si>
  <si>
    <t>Carrillo de Gea J.M., Nicolás J., Fernández-Alemán J.L., Toval A., Idri A.</t>
  </si>
  <si>
    <t>36462477200;7401657472;6504105559;22982044800;6602789810;</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</si>
  <si>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 © 2016, The Author(s).</t>
  </si>
  <si>
    <t>SpringerPlus</t>
  </si>
  <si>
    <t>https://www.scopus.com/inward/record.uri?eid=2-s2.0-85006395692&amp;doi=10.1186%2fs40064-016-3782-0&amp;partnerID=40&amp;md5=9460f4e677fce457e990913a04d0898d</t>
  </si>
  <si>
    <t>Department of Computer Science and Systems, University of Murcia, Murcia, Spain; ENSIAS, Mohammed V University, Rabat, Morocco</t>
  </si>
  <si>
    <t>Carrillo de Gea, J.M., Department of Computer Science and Systems, University of Murcia, Murcia, Spain; Nicolás, J., Department of Computer Science and Systems, University of Murcia, Murcia, Spain; Fernández-Alemán, J.L., Department of Computer Science and Systems, University of Murcia, Murcia, Spain; Toval, A., Department of Computer Science and Systems, University of Murcia, Murcia, Spain; Idri, A., ENSIAS, Mohammed V University, Rabat, Morocco</t>
  </si>
  <si>
    <t>Carrillo de Gea, J.M.; Department of Computer Science and Systems, University of MurciaSpain; email: jmcdg1@um.es</t>
  </si>
  <si>
    <t>A validated ontology for global software development</t>
  </si>
  <si>
    <t>L34</t>
  </si>
  <si>
    <t>10.1016/j.csi.2016.02.004</t>
  </si>
  <si>
    <t>Vizcaíno A., García F., Piattini M., Beecham S.</t>
  </si>
  <si>
    <t>7003393897;35452740600;7004203473;6505937694;</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</si>
  <si>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 2016 Elsevier B.V. All rights reserved.</t>
  </si>
  <si>
    <t>Computer Standards and Interfaces</t>
  </si>
  <si>
    <t>https://www.scopus.com/inward/record.uri?eid=2-s2.0-84959019505&amp;doi=10.1016%2fj.csi.2016.02.004&amp;partnerID=40&amp;md5=52456cf3acca6d71559a6872bf13c4bc</t>
  </si>
  <si>
    <t>Alarcos Research Group, Institute of Information Technologies and Systems, Escuela Superior de Informática, University of Castilla-La Mancha, Paseo de la Universidad 4, Ciudad Real, 13071, Spain;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</si>
  <si>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Ciudad Real, 13071, Spain; García, F., Alarcos Research Group, Institute of Information Technologies and Systems, Escuela Superior de Informática, University of Castilla-La Mancha, Paseo de la Universidad 4, Ciudad Real, 13071, Spain; Piattini, M., Alarcos Research Group, Institute of Information Technologies and Systems, Escuela Superior de Informática, University of Castilla-La Mancha, Paseo de la Universidad 4, Ciudad Real, 13071, Spain; Beecham, S.,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</si>
  <si>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Spain</t>
  </si>
  <si>
    <t>Crowd work CV: Recognition for micro work</t>
  </si>
  <si>
    <t>L35</t>
  </si>
  <si>
    <t>10.1007/978-3-319-15168-7_52</t>
  </si>
  <si>
    <t>Sarasua C., Thimm M.</t>
  </si>
  <si>
    <t>24825789400;25825630400;</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</si>
  <si>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 © Springer International Publishing Switzerland 2015.</t>
  </si>
  <si>
    <t>https://www.scopus.com/inward/record.uri?eid=2-s2.0-84924358892&amp;doi=10.1007%2f978-3-319-15168-7_52&amp;partnerID=40&amp;md5=86a53a192b5602c0fdeea9c54b83930e</t>
  </si>
  <si>
    <t>Institute for Web Science and Technologies, University of Koblenz-Landau, Koblenz-landau, Germany</t>
  </si>
  <si>
    <t>Sarasua, C., Institute for Web Science and Technologies, University of Koblenz-Landau, Koblenz-landau, Germany; Thimm, M., Institute for Web Science and Technologies, University of Koblenz-Landau, Koblenz-landau, Germany</t>
  </si>
  <si>
    <t>Sarasua, C.; Institute for Web Science and Technologies, University of Koblenz-LandauGermany</t>
  </si>
  <si>
    <t>Survivability models for global software engineering</t>
  </si>
  <si>
    <t>L36</t>
  </si>
  <si>
    <t>10.1109/ICGSE.2014.19</t>
  </si>
  <si>
    <t>Avritzer A., Beecham S., Kroll J., Menasche D.S., Noll J., Paasivaara M.</t>
  </si>
  <si>
    <t>7003345567;6505937694;54393339600;8555897400;56257636100;8240063900;</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</si>
  <si>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 © 2014 IEEE.</t>
  </si>
  <si>
    <t>FRAMEWORK</t>
  </si>
  <si>
    <t>Proceedings - 2014 IEEE 9th International Conference on Global Software Engineering, ICGSE 2014</t>
  </si>
  <si>
    <t>https://www.scopus.com/inward/record.uri?eid=2-s2.0-84922133004&amp;doi=10.1109%2fICGSE.2014.19&amp;partnerID=40&amp;md5=25ac55c6e2de4ec2ab8198446e792e66</t>
  </si>
  <si>
    <t>USA</t>
  </si>
  <si>
    <t>Siemens Corporation, Corporate Technology, Princeton, NJ  08540, United States; Lero, Irish Software Engineering Research Centre, Limerick, Ireland; Federal University of Rio de Janeiro, RJ, Brazil; PUCRS, Porto Alegre, RS, Brazil; Aalto University, Helsinki, Finland</t>
  </si>
  <si>
    <t>Avritzer, A., Siemens Corporation, Corporate Technology, Princeton, NJ  08540, United States; Beecham, S., Lero, Irish Software Engineering Research Centre, Limerick, Ireland; Kroll, J., PUCRS, Porto Alegre, RS, Brazil; Menasche, D.S., Federal University of Rio de Janeiro, RJ, Brazil; Noll, J., Lero, Irish Software Engineering Research Centre, Limerick, Ireland; Paasivaara, M., Aalto University, Helsinki, Finland</t>
  </si>
  <si>
    <t>A rule-based model for customized risk identification and evaluation of task assignment alternatives in distributed software development projects</t>
  </si>
  <si>
    <t>L37</t>
  </si>
  <si>
    <t>10.1002/smr.576</t>
  </si>
  <si>
    <t>Lamersdorf A., Münch J., Torre A.F.-D.V., Sánchez C.R., Heinz M., Rombach D.</t>
  </si>
  <si>
    <t>6505467826;7102005186;36617946800;55729591000;36617490800;6602660776;</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</si>
  <si>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 2011 John Wiley &amp; Sons, Ltd.</t>
  </si>
  <si>
    <t>RISKS</t>
  </si>
  <si>
    <t>Journal of software: Evolution and Process</t>
  </si>
  <si>
    <t>https://www.scopus.com/inward/record.uri?eid=2-s2.0-84871321809&amp;doi=10.1002%2fsmr.576&amp;partnerID=40&amp;md5=e767c6a61de70e7b991bdc919640bd79</t>
  </si>
  <si>
    <t>University of Kaiserslautern, Kaiserslautern, Germany; University of Helsinki, Helsinki, Finland; Indra Software Labs, Madrid, Spain; Fraunhofer IESE, Kaiserslautern, Germany</t>
  </si>
  <si>
    <t>Lamersdorf, A., University of Kaiserslautern, Kaiserslautern, Germany; Münch, J., University of Helsinki, Helsinki, Finland; Torre, A.F.-D.V., Indra Software Labs, Madrid, Spain; Sánchez, C.R., Indra Software Labs, Madrid, Spain; Heinz, M., University of Kaiserslautern, Kaiserslautern, Germany; Rombach, D., University of Kaiserslautern, Kaiserslautern, Germany, Fraunhofer IESE, Kaiserslautern, Germany</t>
  </si>
  <si>
    <t>Lamersdorf, A.; University of Kaiserslautern, Kaiserslautern, Germany; email: a_lamers@informatik.uni-kl.de</t>
  </si>
  <si>
    <t>Tool to facilitate appropriate interaction in global software development</t>
  </si>
  <si>
    <t>L38</t>
  </si>
  <si>
    <t>10.1049/iet-sen.2009.0097</t>
  </si>
  <si>
    <t>Palacio R.R., Vizcaíno A., Morán A.L., González V.M.</t>
  </si>
  <si>
    <t>34267748800;7003393897;7201919645;35445185400;</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</si>
  <si>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 © 2011 The Institution of Engineering and Technology.</t>
  </si>
  <si>
    <t>MODEL PROPOSED</t>
  </si>
  <si>
    <t>IET Software</t>
  </si>
  <si>
    <t>https://www.scopus.com/inward/record.uri?eid=2-s2.0-79959893060&amp;doi=10.1049%2fiet-sen.2009.0097&amp;partnerID=40&amp;md5=4f4da1cda210f572d1607b429b8b6f33</t>
  </si>
  <si>
    <t>MEXICO</t>
  </si>
  <si>
    <t>Facultad de Ingeniería Ensenada, UABC, Ensenada, Mexico; DES Navojoa, ITSON, Navojoa, Mexico; ALARCOS Research Group, UCLM, Ciudad Real, Spain; Facultad de Ciencias, UABC, Ensenada, Mexico; Divisióen de Ingenieŕa, ITAM, Mexico</t>
  </si>
  <si>
    <t>Palacio, R.R., Facultad de Ingeniería Ensenada, UABC, Ensenada, Mexico, DES Navojoa, ITSON, Navojoa, Mexico; Vizcaíno, A., ALARCOS Research Group, UCLM, Ciudad Real, Spain; Morán, A.L., Facultad de Ciencias, UABC, Ensenada, Mexico; González, V.M., Divisióen de Ingenieŕa, ITAM, Mexico</t>
  </si>
  <si>
    <t>Palacio, R.R.; Facultad de Ingeniería Ensenada, UABC, Ensenada, Mexico; email: rpalacio5@itson.mx</t>
  </si>
  <si>
    <t>Philips experiences in global distributed software development</t>
  </si>
  <si>
    <t>L39</t>
  </si>
  <si>
    <t>10.1007/s10664-007-9047-3</t>
  </si>
  <si>
    <t>Kommeren R., Parviainen P.</t>
  </si>
  <si>
    <t>22953466900;22954142600;</t>
  </si>
  <si>
    <t>Global software development is increasingly common. Main expected benefits are improvements in time-to-market efficiency and access to greater-and less costly-resources.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 © 2007 Springer Science+Business Media, LLC.</t>
  </si>
  <si>
    <t>PROBLEMS</t>
  </si>
  <si>
    <t>Empirical Software Engineering</t>
  </si>
  <si>
    <t>https://www.scopus.com/inward/record.uri?eid=2-s2.0-35748972922&amp;doi=10.1007%2fs10664-007-9047-3&amp;partnerID=40&amp;md5=efe22c038f87813bcc57fc773c611b3e</t>
  </si>
  <si>
    <t>FINLAND</t>
  </si>
  <si>
    <t>Philips Applied Technologies, P.O. Box 218 / SFJ-7, Eindhoven 5600 MD, Netherlands; VTT, Technical Research Centre of Finland, Espoo, Finland; VTT Technical Research Centre of Finland, P.O. Box 1100, Oulu 90571, Finland</t>
  </si>
  <si>
    <t>Kommeren, R., Philips Applied Technologies, P.O. Box 218 / SFJ-7, Eindhoven 5600 MD, Netherlands; Parviainen, P., VTT, Technical Research Centre of Finland, Espoo, Finland, VTT Technical Research Centre of Finland, P.O. Box 1100, Oulu 90571, Finland</t>
  </si>
  <si>
    <t>Parviainen, P.; VTT Technical Research Centre of Finland, P.O. Box 1100, Oulu 90571, Finland; email: paivi.parviainen@vtt.fi</t>
  </si>
  <si>
    <t>Improving the productivity in global software development</t>
  </si>
  <si>
    <t>L40</t>
  </si>
  <si>
    <t>10.1007/978-3-319-28031-8_15</t>
  </si>
  <si>
    <t>Manoj Ray D., Samuel P.</t>
  </si>
  <si>
    <t>57024047100;15066020300;</t>
  </si>
  <si>
    <t>Globalization has led to the expansion of information technology and distributed software development. Most of the software development companies face various challenges in distributing the project. As a consequence of the dispersed nature of global software development projects, communication, coordination, and control become more difficult which adversely influence effort estimation of the software development. The major ingredients that impact software development productivity of globally distributed projects are project delivery rate, team size and communication complexity. The paper analyses the factors affecting the productivity of the globally distributed projects. The project distribution can be effectively done depending on the estimated productivity for the different sites. The project distribution to the multiple sites can be done in the order of decreasing productivity factor. © Springer International Publishing Switzerland 2016.</t>
  </si>
  <si>
    <t>Advances in Intelligent Systems and Computing</t>
  </si>
  <si>
    <t>https://www.scopus.com/inward/record.uri?eid=2-s2.0-84952056470&amp;doi=10.1007%2f978-3-319-28031-8_15&amp;partnerID=40&amp;md5=27f3485d55816dc0b778c8537b9c9efa</t>
  </si>
  <si>
    <t>Department of Computer Science, Cochin University of Science and Technology, College of Engineering Karunagappally, Kochi, 682022, India; Division of Information Technology, SOE, Cochin University of Science and Technology, Kochi, 682022, India</t>
  </si>
  <si>
    <t>Manoj Ray, D., Department of Computer Science, Cochin University of Science and Technology, College of Engineering Karunagappally, Kochi, 682022, India; Samuel, P., Division of Information Technology, SOE, Cochin University of Science and Technology, Kochi, 682022, India</t>
  </si>
  <si>
    <t>Manoj Ray, D.; Department of Computer Science, Cochin University of Science and Technology, College of Engineering KarunagappallyIndia; email: manojray@yahoo.com</t>
  </si>
  <si>
    <t>How does software process improvement address global software engineering?</t>
  </si>
  <si>
    <t>L41</t>
  </si>
  <si>
    <t>10.1109/ICGSE.2016.10</t>
  </si>
  <si>
    <t>Kuhrmann M., Diebold P., Munch J., Tell P.</t>
  </si>
  <si>
    <t>14015954200;42961229900;7102005186;36969458900;</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</si>
  <si>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 © 2016 IEEE.</t>
  </si>
  <si>
    <t>SPI</t>
  </si>
  <si>
    <t>Proceedings - 11th IEEE International Conference on Global Software Engineering, ICGSE 2016</t>
  </si>
  <si>
    <t>https://www.scopus.com/inward/record.uri?eid=2-s2.0-84994644499&amp;doi=10.1109%2fICGSE.2016.10&amp;partnerID=40&amp;md5=64bf46dcacdb3accf9431782dc68b5b9</t>
  </si>
  <si>
    <t>DENMARK</t>
  </si>
  <si>
    <t>University of Southern Denmark, Odense, Denmark; Fraunhofer IESE, Kaiserslautern, Germany; Reutlingen University, Böblingen, Germany; IT University of Copenhagen, Copenhagen, Denmark</t>
  </si>
  <si>
    <t>Kuhrmann, M., University of Southern Denmark, Odense, Denmark; Diebold, P., Fraunhofer IESE, Kaiserslautern, Germany; Munch, J., Reutlingen University, Böblingen, Germany; Tell, P., IT University of Copenhagen, Copenhagen, Denmark</t>
  </si>
  <si>
    <t>Kuhrmann, M.; University of Southern DenmarkDenmark; email: kuhrmann@mmmi.sdu.dk</t>
  </si>
  <si>
    <t>Stochastic performance analysis of global software development teams</t>
  </si>
  <si>
    <t>L42</t>
  </si>
  <si>
    <t>10.1145/2955093</t>
  </si>
  <si>
    <t>Czekster R.M., Fernandes P., Lopes L., Sales A., Santos A.R., Webber T.</t>
  </si>
  <si>
    <t>57203848743;7102795205;25928649000;8944846500;57199742377;57193088183;</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</si>
  <si>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 © 2016 ACM.</t>
  </si>
  <si>
    <t>ACM Transactions on Software Engineering and Methodology</t>
  </si>
  <si>
    <t>https://www.scopus.com/inward/record.uri?eid=2-s2.0-84984984855&amp;doi=10.1145%2f2955093&amp;partnerID=40&amp;md5=c7c2cefd726d0ac7eef9c2533797f965</t>
  </si>
  <si>
    <t>Computer Science Department, UNISC - University of Santa Cruz Do sul, Brazil; Computer Science Department, PUCRS University, Brazil</t>
  </si>
  <si>
    <t>Czekster, R.M., Computer Science Department, UNISC - University of Santa Cruz Do sul, Brazil; Fernandes, P., Computer Science Department, PUCRS University, Brazil; Lopes, L., Computer Science Department, PUCRS University, Brazil; Sales, A., Computer Science Department, PUCRS University, Brazil; Santos, A.R., Computer Science Department, PUCRS University, Brazil; Webber, T., Computer Science Department, UNISC - University of Santa Cruz Do sul, Brazil</t>
  </si>
  <si>
    <t>Training, exhaustion, and commitment of temporary agency workers: A test of employability perceptions</t>
  </si>
  <si>
    <t>L43</t>
  </si>
  <si>
    <t>10.1080/1359432X.2013.849246</t>
  </si>
  <si>
    <t>Chambel M.J., Sobral F., Espada M., Curral L.</t>
  </si>
  <si>
    <t>6507178503;37361664500;55916812800;16635072100;</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</si>
  <si>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 © 2013, © 2013 Taylor &amp; Francis.</t>
  </si>
  <si>
    <t>European Journal of Work and Organizational Psychology</t>
  </si>
  <si>
    <t>https://www.scopus.com/inward/record.uri?eid=2-s2.0-84917741182&amp;doi=10.1080%2f1359432X.2013.849246&amp;partnerID=40&amp;md5=e1b9ed0205f9d9594c8713b20917328c</t>
  </si>
  <si>
    <t>University of Lisbon, Lisboa, Portugal</t>
  </si>
  <si>
    <t>Chambel, M.J., University of Lisbon, Lisboa, Portugal; Sobral, F., University of Lisbon, Lisboa, Portugal; Espada, M., University of Lisbon, Lisboa, Portugal; Curral, L., University of Lisbon, Lisboa, Portugal</t>
  </si>
  <si>
    <t>Chambel, M.J.; University of Lisbon, Alameda da Universidade, Portugal</t>
  </si>
  <si>
    <t>Multicriteria Based Decision Making of DevOps Data Quality Assessment Challenges Using Fuzzy TOPSIS</t>
  </si>
  <si>
    <t>L44</t>
  </si>
  <si>
    <t>WoS</t>
  </si>
  <si>
    <t>10.1109/ACCESS.2020.2976803</t>
  </si>
  <si>
    <t>DEVOPS</t>
  </si>
  <si>
    <t>A Requirement Change Management Framework for Distributed Software Environment</t>
  </si>
  <si>
    <t>L45</t>
  </si>
  <si>
    <t>empty</t>
  </si>
  <si>
    <t>Software Integration Model for Global Software Development</t>
  </si>
  <si>
    <t>L46</t>
  </si>
  <si>
    <t>Cost model for global software development</t>
  </si>
  <si>
    <t>L47</t>
  </si>
  <si>
    <t>Volatile Fragility: New Employment Forms and Disrupted Employment Protection in the New Economy</t>
  </si>
  <si>
    <t>L48</t>
  </si>
  <si>
    <t>10.3390/ijerph17051531</t>
  </si>
  <si>
    <t>Implementation of Flexible Work Arrangements for Sustainable Development</t>
  </si>
  <si>
    <t>L49</t>
  </si>
  <si>
    <t>10.14207/ejsd.2018.v7n4p11</t>
  </si>
  <si>
    <t>Toward successful agile requirements change management process in global software development: A client-vendor analysis</t>
  </si>
  <si>
    <t>L50</t>
  </si>
  <si>
    <t>10.1049/iet-sen.2019.0128</t>
  </si>
  <si>
    <t>Kamal T., Zhang Q., Akbar M.A.</t>
  </si>
  <si>
    <t>57209010310;57203621200;57200183503;</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</si>
  <si>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 (20)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 © The Institution of Engineering and Technology 2019</t>
  </si>
  <si>
    <t>RCM</t>
  </si>
  <si>
    <t>https://www.scopus.com/inward/record.uri?eid=2-s2.0-85087702789&amp;doi=10.1049%2fiet-sen.2019.0128&amp;partnerID=40&amp;md5=31811d939eae0639baba4d40359ec7e6</t>
  </si>
  <si>
    <t>School of Computer Science and Technology, Chongqing University of Posts and Telecommunications, Chongqing, China; School of Big Data and Software Engineering, Chongqing University, Chongqing, China</t>
  </si>
  <si>
    <t>Kamal, T., School of Computer Science and Technology, Chongqing University of Posts and Telecommunications, Chongqing, China; Zhang, Q., School of Computer Science and Technology, Chongqing University of Posts and Telecommunications, Chongqing, China; Akbar, M.A., School of Big Data and Software Engineering, Chongqing University, Chongqing, China</t>
  </si>
  <si>
    <t>Akbar, M.A.; School of Big Data and Software Engineering, Chongqing UniversityChina; email: azeem.akbar@ymail.com</t>
  </si>
  <si>
    <t>Hard and soft skills for scrum global software development teams</t>
  </si>
  <si>
    <t>L51</t>
  </si>
  <si>
    <t>10.1145/3378936.3378966</t>
  </si>
  <si>
    <t>Hidayati A., Budiardjo E.K., Purwandari B.</t>
  </si>
  <si>
    <t>57201446053;6505807438;56716397400;</t>
  </si>
  <si>
    <t>Scrum is considered as one of the solutions to overcome problems encountered in global software development (GSD). The skills of a Scrum team largely determine the successful implementation of Scrum in a GSD project. The present study aims to identify and rank the essential skills for Scrum GSD teams. First, we identified five hard skills and five soft skills by conducting a literature study and depth interviews with a software engineering expert. Second, these skills were arranged into a questionnaire, which was then distributed to thirty undergraduate students taking software engineering subjects. The students were considered as Scrum beginners in development teams. The questionnaire data were subsequently analyzed by ranking the importance of the skills. Next, the rankings were validated in a focus group discussion (FGD) with four practitioners, two academics, one policymaker, and one representative of a relevant professional association. All members of the FGD had at least five years of experience in Scrum GSD. In the following stage, frequency analysis was employed to achieve a consensus among the experts. After that, a round table discussion was conducted to confirm the consensus. The results show that programming is the most important hard skill, while interpersonal and communication are the most important soft skills. Database expertise and leadership were identified as the least important hard and soft skills, respectively. Furthermore, the rank of these skills by importance is aligned with the nature of Scrum and GSD. Our findings can be used as a foundation to construct competencies in Scrum GSD teams. © 2020 Association for Computing Machinery.</t>
  </si>
  <si>
    <t>SCRUM</t>
  </si>
  <si>
    <t>https://www.scopus.com/inward/record.uri?eid=2-s2.0-85081989871&amp;doi=10.1145%2f3378936.3378966&amp;partnerID=40&amp;md5=61bf407d3cbb7c9cd0256f8ec5e5adfd</t>
  </si>
  <si>
    <t>INDONESIA</t>
  </si>
  <si>
    <t>Faculty of Computer Science, Universitas Indonesia, Depok, Indonesia</t>
  </si>
  <si>
    <t>Hidayati, A., Faculty of Computer Science, Universitas Indonesia, Depok, Indonesia; Budiardjo, E.K., Faculty of Computer Science, Universitas Indonesia, Depok, Indonesia; Purwandari, B., Faculty of Computer Science, Universitas Indonesia, Depok, Indonesia</t>
  </si>
  <si>
    <t>Purwandari, B.; Faculty of Computer Science, Universitas IndonesiaIndonesia; email: bettyp@cs.ui.ac.id</t>
  </si>
  <si>
    <t>Evaluation model to assess the effectiveness of coordination processes in global software development projects: A roadmap</t>
  </si>
  <si>
    <t>L52</t>
  </si>
  <si>
    <t>Research shows that software organizations are facing many challenges related to coordinate issues by adopting Global Software Development (GSD) approach. Coordination is a primary mechanism used in between collocated and distributed software development teams in GSD environment. A lack of coordination in GSD can decrease the productivity, complicate the process and delay the completion of tasks. Effective coordination is a crucial aspect in successful software projects. In order to coordinate the processes effectively, it need to be assessed. Research shows that there were less studies on assessing the effectiveness of the coordination processes. Hence, this study intends to identify the coordination processes, coordination strategies, indicators related to the identified coordination processes and coordination strategies used in GSD-base software development organization. This paper presents the roadmap to formulate the evaluation model for GSD coordination processes; made up of indicators for every coordination processes components. In general, project managers can utilise this model as it will serve as a guideline to assess the coordination processes effectively between collocated and distributed team in GSD environment.</t>
  </si>
  <si>
    <t>Journal of Telecommunication, Electronic and Computer Engineering</t>
  </si>
  <si>
    <t>https://www.scopus.com/inward/record.uri?eid=2-s2.0-85041717370&amp;partnerID=40&amp;md5=5c28c823c0afdb3560157daf05dfc917</t>
  </si>
  <si>
    <t>Universiti Teknologi Malaysia, Kuala Lumpur, Malaysia; Multimedia University, Cyberjaya, Selangor, Malaysia</t>
  </si>
  <si>
    <t>Subbarao, A., Universiti Teknologi Malaysia, Kuala Lumpur, Malaysia, Multimedia University, Cyberjaya, Selangor, Malaysia; Mahrin, M.N., Universiti Teknologi Malaysia, Kuala Lumpur, Malaysia</t>
  </si>
  <si>
    <t>Research Framework of Evaluation Model to Assess the Effectiveness of Coordination Processes in Global Software Development Projects</t>
  </si>
  <si>
    <t>L53</t>
  </si>
  <si>
    <t>10.1088/1742-6596/1529/5/052064</t>
  </si>
  <si>
    <t>Effective coordination is a vital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study is to present the entire research framework that will be used to formulate the Evaluation Model which consist of coordination strategies and related indicators. Research framework consists of three parts namely research philosophy, research design and research methods. Thus, this study elaborates each of this parts accordingly. The results of this study is the formulation of Evaluation Model to assess the effectiveness of the coordination processes in GSD projects. © 2020 IOP Publishing Ltd. All rights reserved.</t>
  </si>
  <si>
    <t>Journal of Physics: Conference Series</t>
  </si>
  <si>
    <t>https://www.scopus.com/inward/record.uri?eid=2-s2.0-85087442254&amp;doi=10.1088%2f1742-6596%2f1529%2f5%2f052064&amp;partnerID=40&amp;md5=f812aea0bdef29db095762670e3ef0b1</t>
  </si>
  <si>
    <t>Information Technology Unit, Faculty of Management, Multimedia University, Persiaran Multimedia, Cyberjaya, 63100, Malaysia; Department of Informatics, Razak Faculty of Technology and Informatics, Universiti Teknologi Malaysia, 54100 Jalan Sultan Yahya Petra, Kuala Lumpur, Malaysia</t>
  </si>
  <si>
    <t>Subbarao, A., Information Technology Unit, Faculty of Management, Multimedia University, Persiaran Multimedia, Cyberjaya, 63100, Malaysia; Mahrin, M.N., Department of Informatics, Razak Faculty of Technology and Informatics, Universiti Teknologi Malaysia, 54100 Jalan Sultan Yahya Petra, Kuala Lumpur, Malaysia</t>
  </si>
  <si>
    <t>?</t>
  </si>
  <si>
    <t>A Policy Recommendations Framework to Resolve Global Software Development Issues</t>
  </si>
  <si>
    <t>L54</t>
  </si>
  <si>
    <t>10.1109/ICIC48496.2019.8966719</t>
  </si>
  <si>
    <t>Hassan M., Hussain M., Ayubi S.-U.-D., Irfan M.</t>
  </si>
  <si>
    <t>57215359838;57189372503;57214826295;57214820756;</t>
  </si>
  <si>
    <t>Global software development (GSD) is basically a development which is done through low cost in given time frame by sitting in remote areas within cities, countries and around the globe. The global software development is facing major challenges such as, time zone differences, language barrier, cultural differences, geographical distance, communication gap, coordination problems, lack of project guidance, lack of experienced software testers, customer dissatisfaction, poor project management and so on. These challenges has major impact on software quality in GSD and decreases the acceptability among its users. In recent years, some strategies had been applied to reduce quality related issues that exist in GSD, however there is still a need to develop effective and efficient methods, techniques and best practices that can lead to enhance the quality of software development. The main objective of this article is to highlight the existing issues of GSD and to provide the policy recommendations to mitigate them. Therefore, a quantitative analysis have been performed that provides detailed statistical analysis on data by analyzing and applying nonparametric test (rejected the null hypothesis with less than 0.5 significance) and one sample T-test (with 2-tailed significance difference 0.00) through SPSS. Hence, this work contributes by making strong policy recommendations which is explained how GSD project should be handled by selecting best process, and how to achieve maximum quality of software product for customers to satisfy them, improve the acceptance among its users, bring their trust back to gain more business, and overall development in (software) industry. © 2019 IEEE.</t>
  </si>
  <si>
    <t>3rd International Conference on Innovative Computing, ICIC 2019</t>
  </si>
  <si>
    <t>https://www.scopus.com/inward/record.uri?eid=2-s2.0-85079217340&amp;doi=10.1109%2fICIC48496.2019.8966719&amp;partnerID=40&amp;md5=7dccbf93e6e3ff004acc7b13679b441d</t>
  </si>
  <si>
    <t>School of Systems and Technology, University of Management and Technology, Department of Software Engineering, Lahore, Pakistan; School of Systems and Technology, University of Management and Technology, Department of Computer Science, Lahore, Pakistan</t>
  </si>
  <si>
    <t>Hassan, M., School of Systems and Technology, University of Management and Technology, Department of Software Engineering, Lahore, Pakistan; Hussain, M., School of Systems and Technology, University of Management and Technology, Department of Computer Science, Lahore, Pakistan; Ayubi, S.-U.-D., School of Systems and Technology, University of Management and Technology, Department of Software Engineering, Lahore, Pakistan; Irfan, M., School of Systems and Technology, University of Management and Technology, Department of Software Engineering, Lahore, Pakistan</t>
  </si>
  <si>
    <t>Global Software Development and its Impact on Software Quality</t>
  </si>
  <si>
    <t>L55</t>
  </si>
  <si>
    <t>10.1109/ISIICT.2018.8613294</t>
  </si>
  <si>
    <t>Shanyour B., Qusef A.</t>
  </si>
  <si>
    <t>57207035125;36675659700;</t>
  </si>
  <si>
    <t>Recent advancements in technology and lifestyle have changed a big deal of the world around us, and especially the world of business. With the booming of mobility and the continuous progression of smart technologies; a years ago, Global Software Development (GSD) has become a necessity in almost virtual businesses, GSD is becoming a hot topic in the place of work and outside of it. It's a concept that changed our way of life, the technological boundaries and works, a lot of organizations began to work virtually by outsourcing from diver's countries with remote access software development. It has become easy connecting with outsourcing to facilitate corporation and reduce cost. The internet has supported GSD by providing new options and techniques resulting in resource pools, flexibility, scalability. it also included usage tracking and independences.as well as affected on a product designed, build, tested and delivered to customers. However, it faces many challenges. This paper aims to take a deeper exploratory dive into GSD and the challenges involved. And we will discuss the impact of GSD on Software quality. in order to gain a perspective on its potential and possible solutions for some of its issues. © 2018 IEEE.</t>
  </si>
  <si>
    <t>5th International Symposium on Innovation in Information and Communication Technology, ISIICT 2018</t>
  </si>
  <si>
    <t>https://www.scopus.com/inward/record.uri?eid=2-s2.0-85062189175&amp;doi=10.1109%2fISIICT.2018.8613294&amp;partnerID=40&amp;md5=cb3fa7661280c1f2da5af2bd9ec465b3</t>
  </si>
  <si>
    <t>JORDAN</t>
  </si>
  <si>
    <t>King Hussein Faculty of Computing Sciences, Princess Sumaya University of Technology (PSUT), Amman, Jordan</t>
  </si>
  <si>
    <t>Shanyour, B., King Hussein Faculty of Computing Sciences, Princess Sumaya University of Technology (PSUT), Amman, Jordan; Qusef, A., King Hussein Faculty of Computing Sciences, Princess Sumaya University of Technology (PSUT), Amman, Jordan</t>
  </si>
  <si>
    <t>Measuring the performance of the virtual teams in global software development projects</t>
  </si>
  <si>
    <t>L56</t>
  </si>
  <si>
    <t>10.22059/jitm.2019.73269</t>
  </si>
  <si>
    <t>Gheni A.Y., Jusoh Y.Y., Jabbar M.A., Ali N.M., Shanmugam M., Yousif H.A.</t>
  </si>
  <si>
    <t>57188858053;36147542500;57218448233;7202341166;36195134500;57216184005;</t>
  </si>
  <si>
    <t>The development teams who are geographically spread, culturally mixed and mainly depend on information and communication technology (ICT) for communication is defined as a global virtual teams (GVTs). Despite the advancement of technologies, achieving the efficient performance of GVTs remains a challenge. The reviewed literature has highlighted the importance of training and development, organizational commitment and motivation in enhancing the performance of GVTs. This study aims to identify the key performance indicators (KPIs), measures, and variables for assisting the GVT performance in global software development projects (GSD). In addition, this study aims to measure the GVTs performance involving online training and development, organizational commitment, and motivation in GSD projects. A survey was conducted among 103 respondents. Then, the performance measurement model (PMM) for GVTs in GSD projects was proposed based on the result of the survey. Finally, the project managers validated the study model. The proposed PMM includes four major components, namely performance measurement processes, mapping strategy for performance evaluation, measurements and performance analysis. The results showed the validity of the proposed model and confirmed that the PMM can assist project managers in measuring the performance of GVTs in GSD Projects. © University of Tehran, Faculty of Management</t>
  </si>
  <si>
    <t>Journal of Information Technology Management</t>
  </si>
  <si>
    <t>https://www.scopus.com/inward/record.uri?eid=2-s2.0-85082752897&amp;doi=10.22059%2fjitm.2019.73269&amp;partnerID=40&amp;md5=13e6820395a79438ea43bc4cd4321ebf</t>
  </si>
  <si>
    <t>Department of Computer Science, Faculty of Computer Science, University of Baghdad, Baghdad, Iraq; Department of Information Systems, Faculty of Computer Science and Information Technology, Universiti Putra Malaysia, Serdang, Malaysia; Department of Informatics, College of Computing and Informatics, Universiti Tenaga Nasional, Malaysia</t>
  </si>
  <si>
    <t>Gheni, A.Y., Department of Computer Science, Faculty of Computer Science, University of Baghdad, Baghdad, Iraq; Jusoh, Y.Y., Department of Information Systems, Faculty of Computer Science and Information Technology, Universiti Putra Malaysia, Serdang, Malaysia; Jabbar, M.A., Department of Information Systems, Faculty of Computer Science and Information Technology, Universiti Putra Malaysia, Serdang, Malaysia; Ali, N.M., Department of Information Systems, Faculty of Computer Science and Information Technology, Universiti Putra Malaysia, Serdang, Malaysia; Shanmugam, M., Department of Informatics, College of Computing and Informatics, Universiti Tenaga Nasional, Malaysia; Yousif, H.A., Department of Computer Science, Faculty of Computer Science, University of Baghdad, Baghdad, Iraq</t>
  </si>
  <si>
    <t>A fuzzy-based approach for selecting technically qualified distributed software development teams</t>
  </si>
  <si>
    <t>L57</t>
  </si>
  <si>
    <t>10.1007/978-3-030-02837-4_18</t>
  </si>
  <si>
    <t>Souza V., Elias G.</t>
  </si>
  <si>
    <t>57205415300;55027970600;</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</si>
  <si>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 © Springer Nature Switzerland AG 2018.</t>
  </si>
  <si>
    <t>https://www.scopus.com/inward/record.uri?eid=2-s2.0-85059944515&amp;doi=10.1007%2f978-3-030-02837-4_18&amp;partnerID=40&amp;md5=a840291d7a829a82a0d92cc077a6f568</t>
  </si>
  <si>
    <t>Informatics Center, Federal University of Paraíba, João Pessoa, Paraíba, Brazil</t>
  </si>
  <si>
    <t>Souza, V., Informatics Center, Federal University of Paraíba, João Pessoa, Paraíba, Brazil; Elias, G., Informatics Center, Federal University of Paraíba, João Pessoa, Paraíba, Brazil</t>
  </si>
  <si>
    <t>Elias, G.; Informatics Center, Federal University of ParaíbaBrazil; email: gledson@ci.ufpb.br</t>
  </si>
  <si>
    <t>Intuitionistic fuzzy decision making towards efficient team selection in global software development</t>
  </si>
  <si>
    <t>L58</t>
  </si>
  <si>
    <t>10.4018/JITR.2020040105</t>
  </si>
  <si>
    <t>Goyal M., Gupta C.</t>
  </si>
  <si>
    <t>37007580400;57214815790;</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</si>
  <si>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 Copyright © 2020, IGI Global.</t>
  </si>
  <si>
    <t>Journal of Information Technology Research</t>
  </si>
  <si>
    <t>https://www.scopus.com/inward/record.uri?eid=2-s2.0-85084539386&amp;doi=10.4018%2fJITR.2020040105&amp;partnerID=40&amp;md5=0ed634b8bcbe732af746d25643b5cc47</t>
  </si>
  <si>
    <t>INDIA</t>
  </si>
  <si>
    <t>Jaypee Institute of Information Technology, India</t>
  </si>
  <si>
    <t>Goyal, M., Jaypee Institute of Information Technology, India; Gupta, C., Jaypee Institute of Information Technology, India</t>
  </si>
  <si>
    <t>A fuzzy analytical hierarchy process to prioritize the success factors of requirement change management in global software development</t>
  </si>
  <si>
    <t>L59</t>
  </si>
  <si>
    <t>10.1002/smr.2292</t>
  </si>
  <si>
    <t>Akbar M.A., Shameem M., Khan A.A., Nadeem M., Alsanad A., Gumaei A.</t>
  </si>
  <si>
    <t>57200183503;57188991787;26434399300;57141925600;57202079542;55332296700;</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</si>
  <si>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 © 2020 John Wiley &amp; Sons, Ltd.</t>
  </si>
  <si>
    <t>https://www.scopus.com/inward/record.uri?eid=2-s2.0-85087657490&amp;doi=10.1002%2fsmr.2292&amp;partnerID=40&amp;md5=e47c8706f9f7e8ae095a7eb93db40f61</t>
  </si>
  <si>
    <t>College of Computer Science and Technology, Nanjing University of Aeronautics and Astronautics, Nanjing, China; Department of Computer Applications, Madanapalle Institute of Technology and Science, Madanapalle, India; Department of Computer Science, Aligarh Muslim University, Aligarh, India;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</si>
  <si>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Nanjing, China; Shameem, M., Department of Computer Applications, Madanapalle Institute of Technology and Science, Madanapalle, India; Khan, A.A., College of Computer Science and Technology, Nanjing University of Aeronautics and Astronautics, Nanjing, China; Nadeem, M., Department of Computer Science, Aligarh Muslim University, Aligarh, India; Alsanad, A., Research Chair of Artificial Intelligence (RCAI), Department of Information Systems, College of Computer and Information Sciences, King Saud University, Riyadh, Saudi Arabia; Gumaei, 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</si>
  <si>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Research Chair of Artificial Intelligence (RCAI), Department of Information Systems, College of Computer and Information Sciences, King Saud UniversityChina; email: azeem.akbar@ymail.com</t>
  </si>
  <si>
    <t>Fuzzy AHP based prioritization and taxonomy of software process improvement success factors in global software development</t>
  </si>
  <si>
    <t>L60</t>
  </si>
  <si>
    <t>10.1016/j.asoc.2019.105648</t>
  </si>
  <si>
    <t>Khan A.A., Shameem M., Kumar R.R., Hussain S., Yan X.</t>
  </si>
  <si>
    <t>26434399300;57188991787;55584803599;57211897979;56464525800;</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</si>
  <si>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 2019 Elsevier B.V.</t>
  </si>
  <si>
    <t>Applied Soft Computing Journal</t>
  </si>
  <si>
    <t>https://www.scopus.com/inward/record.uri?eid=2-s2.0-85073647935&amp;doi=10.1016%2fj.asoc.2019.105648&amp;partnerID=40&amp;md5=65bacd07b3da26a89154e2d3a7645593</t>
  </si>
  <si>
    <t>College of Computer Science and Technology, Nanjing University of Aeronautics and Astronautics, Nanjing, China; Department of Computer Application, Madanpalle Institute of Technology &amp; ScienceAndhra Pradesh, India; Department of Computer Science and Engineering, IIT (ISM), Dhanbad, Jharkhand, India; COMSATS University, Islamabad, 54700, Pakistan</t>
  </si>
  <si>
    <t>Khan, A.A., College of Computer Science and Technology, Nanjing University of Aeronautics and Astronautics, Nanjing, China; Shameem, M., Department of Computer Application, Madanpalle Institute of Technology &amp; ScienceAndhra Pradesh, India, Department of Computer Science and Engineering, IIT (ISM), Dhanbad, Jharkhand, India; Kumar, R.R., Department of Computer Science and Engineering, IIT (ISM), Dhanbad, Jharkhand, India; Hussain, S., COMSATS University, Islamabad, 54700, Pakistan; Yan, X., College of Computer Science and Technology, Nanjing University of Aeronautics and Astronautics, Nanjing, China</t>
  </si>
  <si>
    <t>Khan, A.A.; College of Computer Science and Technology, Nanjing University of Aeronautics and AstronauticsChina; email: arif.khan@nuaa.edu.cn</t>
  </si>
  <si>
    <t>Dynamics of task allocation in global software development</t>
  </si>
  <si>
    <t>L61</t>
  </si>
  <si>
    <t>10.1002/smr.1832</t>
  </si>
  <si>
    <t>Imtiaz S., Ikram N.</t>
  </si>
  <si>
    <t>55711164700;24437607500;</t>
  </si>
  <si>
    <t>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 Copyright © 2016 John Wiley &amp; Sons, Ltd.</t>
  </si>
  <si>
    <t>https://www.scopus.com/inward/record.uri?eid=2-s2.0-84991736250&amp;doi=10.1002%2fsmr.1832&amp;partnerID=40&amp;md5=244da0b4902ff051776a58b64f1ce6a7</t>
  </si>
  <si>
    <t>Faculty of Computing, Riphah International University, Islamabad, Pakistan</t>
  </si>
  <si>
    <t>Imtiaz, S., Faculty of Computing, Riphah International University, Islamabad, Pakistan; Ikram, N., Faculty of Computing, Riphah International University, Islamabad, Pakistan</t>
  </si>
  <si>
    <t>Imtiaz, S.; Faculty of Computing, Riphah International UniversityPakistan; email: salma.imtiaz@iiu.edu.pk</t>
  </si>
  <si>
    <t>A combined fuzzy DEMATEL and fuzzy TOPSIS approach for evaluating GSD project outcome factors</t>
  </si>
  <si>
    <t>L62</t>
  </si>
  <si>
    <t>10.1007/s00521-014-1771-1</t>
  </si>
  <si>
    <t>Sangaiah A.K., Subramaniam P.R., Zheng X.</t>
  </si>
  <si>
    <t>55616335800;54411374000;56441884400;</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</si>
  <si>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 © 2014, The Natural Computing Applications Forum.</t>
  </si>
  <si>
    <t>https://www.scopus.com/inward/record.uri?eid=2-s2.0-84930486011&amp;doi=10.1007%2fs00521-014-1771-1&amp;partnerID=40&amp;md5=9fb082c313fd4616732eaaa936c9dd3e</t>
  </si>
  <si>
    <t>School of Computing Science and Engineering, VIT University, Vellore, India; Discipline of Information Systems and Technology, University of KwaZulu-Natal, Pietermaritzburg, South Africa; Department of Computer Science and Information Technology, Frostburg State University, Frostburg, United States</t>
  </si>
  <si>
    <t>Sangaiah, A.K., School of Computing Science and Engineering, VIT University, Vellore, India; Subramaniam, P.R., Discipline of Information Systems and Technology, University of KwaZulu-Natal, Pietermaritzburg, South Africa; Zheng, X., Department of Computer Science and Information Technology, Frostburg State University, Frostburg, United States</t>
  </si>
  <si>
    <t>Sangaiah, A.K.; School of Computing Science and Engineering, VIT UniversityIndia</t>
  </si>
  <si>
    <t>Optimization of single-manufacturer multiple-contractors outsourcing relationship in integrated approach of production, maintenance and quality</t>
  </si>
  <si>
    <t>L63</t>
  </si>
  <si>
    <t>10.1109/SMC.2013.164</t>
  </si>
  <si>
    <t>Haoues M., Mouss N.K., Dahane M., Rezg N.</t>
  </si>
  <si>
    <t>55355244100;6507056228;24476463900;6603028561;</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</si>
  <si>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 © 2013 IEEE.</t>
  </si>
  <si>
    <t>Proceedings - 2013 IEEE International Conference on Systems, Man, and Cybernetics, SMC 2013</t>
  </si>
  <si>
    <t>https://www.scopus.com/inward/record.uri?eid=2-s2.0-84893537447&amp;doi=10.1109%2fSMC.2013.164&amp;partnerID=40&amp;md5=f465afd0fa6877287f0f97a9dea674da</t>
  </si>
  <si>
    <t>LAP, LGIPM and Université de Batna, 1 Avenue Chahid Boukhlouf Med Ben Elhadi, 05000 Batna, Algeria; LAP, Université de Batna, 1 Avenue Chahid Boukhlouf Med Ben Elhadi, 05000 Batna, Algeria; LGIPM, Ecole Nationale d'Ingénieurs de Metz, 1 Route d'Ars Laquenexy, 57078 - Metz Cedex, France; LGIPM, Université de Lorraine, 1 Route d'Ars Laquenexy, 57078 - Metz, France</t>
  </si>
  <si>
    <t>Haoues, M., LAP, LGIPM and Université de Batna, 1 Avenue Chahid Boukhlouf Med Ben Elhadi, 05000 Batna, Algeria; Mouss, N.K., LAP, Université de Batna, 1 Avenue Chahid Boukhlouf Med Ben Elhadi, 05000 Batna, Algeria; Dahane, M., LGIPM, Ecole Nationale d'Ingénieurs de Metz, 1 Route d'Ars Laquenexy, 57078 - Metz Cedex, France; Rezg, N., LGIPM, Université de Lorraine, 1 Route d'Ars Laquenexy, 57078 - Metz, France</t>
  </si>
  <si>
    <t>LAP, LGIPM and Université de Batna, 1 Avenue Chahid Boukhlouf Med Ben Elhadi, 05000 Batna, Algeria</t>
  </si>
  <si>
    <t>Recommending external developers to software projects based on historical analysis of previous contributions</t>
  </si>
  <si>
    <t>L64</t>
  </si>
  <si>
    <t>10.1145/3350768.3352458</t>
  </si>
  <si>
    <t>Oliveira M., Jr., Ghiotto G., Braga R., David J.</t>
  </si>
  <si>
    <t>57211420340;56607130200;7006111233;18433696900;</t>
  </si>
  <si>
    <t>The software development industry has evolved in recent years and new challenges have emerged. One of them is the difficulty in recruiting developers who are familiar with technologies that may be important to global software development projects. Currently, this task is aided by tools that delegate the mission of actively seeking developers to human recruiters. Unfortunately, when delegating such a task to humans, these tools may miss opportunities, as they may not be able to find all the information about the candidates. Following the methodology of Design Science Research (DSR), this work presents an architecture that helps to find collaborators for projects, along with an ontology. By mining social-coding repositories, the architecture can provide information, through inference (e.g. dependencies in projects in which developers worked) to be used in the recommendation tasks. An initial feasibility study was conducted to assess the feasibility to recommend developers to projects on the Node.js ecosystem. The recommendation system analyzes the previous contributions of the developers in other projects (n = 7000) and extracts technologies in which they explicitly worked and those they may be familiar as they are present in projects they worked with. After, the system compares them to a set of technologies that are part of the project that is the target of the recommendation. The feasibility study evidenced that the architecture can aid in the task of identifying candidates and technologies known to them. © 2019 Association for Computing Machinery.</t>
  </si>
  <si>
    <t>https://www.scopus.com/inward/record.uri?eid=2-s2.0-85073196439&amp;doi=10.1145%2f3350768.3352458&amp;partnerID=40&amp;md5=7bbd94e44eaa82b0fa1f58c1035b4213</t>
  </si>
  <si>
    <t>Computer Science Department, Federal University of Juiz de Fora, Juiz de Fora - Minas Gerais, Brazil</t>
  </si>
  <si>
    <t>Oliveira, M., Jr., Computer Science Department, Federal University of Juiz de Fora, Juiz de Fora - Minas Gerais, Brazil; Ghiotto, G., Computer Science Department, Federal University of Juiz de Fora, Juiz de Fora - Minas Gerais, Brazil; Braga, R., Computer Science Department, Federal University of Juiz de Fora, Juiz de Fora - Minas Gerais, Brazil; David, J., Computer Science Department, Federal University of Juiz de Fora, Juiz de Fora - Minas Gerais, Brazil</t>
  </si>
  <si>
    <t>Are the workers in the on-demand economy employees, independent contractors, or a hybrid category?</t>
  </si>
  <si>
    <t>L65</t>
  </si>
  <si>
    <t>10.22381/LPI1820197</t>
  </si>
  <si>
    <t>Ljungholm D.P.</t>
  </si>
  <si>
    <t>56205062300;</t>
  </si>
  <si>
    <t>This article reviews and advances existing literature concerning whether the workers in the on-demand economy are employees, independent contractors, or a hybrid category. Building my argument by drawing on data collected from Bureau of Labor Statistics, Edelman Intelligence, Elance-oDesk, Ernst &amp; Young, Freelancers Union, Human-Resources, NPR/Marist, PersolKelly, Pew Research Center, and Upwork, I performed analyses and made estimates regarding the likely impact of some workers preferring flexible contract-based roles over traditional permanent full-time roles (%), issues freelancers are concerned about (%), how benefits differ for part-time, full-time, and contract workers (%), and reasons for using contingent workers (%). © 2019, Addleton Academic Publishers. All rights reserved.</t>
  </si>
  <si>
    <t>Linguistic and Philosophical Investigations</t>
  </si>
  <si>
    <t>https://www.scopus.com/inward/record.uri?eid=2-s2.0-85070913819&amp;doi=10.22381%2fLPI1820197&amp;partnerID=40&amp;md5=b9836ef3602e528545665d38abd6d229</t>
  </si>
  <si>
    <t>University of Pitești, Romania</t>
  </si>
  <si>
    <t>Ljungholm, D.P., University of Pitești, Romania</t>
  </si>
  <si>
    <t>Ljungholm, D.P.; University of PiteștiRomania; email: dopopescu@yahoo.com</t>
  </si>
  <si>
    <t>An exploratory study of success factors in software integration for global software development vendors</t>
  </si>
  <si>
    <t>L66</t>
  </si>
  <si>
    <t>The trend of software development has changed from local to global software development (GSD) with acceleration in information and communication technologies. GSD offers certain benefits like reduced cost, high quality, availing skilled human resource and latest technology etc. It also faces a lot of challenges like communication coordination issues, cultural, language and temporal challenges along with the technical challenge of software integration. The objective of the current study is to identify success factors for software integration to assist GSD vendors in integrating the software components into a final working product. We have used the systematic literature review (SLR) process by following standard SLR guidelines. We have identified a list of 14 success factors by extracting data from 89 selected papers. Out of these, 9 factors were ranked as critical success factors (CSFs). Some of the top ranked CSFs are “Consistency in Requirements and Architecture Design”, “Intra and inter team Communication and Coordination” and “Component/Unit Testing prior to integration”. We have also analyzed these CSFs on the basis of period published, project size and methodology used. We identified 9 CSFs which may assist GSD vendors in almost all size of projects at different phases of the software integration process. © 2016, Pakistan Academy of Sciences.</t>
  </si>
  <si>
    <t>SUCCESS FACTORS</t>
  </si>
  <si>
    <t>Proceedings of the Pakistan Academy of Sciences: Part A</t>
  </si>
  <si>
    <t>https://www.scopus.com/inward/record.uri?eid=2-s2.0-85003534308&amp;partnerID=40&amp;md5=73703bd3e9805ef439a226e969d05d19</t>
  </si>
  <si>
    <t>Software Engineering Research Group (SERG_UOM), Department of Computer Science &amp; IT, University of MalakandKPK, Pakistan</t>
  </si>
  <si>
    <t>Ilyas, M., Software Engineering Research Group (SERG_UOM), Department of Computer Science &amp; IT, University of MalakandKPK, Pakistan; Khan, S.U., Software Engineering Research Group (SERG_UOM), Department of Computer Science &amp; IT, University of MalakandKPK, Pakistan</t>
  </si>
  <si>
    <t>Ilyas, M.; Software Engineering Research Group (SERG_UOM), Department of Computer Science &amp; IT, University of MalakandPakistan; email: milyasmkd@gmail.com</t>
  </si>
  <si>
    <t>A practical approach for evaluating and prioritizing situational factors in global software project development</t>
  </si>
  <si>
    <t>L67</t>
  </si>
  <si>
    <t>10.14569/IJACSA.2018.090726</t>
  </si>
  <si>
    <t>Gulzar K., Sang J., Memon A.A., Ramzan M., Xia X., Xiang H.</t>
  </si>
  <si>
    <t>57194854558;11339043800;56589533300;24721962000;55634456000;25654413000;</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</si>
  <si>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 © 2018, (IJACSA) International Journal of Advanced Computer Science and Applications.</t>
  </si>
  <si>
    <t>International Journal of Advanced Computer Science and Applications</t>
  </si>
  <si>
    <t>https://www.scopus.com/inward/record.uri?eid=2-s2.0-85054034314&amp;doi=10.14569%2fIJACSA.2018.090726&amp;partnerID=40&amp;md5=561c388a89d22c0698e2198a682fa000</t>
  </si>
  <si>
    <t>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Department of Software Development, Henan 863 Software Co. Ltd, Henan, Zhengzhou, 450001, China; College of Computing and Informatics, Saudi Electronic University, Riyadh, 11673, Saudi Arabia</t>
  </si>
  <si>
    <t>Gulzar, K., 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Sang, J., Key Laboratory of Dependable Service Computing in Cyber Physical Society of Ministry of Education, Chongqing University, Chongqing, 400044, China, School of Software Engineering, Chongqing University, Chongqing, 401331, China; Memon, A.A., Department of Software Development, Henan 863 Software Co. Ltd, Henan, Zhengzhou, 450001, China; Ramzan, M., College of Computing and Informatics, Saudi Electronic University, Riyadh, 11673, Saudi Arabia; Xia, X., Key Laboratory of Dependable Service Computing in Cyber Physical Society of Ministry of Education, Chongqing University, Chongqing, 400044, China, School of Software Engineering, Chongqing University, Chongqing, 401331, China; Xiang, H., Key Laboratory of Dependable Service Computing in Cyber Physical Society of Ministry of Education, Chongqing University, Chongqing, 400044, China</t>
  </si>
  <si>
    <t>Critical challenges for requirement implementation in context of global software development: A systematic literature review</t>
  </si>
  <si>
    <t>L68</t>
  </si>
  <si>
    <t>10.1109/ICOSST.2015.7396413</t>
  </si>
  <si>
    <t>Yaseen M., Baseer S., Sherin S.</t>
  </si>
  <si>
    <t>57189034582;37012568400;57189039456;</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</si>
  <si>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knowledge-sharing and awareness'. We have identified critical challenges like 'Lack of effective communication', 'Organizational change', 'Lack of coordination and collaboration' which are common in both periods from 2000 to 2006 and 2007 to 2014. © 2015 IEEE.</t>
  </si>
  <si>
    <t>ICOSST 2015 - 2015 International Conference on Open Source Systems and Technologies, Proceedings</t>
  </si>
  <si>
    <t>https://www.scopus.com/inward/record.uri?eid=2-s2.0-84964840933&amp;doi=10.1109%2fICOSST.2015.7396413&amp;partnerID=40&amp;md5=49fe91afe6929b69b328352fcefbf116</t>
  </si>
  <si>
    <t>University of Engineering and Technology, Peshawar, University of Swat, Khyber Pakhtunkhwa, Pakistan</t>
  </si>
  <si>
    <t>Yaseen, M., University of Engineering and Technology, Peshawar, University of Swat, Khyber Pakhtunkhwa, Pakistan; Baseer, S., University of Engineering and Technology, Peshawar, University of Swat, Khyber Pakhtunkhwa, Pakistan; Sherin, S., University of Engineering and Technology, Peshawar, University of Swat, Khyber Pakhtunkhwa, Pakistan</t>
  </si>
  <si>
    <t>Systematic literature review and empirical investigation of motivators for requirements change management process in global software development</t>
  </si>
  <si>
    <t>L69</t>
  </si>
  <si>
    <t>10.1002/smr.2242</t>
  </si>
  <si>
    <t>Khan A.A., Akbar M.A.</t>
  </si>
  <si>
    <t>26434399300;57200183503;</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</si>
  <si>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 © 2019 John Wiley &amp; Sons, Ltd.</t>
  </si>
  <si>
    <t>https://www.scopus.com/inward/record.uri?eid=2-s2.0-85075351084&amp;doi=10.1002%2fsmr.2242&amp;partnerID=40&amp;md5=e8ea96449550c8de41b523bce8795f04</t>
  </si>
  <si>
    <t>College of Computer Science and Technology, Nanjing University of Aeronautics and Astronautics, Nanjing, China</t>
  </si>
  <si>
    <t>Khan, A.A., College of Computer Science and Technology, Nanjing University of Aeronautics and Astronautics, Nanjing, China; Akbar, M.A., College of Computer Science and Technology, Nanjing University of Aeronautics and Astronautics, Nanjing, China</t>
  </si>
  <si>
    <t>Collaboration in Global Software Development: An Investigation on Research Trends and Evolution</t>
  </si>
  <si>
    <t>L70</t>
  </si>
  <si>
    <t>10.1109/ICGSE.2019.00028</t>
  </si>
  <si>
    <t>Yue Y., Ahmed I., Wang Y., Redmiles D.</t>
  </si>
  <si>
    <t>57210975724;57209289155;55319572800;6604049177;</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</si>
  <si>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 © 2019 IEEE.</t>
  </si>
  <si>
    <t>Proceedings - 2019 ACM/IEEE 14th International Conference on Global Software Engineering, ICGSE 2019</t>
  </si>
  <si>
    <t>https://www.scopus.com/inward/record.uri?eid=2-s2.0-85072111895&amp;doi=10.1109%2fICGSE.2019.00028&amp;partnerID=40&amp;md5=f255db65297395b1f53adc1ff0b5d17d</t>
  </si>
  <si>
    <t>Department of Informatics, University of California, Irvine, CA, United States; Department of Software Engineering, Rochester Institute of Technology, Rochester, NY, United States</t>
  </si>
  <si>
    <t>Yue, Y., Department of Informatics, University of California, Irvine, CA, United States; Ahmed, I., Department of Informatics, University of California, Irvine, CA, United States; Wang, Y., Department of Software Engineering, Rochester Institute of Technology, Rochester, NY, United States; Redmiles, D., Department of Informatics, University of California, Irvine, CA, United States</t>
  </si>
  <si>
    <t>Global software development: an exploratory study of challenges of globalization, HRM practices and process improvement</t>
  </si>
  <si>
    <t>L71</t>
  </si>
  <si>
    <t>10.1007/s11846-015-0171-y</t>
  </si>
  <si>
    <t>Bhatti M.W., Ahsan A.</t>
  </si>
  <si>
    <t>24503174600;36701010100;</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</si>
  <si>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 © 2015, Springer-Verlag Berlin Heidelberg.</t>
  </si>
  <si>
    <t>Review of Managerial Science</t>
  </si>
  <si>
    <t>https://www.scopus.com/inward/record.uri?eid=2-s2.0-84928391342&amp;doi=10.1007%2fs11846-015-0171-y&amp;partnerID=40&amp;md5=dec5a6b6930a10d5840f6cee3aa4bddc</t>
  </si>
  <si>
    <t>Engineering Management Department, Center for Advanced Studies in Engineering (CASE), Islamabad, Pakistan</t>
  </si>
  <si>
    <t>Bhatti, M.W., Engineering Management Department, Center for Advanced Studies in Engineering (CASE), Islamabad, Pakistan; Ahsan, A., Engineering Management Department, Center for Advanced Studies in Engineering (CASE), Islamabad, Pakistan</t>
  </si>
  <si>
    <t>Bhatti, M.W.; Engineering Management Department, Center for Advanced Studies in Engineering (CASE)Pakistan; email: mwasim_bhatti@yahoo.com</t>
  </si>
  <si>
    <t>Variation of risk profile across software life cycle in IS outsourcing</t>
  </si>
  <si>
    <t>L72</t>
  </si>
  <si>
    <t>10.1007/s11219-019-09451-8</t>
  </si>
  <si>
    <t>Sundararajan S., Marath B., K. Vijayaraghavan P.</t>
  </si>
  <si>
    <t>56457972000;57195106900;57210604435;</t>
  </si>
  <si>
    <t>Global software development (GSD) is an area that receives much attention from researchers today. In this context, we undertook an investigation of the variation of risk profile in offshore-outsourced software projects, across the software life cycle. The scope of the investigation was limited to risks associated with technical aspects, methods, and procedures used in software development. Based on literature survey, we developed a questionnaire to measure the risks and outcomes in software projects. Using the questionnaire, we conducted a survey of 145 software projects executed by global IT companies. We built a structural equation model showing the interdependence of underlying risk factors and their influence on project outcome. We further explored how the risk profile varied across the software life cycle stages such as development, maintenance, and modernization. © 2019, Springer Science+Business Media, LLC, part of Springer Nature.</t>
  </si>
  <si>
    <t>Software Quality Journal</t>
  </si>
  <si>
    <t>https://www.scopus.com/inward/record.uri?eid=2-s2.0-85071103899&amp;doi=10.1007%2fs11219-019-09451-8&amp;partnerID=40&amp;md5=81c223bdfc7a945360811f2194962623</t>
  </si>
  <si>
    <t>Department of Computer Science and Engineering, Agni College of Technology, Thalambur, Chennai, India; School of Management Studies, Cochin University of Science &amp; Technology, Kochi, India; Department of Computer Applications, Cochin University of Science &amp; Technology, Kochi, India</t>
  </si>
  <si>
    <t>Sundararajan, S., Department of Computer Science and Engineering, Agni College of Technology, Thalambur, Chennai, India; Marath, B., School of Management Studies, Cochin University of Science &amp; Technology, Kochi, India; K. Vijayaraghavan, P., Department of Computer Applications, Cochin University of Science &amp; Technology, Kochi, India</t>
  </si>
  <si>
    <t>Sundararajan, S.; Department of Computer Science and Engineering, Agni College of Technology, Thalambur, India; email: sri-sun@hotmail.com</t>
  </si>
  <si>
    <t>Virtual team management challenges mitigation model (VTMCMM)</t>
  </si>
  <si>
    <t>L73</t>
  </si>
  <si>
    <t>10.1109/ICOMET.2018.8346328</t>
  </si>
  <si>
    <t>Khan M., Khan A.W.</t>
  </si>
  <si>
    <t>57203219901;55961447900;</t>
  </si>
  <si>
    <t>Teams that are managed by an organization and its members are located at remote places, connected by modern communication technologies are gaining popularity day by day. The main purpose of this research work is to develop a model of Virtual Team Management Challenges mitigation (VTMCMM), to assist virtual team members for their team management. This model will be useful for outsourcing vendor industries in addressing the problems in virtual team management for offshore software development. The method which we have used in development of Virtual team management challenges mitigation model (VTMCMM) is Systematic literature review and empirical methods. We will use SLR for identifying the challenges faced by outsourcing vendors in virtual team management and practices to handle the identified challenges. We will conduct questionnaire survey in software industry for validation of the SLR findings and tried to identify some new ones apart from the identified ones. We will also conduct case study in outsourcing software industry for evaluation of our developed model through some industry experts. The expected outcome of this project is a model for virtual team management challenges that will assist virtual team members in proper management of outsourcing software development activities. © 2018 IEEE.</t>
  </si>
  <si>
    <t>2018 International Conference on Computing, Mathematics and Engineering Technologies: Invent, Innovate and Integrate for Socioeconomic Development, iCoMET 2018 - Proceedings</t>
  </si>
  <si>
    <t>https://www.scopus.com/inward/record.uri?eid=2-s2.0-85050995037&amp;doi=10.1109%2fICOMET.2018.8346328&amp;partnerID=40&amp;md5=82042e872f3b6aa49b56fe718a7b12e9</t>
  </si>
  <si>
    <t>Department of Computer Science, UST Bannu, KPK, Pakistan</t>
  </si>
  <si>
    <t>Khan, M., Department of Computer Science, UST Bannu, KPK, Pakistan; Khan, A.W., Department of Computer Science, UST Bannu, KPK, Pakistan</t>
  </si>
  <si>
    <t>Software complexity and organization of firms’ offshoring activities</t>
  </si>
  <si>
    <t>L74</t>
  </si>
  <si>
    <t>10.1007/978-3-319-64695-4_2</t>
  </si>
  <si>
    <t>Ojala A., Paavilainen-Mäntymäki E., Su N., Lyytinen K.</t>
  </si>
  <si>
    <t>23009702600;40462129900;36876971800;7004068826;</t>
  </si>
  <si>
    <t>How does software complexity shape software providers’ offshoring tasks, and how do such firms organize their offshoring activity? These questions are important, since the global software development market is growing rapidly, offering new opportunities for software managers and entrepreneurs to distribute their activities geographically. Based on a multi-site case study of 12 software firms, we study connections between software complexity and the offshoring strategies selected. Our findings suggest that software firms select a variety of organizational structures for their offshoring activity, and that the selection is shaped by the complexity of the software in question. © Springer International Publishing AG 2017.</t>
  </si>
  <si>
    <t>Lecture Notes in Business Information Processing</t>
  </si>
  <si>
    <t>https://www.scopus.com/inward/record.uri?eid=2-s2.0-85028347446&amp;doi=10.1007%2f978-3-319-64695-4_2&amp;partnerID=40&amp;md5=0458304b31190d9ff4d734ffc4811a95</t>
  </si>
  <si>
    <t>University of Jyväskylä, Jyväskylä, Finland; University of Turku, Turku, Finland; Ivey Business School, London, Canada; Case Western Reserve University, Cleveland, United States</t>
  </si>
  <si>
    <t>Ojala, A., University of Jyväskylä, Jyväskylä, Finland; Paavilainen-Mäntymäki, E., University of Turku, Turku, Finland; Su, N., Ivey Business School, London, Canada; Lyytinen, K., Case Western Reserve University, Cleveland, United States</t>
  </si>
  <si>
    <t>Ojala, A.; University of JyväskyläFinland; email: arto.k.ojala@jyu.fi</t>
  </si>
  <si>
    <t>Issues and strategy for agile global software development adoption</t>
  </si>
  <si>
    <t>L75</t>
  </si>
  <si>
    <t>Dumitriu F., Oprea D., Mesnita G.</t>
  </si>
  <si>
    <t>54782379700;54783376900;54783100700;</t>
  </si>
  <si>
    <t>The necessity of finding right skilled people and limiting costs has leaded to wide adoption of global development in software industry. Agile method increases software quality and improves project performance and, for these reasons, in the last years many companies try to merge the two approaches. Despite many benefits, this combination raises various challenges. This paper explores the challenges of integrating the two approaches based on their conflicting characteristics with the aim to define a strategy for companies that wish to adopt agile global software development. The strategy we propose is founded on grouping the various solutions proposed by the literature in three categories: preparatory measures, technology and communication tools, tailoring agile method.</t>
  </si>
  <si>
    <t>AGILE GSD</t>
  </si>
  <si>
    <t>Proceedings of the World Multiconference on Applied Economics, Business and Development</t>
  </si>
  <si>
    <t>https://www.scopus.com/inward/record.uri?eid=2-s2.0-83655191598&amp;partnerID=40&amp;md5=2191bd493c0da5a0826728c373248ad6</t>
  </si>
  <si>
    <t>ROMANIA</t>
  </si>
  <si>
    <t>Faculty of Economics and Business Administration, Alexandru Ioan Cuza University, 22, Bvd. Carol I, Iasi, Romania</t>
  </si>
  <si>
    <t>Dumitriu, F., Faculty of Economics and Business Administration, Alexandru Ioan Cuza University, 22, Bvd. Carol I, Iasi, Romania; Oprea, D., Faculty of Economics and Business Administration, Alexandru Ioan Cuza University, 22, Bvd. Carol I, Iasi, Romania; Mesnita, G., Faculty of Economics and Business Administration, Alexandru Ioan Cuza University, 22, Bvd. Carol I, Iasi, Romania</t>
  </si>
  <si>
    <t>Dumitriu, F.; Faculty of Economics and Business Administration, Alexandru Ioan Cuza University, 22, Bvd. Carol I, Iasi, Romania; email: fdumi@uaic.ro</t>
  </si>
  <si>
    <t>Software product quality in global software development: Finding groups with aligned goals</t>
  </si>
  <si>
    <t>L76</t>
  </si>
  <si>
    <t>10.1109/SEAA.2011.67</t>
  </si>
  <si>
    <t>Chatzipetrou P., Angelis L., Barney S., Wohlin C.</t>
  </si>
  <si>
    <t>36629991200;6602528674;18036900900;35547332200;</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</si>
  <si>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 shoring, outsourcing and off 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 © 2011 IEEE.</t>
  </si>
  <si>
    <t>CLUSTER</t>
  </si>
  <si>
    <t>Proceedings - 37th EUROMICRO Conference on Software Engineering and Advanced Applications, SEAA 2011</t>
  </si>
  <si>
    <t>https://www.scopus.com/inward/record.uri?eid=2-s2.0-82955178144&amp;doi=10.1109%2fSEAA.2011.67&amp;partnerID=40&amp;md5=a968b99ba57cad0c953b0e9570231cd5</t>
  </si>
  <si>
    <t>GREECE</t>
  </si>
  <si>
    <t>Department of Informatics, Aristotle University of Thessaloniki, Thessaloniki, Greece; School of Computing, Blekinge Institute of Technology, Karlskrona, Sweden</t>
  </si>
  <si>
    <t>Chatzipetrou, P., Department of Informatics, Aristotle University of Thessaloniki, Thessaloniki, Greece; Angelis, L., Department of Informatics, Aristotle University of Thessaloniki, Thessaloniki, Greece; Barney, S., School of Computing, Blekinge Institute of Technology, Karlskrona, Sweden; Wohlin, C., School of Computing, Blekinge Institute of Technology, Karlskrona, Sweden</t>
  </si>
  <si>
    <t>Chatzipetrou, P.; Department of Informatics, Aristotle University of Thessaloniki, Thessaloniki, Greece; email: pchatzip@csd.auth.gr</t>
  </si>
  <si>
    <t>Scrum+: A scaled Scrum for the agile global software development project management with multiple models</t>
  </si>
  <si>
    <t>L77</t>
  </si>
  <si>
    <t>10.17533//udea.redin.20190519</t>
  </si>
  <si>
    <t>Pardo-Calvache C.J., Chilito-Gómez P.R., Viveros-Meneses D.E., Pino F.J.</t>
  </si>
  <si>
    <t>35318545900;57210805618;57210788575;57195195220;</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</si>
  <si>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 © 2018 Revista Facultad de Ingenieria -redin- - Todos los derechos reservados.</t>
  </si>
  <si>
    <t>Revista Facultad de Ingenieria</t>
  </si>
  <si>
    <t>https://www.scopus.com/inward/record.uri?eid=2-s2.0-85071488634&amp;doi=10.17533%2f%2fudea.redin.20190519&amp;partnerID=40&amp;md5=c507bb36a9684f5eedf0541499514b0a</t>
  </si>
  <si>
    <t>Grupo de Investigación GTI, Programa de Ingeniería de Sistemas, Facultad de Ingeniería Electrónica y Telecomunicaciones, Universidad del Cauca, Calle 5 # 4, 70, Popayán, C. P. 19002, Colombia;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</si>
  <si>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Popayán, C. P. 19002, Colombia; Chilito-Gómez, P.R., Grupo de Investigación GTI, Programa de Ingeniería de Sistemas, Facultad de Ingeniería Electrónica y Telecomunicaciones, Universidad del Cauca, Calle 5 # 4, 70, Popayán, C. P. 19002, Colombia; Viveros-Meneses, D.E., Grupo de Investigación GTI, Programa de Ingeniería de Sistemas, Facultad de Ingeniería Electrónica y Telecomunicaciones, Universidad del Cauca, Calle 5 # 4, 70, Popayán, C. P. 19002, Colombia; Pino, F.J.,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</si>
  <si>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Colombia; email: cpardo@unicauca.edu.co</t>
  </si>
  <si>
    <t>Tool usage within a globally distributed software development course and implications for teaching</t>
  </si>
  <si>
    <t>L78</t>
  </si>
  <si>
    <t>10.1109/CTGDSD.2013.6635240</t>
  </si>
  <si>
    <t>Baldwin J., Damian D.</t>
  </si>
  <si>
    <t>42161115700;57192297254;</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</si>
  <si>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 © 2013 IEEE.</t>
  </si>
  <si>
    <t>2013 3rd International Workshop on Collaborative Teaching of Globally Distributed Software Development, CTGDSD 2013 - Proceedings</t>
  </si>
  <si>
    <t>https://www.scopus.com/inward/record.uri?eid=2-s2.0-84890053401&amp;doi=10.1109%2fCTGDSD.2013.6635240&amp;partnerID=40&amp;md5=c9b954281c040aeddaa4c372cc8f58c7</t>
  </si>
  <si>
    <t>CANADA</t>
  </si>
  <si>
    <t>Department of Computer Science, University of Victoria, Victoria, BC, Canada</t>
  </si>
  <si>
    <t>Baldwin, J., Department of Computer Science, University of Victoria, Victoria, BC, Canada; Damian, D., Department of Computer Science, University of Victoria, Victoria, BC, Canada</t>
  </si>
  <si>
    <t>Systematic task allocation evaluation in distributed software development</t>
  </si>
  <si>
    <t>L79</t>
  </si>
  <si>
    <t>10.1007/978-3-642-05290-3_34</t>
  </si>
  <si>
    <t>Münch J., Lamersdorf A.</t>
  </si>
  <si>
    <t>7102005186;6505467826;</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</si>
  <si>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 © Springer-Verlag 2009.</t>
  </si>
  <si>
    <t>https://www.scopus.com/inward/record.uri?eid=2-s2.0-78650744107&amp;doi=10.1007%2f978-3-642-05290-3_34&amp;partnerID=40&amp;md5=8eda87202f8e2e378d56f78fdcd929c6</t>
  </si>
  <si>
    <t>Fraunhofer IESE, Fraunhofer Platz 1, 67663 Kaiserslautern, Germany; University of Kaiserslautern, Gottlieb-Daimler-Str., 67653 Kaiserslautern, Germany</t>
  </si>
  <si>
    <t>Münch, J., Fraunhofer IESE, Fraunhofer Platz 1, 67663 Kaiserslautern, Germany; Lamersdorf, A., University of Kaiserslautern, Gottlieb-Daimler-Str., 67653 Kaiserslautern, Germany</t>
  </si>
  <si>
    <t>Münch, J.; Fraunhofer IESE, Fraunhofer Platz 1, 67663 Kaiserslautern, Germany; email: Juergen.Muench@iese.fraunhofer.de</t>
  </si>
  <si>
    <t>Sharers and sellers: A multi-group examination of gig economy workers’ perceptions</t>
  </si>
  <si>
    <t>L80</t>
  </si>
  <si>
    <t>10.1016/j.jbusres.2019.01.041</t>
  </si>
  <si>
    <t>Gleim M.R., Johnson C.M., Lawson S.J.</t>
  </si>
  <si>
    <t>25823802800;56373752300;25823864700;</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</si>
  <si>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 © 2019 Elsevier Inc.</t>
  </si>
  <si>
    <t>Journal of Business Research</t>
  </si>
  <si>
    <t>https://www.scopus.com/inward/record.uri?eid=2-s2.0-85060760569&amp;doi=10.1016%2fj.jbusres.2019.01.041&amp;partnerID=40&amp;md5=d2c9b41acff9189f82fbc3ec87d0ceb9</t>
  </si>
  <si>
    <t>College of Business and Innovation, The University of Toledo, Mail Stop #103, Toledo, OH  43606, United States; College of Business Administration, Winthrop University, 209 Thurmond Building, Rock Hill, SC  29733, United States</t>
  </si>
  <si>
    <t>Gleim, M.R., College of Business and Innovation, The University of Toledo, Mail Stop #103, Toledo, OH  43606, United States; Johnson, C.M., College of Business and Innovation, The University of Toledo, Mail Stop #103, Toledo, OH  43606, United States; Lawson, S.J., College of Business Administration, Winthrop University, 209 Thurmond Building, Rock Hill, SC  29733, United States</t>
  </si>
  <si>
    <t>Gleim, M.R.; College of Business and Innovation, The University of Toledo, Mail Stop #103, United States; email: mark.gleim@utoledo.edu</t>
  </si>
  <si>
    <t>The role of freelancers in entrepreneurship and small business</t>
  </si>
  <si>
    <t>L81</t>
  </si>
  <si>
    <t>10.1007/s11187-019-00239-5</t>
  </si>
  <si>
    <t>Burke A., Cowling M.</t>
  </si>
  <si>
    <t>7202060774;7007072472;</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</si>
  <si>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 © 2019, Springer Science+Business Media, LLC, part of Springer Nature.</t>
  </si>
  <si>
    <t>Small Business Economics</t>
  </si>
  <si>
    <t>https://www.scopus.com/inward/record.uri?eid=2-s2.0-85071449621&amp;doi=10.1007%2fs11187-019-00239-5&amp;partnerID=40&amp;md5=9345c95d457ed0ed58db6ad82b01dbc3</t>
  </si>
  <si>
    <t>Trinity Business School, Trinity College Dublin, Dublin 2, Ireland; College of Business, Law and Social Sciences, University of Derby, Derby, United Kingdom</t>
  </si>
  <si>
    <t>Burke, A., Trinity Business School, Trinity College Dublin, Dublin 2, Ireland; Cowling, M., College of Business, Law and Social Sciences, University of Derby, Derby, United Kingdom</t>
  </si>
  <si>
    <t>Burke, A.; Trinity Business School, Trinity College Dublin, College of Business, Law and Social Sciences, University of DerbyIreland; email: andrew.burke@tcd.ie</t>
  </si>
  <si>
    <t>Trust and the don't-want-to-complain bias in peer-to-peer platform markets</t>
  </si>
  <si>
    <t>L82</t>
  </si>
  <si>
    <t>10.1111/ijcs.12561</t>
  </si>
  <si>
    <t>Berg L., Slettemeås D., Kjørstad I., Rosenberg T.G.</t>
  </si>
  <si>
    <t>15730260000;27968076600;57213605740;57210831839;</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</si>
  <si>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 © 2020 The Authors. International Journal of Consumer Studies published by John Wiley &amp; Sons Ltd</t>
  </si>
  <si>
    <t>International Journal of Consumer Studies</t>
  </si>
  <si>
    <t>https://www.scopus.com/inward/record.uri?eid=2-s2.0-85077855611&amp;doi=10.1111%2fijcs.12561&amp;partnerID=40&amp;md5=73a5f1cfbee47f4304a438dd8f83887d</t>
  </si>
  <si>
    <t>National Institute for Consumption Research (SIFO), Oslo Metropolitan University, Oslo, Norway; Arendal Municipality, Arendal, Norway; The Norwegian Media Authority, Fredrikstad, Norway</t>
  </si>
  <si>
    <t>Berg, L., National Institute for Consumption Research (SIFO), Oslo Metropolitan University, Oslo, Norway; Slettemeås, D., National Institute for Consumption Research (SIFO), Oslo Metropolitan University, Oslo, Norway; Kjørstad, I., Arendal Municipality, Arendal, Norway; Rosenberg, T.G., The Norwegian Media Authority, Fredrikstad, Norway</t>
  </si>
  <si>
    <t>Berg, L.; National Institute for Consumption Research (SIFO), Oslo Metropolitan UniversityNorway; email: liberg@oslomet.no</t>
  </si>
  <si>
    <t>Software architecture design in global software development: An empirical study</t>
  </si>
  <si>
    <t>L83</t>
  </si>
  <si>
    <t>10.1016/j.jss.2019.110400</t>
  </si>
  <si>
    <t>Sievi-Korte O., Richardson I., Beecham S.</t>
  </si>
  <si>
    <t>55871771500;23006200900;6505937694;</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</si>
  <si>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</si>
  <si>
    <t>Journal of Systems and Software</t>
  </si>
  <si>
    <t>https://www.scopus.com/inward/record.uri?eid=2-s2.0-85072283236&amp;doi=10.1016%2fj.jss.2019.110400&amp;partnerID=40&amp;md5=1202309972af2b0455a19f61bd395c3a</t>
  </si>
  <si>
    <t>Faculty of Information Technology and Communications, Tampere University, Finland; Lero - The Irish Software Research Centre, University of Limerick, Ireland</t>
  </si>
  <si>
    <t>Sievi-Korte, O., Faculty of Information Technology and Communications, Tampere University, Finland; Richardson, I., Lero - The Irish Software Research Centre, University of Limerick, Ireland; Beecham, S., Lero - The Irish Software Research Centre, University of Limerick, Ireland</t>
  </si>
  <si>
    <t>Beecham, S.; Lero - The Irish Software Research Centre, University of LimerickIreland; email: sarah.beecham@lero.ie</t>
  </si>
  <si>
    <t>An Empirical Study to Investigate the Impact of Communication Issues in GSD in Pakistan's IT Industry</t>
  </si>
  <si>
    <t>L84</t>
  </si>
  <si>
    <t>10.1109/ACCESS.2019.2953008</t>
  </si>
  <si>
    <t>Ammad G., Iqbal Janjua U., Madni T.M., Cheema M.F., Shahid A.R.</t>
  </si>
  <si>
    <t>57209297103;57213824441;55851119700;57190138872;35068667900;</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</si>
  <si>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 temporal distance, socio-culture distance, team member's attitude, team issues, organizational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 © 2013 IEEE.</t>
  </si>
  <si>
    <t>IEEE Access</t>
  </si>
  <si>
    <t>https://www.scopus.com/inward/record.uri?eid=2-s2.0-85077975621&amp;doi=10.1109%2fACCESS.2019.2953008&amp;partnerID=40&amp;md5=7afe3c1952f4829cea1587711a175129</t>
  </si>
  <si>
    <t>Department of Computer Science, COMSATS University Islamabad, Islamabad, 44000, Pakistan; Department of Computer Science, FAST University (NUCES) Islamabad, Islamabad, 44000, Pakistan</t>
  </si>
  <si>
    <t>Ammad, G., Department of Computer Science, COMSATS University Islamabad, Islamabad, 44000, Pakistan; Iqbal Janjua, U., Department of Computer Science, COMSATS University Islamabad, Islamabad, 44000, Pakistan; Madni, T.M., Department of Computer Science, COMSATS University Islamabad, Islamabad, 44000, Pakistan; Cheema, M.F., Department of Computer Science, FAST University (NUCES) Islamabad, Islamabad, 44000, Pakistan; Shahid, A.R., Department of Computer Science, COMSATS University Islamabad, Islamabad, 44000, Pakistan</t>
  </si>
  <si>
    <t>Iqbal Janjua, U.; Department of Computer Science, COMSATS University IslamabadPakistan; email: uzair_iqbal@comsats.edu.pk</t>
  </si>
  <si>
    <t>Integration of fuzzy DEMATEL and FMCDM approach for evaluating knowledge transfer effectiveness with reference to GSD project outcome</t>
  </si>
  <si>
    <t>L85</t>
  </si>
  <si>
    <t>10.1007/s13042-015-0370-5</t>
  </si>
  <si>
    <t>Gopal J., Sangaiah A.K., Basu A., Gao X.Z.</t>
  </si>
  <si>
    <t>56512554700;55616335800;57212861202;57193611024;</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</si>
  <si>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 © 2015, Springer-Verlag Berlin Heidelberg.</t>
  </si>
  <si>
    <t>International Journal of Machine Learning and Cybernetics</t>
  </si>
  <si>
    <t>https://www.scopus.com/inward/record.uri?eid=2-s2.0-85040656567&amp;doi=10.1007%2fs13042-015-0370-5&amp;partnerID=40&amp;md5=d259d2df12da8a2d6dce137ed660ea0e</t>
  </si>
  <si>
    <t>School of Information Technology and Engineering, VIT University, Vellore, Tamil Nadu, India; School of Computing Science and Engineering, VIT University, Vellore, Tamil Nadu, India; East Point College of Engineering, Bangalore, India; Department of Electrical Engineering and Automation, Aalto University, Aalto, Finland</t>
  </si>
  <si>
    <t>Gopal, J., School of Information Technology and Engineering, VIT University, Vellore, Tamil Nadu, India; Sangaiah, A.K., School of Computing Science and Engineering, VIT University, Vellore, Tamil Nadu, India; Basu, A., East Point College of Engineering, Bangalore, India; Gao, X.Z., Department of Electrical Engineering and Automation, Aalto University, Aalto, Finland</t>
  </si>
  <si>
    <t>A social network to increase collaboration and coordination in distributed teams</t>
  </si>
  <si>
    <t>L86</t>
  </si>
  <si>
    <t>10.13053/CyS-22-2-2491</t>
  </si>
  <si>
    <t>Vizcaíno A., Garrido P., Palacio R.R., Morán A.L., Piattini M.</t>
  </si>
  <si>
    <t>7003393897;55513122700;56000822700;7201919645;7004203473;</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</si>
  <si>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 © 2018 Instituto Politecnico Nacional. All rights reserved.</t>
  </si>
  <si>
    <t>Computacion y Sistemas</t>
  </si>
  <si>
    <t>https://www.scopus.com/inward/record.uri?eid=2-s2.0-85049835908&amp;doi=10.13053%2fCyS-22-2-2491&amp;partnerID=40&amp;md5=7355c62f17b5643967e283578a0e4a66</t>
  </si>
  <si>
    <t>SPAIN</t>
  </si>
  <si>
    <t>Universidad Castilla-La Mancha, Grupo de Investigación Alarcos, Mexico; Instituto Tecnológico de Sonora, Unidad Navojoa, Mexico; Universidad Autónoma de Baja California, Facultad de Ciencias-Ensenada, Mexico</t>
  </si>
  <si>
    <t>Vizcaíno, A., Universidad Castilla-La Mancha, Grupo de Investigación Alarcos, Mexico; Garrido, P., Universidad Castilla-La Mancha, Grupo de Investigación Alarcos, Mexico; Palacio, R.R., Instituto Tecnológico de Sonora, Unidad Navojoa, Mexico; Morán, A.L., Universidad Autónoma de Baja California, Facultad de Ciencias-Ensenada, Mexico; Piattini, M., Universidad Castilla-La Mancha, Grupo de Investigación Alarcos, Mexico</t>
  </si>
  <si>
    <t>Vizcaíno, A.; Universidad Castilla-La Mancha, Grupo de Investigación AlarcosMexico; email: aurora.vizcaino@uclm.es</t>
  </si>
  <si>
    <t>Heigh Ho, Heigh Ho: flexible labor contracts with real option characteristics</t>
  </si>
  <si>
    <t>L87</t>
  </si>
  <si>
    <t>10.1057/s11369-018-00106-3</t>
  </si>
  <si>
    <t>Byrne J., Pecchenino R.A.</t>
  </si>
  <si>
    <t>57190141230;6507841899;</t>
  </si>
  <si>
    <t>What is the strategic value of flexible labor contracts to workers? To answer this question, we examine workers’ labor supply decisions when choosing among alternative work arrangements ranging from permanent and pensionable to fixed-term, shift work, zero-hour, and on-call to gigs. We then introduce the concept of real options as a framework in which to analyze contract valuation from the workers’ perspective. For a non-standard employment contract to have real option value, the contract must both lead to future choices and enable advantageous access to future opportunities. Using case studies from a diverse set of industries and guided by the real options framework, we examine when contract flexibility contains valuable real option characteristics for the utility maximizing worker, or the profit maximizing firm, or, surprisingly, both. © 2018, National Association for Business Economics.</t>
  </si>
  <si>
    <t>Business Economics</t>
  </si>
  <si>
    <t>https://www.scopus.com/inward/record.uri?eid=2-s2.0-85058018446&amp;doi=10.1057%2fs11369-018-00106-3&amp;partnerID=40&amp;md5=dd79e13bd9206fa795c45b858b0a639e</t>
  </si>
  <si>
    <t>Michael Smurfit Graduate School of Business, University College Dublin, Blackrock, Co. Dublin, Ireland; Department of Economics, Finance and Accounting, Maynooth University, National University of Ireland, Maynooth, Maynooth, Co. Kildare, Ireland</t>
  </si>
  <si>
    <t>Byrne, J., Michael Smurfit Graduate School of Business, University College Dublin, Blackrock, Co. Dublin, Ireland; Pecchenino, R.A., Department of Economics, Finance and Accounting, Maynooth University, National University of Ireland, Maynooth, Maynooth, Co. Kildare, Ireland</t>
  </si>
  <si>
    <t>Pecchenino, R.A.; Department of Economics, Finance and Accounting, Maynooth University, National University of Ireland, MaynoothIreland; email: rowena.pecchenino@mu.ie</t>
  </si>
  <si>
    <t>Company Privacy Dashboards: Employee Needs and Requirements</t>
  </si>
  <si>
    <t>L88</t>
  </si>
  <si>
    <t>10.1007/978-3-030-22351-9_29</t>
  </si>
  <si>
    <t>Polst S., Kelbert P., Feth D.</t>
  </si>
  <si>
    <t>57195069223;57217886883;55366427500;</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</si>
  <si>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 © 2019, Springer Nature Switzerland AG.</t>
  </si>
  <si>
    <t>https://www.scopus.com/inward/record.uri?eid=2-s2.0-85069883789&amp;doi=10.1007%2f978-3-030-22351-9_29&amp;partnerID=40&amp;md5=33c0f2c96febdf0c9b184c9fef1502af</t>
  </si>
  <si>
    <t>Fraunhofer IESE, Fraunhofer-Platz 1, Kaiserslautern, 67663, Germany</t>
  </si>
  <si>
    <t>Polst, S., Fraunhofer IESE, Fraunhofer-Platz 1, Kaiserslautern, 67663, Germany; Kelbert, P., Fraunhofer IESE, Fraunhofer-Platz 1, Kaiserslautern, 67663, Germany; Feth, D., Fraunhofer IESE, Fraunhofer-Platz 1, Kaiserslautern, 67663, Germany</t>
  </si>
  <si>
    <t>Kelbert, P.; Fraunhofer IESE, Fraunhofer-Platz 1, Germany; email: patricia.kelbert@iese.fraunhofer.de</t>
  </si>
  <si>
    <t>Agile teams in large-scale distributed context-isolated or connected?</t>
  </si>
  <si>
    <t>L89</t>
  </si>
  <si>
    <t>10.1145/2962695.2962705</t>
  </si>
  <si>
    <t>Šablis A., Šmite D.</t>
  </si>
  <si>
    <t>57191544280;22433869800;</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</si>
  <si>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 © 2016 ACM.</t>
  </si>
  <si>
    <t>https://www.scopus.com/inward/record.uri?eid=2-s2.0-84991517702&amp;doi=10.1145%2f2962695.2962705&amp;partnerID=40&amp;md5=4afe64b7c311198ee6d74afd21fe316e</t>
  </si>
  <si>
    <t>Šablis, A., Blekinge Institute of Technology, Karlskrona, Sweden; Šmite, D., Blekinge Institute of Technology, Karlskrona, Sweden</t>
  </si>
  <si>
    <t>Providing training in GSD by using a virtual environment</t>
  </si>
  <si>
    <t>L90</t>
  </si>
  <si>
    <t>10.1007/978-3-642-31063-8_16</t>
  </si>
  <si>
    <t>Monasor M.J., Vizcaíno A., Piattini M.</t>
  </si>
  <si>
    <t>36163107700;7003393897;7004203473;</t>
  </si>
  <si>
    <t>In Global Software Development (GSD) the human factor is one of the main assets for the companies. Their efficiency in communication and collaboration, as well as their knowledge of the processes applied in GSD, can lead the companies to be more competitive. Participants require knowing the customs and culture of other participants. Moreover they need to improve their social and interpersonal competencies such as: negotiation, teamwork, conflict resolution, time management, leadership, and communication skills using a common language. In this paper we present a simulation-based approach for training GSD with which users can train by interacting with Virtual Agents which play a role in the development process. These Virtual Agents textually interact with users by means of a chat by simulating being people with different personalities, experiences, skills and culture. The lessons learned in a feasibility study carried out with a group of practitioners and PhD students are also analyzed in this paper. © 2012 Springer-Verlag.</t>
  </si>
  <si>
    <t>https://www.scopus.com/inward/record.uri?eid=2-s2.0-84862155612&amp;doi=10.1007%2f978-3-642-31063-8_16&amp;partnerID=40&amp;md5=516c5df18df20be5aa1415f75130ff47</t>
  </si>
  <si>
    <t>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</si>
  <si>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Vizcaíno, A., Alarcos Research Group, Escuela Superior de Informática, University of Castilla-La Mancha, Paseo de la Universidad 4, Ciudad Real 13071, Spain; Piattini, M., 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</si>
  <si>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email: MiguelJ.Monasor@gmail.com</t>
  </si>
  <si>
    <t>The organization of Human Resource Management in temporary work agencies-towards a comprehensive research agenda on temporary agency work in Germany, the Netherlands and the US</t>
  </si>
  <si>
    <t>L91</t>
  </si>
  <si>
    <t>10.1016/j.hrmr.2006.02.004</t>
  </si>
  <si>
    <t>Mitlacher L.W.</t>
  </si>
  <si>
    <t>13004129300;</t>
  </si>
  <si>
    <t>While many studies suggest that companies use temporary agency work only as a short-term instrument to adjust the workforce in line with demand, recent research has pointed to new developments in employers' use of temporary agency work. Studies have highlighted the development of increasing long-term contractual relationships between temporary work agencies and client companies in countries such as Germany, the Netherlands and the US. What is missing in the current debate so far are insights on how temporary work agencies are responding to new expectations by client companies. Therefore, possible strategies are analyzed with special regard to the design of Human Resource Management instruments in temporary work agencies. Although the Human Resource Management is the core competency of temporary work agencies, surprisingly little attention in the academic literature has been paid to the question how Human Resource Management should be structured in order to support the adopted strategies by the agencies. This will be analyzed in the paper with a special focus on the situation in Germany, the Netherlands and the US, developing propositions for further research and a comprehensive research agenda for international comparative studies. © 2006 Elsevier Inc. All rights reserved.</t>
  </si>
  <si>
    <t>Human Resource Management Review</t>
  </si>
  <si>
    <t>https://www.scopus.com/inward/record.uri?eid=2-s2.0-33645931701&amp;doi=10.1016%2fj.hrmr.2006.02.004&amp;partnerID=40&amp;md5=f06bfc2af23579cfcad6ef5747d5cf25</t>
  </si>
  <si>
    <t>BASF AG, GP/PG, HR Policies, C 100, D-67056 Ludwigshafen, Germany</t>
  </si>
  <si>
    <t>Mitlacher, L.W., BASF AG, GP/PG, HR Policies, C 100, D-67056 Ludwigshafen, Germany</t>
  </si>
  <si>
    <t>Mitlacher, L.W.; BASF AG, GP/PG, HR Policies, C 100, D-67056 Ludwigshafen, Germany; email: lars.mitlacher@basf.com</t>
  </si>
  <si>
    <t>Employee attitudes and (Digital) collaboration data: a preliminary analysis in the HRM field</t>
  </si>
  <si>
    <t>L92</t>
  </si>
  <si>
    <t>10.1109/ICCCN.2019.8846957</t>
  </si>
  <si>
    <t>Fabbri T., Mandreoli F., Martoglia R., Scapolan A.C.</t>
  </si>
  <si>
    <t>6603431672;6603425981;55930485700;16069663700;</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</si>
  <si>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 © 2019 IEEE.</t>
  </si>
  <si>
    <t>Proceedings - International Conference on Computer Communications and Networks, ICCCN</t>
  </si>
  <si>
    <t>https://www.scopus.com/inward/record.uri?eid=2-s2.0-85073145463&amp;doi=10.1109%2fICCCN.2019.8846957&amp;partnerID=40&amp;md5=f086e05fda9c2e3048f3daae2bde11ef</t>
  </si>
  <si>
    <t>University of Modena and Reggio Emilia, Italy</t>
  </si>
  <si>
    <t>Fabbri, T., University of Modena and Reggio Emilia, Italy; Mandreoli, F., University of Modena and Reggio Emilia, Italy; Martoglia, R., University of Modena and Reggio Emilia, Italy; Scapolan, A.C., University of Modena and Reggio Emilia, Italy</t>
  </si>
  <si>
    <t>A multivocal study to improve the implementation of global requirements change management process: A client-vendor prospective</t>
  </si>
  <si>
    <t>L93</t>
  </si>
  <si>
    <t>10.1002/smr.2252</t>
  </si>
  <si>
    <t>Akbar M.A., Mahmood S., Alsanad A., Alsanad A.A.-A., Gumaei A., Qadri S.F.</t>
  </si>
  <si>
    <t>57200183503;8644998900;57202079542;57215025504;55332296700;56275424500;</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</si>
  <si>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=.700 &amp;gt;.05) and correlation (rs (25) = 0.573, P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 © 2020 John Wiley &amp; Sons, Ltd.</t>
  </si>
  <si>
    <t>https://www.scopus.com/inward/record.uri?eid=2-s2.0-85079723556&amp;doi=10.1002%2fsmr.2252&amp;partnerID=40&amp;md5=3533e29ec6e30c27f2bfad506c0dce8c</t>
  </si>
  <si>
    <t>College of Computer Science and Technology, Nanjing University of Aeronautics and Astronautics, Nanjing, China; Information and Computer Science Department, King Fahd University of Petroleum and Minerals, Dhahran, Saudi Arabia; Research Chair of Artificial Intelligence (RCAI), Department of Information Systems, College of Computer and Information Sciences, King Saud University, Riyadh, Saudi Arabia; Information Systems Department, College of Computer and Information Sciences, Imam Muhammad Ibn-Saud Islamic University, Riyadh, Saudi Arabia; School of Computer Science and Software Engineering, Shenzhen University, Shenzhen, China</t>
  </si>
  <si>
    <t>Akbar, M.A., College of Computer Science and Technology, Nanjing University of Aeronautics and Astronautics, Nanjing, China; Mahmood, S., Information and Computer Science Department, King Fahd University of Petroleum and Minerals, Dhahran, Saudi Arabia; Alsanad, A., Research Chair of Artificial Intelligence (RCAI), Department of Information Systems, College of Computer and Information Sciences, King Saud University, Riyadh, Saudi Arabia; Alsanad, A.A.-A., Information Systems Department, College of Computer and Information Sciences, Imam Muhammad Ibn-Saud Islamic University, Riyadh, Saudi Arabia; Gumaei, A., Research Chair of Artificial Intelligence (RCAI), Department of Information Systems, College of Computer and Information Sciences, King Saud University, Riyadh, Saudi Arabia; Qadri, S.F., School of Computer Science and Software Engineering, Shenzhen University, Shenzhen, China</t>
  </si>
  <si>
    <t>Akbar, M.A.; College of Computer Science and Technology, Nanjing University of Aeronautics and AstronauticsChina; email: azeem.akbar@ymail.com</t>
  </si>
  <si>
    <t>Evaluating GSD-aware: A serious game for discovering global software development challenges</t>
  </si>
  <si>
    <t>L94</t>
  </si>
  <si>
    <t>10.1145/3218279</t>
  </si>
  <si>
    <t>Vizcaíno A., García F., De Guzmán I.G.R., Moraga M.Á.</t>
  </si>
  <si>
    <t>7003393897;57215539024;6602985950;13907995200;</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</si>
  <si>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 2019 Copyright is held by the owner/author(s)</t>
  </si>
  <si>
    <t>ACM Transactions on Computing Education</t>
  </si>
  <si>
    <t>https://www.scopus.com/inward/record.uri?eid=2-s2.0-85059832417&amp;doi=10.1145%2f3218279&amp;partnerID=40&amp;md5=25e1a826f914c4fc4b86fd72944369f5</t>
  </si>
  <si>
    <t>Institute of Technologies and Information Systems, University of Castilla-La Mancha, Spain</t>
  </si>
  <si>
    <t>Vizcaíno, A., Institute of Technologies and Information Systems, University of Castilla-La Mancha, Spain; García, F., Institute of Technologies and Information Systems, University of Castilla-La Mancha, Spain; De Guzmán, I.G.R., Institute of Technologies and Information Systems, University of Castilla-La Mancha, Spain; Moraga, M.Á., Institute of Technologies and Information Systems, University of Castilla-La Mancha, Spain</t>
  </si>
  <si>
    <t>Identification of coordination strategies and indicators for global software development projects: Interview outcome</t>
  </si>
  <si>
    <t>L95</t>
  </si>
  <si>
    <t>10.3233/978-1-61499-900-3-545</t>
  </si>
  <si>
    <t>Subbarao A., Mahrin M.</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</si>
  <si>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 © 2018 The authors and IOS Press. All rights reserved.</t>
  </si>
  <si>
    <t>https://www.scopus.com/inward/record.uri?eid=2-s2.0-85063383026&amp;doi=10.3233%2f978-1-61499-900-3-545&amp;partnerID=40&amp;md5=09accb9ebb99f45e2aa4f1fbe30c3049</t>
  </si>
  <si>
    <t>Faculty of Management, Multimedia University, Persiaran Multimedia, Cyberjaya, Selangor, 63100, Malaysia; Universiti Teknologi Malaysia, Malaysia</t>
  </si>
  <si>
    <t>Subbarao, A., Faculty of Management, Multimedia University, Persiaran Multimedia, Cyberjaya, Selangor, 63100, Malaysia, Universiti Teknologi Malaysia, Malaysia; Mahrin, M., Universiti Teknologi Malaysia, Malaysia</t>
  </si>
  <si>
    <t>Subbarao, A.; Faculty of Management, Multimedia University, Persiaran Multimedia, Malaysia; email: anusya_r@yahoo.com</t>
  </si>
  <si>
    <t>Review and analysis of software development team communication research</t>
  </si>
  <si>
    <t>L96</t>
  </si>
  <si>
    <t>10.1109/TPC.2017.2656626</t>
  </si>
  <si>
    <t>Defranco J.F., Laplante P.A.</t>
  </si>
  <si>
    <t>34871687100;7005498946;</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</si>
  <si>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 © 2017 IEEE.</t>
  </si>
  <si>
    <t>IEEE Transactions on Professional Communication</t>
  </si>
  <si>
    <t>https://www.scopus.com/inward/record.uri?eid=2-s2.0-85014301026&amp;doi=10.1109%2fTPC.2017.2656626&amp;partnerID=40&amp;md5=103baabfa461af2ab5502fca9b9d47fd</t>
  </si>
  <si>
    <t>Engineering Division, Pennsylvania State University Great Valley, Malvern, PA  19355, United States</t>
  </si>
  <si>
    <t>Defranco, J.F., Engineering Division, Pennsylvania State University Great Valley, Malvern, PA  19355, United States; Laplante, P.A., Engineering Division, Pennsylvania State University Great Valley, Malvern, PA  19355, United States</t>
  </si>
  <si>
    <t>Taxonomical classification of barriers for scaling agile methods in global software development environment using fuzzy analytic hierarchy process</t>
  </si>
  <si>
    <t>L97</t>
  </si>
  <si>
    <t>10.1016/j.asoc.2020.106122</t>
  </si>
  <si>
    <t>An Evaluation Framework for Communication and Coordination Processes in Offshore Software Development Outsourcing Relationship: Using Fuzzy Methods</t>
  </si>
  <si>
    <t>L98</t>
  </si>
  <si>
    <t>10.1109/ACCESS.2019.2924404</t>
  </si>
  <si>
    <t>Management of Globally Distributed Software Development Projects in Mulltipile-Vendor Constellations</t>
  </si>
  <si>
    <t>L99</t>
  </si>
  <si>
    <t>Rethinking the allocation criteria of the labour law rights and protections: A risk-based approach</t>
  </si>
  <si>
    <t>L100</t>
  </si>
  <si>
    <t>10.1109/ACCESS.2020.3030124</t>
  </si>
  <si>
    <t>Optimizing microtask assignment on crowdsourcing platforms using Markov chain Monte Carlo</t>
  </si>
  <si>
    <t>L101</t>
  </si>
  <si>
    <t>10.1016/j.dss.2020.113404</t>
  </si>
  <si>
    <t>AUSTRALIA</t>
  </si>
  <si>
    <t>Multicriteria Decision Making Taxonomy of Cloud-Based Global Software Development Motivators</t>
  </si>
  <si>
    <t>L102</t>
  </si>
  <si>
    <t>10.1177/2031952520905152</t>
  </si>
  <si>
    <t>Identification of cultural influences on requirements engineering activities</t>
  </si>
  <si>
    <t>L103</t>
  </si>
  <si>
    <t>10.1145/3377812.3390804</t>
  </si>
  <si>
    <t>Alsanoosy T., Spichkova M., Harland J.</t>
  </si>
  <si>
    <t>57203503502;14827404000;7005796007;</t>
  </si>
  <si>
    <t>Requirements Engineering (RE) involves critical activities to ensurethe accurate elicitation and documentation of clients' requirements.RE is a socio-technical activity and requires intensive communication with several clients. RE activities might be considerablyinfluenced by individuals' cultural background because culture hasa deep impact on the way in which people communicate. However,there has been limited exploration of this issue. We present aframework that identifies and analyses cultural influences on REactivities. To build the framework, we employed Hofstede's culturalmodel and a mixed-methods design comprising two case studiesinvolving two cultures: Saudi Arabia and Australia. The evaluationhighlighted that the framework provides high accuracy to identifycultural influences in other cultures as well. © 2020 Copyright held by the owner/author(s).</t>
  </si>
  <si>
    <t>https://www.scopus.com/inward/record.uri?eid=2-s2.0-85093359013&amp;doi=10.1145%2f3377812.3390804&amp;partnerID=40&amp;md5=f8e603af3ce01886c8ae134f29f07017</t>
  </si>
  <si>
    <t>School of Science, RMIT University, Melbourne, Australia</t>
  </si>
  <si>
    <t>Alsanoosy, T., School of Science, RMIT University, Melbourne, Australia; Spichkova, M., School of Science, RMIT University, Melbourne, Australia; Harland, J., School of Science, RMIT University, Melbourne, Australia</t>
  </si>
  <si>
    <t>Managing supply in the on-demand economy: Flexible workers, full-time employees, or both?</t>
  </si>
  <si>
    <t>L104</t>
  </si>
  <si>
    <t>10.1287/opre.2019.1916</t>
  </si>
  <si>
    <t>Dong J., Ibrahim R.</t>
  </si>
  <si>
    <t>56589317500;26031398500;</t>
  </si>
  <si>
    <t>There are different workforce models in the “gig” economy. Although some on-demand service providers rely strictly on either traditional employees or independent contractors, others rely on a blended workforce, which melds a layer of contingent workers with a core of permanent employees. In deciding on the “right number of right people to staff at the right time,” managers must appropriately weigh the pertinent tradeoffs. In this paper, we study cost-minimizing staffing decisions in service systems where the manager must decide on how many flexible (contractors) and/or fixed (full-time) agents to staff in order to effectively balance operating costs, varying customer demand patterns, and supply-side uncertainty while not compromising on the quality of service offered to customers. We consider a queueing-theoretic framework where the number of servers is random, because part of the workforce is flexible. Because the staffing problem with a random number of servers is analytically intractable, we formulate two problem relaxations based on fluid and stochastic fluid formulations, and we establish their accuracies in large systems by relying on an asymptotic, many-server mode of analysis. We derive the optimal staffing policy and glean insights into the appropriateness of alternative workforce models in on-demand services. We also shed light on the distinction between demand-side (customer arrival rates) and supply-side (number of servers) uncertainties in queueing systems. © 2020 INFORMS</t>
  </si>
  <si>
    <t>Operations Research</t>
  </si>
  <si>
    <t>https://www.scopus.com/inward/record.uri?eid=2-s2.0-85092061375&amp;doi=10.1287%2fopre.2019.1916&amp;partnerID=40&amp;md5=e03ced8a36a7ad3a8b4b4772b0a8d256</t>
  </si>
  <si>
    <t>Decision, Risk and Operations Division, Columbia Business School, Columbia University, New York, NY  10027, United States; School of Management, University College London, London, E14 5AB, United Kingdom</t>
  </si>
  <si>
    <t>Dong, J., Decision, Risk and Operations Division, Columbia Business School, Columbia University, New York, NY  10027, United States; Ibrahim, R., School of Management, University College London, London, E14 5AB, United Kingdom</t>
  </si>
  <si>
    <t>Dong, J.; Decision, United States; email: jing.dong@gsb.columbia.edu
Ibrahim, R.; School of Management, United Kingdom; email: rouba.ibrahim@ucl.ac.uk</t>
  </si>
  <si>
    <t>Neural networks to classify employees for tax purposes</t>
  </si>
  <si>
    <t>L105</t>
  </si>
  <si>
    <t>10.1016/0959-8022(95)00008-W</t>
  </si>
  <si>
    <t>Denton J.W., Sayeed L., Perkins N.D., Moorman A.H.</t>
  </si>
  <si>
    <t>7103385061;6602659346;25935058900;25934890000;</t>
  </si>
  <si>
    <t>Neural network models are compared with logistic regression models to assess their ability to predict federal court judgments in cases classifying workers as employees or independent contractors for tax purposes. Such classification is highly dependent upon the subjective evaluation of certain determining factors. The neural network approach was found to provide a viable alternative for making this prediction. A second experiment compared the predictions of neural network and logistic regression models with those of human novices and experts. It was found that the neural network and logistic regression predictions were superior to those of both human novices and experts. Finally, simple linear regression models were compared with artificial neural network models as well as with human evaluators. The findings were similar to those of the first two experiments. © 1995 Elsevier Science Ltd.</t>
  </si>
  <si>
    <t>Accounting, Management and Information Technologies</t>
  </si>
  <si>
    <t>https://www.scopus.com/inward/record.uri?eid=2-s2.0-9144240755&amp;doi=10.1016%2f0959-8022%2895%2900008-W&amp;partnerID=40&amp;md5=334ae31ebceb2ea37b8ff8e69927312f</t>
  </si>
  <si>
    <t>West Virginia University, United States; Kirkpatrick and Lockhart USA</t>
  </si>
  <si>
    <t>Denton, J.W., West Virginia University, United States; Sayeed, L., West Virginia University, United States; Perkins, N.D., West Virginia University, United States; Moorman, A.H., Kirkpatrick and Lockhart USA</t>
  </si>
  <si>
    <t>Denton, J.W.; West Virginia UniversityUnited States</t>
  </si>
  <si>
    <t>Satellite phone development through an off-shore, outsourcing partnership: Client and vendor experiences</t>
  </si>
  <si>
    <t>L106</t>
  </si>
  <si>
    <t>10.1177/2043886920951199</t>
  </si>
  <si>
    <t>Sridhar V., Vadivelu S.</t>
  </si>
  <si>
    <t>16305633800;57194424578;</t>
  </si>
  <si>
    <t>Product development outsourcing and off-shoring, especially in a high-technology industry such as Satellite Communications, is done by carefully considering the choice of the partner and the operating business model. From the satellite communications company’s (Client’s) perspective, outsourcing and off-shoring work is a strategic decision that involves considering whether to have a captive off-shore center for resource augmentation or outsource to a third-party partner organization. Furthermore, there are decisions regarding choosing a suitable trustworthy partner organization, pricing models, and the viability of a long-term relationship that involves in-life product management and protection of Intellectual Property ownership. From the partner’s (Vendor’s) viewpoint, there are several strategic and tactical decisions involving technical solution and engineering development strategy, selecting a mutually acceptable pricing model, and analyzing the risks involved in developing the high-tech product away from customer location. This case analyzes the outsourcing and off-shoring engagement between a leading provider of satellite communications and a product engineering services company in India. This case brings out the strategic perspectives of the client–vendor engagement in building a satellite communications product. © Association for Information Technology Trust 2020.</t>
  </si>
  <si>
    <t>Journal of Information Technology Teaching Cases</t>
  </si>
  <si>
    <t>https://www.scopus.com/inward/record.uri?eid=2-s2.0-85095133453&amp;doi=10.1177%2f2043886920951199&amp;partnerID=40&amp;md5=a305b2c28da3756ca5dd19ca7894ab1c</t>
  </si>
  <si>
    <t>International Institute of Information Technology Bangalore, India; Sasken Technologies Limited, Bangalore, India</t>
  </si>
  <si>
    <t>Sridhar, V., International Institute of Information Technology Bangalore, India; Vadivelu, S., Sasken Technologies Limited, Bangalore, India</t>
  </si>
  <si>
    <t>Sridhar, V.; International Institute of Information Technology BangaloreIndia; email: vsridhar@iiitb.ac.in</t>
  </si>
  <si>
    <t>Software Process Improvement Assessment for Cloud Application Based on Fuzzy Analytical Hierarchy Process Method</t>
  </si>
  <si>
    <t>L107</t>
  </si>
  <si>
    <t>10.1007/978-3-030-58811-3_70</t>
  </si>
  <si>
    <t>Dalal S., Agrawal A., Dahiya N., Verma J.</t>
  </si>
  <si>
    <t>57190939535;57213441821;57190941577;57219331093;</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</si>
  <si>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 © 2020, Springer Nature Switzerland AG.</t>
  </si>
  <si>
    <t>https://www.scopus.com/inward/record.uri?eid=2-s2.0-85092253851&amp;doi=10.1007%2f978-3-030-58811-3_70&amp;partnerID=40&amp;md5=499dfbad5d23c5afcad3fea08e2583cc</t>
  </si>
  <si>
    <t>SRM University Sonipat, Gurgaon, India; Amity University Haryana, Gurugram, India; G.B. Pant Engineering College, Delhi, India</t>
  </si>
  <si>
    <t>Dalal, S., SRM University Sonipat, Gurgaon, India; Agrawal, A., Amity University Haryana, Gurugram, India; Dahiya, N., SRM University Sonipat, Gurgaon, India; Verma, J., G.B. Pant Engineering College, Delhi, India</t>
  </si>
  <si>
    <t>Agrawal, A.; Amity University HaryanaIndia; email: akshatag20@gmail.com</t>
  </si>
  <si>
    <t>Towards successful agile development process in software outsourcing environment: A systematic literature review</t>
  </si>
  <si>
    <t>L108</t>
  </si>
  <si>
    <t>10.1504/IJBIR.2020.110101</t>
  </si>
  <si>
    <t>Akbar M.A., Shad M.K., Lai F.-W., Hussain S.</t>
  </si>
  <si>
    <t>57200183503;57190944943;55641579500;57211897979;</t>
  </si>
  <si>
    <t>Limited considerations have been given to transform the agile development activities in global software development (GSD). In GSD, agile development becomes more complex due to geographically distributed teams. This study reported the factors that are important to transform the agile in GSD, using systematic literature review. A total of 30 success factors (SFs) were identified from the 75 selected primary studies. We further analyse the investigated SFs based on organisations types and organisations size with the aims to analyse the significance of identified SFs with respect to organisation types and size. Moreover, the identified SFs were mapped into six categories of the robust framework and the mapping results shows the project management is the key category of the identified factors. We believe that this study can provide a framework for tackling problems associated with agile activities in a GSD, which is significant to the success and progression of GSD firms. Copyright © 2020 Inderscience Enterprises Ltd.</t>
  </si>
  <si>
    <t>International Journal of Business Innovation and Research</t>
  </si>
  <si>
    <t>https://www.scopus.com/inward/record.uri?eid=2-s2.0-85092561705&amp;doi=10.1504%2fIJBIR.2020.110101&amp;partnerID=40&amp;md5=1783100be6d9e7937b45aa9c790e2e42</t>
  </si>
  <si>
    <t>School of Big Data and Software Engineering, Chongqing University, Chongqing, 401331, China; Management and Humanities Department, Universiti Teknologi PETRONAS, Malaysia; COMSATS University, Islamabad, 54700, Pakistan</t>
  </si>
  <si>
    <t>Akbar, M.A., School of Big Data and Software Engineering, Chongqing University, Chongqing, 401331, China; Shad, M.K., Management and Humanities Department, Universiti Teknologi PETRONAS, Malaysia; Lai, F.-W., Management and Humanities Department, Universiti Teknologi PETRONAS, Malaysia; Hussain, S., COMSATS University, Islamabad, 54700, Pakistan</t>
  </si>
  <si>
    <t>Akbar, M.A.; School of Big Data and Software Engineering, China; email: azeem.akbar@ymail.com</t>
  </si>
  <si>
    <t>Prioritizing the Issues extracted for Getting Right People on Right Project in Software Project Management from Vendors' Perspective</t>
  </si>
  <si>
    <t>L109</t>
  </si>
  <si>
    <t>10.1109/ACCESS.2021.3049226</t>
  </si>
  <si>
    <t>Hussain M., Khan H.U., Khan A.W., Khan S.U.</t>
  </si>
  <si>
    <t>57221476029;55507524000;55961447900;35193944500;</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</si>
  <si>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 © 2013 IEEE.</t>
  </si>
  <si>
    <t>https://www.scopus.com/inward/record.uri?eid=2-s2.0-85099177960&amp;doi=10.1109%2fACCESS.2021.3049226&amp;partnerID=40&amp;md5=f6479c95fb605f09c598389f895ce75b</t>
  </si>
  <si>
    <t>Department of Computer Science and Information Technology, Qurtuba University, Dera Ismail Khan, Pakistan; Department of Accounting and Information Systems, College of Business and Economics, Doha, Qatar; Department of Computer Science, University of Science and Technology, Bannu, Pakistan; Department of Computer Science and IT, University of Malakand, Chakdara, Pakistan</t>
  </si>
  <si>
    <t>Hussain, M., Department of Computer Science and Information Technology, Qurtuba University, Dera Ismail Khan, Pakistan; Khan, H.U., Department of Accounting and Information Systems, College of Business and Economics, Doha, Qatar; Khan, A.W., Department of Computer Science, University of Science and Technology, Bannu, Pakistan; Khan, S.U., Department of Computer Science and IT, University of Malakand, Chakdara, Pakistan</t>
  </si>
  <si>
    <t>Khan, H.U.; Department of Accounting and Information Systems, Qatar; email: habib.khan@qu.edu.qa</t>
  </si>
  <si>
    <t>Towards an effective approach for architectural knowledge management considering global software development</t>
  </si>
  <si>
    <t>L110</t>
  </si>
  <si>
    <t>10.1504/IJGUC.2020.110908</t>
  </si>
  <si>
    <t>Hamid M.A., Hafeez Y., Hamid B., Humayun M., Jhanjhi N.Z.</t>
  </si>
  <si>
    <t>57219866379;53984257400;55887539400;56580449600;36088700700;</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</si>
  <si>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 Copyright © 2020 Inderscience Enterprises Ltd.</t>
  </si>
  <si>
    <t>International Journal of Grid and Utility Computing</t>
  </si>
  <si>
    <t>https://www.scopus.com/inward/record.uri?eid=2-s2.0-85095835259&amp;doi=10.1504%2fIJGUC.2020.110908&amp;partnerID=40&amp;md5=878e72ed4f7399ed7943293194785bb4</t>
  </si>
  <si>
    <t>University Institute of Information Technology, PMAS-Arid Agriculture University, Rawalpindi, Pakistan; College of Computer and Information Science, Jouf University, Al-Jouf, Saudi Arabia; School of Computing and IT (SoCIT), Taylor's University, Selangor, Malaysia</t>
  </si>
  <si>
    <t>Hamid, M.A., University Institute of Information Technology, PMAS-Arid Agriculture University, Rawalpindi, Pakistan; Hafeez, Y., University Institute of Information Technology, PMAS-Arid Agriculture University, Rawalpindi, Pakistan; Hamid, B., University Institute of Information Technology, PMAS-Arid Agriculture University, Rawalpindi, Pakistan; Humayun, M., College of Computer and Information Science, Jouf University, Al-Jouf, Saudi Arabia; Jhanjhi, N.Z., School of Computing and IT (SoCIT), Taylor's University, Selangor, Malaysia</t>
  </si>
  <si>
    <t>Jhanjhi, N.Z.; School of Computing and IT (SoCIT), Malaysia; email: noorzaman.jhanjhi@taylors.edu.my</t>
  </si>
  <si>
    <t>0</t>
  </si>
  <si>
    <t xml:space="preserve">Total </t>
  </si>
  <si>
    <t>CRITERIA? 
Paper screening</t>
  </si>
  <si>
    <t>was the article found?</t>
  </si>
  <si>
    <t>DATABASE scopus 9-2-2021</t>
  </si>
  <si>
    <t>title screen 2022</t>
  </si>
  <si>
    <t>ABS screen 2022</t>
  </si>
  <si>
    <t>Paper sreen</t>
  </si>
  <si>
    <t>‘The witness is lying!’: the impact of a defendant countering a jailhouse informant’s testimony</t>
  </si>
  <si>
    <t>10.1080/1068316X.2022.2049265</t>
  </si>
  <si>
    <t>37062503900;7201440291;57540457500;6701720101;</t>
  </si>
  <si>
    <t>The present study investigated the impact of a defendant explicitly countering the claim of a jailhouse informant that the defendant confessed to a murder. Jury-eligible community members (N = 127) recruited from Amazon’s Mechanical Turk read (via Qualtrics) a fictional trial summary in which a defendant was accused of murder. The trial was presented in one of four conditions: jailhouse informant only, defendant explicitly countered the jailhouse informant’s testimony (said he did not talk to the jailhouse informant or they talked but not about the case), defendant testified but did not explicitly counter the jailhouse informant’s testimony (simply said he was innocent), and no jailhouse informant testimony. As predicted, when the defendant explicitly countered the jailhouse informant’s testimony the number of guilty verdicts was lower than that when the jailhouse informant only testified. In addition, there was significant mediation, such that explicitly countering the jailhouse informant led to lower jailhouse informant credibility and fewer guilty verdicts. Finally, cognitive network analyses showed that countering the jailhouse informant’s testimony was critical to participants representing the jailhouse informant’s testimony in a negative light. We discuss these results in terms of the importance of countering what is often unreliable jailhouse informant testimony. © 2022 Informa UK Limited, trading as Taylor &amp; Francis Group.</t>
  </si>
  <si>
    <t>2022</t>
  </si>
  <si>
    <t>Wetmore S.A., Golding J.M., Tucker A.L., Neuschatz J.S.</t>
  </si>
  <si>
    <t>Psychology, Crime and Law</t>
  </si>
  <si>
    <t>https://www.scopus.com/inward/record.uri?eid=2-s2.0-85126747646&amp;doi=10.1080%2f1068316X.2022.2049265&amp;partnerID=40&amp;md5=c94a16699dba00eca59f8d633ea8f932</t>
  </si>
  <si>
    <t>Department of Psychology, Butler University, Indianapolis, IN, United States; Department of Psychology, The University of Kentucky, Lexington, KY, United States; Department of Psychology, The University of Alabama in Huntsville, Huntsville, AL, United States</t>
  </si>
  <si>
    <t>Wetmore, S.A., Department of Psychology, Butler University, Indianapolis, IN, United States; Golding, J.M., Department of Psychology, The University of Kentucky, Lexington, KY, United States; Tucker, A.L., Department of Psychology, The University of Alabama in Huntsville, Huntsville, AL, United States; Neuschatz, J.S., Department of Psychology, The University of Alabama in Huntsville, Huntsville, AL, United States</t>
  </si>
  <si>
    <t>Wetmore, S.A.; Stacy A. Wetmore, United States; email: swetmore@butler.edu</t>
  </si>
  <si>
    <t>“Hey Alexa, Let’s Shop”: Millennials’ Acceptance of Voice-Activated Shopping</t>
  </si>
  <si>
    <t>10.4018/IJESMA.2021010101</t>
  </si>
  <si>
    <t>57211212042;57211215627;</t>
  </si>
  <si>
    <t>Millennials quickly adapt to new technologies and have been found to use voice technology daily. This study follows the technology acceptance model (TAM) developed by Davis to explain the relationships between perceived ease of use (PEOU), perceived usefulness (PU), perceived enjoyment (PE), and perceived innovativeness (PI) to behavioral intention (BI) for Millennials. An online survey generated 204 usable responses through Amazon Mechanical Turk. Multiple regression analyses supported the relationship of PEOU to PU, PU, PE, PI to BI, and PEOU was not found to influence BI in this study. The findings of this study indicate that consumers are ready to purchase through voice-activated technologies, but the current platform needs to be adapted so that it is easier to use. Copyright © 2021, IGI Global.</t>
  </si>
  <si>
    <t>2021</t>
  </si>
  <si>
    <t>Sorensen K., Jorgensen J.J.</t>
  </si>
  <si>
    <t>International Journal of E-Services and Mobile Applications</t>
  </si>
  <si>
    <t>https://www.scopus.com/inward/record.uri?eid=2-s2.0-85115119570&amp;doi=10.4018%2fIJESMA.2021010101&amp;partnerID=40&amp;md5=aee1831c3fa40fc06c933a0c8bb40a53</t>
  </si>
  <si>
    <t>University of Nebraska-Lincoln, United States</t>
  </si>
  <si>
    <t>Sorensen, K., University of Nebraska-Lincoln, United States; Jorgensen, J.J., University of Nebraska-Lincoln, United States</t>
  </si>
  <si>
    <t>16th International Conference on Research Challenges in Information Science, RCIS 2022</t>
  </si>
  <si>
    <t>The proceedings contain 59 papers. The special focus in this conference is on Research Challenges in Information Science. The topics include: Scriptless Testing for Extended Reality Systems; evolutionary Scriptless Testing; towards a Roadmap for Developing Digital Work Practices: A Maturity Model Approach; ANGLEr: A Next-Generation Natural Language Exploratory Framework; assessing the Ethical, Social and Environmental Performance of Conferences; research Incentives in Academia Leading to Unethical Behavior; interactive Business Process Comparison Using Conformance and Performance Insights - A Tool; A Recommender System for EOSC. Challenges and Possible Solutions; PM4Py-GPU: A High-Performance General-Purpose Library for Process Mining; team Selection Using Statistical and Graphical Approaches for Cricket Fantasy Leagues; Towards a Comprehensive BPMN Extension for Modeling IoT-Aware Processes in Business Process Models; predicting the State of a House Using Google Street View: An Analysis of Deep Binary Classification Models for the Assessment of the Quality of Flemish Houses; trust Model Recommendation Driven by Application Requirements; Toward Digital ERP: A Literature Review; increasing Awareness and Usefulness of Open Government Data: An Empirical Analysis of Communication Methods; combinations of Content Representation Models for Event Detection on Social Media; a Conceptual Characterization of Fake News: A Positioning Paper; ChouBERT: Pre-training French Language Model for Crowdsensing with Tweets in Phytosanitary Context; Towards an Arabic Text Summaries Evaluation Based on AraBERT Model; method for Evaluating Information Security Level in Organisations; towards Integrated Model-Driven Engineering Approach to Business Intelligence; integrated Approach to Assessing the Progress of Digital Transformation by Using Multiple Objective and Subjective Indicators; understanding and Modeling Prevention.</t>
  </si>
  <si>
    <t>https://www.scopus.com/inward/record.uri?eid=2-s2.0-85130883576&amp;partnerID=40&amp;md5=571cad57ffe7e072158f2d0613050282</t>
  </si>
  <si>
    <t>23rd International Conference on Human-Computer Interaction , HCII 2021</t>
  </si>
  <si>
    <t>The proceedings contain 42 papers. The special focus in this conference is on Human-Computer Interaction. The topics include: Suggestions for Online User Studies: Sharing Experiences from the Use of Four Platforms; the Hidden Cost of Using Amazon Mechanical Turk for Research; research on Service Experience Design Framework Based on Semantics to Improve the Enterprise Service Capability; expectation, Perception, and Accuracy in News Recommender Systems: Understanding the Relationships of User Evaluation Criteria Using Direct Feedback; partial Consent: A Study on User Preference for Informed Consent; UI Development of Hardcore Battle Royale Game for Novice Users; the Reaches of Crowdsourcing: A Systematic Literature Review; a Bibliometric Analysis on Cybercrime in Nigeria; differences in Product Selection Depend on Situations: Using Eyeglasses as an Example; interaction Design for the Next Billion Users; Identifying Early Opinion Leaders on COVID-19 on Twitter; Impact of the Cyber Hygiene Intelligence and Performance (CHIP) Interface on Cyber Situation Awareness and Cyber Hygiene; the Effect of Social Media Based Electronic Word of Mouth on Propensity to Buy Wearable Devices; applying Exploratory Testing and Ad-Hoc Usability Inspection to Improve the Ease of Use of a Mobile Power Consumption Registration App: An Experience Report; euros from the Heart: Exploring Digital Money Gifts in Intimate Relationships; impact of Social Media Marketing on University Students - Peru; dynamic Difficulty Adjustment Using Performance and Affective Data in a Platform Game; exploring the Effect of Resolution on the Usability of Locimetric Authentication; usability Assessment of the GoPro Hero 7 Black for Chinese Users; usability Assessment of Xiaomi Smart Band 4.</t>
  </si>
  <si>
    <t>https://www.scopus.com/inward/record.uri?eid=2-s2.0-85120654694&amp;partnerID=40&amp;md5=75556886b14496e107bb6d64df0bb7ec</t>
  </si>
  <si>
    <t>7 IFIP TC 13 workshops held at 18th IFIP TC 13 International Conference on Human-Computer Interaction, INTERACT 2021</t>
  </si>
  <si>
    <t>The proceedings contain 45 papers. The special focus in this conference is on Human-Computer Interaction. The topics include: Prototype Design of a Multi-modal AI-Based Web Application for Hateful Content Detection in Social Media Posts; pilot Implementation for Driver Behaviour Classification Using Smartphone Sensor Data for Driver-Vehicle Interaction Analysis; co-design Workshops as a Step Towards Pilot Implementation for Complex Workplaces: A Case Study of London-Based Airport Future Workplace; dropping a Bomb or Providing a Gentle Loving Touch? Towards a Relation Artefact Theory of Pilot Implementation; interactive Map Visualizations for Supporting Environmental Sustainable Development Goals; Towards Advanced Evaluation of Collaborative XR Spaces; ears on My Back - Experiencing the Soundscape Without Hearing; using Wearables to Optimize Learning at Home; Micro-politics, Semiotic Power and Infrastructural Inversion: Theoretical Lenses for Geopolitical HCI; Africanization of HCI Teaching and Learning; Subverting Divisive Geopolitical Issues in HCI Through Autonomous Design and Punk Narratives; an Informatics-Based Approach for Sustainable Management of Factors Affecting the Spread of Infectious Diseases; internet of Things in Education for Sustainable Development; guidelines for the Sustainable Development of Computing Technology; Workshop Report for IFIP WG 13.2’s HCSE@INTERACT 2021: International Workshop on Human-Centered Software Engineering for Changing Contexts of Use; how to Identify Changing Contexts of Use with Creativity Workshops – An Experience Report; preface; human-Centred Technology for Sustainable Development Goals - Workshop Results; contextual Personas - A Method for Capturing the Digital Work Environment of Users; MyLYL: Towards Flexible Interaction Design for Operator Assistance Systems; creating a Post-sedentary Work Context for Software Engineering; coping with Changing Contexts: A Healthcare Security Perspective; privacy Knowledge Base for Supporting Decision-Making in Software Development.</t>
  </si>
  <si>
    <t>https://www.scopus.com/inward/record.uri?eid=2-s2.0-85127113623&amp;partnerID=40&amp;md5=2d5d0a22e7bf8ddc01d0a023f6562212</t>
  </si>
  <si>
    <t>A Comparison Between Self-Identified Evangelical Christians’ and Nonreligious Persons’ Attitudes Toward Transgender Persons</t>
  </si>
  <si>
    <t>10.1037/sgd0000166</t>
  </si>
  <si>
    <t>57190949542;36994068800;6507772766;57204212888;</t>
  </si>
  <si>
    <t>The present study provides the 1st descriptive survey study to date that reports attitudes and beliefs toward transgender persons with a sample of the U.S. evangelical Christian population. Data were collected from 483 participants (nonreligious n= 253, evangelical Christian n= 230) recruited through Amazon Mechanical Turk. The study employed the Transgender Attitudes and Beliefs Scale—a psychometrically sound and culturally sensitive, 3-factor (interpersonal comfort, sex/gender beliefs, and human value) 29-item scale—to assess attitudes and beliefs toward transgender. Data were analyzed using two-way analyses of variance, item analyses, independent samples t tests, and Pearson’s correlations. Findings indicated that evangelical Christians showed significantly lower attitude scores and a more dichotomous or fixed view of gender compared to their nonreligious counterparts. At the same time, evangelical Christians displayed greater variability in their attitudes toward transgender persons and had high ratings on the human value factor overall (measuring the extent to which a person affirms transgender persons’ intrinsic value as a person), which was, in turn, less correlated with the other factors—interpersonal comfort and sex/gender beliefs—than for their secular reference group. On questions pertaining to civil rights, evangelical Christians, on average, gave significantly lower ratings than did nonreligious persons, though the effect size was small on the issue of access to housing. © 2017</t>
  </si>
  <si>
    <t>2017</t>
  </si>
  <si>
    <t>Kanamori Y., Pegors T.K., Hulgus J.F., Cornelius-White J.H.D.</t>
  </si>
  <si>
    <t>Psychology of Sexual Orientation and Gender Diversity</t>
  </si>
  <si>
    <t>https://www.scopus.com/inward/record.uri?eid=2-s2.0-85034717982&amp;doi=10.1037%2fsgd0000166&amp;partnerID=40&amp;md5=b617bb3e7d3504f0b670f47bbcf43bd1</t>
  </si>
  <si>
    <t>Department of Counseling, Educational Psychology and Research, The University of Memphis, United States; Department of Psychology, Azusa Pacific University, United States; Department of Counseling, Leadership, and Special Education, Missouri State University, United States</t>
  </si>
  <si>
    <t>Kanamori, Y., Department of Counseling, Educational Psychology and Research, The University of Memphis, United States; Pegors, T.K., Department of Psychology, Azusa Pacific University, United States; Hulgus, J.F., Department of Counseling, Leadership, and Special Education, Missouri State University, United States; Cornelius-White, J.H.D., Department of Counseling, Leadership, and Special Education, Missouri State University, United States</t>
  </si>
  <si>
    <t>Kanamori, Y.; Department of Counseling, 100 Ball Hall, United States; email: yknamori@memphis.edu</t>
  </si>
  <si>
    <t>L116</t>
  </si>
  <si>
    <t>A fuzzy DEMATEL approach based on intuitionistic fuzzy information for evaluating knowledge transfer effectiveness in GSD projects</t>
  </si>
  <si>
    <t>Scopus2022</t>
  </si>
  <si>
    <t>10.1504/IJICA.2015.073006</t>
  </si>
  <si>
    <t>55616335800;57193611024;8676632200;15128400200;</t>
  </si>
  <si>
    <t>The offshore/onsite teams' effectiveness of knowledge transfer is significantly measured by various kinds of factors. In this paper, we propose a knowledge transfer (KT) assessment framework which integrates four criteria for evaluating the KT effectiveness of GSD teams. These are: knowledge, team, technology, and organisation factors. In this context, we present a fuzzy DEMATEL approach for assessing GSD teams KT effectiveness based on intuitionistic fuzzy numbers (IFNs). In this approach, decision makers provide their subjective judgments on the criteria, characterised on the basis of intuitionistic fuzzy sets. Moreover, intuitionistic fuzzy sets used in the fuzzy DEMATEL approach can effectively assess the KT effectiveness criteria and rank the alternatives. Subsequently, the entire process is illustrated with GSD teams' KT evaluation criteria samples, and the factors are ranked using fuzzy linguistic variables which are mapped to IFNs. Afterwards, the IFNs are converted into their corresponding basic probability assignments (BPAs) and then the Dempster-Shafer theory is used to combine the group decision making process. Besides, illustrative applicability and usefulness of the proposed approach in group decision making process for the evaluation of multiple criteria under fuzzy environment has been tested by software professionals at Inowits Software Organisation in India. Copyright © 2015 Inderscience Enterprises Ltd.</t>
  </si>
  <si>
    <t>2015</t>
  </si>
  <si>
    <t>Sangaiah A.K., Gao X.-Z., Ramachandran M., Zheng X.</t>
  </si>
  <si>
    <t>International Journal of Innovative Computing and Applications</t>
  </si>
  <si>
    <t>https://www.scopus.com/inward/record.uri?eid=2-s2.0-84969377315&amp;doi=10.1504%2fIJICA.2015.073006&amp;partnerID=40&amp;md5=d04a9a453a86ddb6f78bbdc31fe94bfe</t>
  </si>
  <si>
    <t>School of Computing Science and Engineering, VIT University, Tamil Nadu, Vellore, India; Department of Electrical Engineering and Automation, Aalto University, Aalto, Finland; School of Computing and Creative Technologies, Leeds Beckett University, United Kingdom; Department of Computer Science and Information Technologies, Frostburg State University, United States</t>
  </si>
  <si>
    <t>Sangaiah, A.K., School of Computing Science and Engineering, VIT University, Tamil Nadu, Vellore, India; Gao, X.-Z., Department of Electrical Engineering and Automation, Aalto University, Aalto, Finland; Ramachandran, M., School of Computing and Creative Technologies, Leeds Beckett University, United Kingdom; Zheng, X., Department of Computer Science and Information Technologies, Frostburg State University, United States</t>
  </si>
  <si>
    <t>Sangaiah, A.K.; School of Computing Science and Engineering, Tamil Nadu, India; email: arunkumarsangaiah@gmail.com</t>
  </si>
  <si>
    <t>A machine learning approach to modeling PTSD and difficulties in emotion regulation</t>
  </si>
  <si>
    <t>10.1016/j.psychres.2021.113712</t>
  </si>
  <si>
    <t>57213170616;7003678279;57205380135;57202224154;6603851453;</t>
  </si>
  <si>
    <t>Despite evidence for the association between emotion regulation difficulties and posttraumatic stress disorder (PTSD), less is known about the specific emotion regulation abilities that are most relevant to PTSD severity. This study examined both item-level and subscale-level models of difficulties in emotion regulation in relation to PTSD severity using supervised machine learning in a sample of U.S. adults (N=570). Participants were recruited via Amazon's Mechanical Turk (MTurk) and completed self-report measures of emotion regulation difficulties and PTSD severity. We used five different machine learning algorithms separately to train each statistical model. Using ridge and elastic net regression results in the testing sample, emotion regulation predictor variables accounted for approximately 28% and 27% of the variance in PTSD severity in the item- and subscale-level models, respectively. In the item-level model, four predictor variables had notable relative importance values for PTSD severity. These items captured secondary emotional responding, experiencing emotions as out-of-control, difficulties modulating emotional arousal, and low emotional granularity. In the subscale-level model, lack of access to effective emotion regulation strategies, lack of emotional clarity, and emotional nonacceptance subscales had the highest relative importance to PTSD severity. Results from analyses modeling a probable diagnosis of PTSD based on DERS items and subscales are presented in supplemental findings. Findings have implications for developing more efficient, targeted emotion regulation interventions for PTSD. © 2021</t>
  </si>
  <si>
    <t>Christ N.M., Elhai J.D., Forbes C.N., Gratz K.L., Tull M.T.</t>
  </si>
  <si>
    <t>Psychiatry Research</t>
  </si>
  <si>
    <t>https://www.scopus.com/inward/record.uri?eid=2-s2.0-85100387532&amp;doi=10.1016%2fj.psychres.2021.113712&amp;partnerID=40&amp;md5=384583280ba03e1c78e74f7d05e6e696</t>
  </si>
  <si>
    <t>Department of Psychology, University of Toledo, 2801 W. Bancroft St., Toledo, OH  43606, United States</t>
  </si>
  <si>
    <t>Christ, N.M., Department of Psychology, University of Toledo, 2801 W. Bancroft St., Toledo, OH  43606, United States; Elhai, J.D., Department of Psychology, University of Toledo, 2801 W. Bancroft St., Toledo, OH  43606, United States; Forbes, C.N., Department of Psychology, University of Toledo, 2801 W. Bancroft St., Toledo, OH  43606, United States; Gratz, K.L., Department of Psychology, University of Toledo, 2801 W. Bancroft St., Toledo, OH  43606, United States; Tull, M.T., Department of Psychology, University of Toledo, 2801 W. Bancroft St., Toledo, OH  43606, United States</t>
  </si>
  <si>
    <t>Elhai, J.D.; Department of Psychology, 2801 W. Bancroft St., United States; email: contact@jon-elhai.com</t>
  </si>
  <si>
    <t>A Maturity Model for Digital Information Management in University Libraries: A Design Science Study</t>
  </si>
  <si>
    <t>10.1080/10572317.2021.2022388</t>
  </si>
  <si>
    <t>25824303700;43061569400;</t>
  </si>
  <si>
    <t>Identifying dimensions and levels of maturity in digital information management is of high significance for university libraries because it would highly influence their daily businesses and future decisions. The current study is an effort to develop, confirm and test a maturity model for digital information management in the context of university libraries as a response to ever-increasing digital information. A design science approach in qualitative-quantitative order was considered as the research design. Initially, a meta-synthesis was conducted to systematically review the related literature and to develop the conceptual model for dimensions and levels. Afterward, a set of 30 related experts analyzed and confirmed the model with a 95% confidence level. Finally, the maturity levels of 14 central university libraries across Iran were measured through a multiple case study design. The MMDIM (Maturity Model for Digital Information Management) includes 10 dimensions, 20 components and 5 levels. Regarding priorities given to the components by the experts, the digital business model and digital work environment were the first and last priorities respectively. The results showed that most selected libraries were at level three namely slight management of digital information. Moreover, library managers evaluated levels of their maturity which showed that digital processes and operations and digital culture were given the first and last levels respectively. The model could be regarded as a diagnostic tool to identify development needs that could be supported by objectives of other similar libraries. © 2022 The Author(s). Published with license by Taylor &amp; Francis Group, LLC.</t>
  </si>
  <si>
    <t>Keshavarz H., Norouzi Y.</t>
  </si>
  <si>
    <t>International Information and Library Review</t>
  </si>
  <si>
    <t>https://www.scopus.com/inward/record.uri?eid=2-s2.0-85122511223&amp;doi=10.1080%2f10572317.2021.2022388&amp;partnerID=40&amp;md5=f07c59794fdcf9ca7805a0a7d62f85a1</t>
  </si>
  <si>
    <t>Laboratory for Social and Cognitive Informatics, National Research University Higher School of Economics, St. Petersburg, Russian Federation; Department of Knowledge and Information Science, University of Qom, Qom, Iran</t>
  </si>
  <si>
    <t>Keshavarz, H., Laboratory for Social and Cognitive Informatics, National Research University Higher School of Economics, St. Petersburg, Russian Federation; Norouzi, Y., Department of Knowledge and Information Science, University of Qom, Qom, Iran</t>
  </si>
  <si>
    <t>Keshavarz, H.; Laboratory for Social and Cognitive Informatics, Russian Federation; email: keshavarzsina@gmail.com</t>
  </si>
  <si>
    <t>A New Frame for Orienting Infants With Cleft Lip and Palate During 3-Dimensional Facial Scanning</t>
  </si>
  <si>
    <t>10.1177/10556656211028512</t>
  </si>
  <si>
    <t>57225089710;7006853927;57204070365;57208877042;57221855187;</t>
  </si>
  <si>
    <t>Background: Nonradiographic 3-D assessment of soft tissue facial structures is an ideal tool to measure 3-D facial change and smartphone apps like Bellus 3D have brought these technologies to our doorsteps. Although this app works well for adults, it doesn’t do so well with infants as their stabilization is difficult thus proper alignment becomes problematic often leading to distortion. This seriously hampers the repeatability and reliability of the whole process. Material and Method: A stainless steel rod of 150-cm length is curved into a semicircle of a radius of 42.5 cm. Bases are fabricated at both the ends to firmly hold the stand on the table. A Teflon ring of one inch is made for adjusting the diameter of the camera holder. A camera holder is then attached to the Teflon ring. The mobile holder mounted is free to move within the arc. A 3-D facial scan of a single patient was carried out with the camera mounted on the frame and once without the frame. The same was compared using side-by-side comparison and superimposition of the.STL files from the frontal, profile, and worm’s eye view. Result and Conclusion: It was found that considerable distortion was noted around the nasal and paranasal areas when the scan was performed without the frame as compared to the one that was taken with the frame. This technique avoided distortion and the difficulty in turning the baby’s head to record the lateral portion of the face. © 2021, American Cleft Palate-Craniofacial Association.</t>
  </si>
  <si>
    <t>Alisha K.H., Batra P., Raghavan S., Sharma K., Talwar A.</t>
  </si>
  <si>
    <t>Cleft Palate-Craniofacial Journal</t>
  </si>
  <si>
    <t>https://www.scopus.com/inward/record.uri?eid=2-s2.0-85109139995&amp;doi=10.1177%2f10556656211028512&amp;partnerID=40&amp;md5=51ff53c6d5ae106cef4427edf1c97e4b</t>
  </si>
  <si>
    <t>Department of Orthodontics and Dentofacial Orthopedics, Institute of Dental Studies and Technologies, Uttar Pradesh, Modinagar, Kadrabad, India</t>
  </si>
  <si>
    <t>Alisha, K.H., Department of Orthodontics and Dentofacial Orthopedics, Institute of Dental Studies and Technologies, Uttar Pradesh, Modinagar, Kadrabad, India; Batra, P., Department of Orthodontics and Dentofacial Orthopedics, Institute of Dental Studies and Technologies, Uttar Pradesh, Modinagar, Kadrabad, India; Raghavan, S., Department of Orthodontics and Dentofacial Orthopedics, Institute of Dental Studies and Technologies, Uttar Pradesh, Modinagar, Kadrabad, India; Sharma, K., Department of Orthodontics and Dentofacial Orthopedics, Institute of Dental Studies and Technologies, Uttar Pradesh, Modinagar, Kadrabad, India; Talwar, A., Department of Orthodontics and Dentofacial Orthopedics, Institute of Dental Studies and Technologies, Uttar Pradesh, Modinagar, Kadrabad, India</t>
  </si>
  <si>
    <t>Raghavan, S.; Department of Orthodontics and Dentofacial Orthopedics, Modinagar, India; email: sreevatsanr32@gmail.com</t>
  </si>
  <si>
    <t>A Self-Transcribing Speech Corpus: Collecting Continuous Speech with an Online Educational Game</t>
  </si>
  <si>
    <t>6506856841;25926594700;35079589900;</t>
  </si>
  <si>
    <t>We describe a novel approach to collecting orthographically transcribed continuous speech data through the use of an online educational game called Voice Scatter, in which players study flashcards by using speech to match terms with their definitions. We analyze a corpus of 30,938 utterances, totaling 27.63 hours of speech, collected during the first 22 days that Voice Scatter was publicly available. Though each individual game covers only a small vocabulary, in aggregate speech recognition hypotheses in the corpus contain 21,758 distinct words. We show that Amazon Mechanical Turk can be used to orthographically transcribe utterances in the corpus quickly and cheaply, with near-expert accuracy. Moreover, we present a filtering technique that automatically identifies a sub-corpus of 39% of the data for which recognition hypotheses can be considered human-quality transcripts. We demonstrate the usefulness of such self-transcribed data for acoustic model adaptation. © SLaTE 2009. All Rights Reserved.</t>
  </si>
  <si>
    <t>2009</t>
  </si>
  <si>
    <t>Gruenstein A., McGraw I., Sutherland A.</t>
  </si>
  <si>
    <t>Speech and Language Technology in Education, SLaTE 2009</t>
  </si>
  <si>
    <t>https://www.scopus.com/inward/record.uri?eid=2-s2.0-85133171618&amp;partnerID=40&amp;md5=47a1b6dba25b7af7d50336ba00e0e8d3</t>
  </si>
  <si>
    <t>MIT Computer Science and Artificial Intelligence Lab, Cambridge, MA, United States; Quizlet.com, Albany, CA, United States</t>
  </si>
  <si>
    <t>Gruenstein, A., MIT Computer Science and Artificial Intelligence Lab, Cambridge, MA, United States; McGraw, I., MIT Computer Science and Artificial Intelligence Lab, Cambridge, MA, United States; Sutherland, A., MIT Computer Science and Artificial Intelligence Lab, Cambridge, MA, United States, Quizlet.com, Albany, CA, United States</t>
  </si>
  <si>
    <t>A semantic cover approach for topic modeling</t>
  </si>
  <si>
    <t>57219481140;35956201800;6602093073;8913948800;</t>
  </si>
  <si>
    <t>We introduce a novel topic modeling approach based on constructing a semantic set cover for clusters of similar documents. Specifically, our approach first clusters documents using their Tf-Idf representation, and then covers each cluster with a set of topic words based on semantic similarity, defined in terms of a word embedding. Computing a topic cover amounts to solving a minimum set cover problem. Our evaluation compares our topic modeling approach to Latent Dirichlet Allocation (LDA) on three metrics: 1) qualitative topic match, measured using evaluations by Amazon Mechanical Turk (MTurk) workers, 2) performance on classification tasks using each topic model as a sparse feature representation, and 3) topic coherence. We find that qualitative judgments significantly favor our approach, the method outperforms LDA on topic coherence, and is comparable to LDA on document classification tasks. © 2019 Association for Computational Linguistics</t>
  </si>
  <si>
    <t>2019</t>
  </si>
  <si>
    <t>Venkatesaramani R., Downey D., Malin B., Vorobeychik Y.</t>
  </si>
  <si>
    <t>*SEM@NAACL-HLT 2019 - 8th Joint Conference on Lexical and Computational Semantics</t>
  </si>
  <si>
    <t>https://www.scopus.com/inward/record.uri?eid=2-s2.0-85091730555&amp;partnerID=40&amp;md5=61de2f6aca175ff63b8d3ae031c27107</t>
  </si>
  <si>
    <t>WUSTL, St. Louis, MO  63130, United States; EECS, Northwestern University, Evanston, IL  60208, United States; Vanderbilt University, Nashville, TN  37209, United States</t>
  </si>
  <si>
    <t>Venkatesaramani, R., WUSTL, St. Louis, MO  63130, United States; Downey, D., EECS, Northwestern University, Evanston, IL  60208, United States; Malin, B., Vanderbilt University, Nashville, TN  37209, United States; Vorobeychik, Y., WUSTL, St. Louis, MO  63130, United States</t>
  </si>
  <si>
    <t>A springboard for entrepreneurs? Gig and sharing economy and entrepreneurship in Russia</t>
  </si>
  <si>
    <t>10.1108/JEEE-03-2021-0128</t>
  </si>
  <si>
    <t>57023950600;57210313311;57394631100;</t>
  </si>
  <si>
    <t>Purpose: The growing popularity of gig and sharing economy changes not only consumption models but also employment patterns. This study aims to analyze the potential entrepreneurial nature of gig and sharing economy initiatives. As such, the authors compare the entrepreneurial intentions of gig and sharing economy workers to the general population. Further, the authors consider commonalities and differences in terms of the driving forces of both intentions to start-up and participation in gig and sharing economy, treating them as connected phenomena. Finally, the authors look into gig and sharing economy experience as a direct antecedent to entrepreneurial intentions formation. Design/methodology/approach: The empirical settings for this study are derived from the sample of 1,257 individuals who participated in the Global Entrepreneurship Monitor Adult Population Survey 2018 in Russia. Methodologically, the authors rely on analysis of variance-test and binary logistic regression analysis to test the study hypotheses. Findings: The results indicate that entrepreneurial intentions of gig and sharing economy workers are significantly higher when compared to the general population. In terms of antecedents to gig and sharing economy participation and startup intentions, similar effects of age, entrepreneurial social capital, prior entrepreneurial exit and intrapreneurial experience were revealed, while perceived self-efficacy was associated only with engagement into digital platforms. Finally, gig and sharing economy experience showed significant and positive effect on entrepreneurial intentions formation. Originality/value: This study represents a first substantive effort to systematize antecedents to gig and sharing economy participation through an entrepreneurship perspective. Beyond that, this research adds to the contextualization of entrepreneurship literature stream, further defining the mechanism of entrepreneurial intentions formation in empirical settings of an emerging market with a relatively low propensity of population to develop intentions to start-up. © 2021, Emerald Publishing Limited.</t>
  </si>
  <si>
    <t>Bogatyreva K., Verkhovskaya O., Makarov Y.</t>
  </si>
  <si>
    <t>Journal of Entrepreneurship in Emerging Economies</t>
  </si>
  <si>
    <t>https://www.scopus.com/inward/record.uri?eid=2-s2.0-85122162546&amp;doi=10.1108%2fJEEE-03-2021-0128&amp;partnerID=40&amp;md5=8c4fd1230fa275e1f3caca02e3697f13</t>
  </si>
  <si>
    <t>Graduate School of Management, St Petersburg State University, St Petersburg, Russian Federation</t>
  </si>
  <si>
    <t>Bogatyreva, K., Graduate School of Management, St Petersburg State University, St Petersburg, Russian Federation; Verkhovskaya, O., Graduate School of Management, St Petersburg State University, St Petersburg, Russian Federation; Makarov, Y., Graduate School of Management, St Petersburg State University, St Petersburg, Russian Federation</t>
  </si>
  <si>
    <t>Bogatyreva, K.; Graduate School of Management, Russian Federation; email: k.bogatyreva@gsom.spbu.ru</t>
  </si>
  <si>
    <t>A study on information technology freelancer matching with exploiting blockchain in gig economy</t>
  </si>
  <si>
    <t>10.37394/23207.2021.18.46</t>
  </si>
  <si>
    <t>57211473793;7005024127;55862432700;</t>
  </si>
  <si>
    <t>In this paper, we propose a freelancer matching of a recommended recruitment system in a situation in which the freelance type employment market defined by peer-to-peer transactions, mutual evaluation of freelancers and clients, time flexibility of service providers, and the use of service providers' tools and assets are expanding. In order to increase the reliability and accuracy of recommendation through reputation, we propose a reputation ranking technique for reputation system, which is a kind of personalized recommendation system, based on the blockchain technology. We propose a reputation system model suitable for recruitment matching service. We have aims to study the method of implicitly extracting user reputation information based on two factors suitable for word of mouth among information source reliability factors. In other words, this paper defines a method for automatically extracting two reliability factors of freelancers from past reputation information, and proposes a method for effectively predicting freelancer applicant’ reputation information using only the information of high-reliability evaluators. © 2021, World Scientific and Engineering Academy and Society. All rights reserved.</t>
  </si>
  <si>
    <t>Lim J., Na K., Kim S.</t>
  </si>
  <si>
    <t>WSEAS Transactions on Business and Economics</t>
  </si>
  <si>
    <t>https://www.scopus.com/inward/record.uri?eid=2-s2.0-85101748039&amp;doi=10.37394%2f23207.2021.18.46&amp;partnerID=40&amp;md5=66a8c22b3fd52bd246ef61ae7d406e76</t>
  </si>
  <si>
    <t>Dept. of Smart Convergence Consulting, Hansung University, Seoul, South Korea; Dept. of Management Information System, Seowon University, South Korea; Dept. Of IT Convergence Eng., Hansung University, Seoul, South Korea</t>
  </si>
  <si>
    <t>Lim, J., Dept. of Smart Convergence Consulting, Hansung University, Seoul, South Korea; Na, K., Dept. of Management Information System, Seowon University, South Korea; Kim, S., Dept. Of IT Convergence Eng., Hansung University, Seoul, South Korea</t>
  </si>
  <si>
    <t>A survey study of adults with chronic conditions: Examining the correlation between patient activation and health locus of control</t>
  </si>
  <si>
    <t>10.1177/17423953211067431</t>
  </si>
  <si>
    <t>57222178229;7201667318;6602744011;26656139100;57190616698;</t>
  </si>
  <si>
    <t>Objectives: This study aimed to examine (1) the association between patient activation (PA), health locus of control (HLOC), sociodemographic and clinical factors, and (2) the effect of HLOC dimensions, sociodemographic and clinical factors on PA. Methods: Three hundred U.S. adults, with at least one chronic condition (CC) were recruited through Amazon Mechanical Turk and completed an online survey which included sociodemographic questions, the Patient Activation Measure® - 10, and the Multidimensional Locus of Control (MHLC) - Form B. Statistical analyses, including descriptive, correlation, and multiple linear regression, were conducted using IBM SPSS v25. Results: Of the 300 participants, more than half were male (66.3%), White (70.7%), with at least a college degree (76.0%), and employed full-time (79.0%). The average PA score was 68.8 ± 14.5. Multiple linear regression indicated that participants who reported they were Black, retired, with a greater number of CCs, and with higher scores in Chance MHLC had higher PA, while participants with higher scores in Internal MHLC, were unemployed and reported to have been affected by COVID-19-related worry or fear to manage their CC, had lower PA. Discussion: HLOC dimensions should be addressed concurrently with PA for patients with CCs, thus adding to a more patient-centered clinical approach. © The Author(s) 2022.</t>
  </si>
  <si>
    <t>Imeri H., Holmes E., Desselle S., Rosenthal M., Barnard M.</t>
  </si>
  <si>
    <t>Chronic Illness</t>
  </si>
  <si>
    <t>https://www.scopus.com/inward/record.uri?eid=2-s2.0-85122312728&amp;doi=10.1177%2f17423953211067431&amp;partnerID=40&amp;md5=4bd26276c1018464586e9581f1eb5396</t>
  </si>
  <si>
    <t>University of Mississippi, Department of Pharmacy Administration, University, MS, United States; Touro University California, Department of Pharmacy, Vallejo, CA, United States</t>
  </si>
  <si>
    <t>Imeri, H., University of Mississippi, Department of Pharmacy Administration, University, MS, United States; Holmes, E., University of Mississippi, Department of Pharmacy Administration, University, MS, United States; Desselle, S., Touro University California, Department of Pharmacy, Vallejo, CA, United States; Rosenthal, M., University of Mississippi, Department of Pharmacy Administration, University, MS, United States; Barnard, M., University of Mississippi, Department of Pharmacy Administration, University, MS, United States</t>
  </si>
  <si>
    <t>Imeri, H.; University of Mississippi, United States; email: hylloreimeri@hotmail.com</t>
  </si>
  <si>
    <t>A Syntactic and Semantic Assessment of a Global Software Engineering Domain Ontology</t>
  </si>
  <si>
    <t>10.1145/3428757.3429143</t>
  </si>
  <si>
    <t>52364475200;57221831652;35113016800;57221836204;57204670586;56715871500;57221830828;25640711800;</t>
  </si>
  <si>
    <t>Globalization has allowed organizations to intensify the search for solutions that minimize challenges, reduce costs and optimize processes. In this way, global software development has emerged as an attempt to use the best resources for its limitations. In distributed environments, the use of Ontologies brings some benefits such as a uniform understanding of information among teams and ease of communication, as well as making for the lack of a reference model that can be applied in a distributed context. This work aims to propose a viable form of validation for DKDonto a domain ontology developed for Global Software Engineering. The validation allowed a broader and more targeted assessment, different from its original validation, which was carried out in a controlled environment, limited to answering questions already known by the knowledge base itself. The main result of this work is a satisfactory evaluation of the ontology, enabling it to be used and shared by companies or institutions, as well as the presentation of a set of methods and ways to evaluate and verify domain ontologies to be used in different domains. © 2020 ACM.</t>
  </si>
  <si>
    <t>2020</t>
  </si>
  <si>
    <t>Rocha R., Bion D., Azevedo R., Gomes A., Cordeiro D., Leandro R., Silva I., Freitas F.</t>
  </si>
  <si>
    <t>https://www.scopus.com/inward/record.uri?eid=2-s2.0-85100337112&amp;doi=10.1145%2f3428757.3429143&amp;partnerID=40&amp;md5=77c52b22449e8f1e10bb970f8db3e45e</t>
  </si>
  <si>
    <t>UFAPE, Garanhuns PE, Brazil; WEX Inc., Salvador BA, Brazil; Informatics Center - Cin, UFPE, Recife PE, Brazil</t>
  </si>
  <si>
    <t>Rocha, R., UFAPE, Garanhuns PE, Brazil; Bion, D., UFAPE, Garanhuns PE, Brazil; Azevedo, R., UFAPE, Garanhuns PE, Brazil; Gomes, A., WEX Inc., Salvador BA, Brazil; Cordeiro, D., Informatics Center - Cin, UFPE, Recife PE, Brazil; Leandro, R., Informatics Center - Cin, UFPE, Recife PE, Brazil; Silva, I., Informatics Center - Cin, UFPE, Recife PE, Brazil; Freitas, F., Informatics Center - Cin, UFPE, Recife PE, Brazil</t>
  </si>
  <si>
    <t>A systematic review of digital removable partial dentures. Part I: Clinical evidence, digital impression, and maxillomandibular relationship record</t>
  </si>
  <si>
    <t>10.2186/jpr.JPR_D_20_00116</t>
  </si>
  <si>
    <t>7005334054;57194856914;37562046700;57426298800;55171765500;48662599500;26634439400;7006487934;</t>
  </si>
  <si>
    <t>Purpose: This study comprehensively reviewed the current status of digital workflows in fabricating removable partial dentures (RPDs) using evidence from clinical trials and case reports. Study selection: We performed a systematic review of the literature on the materials and fabrication of RPDs using digital technologies published in online databases from 1980 to 2020. We selected eligible articles from the search results, retrieved information on digital RPDs from these, and conducted a qualitative analysis. We report evidence from clinical papers and case reports, digital impression-taking methods, and maxillomandibular relationship (MMR) records. Results: A case report electronically published in 2019 introduced a clasp-retained RPD fabricated via a full-digital work-flow without a gypsum definitive cast. Computer-aided design and computer-aided manufacturing of double-crown-retained RPDs with nonmetal materials were described in some case reports. Intraoral scanners were used to obtain digital impressions and MMR records in the fabrication of digital RPDs, which have potential advantages for reducing the number of clinical appointments and simplifying laboratory procedures. Evidence from clinical trials is scarce; a randomized controlled trial reported higher patient satisfaction with digital clasp-retained RPDs than with conventional RPDs. Conclusions: Full-digital RPDs can be fabricated without a gypsum definitive cast. However, the indication for full-digital RPDs is limited to cases with Kennedy Class III/IV partially edentulous arches with several missing teeth. Challenges in digital impression-taking and MMR recording remain to be solved to extend these indications. More evidence from clinical trials is required to evaluate the efficacy and usefulness of digital RPDs. © 2021 Japan Prosthodontic Society. All rights reserved.</t>
  </si>
  <si>
    <t>Fueki K., Inamochi Y., Wada J., Arai Y., Takaichi A., Murakami N., Ueno T., Wakabayashi N.</t>
  </si>
  <si>
    <t>Journal of Prosthodontic Research</t>
  </si>
  <si>
    <t>https://www.scopus.com/inward/record.uri?eid=2-s2.0-85123454625&amp;doi=10.2186%2fjpr.JPR_D_20_00116&amp;partnerID=40&amp;md5=b1021c0ff1c8cb55f51ef3b1f55734d7</t>
  </si>
  <si>
    <t>Department of Removable Partial Prosthodontics, Graduate School of Medical and Dental Sciences, Tokyo Medical and Dental University (TMDU), Tokyo, Japan</t>
  </si>
  <si>
    <t>Fueki, K., Department of Removable Partial Prosthodontics, Graduate School of Medical and Dental Sciences, Tokyo Medical and Dental University (TMDU), Tokyo, Japan; Inamochi, Y., Department of Removable Partial Prosthodontics, Graduate School of Medical and Dental Sciences, Tokyo Medical and Dental University (TMDU), Tokyo, Japan; Wada, J., Department of Removable Partial Prosthodontics, Graduate School of Medical and Dental Sciences, Tokyo Medical and Dental University (TMDU), Tokyo, Japan; Arai, Y., Department of Removable Partial Prosthodontics, Graduate School of Medical and Dental Sciences, Tokyo Medical and Dental University (TMDU), Tokyo, Japan; Takaichi, A., Department of Removable Partial Prosthodontics, Graduate School of Medical and Dental Sciences, Tokyo Medical and Dental University (TMDU), Tokyo, Japan; Murakami, N., Department of Removable Partial Prosthodontics, Graduate School of Medical and Dental Sciences, Tokyo Medical and Dental University (TMDU), Tokyo, Japan; Ueno, T., Department of Removable Partial Prosthodontics, Graduate School of Medical and Dental Sciences, Tokyo Medical and Dental University (TMDU), Tokyo, Japan; Wakabayashi, N., Department of Removable Partial Prosthodontics, Graduate School of Medical and Dental Sciences, Tokyo Medical and Dental University (TMDU), Tokyo, Japan</t>
  </si>
  <si>
    <t>Fueki, K.; Department of Removable Partial Prosthodontics, Japan; email: kunfu.rpro@tmd.ac.jp</t>
  </si>
  <si>
    <t>A Task Recommendation Model in Mobile Crowdsourcing</t>
  </si>
  <si>
    <t>10.1155/2022/9191605</t>
  </si>
  <si>
    <t>57822424000;57205458844;50861706400;57216775572;</t>
  </si>
  <si>
    <t>With the development of the Internet of Things and the popularity of smart terminal devices, mobile crowdsourcing systems are receiving more and more attention. However, the information overload of crowdsourcing platforms makes workers face difficulties in task selection. This paper proposes a task recommendation model based on the prediction of workers' mobile trajectories. A recurrent neural network is used to obtain the movement pattern of workers and predict the next destination. In addition, an attention mechanism is added to the task recommendation model in order to capture records that are similar to candidate tasks and to obtain task selection preferences. Finally, we conduct experiments on two real datasets, Foursquare and AMT (Amazon Mechanical Turk), to verify the effectiveness of the proposed recommendation model. © 2022 Yinglei Ji et al.</t>
  </si>
  <si>
    <t>Ji Y., Mu C., Qiu X., Chen Y.</t>
  </si>
  <si>
    <t>Wireless Communications and Mobile Computing</t>
  </si>
  <si>
    <t>https://www.scopus.com/inward/record.uri?eid=2-s2.0-85135036832&amp;doi=10.1155%2f2022%2f9191605&amp;partnerID=40&amp;md5=416bce8fa59adf2dc8efe7ee974594c4</t>
  </si>
  <si>
    <t>School of Computer and Control Engineering, Yantai University, Yantai, 264005, China; Yantai Key Laborary of High-End Ocean Engineering Equipment and Intelligent Technology, Yantai University, Yantai, 264005, China; School of Electromechanical and Automotive Engineering, Yantai University, Yantai, 264005, China</t>
  </si>
  <si>
    <t>Ji, Y., School of Computer and Control Engineering, Yantai University, Yantai, 264005, China, Yantai Key Laborary of High-End Ocean Engineering Equipment and Intelligent Technology, Yantai University, Yantai, 264005, China; Mu, C., School of Computer and Control Engineering, Yantai University, Yantai, 264005, China, Yantai Key Laborary of High-End Ocean Engineering Equipment and Intelligent Technology, Yantai University, Yantai, 264005, China; Qiu, X., School of Computer and Control Engineering, Yantai University, Yantai, 264005, China, Yantai Key Laborary of High-End Ocean Engineering Equipment and Intelligent Technology, Yantai University, Yantai, 264005, China; Chen, Y., School of Electromechanical and Automotive Engineering, Yantai University, Yantai, 264005, China</t>
  </si>
  <si>
    <t>Mu, C.; School of Computer and Control Engineering, China; email: mcx@ytu.edu.cn</t>
  </si>
  <si>
    <t>A View From The Crowd: Evaluation Challenges for Time-Offset Interaction Applications</t>
  </si>
  <si>
    <t>57220028564;6602991728;</t>
  </si>
  <si>
    <t>Dialogue systems like chatbots, and tasks like question-answering (QA) have gained traction in recent years; yet evaluating such systems remains difficult. Reasons include the great variety in contexts and use cases for these systems as well as the high cost of human evaluation. In this paper, we focus on a specific type of dialogue systems: Time-Offset Interaction Applications (TOIAs) are intelligent, conversational software that simulates face-to-face conversations between humans and pre-recorded human avatars. Under the constraint that a TOIA is a single output system interacting with users with different expectations, we identify two challenges: first, how do we define a ‘good’ answer? and second, what’s an appropriate metric to use? We explore both challenges through the creation of a novel dataset that identifies multiple good answers to specific TOIA questions through the help of Amazon Mechanical Turk workers. This ‘view from the crowd’ allows us to study the variations of how TOIA interrogators perceive its answers. Our contributions include the annotated dataset that we make publicly available and the proposal of Success Rate @k as an evaluation metric that is more appropriate than the traditional QA’s and information retrieval’s metrics. © 2021 Association for Computational Linguistics.</t>
  </si>
  <si>
    <t>Chierici A.M., Habash N.</t>
  </si>
  <si>
    <t>Human Evaluation of NLP Systems, HumEval 2021 - Proceedings of the Workshop, as part of the 16th Conference of the European Chapter of the Association for Computational Linguistics, EACL 2021</t>
  </si>
  <si>
    <t>https://www.scopus.com/inward/record.uri?eid=2-s2.0-85123765687&amp;partnerID=40&amp;md5=77877a05772f741c033a85d59de364bd</t>
  </si>
  <si>
    <t>Computational Approaches to Modeling Language (CAMeL) Lab., New York University, Abu Dhabi, United Arab Emirates</t>
  </si>
  <si>
    <t>Chierici, A.M., Computational Approaches to Modeling Language (CAMeL) Lab., New York University, Abu Dhabi, United Arab Emirates; Habash, N., Computational Approaches to Modeling Language (CAMeL) Lab., New York University, Abu Dhabi, United Arab Emirates</t>
  </si>
  <si>
    <t>Abbreviated San Diego Wisdom Scale (SD-WISE-7) and Jeste-Thomas Wisdom Index (JTWI)</t>
  </si>
  <si>
    <t>10.1017/S1041610221002684</t>
  </si>
  <si>
    <t>57202663870;7201727915;57191975051;57195981542;55681466200;55694848000;57211371597;</t>
  </si>
  <si>
    <t>Objectives: Wisdom is a personality trait comprising seven components: self-reflection, pro-social behaviors, emotional regulation, acceptance of diverse perspectives, decisiveness, social advising, and spirituality. Wisdom, a potentially modifiable trait, is strongly associated with well-being. We have published a validated 28-item San Diego Wisdom Scale, the SD-WISE-28. Brief scales are necessary for use in large population-based studies and in clinical practice. The present study aimed to create an abbreviated 7-item version of the SD-WISE. Method: Participants included 2093 people, aged 20-82 years, recruited and surveyed through the online crowdsourcing platform Amazon Mechanical Turk. The participants' mean age was 46 years, with 55% women. Participants completed the SD-WISE-28 as well as validation scales for various positive and negative constructs. Psychometric analyses (factor analysis and item response theory) were used to select one item from each of the seven SD-WISE-28 subscales. Results: We selected a combination of items that produced acceptable unidimensional model fit and good reliability (ω = 0.74). Item statistics suggested that all seven items were strong indicators of wisdom, although the association was weakest for spirituality. Analyses indicated that the 28-item and 7-item SD-WISE are both very highly correlated (r = 0.92) and produce a nearly identical pattern of correlations with demographic and validity variables. Conclusion: The SD-WISE-7, and its derived Jeste-Thomas Wisdom Index (JTWI) score, balances reliability and brevity for research applications. © International Psychogeriatric Association 2021.</t>
  </si>
  <si>
    <t>Thomas M.L., Palmer B.W., Lee E.E., Liu J., Daly R., Tu X.M., Jeste D.V.</t>
  </si>
  <si>
    <t>International Psychogeriatrics</t>
  </si>
  <si>
    <t>https://www.scopus.com/inward/record.uri?eid=2-s2.0-85120733657&amp;doi=10.1017%2fS1041610221002684&amp;partnerID=40&amp;md5=00ba69565ced0c18e6d83fe87a7fd234</t>
  </si>
  <si>
    <t>Department of Psychology, Colorado State University, Fort Collins, CO, United States; Department of Psychiatry, University of California San Diego, San diego, CA, United States; VA San Diego Healthcare System, San Diego, CA, United States; Sam and Rose Stein Institute for Research on Aging, University of California San Diego, San diego, CA, United States; Department of Family Medicine and Public Health, University of California San Diego, San diego, CA, United States; Department of Neurosciences, University of California San Diego, San diego, CA, United States</t>
  </si>
  <si>
    <t>Thomas, M.L., Department of Psychology, Colorado State University, Fort Collins, CO, United States; Palmer, B.W., Department of Psychiatry, University of California San Diego, San diego, CA, United States, VA San Diego Healthcare System, San Diego, CA, United States, Sam and Rose Stein Institute for Research on Aging, University of California San Diego, San diego, CA, United States; Lee, E.E., Department of Psychiatry, University of California San Diego, San diego, CA, United States, VA San Diego Healthcare System, San Diego, CA, United States, Sam and Rose Stein Institute for Research on Aging, University of California San Diego, San diego, CA, United States; Liu, J., Sam and Rose Stein Institute for Research on Aging, University of California San Diego, San diego, CA, United States, Department of Family Medicine and Public Health, University of California San Diego, San diego, CA, United States; Daly, R., Department of Psychiatry, University of California San Diego, San diego, CA, United States, Sam and Rose Stein Institute for Research on Aging, University of California San Diego, San diego, CA, United States; Tu, X.M., Sam and Rose Stein Institute for Research on Aging, University of California San Diego, San diego, CA, United States, Department of Family Medicine and Public Health, University of California San Diego, San diego, CA, United States; Jeste, D.V., Department of Psychiatry, University of California San Diego, San diego, CA, United States, Sam and Rose Stein Institute for Research on Aging, University of California San Diego, San diego, CA, United States, Department of Neurosciences, University of California San Diego, San diego, CA, United States</t>
  </si>
  <si>
    <t>Jeste, D.V.; Sam and Rose Stein Institute for Research on Aging, United States; email: djeste@ucsd.edu</t>
  </si>
  <si>
    <t>AbsorbanceQ: An App for Generating Absorbance Images from Brightfield Images</t>
  </si>
  <si>
    <t>10.6028/JRES.126.039</t>
  </si>
  <si>
    <t>57208511370;7401975348;57200151065;</t>
  </si>
  <si>
    <t>The AbsorbanceQ app converts brightfield microscope images into absorbance images that can be analyzed and compared across different operators, microscopes, and time. Because absorbance-based measurements are comparable across these parameters, they are useful when the aim is to manufacture biotherapeutics with consistent quality. AbsorbanceQ will be of value to those who want to capture quantitative absorbance images of cells. The AbsorbanceQ app has two modes - a single image processing mode and a batch processing mode for multiple images. Instructions for using the app are given on the ‘App Information’ tab when the app is opened. The input and output images for the app have been defined, and synthetic images were used to validate that the output images are correct. This article provides a description of how to use the app, software specifications, a description of how the app works, instructive advice on how to use the tools and a description of the methods used to generate the software. In addition, links are provided to a website where the app and test images are deployed. © 2021 National Institute of Standards and Technology. All rights reserved.</t>
  </si>
  <si>
    <t>Zimmerman S.M., Simon C.G., Jr., Babakhanova G.</t>
  </si>
  <si>
    <t>Journal of Research of the National Institute of Standards and Technology</t>
  </si>
  <si>
    <t>https://www.scopus.com/inward/record.uri?eid=2-s2.0-85123360298&amp;doi=10.6028%2fJRES.126.039&amp;partnerID=40&amp;md5=0003da448ff01d6ca9b16d78c6bc8bc4</t>
  </si>
  <si>
    <t>National Institute of Standards and Technology, Gaithersburg, MD  20899, United States</t>
  </si>
  <si>
    <t>Zimmerman, S.M., National Institute of Standards and Technology, Gaithersburg, MD  20899, United States; Simon, C.G., Jr., National Institute of Standards and Technology, Gaithersburg, MD  20899, United States; Babakhanova, G., National Institute of Standards and Technology, Gaithersburg, MD  20899, United States</t>
  </si>
  <si>
    <t>Accelerating Deductive Coding of Qualitative Data: An Experimental Study on the Applicability of Crowdsourcing</t>
  </si>
  <si>
    <t>10.1145/3473856.3473873</t>
  </si>
  <si>
    <t>57263938600;57212505427;6603610788;</t>
  </si>
  <si>
    <t>While qualitative research can produce a rich understanding of peoples' mind, it requires an essential and strenuous data annotation process known as coding. Coding can be repetitive and time-consuming, particularly for large datasets. Crowdsourcing provides flexible access to workers all around the world, however, researchers remain doubtful about its applicability for coding. In this study, we present an interactive coding system to support crowdsourced deductive coding of semi-structured qualitative data. Through an empirical evaluation on Amazon Mechanical Turk, we assess both the quality and the reliability of crowd-support for coding. Our results show that non-expert coders provide reliable results using our system. The crowd reached a substantial agreement of up to 91% with the coding provided by experts. Our results indicate that crowdsourced coding is an applicable strategy for accelerating a strenuous task. Additionally, we present implications of crowdsourcing to reduce biases in the interpretation of qualitative data. © 2021 ACM.</t>
  </si>
  <si>
    <t>Haug S., Rietz T., Maedche A.</t>
  </si>
  <si>
    <t>https://www.scopus.com/inward/record.uri?eid=2-s2.0-85115167200&amp;doi=10.1145%2f3473856.3473873&amp;partnerID=40&amp;md5=0379db9188fc777e6dad72bf8b4a5b90</t>
  </si>
  <si>
    <t>Karlsruhe Institute of Technology, Karlsruhe, Germany</t>
  </si>
  <si>
    <t>Haug, S., Karlsruhe Institute of Technology, Karlsruhe, Germany; Rietz, T., Karlsruhe Institute of Technology, Karlsruhe, Germany; Maedche, A., Karlsruhe Institute of Technology, Karlsruhe, Germany</t>
  </si>
  <si>
    <t>Accessibility and generalizability: Are social media effects moderated by age or digital literacy?</t>
  </si>
  <si>
    <t>10.1177/20531680211016968</t>
  </si>
  <si>
    <t>7006292298;57224407975;35869396100;8159413200;</t>
  </si>
  <si>
    <t>An emerging empirical regularity suggests that older people use and respond to social media very differently than younger people. Older people are the fastest-growing population of Internet and social media users in the US, and this heterogeneity will soon become central to online politics. However, many important experiments in this field have been conducted on online samples that do not contain enough older people to be useful to generalize to the current population of Internet users; this issue is more pronounced for studies that are even a few years old. In this paper, we report the results of replicating two experiments involving social media (specifically, Facebook) conducted on one such sample lacking older users (Amazon’s Mechanical Turk) using a source of online subjects which does contain sufficient variation in subject age. We add a standard battery of questions designed to explicitly measure digital literacy. We find evidence of significant treatment effect heterogeneity in subject age and digital literacy in the replication of one of the two experiments. This result is an example of limitations to generalizability of research conducted on samples where selection is related to treatment effect heterogeneity; specifically, this result indicates that Mechanical Turk should not be used to recruit subjects when researchers suspect treatment effect heterogeneity in age or digital literacy, as we argue should be the case for research on digital media effects. © The Author(s) 2021.</t>
  </si>
  <si>
    <t>Munger K., Gopal I., Nagler J., Tucker J.A.</t>
  </si>
  <si>
    <t>Research and Politics</t>
  </si>
  <si>
    <t>https://www.scopus.com/inward/record.uri?eid=2-s2.0-85107462095&amp;doi=10.1177%2f20531680211016968&amp;partnerID=40&amp;md5=9671f0690a4dc8e1536da979a850322d</t>
  </si>
  <si>
    <t>The Pennsylvania State University, United States; New York University, United States</t>
  </si>
  <si>
    <t>Munger, K., The Pennsylvania State University, United States; Gopal, I., The Pennsylvania State University, United States; Nagler, J., New York University, United States; Tucker, J.A., New York University, United States</t>
  </si>
  <si>
    <t>Munger, K.; The Pennsylvania State UniversityUnited States; email: kmm7999@psu.edu</t>
  </si>
  <si>
    <t>Advancing Digital Behavior Change Interventions by Exploring a Calendar-Based Suggestion System</t>
  </si>
  <si>
    <t>10.1145/3452853.3452866</t>
  </si>
  <si>
    <t>57203514208;57218706861;56099926800;43661840800;</t>
  </si>
  <si>
    <t>Digital Behavior Change Interventions (DBCI) have a pivotal role in reducing lifestyle-related illness, absenteeism, and healthcare costs. Current challenges in designing DBCI are appropriately tailoring interventions and finding new forms of delivery. In this exploratory work, we present the design and evaluation of Tweak, a cloud-based health promotion system that integrates tailored and context-aware health suggestions into the users digital work calendar. Two four-week field studies (N=21) showed how Tweak adapted to changing user profiles and used personal and contextual data to situate suggestions. User insights showed that integration into the calendar stimulated reflective behavior and curiosity and was perceived as easy to use. However, due to differences in calendar use, suggestions could be overlooked. We conclude by discussing implications on how integrated delivery mechanisms can aid the development of future workplace DBCI. © 2021 ACM.</t>
  </si>
  <si>
    <t>Damen I., Van Den Heuvel R., Brankaert R., Vos S.</t>
  </si>
  <si>
    <t>https://www.scopus.com/inward/record.uri?eid=2-s2.0-85105020683&amp;doi=10.1145%2f3452853.3452866&amp;partnerID=40&amp;md5=e94fb7c9f12d822e9e5e878854043ed8</t>
  </si>
  <si>
    <t>Eindhoven University of Technology, Eindhoven, Netherlands</t>
  </si>
  <si>
    <t>Damen, I., Eindhoven University of Technology, Eindhoven, Netherlands; Van Den Heuvel, R., Eindhoven University of Technology, Eindhoven, Netherlands; Brankaert, R., Eindhoven University of Technology, Eindhoven, Netherlands; Vos, S., Eindhoven University of Technology, Eindhoven, Netherlands</t>
  </si>
  <si>
    <t>Algorithm-Based Hearing and Speech Therapy Rehabilitation after Cochlear Implantation</t>
  </si>
  <si>
    <t>10.3390/brainsci12050580</t>
  </si>
  <si>
    <t>57222059796;57682256900;7006326383;57221343404;50861941200;57681422700;6602460088;57681140500;57681699300;57681975800;56343514000;7006806083;8723996000;</t>
  </si>
  <si>
    <t>Introduction: Due to the changes in the indication range for cochlear implants and the demographic development towards an aging society, more and more people are in receipt of cochlear implants. An implantation requires a close-meshed audiological and logopedic aftercare. Hearing therapy rehabilitation currently requires great personnel effort and is time consuming. Hearing and speech therapy rehabilitation can be supported by digital hearing training programs. However, the apps currently on the market are to a limited degree personalized and structured. Increasing digital-ization makes it possible, especially in times of pandemics, to decouple hearing therapy treatment from everyday clinical practice. Material and Methods: For this purpose, an app is in development that provides hearing therapy tailored to the patient. The individual factors that influence hearing outcome are considered. Using intelligent algorithms, the app determines the selection of exercises, the level of difficulty and the speed at which the difficulty is increased. Results: The app works autonomously without being connected to local speech therapists. In addition, the app is able to analyze patient difficulties within the exercises and provides conclusions about the need for technical adjustments. Conclusions: The presented newly developed app represents a possibility to support, replace, expand and improve the classic outpatient hearing and speech therapy after CI implantation. The way the application works allows it to reach more people and provide a time-and cost-saving alternative to traditional therapy. © 2022 by the authors. Licensee MDPI, Basel, Switzerland.</t>
  </si>
  <si>
    <t>Eichler T., Rötz W., Kayser C., Bröhl F., Römer M., Witteborg A.H., Kummert F., Sandmeier T., Schulte C., Stolz P., Meyer K., Sudhoff H., Todt I.</t>
  </si>
  <si>
    <t>Brain Sciences</t>
  </si>
  <si>
    <t>https://www.scopus.com/inward/record.uri?eid=2-s2.0-85129992444&amp;doi=10.3390%2fbrainsci12050580&amp;partnerID=40&amp;md5=f934a86ecc03640c0f02594652b96e3b</t>
  </si>
  <si>
    <t>Department of Otolaryngology, Head and Neck Surgery, Medical School OWL, Bielefeld University, Campus Bielefeld Mitte, Bielefeld, 33604, Germany; Faculty of Biology, Cognitive Neuroscience, Bielefeld University, Bielefeld, 33615, Germany; Faculty of Economics, Decision Analytics, Bielefeld University, Bielefeld, 33615, Germany; Research Institute for Cognition and Robotics, Bielefeld University, Bielefeld, 33615, Germany; Department of Design, University of Applied Science, Bielefeld, 33619, Germany</t>
  </si>
  <si>
    <t>Eichler, T., Department of Otolaryngology, Head and Neck Surgery, Medical School OWL, Bielefeld University, Campus Bielefeld Mitte, Bielefeld, 33604, Germany; Rötz, W., Department of Otolaryngology, Head and Neck Surgery, Medical School OWL, Bielefeld University, Campus Bielefeld Mitte, Bielefeld, 33604, Germany; Kayser, C., Faculty of Biology, Cognitive Neuroscience, Bielefeld University, Bielefeld, 33615, Germany; Bröhl, F., Faculty of Biology, Cognitive Neuroscience, Bielefeld University, Bielefeld, 33615, Germany; Römer, M., Faculty of Economics, Decision Analytics, Bielefeld University, Bielefeld, 33615, Germany; Witteborg, A.H., Faculty of Economics, Decision Analytics, Bielefeld University, Bielefeld, 33615, Germany; Kummert, F., Research Institute for Cognition and Robotics, Bielefeld University, Bielefeld, 33615, Germany; Sandmeier, T., Research Institute for Cognition and Robotics, Bielefeld University, Bielefeld, 33615, Germany; Schulte, C., Research Institute for Cognition and Robotics, Bielefeld University, Bielefeld, 33615, Germany; Stolz, P., Department of Design, University of Applied Science, Bielefeld, 33619, Germany; Meyer, K., Department of Design, University of Applied Science, Bielefeld, 33619, Germany; Sudhoff, H., Department of Otolaryngology, Head and Neck Surgery, Medical School OWL, Bielefeld University, Campus Bielefeld Mitte, Bielefeld, 33604, Germany; Todt, I., Department of Otolaryngology, Head and Neck Surgery, Medical School OWL, Bielefeld University, Campus Bielefeld Mitte, Bielefeld, 33604, Germany</t>
  </si>
  <si>
    <t>Eichler, T.; Department of Otolaryngology, Campus Bielefeld Mitte, Germany; email: theda.eichler@gmail.com</t>
  </si>
  <si>
    <t>Algorithmic Control in Platform Food Delivery Work</t>
  </si>
  <si>
    <t>10.1177/2378023119870041</t>
  </si>
  <si>
    <t>57191206974;54989480500;57203526149;7003323195;</t>
  </si>
  <si>
    <t>Building on an emerging literature concerning algorithmic management, this article analyzes the processes by which food delivery platforms control workers and uncovers variation in the extent to which such platforms constrain the freedoms—over schedules and activities—associated with gig work. Drawing on in-depth interviews with 55 respondents working on food delivery platforms, as well as a survey of 955 platform food delivery workers, we find that although all of the food delivery platforms use algorithmic management to assign and evaluate work, there is significant cross-platform variation. Instacart, the largest grocery delivery platform, exerts a type of control we call “algorithmic despotism,” regulating the time and activities of workers more stringently than other platform delivery companies. We conclude with a discussion of the implications of the spectrum of algorithmic control for the future of work. © SAGE Publications Inc.. All rights reserved.</t>
  </si>
  <si>
    <t>Griesbach K., Reich A., Elliott-Negri L., Milkman R.</t>
  </si>
  <si>
    <t>Socius</t>
  </si>
  <si>
    <t>https://www.scopus.com/inward/record.uri?eid=2-s2.0-85078297402&amp;doi=10.1177%2f2378023119870041&amp;partnerID=40&amp;md5=129167c7e02797061fdd885033509137</t>
  </si>
  <si>
    <t>Columbia University, New York, NY, United States; City University of New York Graduate Center, New York, NY, United States</t>
  </si>
  <si>
    <t>Griesbach, K., Columbia University, New York, NY, United States; Reich, A., Columbia University, New York, NY, United States; Elliott-Negri, L., City University of New York Graduate Center, New York, NY, United States; Milkman, R., City University of New York Graduate Center, New York, NY, United States</t>
  </si>
  <si>
    <t>Griesbach, K.; Columbia University, 606 W 122nd St., MC 9649, United States; email: kag2182@columbia.edu</t>
  </si>
  <si>
    <t>An analysis of the holiday rental issue in Spain</t>
  </si>
  <si>
    <t>10.13060/23362839.2021.8.1.522</t>
  </si>
  <si>
    <t>53881159800;</t>
  </si>
  <si>
    <t>Holiday lets and holiday rentals have generated a major debate in recent years in Spain with regard to their regulation. Their impact, not only on tourism, but also on urban sustainability and local planning, have led to public intervention to control their expansion. This article analyses the origin of holiday lets, their problems, and how the public authorities have intervened in this regard, thus providing an overview of the impact of this type of accommodation in Spain. © 2021, Academy of Sciences of the Czech Republic, Institute of Sociology. All rights reserved.</t>
  </si>
  <si>
    <t>Guillén Navarro N.A.</t>
  </si>
  <si>
    <t>Critical Housing Analysis</t>
  </si>
  <si>
    <t>https://www.scopus.com/inward/record.uri?eid=2-s2.0-85106481054&amp;doi=10.13060%2f23362839.2021.8.1.522&amp;partnerID=40&amp;md5=a8913b4b1d1773752a23a13f2cada7c2</t>
  </si>
  <si>
    <t>Faculty of Tourism, Department of Law, University of Zaragoza, Spain</t>
  </si>
  <si>
    <t>Guillén Navarro, N.A., Faculty of Tourism, Department of Law, University of Zaragoza, Spain</t>
  </si>
  <si>
    <t>Guillén Navarro, N.A.; Faculty of Tourism, Spain; email: nicolasg@unizar.es</t>
  </si>
  <si>
    <t>L117</t>
  </si>
  <si>
    <t>An Empirical Investigation on the Challenges Faced by Women in the Software Industry: A Case Study</t>
  </si>
  <si>
    <t>10.1109/ICSE-SEIS55304.2022.9793931</t>
  </si>
  <si>
    <t>56786270500;25640516000;10043515400;36609225300;</t>
  </si>
  <si>
    <t>Context: Addressing women's under-representation in the soft-ware industry, a widely recognized concern, requires attracting as well as retaining more women. Hearing from women practitioners, particularly those positioned in multi-cultural settings, about their challenges and and adopting their lived experienced solutions can support the design of programs to resolve the under-representation issue. Goal: We investigated the challenges women face in global software development teams, particularly what motivates women to leave their company; how those challenges might break down according to demographics; and strategies to mitigate the identified challenges. Method: To achieve this goal, we conducted an ex-ploratory case study in Ericsson, a global technology company. We surveyed 94 women and employed mixed-methods to analyze the data. Results: Our findings reveal that women face socio-cultural challenges, including work-life balance issues, benevolent and hos-tile sexism, lack of recognition and peer parity, impostor syndrome, glass ceiling bias effects, the prove-it-again phenomenon, and the maternal wall. The participants of our research provided different suggestions to address/mitigate the reported challenges, including sabbatical policies, flexibility of location and time, parenthood support, soft skills training for managers, equality of payment and opportunities between genders, mentoring and role models to sup-port career growth, directives to hire more women, inclusive groups and events, women's empowerment, and recognition for women's success. The framework of challenges and suggestions can inspire further initiatives both in academia and industry to onboard and retain women. Women represent less than 24% of employees in software development industry and experience various types of prejudice and bias. Even in companies that care about Diversity &amp; Inclusion, 'untying the mooring ropes' of socio-cultural problems is hard. Hearing from women, especially those working in a multi-cultural organization, about their challenges and adopting their suggestions can be vital to design programs and resolve the under-representation issue. In this work we work closely with a large software development or-ganization which invests and believes in diversity and inclusion. We listened to women and the challenges they face in global soft-ware development teams of this company and what these women suggest reduce the problems and increase retention. Our research showed that women face work-life balance issues and encounter invisible barriers that prevent them from rising to top positions. They also suffer micro-aggression and sexism, need to show com-petence constantly, be supervised in essential tasks, and receive less work after becoming mothers. Moreover, women miss having more female colleagues, lack self-confidence and recognition. The women from the company suggested sabbatical policies, the flexibil-ity of location and time, parenthood support, soft skills training for managers, equality of opportunities, role models to support career growth, directives to hire more women, support groups, and more interaction between women, inclusive groups and events, women's empowerment by publishing their success stories in media and recognizing their achievements. Our results had been shared with the company Human Resources department and management and they considered the diagnosis helpful and will work on actions to mitigate the challenges that women still perceive. © 2022 IEEE.</t>
  </si>
  <si>
    <t>Trinkenreich B., Britto R., Gerosa M.A., Steinmacher I.</t>
  </si>
  <si>
    <t>https://www.scopus.com/inward/record.uri?eid=2-s2.0-85133704611&amp;doi=10.1109%2fICSE-SEIS55304.2022.9793931&amp;partnerID=40&amp;md5=365a4e6e7cef6fab2912ec7d3d886d0f</t>
  </si>
  <si>
    <t>Northern of Arizona University, Flagstaff, AZ, United States; Ericsson Blekinge Institute of Technology, Kalrksona, Sweden; Univ. Tecnológica Federal Do Paraná, Brazil</t>
  </si>
  <si>
    <t>Trinkenreich, B., Northern of Arizona University, Flagstaff, AZ, United States; Britto, R., Ericsson Blekinge Institute of Technology, Kalrksona, Sweden; Gerosa, M.A., Northern of Arizona University, Flagstaff, AZ, United States; Steinmacher, I., Univ. Tecnológica Federal Do Paraná, Brazil</t>
  </si>
  <si>
    <t>An Integrated Model of Continued M-Commerce Applications Usage</t>
  </si>
  <si>
    <t>10.1080/08874417.2022.2091682</t>
  </si>
  <si>
    <t>57446723300;57204114576;15753759700;57768821900;</t>
  </si>
  <si>
    <t>Drawing from the extant literature on consumer behaviors in the context of mobile commerce (m-commerce) and integrating expectation confirmation theory and motivation theory, this study develops an integrated model to explore factors affecting the continued usage of m-commerce applications (apps). Data is collected via an online survey distributed through Amazon Mechanical Turk and analyzed using PLS-SEM. Results reveal three major categories of motivators, each with multiple dimensions, that differentially affect utilitarian expectation confirmation and hedonic expectation confirmation. Specifically, extrinsic value (i.e., convenience, efficiency, and informativeness) positively affects utilitarian expectation confirmation; intrinsic value (i.e., value motivation, role motivation, adventure motivation, gratification motivation, and idea motivation) positively affects hedonic expectation confirmation; and social value (i.e., social motivation, subjective norm, and critical mass) positively affects both utilitarian expectation confirmation and hedonic expectation confirmation. Our results provide insights into both theory and practice. © 2022 International Association for Computer Information Systems.</t>
  </si>
  <si>
    <t>Wen C., Wang N., Fang J., Huang M.</t>
  </si>
  <si>
    <t>Journal of Computer Information Systems</t>
  </si>
  <si>
    <t>https://www.scopus.com/inward/record.uri?eid=2-s2.0-85133011108&amp;doi=10.1080%2f08874417.2022.2091682&amp;partnerID=40&amp;md5=3912fb3081b11054324a41c32ff90004</t>
  </si>
  <si>
    <t>Ohio Northern University, Ada, OH, United States; Eastern Illinois University, Charleston, IL, United States; University of Electronic Science and Technology of China, Sichuan, Chengdu, China; University of Toledo, Toledo, OH, United States</t>
  </si>
  <si>
    <t>Wen, C., Ohio Northern University, Ada, OH, United States; Wang, N., Eastern Illinois University, Charleston, IL, United States; Fang, J., University of Electronic Science and Technology of China, Sichuan, Chengdu, China; Huang, M., University of Toledo, Toledo, OH, United States</t>
  </si>
  <si>
    <t>Wen, C.; College of Business Administration, 525 S. Main St, United States; email: c-wen@onu.edu</t>
  </si>
  <si>
    <t>Analysis of the risk model of german corona warning app</t>
  </si>
  <si>
    <t>10.24412/1932-2321-2021-161-62-70</t>
  </si>
  <si>
    <t>27967566600;6602667310;</t>
  </si>
  <si>
    <t>In Germany an App has been introduced to cope with the Corona epidemic. In this paper we describe, how the app works and analyze the semi-quantitative risk model that has been used in the app, because a large number of semi-quantitative risk models are known that are not consistent. Further we discuss in how far the Corona app in its current state can contribute to mitigate the pandemic. The risk model of the German Corona warning app has several interesting, somewhat puzzling properties. In this paper we describe the analysis and its results related to the underlying risk model. © 2021 Reliability: Theory and Applications.</t>
  </si>
  <si>
    <t>Braband J., Schäbe H.</t>
  </si>
  <si>
    <t>Reliability: Theory and Applications</t>
  </si>
  <si>
    <t>https://www.scopus.com/inward/record.uri?eid=2-s2.0-85107946727&amp;doi=10.24412%2f1932-2321-2021-161-62-70&amp;partnerID=40&amp;md5=49f44fa35efa5513f0f25b7ea117b680</t>
  </si>
  <si>
    <t>TU Braunschweig, Germany; TÜV Rheinland, Germany</t>
  </si>
  <si>
    <t>Braband, J., TU Braunschweig, Germany; Schäbe, H., TÜV Rheinland, Germany</t>
  </si>
  <si>
    <t>Assessment of Patient Nondisclosures to Clinicians of Experiencing Imminent Threats</t>
  </si>
  <si>
    <t>10.1001/jamanetworkopen.2019.9277</t>
  </si>
  <si>
    <t>12799706500;55317596500;7801355675;56454969500;21742195200;6603783157;</t>
  </si>
  <si>
    <t>Importance: Patient disclosure to their clinician about experiencing an imminent threat is a critical step toward receiving support or assistance. Objective: To examine the frequency of patients not disclosing their experience of imminent threats to their clinician and their reasons for doing so. Design, Setting, and Participants: Survey study incorporating results from 2 national, nonprobability samples of 2011 US adults recruited from Amazon's Mechanical Turk (MTurk) from March 16 to 30, 2015, and 2499 recruited from Survey Sampling International (SSI) from November 6 to 17, 2015. Data analysis was conducted from December 20 to 28, 2018. Main Outcomes and Measures: Self-reported nondisclosure of 4 types of imminent threats (depression, suicidality, abuse, and sexual assault) to their clinician and reasons for nondisclosure. Results: There were 2011 participants in the MTurk sample (1210 [60.3%] female; 1696 [60.2%] white; mean [SD] age, 35.7 [12.4] years; age range, 18-79 years) and 2499 participants (1273 [51.0%] female; 1968 [78.8%] white; mean [SD] age, 61.0 [7.6] years; age range, 50-91 years) in the SSI sample. Among those who reported experiencing at least 1 of the 4 imminent threats, 613 of 1292 MTurk participants (47.5%) and 581 of 1453 SSI participants (40.0%) withheld information from their clinician. The most commonly endorsed reasons for withholding this information included being embarrassed (MTurk: 72.7%; SSI: 70.9%), not wanting to be judged or lectured (MTurk: 66.4%; SSI: 53.4%), and not wanting to engage in a difficult follow-up behavior (MTurk: 62.4%; SSI: 51.1%). Respondents who experienced at least 1 of the 4 imminent threats had significantly higher odds of nondisclosure in both samples if they were female (MTurk: odds ratio [OR], 1.66 [95% CI, 1.30-2.11]; and SSI: OR, 1.33 [95% CI, 1.07-1.67]) or younger (MTurk: OR, 0.99 [95% CI, 0.98-1.00]; and SSI: OR, 0.98 [95% CI, 0.97-1.00]). Worse self-rated health was also associated with nondisclosure, but only in the SSI sample (OR, 0.85 [95% CI, 0.74-0.96]). Conclusions and Relevance: This study suggests that many people withhold information from their clinicians about imminent health threats that they face. A better understanding of how to increase patients' comfort with reporting this information is critical to allowing clinicians to help patients mitigate these potentially life-threatening risks. © 2019 Levy AG et al.</t>
  </si>
  <si>
    <t>Levy A.G., Scherer A.M., Zikmund-Fisher B.J., Larkin K., Barnes G.D., Fagerlin A.</t>
  </si>
  <si>
    <t>JAMA Network Open</t>
  </si>
  <si>
    <t>https://www.scopus.com/inward/record.uri?eid=2-s2.0-85071280479&amp;doi=10.1001%2fjamanetworkopen.2019.9277&amp;partnerID=40&amp;md5=5da0295e65dca77e5ec6596c08ccfc11</t>
  </si>
  <si>
    <t>Department of Social Science, Middlesex Community College, 100 Training Hill Rd, Middletown, CT  06457, United States; Department of Internal Medicine, University of Iowa, Iowa City, United States; School of Public Health, University of Michigan, Ann Arbor, United States; Department of Oncology, Wayne State University School of Medicine, Detroit, MI, United States; University of Michigan Health System, Cardiovascular Medicine and Vascular Medicine, Ann Arbor, United States; Department of Population Health Sciences, University of Utah, Salt Lake City, United States; VA Salt Lake City Health Care System, Salt Lake City, UT, United States</t>
  </si>
  <si>
    <t>Levy, A.G., Department of Social Science, Middlesex Community College, 100 Training Hill Rd, Middletown, CT  06457, United States; Scherer, A.M., Department of Internal Medicine, University of Iowa, Iowa City, United States; Zikmund-Fisher, B.J., School of Public Health, University of Michigan, Ann Arbor, United States; Larkin, K., Department of Oncology, Wayne State University School of Medicine, Detroit, MI, United States; Barnes, G.D., University of Michigan Health System, Cardiovascular Medicine and Vascular Medicine, Ann Arbor, United States; Fagerlin, A., Department of Population Health Sciences, University of Utah, Salt Lake City, United States, VA Salt Lake City Health Care System, Salt Lake City, UT, United States</t>
  </si>
  <si>
    <t>Levy, A.G.; Department of Social Science, 100 Training Hill Rd, United States; email: alevy@mxcc.edu</t>
  </si>
  <si>
    <t>Association Between Intimate Partner Violence Subtypes and Post-traumatic Stress Disorder Symptoms and Hazardous Substance Use</t>
  </si>
  <si>
    <t>10.1177/08862605211021963</t>
  </si>
  <si>
    <t>54909210800;57216694279;</t>
  </si>
  <si>
    <t>Intimate partner violence (IPV) is a common problem for women in the United States and is associated with symptoms of post-traumatic stress disorder (PTSD) as well as hazardous use of substances like alcohol and drugs. However, not all subtypes of IPV (i.e., physical, sexual, and psychological) are equally predictive of PTSD and hazardous substance use. Although previous research suggests that psychological IPV has the strongest relative effect on PTSD symptoms and substance use, there is less research on IPV subtypes’ cumulative effects. In this study, we examined the relative and cumulative effects of physical, sexual, and psychological IPV on PTSD symptoms and hazardous substance use in a sample of women in the United States recruited via Amazon’s Mechanical Turk (N = 793) using bootstrapped multiple regression and configural frequency analyses. Results suggest that physical IPV had the most pronounced influence (medium-large effect sizes) on substance use across women, but that the cumulative effects of all three IPV subtypes were most closely associated with diagnostic levels of both PTSD and substance use at the level of groups of women. These findings clarify and extend previous research on the differential effects of IPV subtypes and provide directions for future research and clinical intervention. © 2021 SAGE Publications.</t>
  </si>
  <si>
    <t>Yalch M.M., Rickman S.R.M.</t>
  </si>
  <si>
    <t>Journal of Interpersonal Violence</t>
  </si>
  <si>
    <t>https://www.scopus.com/inward/record.uri?eid=2-s2.0-85107606683&amp;doi=10.1177%2f08862605211021963&amp;partnerID=40&amp;md5=9cd271b86599f46c28213d4f42318b1b</t>
  </si>
  <si>
    <t>Palo Alto University, Palo Alto, CA, United States</t>
  </si>
  <si>
    <t>Yalch, M.M., Palo Alto University, Palo Alto, CA, United States; Rickman, S.R.M., Palo Alto University, Palo Alto, CA, United States</t>
  </si>
  <si>
    <t>Yalch, M.M.; Palo Alto UniversityUnited States; email: myalch@paloaltou.edu</t>
  </si>
  <si>
    <t>Association of substance use with behavioral adherence to centers for disease control and prevention guidelines for covid-19 mitigation: Cross-sectional web-based survey</t>
  </si>
  <si>
    <t>10.2196/29319</t>
  </si>
  <si>
    <t>26534590100;57197746921;57204640926;57202346666;55368969400;54990709100;57331480900;36617866200;57191631664;6603700331;7006360778;57198274915;</t>
  </si>
  <si>
    <t>Background: Substance use is a risk factor for COVID-19 infection and adverse outcomes. However, reasons for elevated risk for COVID-19 in substance users are not well understood. Objective: The aim of this study was to evaluate whether alcohol or other drug use is associated with adherence to Centers for Disease Control and Prevention (CDC) guidelines for COVID-19 mitigation. Preregistered analyses tested the hypothesis that greater use of alcohol and other drugs would be associated with lower CDC guideline adherence. A secondary objective was to determine whether substance use was associated with the likelihood of COVID-19 testing or outcome. Methods: A cross-sectional web-based survey was administered to a convenience sample recruited through Amazon's Mechanical Turk platform from June 18 to July 19, 2020. Individuals aged 18 years or older and residing in Connecticut, Massachusetts, New Jersey, New York, or Rhode Island were eligible to participate. The exposure of interest was past 7-day use of alcohol, cigarettes, electronic cigarettes, cannabis, stimulants, and nonmedical opioids. The primary outcome was CDC guideline adherence measured using a scale developed from behaviors advised to reduce the spread of COVID-19. Secondary outcomes were likelihood of COVID-19 testing and a positive COVID-19 test result. All analyses accounted for the sociodemographic characteristics. Results: The sample consisted of 1084 individuals (mean age 40.9 [SD 13.4] years): 529 (48.8%) men, 543 (50.1%) women, 12 (1.1%) other gender identity, 742 (68.5%) White individuals, 267 (24.6%) Black individuals, and 276 (25.5%) Hispanic individuals. Daily opioid users reported lower CDC guideline adherence than nondaily users (B=-0.24, 95% CI -0.44 to -0.05) and nonusers (B=-0.57, 95% CI -0.76 to -0.38). Daily alcohol drinkers reported lower adherence than nondaily drinkers (B=-0.16, 95% CI -0.30 to -0.02). Nondaily alcohol drinkers reported higher adherence than nondrinkers (B=0.10, 95% CI 0.02-0.17). Daily opioid use was related to greater odds of COVID-19 testing, and daily stimulant use was related to greater odds of a positive COVID-19 test. Conclusions: In a regionally-specific, racially, and ethnically diverse convenience sample, adults who engaged in daily alcohol or opioid use reported lower CDC guideline adherence for COVID-19 mitigation. Any opioid use was associated with greater odds of COVID-19 testing, and daily stimulant use was associated with greater odds of COVID-19 infection. Cigarettes, electronic cigarettes, cannabis, or stimulant use were not statistically associated with CDC guideline adherence, after accounting for sociodemographic covariates and other substance use variables. Findings support further investigation into whether COVID-19 testing and vaccination should be expanded among individuals with substance-related risk factors. © 2021 JMIR Research Protocols. All rights reserved.</t>
  </si>
  <si>
    <t>Monnig M.A., Padovano H.T., Sokolovsky A.W., DeCost G., Aston E.R., Haass-Koffler C.L., Szapary C., Moyo P., Avila J.C., Tidey J.W., Monti P.M., Ahluwalia J.S.</t>
  </si>
  <si>
    <t>JMIR Public Health and Surveillance</t>
  </si>
  <si>
    <t>https://www.scopus.com/inward/record.uri?eid=2-s2.0-85118935910&amp;doi=10.2196%2f29319&amp;partnerID=40&amp;md5=3f607f06002b655f618e1c08dd097fe8</t>
  </si>
  <si>
    <t>Department of Behavioral and Social Sciences, Brown University, Providence, RI, United States; Center for Addiction and Disease Risk Exacerbation, Brown University, Providence, RI, United States; Department of Psychiatry and Human Behavior, Brown University, Providence, RI, United States; Center for Gerontology and Healthcare Research, Department of Health Services, Policy, and Practice, Brown University, Providence, RI, United States</t>
  </si>
  <si>
    <t>Monnig, M.A., Department of Behavioral and Social Sciences, Brown University, Providence, RI, United States, Center for Addiction and Disease Risk Exacerbation, Brown University, Providence, RI, United States; Padovano, H.T., Department of Behavioral and Social Sciences, Brown University, Providence, RI, United States, Center for Addiction and Disease Risk Exacerbation, Brown University, Providence, RI, United States, Department of Psychiatry and Human Behavior, Brown University, Providence, RI, United States; Sokolovsky, A.W., Department of Behavioral and Social Sciences, Brown University, Providence, RI, United States, Center for Addiction and Disease Risk Exacerbation, Brown University, Providence, RI, United States; DeCost, G., Center for Addiction and Disease Risk Exacerbation, Brown University, Providence, RI, United States; Aston, E.R., Department of Behavioral and Social Sciences, Brown University, Providence, RI, United States, Center for Addiction and Disease Risk Exacerbation, Brown University, Providence, RI, United States; Haass-Koffler, C.L., Department of Behavioral and Social Sciences, Brown University, Providence, RI, United States, Center for Addiction and Disease Risk Exacerbation, Brown University, Providence, RI, United States, Department of Psychiatry and Human Behavior, Brown University, Providence, RI, United States; Szapary, C., Center for Addiction and Disease Risk Exacerbation, Brown University, Providence, RI, United States; Moyo, P., Center for Addiction and Disease Risk Exacerbation, Brown University, Providence, RI, United States, Center for Gerontology and Healthcare Research, Department of Health Services, Policy, and Practice, Brown University, Providence, RI, United States; Avila, J.C., Center for Addiction and Disease Risk Exacerbation, Brown University, Providence, RI, United States; Tidey, J.W., Department of Behavioral and Social Sciences, Brown University, Providence, RI, United States, Center for Addiction and Disease Risk Exacerbation, Brown University, Providence, RI, United States, Department of Psychiatry and Human Behavior, Brown University, Providence, RI, United States; Monti, P.M., Department of Behavioral and Social Sciences, Brown University, Providence, RI, United States, Center for Addiction and Disease Risk Exacerbation, Brown University, Providence, RI, United States; Ahluwalia, J.S., Department of Behavioral and Social Sciences, Brown University, Providence, RI, United States, Center for Addiction and Disease Risk Exacerbation, Brown University, Providence, RI, United States</t>
  </si>
  <si>
    <t>Monnig, M.A.; Department of Behavioral and Social Sciences, Box G-S121-5, United States; email: mollie_monnig@brown.edu</t>
  </si>
  <si>
    <t>Association of Therapeutic and Recreational Reasons for Alcohol Use With Alcohol Demand</t>
  </si>
  <si>
    <t>10.1037/pha0000554</t>
  </si>
  <si>
    <t>57200615343;57208402637;36731691100;7403130583;24170652600;</t>
  </si>
  <si>
    <t>Motives for alcohol use and behavioral economic measures of demand are associated with alcohol consumption and alcohol-related problems. However, it is unclear how differences in reasons for alcohol use may affect alcohol demand. Additionally, although alcohol is commonly used to self-manage conditions such as pain and sleep problems, the impact of these reasons for alcohol use on alcohol demand is not well characterized. The present study addressed this gap. Participants were adults recruited via Amazon Mechanical Turk as part of a larger study investigating health behaviors. Analyses included participants who reported alcohol use in the past year (N = 637). Participants were categorized as having recreational, therapeutic, or both recreational and therapeutic reasons for using alcohol. A brief, three-item measure of alcohol demand was administered. Multivariate analysis of variance (MANOVA) analyses revealed that alcohol drinkers endorsing both recreational and therapeutic reasons for use had significantly higher average intensity, Omax, and breakpoint indices compared to thosewho only reported recreational or therapeutic drinkingmotives (ps &amp;lt;.05; Cohen’s d =.09–.17). Secondary analyses revealed differences in demand according to therapeutic reason for alcohol use endorsed. Significant main effects were found for use to relieve pain and anxiety/depression/stress, while interactive effects were detected for use to relieve pain and improve sleep and use to relieve pain and anxiety/depression/stress. Overall, results suggest that alcohol demand is highest in drinkers who consume alcohol for both therapeutic and recreational reasons. This group may be at elevated risk for alcohol use disorder and alcohol-related consequences. Continued research is necessary to examine this possibility. © 2022. American Psychological Association</t>
  </si>
  <si>
    <t>Ferguson E., Fiore A., Yurasek A.M., Cook R.L., Boissoneault J.</t>
  </si>
  <si>
    <t>Experimental and Clinical Psychopharmacology</t>
  </si>
  <si>
    <t>https://www.scopus.com/inward/record.uri?eid=2-s2.0-85125920366&amp;doi=10.1037%2fpha0000554&amp;partnerID=40&amp;md5=796d9c2e007909f9d25ffe7de29d114e</t>
  </si>
  <si>
    <t>Department of Clinical and Health Psychology, University of Florida, United States; Center for Pain Research and Behavioral Health, University of Florida, United States; Department of Epidemiology, University of Florida, United States; Department of Health Education and Behavior, University of Florida, United States</t>
  </si>
  <si>
    <t>Ferguson, E., Department of Clinical and Health Psychology, University of Florida, United States, Center for Pain Research and Behavioral Health, University of Florida, United States; Fiore, A., Department of Epidemiology, University of Florida, United States; Yurasek, A.M., Department of Health Education and Behavior, University of Florida, United States; Cook, R.L., Department of Epidemiology, University of Florida, United States; Boissoneault, J., Department of Clinical and Health Psychology, University of Florida, United States, Center for Pain Research and Behavioral Health, University of Florida, United States</t>
  </si>
  <si>
    <t>Boissoneault, J.; Department of Clinical and Health Psychology, United States; email: jboissoneault@phhp.ufl.edu</t>
  </si>
  <si>
    <t>Associations between Laser Light Pointer Play and Repetitive Behaviors in Companion Cats: Does Participant Recruitment Method Matter?</t>
  </si>
  <si>
    <t>10.1080/10888705.2022.2065880</t>
  </si>
  <si>
    <t>6602589756;7103229477;</t>
  </si>
  <si>
    <t>One common form of play between companion cat guardians and cats involves the use of laser light pointers (LLPs). Although viewed by many as an enjoyable shared interaction, experts have suggested that it may increase the risk of compulsive behaviors. Our earlier study recruited participants through social media to examine the relationship between LLPs and potential abnormal repetitive behaviors (pARBs). Because of possible biases in this form of recruitment, this study was conducted utilizing Amazon Mechanical Turk. A total of 468 responses (54.5% female, 44.0% male, 1.5% nonbinary) were analyzed. Significant associations between the frequency of LLPs and the occurrence of spins or tail chases, chasing lights or shadows, staring “obsessively” at lights or reflections, and fixating on a specific toy were found. Additional associations for these pARBs included declaw status, cat age, and number of cats in the household. Despite differences in recruitment method, the primary conclusions of the two studies were the same: guardians frequently using LLPs with their cats reported significantly more pARBs. These results suggest that LLPs may be associated with compulsive behaviors in cats. © 2022 Informa UK Limited, trading as Taylor &amp; Francis Group.</t>
  </si>
  <si>
    <t>Grigg E.K., Kogan L.R.</t>
  </si>
  <si>
    <t>Journal of Applied Animal Welfare Science</t>
  </si>
  <si>
    <t>https://www.scopus.com/inward/record.uri?eid=2-s2.0-85129329075&amp;doi=10.1080%2f10888705.2022.2065880&amp;partnerID=40&amp;md5=89e1795db3bc754a78ec737e7cba59c8</t>
  </si>
  <si>
    <t>Department of Population Health and Reproduction, School of Veterinary Medicine, University of California, Davis, CA, United States; Clinical Sciences Department, College of Veterinary Medicine and Biomedical Sciences, Colorado State University, Fort Collins, CO, United States</t>
  </si>
  <si>
    <t>Grigg, E.K., Department of Population Health and Reproduction, School of Veterinary Medicine, University of California, Davis, CA, United States; Kogan, L.R., Clinical Sciences Department, College of Veterinary Medicine and Biomedical Sciences, Colorado State University, Fort Collins, CO, United States</t>
  </si>
  <si>
    <t>Grigg, E.K.; Department of Population Health and Reproduction, United States; email: ekgrigg@gmail.com</t>
  </si>
  <si>
    <t>Augmenting Semantic Lexicons Using Word Embeddings and Transfer Learning</t>
  </si>
  <si>
    <t>10.3389/frai.2021.783778</t>
  </si>
  <si>
    <t>57214781899;6505923113;56296933700;57211028084;12808716500;7005561192;</t>
  </si>
  <si>
    <t>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Copyright © 2022 Alshaabi, Van Oort, Fudolig, Arnold, Danforth and Dodds.</t>
  </si>
  <si>
    <t>Alshaabi T., Van Oort C.M., Fudolig M.I., Arnold M.V., Danforth C.M., Dodds P.S.</t>
  </si>
  <si>
    <t>Frontiers in Artificial Intelligence</t>
  </si>
  <si>
    <t>https://www.scopus.com/inward/record.uri?eid=2-s2.0-85124230996&amp;doi=10.3389%2ffrai.2021.783778&amp;partnerID=40&amp;md5=2dcfd4a13f4ccce24e431d1e4929d057</t>
  </si>
  <si>
    <t>Advanced Bioimaging Center, University of California, Berkeley, CA, United States; Vermont Complex Systems Center, University of Vermont, Burlington, VT, United States; The MITRE Corporation, McLean, VA, United States; Department of Mathematics &amp; Statistics, University of Vermont, Burlington, VT, United States; Department of Computer Science, University of Vermont, Burlington, VT, United States</t>
  </si>
  <si>
    <t>Alshaabi, T., Advanced Bioimaging Center, University of California, Berkeley, CA, United States, Vermont Complex Systems Center, University of Vermont, Burlington, VT, United States; Van Oort, C.M., Vermont Complex Systems Center, University of Vermont, Burlington, VT, United States, The MITRE Corporation, McLean, VA, United States; Fudolig, M.I., Vermont Complex Systems Center, University of Vermont, Burlington, VT, United States; Arnold, M.V., Vermont Complex Systems Center, University of Vermont, Burlington, VT, United States; Danforth, C.M., Vermont Complex Systems Center, University of Vermont, Burlington, VT, United States, Department of Mathematics &amp; Statistics, University of Vermont, Burlington, VT, United States; Dodds, P.S., Vermont Complex Systems Center, University of Vermont, Burlington, VT, United States, Department of Computer Science, University of Vermont, Burlington, VT, United States</t>
  </si>
  <si>
    <t>Alshaabi, T.; Advanced Bioimaging Center, United States; email: thayeralshaabi@berkeley.edu</t>
  </si>
  <si>
    <t>Automated Bug Triaging in a Global Software Development Environment: An Industry Experience</t>
  </si>
  <si>
    <t>10.1007/978-3-031-08473-7_15</t>
  </si>
  <si>
    <t>57215420107;57767707500;57215428434;57768191500;57768191600;57767220300;57767707600;57224114582;57194024817;57315085800;</t>
  </si>
  <si>
    <t>Bug triaging is a crucial task in development and maintenance of software projects. In this context, the ability to quickly assign bug reports to specialized technical groups (TG) is essential to save time, reduce costs and gain competitiveness. An issue wrongly assigned increases the risk of negative impact in a project’s budget and schedule. This paper presents an analysis of automated approaches to recommend specialized TGs to fix a new bug. The experiments show the effectiveness of the analyzed method in finding the target TG in the first rank positions, improving the Accuracy@1 in 7% and the Mean Reciprocal Rank (MRR) in 3% compared with our previous work. More significantly, the new method reduces the model’s training time from 5 h to 22 min. These results were validated in a real-world dataset composed of 410,631 bug reports obtained from the projects of a global smartphone manufacturer. © 2022, The Author(s), under exclusive license to Springer Nature Switzerland AG.</t>
  </si>
  <si>
    <t>Batista A., Marinho F.D.’M., Rocha T., Neto W.O., Antonaccio G., Chaves T., Falcão D., Santos F.S., Giuntini F.T., Sales J.E.</t>
  </si>
  <si>
    <t>https://www.scopus.com/inward/record.uri?eid=2-s2.0-85132995395&amp;doi=10.1007%2f978-3-031-08473-7_15&amp;partnerID=40&amp;md5=44cb48087766f987cc87bc617b23cb3f</t>
  </si>
  <si>
    <t>Sidia Research Institute, Manaus, Brazil</t>
  </si>
  <si>
    <t>Batista, A., Sidia Research Institute, Manaus, Brazil; Marinho, F.D.’M., Sidia Research Institute, Manaus, Brazil; Rocha, T., Sidia Research Institute, Manaus, Brazil; Neto, W.O., Sidia Research Institute, Manaus, Brazil; Antonaccio, G., Sidia Research Institute, Manaus, Brazil; Chaves, T., Sidia Research Institute, Manaus, Brazil; Falcão, D., Sidia Research Institute, Manaus, Brazil; Santos, F.S., Sidia Research Institute, Manaus, Brazil; Giuntini, F.T., Sidia Research Institute, Manaus, Brazil; Sales, J.E., Sidia Research Institute, Manaus, Brazil</t>
  </si>
  <si>
    <t>Sales, J.E.; Sidia Research InstituteBrazil; email: juliano.sales@sidia.com</t>
  </si>
  <si>
    <t>Automatic News Article Generation from Legislative Proceedings: A Phenom-Based Approach</t>
  </si>
  <si>
    <t>10.1007/978-3-030-89579-2_2</t>
  </si>
  <si>
    <t>57315741000;57226803193;57314913800;16042608900;16038984900;57314290000;</t>
  </si>
  <si>
    <t>Algorithmic journalism refers to automatic AI-constructed news stories. There have been successful commercial implementations for news stories in sports, weather, financial reporting and similar domains with highly structured, well defined tabular data sources. Other domains such as local reporting have not seen adoption of algorithmic journalism, and thus no automated reporting systems are available in these categories which can have important implications for the industry. In this paper, we demonstrate a novel approach for producing news stories on government legislative activity, an area that has not widely adopted algorithmic journalism. Our data source is state legislative proceedings, primarily the transcribed speeches and dialogue from floor sessions and committee hearings in US State legislatures. Specifically, we create a library of potential events called phenoms. We systematically analyze the transcripts for the presence of phenoms using a custom partial order planner. Each phenom, if present, contributes some natural language text to the generated article: either stating facts, quoting individuals or summarizing some aspect of the discussion. We evaluate two randomly chosen articles with a user study on Amazon Mechanical Turk with mostly Likert scale questions. Our results indicate a high degree of achievement for accuracy of facts and readability of final content with 13 of 22 users in the first article and 19 of 20 subjects of the second article agreeing or strongly agreeing that the articles included the most important facts of the hearings. Other results strengthen this finding in terms of accuracy, focus and writing quality. © 2021, Springer Nature Switzerland AG.</t>
  </si>
  <si>
    <t>Klimashevskaia A., Gadgil R., Gerrity T., Khosmood F., Gütl C., Howe P.</t>
  </si>
  <si>
    <t>https://www.scopus.com/inward/record.uri?eid=2-s2.0-85118181043&amp;doi=10.1007%2f978-3-030-89579-2_2&amp;partnerID=40&amp;md5=e513b094d095f354a7eaee4271d6ad40</t>
  </si>
  <si>
    <t>Graz University of Technology, Graz, Austria; California Polytechnic State University, San Luis Obispo, United States</t>
  </si>
  <si>
    <t>Klimashevskaia, A., Graz University of Technology, Graz, Austria; Gadgil, R., California Polytechnic State University, San Luis Obispo, United States; Gerrity, T., California Polytechnic State University, San Luis Obispo, United States; Khosmood, F., California Polytechnic State University, San Luis Obispo, United States; Gütl, C., Graz University of Technology, Graz, Austria; Howe, P., California Polytechnic State University, San Luis Obispo, United States</t>
  </si>
  <si>
    <t>Khosmood, F.; California Polytechnic State UniversityUnited States; email: foaad@calpoly.edu</t>
  </si>
  <si>
    <t>Beyond Bot Detection: Combating Fraudulent Online Survey Takers</t>
  </si>
  <si>
    <t>10.1145/3485447.3512230</t>
  </si>
  <si>
    <t>57219250026;56583041000;57221052840;57007888700;42162158900;57206911197;</t>
  </si>
  <si>
    <t>Different techniques have been recommended to detect fraudulent responses in online surveys, but little research has been taken to systematically test the extent to which they actually work in practice. In this paper, we conduct an empirical evaluation of 22 anti-fraud tests in two complementary online surveys. The first survey recruits Rust programmers on public online forums and social media networks. We find that fraudulent respondents involve both bot and human characteristics. Among different anti-fraud tests, those designed based on domain knowledge are the most effective. By combining individual tests, we can achieve a detection performance as good as commercial techniques while making the results more explainable. To explore these tests under a broader context, we ran a different survey on Amazon Mechanical Turk (MTurk). The results show that for a generic survey without requiring users to have any domain knowledge, it is more difficult to distinguish fraudulent responses. However, a subset of tests still remain effective. © 2022 ACM.</t>
  </si>
  <si>
    <t>Zhang Z., Zhu S., Mink J., Xiong A., Song L., Wang G.</t>
  </si>
  <si>
    <t>WWW 2022 - Proceedings of the ACM Web Conference 2022</t>
  </si>
  <si>
    <t>https://www.scopus.com/inward/record.uri?eid=2-s2.0-85129875731&amp;doi=10.1145%2f3485447.3512230&amp;partnerID=40&amp;md5=e4194c0cc4f852d71bf71a8ed7b835bf</t>
  </si>
  <si>
    <t>University of Wisconsin-Madison, United States; The Pennsylvania State University, United States; University of Illinois at Urbana-Champaign, United States</t>
  </si>
  <si>
    <t>Zhang, Z., University of Wisconsin-Madison, United States; Zhu, S., The Pennsylvania State University, United States; Mink, J., University of Illinois at Urbana-Champaign, United States; Xiong, A., The Pennsylvania State University, United States; Song, L., The Pennsylvania State University, United States; Wang, G., University of Illinois at Urbana-Champaign, United States</t>
  </si>
  <si>
    <t>Boundaryless careers and algorithmic constraints in the gig economy</t>
  </si>
  <si>
    <t>10.1080/09585192.2021.1953565</t>
  </si>
  <si>
    <t>57205036646;56576227700;6507179341;22941516700;</t>
  </si>
  <si>
    <t>With low barriers to entry and ease of access to work, the gig economy offers the prospect of boundaryless opportunities for flexible working arrangements characterised by increased autonomy. This form of work, however, may leave individuals without development opportunities and could stymie career progression. Drawing on boundaryless career theory, this study examines the potential of gig workers to develop the transferable career competencies required to effectively pursue opportunities beyond these precarious roles. Through insights from 56 gig worker interviews, we analyse the lived experiences of workers in attempting to develop ‘knowing-why’, ‘knowing-how’, and ‘knowing-whom’ competencies. In so doing, we find that the potentially unmovable boundaries posed by algorithmic management practices within platform organisations constrains workers’ abilities to navigate their roles and develop transferable competencies. The study lends empirical support to the bounded effect of gig work on individuals’ careers in a domain characterised by precarity where organisations dismiss the existence of an employment relationship, where individuals may simultaneously work for multiple platforms, and where secretive algorithms heavily influence the experience of work. © 2021 Informa UK Limited, trading as Taylor &amp; Francis Group.</t>
  </si>
  <si>
    <t>Duggan J., Sherman U., Carbery R., McDonnell A.</t>
  </si>
  <si>
    <t>International Journal of Human Resource Management</t>
  </si>
  <si>
    <t>https://www.scopus.com/inward/record.uri?eid=2-s2.0-85111621757&amp;doi=10.1080%2f09585192.2021.1953565&amp;partnerID=40&amp;md5=381ce4d2a665c6edf622e97ba40add1a</t>
  </si>
  <si>
    <t>School of Business, Maynooth University, Kildare, Ireland; Cork University Business School, University College Cork, Cork, Ireland</t>
  </si>
  <si>
    <t>Duggan, J., School of Business, Maynooth University, Kildare, Ireland; Sherman, U., Cork University Business School, University College Cork, Cork, Ireland; Carbery, R., Cork University Business School, University College Cork, Cork, Ireland; McDonnell, A., Cork University Business School, University College Cork, Cork, Ireland</t>
  </si>
  <si>
    <t>Duggan, J.; School of Business, Ireland</t>
  </si>
  <si>
    <t>Can a connection with the indigenous cultural values encourage sustainable apparel consumption?</t>
  </si>
  <si>
    <t>10.1108/JFMM-07-2021-0191</t>
  </si>
  <si>
    <t>57219391886;55369930200;</t>
  </si>
  <si>
    <t>Purpose: The authors investigated the role of cultural (i.e. traditional and religious) values in predicting the relationships between the attitudes toward the environment and slow fashion and the purchase intention for sustainable apparel. Design/methodology/approach: An online survey was conducted in Amazon Mechanical Turk with the millennials of the US (n = 317). The data were analyzed through structural equation modeling (SEM). Findings: The connection with indigenous cultural values in terms of the (1) traditional values positively influenced attitudes toward the environment and slow fashion; (2) religious values positively influenced attitude toward slow fashion but did not influence attitude toward the environment. (3) Both attitudes towards environment and slow fashion positively influenced purchase intention for sustainable apparel. (4) The connection with cultural values did not influence purchase intention toward sustainable apparel directly; however, (5) attitude toward slow fashion mediated the relationship between connection with cultural values and purchase intention for sustainable apparel both in terms of traditional and religious values, and (6) attitude toward the environment mediated the relationship between connection with traditional values and purchase intention for sustainable apparel. Practical implications: Instead of focusing only on pro-environmental messages, marketers should use culture-specific cues to evoke favorable attitudinal and behavioral responses toward sustainable apparel. Social implications: Advertisement cues of sustainable apparel imbuing the target market's cultural values could help in protecting culturally significant elements of nature in the long-term by evoking positive attitudes toward the environment and slow fashion and encouraging purchase intention for sustainable apparel in the short-term. Originality/value: The authors indicated the importance of indigenous cultural values in shaping favorable attitudes toward the environment and slow fashion and purchase intention for sustainable apparel. © 2022, Emerald Publishing Limited.</t>
  </si>
  <si>
    <t>Chakraborty S., Sadachar A.</t>
  </si>
  <si>
    <t>Journal of Fashion Marketing and Management</t>
  </si>
  <si>
    <t>https://www.scopus.com/inward/record.uri?eid=2-s2.0-85124340670&amp;doi=10.1108%2fJFMM-07-2021-0191&amp;partnerID=40&amp;md5=f28166f3f89a784b4e2817afde30d77f</t>
  </si>
  <si>
    <t>Design, Housing, and Merchandising, Oklahoma State University, Stillwater, OK, United States; Consumer and Design Sciences, Auburn University, Auburn, AL, United States</t>
  </si>
  <si>
    <t>Chakraborty, S., Design, Housing, and Merchandising, Oklahoma State University, Stillwater, OK, United States; Sadachar, A., Consumer and Design Sciences, Auburn University, Auburn, AL, United States</t>
  </si>
  <si>
    <t>Chakraborty, S.; Design, United States; email: swagata.chakraborty@okstate.edu</t>
  </si>
  <si>
    <t>Can motivational messages engage individuals at-risk for gambling disorder in an online assessment?</t>
  </si>
  <si>
    <t>10.1037/adb0000591</t>
  </si>
  <si>
    <t>57191196401;7202610258;55927090000;7201637517;</t>
  </si>
  <si>
    <t>There is a need to better understand how to motivate individuals experiencing addiction-related concerns, such as gambling problems, to engage in help-seeking behaviors. This experiment tested whether online messages based on principles of motivational interviewing (MI) could be used to encourage individuals to complete a problem gambling screener. Participants (N = 805) who gambled at least weekly and were not receiving treatment for gambling problems were recruited via Amazon Mechanical Turk. Participants were randomly assigned to 1 of 3 message conditions that all offered participants the choice to complete either a problem gambling screener or an alternative questionnaire focused on gambling-related attitudes. The first condition was an MI-based interactive message, the second was similar in content but was presented in a noninteractive manner, and the third was a control message that did not include motivational elements. We found that the interactive motivational message yielded significantly higher rates of screener completion (39%) than the noninteractive message (28%) or control message (29%), χ² (2, N = 805) = 8.28, p = .016, Φ = .29. This remained significant after controlling for other study variables. Controlling for message condition, participants were more likely to complete the screener if they gambled more frequently, with more money, were more psychologically distressed and interested in receiving help for gambling problems, or had ever received treatment for gambling problems. These findings provide support for the use of interactive MI-based messages to encourage individuals at-risk for experiencing problems to use helping resources. (PsycInfo Database Record (c) 2021 APA, all rights reserved) © 2020 American Psychological Association</t>
  </si>
  <si>
    <t>Peter S.C., Whelan J.P., Pfund R.A., Meyers A.W.</t>
  </si>
  <si>
    <t>Psychology of Addictive Behaviors</t>
  </si>
  <si>
    <t>https://www.scopus.com/inward/record.uri?eid=2-s2.0-85086650398&amp;doi=10.1037%2fadb0000591&amp;partnerID=40&amp;md5=3559c6a0b293979cd7466b2d66a43b90</t>
  </si>
  <si>
    <t>Department of Psychology, University of Memphis, Memphis, TN, United States</t>
  </si>
  <si>
    <t>Peter, S.C., Department of Psychology, University of Memphis, Memphis, TN, United States; Whelan, J.P., Department of Psychology, University of Memphis, Memphis, TN, United States; Pfund, R.A., Department of Psychology, University of Memphis, Memphis, TN, United States; Meyers, A.W., Department of Psychology, University of Memphis, Memphis, TN, United States</t>
  </si>
  <si>
    <t>Peter, S.C.; Department of Psychology, 400 Innovation Drive, Room 202, Psychology Building, United States; email: gambling@memphis.edu</t>
  </si>
  <si>
    <t>Childhood trauma and food addiction: The role of emotion regulation difficulties and gender differences</t>
  </si>
  <si>
    <t>10.1016/j.appet.2022.106137</t>
  </si>
  <si>
    <t>57223933041;57772852300;55408408600;23049655000;</t>
  </si>
  <si>
    <t>Objective: Childhood trauma has been associated with substance use disorders (SUDs), but less research has investigated its association with food addiction (i.e., compulsive intake of highly processed foods containing refined carbohydrates and/or added fat). Existing research on childhood trauma and food addiction has focused primarily on women from restricted samples. Further, emotion dysregulation difficulties are implicated in both childhood trauma and food addiction, but research has not explored whether it may play a mediating role. Method: The current study utilizes a sample of 310 participants recruited from Amazon Mechanical Turk (mean age = 41.3 years old, 47.4% men, 78.7% white) to investigate the mediating role of emotion dysregulation in the association between childhood trauma and food addiction. We also conducted exploratory analyses to investigate for gender differences in these associations. Gender-stratified correlational matrixes were conducted to investigate associations between childhood trauma, food addiction, and emotional dysregulation. Moderated mediation models and multilevel regressions were also conducted to identify the role of gender in the association between childhood trauma, food addiction, and emotion dysregulation. Results: Emotion dysregulation was found to partially mediate the associations between food addiction and childhood trauma and gender was found to moderate associations between childhood trauma and emotion dysregulation, as well as childhood trauma and food addiction. Both moderating pathways were significantly stronger for men compared to women. Discussion: Results suggests that emotion dysregulation may be one important mediator in the association between childhood trauma and food addiction, particularly for men. The identification of other potential mechanisms contributing to the association between childhood trauma and food addiction and the use of longitudinal measurement strategies will be important in future research. © 2022 Elsevier Ltd</t>
  </si>
  <si>
    <t>Hoover L.V., Yu H.P., Duval E.R., Gearhardt A.N.</t>
  </si>
  <si>
    <t>Appetite</t>
  </si>
  <si>
    <t>https://www.scopus.com/inward/record.uri?eid=2-s2.0-85133208697&amp;doi=10.1016%2fj.appet.2022.106137&amp;partnerID=40&amp;md5=12e683427b4bf2571f098807b0d4e032</t>
  </si>
  <si>
    <t>Department of Psychology, University of Michigan, Ann Arbor, United States; Department of Psychiatry, University of Michigan, Ann Arbor, United States</t>
  </si>
  <si>
    <t>Hoover, L.V., Department of Psychology, University of Michigan, Ann Arbor, United States; Yu, H.P., Department of Psychology, University of Michigan, Ann Arbor, United States; Duval, E.R., Department of Psychology, University of Michigan, Ann Arbor, United States, Department of Psychiatry, University of Michigan, Ann Arbor, United States; Gearhardt, A.N., Department of Psychology, University of Michigan, Ann Arbor, United States</t>
  </si>
  <si>
    <t>Hoover, L.V.530 Church Street, United States; email: lindzeyh@umich.edu</t>
  </si>
  <si>
    <t>Clusters of trauma types as measured by the Life Events Checklist for DSM–5.</t>
  </si>
  <si>
    <t>10.1037/str0000179</t>
  </si>
  <si>
    <t>54392860100;43762132500;57214596536;7003678279;</t>
  </si>
  <si>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(β = .23, p &amp;lt; .001), depression severity (β = .20, p = .001), and negative emotion dysregulation (β = .22, p &amp;lt; .001); and the Predominant Death Threat Trauma Cluster significantly predicted engagement in reckless and self-destructive behaviors (β = .31, p &amp;lt; .001) and positive emotion dysregulation (β = .26, p &amp;lt; .001), accounting for the influence of other PTE type clusters. Results support three PTE type classifications assessed by the LEC-5, with important clinical and research implications. (PsycInfo Database Record (c) 2020 APA, all rights reserved) © 2020 American Psychological Association</t>
  </si>
  <si>
    <t>Contractor A.A., Weiss N.H., Natesan Batley P., Elhai J.D.</t>
  </si>
  <si>
    <t>International Journal of Stress Management</t>
  </si>
  <si>
    <t>https://www.scopus.com/inward/record.uri?eid=2-s2.0-85087080167&amp;doi=10.1037%2fstr0000179&amp;partnerID=40&amp;md5=478d58786a84cf62284ebe8f039bc37d</t>
  </si>
  <si>
    <t>Department of Psychology, University of North Texas, Denton, TX, United States; Department of Psychology, University of Rhode Island, Kingston, RI, United States; Department of Educational Psychology, University of North Texas, Denton, TX, United States; Department of Psychology, University of Toledo, Toledo, OH, United States</t>
  </si>
  <si>
    <t>Contractor, A.A., Department of Psychology, University of North Texas, Denton, TX, United States; Weiss, N.H., Department of Psychology, University of Rhode Island, Kingston, RI, United States; Natesan Batley, P., Department of Educational Psychology, University of North Texas, Denton, TX, United States; Elhai, J.D., Department of Psychology, University of Toledo, Toledo, OH, United States</t>
  </si>
  <si>
    <t>Contractor, A.A.; Department of Psychology, 369 Terrill Hall, United States; email: ateka.c@gmail.com</t>
  </si>
  <si>
    <t>Comparing Brief Internet-Based Compassionate Mind Training and Cognitive Behavioral Therapy for Perinatal Women: Study Protocol for a Randomized Controlled Trial</t>
  </si>
  <si>
    <t>10.2196/resprot.5332</t>
  </si>
  <si>
    <t>56028399200;57215882114;23481140200;35621473600;55179470800;7202653297;</t>
  </si>
  <si>
    <t>Background: Depression that occurs during the perinatal period has substantial costs for both the mother and her baby. Since in-person care often falls short of meeting the global need of perinatal women, Internet interventions may function as an alternate to help women who currently lack adequate access to face-To-face psychological resources. However, at present there are insufficient empirically supported Internet-based resources for perinatal women. Objective: The aim of this study is to compare the relative efficacy of Internet-based cognitive behavioral therapy (CBT) to a novel Internet-based compassionate mind training approach (CMT) across measures of affect, self-reassurance, self-criticizing, self-Attacking, self-compassion, depression, and anxiety. While CBT has been tested and has some support as an Internet tool for perinatal women, this is the first trial to look at CMT for perinatal women over the Internet. Methods: Participants were recruited through Amazon Mechanical Turk (MTurk) and professional networks. Following completion of demographic items, participants were randomly assigned to either the CBT or CMT condition. Each condition consisted of 45-minute interactive didactic and follow-up exercises to be completed over the course of two weeks. Results: Post course data was gathered at two weeks. A 2x2 repeated measures analysis of variance will be conducted to analyze differences between conditions at post course. Conclusions: The implications of the trial will be discussed as well as the strengths and limitations of MTurk as a tool for recruitment. We will also briefly introduce the future directions along this same line of research. © 2016 JMIR Research Protocols. All rights reserved.</t>
  </si>
  <si>
    <t>2016</t>
  </si>
  <si>
    <t>Kelman A.R., Stanley M.L., Barrera A.Z., Cree M., Heineberg Y., Gilbert P.</t>
  </si>
  <si>
    <t>JMIR Research Protocols</t>
  </si>
  <si>
    <t>https://www.scopus.com/inward/record.uri?eid=2-s2.0-85051100487&amp;doi=10.2196%2fresprot.5332&amp;partnerID=40&amp;md5=286a51de87553906186ff7ff7778e4ae</t>
  </si>
  <si>
    <t>Palo Alto University, Palo Alto, CA, United States; i4health, Palo Alto, CA, United States; Derbyshire Healthcare Nhs Foundation Trust, Derby, United Kingdom; Compassionate Mind Foundation, Derby, United Kingdom; Stanford University, Center for Compassion and Altruism Research and Education, Palo Alto, CA, United States</t>
  </si>
  <si>
    <t>Kelman, A.R., Palo Alto University, Palo Alto, CA, United States; Stanley, M.L., Palo Alto University, Palo Alto, CA, United States; Barrera, A.Z., Palo Alto University, Palo Alto, CA, United States, i4health, Palo Alto, CA, United States; Cree, M., Derbyshire Healthcare Nhs Foundation Trust, Derby, United Kingdom, Compassionate Mind Foundation, Derby, United Kingdom; Heineberg, Y., Palo Alto University, Palo Alto, CA, United States, Stanford University, Center for Compassion and Altruism Research and Education, Palo Alto, CA, United States; Gilbert, P., Derbyshire Healthcare Nhs Foundation Trust, Derby, United Kingdom, Compassionate Mind Foundation, Derby, United Kingdom</t>
  </si>
  <si>
    <t>Kelman, A.R.; Palo Alto UniversityUnited States; email: akelman@paloaltou.edu</t>
  </si>
  <si>
    <t>Comparison of conventional and digital workﬂows for implant-supported screw-retained zirconia FPD bars: Fit and cement gap evaluation using SEM analysis</t>
  </si>
  <si>
    <t>13905738200;57214219745;7401996584;26533144500;</t>
  </si>
  <si>
    <t>Purpose: To assess the fit and cement gap of fixed partial dentures supported by two implants made using conventional and digital workﬂows. Materials and methods Patients requiring fixed partial dentures supported by two implants were included in the study. Forty-eight zirconia fixed partial denture bars supported by two implants (AnyOne, MegaGen, Daegu, South Korea) were produced using a conventional (n 24, group C) and digital (n 24, group D) workﬂow. All implants had the same internal connection prosthetic platform. Silicone open tray impressions with splinted copings (group C) and digital impressions using a Trios 3 intraoral scanner (3Shape, Copenhagen, Denmark) (group D) were taken for each patient. The fit and cement gap were assessed by scanning electron microscopy on the verified master cast. The distance between reference points on the titanium base and implant analogue was measured with and without tightening the prosthetic screw. The difference in distance was calculated and represented the misfit (Dmisfit). The cement gap (Dcement) was measured as the shortest vertical distance from the inferior edge of the bar to the top edge of the titanium base. Results The median Dmisfit values (interquartile range) differed significantly (P 0.05) between the groups, with 59 (60) μm for group C and 78 (88) μm for group D. Fixed partial dentures fabricated using a digital workﬂow presented lower Dcement values (35 [26] μm) than the con ventional group (38.9 [23] μm) (P 0.05). Conclusions Both workﬂows produced different levels of fit and differently sized cement gaps when measured on the master casts using scanning electron microscopy. A cast-free digital work ﬂow was associated with a smaller cement gap, but larger misfit was detected when measuring on the verified master cast. Copyright 2021, Quintessence Publishing Company, Ltd.</t>
  </si>
  <si>
    <t>Rutkūnas V., Gedrimiene A., Jacobs R., Malinauskas M.</t>
  </si>
  <si>
    <t>International Journal of Oral Implantology</t>
  </si>
  <si>
    <t>https://www.scopus.com/inward/record.uri?eid=2-s2.0-85106189084&amp;partnerID=40&amp;md5=53304277a3daa85d2b7ee485e59fff4d</t>
  </si>
  <si>
    <t>Department of Prosthodontics, Institute of Odontology, Faculty of Medi cine, Vilnius University, Vilnius, Lithuania; Department of Prosthodontics, Institute of Odontology, Faculty of Medicine, Vilnius University, Vilnius, Lithuania; OMFS IMPATH Research Group, Department of Imaging and Path ology, Faculty of Medicine, University of Leuven, Leuven, Belgium; Department of Oral and Maxillofacial Surgery, University Hospitals Leuven, Leuven, Belgium; Department of Dental Medicine, Karolinska Institutet, Huddinge, Sweden; Laser Research Center, Vilnius University, Vilnius, Lithuania</t>
  </si>
  <si>
    <t>Rutkūnas, V., Department of Prosthodontics, Institute of Odontology, Faculty of Medi cine, Vilnius University, Vilnius, Lithuania; Gedrimiene, A., Department of Prosthodontics, Institute of Odontology, Faculty of Medicine, Vilnius University, Vilnius, Lithuania; Jacobs, R., OMFS IMPATH Research Group, Department of Imaging and Path ology, Faculty of Medicine, University of Leuven, Leuven, Belgium, Department of Oral and Maxillofacial Surgery, University Hospitals Leuven, Leuven, Belgium; Malinauskas, M., Laser Research Center, Vilnius University, Vilnius, Lithuania</t>
  </si>
  <si>
    <t>Gedrimiene, A.; Department of Prosthodontics, Zalgirio g. 115, Lithuania; email: geciauskaite.agne@gmail.com</t>
  </si>
  <si>
    <t>Consumer Perceptions on SST in Retail Atmosphere: An application of S-O-R framework*</t>
  </si>
  <si>
    <t>10.15722/jds.18.3.202003.87</t>
  </si>
  <si>
    <t>24390275400;57201678283;</t>
  </si>
  <si>
    <t>Purpose: The aim of this study is to understand the internal and external responses that consumers experience when they are exposed to an innovative system in retail stores. This study considered the SST(Self-Service Technology) system in a retail setting as a type of functional environmental stimuli and selected a smart shopping cart as an example of SST system. The influences of functional environmental stimuli on consumers‘ emotional, cognitive, and behavioral responses were examined by applying S-O-R model. In addition, this study attempted to extend the traditional S-O-R model by (a) incorporating personal characteristics variables such as time pressure and perceived crowding and (b) considering not only emotional but also cognitive aspects of consumers' internal responses. Research Design, Data, and Methodology: This study used a video-scenario technique. Participants watched a video about grocery shopping situations using a smart shopping cart and responded to their emotional, cognitive, and behavioral responses. An online survey was conducted using Amazon's Mechanical Turk (N = 185). All participants were US consumers over 20 years old and had been shopping at the grocery store in the last month. Data were analyzed through structural equations modeling with AMOS 20. Results: Test results showed that consumers who perceived higher levels of time pressure and perceived crowding in usual shopping situations were more likely to evaluate the SST system favorably. The results showed that personal characteristics have a significant impact on consumers‘ evaluation of functional environmental stimuli in retail setting. As consumers evaluated the SST system favorably, they experienced more positive affect and less negative affect during their shopping behaviors. Positive affect led to good service quality inference, which further increased patronize intention. However, negative affect did not show a significant impact on service quality inference, but only on patronize intention. Conclusions: This study attempted to investigate the influence of SST system by extending the traditional S-O-R model. This study classified the SST system as functional environmental stimulus of retail stores and analyzed the effect of stimulus on consumers‘ internal and external responses. The results of this study showed that the introduction of innovative SST can serve as an effective store differentiation strategy in an increasingly competitive retail environment. © 2020 Korean Distribution Science Association (KODISA). All Rights Reserved.</t>
  </si>
  <si>
    <t>Byun S., Ha Y.</t>
  </si>
  <si>
    <t>Journal of Distribution Science</t>
  </si>
  <si>
    <t>https://www.scopus.com/inward/record.uri?eid=2-s2.0-85107399783&amp;doi=10.15722%2fjds.18.3.202003.87&amp;partnerID=40&amp;md5=aa7c0a716c4e8c44890a12e9438776bb</t>
  </si>
  <si>
    <t>College of Business, Kwangwoon University, South Korea; Second Author, Assistant Professor, College of Business, Kwangwoon University, South Korea</t>
  </si>
  <si>
    <t>Byun, S., College of Business, Kwangwoon University, South Korea; Ha, Y., Second Author, Assistant Professor, College of Business, Kwangwoon University, South Korea</t>
  </si>
  <si>
    <t>Byun, S.; College of Business, South Korea</t>
  </si>
  <si>
    <t>Contagious Patient Tracking Application Spotlight: Privacy and Security Rights</t>
  </si>
  <si>
    <t>10.1109/ICCITM53167.2021.9677681</t>
  </si>
  <si>
    <t>57469299500;57220892732;</t>
  </si>
  <si>
    <t>As the Covid-19 outbreak spreads across the globe and has killed many lives, many applications have been created to track patients and fight this pandemic. However, several applications lack safety and privacy. This paper designs and develops a mobile app to track patients with the Covid-19 or any other pandemic disease through using GPS in Iraq. Moreover, the app maintains a privacy for users by encrypting their personal data before sending them to the cloud using a MODE CBC AES block encryption algorithm. The app keeps the identity and location of the users, supports two language interfaces English and Arabic, and works in Android and iOS environments. Only the health care providers can decrypt these data and know about the patient's location. Also, to make the patient trusts the application, his/her information will be deleted after sending his/her negative test after 21 days. In addition, the app provides users with information regarding healthcare places in the case of emergency. For the evaluation of this app, a data was collected from 20 users, including males and females and their ages were between (20-50) in Mosul city. The results showed that the app works properly and the users are notified when they are in close with other registered infected people. In addition, the users found that the app was simple, easy to use, and useful to do contact safely. To convince the users to utilize this app, the app is provided with button trial option to try it. © 2021 IEEE.</t>
  </si>
  <si>
    <t>Fares A., Alanezi M.</t>
  </si>
  <si>
    <t>7th International Conference on Contemporary Information Technology and Mathematics, ICCITM 2021</t>
  </si>
  <si>
    <t>https://www.scopus.com/inward/record.uri?eid=2-s2.0-85125396928&amp;doi=10.1109%2fICCITM53167.2021.9677681&amp;partnerID=40&amp;md5=17a335c14a91188e38a30619633ab7e1</t>
  </si>
  <si>
    <t>University of Mosul, Department of Computer Science, Mosul, Iraq</t>
  </si>
  <si>
    <t>Fares, A., University of Mosul, Department of Computer Science, Mosul, Iraq; Alanezi, M., University of Mosul, Department of Computer Science, Mosul, Iraq</t>
  </si>
  <si>
    <t>Contextual Personas - A Method for Capturing the Digital Work Environment of Users</t>
  </si>
  <si>
    <t>10.1007/978-3-030-98388-8_10</t>
  </si>
  <si>
    <t>15832518700;57223399810;8116545800;</t>
  </si>
  <si>
    <t>It can be hard to understand the context in which a software system is used and how the whole work environment affects the usage of a particular system. In this project, we modified the Persona method to include aspects of the digital work environment and the context to extend the understanding of these aspects during software development. The modified version of the Persona method is based on the traditional Persona method, on theories on healthy work and research on the digital work environment. The objective of proposing the modifications of the method is to give software developers more insights into the complexity of the digital work environment. University students tried the modified Contextual Persona method in a user-centred software development course. Students worked on designing a new system for 12 weeks using the Contextual Persona method during the fourth week of software development. The students gave feedback on what positive and negative aspects they experienced while using the modified Contextual Persona method and their thoughts on how the method could be improved. In the paper, we analyse reports from 30 students and summarise the feedback gathered. We conclude by summarising the possible improvements to the method based on our findings. © 2022, IFIP International Federation for Information Processing.</t>
  </si>
  <si>
    <t>Lárusdóttir M., Wang R., Cajander Å.</t>
  </si>
  <si>
    <t>https://www.scopus.com/inward/record.uri?eid=2-s2.0-85127178358&amp;doi=10.1007%2f978-3-030-98388-8_10&amp;partnerID=40&amp;md5=474a196903b462528f582002c1d884a4</t>
  </si>
  <si>
    <t>Reykjavik University, Menntavegur 1, Reykjavik, 101, Iceland; Uppsala University, P.O. Box 256, Uppsala, 751 05, Sweden</t>
  </si>
  <si>
    <t>Lárusdóttir, M., Reykjavik University, Menntavegur 1, Reykjavik, 101, Iceland; Wang, R., Uppsala University, P.O. Box 256, Uppsala, 751 05, Sweden; Cajander, Å., Uppsala University, P.O. Box 256, Uppsala, 751 05, Sweden</t>
  </si>
  <si>
    <t>Lárusdóttir, M.; Reykjavik University, Menntavegur 1, Iceland; email: marta@ru.is</t>
  </si>
  <si>
    <t>COVID-19 vaccination hesitancy among Americans with disabilities aged 18-65: An exploratory analysis</t>
  </si>
  <si>
    <t>10.1016/j.dhjo.2021.101223</t>
  </si>
  <si>
    <t>56975901100;15026570900;57300546300;</t>
  </si>
  <si>
    <t>Background: It is important for people with disabilities to be vaccinated against COVID-19 because, as a group, they are at increased risk of severe outcomes. While there are multiple vaccines available to prevent COVID-19, a considerable proportion of Americans report some hesitancy to becoming vaccinated, including people with disabilities. Objective: We conducted a study to explore what factors may contribute to COVID-19 vaccination hesitancy among Americans with disabilities. Methods: We used Amazon's Mechanical Turk to survey 439 people with disabilities (ages 18+) about their concerns of the COVID-19 disease, vaccines, and hesitancy toward vaccination to learn more about factors that influence vaccination hesitancy. Concerns about vaccines were analyzed as a composite variable representing different dimensions such as: side effects, too new, developed too quickly, influenced by politics, and effectiveness. Results: Results from a logistic regression indicate that concern about vaccines was the most significant predictor of hesitancy, even after considering demographic, economic, and geographic factors. Concerns about getting COVID-19, getting tested for COVID-19, trust in experts, education, and being a Democrat were negatively associated with hesitancy. Conclusions: These findings indicate that some groups of individuals may be more vaccination hesitant because they are more concerned about vaccine safety than COVID-19 infection. Public health messaging that focuses on the risks of vaccines relative to the risks of COVID-19 might be one strategy to reduce hesitancy and increase vaccination uptake. Messaging should also be tailored to specific disabilities (i.e. physical, mental, sensory), written in plain language, and disseminated in accessible formats. © 2021 Elsevier Inc.</t>
  </si>
  <si>
    <t>Myers A., Ipsen C., Lissau A.</t>
  </si>
  <si>
    <t>Disability and Health Journal</t>
  </si>
  <si>
    <t>https://www.scopus.com/inward/record.uri?eid=2-s2.0-85117421763&amp;doi=10.1016%2fj.dhjo.2021.101223&amp;partnerID=40&amp;md5=cd56895a6d588715a6bf30d6b486d786</t>
  </si>
  <si>
    <t>University of Montana, Rural Institute for Inclusive Communities, Missoula, MT  59812, United States</t>
  </si>
  <si>
    <t>Myers, A., University of Montana, Rural Institute for Inclusive Communities, Missoula, MT  59812, United States; Ipsen, C., University of Montana, Rural Institute for Inclusive Communities, Missoula, MT  59812, United States; Lissau, A., University of Montana, Rural Institute for Inclusive Communities, Missoula, MT  59812, United States</t>
  </si>
  <si>
    <t>Myers, A.; University of Montana Rural InstituteUnited States; email: Andrew.myers@mso.umt.edu</t>
  </si>
  <si>
    <t>Cracking IT: Negotiating Working-Class Gender Capital through Group Enterprises in India</t>
  </si>
  <si>
    <t>10.1177/09500170211054951</t>
  </si>
  <si>
    <t>6701670873;6701450498;</t>
  </si>
  <si>
    <t>Digital work is often associated with higher levels of earning and increased social mobility. Working in the digital economy will not benefit all women equally or act as an enabler of broader social change. The article draws attention to the intersection of gender and class in work in the information technology (IT) sector of India, where women have increased their visibility and participation. Through a gender capital approach and intersectional analyses, the article points to the incontrovertible impact of class and gender when women from low-income backgrounds engage in IT-based group enterprises in the state of Kerala. A central insight from the study is the need to disaggregate types of IT work as women’s experiences in IT are shaped by the simultaneity of working practices, intersectional inequalities and gendered behaviours, often with limits to gender capital and spill-over impact on broader gender and social relations. © The Author(s) 2021.</t>
  </si>
  <si>
    <t>Arun S., Arun T.</t>
  </si>
  <si>
    <t>Work, Employment and Society</t>
  </si>
  <si>
    <t>https://www.scopus.com/inward/record.uri?eid=2-s2.0-85121677688&amp;doi=10.1177%2f09500170211054951&amp;partnerID=40&amp;md5=c0348331b1ccff6feea5ff1e36c23d0b</t>
  </si>
  <si>
    <t>Manchester Metropolitan University, United Kingdom; The University of Essex, United Kingdom</t>
  </si>
  <si>
    <t>Arun, S., Manchester Metropolitan University, United Kingdom; Arun, T., The University of Essex, United Kingdom</t>
  </si>
  <si>
    <t>Arun, S.; Manchester Metropolitan UniversityUnited Kingdom; email: s.arun@mmu.ac.uk</t>
  </si>
  <si>
    <t>Creativity Studies Within the European Union: A Bibliometric Analysis</t>
  </si>
  <si>
    <t>10.1080/10400419.2022.2067961</t>
  </si>
  <si>
    <t>55579098500;36053689000;</t>
  </si>
  <si>
    <t>Creativity represents a young and promising academic field of research. Over the last 20 years, creativity publications have been steadily increasing in number. Of the 20 most all-time prolific creativity scholars in the European Union (EU), only one has retired. The present paper aims at mapping the EU creativity research. We analyzed over 12,000 Web of Science records dated back to 1968 until December 2020, using two bibliometric tools, SciMAT and VOSviewer. The descriptive analysis lists the most prolific authors and journals on the creativity area, the most cited articles, as well as the authors’, institutions’, countries’, and research areas’ bibliometric networks. Moreover, this study presents a thematic analysis and an evolution map of the themes based on keywords. The EU scholars were found to establish collaborations based on geographical, cultural, and, maybe, idiomatic proximity. Engineering, computer science, and education &amp; educational research are the most interconnected areas of research. Innovation, performance, creative cities, the neuroscientific study of creativity, and emotions are relevant topics in the area. A broader concept of the creative and collaborative economy, the impact of technology on developing creativity, and the study of the brain with neuroscientific tools may become promising lines for future research. © 2022 Taylor &amp; Francis Group, LLC.</t>
  </si>
  <si>
    <t>De-Marchis G.P., Shchebetenko S.</t>
  </si>
  <si>
    <t>Creativity Research Journal</t>
  </si>
  <si>
    <t>https://www.scopus.com/inward/record.uri?eid=2-s2.0-85131680859&amp;doi=10.1080%2f10400419.2022.2067961&amp;partnerID=40&amp;md5=b5ae2cf67f618797c594902d16936c9d</t>
  </si>
  <si>
    <t>Complutense University of Madrid, Spain; HSE University, Moscow, Russian Federation</t>
  </si>
  <si>
    <t>De-Marchis, G.P., Complutense University of Madrid, Spain; Shchebetenko, S., HSE University, Moscow, Russian Federation</t>
  </si>
  <si>
    <t>De-Marchis, G.P.; Complutense University of Madrid, Despacho 510-3, Avenida, Complutense, s/n, Spain; email: gmarchis@ucm.es</t>
  </si>
  <si>
    <t>Crowdsourcing and its impact on future internet usage [Crowdsourcing und dessen Einfluss auf das zukünftige Internet]</t>
  </si>
  <si>
    <t>10.1524/itit.2013.1005</t>
  </si>
  <si>
    <t>7003867855;57218403122;57196855024;35302321000;</t>
  </si>
  <si>
    <t>Crowdsourcing is an emerging service platform and business model in the Internet. In contrast to outsourcing where a job is performed by a designated contractor, with Crowdsourcing, jobs are outsourced to a large, anonymous crowd of workers, the so-called human cloud. The rise of Crowdsourcing and its seamless integration in current workflows may have a huge impact on the Internet and on society, and will be a guiding paradigm that can form the evolution of work in the years to come. In this article, we discuss applications and use cases of Crowdsourcing to demonstrate the impact on Internet usage. Novel measurement approaches are presented and the impact of Crowdsourcing on Internet traffic is evaluated by measuring the activity of a particular Crowdsourcing platform. New technical solutions are necessary for the operation of efficient, distributed Crowdsourcing platforms. Special attention is drawn to the integration of machine clouds and human crowds, and appropriate inter-cloud solutions. Finally, we discuss current research challenges from a scientific and from the platform provideŕs point of view. © by Oldenbourg Wissenschaftsverlag, München, Germany 2013.</t>
  </si>
  <si>
    <t>2013</t>
  </si>
  <si>
    <t>Tran-Gia P., Hoßfeld T., Hartmann M., Hirth M.</t>
  </si>
  <si>
    <t>IT - Information Technology</t>
  </si>
  <si>
    <t>https://www.scopus.com/inward/record.uri?eid=2-s2.0-84898070029&amp;doi=10.1524%2fitit.2013.1005&amp;partnerID=40&amp;md5=00df7bf4c4293219f0095e15497d1860</t>
  </si>
  <si>
    <t>Julius-Maximilians-Universität Würzburg, Lehrstuhl für Informatik III - Kommunikationsnetze, Würzburg, Germany; University of Würzburg, Department of Distributed Systems, Würzburg, Germany</t>
  </si>
  <si>
    <t>Tran-Gia, P., Julius-Maximilians-Universität Würzburg, Lehrstuhl für Informatik III - Kommunikationsnetze, Würzburg, Germany; Hoßfeld, T., University of Würzburg, Department of Distributed Systems, Würzburg, Germany; Hartmann, M., Julius-Maximilians-Universität Würzburg, Lehrstuhl für Informatik III - Kommunikationsnetze, Würzburg, Germany; Hirth, M., Julius-Maximilians-Universität Würzburg, Lehrstuhl für Informatik III - Kommunikationsnetze, Würzburg, Germany</t>
  </si>
  <si>
    <t>Crowd-Sourcing of Human Judgments of Machine Translation Fluency</t>
  </si>
  <si>
    <t>55032504500;8716547300;35586971600;7003595103;</t>
  </si>
  <si>
    <t>Human evaluation of machine translation quality is a key element in the development of machine translation systems, as automatic metrics are validated through correlation with human judgment. However, achievement of consistent human judgments of machine translation is not easy, with decreasing levels of consistency reported in annual evaluation campaigns. In this paper we describe experiences gained during the collection of human judgments of the fluency of machine translation output using Amazon's Mechanical Turk service. We gathered a large collection of crowd-sourced human judgments for the machine translation systems that participated in the WMT 2012 shared translation task, collected across a range of eight different assessment configurations to gain insight into possible causes of - and remedies for - inconsistency in human judgments. Overall, approximately half of the workers carry out the human evaluation to a high standard, but effectiveness varies considerably across different target languages, with dramatically higher numbers of good quality judgments for Spanish and French, and the reverse observed for German. © Australasian Language Technology Association Workshop 2013, ALTA 2013 - Proceedings. All rights reserved.</t>
  </si>
  <si>
    <t>Graham Y., Baldwin T., Moffat A., Zobel J.</t>
  </si>
  <si>
    <t>Australasian Language Technology Association Workshop 2013, ALTA 2013 - Proceedings</t>
  </si>
  <si>
    <t>https://www.scopus.com/inward/record.uri?eid=2-s2.0-85104229903&amp;partnerID=40&amp;md5=6c880f31dd2d33d30fabe6b7672ff3ee</t>
  </si>
  <si>
    <t>Department of Computing and Information Systems, University of Melbourne, Australia</t>
  </si>
  <si>
    <t>Graham, Y., Department of Computing and Information Systems, University of Melbourne, Australia; Baldwin, T., Department of Computing and Information Systems, University of Melbourne, Australia; Moffat, A., Department of Computing and Information Systems, University of Melbourne, Australia; Zobel, J., Department of Computing and Information Systems, University of Melbourne, Australia</t>
  </si>
  <si>
    <t>Crowdworkers' Temporal Flexibility is Being Traded for the Convenience of Requesters Through 19 'Invisible Mechanisms' Employed by Crowdworking Platforms</t>
  </si>
  <si>
    <t>10.1145/3491101.3519629</t>
  </si>
  <si>
    <t>57209397994;55258058900;22833443900;23391770800;</t>
  </si>
  <si>
    <t>Crowdworking platforms are a prime example of a product that sells flexibility to its consumers. In this paper, we argue that crowdworking platforms sell temporal flexibility to requesters to the detriment of workers. We begin by identifying a list of 19 features employed by crowdworking platforms that facilitate the trade of temporal flexibility from crowdworkers to requesters. Using the list of features, we conduct a comparative analysis of nine crowdworking platforms available to U.S.-based workers, in which we describe key differences and similarities between the platforms. We find that crowdworking platforms strongly favour features that promote requesters' temporal flexibility over workers' by limiting the predictability of workers' working hours and restricting paid time. Further, we identify which platforms employ the highest number of features that facilitate the trade of temporal flexibility from workers to requesters, consequently increasing workers' temporal precarity. We conclude the paper by discussing the implications of the results. © 2022 ACM.</t>
  </si>
  <si>
    <t>Lascau L., Gould S.J.J., Brumby D.P., Cox A.L.</t>
  </si>
  <si>
    <t>Conference on Human Factors in Computing Systems - Proceedings</t>
  </si>
  <si>
    <t>https://www.scopus.com/inward/record.uri?eid=2-s2.0-85129771800&amp;doi=10.1145%2f3491101.3519629&amp;partnerID=40&amp;md5=bd4f007f2a8bdd6a52fec6bc31ebedbd</t>
  </si>
  <si>
    <t>Ucl Interaction Centre, University College London, United Kingdom; School of Computer Science and Informatics, Cardiff University, Wales, United Kingdom</t>
  </si>
  <si>
    <t>Lascau, L., Ucl Interaction Centre, University College London, United Kingdom; Gould, S.J.J., School of Computer Science and Informatics, Cardiff University, Wales, United Kingdom; Brumby, D.P., Ucl Interaction Centre, University College London, United Kingdom; Cox, A.L., Ucl Interaction Centre, University College London, United Kingdom</t>
  </si>
  <si>
    <t>L118</t>
  </si>
  <si>
    <t>Data Consolidation in Global Software Development Projects: A Grounded Theory</t>
  </si>
  <si>
    <t>10.1088/1742-6596/1793/1/012043</t>
  </si>
  <si>
    <t>Effective coordination is a crucial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research is to consolidate the coordination strategies and the related indicators that were extracted from two different sources namely, Systematic Review and Semi-structured interview. Grounded Theory was used for the consolidation of these two sources. The results of this study are a set of coordination strategies and related indicators that will be used to formulate the evaluation to assess the effectiveness of the coordination processes in GSD projects. © Published under licence by IOP Publishing Ltd.</t>
  </si>
  <si>
    <t>https://www.scopus.com/inward/record.uri?eid=2-s2.0-85103092374&amp;doi=10.1088%2f1742-6596%2f1793%2f1%2f012043&amp;partnerID=40&amp;md5=846d84292ac0a6d91f0e95c970198c7e</t>
  </si>
  <si>
    <t>Information Technology Unit, Faculty of Management, Multimedia University, Persiaran Multimedia, Cyberjaya, 63100, Malaysia; Department of Informatics, Razak Faculty of Technology and Informatics, Universiti Teknologi Malaysia, Jalan Sultan Yahya Petra, Kuala Lumpur, 54100, Malaysia</t>
  </si>
  <si>
    <t>Subbarao, A., Information Technology Unit, Faculty of Management, Multimedia University, Persiaran Multimedia, Cyberjaya, 63100, Malaysia; Mahrin, M.N., Department of Informatics, Razak Faculty of Technology and Informatics, Universiti Teknologi Malaysia, Jalan Sultan Yahya Petra, Kuala Lumpur, 54100, Malaysia</t>
  </si>
  <si>
    <t>Delivery Work and the Experience of Social Isolation</t>
  </si>
  <si>
    <t>10.1145/3449138</t>
  </si>
  <si>
    <t>57188575496;26436360800;56012523400;</t>
  </si>
  <si>
    <t>The isolating nature of platform-based work, particularly gig work involving deliveries, has created unintended consequences over how workers engage with peers, friends, family, and society in general. We performed a qualitative study involving interviews with 21 delivery workers in Bangalore, India to understand how workers experienced and responded to social isolation perpetuated by the nature and daily function of their work. We found that the stigma and individual nature of app-based delivery work restricts access to inter-relational and instrumental support. As a response, workers organized peer networks for both companionship and emergency assistance. We analyze how the cultural context of India heightens these experiences, and offer ideas for mitigating the risks of isolation as a result of gig work. © 2021 ACM.</t>
  </si>
  <si>
    <t>Seetharaman B., Pal J., Hui J.</t>
  </si>
  <si>
    <t>Proceedings of the ACM on Human-Computer Interaction</t>
  </si>
  <si>
    <t>https://www.scopus.com/inward/record.uri?eid=2-s2.0-85117966354&amp;doi=10.1145%2f3449138&amp;partnerID=40&amp;md5=457298e926879524255f426331f931d2</t>
  </si>
  <si>
    <t>Independent Researcher, Bangalore, India; Microsoft Research India, Bangalore, India; University Of Michigan, Ann Arbor, United States</t>
  </si>
  <si>
    <t>Seetharaman, B., Independent Researcher, Bangalore, India; Pal, J., Microsoft Research India, Bangalore, India; Hui, J., University Of Michigan, Ann Arbor, United States</t>
  </si>
  <si>
    <t>Dependency and Hardship in the Gig Economy: The Mental Health Consequences of Platform Work</t>
  </si>
  <si>
    <t>10.1177/23780231221082414</t>
  </si>
  <si>
    <t>25636716000;7004000998;</t>
  </si>
  <si>
    <t>The authors investigate the relationship between platform work engagement and worker mental health on the basis of two nationally representative samples of Canadian workers. Integrating insights from the job demands–resources model and Schor’s idea of “platform dependence,” the authors examine whether a dependent attachment to the platform economy is associated with poorer mental health. Multivariate analyses reveal that dependent platform workers report higher levels of psychological distress than secondary platform workers, wage workers, and the traditional self-employed. In contrast to work conditions, which contribute little to these distress patterns, financial strain explains approximately 50 percent of dependent platform workers’ higher distress. Contingency analyses reveal that financial strain also exacerbates the mental health penalties associated with dependent platform work. These findings support a “dependent-precarity” perspective of platform work stress, raising questions about the future health challenges posed by platform work in a postpandemic economy. © The Author(s) 2022.</t>
  </si>
  <si>
    <t>Glavin P., Schieman S.</t>
  </si>
  <si>
    <t>https://www.scopus.com/inward/record.uri?eid=2-s2.0-85127133771&amp;doi=10.1177%2f23780231221082414&amp;partnerID=40&amp;md5=bd2123f3c389b20f6342d71b7d9f0db1</t>
  </si>
  <si>
    <t>McMaster University, Hamilton, ON, Canada; University of Toronto, Toronto, ON, Canada</t>
  </si>
  <si>
    <t>Glavin, P., McMaster University, Hamilton, ON, Canada; Schieman, S., University of Toronto, Toronto, ON, Canada</t>
  </si>
  <si>
    <t>Glavin, P.; McMaster UniversityCanada; email: glavinp@mcmaster.ca</t>
  </si>
  <si>
    <t>Design and Comparative Evaluation of Visualization Onboarding Methods</t>
  </si>
  <si>
    <t>10.1145/3481549.3481558</t>
  </si>
  <si>
    <t>57203940946;57209209428;57192178511;55437457000;14039302500;16302892900;</t>
  </si>
  <si>
    <t>Comprehending and exploring large and complex data is becoming increasingly important for a diverse population of users in a wide range of application domains. Visualization has proven to be well-suited in supporting this endeavor by tapping into the power of human visual perception. However, non-experts in the field of visual analysis often have difficulties in correctly reading and interpreting information from novel visualization idioms. Visualization onboarding can support novices in learning how to use new digital technologies. Therefore, we developed an interactive step-by-step guide and applied the method to four visualization techniques-a bar chart, a horizon graph, a change matrix, and a parallel coordinates plot. Results using Amazon Mechanical Turk workers show that there is a need for onboarding, especially for more complex visualization techniques. We further investigated the perception and rating of a scrollytelling and a video tutorial for the most unfamiliar visualization-the parallel coordinates plot. A comparison between the three onboarding methods indicates that participants appreciated the easy-to-understand examples, the precise wording of the onboarding messages in a step-by-step manner, and the introduction of interaction concepts by highlighting the most relevant information over all onboarding methods. The video tutorial supported the introduction of unknown interaction techniques best. © 2021 Owner/Author.</t>
  </si>
  <si>
    <t>Stoiber C., Walchshofer C., Grassinger F., Stitz H., Streit M., Aigner W.</t>
  </si>
  <si>
    <t>https://www.scopus.com/inward/record.uri?eid=2-s2.0-85120909595&amp;doi=10.1145%2f3481549.3481558&amp;partnerID=40&amp;md5=a53cf40420d9a6664a88ef08be51f7cc</t>
  </si>
  <si>
    <t>St. Poelten Uas, Austria; Jku Linz, Austria; Datavisyn GmbH, Austria</t>
  </si>
  <si>
    <t>Stoiber, C., St. Poelten Uas, Austria; Walchshofer, C., Jku Linz, Austria; Grassinger, F., St. Poelten Uas, Austria; Stitz, H., Datavisyn GmbH, Austria; Streit, M., Jku Linz, Austria; Aigner, W., St. Poelten Uas, Austria</t>
  </si>
  <si>
    <t>Design Opportunities for Freelancing Platforms: Online Freelancers' Views on a Worker-Centred Design Fiction</t>
  </si>
  <si>
    <t>10.1145/3533406.3533410</t>
  </si>
  <si>
    <t>57218864265;55851220100;13008870400;</t>
  </si>
  <si>
    <t>Freelancing platforms, such as Upwork and Fiverr, have become a viable source of work for millions of freelancers worldwide. However, these gig economy systems are not typically designed in ways that centre workers' preferences and wellbeing. In this paper, we describe the development and evaluation of ĝFreelance Grow,' a design fiction portraying a freelancing platform that prioritises freelancers' professional development and peer support. The design fiction was informed by a systematic literature assessment, using recommendations from twenty-six sources for improving online freelancers' experiences. We then used the design fiction in focus groups with 23 online freelancers to investigate their views on the ideas suggested in our design fiction. Based upon a thematic analysis of the focus group transcripts, we present three opportunities and considerations for designing systems that further enable freelancers' work autonomy, entrepreneurial development, and peer support. Ultimately, we contribute an expanded understanding of design approaches to support online freelancers in the gig economy. © 2022 ACM.</t>
  </si>
  <si>
    <t>Alvarez De La Vega J.C., Cecchinato M.E., Rooksby J.</t>
  </si>
  <si>
    <t>https://www.scopus.com/inward/record.uri?eid=2-s2.0-85132364184&amp;doi=10.1145%2f3533406.3533410&amp;partnerID=40&amp;md5=a954dfcc08425c8d51873dfab27c45a9</t>
  </si>
  <si>
    <t>Northumbria University, Newcastle upon Tyne, United Kingdom</t>
  </si>
  <si>
    <t>Alvarez De La Vega, J.C., Northumbria University, Newcastle upon Tyne, United Kingdom; Cecchinato, M.E., Northumbria University, Newcastle upon Tyne, United Kingdom; Rooksby, J., Northumbria University, Newcastle upon Tyne, United Kingdom</t>
  </si>
  <si>
    <t>Detection of Confirmation and Distinction Biases in Visual Analytics Systems</t>
  </si>
  <si>
    <t>10.2312/trvis.20191185</t>
  </si>
  <si>
    <t>57387999600;57387691700;57387773700;57387691800;57221820123;14035040000;</t>
  </si>
  <si>
    <t>Cognitive bias is a systematic error that introduces drifts and distortions in the human judgment in terms of visual decomposition in the direction of the dominant instance. It has a significant role in decision-making process by means of evaluation of data visualizations. This paper elaborates on the experimental depiction of two cognitive bias types, namely Distinction Bias and Confirmation Bias, through the examination of cognate visual experimentations. The main goal of this implementation is to indicate the existence of cognitive bias in visual analytics systems through the adjustment of data visualization and crowdsourcing in terms of confirmation and distinction biases. Two distinct surveys that include biased and unbiased data visualizations which are related to a given data set were established in order to detect and measure the level of existence of introduced bias types. Practice of crowdsourcing which is provided by Amazon Mechanical Turk have been used for experimentation purposes through prepared surveys. Results statistically indicate that both distinction and confirmation biases has substantial effect and prominent significance on decision-making process. © 2019 The Author(s).</t>
  </si>
  <si>
    <t>Nalcaci A., Girgin D., Balki S., Talay F., Boz H.A., Balcisoy S.</t>
  </si>
  <si>
    <t>TrustVis 2019 - EuroVis Workshop on Trustworthy Visualization</t>
  </si>
  <si>
    <t>https://www.scopus.com/inward/record.uri?eid=2-s2.0-85088117585&amp;doi=10.2312%2ftrvis.20191185&amp;partnerID=40&amp;md5=cc1bb8b362f2c9f24b9b4c0a37d55de5</t>
  </si>
  <si>
    <t>Sabanci University, Faculty of Engineering and Natural Sciences, Istanbul, Turkey</t>
  </si>
  <si>
    <t>Nalcaci, A., Sabanci University, Faculty of Engineering and Natural Sciences, Istanbul, Turkey; Girgin, D., Sabanci University, Faculty of Engineering and Natural Sciences, Istanbul, Turkey; Balki, S., Sabanci University, Faculty of Engineering and Natural Sciences, Istanbul, Turkey; Talay, F., Sabanci University, Faculty of Engineering and Natural Sciences, Istanbul, Turkey; Boz, H.A., Sabanci University, Faculty of Engineering and Natural Sciences, Istanbul, Turkey; Balcisoy, S., Sabanci University, Faculty of Engineering and Natural Sciences, Istanbul, Turkey</t>
  </si>
  <si>
    <t>Development and Preliminary Validation of the Gender Inclusive Rape Myth Acceptance Scale</t>
  </si>
  <si>
    <t>10.1177/08862605211055076</t>
  </si>
  <si>
    <t>57363850700;57193086884;</t>
  </si>
  <si>
    <t>Rape myths are widespread and contribute to a rape culture that excuses and normalizes permissive attitudes surrounding rape and sexual assault. To combat rape culture and decrease sexual assault, many programs focus on reducing rape myth acceptance (RMA). To best assess outcomes of such prevention efforts, we must ensure we are accurately measuring this construct. Current RMA scales are decades old and focus almost exclusively on cisgender women. As such, they are outdated and leave out important experiences of cisgender men and gender diverse individuals. The Gender Inclusive Rape Myth Acceptance Scale (GIRMA) was developed to address such limitations in current measures. Two studies were completed to develop and establish preliminary validation of the GIRMA. Study One included 614 adults in the United States, recruited through Amazon's Mechanical Turk; Study Two included 414 adults in the United States, recruited in the same way. An exploratory factor analysis was conducted with an original pool of 73 items that included myths about the experiences of cisgender women, cisgender men, transgender, and gender diverse individuals. Parallel analysis indicated a single factor structure for measuring rape myths. A confirmatory factor analysis was conducted for Study Two, which supported the single-factor approach. These analyses resulted in a concise, robust, inclusive 18-item scale to measure rape myths. Model fit was excellent, as was reliability. Additionally, construct validity was supported through examining the relationship between the GIRMA and previously validated RMA and sexism scales. The GIRMA offers researchers the ability to fully assess the construct of rape myths in a short, psychometrically sound manner. Future research is needed to investigate the reliability of the GIRMA in other populations. © The Author(s) 2021.</t>
  </si>
  <si>
    <t>Urban R.E., Porras Pyland C.</t>
  </si>
  <si>
    <t>https://www.scopus.com/inward/record.uri?eid=2-s2.0-85120717108&amp;doi=10.1177%2f08862605211055076&amp;partnerID=40&amp;md5=039b3c11782d36fad2251dab63aee72b</t>
  </si>
  <si>
    <t>Department of Psychology and Philosophy, Texas Woman’s University, Denton, TX, United States</t>
  </si>
  <si>
    <t>Urban, R.E., Department of Psychology and Philosophy, Texas Woman’s University, Denton, TX, United States; Porras Pyland, C., Department of Psychology and Philosophy, Texas Woman’s University, Denton, TX, United States</t>
  </si>
  <si>
    <t>Urban, R.E.; Department of Psychology and Philosophy, United States; email: rebekaheurban@gmail.com</t>
  </si>
  <si>
    <t>Development and validation of the super-short form of the Five-Factor Narcissism Inventory (FFNI-SSF)</t>
  </si>
  <si>
    <t>10.1016/j.paid.2021.110825</t>
  </si>
  <si>
    <t>57222359479;57221972845;57192661544;56844677500;57072833900;57221972790;57226201835;</t>
  </si>
  <si>
    <t>The Five-Factor Narcissism Inventory (FFNI) has exhibited strong construct validity and is the only measure that captures the three factors associated with recent models of narcissism. Unfortunately, the FFNI and its short form (FFNI-SF) may be too long to use in certain research protocols. To make the FFNI-SF even briefer while maintaining its structure and breadth, the FFNI-SF was administered to 2 samples of undergraduate students (N = 1009, N = 432) and 2 samples of adults recruited from Amazon's Mechanical Turk platform (N = 494, N = 591) along with commonly used measures of narcissism, antisocial behavior, and other related constructs. Fifteen items (one per FFNI subscale) were selected to constitute the FFNI “super-short” form (FFNI-SSF). Exploratory factor analyses of the items supported a three-factor (antagonism, agentic extraversion, and neuroticism) solution consistent with its longer parent instrument. Total, presentation (grandiose and vulnerable), and factor (antagonism, agentic extraversion, and neuroticism) scores showed strong associations with other narcissism measures and external criteria related to narcissism, and all of these relations were virtually identical for the SSF compared to the SF. The FFNI-SSF shows promise as a very brief but multifaceted measure of narcissism grounded in an empirically validated model of personality. © 2021 Elsevier Ltd</t>
  </si>
  <si>
    <t>Packer West M., Miller J.D., Weiss B., Spencer C.C., Crowe M.L., Campbell W.K., Lynam D.R.</t>
  </si>
  <si>
    <t>Personality and Individual Differences</t>
  </si>
  <si>
    <t>https://www.scopus.com/inward/record.uri?eid=2-s2.0-85102461918&amp;doi=10.1016%2fj.paid.2021.110825&amp;partnerID=40&amp;md5=1542fc2a70e6df202ff275a2ec40e165</t>
  </si>
  <si>
    <t>Purdue University, Department of Psychological Sciences, 703 Third Street, West Lafayette, IN  47907, United States; University of Georgia, Department of Psychology, 125 Baldwin Street, Athens, GA  30602, United States; James A. Haley Veterans' Hospital, Mental Health &amp; Behavioral Sciences Service, 13000 Bruce B Downs Blvd, Tampa, FL  33612, United States</t>
  </si>
  <si>
    <t>Packer West, M., Purdue University, Department of Psychological Sciences, 703 Third Street, West Lafayette, IN  47907, United States; Miller, J.D., University of Georgia, Department of Psychology, 125 Baldwin Street, Athens, GA  30602, United States; Weiss, B., University of Georgia, Department of Psychology, 125 Baldwin Street, Athens, GA  30602, United States; Spencer, C.C., James A. Haley Veterans' Hospital, Mental Health &amp; Behavioral Sciences Service, 13000 Bruce B Downs Blvd, Tampa, FL  33612, United States; Crowe, M.L., University of Georgia, Department of Psychology, 125 Baldwin Street, Athens, GA  30602, United States; Campbell, W.K., University of Georgia, Department of Psychology, 125 Baldwin Street, Athens, GA  30602, United States; Lynam, D.R., Purdue University, Department of Psychological Sciences, 703 Third Street, West Lafayette, IN  47907, United States</t>
  </si>
  <si>
    <t>Lynam, D.R.; Purdue University, 703 Third Street, United States; email: dlynam@purdue.edu</t>
  </si>
  <si>
    <t>Differential impacts of economic and demographic variables on substance use patterns during the COVID-19 pandemic</t>
  </si>
  <si>
    <t>10.1080/00952990.2021.1984492</t>
  </si>
  <si>
    <t>57467504200;57466784600;57218281786;57467504300;57467645300;7003286497;6603049193;7101969531;</t>
  </si>
  <si>
    <t>Background: The COVID-19 pandemic and subsequent economic crisis has provided a unique opportunity to investigate the effects of economic shifts on substance use. Existing literature on this relationship is limited and conflicting, warranting further exploration. Objective: This study aimed to identify relationships between socioeconomic status (SES), demographic variables, and substance use patterns before and after government-mandated business closures due to COVID-19. Methods: Participants were recruited based on self-reported substance use through Amazon’s Mechanical Turk (MTurk). Qualifying participants (N = 315, 43% female, mean age = 35.35) reported their substance use and SES for two-week periods before and after pandemic-related business closures. Regression models analyzed relationships between substance use and study variables. Results: Regression models found that, during COVID-19 closures, greater financial strain predicted decreased benzodiazepine (β = −1.12) and tobacco (β = 1.59) use. Additionally, certain predictor variables (e.g., participants’ age [β = 1.22], race [β = −4.43], psychiatric disorders including ADHD [β = −2.73] and anxiety [β = 1.53], and concomitant substance use [β = 3.38]) predicted changes in substance use patterns; however, the directionality of these associations varied across substances. Conclusion: Specific substance use patterns were significantly and differentially impacted by economic strain, psychiatric diagnoses, and concomitant substance use. These results can help direct harm reduction efforts toward populations at greatest risk of harmful substance use following the pandemic. © 2022 Taylor &amp; Francis Group, LLC.</t>
  </si>
  <si>
    <t>Turner B.W., Cox D.H., Shellenberg T.P., Katz N.R., Lundie B.A., Lile J.A., Stoops W.W., Rush C.R.</t>
  </si>
  <si>
    <t>American Journal of Drug and Alcohol Abuse</t>
  </si>
  <si>
    <t>https://www.scopus.com/inward/record.uri?eid=2-s2.0-85125260677&amp;doi=10.1080%2f00952990.2021.1984492&amp;partnerID=40&amp;md5=77099d32f536405a375f06d52dab2cf0</t>
  </si>
  <si>
    <t>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</si>
  <si>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Turner, B.W., Department of Behavioral Science, University of Kentucky College of Medicine, Lexington, KY, United States; Cox, D.H., Department of Behavioral Science, University of Kentucky College of Medicine, Lexington, KY, United States; Shellenberg, T.P., Department of Behavioral Science, University of Kentucky College of Medicine, Lexington, KY, United States; Katz, N.R., Department of Behavioral Science, University of Kentucky College of Medicine, Lexington, KY, United States; Lundie, B.A., Department of Behavioral Science, University of Kentucky College of Medicine, Lexington, KY, United States; Lile, J.A.,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Stoops, W.W.,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Rush, C.R.,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</si>
  <si>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Rush, C.R.; Departments of Behavioral Science, United States; email: crush2@email.uky.edu</t>
  </si>
  <si>
    <t>Digital transformation in Nigeria: The prospects and challenges of the gig economy</t>
  </si>
  <si>
    <t>10.1109/NIGERCON54645.2022.9803148</t>
  </si>
  <si>
    <t>57202943308;57796513300;57202046014;</t>
  </si>
  <si>
    <t>Rapid digital transformation has changed the way of life of humans and reshaped the global economy. Internet connectivity has drastically changed work as communication technologies and digital platforms have enabled the availability, execution and delivery of work from anywhere in the world. This study focused on unveiling the country-specific potentials and challenges of the gig economy in Nigeria, especially among the youth population. The study adopted the survey research design using online forms for data collection. The study population were undergraduate students of the Federal University of Technology, Akure, comprising only the internet savvy who were actively participating in the gig economy. Research data were analyzed using descriptive statistics. The study revealed a male to female respondents ratio of 78:22. However, the findings showed no significant relationship between respondents' gender and acceptability of the gig economy. The greatest challenge faced by gig workers in Nigeria is poor electricity power supply and internet access. 67% of the respondents are involved in freelancing. Half of the study population earns below 20,000 Naira monthly from gig work. Most of the respondents were engaged in the gig economy for 'flexibility' and 'more money' and were willing to take up gig work as full-time employment. The study recommends the establishment of a regulatory body to guide operational standards for both organizations and gig workers, control pricing and improve payment platforms in Nigeria. That would help build trust and encourage international work relationships, thereby harnessing the full potential of the gig economy. © 2022 IEEE.</t>
  </si>
  <si>
    <t>Olorundare J.K., Olowe A., Olorundare A.O.</t>
  </si>
  <si>
    <t>Proceedings of the 2022 IEEE Nigeria 4th International Conference on Disruptive Technologies for Sustainable Development, NIGERCON 2022</t>
  </si>
  <si>
    <t>https://www.scopus.com/inward/record.uri?eid=2-s2.0-85133961842&amp;doi=10.1109%2fNIGERCON54645.2022.9803148&amp;partnerID=40&amp;md5=9b4a8202095a313e82db125c8087ce46</t>
  </si>
  <si>
    <t>Nigerian Communications Commission, Next Generation Technologies Unit, Abuja, Nigeria; Open Technology Foundation, Open Standards, Lagos, Nigeria; National Open University of Nigeria, Information Technology Department, Abuja, Nigeria</t>
  </si>
  <si>
    <t>Olorundare, J.K., Nigerian Communications Commission, Next Generation Technologies Unit, Abuja, Nigeria; Olowe, A., Open Technology Foundation, Open Standards, Lagos, Nigeria; Olorundare, A.O., National Open University of Nigeria, Information Technology Department, Abuja, Nigeria</t>
  </si>
  <si>
    <t>Digitally Distanced Inspection &amp; Maintenance at Drilling Rigs: Applied Augmented Reality</t>
  </si>
  <si>
    <t>10.2118/207284-MS</t>
  </si>
  <si>
    <t>57201309808;57563015700;57564279800;</t>
  </si>
  <si>
    <t>For drilling contractors, the moment of truth is the operations at the site. If the technician at the site encounters a problem he can't solve, then everything stops. The team has to wait for a subject matter expert (SME) to arrive at the site to diagnose rectify the problem. Such process of SME mobilization and till that time Non-Productive Time (NPT) results in loss of hundreds of thousands of dollars. Hence the key challenge is converting the Sparse to Adequate availability of Right Knowledge at Right Time at Right Place, for the support of technicians. This paper is focused on the approach of moving from Hand Held devices to Hands-Free environment at sites and connecting local/global support to site support systems, to reduce cost, improve HSE and enhance operational performance. The augmented reality technology-enabled, smart glass laced headsets are rugged, zone 1 certified, and are voice-operated which are better than smart tablets which were considered during Technology Qualification Process. Evaluation criteria were: 1. Availability and follow up of the digital work instruction while operating. Moreover, not missing a single step of work instruction while inspection or maintenance continues was noted carefully. 2. Reduced travel/accommodation cost: Normally at the time of shutdown, the rig crew contacts subject matter experts (SME) and (at times) in turn the SME contacts the OEM support team to mobilize service engineers globally. 3. Response time improvement-Availability of support by SME right at the time of need results from better response time to diagnose and fix the issue at hand. Call logging till final resolution process improvement is considered an important metric. Travel restrictions imposed by Covid-19, are also being addressed through the distanced inspection. A hands-free environment is compared vis a vis handheld device. Better training and knowledge transfer are achieved through better communication methods and this goes better with learning by doing. Subsequent text (NLP-speech to text) analysis is planned through deep learning models to derive related predictions. Sparse to Adequate availability of support to rig staff with Right Knowledge at Right Place at Right Time is the key outcome of this Proof of Value project. © Copyright 2021, Society of Petroleum Engineers</t>
  </si>
  <si>
    <t>Dash D.K., Nair D.C., Potluri S.</t>
  </si>
  <si>
    <t>Society of Petroleum Engineers - Abu Dhabi International Petroleum Exhibition and Conference, ADIP 2021</t>
  </si>
  <si>
    <t>https://www.scopus.com/inward/record.uri?eid=2-s2.0-85127670693&amp;doi=10.2118%2f207284-MS&amp;partnerID=40&amp;md5=6fc7c1701e3e2c64a46d0d203df141b2</t>
  </si>
  <si>
    <t>ADNOC Drilling</t>
  </si>
  <si>
    <t>Dash, D.K., ADNOC Drilling; Nair, D.C., ADNOC Drilling; Potluri, S., ADNOC Drilling</t>
  </si>
  <si>
    <t>Discrimination in the gig economy: the experiences of black online English teachers</t>
  </si>
  <si>
    <t>10.1080/09500782.2021.1981928</t>
  </si>
  <si>
    <t>57200529890;</t>
  </si>
  <si>
    <t>This article examines the rapidly expanding market for online English learning and tutoring. It focuses on the experiences of Black American online English teachers employed on a variety of popular online teaching platforms (e.g. Cambly, italki, PalFish, VIPKid etc.). Specifically, the article considers how specific affordances of online English teaching platforms (e.g. customer ratings and algorithms) function to disadvantage non-White teachers. In order to address these issues, the article brings together two relevant but distinct literatures: scholarship on language ideologies and scholarship on algorithms and the gig economy. The data analyzed include: Semi-structured interviews with Black online English teachers; the websites of popular teaching platforms; and posts in public Reddit threads focused on online English teaching. The findings demonstrate how Black teachers experience the intersection of customer-based ratings and algorithms within the burgeoning online English teaching industry. The article concludes by advocating for scholars to more systematically engage with and study online tutoring platforms’ use of rating and algorithms. © 2021 Informa UK Limited, trading as Taylor &amp; Francis Group.</t>
  </si>
  <si>
    <t>Curran N.M.</t>
  </si>
  <si>
    <t>Language and Education</t>
  </si>
  <si>
    <t>https://www.scopus.com/inward/record.uri?eid=2-s2.0-85116430434&amp;doi=10.1080%2f09500782.2021.1981928&amp;partnerID=40&amp;md5=51f96f2775945dfbe19a31d2f70dd53d</t>
  </si>
  <si>
    <t>Department of English and Communication, The Hong Kong Polytechnic University, Kowloon, Hong Kong</t>
  </si>
  <si>
    <t>Curran, N.M., Department of English and Communication, The Hong Kong Polytechnic University, Kowloon, Hong Kong</t>
  </si>
  <si>
    <t>Curran, N.M.; Department of English and Communication, Room AG428 Chung Sze Yuen Building, Hong Kong</t>
  </si>
  <si>
    <t>Do book consumers discriminate against Black, female, or young authors?</t>
  </si>
  <si>
    <t>10.1371/journal.pone.0267537</t>
  </si>
  <si>
    <t>15830693300;22834943200;</t>
  </si>
  <si>
    <t>The publishing industry shows marked evidence of both gender and racial discrimination. A rational explanation for this difference in treatment of both female and Black authors might relate to the taste-based preferences of book consumers, who might be less willing to pay for books by such authors. We ran a randomized experiment to test for the presence of discriminatory preferences by consumers based on authors’ race, gender and/or age. We collected ratings of 25,201 book surveys across 9,072 subjects on Amazon’s Mechanical Turk, making this study the largest experimental study of the book market to date. Subjects were presented with mocked-up book covers and descriptions from each of 14 fiction and non-fiction genres, with one of three possible titles per book randomly assigned. Using author names and photographs, we signaled authors’ race, gender, and age and randomly assigned these combinations to each book presented to our subjects. We then asked subjects to rate their interest in purchasing the book, their evaluation of the author’s credentials, and the amount they were willing to pay for the book. The experimental design of this study strived to eliminate the potential for proxy-based discrimination by providing book descriptions that detailed the authors’ relevant professional experience. The large sample allowed for exploration of various types of taste-based discrimination observed in the literature, including discrimination against particular groups, homophily, and pro-social behavior. Overall, book consumers showed a willingness to pay approximately $0.50 or 3.5% more on average for books by Black authors and little, if any, practically meaningful discrimination based on age or gender. In other words, our study finds no and even contrary evidence of taste-based preferences by consumers that would rationalize the historic discriminatory treatment of Black or of female authors by publishers nor of discrimination based on an author’s age. Copyright: © 2022 Weinberg, Kapelner. This is an open access article distributed under the terms of the Creative Commons Attribution License, which permits unrestricted use, distribution, and reproduction in any medium, provided the original author and source are credited.</t>
  </si>
  <si>
    <t>Weinberg D.B., Kapelner A.</t>
  </si>
  <si>
    <t>https://www.scopus.com/inward/record.uri?eid=2-s2.0-85132017074&amp;doi=10.1371%2fjournal.pone.0267537&amp;partnerID=40&amp;md5=1bd1cfef253f45d0cb8fdf9b03943be0</t>
  </si>
  <si>
    <t>Department of Sociology, Queens College, CUNY, Queens, NY, United States; Department of Mathematics, Queens College, CUNY, Queens, NY, United States</t>
  </si>
  <si>
    <t>Weinberg, D.B., Department of Sociology, Queens College, CUNY, Queens, NY, United States; Kapelner, A., Department of Mathematics, Queens College, CUNY, Queens, NY, United States</t>
  </si>
  <si>
    <t>Weinberg, D.B.; Department of Sociology, United States; email: Dana.Weinberg@qc.cuny.edu</t>
  </si>
  <si>
    <t>Do MOOCs Make You More Marketable? An Experimental Analysis of the Value of MOOCs Relative to Traditional Credentials and Experience</t>
  </si>
  <si>
    <t>10.1177/2332858420973577</t>
  </si>
  <si>
    <t>57320527000;56029762600;55764444100;</t>
  </si>
  <si>
    <t>Massive open online courses (MOOCs) are marketed as opportunities for participants to improve their labor market outcomes, and tens of thousands of students have paid for career-focused MOOC certificate programs. However, there is limited and conflicting research on MOOCs and labor market outcomes. Using two randomized control trials, we test Amazon’s Mechanical Turk respondents’ preferences for hiring hypothetical freelance web developers. In the first experiment, we examine preferences for profiles with MOOCs as compared to profiles with traditional degrees (bachelor’s, associates, and community college certificates). Respondents preferred all traditional degrees over a MOOC; MOOCs do not serve as substitutes for traditional postsecondary credentials. In the second experiment, we examine preferences for MOOCs as compared to no listed credential. Results demonstrate a 61–percentage point preference for MOOC credentials compared to no MOOC credential; the preference does not vary across levels of professional experience. © The Author(s) 2020.</t>
  </si>
  <si>
    <t>Rivas M.J., Baker R.B., Evans B.J.</t>
  </si>
  <si>
    <t>AERA Open</t>
  </si>
  <si>
    <t>https://www.scopus.com/inward/record.uri?eid=2-s2.0-85110379222&amp;doi=10.1177%2f2332858420973577&amp;partnerID=40&amp;md5=8589566c472f4932e6a6b23223081310</t>
  </si>
  <si>
    <t>University of California, Irvine, United States; Vanderbilt University, United States</t>
  </si>
  <si>
    <t>Rivas, M.J., Vanderbilt University, United States; Baker, R.B., University of California, Irvine, United States; Evans, B.J., Vanderbilt University, United States</t>
  </si>
  <si>
    <t>Do Readers Judge Books by Author Gender? Results from a Randomized Experiment</t>
  </si>
  <si>
    <t>10.1177/2378023119868893</t>
  </si>
  <si>
    <t>22834943200;15830693300;</t>
  </si>
  <si>
    <t>We run a randomized experiment to examine gender discrimination in book purchasing with 2,544 subjects on Amazon’s Mechanical Turk. We manipulate author gender and book genre in a factorial design to study consumer preferences for male versus female versus androgynous authorship. Despite previous findings in the literature showing gender discrimination in book publishing and in evaluations of work, respondents expressed no gender preference across a variety of measures, including quality, interest, and the amount they were willing to pay to purchase the book. This nonfinding, if it holds up to additional research, suggests that book consumers may not express the same discriminatory tendencies observed among indie and traditional publishers. © SAGE Publications Inc.. All rights reserved.</t>
  </si>
  <si>
    <t>Kapelner A., Weinberg D.</t>
  </si>
  <si>
    <t>https://www.scopus.com/inward/record.uri?eid=2-s2.0-85132024647&amp;doi=10.1177%2f2378023119868893&amp;partnerID=40&amp;md5=1182e31f6bd59b4804a092044bbe0d3e</t>
  </si>
  <si>
    <t>Queens College, City University of New York, Queens, NY, United States</t>
  </si>
  <si>
    <t>Kapelner, A., Queens College, City University of New York, Queens, NY, United States; Weinberg, D., Queens College, City University of New York, Queens, NY, United States</t>
  </si>
  <si>
    <t>Kapelner, A.; Department of Mathematics, Kiely Hall Room 604, 65-30 Kissena Blvd, United States; email: kapelner@qc.cuny.edu</t>
  </si>
  <si>
    <t>Do you hear what I hear?: A comparison of police officer and civilian fairness judgments through procedural justice</t>
  </si>
  <si>
    <t>10.1080/1068316X.2021.1900179</t>
  </si>
  <si>
    <t>55577996600;6507099839;</t>
  </si>
  <si>
    <t>Procedural justice theory posits that people care at least as much about how a decision was made as they do about the outcome. Although policymakers and researchers argue that procedural justice-based interventions can improve police-civilian interactions, little research has examined how authorities evaluate decision-making processes. This research examined whether police officers and civilians evaluate fairness in police-civilian encounters through the same mechanisms. 69 police officer and 113 civilian participants, recruited through Qualtrics professional panels and Amazon’s Mechanical Turk respectively, read a vignette describing a police-civilian interaction in which the civilian explained why they violated the law (procedural justice) or were interrupted by the officer (procedural injustice) and made evaluations of the interaction. Multiple-group analyses using bootstrapping revealed that both police officers and civilians rated the procedural justice condition as more fair because they rated the officer as more respectful and trustworthy and because they perceived the civilian had more voice than in the procedural injustice condition. Further, direct and indirect pathways through respect were not present when police officer pathways were allowed to vary, suggesting police may rely on social information differently than civilians. © 2021 Informa UK Limited, trading as Taylor &amp; Francis Group.</t>
  </si>
  <si>
    <t>Hazen K.P., Brank E.M.</t>
  </si>
  <si>
    <t>https://www.scopus.com/inward/record.uri?eid=2-s2.0-85102934909&amp;doi=10.1080%2f1068316X.2021.1900179&amp;partnerID=40&amp;md5=87747e5d3d54e74942e298732e98ea1f</t>
  </si>
  <si>
    <t>Psychology, University of Nebraska-Lincoln, Lincoln, United States</t>
  </si>
  <si>
    <t>Hazen, K.P., Psychology, University of Nebraska-Lincoln, Lincoln, United States; Brank, E.M., Psychology, University of Nebraska-Lincoln, Lincoln, United States</t>
  </si>
  <si>
    <t>Hazen, K.P.; Psychology, 238 Brunett Hall, United States; email: khazen3@huskers.unl.edu</t>
  </si>
  <si>
    <t>Domain-specific text dictionaries for text analytics</t>
  </si>
  <si>
    <t>10.1007/s41060-022-00344-x</t>
  </si>
  <si>
    <t>56050707800;7005893610;</t>
  </si>
  <si>
    <t>We investigate the use of sentiment dictionaries to estimate sentiment for large document collections. Our goal in this paper is a semiautomatic method for extending a general sentiment dictionary for a specific target domain in a way that minimizes manual effort. General sentiment dictionaries may not contain terms important to the target domain or may score terms in ways that are inappropriate for the target domain. We combine statistical term identification and term evaluation using Amazon Mechanical Turk to extend the EmoLex sentiment dictionary to a domain-specific study of dengue fever. The same approach can be applied to any term-based sentiment dictionary or target domain. We explain how terms are identified for inclusion or re-evaluation and how Mechanical Turk generates scores for the identified terms. Examples are provided that compare EmoLex sentiment estimates before and after it is extended. We conclude by describing how our sentiment estimates can be integrated into an epidemiology surveillance system that includes sentiment visualization and discussing the strengths and limitations of our work. © 2022, The Author(s), under exclusive licence to Springer Nature Switzerland AG.</t>
  </si>
  <si>
    <t>Villanes A., Healey C.G.</t>
  </si>
  <si>
    <t>International Journal of Data Science and Analytics</t>
  </si>
  <si>
    <t>https://www.scopus.com/inward/record.uri?eid=2-s2.0-85134239714&amp;doi=10.1007%2fs41060-022-00344-x&amp;partnerID=40&amp;md5=fbc15dd735951dfc38e044dcc0179f56</t>
  </si>
  <si>
    <t>Department of Computer Science and Institute for Advanced Analytics, North Carolina State University, 890 Oval Drive, Raleigh, NC  27695-8206, United States</t>
  </si>
  <si>
    <t>Villanes, A., Department of Computer Science and Institute for Advanced Analytics, North Carolina State University, 890 Oval Drive, Raleigh, NC  27695-8206, United States; Healey, C.G., Department of Computer Science and Institute for Advanced Analytics, North Carolina State University, 890 Oval Drive, Raleigh, NC  27695-8206, United States</t>
  </si>
  <si>
    <t>Healey, C.G.; Department of Computer Science and Institute for Advanced Analytics, 890 Oval Drive, United States; email: healey@ncsu.edu</t>
  </si>
  <si>
    <t>Dragoon: Private decentralized hits made practical</t>
  </si>
  <si>
    <t>10.1109/ICDCS47774.2020.00084</t>
  </si>
  <si>
    <t>57203225373;57192808992;55738657700;</t>
  </si>
  <si>
    <t>—With the rapid popularity of blockchain, decentralized human intelligence tasks (HITs) are proposed to crowdsource human knowledge without relying on vulnerable third-party platforms. However, the inherent limits of blockchain cause decentralized HITs to face a few “new” challenges. For example, the confidentiality of solicited data turns out to be the sine qua non, though it was an arguably dispensable property in the centralized setting. To ensure the “new” requirement of data privacy, existing decentralized HITs use generic zero-knowledge proof frameworks (e.g., SNARK), but scarcely perform well in practice, due to the inherently expensive cost of generality. We present a practical decentralized protocol for HITs, which also achieves the fairness between requesters and workers. At the core of our contributions, we avoid the powerful yet highly-costly generic zk-proof tools and propose a special-purpose scheme to prove the quality of encrypted data. By various nontrivial statement reformations, proving the quality of encrypted data is reduced to efficient verifiable decryption, thus making decentralized HITs practical. Along the way, we rigorously define the ideal functionality of decentralized HITs and then prove the security due to the ideal/real paradigm. We further instantiate our protocol to implement a system called Dragoon1, an instance of which is deployed atop Ethereum to facilitate an image annotation task used by ImageNet. Our evaluations demonstrate its practicality: the on-chain handling cost of Dragoon is even less than the handling fee of Amazon’s Mechanical Turk for the same ImageNet HIT. ©2020 IEEE</t>
  </si>
  <si>
    <t>Lu Y., Tang Q., Wang G.</t>
  </si>
  <si>
    <t>Proceedings - International Conference on Distributed Computing Systems</t>
  </si>
  <si>
    <t>https://www.scopus.com/inward/record.uri?eid=2-s2.0-85101859835&amp;doi=10.1109%2fICDCS47774.2020.00084&amp;partnerID=40&amp;md5=8dc34a2cca1249692b5b0e7e243063fc</t>
  </si>
  <si>
    <t>New Jersey Institute of Technology, United States; JDD-NJIT-ISCAS Joint Blockchain Lab</t>
  </si>
  <si>
    <t>Lu, Y., New Jersey Institute of Technology, United States; Tang, Q., New Jersey Institute of Technology, United States, JDD-NJIT-ISCAS Joint Blockchain Lab; Wang, G., New Jersey Institute of Technology, United States</t>
  </si>
  <si>
    <t>Dreaddit: A reddit dataset for stress analysis in social media</t>
  </si>
  <si>
    <t>57219500677;56269175400;</t>
  </si>
  <si>
    <t>Stress is a nigh-universal human experience, particularly in the online world. While stress can be a motivator, too much stress is associated with many negative health outcomes, making its identification useful across a range of domains. However, existing computational research typically only studies stress in domains such as speech, or in short genres such as Twitter. We present Dreaddit, a new text corpus of lengthy multi-domain social media data for the identification of stress. Our dataset consists of 190K posts from five different categories of Reddit communities; we additionally label 3.5K total segments taken from 3K posts using Amazon Mechanical Turk. We present preliminary supervised learning methods for identifying stress, both neural and traditional, and analyze the complexity and diversity of the data and characteristics of each category. © 2019 Association for Computational Linguistics</t>
  </si>
  <si>
    <t>Turcan E., McKeown K.</t>
  </si>
  <si>
    <t>LOUHI@EMNLP 2019 - 10th International Workshop on Health Text Mining and Information Analysis, Proceedings</t>
  </si>
  <si>
    <t>https://www.scopus.com/inward/record.uri?eid=2-s2.0-85095063162&amp;partnerID=40&amp;md5=925046ac5d010e5c4ac5f6b75fdf52be</t>
  </si>
  <si>
    <t>Columbia University, Department of Computer Science, United States</t>
  </si>
  <si>
    <t>Turcan, E., Columbia University, Department of Computer Science, United States; McKeown, K., Columbia University, Department of Computer Science, United States</t>
  </si>
  <si>
    <t>Dynamism and realignment in the HR architecture: Online labor platform ecosystems and the key role of contractors</t>
  </si>
  <si>
    <t>10.1002/hrm.22120</t>
  </si>
  <si>
    <t>7005603470;55512762100;</t>
  </si>
  <si>
    <t>Given the widespread contribution of independent contractors to organizational innovation and competitive advantage, it is timely to reassess assumptions about the HRM practices appropriate to their management and the rationale for organizations to work with them. In the original and highly influential HR architecture model of Lepak and Snell (1999), contractor status is viewed as an outcome of the low value and/or low uniqueness of human capital resulting in the proposition to externalize and manage them using either none or minimal compliance-based HRM practices. Developments in digital technologies and algorithmic management epitomized by online labor platforms prompt us to reconsider these assumptions and to challenge the proposed links between value/uniqueness of human capital, employment mode and HRM practices that are assumed by the HR architecture model. Using insights from online labor platforms, we argue that the significant benefits to firms of working with contractors, coupled with the possibilities offered by algorithmic management to efficiently monitor and regulate their behavior, provide a compelling reason for organizations to choose external employment modes even when workers are key to value creation. We challenge the alignment and stability of the relationships proposed by the HR architecture model, and offer propositions to extend the model by reconsidering the rationale for, and nature of, HRM practices associated with contractors. This reassessment is both timely and relevant given the growing prominence of business models where externalizing workers is central alongside the development of new forms of algorithmic human resource management to control them. © 2022 The Authors. Human Resource Management published by Wiley Periodicals LLC.</t>
  </si>
  <si>
    <t>Keegan A., Meijerink J.</t>
  </si>
  <si>
    <t>Human Resource Management</t>
  </si>
  <si>
    <t>https://www.scopus.com/inward/record.uri?eid=2-s2.0-85130223818&amp;doi=10.1002%2fhrm.22120&amp;partnerID=40&amp;md5=c2582b2dba9fd2fcd1a95c0f04e883b5</t>
  </si>
  <si>
    <t>Human Resource Management and Employment Relations Group, College of Business, University College Dublin, Dublin, Ireland; HRM, University of Twente, Enschede, Netherlands</t>
  </si>
  <si>
    <t>Keegan, A., Human Resource Management and Employment Relations Group, College of Business, University College Dublin, Dublin, Ireland; Meijerink, J., HRM, University of Twente, Enschede, Netherlands</t>
  </si>
  <si>
    <t>Keegan, A.; Human Resource Management and Employment Relations Group, Ireland; email: anne.keegan@ucd.ie</t>
  </si>
  <si>
    <t>E-consults and Feminist Analyses of the Gig Economy</t>
  </si>
  <si>
    <t>10.1353/hpu.2022.0045</t>
  </si>
  <si>
    <t>57687343000;</t>
  </si>
  <si>
    <t>[No abstract available]</t>
  </si>
  <si>
    <t>Brennan V.M.</t>
  </si>
  <si>
    <t>Journal of Health Care for the Poor and Underserved</t>
  </si>
  <si>
    <t>https://www.scopus.com/inward/record.uri?eid=2-s2.0-85130021243&amp;doi=10.1353%2fhpu.2022.0045&amp;partnerID=40&amp;md5=2e7a6eb0e6ddb6a9d9cd25a274f9cf5b</t>
  </si>
  <si>
    <t>Meharry Medical College, United States</t>
  </si>
  <si>
    <t>Brennan, V.M., Meharry Medical College, United States</t>
  </si>
  <si>
    <t>Brennan, V.M.; Meharry Medical CollegeUnited States</t>
  </si>
  <si>
    <t>Encouraging Hearing Loss Prevention in Music Listeners Using Personalized Technology: Questionnaire Study</t>
  </si>
  <si>
    <t>10.2196/24903</t>
  </si>
  <si>
    <t>57808933800;</t>
  </si>
  <si>
    <t>Background: Noise-induced hearing loss (NIHL) affects millions of people despite being almost completely preventable. For recreational music listening through personal listening equipment (such as earbuds), it seems that listeners do not yet have a way to accurately assess their risk of developing hearing loss and prevent it accordingly. Objective: The aim of this study is to analyze the perceived utility of a hypothetical device that encourages NIHL prevention based on listeners' exposure to noise and to determine the most effective methods of such encouragement. Here, we describe 3 different potential NIHL risk notification method types, as follows: auditory, external visual, and visual. Methods: An open, web-based survey was created on Google Forms, and the link was posted to Amazon's Mechanical Turk as well as music-related Reddit communities. The survey was designed to gauge each respondent's self-assessed NIHL awareness, willingness to lower their audio if reminded, and NIHL risk notification type preference. The likelihood of a specific notification type to encourage NIHL prevention among its users was based on the average of each user's responses to 2 survey questions. Data collection started on July 13, 2020, and ended on July 17, 2020. Results: Of the 116 respondents, 92 (79.3%) reported having prior awareness about NIHL; however, 60 (51.7%) described doing nothing to prevent it despite 96 (82.8%) feeling a moderate, high, or extreme risk of developing NIHL. Of those who already prevented NIHL, 96% (53.5/56) described using estimates to guide their prevention instead of using data. A Kruskal-Wallis test corrected for ties showed that despite the visual NIHL risk notification type being selected by the highest number of participants (84/116, 72.4%), the auditory type had a significantly higher (H1=6.848; P = .03) average percentage likelihood of encouraging NIHL prevention (62%, SD 24%) among the 40 respondents who chose it, with a median likelihood of 56% (95% CI 50%-75%). The visual type's average likelihood was 50% (SD 28.1%), with a median of 50% (95% CI 37.5%-56.3%). Regardless of the NIHL risk notification type, 69% (80/116) of respondents were not opposed to using NIHL risk notifications and lowering their audio volume accordingly. Conclusions: The hypothetical device detailed here was thought to be useful because most respondents (82.8%, 96/116) felt an extreme to moderate risk of developing NIHL and such a device could provide accurate data to those who currently use estimates to prevent NIHL, and most respondents were willing to act on NIHL risk notifications. The most effective NIHL risk notification type seemed to be the auditory type, but many aspects of this study need further research to determine which implementation method should reach the public. © Dylan Tianyu Zhu</t>
  </si>
  <si>
    <t>Zhu D.T.</t>
  </si>
  <si>
    <t>JMIR Formative Research</t>
  </si>
  <si>
    <t>https://www.scopus.com/inward/record.uri?eid=2-s2.0-85134365872&amp;doi=10.2196%2f24903&amp;partnerID=40&amp;md5=a40c8572aed62289dae71a0ab4578b49</t>
  </si>
  <si>
    <t>Blair Academy, Blairstown, NJ, United States</t>
  </si>
  <si>
    <t>Zhu, D.T., Blair Academy, Blairstown, NJ, United States</t>
  </si>
  <si>
    <t>Zhu, D.T.; Blair Academy, 2 Park St., United States; email: dylan.zhu.research@gmail.com</t>
  </si>
  <si>
    <t>Enforceability of rights in the temporary agency sector: The case of Belgium</t>
  </si>
  <si>
    <t>10.1177/0143831X211017227</t>
  </si>
  <si>
    <t>56979220800;56316013200;16511941600;</t>
  </si>
  <si>
    <t>This study explores why temporary agency workers are disadvantaged compared to regular workers regarding their employment-related and social rights in Belgium despite extensive equal rights regulation. Fifteen in-depth interviews among temporary agency workers were analysed thematically. The enforceability of rights poses the main problem in temporary agency workers’ disadvantaged position. The following manifestations of a lack of enforceability are discussed: (1) lack of enforceability due to ignorance and indifference about rights; (2) vulnerability hindering enforceability; and (3) lack of enforceability due to misuse by employers and cutting corners. It is argued that this problem of enforceability is mainly caused by a lack of a clear allocation of responsibilities as to who should ensure the rights of temporary agency workers. © The Author(s) 2021.</t>
  </si>
  <si>
    <t>Bosmans K., De Moortel D., Vanroelen C.</t>
  </si>
  <si>
    <t>Economic and Industrial Democracy</t>
  </si>
  <si>
    <t>https://www.scopus.com/inward/record.uri?eid=2-s2.0-85106657752&amp;doi=10.1177%2f0143831X211017227&amp;partnerID=40&amp;md5=4b4089ffff3d94e5a21bca60bde088c8</t>
  </si>
  <si>
    <t>Interface Demography, Department of Sociology, Vrije Universiteit Brussel, Belgium; Institute of Medical Sociology, Medical Faculty, Heinrich-Heine-University, Germany; Health Inequalities Research Group, Universitat Pompeu Fabra, Spain</t>
  </si>
  <si>
    <t>Bosmans, K., Interface Demography, Department of Sociology, Vrije Universiteit Brussel, Belgium; De Moortel, D., Interface Demography, Department of Sociology, Vrije Universiteit Brussel, Belgium, Institute of Medical Sociology, Medical Faculty, Heinrich-Heine-University, Germany; Vanroelen, C., Interface Demography, Department of Sociology, Vrije Universiteit Brussel, Belgium, Health Inequalities Research Group, Universitat Pompeu Fabra, Spain</t>
  </si>
  <si>
    <t>Bosmans, K.; Interface Demography, Belgium; email: Kim.Bosmans@vub.be</t>
  </si>
  <si>
    <t>Error driven paraphrase annotation using Mechanical Turk</t>
  </si>
  <si>
    <t>51664634000;6602712741;7004004753;</t>
  </si>
  <si>
    <t>The source text provided to a machine translation system is typically only one of many ways the input sentence could have been expressed, and alternative forms of expression can often produce a better translation. We introduce here error driven paraphrasing of source sentences: instead of paraphrasing a source sentence exhaustively, we obtain paraphrases for only the parts that are predicted to be problematic for the translation system. We report on an Amazon Mechanical Turk study that explores this idea, and establishes via an oracle evaluation that it holds the potential to substantially improve translation quality. © 2010 Association for Computational Linguistics</t>
  </si>
  <si>
    <t>2010</t>
  </si>
  <si>
    <t>Buzek O., Resnik P., Bederson B.B.</t>
  </si>
  <si>
    <t>Workshop on Creating Speech and Language Data with Amazon's Mechanical Turk, Mturk 2010 at the 2010 Annual Conference of the North American Chapter of the Association for Computational Linguistics: Human Language Technologies, NAACL-HLT 2010 - Proceedings</t>
  </si>
  <si>
    <t>https://www.scopus.com/inward/record.uri?eid=2-s2.0-80053243856&amp;partnerID=40&amp;md5=946cf1da9133ac10ac2c1b1acbfc8ff0</t>
  </si>
  <si>
    <t>Computer Science and Linguistics, University of Maryland, College Park, MD  20742, United States; Linguistics and UMIACS, University of Maryland, College Park, MD  20742, United States; Computer Science and HCIL, University of Maryland, College Park, MD  20742, United States</t>
  </si>
  <si>
    <t>Buzek, O., Computer Science and Linguistics, University of Maryland, College Park, MD  20742, United States; Resnik, P., Linguistics and UMIACS, University of Maryland, College Park, MD  20742, United States; Bederson, B.B., Computer Science and HCIL, University of Maryland, College Park, MD  20742, United States</t>
  </si>
  <si>
    <t>Evaluating Reddit as a Crowdsourcing Platform for Psychology Research Projects</t>
  </si>
  <si>
    <t>10.1177/00986283211020739</t>
  </si>
  <si>
    <t>57218513220;6504228810;</t>
  </si>
  <si>
    <t>Background: Online crowdsourcing platforms, such as Amazon Mechanical Turk (MTurk), have become popular alternatives to the ubiquitous student samples used in psychology research. r/SampleSize, an alternative pool on the website Reddit, allows for online participant recruitment without compulsory or immediate payment, making it potentially useful for students, research trainees, and course instructors. Objective: The current study sought to assess the viability of using r/SampleSize as a participant pool by comparing its data characteristics to MTurk and existing lab samples. Method: Two hundred and fifty-six MTurk workers and 277 r/SampleSize participants completed identical questionnaires on demographics, participation motivations, and standard psychology scales. Results: Participants recruited through r/SampleSize reported diverse ages, education levels, income, and employment, although White ethnic background and US residence were predominant. r/SampleSize participants were more internally motivated than MTurk to participate in research and had greater need for cognition but did not differ significantly in altruism or motivation to gain self-knowledge. r/SampleSize data reliability and quality were comparable to MTurk and lab samples across most analyses. Teaching Implications: r/SampleSize can be used to recruit relatively large and diverse samples for undergraduate research projects with minimal setup, labor, and cost. Conclusion: The findings suggest that r/SampleSize is a diverse and viable participant pool. © The Author(s) 2021.</t>
  </si>
  <si>
    <t>Luong R., Lomanowska A.M.</t>
  </si>
  <si>
    <t>Teaching of Psychology</t>
  </si>
  <si>
    <t>https://www.scopus.com/inward/record.uri?eid=2-s2.0-85107268527&amp;doi=10.1177%2f00986283211020739&amp;partnerID=40&amp;md5=c89c4126424ecff28acbb6c5de5fcc4a</t>
  </si>
  <si>
    <t>Department of Psychology, McGill University, Montreal, QC, Canada; Department of Psychology, University of Toronto MississaugaON, Canada</t>
  </si>
  <si>
    <t>Luong, R., Department of Psychology, McGill University, Montreal, QC, Canada; Lomanowska, A.M., Department of Psychology, University of Toronto MississaugaON, Canada</t>
  </si>
  <si>
    <t>Lomanowska, A.M.; Department of Psychology, Canada; email: anna.lomanowska@utoronto.ca</t>
  </si>
  <si>
    <t>Evaluating Speech Synthesis Intelligibility using Amazon Mechanical Turk</t>
  </si>
  <si>
    <t>25646765500;57780998100;7003714982;</t>
  </si>
  <si>
    <t>Microtask platforms such as Amazon Mechanical Turk (AMT) are increasingly used to create speech and language resources. AMT in particular allows researchers to quickly recruit a large number of fairly demographically diverse participants. In this study, we investigated whether AMT can be used for comparing the intelligibility of speech synthesis systems. We conducted two experiments in the lab and via AMT, one comparing US English diphone to US English speaker-adaptive HTS synthesis and one comparing UK English unit selection to UK English speaker-dependent HTS synthesis. While AMT word error rates were worse than lab error rates, AMT results were more sensitive to relative differences between systems. This is mainly due to the larger number of listeners. Boxplots and multilevel modelling allowed us to identify listeners who performed particularly badly, while thresholding was sufficient to eliminate rogue workers. We conclude that AMT is a viable platform for synthetic speech intelligibility comparisons. © 2010 7th ISCA Workshop on Speech Synthesis, SSW 2010. All rights reserved.</t>
  </si>
  <si>
    <t>Wolters M.K., Isaac K.B., Renals S.</t>
  </si>
  <si>
    <t>7th ISCA Workshop on Speech Synthesis, SSW 2010</t>
  </si>
  <si>
    <t>https://www.scopus.com/inward/record.uri?eid=2-s2.0-84885876466&amp;partnerID=40&amp;md5=647318d52ad45c75c1ea5f45cc5c0f1e</t>
  </si>
  <si>
    <t>Centre for Speech Technology Research, University of Edinburgh, United Kingdom</t>
  </si>
  <si>
    <t>Wolters, M.K., Centre for Speech Technology Research, University of Edinburgh, United Kingdom; Isaac, K.B., Centre for Speech Technology Research, University of Edinburgh, United Kingdom; Renals, S., Centre for Speech Technology Research, University of Edinburgh, United Kingdom</t>
  </si>
  <si>
    <t>Evaluation of perceptions and knowledge of mental illness in the United States through crowdsourcing</t>
  </si>
  <si>
    <t>10.9740/mhc.2018.09.227</t>
  </si>
  <si>
    <t>57195549553;57212467022;56972910500;57606974800;</t>
  </si>
  <si>
    <t>Introduction: Crowdsourcing is a method of data collection with possible benefits in assessing perceptions of mental illness in a large US population. Methods: The objective was to describe perceptions and trends of stigma surrounding mental illness in the United States using crowdsourcing. An online survey was conducted evaluating adults in the United States recruited via the online resource Amazon Mechanical Turk. Questions evaluated demographics and perceptions of mental illness. Survey data were adjusted for demographic variables and compared via logistic regression. Results: Respondents (n=1422) were predominately 18 to 30 years of age (n=743; 52.3%) and white (n=1101; 77.4%). Over half reported an individual close to them had mental illness (n=932; 65.5%), and more than one quarter (n=397; 27.9%) reported having a current or previous mental illness. Non-whites were less likely to agree that: medications are effective (odds ratio [OR] 0.63); they would be comfortable around a coworker with mental illness (OR 0.66); and mental illness is inheritable (OR 0.74). They are also more likely to agree that mental illness is preventable (OR 1.49). Individuals reporting mental illness were more likely to agree that medications (OR 1.34; 95% confidence interval 1.03 to 1.74) and talk therapy (OR 1.46; 95% confidence interval 1.12 to 1.90) are effective. Those reporting some or no college were more likely to agree that the United States has good access to mental health treatment. Discussion: Crowdsourcing may be an effective way to obtain information regarding demographics, stigma, and mental illness. Personal experiences with mental illness, ethnicity, and educational level appear to continue to impact perceptions of mental illness. © 2018 CPNP.</t>
  </si>
  <si>
    <t>2018</t>
  </si>
  <si>
    <t>Palmer E.C., Douglass A.R., Smith T., Fuentes D.G.</t>
  </si>
  <si>
    <t>Mental Health Clinician</t>
  </si>
  <si>
    <t>https://www.scopus.com/inward/record.uri?eid=2-s2.0-85105742886&amp;doi=10.9740%2fmhc.2018.09.227&amp;partnerID=40&amp;md5=4e86a6210f0f51c68c34cd6ed93888ba</t>
  </si>
  <si>
    <t>Clinical and Administrative Sciences, Sullivan University College of Pharmacy, Louisville, KY, United States; Tennessee Valley Healthcare System, Murfreesboro, TN, United States; Manchester University College of Pharmacy, Fort Wayne, IN, United States; California Health Sciences University, Clovis, CA, United States</t>
  </si>
  <si>
    <t>Palmer, E.C., Clinical and Administrative Sciences, Sullivan University College of Pharmacy, Louisville, KY, United States; Douglass, A.R., Tennessee Valley Healthcare System, Murfreesboro, TN, United States; Smith, T., Manchester University College of Pharmacy, Fort Wayne, IN, United States; Fuentes, D.G., California Health Sciences University, Clovis, CA, United States</t>
  </si>
  <si>
    <t>Palmer, E.C.; Clinical and Administrative Sciences, United States; email: emmaclairepalmer@gmail.com</t>
  </si>
  <si>
    <t>Evaluation of the Substance Use Risk Profile Scale (SURPS) in a Recreational Video Game Playing Population</t>
  </si>
  <si>
    <t>10.1007/s11469-021-00633-9</t>
  </si>
  <si>
    <t>36237840000;57205899214;25627951300;55489065600;</t>
  </si>
  <si>
    <t>The Substance Use Risk Profile Scale (SURPS) identifies four personality dimensions related to reinforcement-specific patterns of substance use. Gaming literature has identified similar personalities and game-related reinforcement properties as core risk factors of problematic play. Given similarities, we investigated whether the SURPS model could be confirmed in a recreational video game playing population as a predictive model of problematic gaming. We recruited participants through gaming forums and Amazon Mechanical Turk to complete an online survey that focused on the SURPS and indicators of problematic gaming. Confirmatory factor analysis indicated that the SURPS is a valid instrument measuring four distinct personality dimensions with minor modifications. Regression analyses did not confirm all four at-risk personality dimensions as predictors of problematic play. The Impulsive personality was a significant predictor of lifetime frequency and problematic gaming, whereas the Hopelessness personality was a significant predictor of time spent playing. Future studies will need to assess this model using outcome variables grouped based on reinforcement-related gaming taxonomy. © 2021, The Author(s), under exclusive licence to Springer Science+Business Media, LLC, part of Springer Nature.</t>
  </si>
  <si>
    <t>Wilkins L., Rash J., Fawcett J., Harris N.</t>
  </si>
  <si>
    <t>International Journal of Mental Health and Addiction</t>
  </si>
  <si>
    <t>https://www.scopus.com/inward/record.uri?eid=2-s2.0-85114143008&amp;doi=10.1007%2fs11469-021-00633-9&amp;partnerID=40&amp;md5=13b4819600472f9955a94480aeec0dba</t>
  </si>
  <si>
    <t>Department of Psychology, Memorial University, 232 Elizabeth Ave, St. John’s, NL  A1B 3X9, Canada; Department of Psychology, 220 Prince Philip Drive, St. John’s, NL  A1B 3R5, Canada</t>
  </si>
  <si>
    <t>Wilkins, L., Department of Psychology, Memorial University, 232 Elizabeth Ave, St. John’s, NL  A1B 3X9, Canada, Department of Psychology, 220 Prince Philip Drive, St. John’s, NL  A1B 3R5, Canada; Rash, J., Department of Psychology, Memorial University, 232 Elizabeth Ave, St. John’s, NL  A1B 3X9, Canada; Fawcett, J., Department of Psychology, Memorial University, 232 Elizabeth Ave, St. John’s, NL  A1B 3X9, Canada; Harris, N., Department of Psychology, Memorial University, 232 Elizabeth Ave, St. John’s, NL  A1B 3X9, Canada</t>
  </si>
  <si>
    <t>Wilkins, L.; Department of Psychology, 220 Prince Philip Drive, Canada; email: lkwilkins@mun.ca</t>
  </si>
  <si>
    <t>Everything Is Relative: How Citizens Form and Use Expectations in Evaluating Services</t>
  </si>
  <si>
    <t>10.1093/jopart/muaa048</t>
  </si>
  <si>
    <t>55683942800;57226077133;</t>
  </si>
  <si>
    <t>In recent years, studies of citizen satisfaction have increasingly relied on the expectancy-disconfirmation model, which highlights the role that expectations play in driving citizen evaluations of government services. But most empirical studies within public administration of the relationship between expectations and satisfaction indicate that expectations have little-to-no net effect on satisfaction. We argue that these results may be largely driven by the weaknesses of existing measurement approaches and inattention in many studies to the distinction between two types of expectations: those about what should happen (normative expectations) versus those about what will happen (predictive expectations). Distinguishing between these two types of expectations is important because they are likely to have different - and perhaps even opposite - effects on satisfaction. We recruited 972 US residents via Amazon's Mechanical Turk to complete a survey vignette experiment and found that normative expectations are strongly (and negatively) related to satisfaction levels, whereas predictive expectations are barely related to satisfaction at all. We also find that comparative performance information generally has a much stronger effect on predictive expectations than on normative expectations. These findings suggest that theories of satisfaction should more consistently distinguish between different types of expectations. Our results also leave us somewhat optimistic about the ability of ordinary residents to follow a reasonable process when assigning normative meaning to performance information. © 2020 The Author(s).</t>
  </si>
  <si>
    <t>Favero N., Kim M.</t>
  </si>
  <si>
    <t>Journal of Public Administration Research and Theory</t>
  </si>
  <si>
    <t>https://www.scopus.com/inward/record.uri?eid=2-s2.0-85104756938&amp;doi=10.1093%2fjopart%2fmuaa048&amp;partnerID=40&amp;md5=029af92d62a6e22277fb14ed9dbcce2b</t>
  </si>
  <si>
    <t>American University, United States; Aarhus University, Denmark</t>
  </si>
  <si>
    <t>Favero, N., American University, United States, Aarhus University, Denmark; Kim, M., American University, United States</t>
  </si>
  <si>
    <t>Favero, N.; American UniversityUnited States; email: favero@american.edu</t>
  </si>
  <si>
    <t>Examination of the structural relations between posttraumatic stress disorder symptoms and reckless/self-destructive behaviors.</t>
  </si>
  <si>
    <t>10.1037/str0000133</t>
  </si>
  <si>
    <t>54392860100;43762132500;57190379600;23110911900;</t>
  </si>
  <si>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χ2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2020 APA, all rights reserved) © 2019 American Psychological Association</t>
  </si>
  <si>
    <t>Contractor A.A., Weiss N.H., Dolan M., Mota N.</t>
  </si>
  <si>
    <t>https://www.scopus.com/inward/record.uri?eid=2-s2.0-85064381801&amp;doi=10.1037%2fstr0000133&amp;partnerID=40&amp;md5=7638337d129870cb67675275193a8977</t>
  </si>
  <si>
    <t>Department of Psychology, University of North Texas, Denton, TX, United States; Department of Psychology, University of Rhode Island, Kingston, RI, United States; Department of Clinical Psychology, University of Manitoba, Winnipeg, MB, Canada</t>
  </si>
  <si>
    <t>Contractor, A.A., Department of Psychology, University of North Texas, Denton, TX, United States; Weiss, N.H., Department of Psychology, University of Rhode Island, Kingston, RI, United States; Dolan, M., Department of Psychology, University of North Texas, Denton, TX, United States; Mota, N., Department of Clinical Psychology, University of Manitoba, Winnipeg, MB, Canada</t>
  </si>
  <si>
    <t>Contractor, A.A.; Department of Psychology, 1611 West Mulberry Street 171, United States; email: ateka.c@gmail.com</t>
  </si>
  <si>
    <t>Examining associations between concussion history, subjectively experienced memory problems, and general health factors in older men</t>
  </si>
  <si>
    <t>10.1080/13854046.2021.1991481</t>
  </si>
  <si>
    <t>55940238200;57203068870;</t>
  </si>
  <si>
    <t>Objective: Examine associations between subjective memory complaints (SMCs), concussion history, and cognitive, psychological, and physical health in older men from the general population. Method: Participants were 504 men aged 50–79 who were recruited using an online labor market. Participants completed a survey assessing demographics, medication history, concussion history, recent memory problems, and additional aspects of recent cognitive, mental, and physical health. Results: Men with a lifetime history of ≥3 concussions also reported a lifetime history of being prescribed medication for anxiety (46.8%), depression (43.5%), chronic pain (79.0%), and high blood pressure (66.1%). When asked about symptoms experienced over the past year and the past week, they endorsed higher rates of cognitive and mental health problems, migraines, and difficulties with sleep and fatigue. The multivariable logistic regression model for predicting mild or greater memory problems was significant, χ2(8) = 168.97, p &lt;.001. In unadjusted analyses, significant predictors, in order of magnitude (strongest to weakest), were fatigue (odds ratio [OR] = 3.21), back or neck pain (OR = 2.28), migraines (OR = 2.11), anxiety (OR = 2.07), depression (OR = 2.04), difficulty sleeping (OR = 1.98), and concussion history (OR = 1.49). In the multivariable model, only back or neck pain (OR = 1.51, p =.004) and fatigue (OR = 1.99, p =.004) were significant predictors. Conclusions: A personal history of multiple concussions was associated with perceived memory problems, but to a lesser degree than fatigue, back or neck pain, and migraines. © 2021 Informa UK Limited, trading as Taylor &amp; Francis Group.</t>
  </si>
  <si>
    <t>Van Patten R., Iverson G.L.</t>
  </si>
  <si>
    <t>Clinical Neuropsychologist</t>
  </si>
  <si>
    <t>https://www.scopus.com/inward/record.uri?eid=2-s2.0-85117311705&amp;doi=10.1080%2f13854046.2021.1991481&amp;partnerID=40&amp;md5=f8618bf68647d254b6c28e1465b1722e</t>
  </si>
  <si>
    <t>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</si>
  <si>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Harvard Medical School, Boston, MA, United States, Spaulding Rehabilitation Hospital, Charlestown, MA, United States; Iverson, G.L., 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</si>
  <si>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79/96 Thirteenth Street, Charlestown Navy Yard, United States</t>
  </si>
  <si>
    <t>Examining Relationships Between Posttraumatic Stress Disorder Severity and Types of Media/Technology Usage</t>
  </si>
  <si>
    <t>10.1037/tra0001333</t>
  </si>
  <si>
    <t>57842580000;57190379600;7003678279;54392860100;</t>
  </si>
  <si>
    <t>Objective: Psychopathology, cyberpsychology, and mass media theories link psychological symptoms, such as posttraumatic stress disorder (PTSD), to increased media and technology usage (MTU). Given limited research in this area, we uniquely examined if specific MTU facets were associated with PTSD symptom severity. Method: A sample of 404 socioeconomically diverse adults (Mage = 35.89; 57.4% female) was recruited from Amazon’s Mechanical Turk and completed the Life Events Checklist for DSM–5, Posttraumatic Stress Disorder Checklist for DSM–5, Media and Technology Usage and Attitudes Scale, and Patient Health Questionnaire-9. Results: Hierarchical multiple regression analyses indicated that, controlling for depression severity, greater frequency of TV viewing (p =.004) and media sharing (p =.040) and greater quantity of online friendships (p =.006) were associated with greater PTSD symptom severity. Conclusion: Study findings suggest that the extent of MTU behaviors (especially extent of TV use, media sharing, and online friendships) are important to examine in trauma-exposed individuals with PTSD symptoms. Results generalize to trauma-exposed community members and are considered within the context of current MTU theories. © 2022. American Psychological Association</t>
  </si>
  <si>
    <t>Binford J., Dolan M., Elhai J.D., Contractor A.A.</t>
  </si>
  <si>
    <t>Psychological Trauma: Theory, Research, Practice, and Policy</t>
  </si>
  <si>
    <t>https://www.scopus.com/inward/record.uri?eid=2-s2.0-85135780397&amp;doi=10.1037%2ftra0001333&amp;partnerID=40&amp;md5=c1efbf836b1b399adad75df1b7e04fb3</t>
  </si>
  <si>
    <t>Department of Psychology, George Fox University, United States; Department of Psychology, University of North Texas, United States; Departments of Psychology and Psychiatry, University of Toledo, United States</t>
  </si>
  <si>
    <t>Binford, J., Department of Psychology, George Fox University, United States; Dolan, M., Department of Psychology, University of North Texas, United States; Elhai, J.D., Departments of Psychology and Psychiatry, University of Toledo, United States; Contractor, A.A., Department of Psychology, University of North Texas, United States</t>
  </si>
  <si>
    <t>Binford, J.; Department of Psychology, United States; email: jadebinford@gmail.com</t>
  </si>
  <si>
    <t>Examining Sustainable Consumption Behaviors Through the Mass Customization Context: Emotional Product Attachment and Environmental Attitude Perspectives</t>
  </si>
  <si>
    <t>10.20900/jsr20220010</t>
  </si>
  <si>
    <t>57834776200;24175274400;</t>
  </si>
  <si>
    <t>Background: Existing research regarding mass customization apparel (MCA) has suggested that the business model can be sustainable from a production perspective; however, minimal research has been conducted to understand MCA from the consumer perspective and how it relates to sustainability. The purpose of the study was to explore the linkage between mass customization apparel consumption and sustainability. Specifically, this study examined the relationships among motivations for MCA purchases (MMP), clothing sustainability knowledge (CSK), emotional product attachment (EPA), environmental attitude (EA), sustainable apparel behaviors (SAB), and general sustainable behavior (GSB). Methods: A total of 220 responses were collected from existing MCA consumers via an online survey distributed through Amazon Mechanical Turk (MTurk). Modified from existing literature, all major variables in the study were measured on 7-point Likert type scales. Results: Regression analyses indicated that all relationships of the study were significant except for the relationship between utilitarian motivation for MCA purchases and emotional product attachment and the relationship between self-expressive motivation for MCA purchases and environmental attitudes. Direct relationships between MMP and SAB/GSB, and between CSK and SAB/GSB were examined as well. CSK was found to be the strongest predictor highlighting the importance of educating consumers about clothing sustainability to promote responsible consumption behaviors. Conclusions: This study found evidence of the relationships between motivations for MCA purchases and sustainability-related variables. Future research can further examine how MCA consumers vs. non-MCA consumers might differ in their sustainable behaviors. Copyright © 2022 by the author(s). Licensee Hapres, London, United Kingdom. This is an open access article distributed under the terms and conditions of Creative Commons Attribution 4.0 International License.</t>
  </si>
  <si>
    <t>Shaver J., Yan R.-N.</t>
  </si>
  <si>
    <t>Journal of Sustainability Research</t>
  </si>
  <si>
    <t>https://www.scopus.com/inward/record.uri?eid=2-s2.0-85135589081&amp;doi=10.20900%2fjsr20220010&amp;partnerID=40&amp;md5=8861bb58fd3257ff0fb018d48dd32535</t>
  </si>
  <si>
    <t>Department of Design and Merchandising, Colorado State University, Fort Collins, Colorado, CO  80528, United States</t>
  </si>
  <si>
    <t>Shaver, J., Department of Design and Merchandising, Colorado State University, Fort Collins, Colorado, CO  80528, United States; Yan, R.-N., Department of Design and Merchandising, Colorado State University, Fort Collins, Colorado, CO  80528, United States</t>
  </si>
  <si>
    <t>Shaver, J.; Department of Design and Merchandising, Fort Collins, United States; email: jessica.rae.shaver@gmail.com</t>
  </si>
  <si>
    <t>Exploratory evaluation of online brief education for JUUL pod-mod use and prevention</t>
  </si>
  <si>
    <t>10.1016/j.addbeh.2021.106942</t>
  </si>
  <si>
    <t>56226929900;7201447671;55909323300;8638872500;</t>
  </si>
  <si>
    <t>Introduction: Initiation of e-cigarette use by young adults is a significant public health issue within the debate on vaping. The current study is an exploratory evaluation of brief educational information among young adults and investigated outcomes as a function of JUUL use and smoking status. Methods: Participants (N = 947) were young adults (&lt;30 years old) recruited from Amazon's Mechanical Turk based on smoking and JUUL use status. Participants completed baseline assessments, viewed a brief JUUL educational handout, and completed post-assessments. Results: There was a significant Time X Group interaction for JUUL-related knowledge (p &lt; .001), with never JUUL/never smokers showing the greatest increase in knowledge. Brief education increased JUUL-related knowledge and risk perceptions and had a modest impact on commitment to quitting and readiness to quit JUUL (all p ≤ 0.001; ds = 0.06-0.74; time × group p &gt;. 05 for all contrasts except JUUL-related knowledge). Participants showed modest decreases in interest in future JUUL use, interest in purchasing, and interest in future regular use (all p ≤ 0.001; ds = 0.07-0.08; time × group p &gt;. 05 for all contrasts). In terms of smoking outcomes, participants reported reduced perceived harm to others (p &lt; .001; d = 0.09) and decreased intentions to smoke regularly (p = .001; d = 0.07). Conclusions: Brief education was effective in increasing knowledge and risk perceptions while showing a modest effect on intentions for future use. The information was most effective in increasing knowledge among non-users, suggesting that brief education may be useful for preventing initiation. Analysis of group differences suggest current JUUL use status is more important in informing JUUL-related attitudes than smoking status. © 2021 Elsevier Ltd</t>
  </si>
  <si>
    <t>Leavens E.L.S., Carpenter M.J., Smith T.T., Nollen N.L.</t>
  </si>
  <si>
    <t>Addictive Behaviors</t>
  </si>
  <si>
    <t>https://www.scopus.com/inward/record.uri?eid=2-s2.0-85104140035&amp;doi=10.1016%2fj.addbeh.2021.106942&amp;partnerID=40&amp;md5=4391c4eec79924ab0cf669324c466d73</t>
  </si>
  <si>
    <t>Medical University of South Carolina, Department of Psychiatry and Behavioral Sciences and Hollings Cancer Center, United States; University of Kansas School of Medicine, Department of Population Health, United States</t>
  </si>
  <si>
    <t>Leavens, E.L.S., Medical University of South Carolina, Department of Psychiatry and Behavioral Sciences and Hollings Cancer Center, United States, University of Kansas School of Medicine, Department of Population Health, United States; Carpenter, M.J., Medical University of South Carolina, Department of Psychiatry and Behavioral Sciences and Hollings Cancer Center, United States; Smith, T.T., Medical University of South Carolina, Department of Psychiatry and Behavioral Sciences and Hollings Cancer Center, United States; Nollen, N.L., University of Kansas School of Medicine, Department of Population Health, United States</t>
  </si>
  <si>
    <t>Leavens, E.L.S.3901 Rainbow Blvd., Kansas City, KS, 66160, United States; email: eleavens@kumc.edu</t>
  </si>
  <si>
    <t>Exploring differential item functioning on eating disorder measures by food security status</t>
  </si>
  <si>
    <t>10.1007/s40519-021-01289-z</t>
  </si>
  <si>
    <t>55369735000;57195038434;56117537600;</t>
  </si>
  <si>
    <t>Purpose: Food insecurity is associated with elevated eating disorder (ED) pathology, yet commonly used ED measures may not fully capture ED pathology in the context of food insecurity. The present study used differential item functioning (DIF) analyses to explore whether item endorsement on two commonly used ED questionnaires differed by food security status. Methods: Participants were 634 cisgender women recruited through Amazon’s Mechanical Turk. DIF was explored for items on the Short Eating Disorder Examination Questionnaire (S-EDE-Q) and the Eating Disorder Diagnostic Scale for DSM-5 (EDDS-5). DIF analyses used a hybrid ordinal logistic regression/item response theory approach, with the presence of both statistical (p &amp;lt;.01) and clinical significance (pseudo ΔR2 ≥.035) indicating DIF. Results: There was no evidence of clinically significant DIF within the S-EDE-Q. Two items on the EDDS-5 exhibited statistically and clinically significant DIF, with moderate effect sizes. Specifically, compared to food-secure participants, food-insecure participants were more likely to report (1) eating large amounts of food when not physically hungry and (2) feeling disgusted, depressed, or guilty about overeating at lower levels of overall ED pathology but less likely to report these experiences at higher levels of overall ED pathology. Conclusions: Findings highlight a potential need to adapt ED measures to fully capture ED pathology in food-insecure populations. Level of evidence: Level III, well-designed cohort study. © 2021, The Author(s), under exclusive licence to Springer Nature Switzerland AG.</t>
  </si>
  <si>
    <t>O’Connor S.M., Hazzard V.M., Zickgraf H.F.</t>
  </si>
  <si>
    <t>Eating and Weight Disorders</t>
  </si>
  <si>
    <t>https://www.scopus.com/inward/record.uri?eid=2-s2.0-85113742878&amp;doi=10.1007%2fs40519-021-01289-z&amp;partnerID=40&amp;md5=19530f9679b3cfcc946c7f82a978c520</t>
  </si>
  <si>
    <t>Department of Psychology, Montclair State University, Dickson Hall 119, 1 Normal Ave, Montclair, NJ  07043, United States; Center for Bio-Behavioral Research, Sanford Research, Fargo, ND, United States; Department of Psychology, University of South Alabama, Mobile, AL, United States</t>
  </si>
  <si>
    <t>O’Connor, S.M., Department of Psychology, Montclair State University, Dickson Hall 119, 1 Normal Ave, Montclair, NJ  07043, United States; Hazzard, V.M., Center for Bio-Behavioral Research, Sanford Research, Fargo, ND, United States; Zickgraf, H.F., Department of Psychology, University of South Alabama, Mobile, AL, United States</t>
  </si>
  <si>
    <t>O’Connor, S.M.; Department of Psychology, Dickson Hall 119, 1 Normal Ave, United States; email: oconnors@montclair.edu</t>
  </si>
  <si>
    <t>Exploring normalization techniques for human judgments of machine translation adequacy collected using Amazon Mechanical Turk</t>
  </si>
  <si>
    <t>23396591400;7003519455;</t>
  </si>
  <si>
    <t>This paper discusses a machine translation evaluation task conducted using Amazon Mechanical Turk. We present a translation adequacy assessment task for untrained Arabic-speaking annotators and discuss several techniques for normalizing the resulting data. We present a novel 2-stage normalization technique shown to have the best performance on this task and further discuss the results of all techniques and the usability of the resulting adequacy scores. © 2010 Association for Computational Linguistics</t>
  </si>
  <si>
    <t>Denkowski M., Lavie A.</t>
  </si>
  <si>
    <t>https://www.scopus.com/inward/record.uri?eid=2-s2.0-84890495909&amp;partnerID=40&amp;md5=a48232516c3933d9b334dc512127c0d3</t>
  </si>
  <si>
    <t>Language Technologies Institute, School of Computer Science, Carnegie Mellon University, Pittsburgh, PA  15232, United States</t>
  </si>
  <si>
    <t>Denkowski, M., Language Technologies Institute, School of Computer Science, Carnegie Mellon University, Pittsburgh, PA  15232, United States; Lavie, A., Language Technologies Institute, School of Computer Science, Carnegie Mellon University, Pittsburgh, PA  15232, United States</t>
  </si>
  <si>
    <t>Exploring the Mediating Effect of Conspicuous Consumption by Utilizing Mobile Phone Brands</t>
  </si>
  <si>
    <t>10.15722/jds.18.3.202003.15</t>
  </si>
  <si>
    <t>57211139918;</t>
  </si>
  <si>
    <t>Purpose: The purpose of this study is to investigate the mediating effect of conspicuous brand usage between brand experience and brand loyalty in relational perspective, and to probe the difference between the positively experienced consumers and the negatives. Research design, data and methodology: Apple iPhone, Samsung Galaxy, and other brands were suggested as consideration set to be selected from 223 Amazon Mechanical Turk respondents, and they answered the structured survey of 33 questions made by Qualtrics with 5-point Likert scale. Structural Equations Model (SEM) was employed to test the hypothesized model, and RStudio and SPSS 18 were used to analyze the dataset. Results: It was confirmed that the more consumers have positive brand experience, the more they are loyal to brand. Conspicuous brand usage can be positively mediated, and consumers who experienced high conspicuous brand usage are more likely to be loyal to the brand. Conclusions: It is noteworthy to find the mediating effect of conspicuous brand usage, and the hidden mechanism between brand experience and brand loyalty. Managers can promote positive conspicuous brand usage when consumers get in touch with product and service channels. By providing impressive conspicuous brand experience, the brand loyalty of the band can be enhanced. © 2020 Korean Distribution Science Association (KODISA). All Rights Reserved.</t>
  </si>
  <si>
    <t>Kwon Y.</t>
  </si>
  <si>
    <t>https://www.scopus.com/inward/record.uri?eid=2-s2.0-85107429987&amp;doi=10.15722%2fjds.18.3.202003.15&amp;partnerID=40&amp;md5=d31aacda5d34a10ef2841f951dbf4745</t>
  </si>
  <si>
    <t>College of Business Administration, Sungkyunkwan University, South Korea</t>
  </si>
  <si>
    <t>Kwon, Y., College of Business Administration, Sungkyunkwan University, South Korea</t>
  </si>
  <si>
    <t>Kwon, Y.; College of Business Administration, South Korea</t>
  </si>
  <si>
    <t>Face covered and six feet apart: Behavioral awareness predicts greater adherence to public health guidelines during the covid-19 pandemic</t>
  </si>
  <si>
    <t>10.3390/ijerph18168247</t>
  </si>
  <si>
    <t>57226497052;55191350500;</t>
  </si>
  <si>
    <t>The COVID-19 pandemic has deleteriously impacted physical and mental health. Guidelines to limit the spread of COVID-19 include wearing a face covering in public, limiting close contacts, and physical distancing. In combatting this and future pandemics, it is essential to understand predic-tors of adherence, such as psychological flexibility. We hypothesized higher psychological flexibility would relate to greater adherence to public health guidelines. Participants (n = 265) were English-reading/speaking adults in the United States and were recruited through Amazon’s Mechanical Turk. Included in the present analyses are data from June (n = 360) and July 2020 (n = 265). Measures included the Comprehensive Assessment of ACT Processes (CompACT), which measured psychological flexibility. Outcome measures included mask-wearing and number of close contacts, which were operationalized categorically (100% mask-wearing in public, ≤10 close contacts in past week). Two logistic regression models examined psychological flexibility and distress as predictors of adherence to mask-wearing and limiting close contacts, while controlling for demographic correlates. Results indicated that greater behavioral awareness predicted greater odds of mask-wearing and limiting close contacts. Psychological flexibility, and behavioral awareness specifically, should be investigated in future research as targets for intervention amidst global disasters. © 2021 by the authors. Licensee MDPI, Basel, Switzerland.</t>
  </si>
  <si>
    <t>Schneider A., Kroska E.B.</t>
  </si>
  <si>
    <t>International Journal of Environmental Research and Public Health</t>
  </si>
  <si>
    <t>https://www.scopus.com/inward/record.uri?eid=2-s2.0-85111727234&amp;doi=10.3390%2fijerph18168247&amp;partnerID=40&amp;md5=c98cf148794664baf98b72938ce773fb</t>
  </si>
  <si>
    <t>Department of Psychology and Brain Sciences, University of Iowa, Iowa City, IA  52242, United States</t>
  </si>
  <si>
    <t>Schneider, A., Department of Psychology and Brain Sciences, University of Iowa, Iowa City, IA  52242, United States; Kroska, E.B., Department of Psychology and Brain Sciences, University of Iowa, Iowa City, IA  52242, United States</t>
  </si>
  <si>
    <t>Kroska, E.B.; Department of Psychology and Brain Sciences, United States; email: emily-kroska@uiowa.edu</t>
  </si>
  <si>
    <t>Factors Affecting Compliance with Alerts in the Context of Healthcare-related Emergencies</t>
  </si>
  <si>
    <t>10.17705/1atrr.00068</t>
  </si>
  <si>
    <t>57221009232;7102314927;</t>
  </si>
  <si>
    <t>This study is a conceptual replication of the study by Han et al. (2015) in which the authors evaluated factors affecting students’ compliance with emergency instructions during campus emergencies. The current study focused on broader public health-related emergencies using eight scenarios evaluated by Amazon Mechanical Turk (AMT) participants. Analysis on the aggregated data showed that subjective norm and trust in information quality positively affected intention to comply with instructions, consistent with the original study. Three follow up analyses provide more nuanced results. First, an abridged dataset was created by filtering out participants whose reasons for non-immediate compliance weren't related to verifying information and then complying. Analysis on this dataset showed that subjective norm no longer positively affected intention to comply. Second, scenarios used in the study were grouped by characteristics such as development speed, frequency, and area affected, and the analysis was redone. Factors affecting intention to comply immediately changed based on the characteristic, with subjective norm positively affected intention to comply in slow-developing scenarios, scenarios that affect at a limited area, and commonly occurring scenarios, while trust in information quality affects the other scenarios. Third, recall of information from the notification was collected from participants and analyzed. Results show that participants who chose to comply immediately recalled more information than others. Our replication study shows some support for the original conclusions; however, the broader setting and more nuanced analyses show also differences between both studies. © 2021 by the Association for Information Systems.</t>
  </si>
  <si>
    <t>Kumar M., Leroy G.</t>
  </si>
  <si>
    <t>AIS Transactions on Replication Research</t>
  </si>
  <si>
    <t>https://www.scopus.com/inward/record.uri?eid=2-s2.0-85123541376&amp;doi=10.17705%2f1atrr.00068&amp;partnerID=40&amp;md5=ce25ade685baf2b9988a55e9fb495191</t>
  </si>
  <si>
    <t>Department of Management Information Systems, Eller College of Management, University of Arizona, United States</t>
  </si>
  <si>
    <t>Kumar, M., Department of Management Information Systems, Eller College of Management, University of Arizona, United States; Leroy, G., Department of Management Information Systems, Eller College of Management, University of Arizona, United States</t>
  </si>
  <si>
    <t>Factors Associated With COVID-19 Behavioral Intentions: Findings From an Online Survey</t>
  </si>
  <si>
    <t>10.1177/08901171221093036</t>
  </si>
  <si>
    <t>57198776422;57192875012;56344415100;56002020400;35268092900;</t>
  </si>
  <si>
    <t>Purpose: The COVID-19 pandemic provides a novel context through which to evaluate salient factors for promoting behavioral change. We examined how attitudes, perceived community behaviors, and prior related behaviors predict intentions to (1) receive COVID-19 vaccination and (2) practice social distancing. Design: Cross-sectional online survey administered through Amazon’s Mechanical Turk in September 2020. Subjects: A convenience sample of US adults (N = 1804). Measures: COVID-19 vaccination and social distancing intentions were measured on a 7-point Likert scale. Predictor variables included general vaccination and social distancing attitudes, perceived community mask-wearing, prior influenza vaccination, prior social distancing, and socio-demographics. Analysis: Descriptive statistics and linear regressions. Results: Thirty percent of respondents reported a strong willingness to receive COVID-19 vaccination, while 67% strongly intended to engage in social distancing. In regression analyses, vaccination intention was predicted by positive vaccine attitudes (b =.84; 95%CI:.78,.90; P &lt;.001), prior influenza vaccination (b = −.47; 95%CI: −.63, −.32; P &lt;.001), and perceived community mask-wearing (b = −.28; 95%CI: −.56, −.01; P=.049). Intention to practice social distancing was predicted by positive attitudes (b =.65; 95%CI:.61,.69; P &lt;.001), prior social distancing (b = −.49; 95%CI: −.59, −.39; P &lt;.001), and perceived community mask-wearing (b = −.28; 95%CI: −.46, −.09; P =.003). Conclusion: Findings have implications for health promotion efforts. Messages that are targeted and tailored on pre-existing attitudes may be more effective. Additionally, leveraging prior behaviors and perceived community behavior may improve communication strategies. © The Author(s) 2022.</t>
  </si>
  <si>
    <t>Lama Y., Budenz A., Gaysynsky A., Iles I.A., Sylvia Chou W.-Y.</t>
  </si>
  <si>
    <t>American Journal of Health Promotion</t>
  </si>
  <si>
    <t>https://www.scopus.com/inward/record.uri?eid=2-s2.0-85129592985&amp;doi=10.1177%2f08901171221093036&amp;partnerID=40&amp;md5=e2f0e7064575a4a700a0cb9254dafc36</t>
  </si>
  <si>
    <t>Behavioral Research Program, Division of Cancer Control and Population Sciences, National Cancer Institute, Bethesda, MD, United States; ICF Next, ICF Inc, Rockville, MD, United States</t>
  </si>
  <si>
    <t>Lama, Y., Behavioral Research Program, Division of Cancer Control and Population Sciences, National Cancer Institute, Bethesda, MD, United States; Budenz, A., Behavioral Research Program, Division of Cancer Control and Population Sciences, National Cancer Institute, Bethesda, MD, United States; Gaysynsky, A., Behavioral Research Program, Division of Cancer Control and Population Sciences, National Cancer Institute, Bethesda, MD, United States, ICF Next, ICF Inc, Rockville, MD, United States; Iles, I.A., Behavioral Research Program, Division of Cancer Control and Population Sciences, National Cancer Institute, Bethesda, MD, United States; Sylvia Chou, W.-Y., Behavioral Research Program, Division of Cancer Control and Population Sciences, National Cancer Institute, Bethesda, MD, United States</t>
  </si>
  <si>
    <t>Lama, Y.; Behavioral Research Program, United States; email: yuki.lama@nih.gov</t>
  </si>
  <si>
    <t>Factors Shifting Preference Toward Telemedicine in the Delivery of Skin Cancer Reconstruction Care</t>
  </si>
  <si>
    <t>10.1002/lary.30215</t>
  </si>
  <si>
    <t>57657359500;57680197500;57195945250;57220183783;57678063100;57224807038;56604760100;57678365500;</t>
  </si>
  <si>
    <t>Objectives: Identify which delivery modality for skin reconstruction care, face-to-face (FTF) in-person versus two telemedicine modalities, store-and-forward (S&amp;F) and live video chat (LVC), is patient preferred and how cost, access, wait time, and demographics influence this preference. Study Design: Cross-sectional survey. Methods: A 16-question survey querying demographics and five scenario-specific preferences questions for the delivery of skin cancer reconstruction care was created and distributed via Amazon Mechanical Turk (MTurk), a crowdsourcing online marketplace, and in-person to Mohs micrographic surgery patients. Results: 1394 MTurk and 55 in-person responses were included. While 82.1% of online respondents prefer FTF clinic visits, this decreases to 58.3% with an in-person visit cost (p &lt; 0.01) and furthermore to a minority 43.5% with both an in-person visit cost and wait time (p &lt; 0.01) despite 77.8% believing that usefulness to the surgeon would improve FTF. Both the MTurk and in-person cohorts demonstrated similar response patterns despite considerable demographic differences. Multivariable analyses revealed that telemedicine was preferred by MTurk respondents with Medicaid (adjusted OR [95% CI]: 1.97 [1.18–3.31]) or Medicare (1.69 [1.10–2.59]) versus private insurance, and prior skin cancer (2.01 [1.18–3.42]) and less preferred by those earning $140,000+ per year (0.49 [0.29–0.82]) compared to those earning &lt;$20,000 per year. Conclusions: FTF visits are preferred for skin cancer reconstruction care; this shifts toward virtual care with a cost and wait time in spite of the perceived quality of care. Individuals with socioeconomic barriers to access prefer telemedicine. MTurk can be a valuable tool for behavioral research in FPRS. Level of Evidence: Not Applicable Laryngoscope, 2022. © 2022 The American Laryngological, Rhinological and Otological Society, Inc.</t>
  </si>
  <si>
    <t>Du E.Y., Moody R.A., Simpson M.C., Nellore A., Sinnwell J.G., Heiland L.D., Grace S.A., Chen C.L.</t>
  </si>
  <si>
    <t>Laryngoscope</t>
  </si>
  <si>
    <t>https://www.scopus.com/inward/record.uri?eid=2-s2.0-85129865051&amp;doi=10.1002%2flary.30215&amp;partnerID=40&amp;md5=09f2b623523fe3a560bfbfcb72298d25</t>
  </si>
  <si>
    <t>Saint Louis University School of Medicine, St. Louis, MO, United States; Department of Otolaryngology–Head and Neck Surgery, Saint Louis University, St. Louis, MO, United States; Department of Dermatology, Saint Louis University, St. Louis, MO, United States</t>
  </si>
  <si>
    <t>Du, E.Y., Saint Louis University School of Medicine, St. Louis, MO, United States; Moody, R.A., Saint Louis University School of Medicine, St. Louis, MO, United States; Simpson, M.C., Department of Otolaryngology–Head and Neck Surgery, Saint Louis University, St. Louis, MO, United States; Nellore, A., Saint Louis University School of Medicine, St. Louis, MO, United States; Sinnwell, J.G., Department of Otolaryngology–Head and Neck Surgery, Saint Louis University, St. Louis, MO, United States; Heiland, L.D., Saint Louis University School of Medicine, St. Louis, MO, United States; Grace, S.A., Department of Dermatology, Saint Louis University, St. Louis, MO, United States; Chen, C.L., Department of Otolaryngology–Head and Neck Surgery, Saint Louis University, St. Louis, MO, United States</t>
  </si>
  <si>
    <t>Chen, C.L.; Department of Otolaryngology–Head and Neck Surgery, United States; email: collin.chen@health.slu.edu</t>
  </si>
  <si>
    <t>Feasibility Studies in Indoor Localization through Intelligent Conversation</t>
  </si>
  <si>
    <t>10.1145/3491101.3519617</t>
  </si>
  <si>
    <t>57219111130;57673025100;55498092800;</t>
  </si>
  <si>
    <t>We propose a model to achieve human localization in indoor environments through intelligent conversation between users and an agent. We investigated the feasibility of conversational localization by conducting two studies. First, we conducted a Wizard-of-Oz study with N = 7 participants and studied the feasibility of localizing users through conversation. We identified challenges posed by users' language and behavior. Second, we collected N = 800 user descriptions of virtual indoor locations from N = 80 Amazon Mechanical Turk participants to analyze user language. We explored the effects of conversational agent behavior and observed that people describe indoor locations differently based on how the agent presents itself. We devise "Entity Suitability Scale,"a concrete and scalable approach to obtain information to support localization from the myriad of indoor entities users mention in their descriptions. Through this study, we lay foundation to our proposed paradigm of conversational localization. © 2022 ACM.</t>
  </si>
  <si>
    <t>Sheshadri S., Cheng L., Hara K.</t>
  </si>
  <si>
    <t>https://www.scopus.com/inward/record.uri?eid=2-s2.0-85129777312&amp;doi=10.1145%2f3491101.3519617&amp;partnerID=40&amp;md5=9c8907aef345fa2f97de8d6d4c5dc30c</t>
  </si>
  <si>
    <t>Singapore Management University, Singapore, Singapore; Singapore University of Technology and Design, Singapore, Singapore</t>
  </si>
  <si>
    <t>Sheshadri, S., Singapore Management University, Singapore, Singapore; Cheng, L., Singapore University of Technology and Design, Singapore, Singapore; Hara, K., Singapore Management University, Singapore, Singapore</t>
  </si>
  <si>
    <t>For A Fistful Of Dollars: Using Crowd-Sourcing To Evaluate A Spoken Language CALL Application</t>
  </si>
  <si>
    <t>24832303900;7102084403;57204211262;16305751800;6701668778;</t>
  </si>
  <si>
    <t>We present an evaluation of a Web-deployed spoken language CALL system, carried out using crowd-sourcing methods. The system, “Survival Japanese”, is a crash course in tourist Japanese implemented within the platform CALL-SLT. The evaluation was carried out over one week using the Amazon Mechanical Turk. Although we found a high proportion of attempted scammers, there was a core of 23 subjects who used the system in a responsible manner. The evidence that these subjects learned from their 111 sessions and 9092 spoken interactions was significant at P = 0.001. Our conclusion is that crowd-sourcing is a potentially valid method for evaluating spoken CALL systems. © SLaTE 2011. All Rights Reserved.</t>
  </si>
  <si>
    <t>2011</t>
  </si>
  <si>
    <t>Rayner M., Frank I., Chua C., Tsourakis N., Bouillon P.</t>
  </si>
  <si>
    <t>Speech and Language Technology in Education, SLaTE 2011</t>
  </si>
  <si>
    <t>https://www.scopus.com/inward/record.uri?eid=2-s2.0-84886334402&amp;partnerID=40&amp;md5=24a8dd5ad32b3600d1fa2bc79d677c1b</t>
  </si>
  <si>
    <t>University of Geneva, ETI/TIM/ISSCO, Geneva, Switzerland; Future University, Hakodate, Japan; Faculty of Information and Communication Technologies, Swinburne University of Technology, Melbourne, Australia</t>
  </si>
  <si>
    <t>Rayner, M., University of Geneva, ETI/TIM/ISSCO, Geneva, Switzerland; Frank, I., Future University, Hakodate, Japan; Chua, C., Faculty of Information and Communication Technologies, Swinburne University of Technology, Melbourne, Australia; Tsourakis, N., University of Geneva, ETI/TIM/ISSCO, Geneva, Switzerland; Bouillon, P., University of Geneva, ETI/TIM/ISSCO, Geneva, Switzerland</t>
  </si>
  <si>
    <t>How Do Older Adults Recruited Using MTurk Differ From Those in a National Probability Sample?</t>
  </si>
  <si>
    <t>10.1177/0091415020940197</t>
  </si>
  <si>
    <t>57195352117;55764151700;</t>
  </si>
  <si>
    <t>A growing number of studies within the field of gerontology have included samples recruited from Amazon’s Mechanical Turk (MTurk), an online crowdsourcing portal. While some research has examined how younger adult participants recruited through other means may differ from those recruited using MTurk, little work has addressed this question with older adults specifically. In the present study, we examined how older adults recruited via MTurk might differ from those recruited via a national probability sample, the Health and Retirement Study (HRS), on a battery of outcomes related to health and cognition. Using a Latin-square design, we examined the relationship between recruitment time, remuneration amount, and measures of cognitive functioning. We found substantial differences between our MTurk sample and the participants within the HRS, most notably within measures of verbal fluency and analogical reasoning. Additionally, remuneration amount was related to differences in time to complete recruitment, particularly at the lowest remuneration level, where recruitment completion required between 138 and 485 additional hours. While the general consensus has been that MTurk samples are a reasonable proxy for the larger population, this work suggests that researchers should be wary of overgeneralizing research conducted with older adults recruited through this portal. © The Author(s) 2020.</t>
  </si>
  <si>
    <t>Ogletree A.M., Katz B.</t>
  </si>
  <si>
    <t>International Journal of Aging and Human Development</t>
  </si>
  <si>
    <t>https://www.scopus.com/inward/record.uri?eid=2-s2.0-85088271923&amp;doi=10.1177%2f0091415020940197&amp;partnerID=40&amp;md5=1efdb1c55c7b59ba0c5c8fb3d1dee5f9</t>
  </si>
  <si>
    <t>Health Research and Evaluation, American Institutes for Research, Washington, DC, United States; Department of Human Development and Family Science, Virginia Tech, Blacksburg, VA, United States</t>
  </si>
  <si>
    <t>Ogletree, A.M., Health Research and Evaluation, American Institutes for Research, Washington, DC, United States; Katz, B., Department of Human Development and Family Science, Virginia Tech, Blacksburg, VA, United States</t>
  </si>
  <si>
    <t>Ogletree, A.M.; Health Research and Evaluation, United States; email: aogletree@air.org</t>
  </si>
  <si>
    <t>How gender moderates the mediating mechanism across social experience, self-referent beliefs and social entrepreneurship intentions</t>
  </si>
  <si>
    <t>10.1108/GM-06-2021-0175</t>
  </si>
  <si>
    <t>57195199452;37083925100;</t>
  </si>
  <si>
    <t>Purpose: This study aims to understand how social experience influences social entrepreneurial (SE) intentions through different types of self-referent beliefs and how gender affects this mechanism. Design/methodology/approach: To test this study’s conceptual model, the authors conducted an online survey and recruited respondents via Amazon’s Mechanical Turk. This study’s analysis is based on 743 responses. This study used structural equation modeling to test the main hypotheses, conducted decomposition tests using the bootstrapping method to test mediation effects via self-referent beliefs and executed multi-group analyses to examine gender-moderated mediation effects. Findings: The results confirm that social experience significantly influences all three types of self-referent beliefs (entrepreneurial self-efficacy, SE self-efficacy and self-esteem). Furthermore, the mediating relationship across social experience, self-efficacies, and SE intentions is moderated by gender, as the relationships between social experience and self-efficacies are stronger for women than for men. Originality/value: A clear gender gap exists in the way how social experience affects perceptual variables (self-referent beliefs), providing a practical suggestion to reduce the perceptual gender gap in social entrepreneurial contexts. This study also reveals the mediating mechanism across social experience, self-efficacies and SE intentions, also highlighting the importance of domain specific self-efficacies. This study’s findings support and extend Milliken’s (1987) framing of three distinct types of uncertainty to explain how individuals form SE intentions. © 2022, Emerald Publishing Limited.</t>
  </si>
  <si>
    <t>Ko E.-J., Kang J.</t>
  </si>
  <si>
    <t>Gender in Management</t>
  </si>
  <si>
    <t>https://www.scopus.com/inward/record.uri?eid=2-s2.0-85133566818&amp;doi=10.1108%2fGM-06-2021-0175&amp;partnerID=40&amp;md5=bd9dd0dbc6b70b643810c2879362e52e</t>
  </si>
  <si>
    <t>Department of Management and Entrepreneurship, Silberman College of Business, Fairleigh Dickinson University, Madison, NJ, United States; Division of Consumer Science/White Lodging-J.W. Marriott, Jr School of Hospitality and Tourism Management, Purdue University, West Lafayette, IN, United States</t>
  </si>
  <si>
    <t>Ko, E.-J., Department of Management and Entrepreneurship, Silberman College of Business, Fairleigh Dickinson University, Madison, NJ, United States; Kang, J., Division of Consumer Science/White Lodging-J.W. Marriott, Jr School of Hospitality and Tourism Management, Purdue University, West Lafayette, IN, United States</t>
  </si>
  <si>
    <t>Ko, E.-J.; Department of Management and Entrepreneurship, United States; email: eko@fdu.edu</t>
  </si>
  <si>
    <t>I’m judging you! Influence of depression on moral judgments of COVID-19 infection control behaviors and policies</t>
  </si>
  <si>
    <t>10.1080/13548506.2022.2067575</t>
  </si>
  <si>
    <t>57659453800;23481140200;16401973900;</t>
  </si>
  <si>
    <t>Health officials recommended a number of COVID-19 infection control measures, such as social distancing and face covering. This study explores whether depression influences individuals’ moral judgments regarding COVID-19 infection control behaviors and policies. In this study, participants (N = 340) were US residents, recruited via Amazon Mechanical Turk in March of 2020. Participants completed several questionnaires, such as demographics, including political affiliation, a depression screener, and a series of questions designed to capture individuals’ moral judgments of infection control behaviors and policies. ANCOVA analyses indicated that, controlling for demographics, political affiliation, and the degree of news following, depression symptom level was consistently inversely related to the likelihood of judging infection control in moral terms. Depression symptom level was also inversely related to sensitivity to manipulation of moral judgments for personal behaviors, but not for policies. Individuals with higher levels of depression symptoms may be less willing to advocate for higher personal safety measures, which could lead to a higher likelihood of disease transmission. Outside of the pandemic, the lower propensity for moral judgment could translate into greater acceptance of morally questionable acts and behaviors from others. © 2022 Informa UK Limited, trading as Taylor &amp; Francis Group.</t>
  </si>
  <si>
    <t>McCorkle C., Barrera A.Z., Leykin Y.</t>
  </si>
  <si>
    <t>Psychology, Health and Medicine</t>
  </si>
  <si>
    <t>https://www.scopus.com/inward/record.uri?eid=2-s2.0-85129312459&amp;doi=10.1080%2f13548506.2022.2067575&amp;partnerID=40&amp;md5=17afae59720c18c6e59484766c0a41d9</t>
  </si>
  <si>
    <t>Department of Psychology, Palo Alto University, Palo Alto, CA, United States</t>
  </si>
  <si>
    <t>McCorkle, C., Department of Psychology, Palo Alto University, Palo Alto, CA, United States; Barrera, A.Z., Department of Psychology, Palo Alto University, Palo Alto, CA, United States; Leykin, Y., Department of Psychology, Palo Alto University, Palo Alto, CA, United States</t>
  </si>
  <si>
    <t>Leykin, Y.; Alto University, 1791 Arastradero Rd, United States; email: yleykin@paloaltouedu.Palo</t>
  </si>
  <si>
    <t>Identifying Barriers to Enrollment in Patient Pregnancy Registries: Building Evidence Through Crowdsourcing</t>
  </si>
  <si>
    <t>10.2196/30573</t>
  </si>
  <si>
    <t>57742607100;55356702000;57219085063;57743002400;56668310800;57194124318;16402863800;</t>
  </si>
  <si>
    <t>Background: Enrollment in pregnancy registries is challenging despite substantial awareness-raising activities, generally resulting in low recruitment owing to limited safety data. Understanding patient and physician awareness of and attitudes toward pregnancy registries is needed to facilitate enrollment. Crowdsourcing, in which services, ideas, or content are obtained by soliciting contributions from a large group of people using web-based platforms, has shown promise for improving patient engagement and obtaining patient insights. Objective: This study aimed to use web-based crowdsourcing platforms to evaluate Belimumab Pregnancy Registry (BPR) awareness among patients and physicians and to identify potential barriers to pregnancy registry enrollment with the BPR as a case study. Methods: We conducted 2 surveys using separate web-based crowdsourcing platforms: Amazon Mechanical Turk (a 14-question patient survey) and Sermo RealTime (a 11-question rheumatologist survey). Eligible patients were women, aged 18-55 years; diagnosed with systemic lupus erythematosus (SLE); and pregnant, recently pregnant (within 2 years), or planning pregnancy. Eligible rheumatologists had prescribed belimumab and treated pregnant women. Responses were descriptively analyzed. Results: Of 151 patient respondents over a 3-month period (n=88, 58.3% aged 26-35 years; n=149, 98.7% with mild or moderate SLE; and n=148, 98% from the United States), 51% (77/151) were currently or recently pregnant. Overall, 169 rheumatologists completed the survey within 48 hours, and 59.2% (100/169) were based in the United States. Belimumab exposure was reported by 41.7% (63/151) patients, whereas 51.7% (75/145) rheumatologists had prescribed belimumab to &lt;5 patients, 25.5% (37/145) had prescribed to 5-10 patients, and 22.8% (33/145) had prescribed to &gt;10 patients who were pregnant or trying to conceive. Of the patients exposed to belimumab, 51% (32/63) were BPR-aware, and 45.5% (77/169) of the rheumatologists were BPR-aware. Overall, 60% (38/63) of patients reported belimumab discontinuation because of pregnancy or planned pregnancy. Among the 77 BPR-aware rheumatologists, 70 (91%) referred patients to the registry. Concerns among rheumatologists who did not prescribe belimumab during pregnancy included unknown pregnancy safety profile (119/169, 70.4%), and 61.5% (104/169) reported their patients’ concerns about the unknown pregnancy safety profile. Belimumab exposure during or recently after pregnancy or while trying to conceive was reported in patients with mild (6/64, 9%), moderate (22/85, 26%), or severe (1/2, 50%) SLE. Rheumatologists more commonly recommended belimumab for moderate (84/169, 49.7%) and severe (123/169, 72.8%) SLE than for mild SLE (36/169, 21.3%) for patients trying to conceive recently or currently pregnant. Overall, 81.6% (138/169) of the rheumatologists suggested a belimumab washout period before pregnancy of 0-30 days (44/138, 31.9%), 30-60 days (64/138, 46.4%), or &gt;60 days (30/138, 21.7%). Conclusions: In this case, crowdsourcing efficiently obtained patient and rheumatologist input, with some patients with SLE continuing to use belimumab during or while planning a pregnancy. There was moderate awareness of the BPR among patients and physicians. © Jeanne M Pimenta, Jeffery L Painter, Kim Gemzoe, Roger Abramino Levy, Marcy Powell, Paige Meizlik, Gregory Powell. Originally published in JMIR Formative Research (https://formative.jmir.org), 25.05.2022.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</si>
  <si>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Pimenta J.M., Painter J.L., Gemzoe K., Levy R.A., Powell M., Meizlik P., Powell G.</t>
  </si>
  <si>
    <t>https://www.scopus.com/inward/record.uri?eid=2-s2.0-85132039615&amp;doi=10.2196%2f30573&amp;partnerID=40&amp;md5=003bab9892f0ed167f2fa030b5fd7d23</t>
  </si>
  <si>
    <t>GlaxoSmithKline, Brentford, Middlesex, United Kingdom; Safety Innovation and Analytics, GlaxoSmithKline, Durham, NC, United States; GlaxoSmithKline, Stevenage, United Kingdom; GlaxoSmithKline, Collegeville, PA, United States</t>
  </si>
  <si>
    <t>Pimenta, J.M., GlaxoSmithKline, Brentford, Middlesex, United Kingdom; Painter, J.L., Safety Innovation and Analytics, GlaxoSmithKline, Durham, NC, United States; Gemzoe, K., GlaxoSmithKline, Stevenage, United Kingdom; Levy, R.A., GlaxoSmithKline, Collegeville, PA, United States; Powell, M., Safety Innovation and Analytics, GlaxoSmithKline, Durham, NC, United States; Meizlik, P., GlaxoSmithKline, Collegeville, PA, United States; Powell, G., Safety Innovation and Analytics, GlaxoSmithKline, Durham, NC, United States</t>
  </si>
  <si>
    <t>Powell, G.; Safety Innovation and Analytics, 5 Moore Dr Research Triangle, United States; email: gregory.e.powell@gsk.com</t>
  </si>
  <si>
    <t>Impact of military culture and experiences on eating and weight-related behavior</t>
  </si>
  <si>
    <t>10.1002/jcop.22534</t>
  </si>
  <si>
    <t>57205221139;35232426500;57213819831;</t>
  </si>
  <si>
    <t>Disordered eating behaviors and obesity are becoming increasingly common among United States military personnel. However, little research has explored the role of the military environment as it may influence the development of disordered eating among personnel. The present qualitative analysis examined beliefs about how military experiences affected eating and weight-related behaviors. Military personnel who served within the last year and a year or more ago (n = 250) were recruited using Amazon's Mechanical Turk (mTurk). Data included in the present study consisted of participant responses to three open-ended questions, analyzed by means of content and thematic analysis. Analyses yielded eight themes: eating extremely quickly, strict mealtime regimens, the pressure to “make weight,” food insecurity, difficulty after military, food quality/content, overeating behavior, and military superior maltreatment. The current study provides a preliminary examination of the role of the military culture and experiences in the development of unhealthy eating and weight-related behaviors and offers suggestions for future research and interventions. © 2021 Wiley Periodicals LLC.</t>
  </si>
  <si>
    <t>Ferrell E.L., Braden A., Redondo R.</t>
  </si>
  <si>
    <t>Journal of Community Psychology</t>
  </si>
  <si>
    <t>https://www.scopus.com/inward/record.uri?eid=2-s2.0-85101883293&amp;doi=10.1002%2fjcop.22534&amp;partnerID=40&amp;md5=3355269c0b92d561df1febc8bc4dc3d9</t>
  </si>
  <si>
    <t>Department of Psychology, Bowling Green State University, Bowling Green, OH, United States</t>
  </si>
  <si>
    <t>Ferrell, E.L., Department of Psychology, Bowling Green State University, Bowling Green, OH, United States; Braden, A., Department of Psychology, Bowling Green State University, Bowling Green, OH, United States; Redondo, R., Department of Psychology, Bowling Green State University, Bowling Green, OH, United States</t>
  </si>
  <si>
    <t>Ferrell, E.L.; Department of Psychology, United States; email: emilylf@bgsu.edu</t>
  </si>
  <si>
    <t>Impact of pharmacist prescribing through direct pharmacy access policies on access to hormonal contraception</t>
  </si>
  <si>
    <t>10.1016/j.japh.2021.08.010</t>
  </si>
  <si>
    <t>57201988702;57231944800;35171583700;6602175207;36098358600;7801505325;</t>
  </si>
  <si>
    <t>Background/Objective: This study assesses the impact of direct pharmacy access (DPA) policies that allow pharmacists to prescribe hormonal contraceptives on women's access by comparing access among 3 groups: (1) women in a state without DPA (Indiana), (2) women in a state with DPA, but not using DPA, and (3) women in a state with DPA and using DPA. Methods: This cross-sectional survey, including a scale to measure access to contraceptives, perception items, and demographics, was distributed through Amazon Mechanical Turk (Amazon.com, Inc). Kruskal–Wallis tests and linear regression analysis were used. Results: The sample size was 316. When controlling for education, income, and age, the women not using DPA (in Indiana and a DPA state, respectively) reported significantly higher levels of approachability (P &lt; 0.001 and P &lt; 0.001, respectively), acceptability (P &lt; 0.001 and P &lt; 0.001, respectively), availability and accommodation (P &lt; 0.001 and P = 0.009, respectively), affordability (P &lt; 0.001 and P &lt; 0.001, respectively), and appropriateness (P &lt; 0.001 and P &lt; 0.001) access than the women using DPA. The women using DPA reported significantly lower levels of privacy access than those not using DPA in a DPA state (P = 0.004) when controlling for education, income, and age. However, 78.9% of women using DPA agreed DPA made obtaining contraceptives easier. Most of the women who had never used DPA were previously unaware of DPA (81.1% in DPA states and 86.2% in Indiana) but felt that it would improve access (82.8% and 80.0%, respectively). Conclusion: Understanding the effects of DPA policies on women's access to contraceptives can inform future policies and support implementation. Lower levels of access across all dimensions among those using DPA may be influenced by imperfect implementation and failure to legislatively enable the sustainability of this service rather than pharmacists’ ability to improve women's access. © 2022 American Pharmacists Association®</t>
  </si>
  <si>
    <t>Beal J.L., Bentley J.P., Snyder M.E., Zillich A.J., Rafie S., Illingworth Plake K.S.</t>
  </si>
  <si>
    <t>Journal of the American Pharmacists Association</t>
  </si>
  <si>
    <t>https://www.scopus.com/inward/record.uri?eid=2-s2.0-85113485462&amp;doi=10.1016%2fj.japh.2021.08.010&amp;partnerID=40&amp;md5=fb62294e53adccc12ec5854b65410cb5</t>
  </si>
  <si>
    <t>Beal, J.L.; Bentley, J.P.; Snyder, M.E.; Zillich, A.J.; Rafie, S.; Illingworth Plake, K.S.</t>
  </si>
  <si>
    <t>Beal, J.L.; Postdoctoral Fellow, 610 Purdue Mall, United States; email: jnewlon@purdue.edu</t>
  </si>
  <si>
    <t>In "alma mater" we trust? exploring attitudes toward institutions and alumnigiving</t>
  </si>
  <si>
    <t>16230182600;33568245700;57223593298;</t>
  </si>
  <si>
    <t>Background/Context: Government support for higher education has decreased over the past few decades. In turn, institutions are seeking alternative sources of funding and increasing reliance on alumni giving. Although trust is important to social institutions and nonprofits, we know little about the role of trust in alumni engagement. Purpose/Objective/Research Question/Focus of Study: We empirically assess the association between trust and philanthropic giving. We aim to determine the effectiveness of using trust as a predictor for giving attitudes and behavior. More specifically, we seek to answer the following research questions: 1. To what extent does trust in alma mater vary across socio-demographic characteristics? 2. To what extent does trust in alma mater correlate with alumni engagement (selfreported behavior and attitudes) with philanthropic giving? 3. Does the strength of the association between trust in alma mater and alumni engagement hold after controlling for socio-demographic characteristics? Population/Participants/Subjects: Data for this study came from the National Alumni Giving Experiment (NAGE) conducted in 2014 (n=1,553). The NAGE survey instrument was designed as a web-based, self-administered questionnaire, with attitudinal items developed based on previous research and common practices in public opinion research. Respondents were recruited and paid via Amazon's Mechanical Turk (MTurk). The NAGE sample is comparable with the General Social Survey's (2012/2014) college educated sample. Research Design: We used a sequential mixed-methods research design (QUAN &gt; qual). In the first stage, which is the main portion our study, we employed multivariate analysis to examine (a) socio-demographic variations in trust in alma mater, and (b) the correlations between trust and philanthropic giving. In the second stage, we coded and analyzed openended responses. We analyzed the quantitative and qualitative data separately, but we connect the findings to produce a comprehensive analysis of the role of trust in philanthropic giving to higher education. Findings/Results: We found that alumni trust is a strong predictor of self-reported giving and attitudes, even after accounting for socio-demographic characteristics. Analysis of openended responses suggests that alumni develop (dis)trust based on public discourse on higher education and their personal perceptions and observations of their alma maters' institutional policies and spending. Conclusions/Recommendations: Trust is granted by individuals to others and to institutions. However, institutions cannot take trust for granted. Institutions of higher education must continually earn the trust of their constituents through creating transparent practices and educating students and alumni about funding, assuring them that they have measures in place to track and implement donor wishes. © 2020 Teachers College, Columbia University. All rights reserved.</t>
  </si>
  <si>
    <t>DREZNER N.D., PIZMONY-LEVY O., ANDERSON-LONG M.</t>
  </si>
  <si>
    <t>Teachers College Record</t>
  </si>
  <si>
    <t>https://www.scopus.com/inward/record.uri?eid=2-s2.0-85105942197&amp;partnerID=40&amp;md5=f79c0551e430a53dce77740a9c26de17</t>
  </si>
  <si>
    <t>Teachers College, Columbia University, United States; Mills College, United States</t>
  </si>
  <si>
    <t>DREZNER, N.D., Teachers College, Columbia University, United States; PIZMONY-LEVY, O., Teachers College, Columbia University, United States; ANDERSON-LONG, M., Mills College, United States</t>
  </si>
  <si>
    <t>Individual differences in parental support for numeracy and literacy in early childhood</t>
  </si>
  <si>
    <t>10.3390/educsci11090541</t>
  </si>
  <si>
    <t>13102688400;57263943300;15842195500;</t>
  </si>
  <si>
    <t>Past research has examined parental support for children’s math and reading skills in the early years through parents’ reports of their activities with their children in somewhat inconsistent ways. In this study, we use data from a large sample of parents (n = 259; 103 males) collected through Amazon’s Mechanical Turk to examine dimensions of parental enrichment in both support for literacy and numeracy skills at home. Additionally, we examine how socioeconomic resources as well as parental beliefs relate to these dimensions of the home literacy and home numeracy environment. Factor analyses revealed two dimensions of literacy activities (i.e., passive and active literacy activities) and three dimensions of numeracy activities (i.e., numeracy applications, basic numeracy, and written numeracy activities). Income was positively associated with active literacy activities, whereas parents’ educational attainment was negatively associated with active literacy activities and written numeracy activities. Additionally, parental beliefs, including their beliefs about the importance of literacy and math skills as well as their perceived responsibility for teaching their children reading, math, and language skills, related to home literacy and numeracy activities in distinctive ways. These results suggest that future research should explore parental enrichment practices with greater nuance, particularly when examining associations with socioeconomic status. © 2021 by the authors. Licensee MDPI, Basel, Switzerland.</t>
  </si>
  <si>
    <t>Elliott L., Zheng P., Libertus M.</t>
  </si>
  <si>
    <t>Education Sciences</t>
  </si>
  <si>
    <t>https://www.scopus.com/inward/record.uri?eid=2-s2.0-85115127276&amp;doi=10.3390%2feducsci11090541&amp;partnerID=40&amp;md5=497fd2fbdde4f9d9185eb5c0551903c3</t>
  </si>
  <si>
    <t>Learning Research and Development Center, University of Pittsburgh, Pittsburgh, PA  15260, United States</t>
  </si>
  <si>
    <t>Elliott, L., Learning Research and Development Center, University of Pittsburgh, Pittsburgh, PA  15260, United States; Zheng, P., Learning Research and Development Center, University of Pittsburgh, Pittsburgh, PA  15260, United States; Libertus, M., Learning Research and Development Center, University of Pittsburgh, Pittsburgh, PA  15260, United States</t>
  </si>
  <si>
    <t>Elliott, L.; Learning Research and Development Center, United States; email: lek79@pitt.edu</t>
  </si>
  <si>
    <t>Initial Evaluation Of A Gender-Inclusive Version Of The Illinois Rape Myth Acceptance Scale</t>
  </si>
  <si>
    <t>10.1037/sgd0000536</t>
  </si>
  <si>
    <t>55437199400;57343108500;57343392100;</t>
  </si>
  <si>
    <t>Rape myths are false beliefs about rape, rape victims, and/or perpetrators of rape that perpetuate a culture where sexual violence is excused. Martha Burt created the first measure of rape myth acceptance i 1980 and since then scholars have continuously updated our understanding of rape myths with a continued focus on rape perpetrated by men against women. While this focus is critical due to the prevalence of such violence, this exclusive focus risks ignoring other vulnerable groups, including the LGBTQþ (lesbian, gay, bisexual, trans, and queer) community. The current study aimed to expand the current measurement of rape myth acceptance beyond heteronormativity and the gender binary allowing for a representative measure of rape myth acceptance for LGBTQþ, heterosexual, and cisgender communities alike. To achieve this goal, the modified Illinois Rape Myth Acceptance Scale (IRMAS) was altered to remove gendered language (e.g., he or she) and replaced with gender-inclusive language (e.g., they). Utilizing the gender-inclusive version of the modified IRMAS, data were collected from 575 (375 LGBTQþ, 250 non-LGBTQþ) participants via Amazon Mechanical Turk (MTurk). A confirmatory factor analysis demonstrated stability of factor structure with five separate factors: Victim asked for it, Didn’t mean to, Didn’t mean to—specific to intoxication, It was not really rape, and Victim lied, underlying the overall latent factor. Further analysis supported measurement invariance of the gender-inclusivmIRMAS across LGBTQþ membership. The results provide initial evidence for a gender-inclusive rape myth acceptance scale, which increases inclusivity and representation for individuals who are particularly vulnerable to victimization © 2021 American Psychological Association</t>
  </si>
  <si>
    <t>Johnson N.L., Lipp N.S., Stone H.K.</t>
  </si>
  <si>
    <t>https://www.scopus.com/inward/record.uri?eid=2-s2.0-85119291605&amp;doi=10.1037%2fsgd0000536&amp;partnerID=40&amp;md5=6cbc139d5b3453e80163ca861933e32f</t>
  </si>
  <si>
    <t>Department of Education and Human Services, Lehigh University, United States</t>
  </si>
  <si>
    <t>Johnson, N.L., Department of Education and Human Services, Lehigh University, United States; Lipp, N.S., Department of Education and Human Services, Lehigh University, United States; Stone, H.K., Department of Education and Human Services, Lehigh University, United States</t>
  </si>
  <si>
    <t>Johnson, N.L.; Department of Education and Human Services, United States; email: nij316@lehigh.edu</t>
  </si>
  <si>
    <t>Intergenerational transmission of trauma: unpacking the effects of parental adverse childhood experiences</t>
  </si>
  <si>
    <t>10.1080/13229400.2022.2073903</t>
  </si>
  <si>
    <t>57189071276;57214536726;56903711500;</t>
  </si>
  <si>
    <t>Background: Existing research documented the connection between individuals’ childhood trauma exposure and adverse health and behavioural health outcomes. However, less attention has been paid to understanding trauma in an intergenerational context. Objective: This study aims to fill this research gap by (1) exploring the association between parents’ trauma histories and child behavioural outcomes; (2) unpacking the effects of different types of parental trauma on child behavioural outcomes; (3) examining whether these associations vary by parental roles. Participants and Setting: This study recruited 202 parents from an online data collection platform–Amazon Mechanical Turk. Methods: We conducted regression analyses to examine the associations between parental adverse childhood experiences (ACEs) and their child’s behavioural problems and functioning. Results: Findings showed that only parental childhood maltreatment ACEs, but not family dysfunction ACEs, were significantly associated with child behavioural problems and functioning. The impact of parental child maltreatment ACEs on child behavioural problems was equally significant between fathers and mothers. In contrast, mothers’ childhood maltreatment ACEs exerted a more potent effect on child functioning. Conclusion: Study findings highlighted the need for child behavioural health services to incorporate the screening and treatment of parental ACEs in treatment programmes to break the cycle of intergenerational trauma. © 2022 Informa UK Limited, trading as Taylor &amp; Francis Group.</t>
  </si>
  <si>
    <t>Wang X., Lee M.Y., Quinn C.R.</t>
  </si>
  <si>
    <t>Journal of Family Studies</t>
  </si>
  <si>
    <t>https://www.scopus.com/inward/record.uri?eid=2-s2.0-85130288069&amp;doi=10.1080%2f13229400.2022.2073903&amp;partnerID=40&amp;md5=42589403b4313d53d6b8628d2ce1e10d</t>
  </si>
  <si>
    <t>School of Social Work, David B. Falk College of Sport and Human Dynamics, Syracuse University, Syracuse, NY, United States; College of Social Work, The Ohio State University, Columbus, OH, United States</t>
  </si>
  <si>
    <t>Wang, X., School of Social Work, David B. Falk College of Sport and Human Dynamics, Syracuse University, Syracuse, NY, United States; Lee, M.Y., College of Social Work, The Ohio State University, Columbus, OH, United States; Quinn, C.R., College of Social Work, The Ohio State University, Columbus, OH, United States</t>
  </si>
  <si>
    <t>Wang, X.; School of Social Work, White Hall 220, 150 Crouse Dr, United States; email: xiwang@syr.edu</t>
  </si>
  <si>
    <t>Internal branding in the gig and sharing economy: Enhancing service providers' engagement to achieve higher customer satisfaction</t>
  </si>
  <si>
    <t>57224813746;55853785400;</t>
  </si>
  <si>
    <t>Traditional service industries rely on internal branding and employee engagement to ensure their employees deliver their brand promises. However, they are evolving into more on-demand work than ever before. Both gig and sharing economy (GE&amp;SE) platforms enable individuals to provide on-demand services. Although those service providers (SPs) are not employed by GE&amp;SE platforms, consistent delivery of brand promises by the SPs is crucial in GE&amp;SE too. Thus, we aim to investigate the importance of internal branding in GE&amp;SE as a key factor in achieving higher customer satisfaction by analyzing the SP's engagement to the brand. Accordingly, we develop a comparison framework and conduct nine interviews with SPs, which we then analyze by means of a cross-case analysis. The results show that internal branding practices can play an important role in enhancing the SPs' engagement levels. Moreover, highly engaged SPs will go the extra mile to satisfy the customers' needs. © 2021 IEEE Computer Society. All rights reserved.</t>
  </si>
  <si>
    <t>Niyomwungeri O., Chankov S.</t>
  </si>
  <si>
    <t>Proceedings of the Annual Hawaii International Conference on System Sciences</t>
  </si>
  <si>
    <t>https://www.scopus.com/inward/record.uri?eid=2-s2.0-85108358900&amp;partnerID=40&amp;md5=a1c951d15ef31a873d4d5da38448d8f2</t>
  </si>
  <si>
    <t>Jacobs University, Bremen, Germany</t>
  </si>
  <si>
    <t>Niyomwungeri, O., Jacobs University, Bremen, Germany; Chankov, S., Jacobs University, Bremen, Germany</t>
  </si>
  <si>
    <t>Internet addiction, cognitive, and dispositional factors among US adults</t>
  </si>
  <si>
    <t>10.1016/j.chbr.2022.100180</t>
  </si>
  <si>
    <t>57476869900;57195352117;7403285225;55764151700;</t>
  </si>
  <si>
    <t>While a growing body of literature has examined internet addiction in the context of psychological factors, most of this work has focused on younger populations outside of the United States. A sample of 898 US adults ranging from 18 to 76 years of age were recruited through Amazon's Mechanical Turk platform to complete the Internet Addiction Test and key measures of affect, disposition, and cognitive function. A series of multiple regressions were conducted to examine Internet Addiction level as a predictor of outcome variables. ANCOVAs with Fisher's LSD post-hoc analyses were conducted using level of internet addiction as the grouping variable to examine differences between groups. Results found that Internet Addiction was a significant predictor of depression, impulsiveness, self-control, need for cognition, theories of cognitive abilities, creativity achievement, cognitive failures, smartphone use behaviors, mental rotation test, and cognitive reflection test. Further, even mild levels of internet addiction were associated with less optimal outcomes. Additionally, a significant relation between age and internet addiction also emerged such that older adults were less likely to have higher levels of internet addiction than younger adults. However, age did not appear to modulate the association between internet addiction status and key psychological variables. To further elucidate the mechanisms and impact of internet addiction throughout the life course, future studies should collect online and in-person data, from individuals across a variety of backgrounds, throughout the lifespan. © 2022</t>
  </si>
  <si>
    <t>Devine D., Ogletree A.M., Shah P., Katz B.</t>
  </si>
  <si>
    <t>Computers in Human Behavior Reports</t>
  </si>
  <si>
    <t>https://www.scopus.com/inward/record.uri?eid=2-s2.0-85125699623&amp;doi=10.1016%2fj.chbr.2022.100180&amp;partnerID=40&amp;md5=1b75b8f86860dcdd9875a440c385aa83</t>
  </si>
  <si>
    <t>Virginia Tech Department of Human Development and Family Science, 366 Wallace Hall, 295 West Campus Drive, Blacksburg, VA  24061, United States; National Institute on Minority Health and Health Disparities, National Institutes of Health, 6707 Democracy Boulevard, Suite 800, BethesdaMD  20892-5465, United States; University of Michigan, Department of Psychology, 530 Church Street, Ann Arbor, MI  48109, United States</t>
  </si>
  <si>
    <t>Devine, D., Virginia Tech Department of Human Development and Family Science, 366 Wallace Hall, 295 West Campus Drive, Blacksburg, VA  24061, United States; Ogletree, A.M., National Institute on Minority Health and Health Disparities, National Institutes of Health, 6707 Democracy Boulevard, Suite 800, BethesdaMD  20892-5465, United States; Shah, P., University of Michigan, Department of Psychology, 530 Church Street, Ann Arbor, MI  48109, United States; Katz, B., Virginia Tech Department of Human Development and Family Science, 366 Wallace Hall, 295 West Campus Drive, Blacksburg, VA  24061, United States</t>
  </si>
  <si>
    <t>Devine, D.; Virginia Tech Department of Human Development and Family Science, 366 Wallace Hall, 295 West Campus Drive, United States; email: devinedm@vt.edu</t>
  </si>
  <si>
    <t>Internet Privacy Concerns Revisited: Oversight from Surveillance and Right To Be Forgotten as New Dimensions</t>
  </si>
  <si>
    <t>10.1016/j.im.2022.103618</t>
  </si>
  <si>
    <t>57207532032;8967145400;</t>
  </si>
  <si>
    <t>In the post-Snowden revelation era, concerns related to government surveillance and oversight have come to the forefront. The ability of the Internet to remember “everything” (or forget anything) also raises a privacy concern associated with the right to be forgotten (RTBF). In this paper, we examine the conceptualization of Internet privacy concerns (IPC) by extending Hong and Thong's (2013) model with the addition of two dimensions: oversight (i.e., due to surveillance) and the RTBF. We provide theoretical and empirical evidence for our proposed integrated conceptualization. Data were collected from Amazon's Mechanical Turk and analyzed with structural equation modeling using a nomological network that includes trusting beliefs. This research contributes to a better understanding of the conceptualization of IPC and provides a reliable and valid contemporary instrument for IPC. © 2022 Elsevier B.V.</t>
  </si>
  <si>
    <t>Bansal G., Nah F.F.-H.</t>
  </si>
  <si>
    <t>Information and Management</t>
  </si>
  <si>
    <t>https://www.scopus.com/inward/record.uri?eid=2-s2.0-85125114196&amp;doi=10.1016%2fj.im.2022.103618&amp;partnerID=40&amp;md5=1073d3615a12f28dfcbff8ad0b331503</t>
  </si>
  <si>
    <t>University of Wisconsin – Green Bay, Green Bay, WI 54311, United States; City University of Hong Kong, Hong Kong</t>
  </si>
  <si>
    <t>Bansal, G., University of Wisconsin – Green Bay, Green Bay, WI 54311, United States; Nah, F.F.-H., City University of Hong Kong, Hong Kong</t>
  </si>
  <si>
    <t>Bansal, G.; University of Wisconsin – Green BayUnited States; email: bansalg@uwgb.edu</t>
  </si>
  <si>
    <t>Is there any Difference in the Perception of the Airbnb Brand Gender across Cultures? An Exploration of Gender and Gender Identity</t>
  </si>
  <si>
    <t>10.17549/gbfr.2022.27.2.14</t>
  </si>
  <si>
    <t>57722466000;</t>
  </si>
  <si>
    <t>Purpose: This study explored the different perception of Airbnb's brand gender across cultures on the basis of gender and gender identity. Specifically, the objectives of this study are, first, to examine how users perceive Airbnb's brand gender; second, to explore the effect of gender and gender identity on brand gender; and finally, to observe the differences in perception of Airbnb's brand gender across cultures. Design/methodology/approach: The exploration was conducted by comparing two countries with different cultural backgrounds (American vs. Korean). Data was collected in the US and Korea. Amazon Mechanical Turk (Mturk)was used for the US sample. For the Korean sample, a research company specialized in online surveys was employed. Data were analyzed by SPSS, AMOS to test hypotheses. Findings: Gender identity fully affected brand gender for Americans, but for Koreans masculine gender identity (MGI) had an influence on the perception of masculine brand gender personality (MBP) and feminine gender identity (FGI) on the perception of feminine brand gender personality (FBP) only. Further, this study revealed that gender does not play a significant role in the relationship between gender identity and brand gender for the American group, while gender was found to be an important variable moderating the relationships for Koreans. In addition, the study showed that the impact of gender identity on brand gender is greater in the US than in Korea. Research limitations/implications: This study has several limitations. First, this study considered only two countries. More countries from different continents with diverse social backgrounds should be investigated to generalize the study results. Second, gender-related phenomena are multifactorial and involve several variables, including gender attitudes, gender role behaviors, and sexual orientation, therefore, future research may observe other gender-related variables. Third, there are questionable items in the measurement of brand gender. Future research may focus more on addressing this issue in the cross-cultural study of brand gender. Fourth, more in-depth insights into the role of gender identity will result if future research explores the relationship between Aaker's (1997) five brand personalities and gender identity. Finally, this study examined only one brand, Airbnb. Therefore, the results could be difficult to generalize and apply to other brands and industries. Future studies should focus on investigating the relationship between brand gender, identity, and gender in other brands in the hospitality industry. Originality/value: This study is one of few researches investigating the relationships between gender identity, gender, and brand gender across cultures. Therefore, the results of this study are expected to provide novel insights into brand strategies in marketing, both academically and practically, in terms of gender and gender identity market segmentation. © The Author(s).</t>
  </si>
  <si>
    <t>Sun B.L.</t>
  </si>
  <si>
    <t>Global Business and Finance Review</t>
  </si>
  <si>
    <t>https://www.scopus.com/inward/record.uri?eid=2-s2.0-85131152565&amp;doi=10.17549%2fgbfr.2022.27.2.14&amp;partnerID=40&amp;md5=dd5729198a304fead69015dd3a978397</t>
  </si>
  <si>
    <t>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</si>
  <si>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</si>
  <si>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50 Yonsei-ro, Seodaemun-gu, South Korea; email: bongran.sun@gmail.com</t>
  </si>
  <si>
    <t>Know thyself: mindfulness partially explains the relationship between personal wisdom and meaning making</t>
  </si>
  <si>
    <t>10.1007/s12144-021-01853-x</t>
  </si>
  <si>
    <t>57193190394;</t>
  </si>
  <si>
    <t>Personal wisdom has been identified as a valuable resource in coping with difficult life events. However, previous studies have largely limited their focus on older adults; additionally, these studies have used well-being measures to assess successful coping strategies, which may underrepresent people who are surviving rather than thriving. Consequently, the current study tested if personal wisdom positively predicts meaning making, which is a key indicator of adjustment, and tested whether trait mindfulness partially mediates the relationship between personal wisdom and meaning making. Participants who had gone through an especially difficult life event were recruited through Amazon Mechanical Turk and completed several self-report measures. Analyses indicated, regardless of age, personal wisdom positively predicts meaning making and mindfulness partially mediates the positive relationship between personal wisdom and meaning making. These findings are consistent with previous research and clarify the mechanisms that account for the positive relationship between personal wisdom and coping with difficult life events. © 2021, The Author(s), under exclusive licence to Springer Science+Business Media, LLC, part of Springer Nature.</t>
  </si>
  <si>
    <t>Ringler N.</t>
  </si>
  <si>
    <t>Current Psychology</t>
  </si>
  <si>
    <t>https://www.scopus.com/inward/record.uri?eid=2-s2.0-85106218658&amp;doi=10.1007%2fs12144-021-01853-x&amp;partnerID=40&amp;md5=b099de044c354dda7a335264fa5bf2f7</t>
  </si>
  <si>
    <t>Claremont Graduate University, Claremont, CA, United States; Rancho Cucamonga, United States</t>
  </si>
  <si>
    <t>Ringler, N., Claremont Graduate University, Claremont, CA, United States, Rancho Cucamonga, United States</t>
  </si>
  <si>
    <t>Ringler, N.United States; email: noah.ringler@cgu.edu</t>
  </si>
  <si>
    <t>Leadership and Crypto-Currency in the Era of Crowd Economy</t>
  </si>
  <si>
    <t>10.1007/978-3-319-74216-8_33</t>
  </si>
  <si>
    <t>57189066793;57514952200;57475048500;</t>
  </si>
  <si>
    <t>The rapid development of IT technology has led to a serious change in many spheres of economic life. The centuries-old order of financial and monetary transactions is changing. The role of the state and its institutions in the conduct of many payment, settlement, and investment operations is significantly and rapidly compressed. At the same time, there is no complete understanding of how to build the circulation of nonmonetary money and safe work in the conditions of crowd technologies development. The purpose of the study is to analyze the results of the development of crypto-currencies, history and mechanisms of their distribution, definition of economic essence, and stability of non-fiat money. The article discusses the role of crypto-currency in the evolution of money, reveals the main trends underlying this process, and justifies the inevitability of further development of circulation and payment instruments. The consequences of using virtual money for monetary regulation of the economy are analyzed. Additionally, the reaction of the monetary authorities to the undergoing changes is estimated. © 2018, Springer International Publishing AG, part of Springer Nature.</t>
  </si>
  <si>
    <t>Maramygin M., Prokofieva E., Pishchulov V.</t>
  </si>
  <si>
    <t>Springer Proceedings in Business and Economics</t>
  </si>
  <si>
    <t>https://www.scopus.com/inward/record.uri?eid=2-s2.0-85125669292&amp;doi=10.1007%2f978-3-319-74216-8_33&amp;partnerID=40&amp;md5=fa33794575e3342731870ebcafbd80db</t>
  </si>
  <si>
    <t>Ural State University of Economics, Yekaterinburg, Russian Federation</t>
  </si>
  <si>
    <t>Maramygin, M., Ural State University of Economics, Yekaterinburg, Russian Federation; Prokofieva, E., Ural State University of Economics, Yekaterinburg, Russian Federation; Pishchulov, V., Ural State University of Economics, Yekaterinburg, Russian Federation</t>
  </si>
  <si>
    <t>Maramygin, M.; Ural State University of EconomicsRussian Federation</t>
  </si>
  <si>
    <t>Learning Fine-Grained Knowledge about Contingent Relations between Everyday Events</t>
  </si>
  <si>
    <t>55407991000;57219482127;55461478300;</t>
  </si>
  <si>
    <t>Much of the user-generated content on social media is provided by ordinary people telling stories about their daily lives. We develop and test a novel method for learning fine-grained common-sense knowledge from these stories about contingent (causal and conditional) relationships between everyday events. This type of knowledge is useful for text and story understanding, information extraction, question answering, and text summarization. We test and compare different methods for learning contingency relation, and compare what is learned from topic-sorted story collections vs. general-domain stories. Our experiments show that using topic-specific datasets enables learning finer-grained knowledge about events and results in significant improvement over the baselines. An evaluation on Amazon Mechanical Turk shows 82% of the relations between events that we learn from topic-sorted stories are judged as contingent. © 2016 Association for Computational Linguistics.</t>
  </si>
  <si>
    <t>Rahimtoroghi E., Hernandez E., Walker M.A.</t>
  </si>
  <si>
    <t>SIGDIAL 2016 - 17th Annual Meeting of the Special Interest Group on Discourse and Dialogue, Proceedings of the Conference</t>
  </si>
  <si>
    <t>https://www.scopus.com/inward/record.uri?eid=2-s2.0-85021669168&amp;partnerID=40&amp;md5=a13bc20a99397f8464ee3003f75f4baf</t>
  </si>
  <si>
    <t>Natural Language and Dialogue Systems Lab., Department of Computer Science, University of California Santa Cruz, Santa Cruz, CA  95064, United States</t>
  </si>
  <si>
    <t>Rahimtoroghi, E., Natural Language and Dialogue Systems Lab., Department of Computer Science, University of California Santa Cruz, Santa Cruz, CA  95064, United States; Hernandez, E., Natural Language and Dialogue Systems Lab., Department of Computer Science, University of California Santa Cruz, Santa Cruz, CA  95064, United States; Walker, M.A., Natural Language and Dialogue Systems Lab., Department of Computer Science, University of California Santa Cruz, Santa Cruz, CA  95064, United States</t>
  </si>
  <si>
    <t>MAISE: A Flexible, Configurable, Extensible Open Source Package for Mass AI System Evaluation</t>
  </si>
  <si>
    <t>51865169100;</t>
  </si>
  <si>
    <t>The past few years have seen an increasing interest in using Amazon's Mechanical Turk for purposes of collecting data and performing annotation tasks. One such task is the mass evaluation of system output in a variety of tasks. In this paper, we present MAISE, a package that allows researchers to evaluate the output of their AI system(s) using human judgments collected via Amazon's Mechanical Turk, greatly streamlining the process. MAISE is open source, easy to run, and platform-independent. The core of MAISE's codebase was used for the manual evaluation of WMT10, and the completed package is being used again in the current evaluation for WMT11. In this paper, we describe the main features, functionality, and usage of MAISE, which is now available for download and use. © 2011 Association for Computational Linguistics</t>
  </si>
  <si>
    <t>Zaidan O.F.</t>
  </si>
  <si>
    <t>WMT 2011 - 6thWorkshop on Statistical Machine Translation, Proceedings of the Workshop</t>
  </si>
  <si>
    <t>https://www.scopus.com/inward/record.uri?eid=2-s2.0-85122004593&amp;partnerID=40&amp;md5=0962e0b1247c8b65d777a6321104f51f</t>
  </si>
  <si>
    <t>Dept. of Computer Science, The Center for Language and Speech Processing, Johns Hopkins University, Baltimore, MD  21218, United States</t>
  </si>
  <si>
    <t>Zaidan, O.F., Dept. of Computer Science, The Center for Language and Speech Processing, Johns Hopkins University, Baltimore, MD  21218, United States</t>
  </si>
  <si>
    <t>Zaidan, O.F.; Dept. of Computer Science, United States; email: ozaidan@cs.jhu.edu</t>
  </si>
  <si>
    <t>Manually Acquiring Targets From Multiple Viewpoints Using Video Feedback</t>
  </si>
  <si>
    <t>10.1177/00187208221093829</t>
  </si>
  <si>
    <t>57667847000;57669505300;57208164506;56032346700;6701816786;15060220700;7004128002;35609269200;</t>
  </si>
  <si>
    <t>Objective: The effect of camera viewpoint was studied when performing visually obstructed psychomotor targeting tasks. Background: Previous research in laparoscopy and robotic teleoperation found that complex perceptual-motor adaptations associated with misaligned viewpoints corresponded to degraded performance in manipulation. Because optimal camera positioning is often unavailable in restricted environments, alternative viewpoints that might mitigate performance effects are not obvious. Methods: A virtual keyboard-controlled targeting task was remotely distributed to workers of Amazon Mechanical Turk. The experiment was performed by 192 subjects for a static viewpoint with independent parameters of target direction, Fitts’ law index of difficulty, viewpoint azimuthal angle (AA), and viewpoint polar angle (PA). A dynamic viewpoint experiment was also performed by 112 subjects in which the viewpoint AA changed after every trial. Results: AA and target direction had significant effects on performance for the static viewpoint experiment. Movement time and travel distance increased while AA increased until there was a discrete improvement in performance for 180°. Increasing AA from 225° to 315° linearly decreased movement time and distance. There were significant main effects of current AA and magnitude of transition for the dynamic viewpoint experiment. Orthogonal direction and no-change viewpoint transitions least affected performance. Conclusions: Viewpoint selection should aim to minimize associated rotations within the manipulation plane when performing targeting tasks whether implementing a static or dynamic viewing solution. Because PA rotations had negligible performance effects, PA adjustments may extend the space of viable viewpoints. Applications: These results can inform viewpoint selection for visual feedback during psychomotor tasks. © 2022, Human Factors and Ergonomics Society.</t>
  </si>
  <si>
    <t>Ramesh B., Konstant A., Praveena P., Senft E., Gleicher M., Mutlu B., Zinn M., Radwin R.G.</t>
  </si>
  <si>
    <t>https://www.scopus.com/inward/record.uri?eid=2-s2.0-85130200305&amp;doi=10.1177%2f00187208221093829&amp;partnerID=40&amp;md5=75adc2b33364738d191e1f73becea634</t>
  </si>
  <si>
    <t>University of Wisconsin-Madison, United States</t>
  </si>
  <si>
    <t>Ramesh, B., University of Wisconsin-Madison, United States; Konstant, A., University of Wisconsin-Madison, United States; Praveena, P., University of Wisconsin-Madison, United States; Senft, E., University of Wisconsin-Madison, United States; Gleicher, M., University of Wisconsin-Madison, United States; Mutlu, B., University of Wisconsin-Madison, United States; Zinn, M., University of Wisconsin-Madison, United States; Radwin, R.G., University of Wisconsin-Madison, United States</t>
  </si>
  <si>
    <t>Radwin, R.G.; University of Wisconsin-MadisonUnited States; email: rradwin@wisc.edu</t>
  </si>
  <si>
    <t>Measurement of Adverse Childhood Experiences: It Matters</t>
  </si>
  <si>
    <t>10.1016/j.amepre.2021.05.043</t>
  </si>
  <si>
    <t>22235648300;26326459700;54986861500;30267787100;57192592671;13104266300;26436409300;</t>
  </si>
  <si>
    <t>Introduction: Alternative measurement approaches for adverse childhood experiences (i.e., count score versus individual adverse childhood experiences measured dichotomously versus individual adverse childhood experiences measured ordinally) can alter the association between adverse childhood experiences and adverse outcomes. This could significantly impact the interpretation of adverse childhood experiences research. Methods: Data were collected in 2018 (analyzed in 2020) via Amazon's Mechanical Turk and from people incarcerated in 4 correctional facilities (N=1,451). Included adverse childhood experience questions measured the following: physical, emotional, and sexual abuse; physical and emotional neglect; household mental illness, substance use, domestic violence, and incarceration; and exposure to community violence before age 18 years. A total of 19 measured outcomes spanned 4 domains of functioning: general functioning, substance use, psychopathology, and criminal behavior. Results: Regression models using the count score explained the least amount of variance in outcomes, whereas multivariable regression models assessing adverse childhood experiences on a continuum explained the most variance. In many instances, the explained variance increased by 2–5 times across the predictive models. When comparing regression coefficients for multivariable regression models that measured adverse childhood experiences as binary versus ordinal, there were notable differences in the effect sizes and in which adverse childhood experiences predicted outcomes. Disparities in results were most pronounced among high-risk populations that experience a disproportionate amount of adverse childhood experiences. Conclusions: Alternative methods of measuring adverse childhood experiences can influence understanding of their true impact. These findings suggest that the deleterious effects of imprecise measurement methods may be most pronounced in the populations most at risk of adverse childhood experiences. For the sake of prevention, the measurement of adverse childhood experiences must evolve. © 2021 American Journal of Preventive Medicine</t>
  </si>
  <si>
    <t>Reidy D.E., Niolon P.H., Estefan L.F., Kearns M.C., D'Inverno A.S., Marker C.D., Merrick M.T.</t>
  </si>
  <si>
    <t>American Journal of Preventive Medicine</t>
  </si>
  <si>
    <t>https://www.scopus.com/inward/record.uri?eid=2-s2.0-85114330479&amp;doi=10.1016%2fj.amepre.2021.05.043&amp;partnerID=40&amp;md5=bd34df553280cbb9c5e0935e3789d4f1</t>
  </si>
  <si>
    <t>School of Public Health, Georgia State University, Atlanta, Georgia, Georgia; Center for Research on Interpersonal Violence, Georgia State University, Atlanta, Georgia, Georgia; Division of Violence Prevention, Centers for Disease Control and Prevention, Atlanta, Georgia, Georgia; College of Health Professions, Mercer University, Atlanta, Georgia, Georgia; Prevent Child Abuse America, Chicago, IL, United States</t>
  </si>
  <si>
    <t>Reidy, D.E., School of Public Health, Georgia State University, Atlanta, Georgia, Georgia, Center for Research on Interpersonal Violence, Georgia State University, Atlanta, Georgia, Georgia; Niolon, P.H., Division of Violence Prevention, Centers for Disease Control and Prevention, Atlanta, Georgia, Georgia; Estefan, L.F., Division of Violence Prevention, Centers for Disease Control and Prevention, Atlanta, Georgia, Georgia; Kearns, M.C., Division of Violence Prevention, Centers for Disease Control and Prevention, Atlanta, Georgia, Georgia; D'Inverno, A.S., Division of Violence Prevention, Centers for Disease Control and Prevention, Atlanta, Georgia, Georgia; Marker, C.D., College of Health Professions, Mercer University, Atlanta, Georgia, Georgia; Merrick, M.T., Prevent Child Abuse America, Chicago, IL, United States</t>
  </si>
  <si>
    <t>Reidy, D.E.; School of Public Health, United States; email: dreidy@gsu.edu</t>
  </si>
  <si>
    <t>Measuring self-efficacy to approach contamination: Development and validation of the facing-contamination self-efficacy scale</t>
  </si>
  <si>
    <t>10.1007/s12144-018-0029-y</t>
  </si>
  <si>
    <t>57204479226;15923637700;56817029300;</t>
  </si>
  <si>
    <t>Despite a rich literature on the effects of self-efficacy (SE) on various outcomes, there is little discussion of its effects on obsessive-compulsive disorder (OCD). The purpose of this study was to develop and validate the Facing-Contamination Self-Efficacy Scale (FC-SES), a measure of beliefs about one’s capability to face OCD-relevant contamination triggers. The final sample consisted of 129 participants, age 18 and over, who were recruited through Amazon’s Mechanical Turk. Factor structure, reliability, and validity were assessed using exploratory factor analysis, Cronbach’s alpha, and correlational analyses, respectively. Factor analysis yielded 2 clearly interpretable factors: human-related contamination (9 items), and animal-related contamination (5 items). The 14-item FC-SES demonstrated very good internal consistency reliability (α =.87), as well as good convergent and discriminant validity. Results suggest the FC-SES is a valid and reliable tool that can be used in future research exploring the relationship between SE and contamination-related OCD symptoms. © 2018, Springer Science+Business Media, LLC, part of Springer Nature.</t>
  </si>
  <si>
    <t>Merling L.F., Siev J., Lit K.</t>
  </si>
  <si>
    <t>https://www.scopus.com/inward/record.uri?eid=2-s2.0-85055751913&amp;doi=10.1007%2fs12144-018-0029-y&amp;partnerID=40&amp;md5=b71104e5247a184a96338de916aa867f</t>
  </si>
  <si>
    <t>College of Psychology, Nova Southeastern University, 3301 College Avenue, Fort Lauderdale, FL  33314, United States; Department of Psychology, Swarthmore College, 500 College Avenue, Swarthmore, PA  19081, United States</t>
  </si>
  <si>
    <t>Merling, L.F., College of Psychology, Nova Southeastern University, 3301 College Avenue, Fort Lauderdale, FL  33314, United States; Siev, J., Department of Psychology, Swarthmore College, 500 College Avenue, Swarthmore, PA  19081, United States; Lit, K., College of Psychology, Nova Southeastern University, 3301 College Avenue, Fort Lauderdale, FL  33314, United States</t>
  </si>
  <si>
    <t>Merling, L.F.; College of Psychology, 3301 College Avenue, United States; email: lm1675@mynsu.nova.edu</t>
  </si>
  <si>
    <t>Mechanical Turk data collection in addiction research: utility, concerns and best practices</t>
  </si>
  <si>
    <t>10.1111/add.15032</t>
  </si>
  <si>
    <t>57192981667;7102127416;</t>
  </si>
  <si>
    <t>Aims: Amazon Mechanical Turk (MTurk) provides a crowdsourcing platform for the engagement of potential research participants with data collection instruments. This review (1) provides an introduction to the mechanics and validity of MTurk research; (2) gives examples of MTurk research; and (3) discusses current limitations and best practices in MTurk research. Methods: We review four use cases of MTurk for research relevant to addictions: (1) the development of novel measures, (2) testing interventions, (3) the collection of longitudinal use data to determine the feasibility of longer-term studies of substance use and (4) the completion of large batteries of assessments to characterize the relationships between measured constructs. We review concerns with the platform, ways of mitigating these and important information to include when presenting findings. Results: MTurk has proved to be a useful source of data for behavioral science more broadly, with specific applications to addiction science. However, it is still not appropriate for all use cases, such as population-level inference. To live up to the potential of highly transparent, reproducible science from MTurk, researchers should clearly report inclusion/exclusion criteria, data quality checks and reasons for excluding collected data, how and when data were collected and both targeted and actual participant compensation. Conclusions: Although on-line survey research is not a substitute for random sampling or clinical recruitment, the Mechanical Turk community of both participants and researchers has developed multiple tools to promote data quality, fairness and rigor. Overall, Mechanical Turk has provided a useful source of convenience samples despite its limitations and has demonstrated utility in the engagement of relevant groups for addiction science. © 2020 Society for the Study of Addiction</t>
  </si>
  <si>
    <t>Mellis A.M., Bickel W.K.</t>
  </si>
  <si>
    <t>Addiction</t>
  </si>
  <si>
    <t>https://www.scopus.com/inward/record.uri?eid=2-s2.0-85082687104&amp;doi=10.1111%2fadd.15032&amp;partnerID=40&amp;md5=d0fb92e7c6b079ee9069d816b67f5803</t>
  </si>
  <si>
    <t>Addiction Recovery Research Center, Fralin Biomedical Research Institute at VTCVA, United States</t>
  </si>
  <si>
    <t>Mellis, A.M., Addiction Recovery Research Center, Fralin Biomedical Research Institute at VTCVA, United States; Bickel, W.K., Addiction Recovery Research Center, Fralin Biomedical Research Institute at VTCVA, United States</t>
  </si>
  <si>
    <t>Bickel, W.K.; Addiction Recovery Research Center, United States; email: wkbickel@vtc.vt.edu</t>
  </si>
  <si>
    <t>Mediating the relationship between neuroticism and depressive, anxiety and eating disorder symptoms: The role of intolerance of uncertainty and cognitive flexibility</t>
  </si>
  <si>
    <t>10.1016/j.jadr.2021.100101</t>
  </si>
  <si>
    <t>57474534800;23397068700;</t>
  </si>
  <si>
    <t>Background: Research has found that IU (Intolerance of Uncertainty) and CF (Cognitive Flexibility) have separately been associated with depression, anxiety and eating disorders as a transdiagnostic vulnerability. This study evaluated the mediational effect of both IU and CF on the relationship between neuroticism and depressive, anxiety and eating disorder symptoms. We hypothesised that IU and CF when examined together would both significantly mediate the relationship between neuroticism and depression, generalised anxiety, panic disorder, social phobia, PTSD and eating disorder symptoms. Methods: Data was collected through advertising the study at a university campus, Amazon Mechanical Turk and a university psychology clinic. Participants included a total of 717 individuals for which data was available. Mediation analyses were conducted using the PROCESS macro in SPSS. Results: IU and CF were found to significantly mediate the relationship between neuroticism and symptom measures of depression, generalised anxiety, panic disorder, social phobia and PTSD. IU, but not CF, significantly mediated the relationship between neuroticism and eating disorder symptoms. All analyses controlled for gender. Limitations: The study's limitations include the cross-sectional design precluding causality and that participants provided self-report data. Conclusions: IU and CF are transdiagnostic mediators in the relationship between neuroticism and depression and anxiety. IU was also found to be a significant mediator for eating disorder symptoms but CF was not. Findings suggest the importance of focusing on the these factors during assessment and treatment across emotional and eating disorders. © 2021</t>
  </si>
  <si>
    <t>Clarke E., Kiropoulos L.A.</t>
  </si>
  <si>
    <t>Journal of Affective Disorders Reports</t>
  </si>
  <si>
    <t>https://www.scopus.com/inward/record.uri?eid=2-s2.0-85125604650&amp;doi=10.1016%2fj.jadr.2021.100101&amp;partnerID=40&amp;md5=64e45b16f05d0d5d31cdc6cd58e9a94d</t>
  </si>
  <si>
    <t>Mood and Anxiety Disorders Lab, Melbourne School of Psychological Sciences, University of Melbourne, Victoria, 3010, Australia</t>
  </si>
  <si>
    <t>Clarke, E., Mood and Anxiety Disorders Lab, Melbourne School of Psychological Sciences, University of Melbourne, Victoria, 3010, Australia; Kiropoulos, L.A., Mood and Anxiety Disorders Lab, Melbourne School of Psychological Sciences, University of Melbourne, Victoria, 3010, Australia</t>
  </si>
  <si>
    <t>Kiropoulos, L.A.; Mood and Anxiety Disorders Lab, Australia; email: litzak@unimelb.edu.au</t>
  </si>
  <si>
    <t>Methodology to integrate ergonomics information in contextualized digital work instructions</t>
  </si>
  <si>
    <t>10.1016/j.procir.2022.02.173</t>
  </si>
  <si>
    <t>57045712400;57045968300;57383967800;6507706724;6701596576;35145389900;</t>
  </si>
  <si>
    <t>Musculoskeletal disorders (MSDs), often caused by working in non-ergonomic circumstances, are the most important category of work-related diseases. Different methods exist for examining ergonomics through a variety of postural evaluation techniques (e.g. Rapid Entire Body Assessment (REBA)), which are mostly performed through manual survey-based observations. Consequently, measuring ergonomics of operators is time-consuming and happens only sporadically, often after problems occur. Furthermore, as an ergonomist must assign a score to the performed activity, the ergonomics evaluation is subjective. These problems can be resolved by continuous and automated ergonomic load monitoring methods that directly provide feedback to operators. In order to monitor the operator without interfering the task at hand, a vision-based ergonomics monitoring system is developed. Here, ergonomic features (e.g. joint angles) are estimated based on multiple video streams, which are used to calculate an objective ergonomic score using a standard ergonomics evaluation technique. Although cognitive operator support systems (i.e. digital work instructions) for manual assembly environments are widely used, they do typically not include ergonomics information. The goal of the methodology presented in this work is to a) formulate or update digital work instructions, b) provide the operator feedback on its ergonomic soundness via work instructions and c) generate ergonomic risk level reports in an automated way based on the outcomes of the vision-based ergonomics evaluator. Making the ergonomic guidelines context-aware ensures that interventions occur at the right time. The methodology is integrated in a framework for context-aware work instructions and is validated via a proof of concept, based on an actual industrial case. Results show that context-awareness enhances user acceptance and ergonomics of the operator. © 2022 Elsevier B.V.. All rights reserved.</t>
  </si>
  <si>
    <t>Claeys A., Hoedt S., Domken C., Aghezzaf E.-H., Claeys D., Cottyn J.</t>
  </si>
  <si>
    <t>Procedia CIRP</t>
  </si>
  <si>
    <t>https://www.scopus.com/inward/record.uri?eid=2-s2.0-85127498063&amp;doi=10.1016%2fj.procir.2022.02.173&amp;partnerID=40&amp;md5=a6dea0eca145663205018e03e2ff2b17</t>
  </si>
  <si>
    <t>Department of Industrial Systems Engineering and Product Design, Ghent University, Technologiepark 903, Gent-Zwijnaarde9052, Belgium; Industrial Systems Engineering (ISyE), Flanders Make, Belgium; DecisionS Core Lab, Oude Dietersebaan 133, Flanders Make, Lommel, 3920, Belgium</t>
  </si>
  <si>
    <t>Claeys, A., Department of Industrial Systems Engineering and Product Design, Ghent University, Technologiepark 903, Gent-Zwijnaarde9052, Belgium, Industrial Systems Engineering (ISyE), Flanders Make, Belgium; Hoedt, S., Department of Industrial Systems Engineering and Product Design, Ghent University, Technologiepark 903, Gent-Zwijnaarde9052, Belgium, Industrial Systems Engineering (ISyE), Flanders Make, Belgium; Domken, C., DecisionS Core Lab, Oude Dietersebaan 133, Flanders Make, Lommel, 3920, Belgium; Aghezzaf, E.-H., Department of Industrial Systems Engineering and Product Design, Ghent University, Technologiepark 903, Gent-Zwijnaarde9052, Belgium, Industrial Systems Engineering (ISyE), Flanders Make, Belgium; Claeys, D., Department of Industrial Systems Engineering and Product Design, Ghent University, Technologiepark 903, Gent-Zwijnaarde9052, Belgium, Industrial Systems Engineering (ISyE), Flanders Make, Belgium; Cottyn, J., Department of Industrial Systems Engineering and Product Design, Ghent University, Technologiepark 903, Gent-Zwijnaarde9052, Belgium, Industrial Systems Engineering (ISyE), Flanders Make, Belgium</t>
  </si>
  <si>
    <t>Claeys, A.; Department of Industrial Systems Engineering and Product Design, Technologiepark 903, Gent-Zwijnaarde, Belgium; email: arno.claeys@ugent.be</t>
  </si>
  <si>
    <t>Micro-syntactic variation in American English Negative Concord</t>
  </si>
  <si>
    <t>10.5334/gjgl.188</t>
  </si>
  <si>
    <t>57201398351;</t>
  </si>
  <si>
    <t>This paper presents a series of quantitative gradient acceptability judgment studies of English negative sentences. Adult native speakers of American English recruited via Amazon’s Mechanical Turk were asked to rate sentences on a scale of 1 to 7 on the basis of their naturalness. The main study compares sentences with the marker n’t and either a negative object (e.g. ‘John didn’t eat nothing’) or a negative subject in canonical position (‘nobody didn’t eat’). Each sentence type has two possible interpretations, one in which the two negatives contribute a single semantic negation, the so-called Negative Concord reading, and another in which the two negations yield a semantic Double Negation logically equivalent to an affirmative. While mean acceptability ratings were below the median for all items, statistical analyses of the gradient data revealed that speakers prefer Negative Concord over Double Negation readings for sentences with negative objects. To rule out a processing explanation for the preference for negative objects over sentence initial negatives, a follow-up study tested the acceptability of sentences with a single negative subject or object and no negative marker. This revealed a preference for subjects, suggesting that the object preference in the two negatives study is a true grammatical effect. A third study revealed that Double Negation constructions are unacceptable overall even in explicit denial contexts, and a fourth study added Negative Auxiliary Inversion constructions (e.g. ‘Didn’t nobody eat’), to compare three types of Negative Concord. The results of all four studies are argued to reveal an English grammar that generates both Negative Concord and Double Negation, and in which Negative Concord is generated despite its unacceptability and reported absence in usage. © 2017 The Author(s).</t>
  </si>
  <si>
    <t>Blanchette F.</t>
  </si>
  <si>
    <t>Glossa</t>
  </si>
  <si>
    <t>https://www.scopus.com/inward/record.uri?eid=2-s2.0-85110108173&amp;doi=10.5334%2fgjgl.188&amp;partnerID=40&amp;md5=835dba9599cb361cbe82aa4ab48604b5</t>
  </si>
  <si>
    <t>Pennsylvania State University, 111 Moore Building, University Park, United States</t>
  </si>
  <si>
    <t>Blanchette, F., Pennsylvania State University, 111 Moore Building, University Park, United States</t>
  </si>
  <si>
    <t>Blanchette, F.; Pennsylvania State University, 111 Moore Building, United States; email: fkb1@psu.edu</t>
  </si>
  <si>
    <t>Misconceptions, myths, and mystery: A Cross-Sectional Survey Study on Public Knowledge and Values of Microsurgery</t>
  </si>
  <si>
    <t>10.1055/a-1896-5598</t>
  </si>
  <si>
    <t>57218293812;57776080200;57817196200;57547705000;57818011300;57212668504;8693135200;35234023600;</t>
  </si>
  <si>
    <t>Background: Microsurgery is a foundational plastic surgery principle. However, public unawareness of microsurgery and its associated rigorous training in the USA, may contribute to current misconceptions and undervaluing of plastic and reconstructive surgeons (PRS). This study aims to characterize public knowledge of microsurgery. Methods: A cross-sectional survey was conducted from August to September 2021 using Amazon Mechanical Turk to assess baseline public knowledge of microsurgery. A multivariable logistic regression model was constructed to evaluate the association between baseline knowledge and demographic characteristics. Significance was set to a p&lt;0.05. Results: A total of 516 responses were analyzed. The mean age was 36.7 SD 16.04 years (White 84%, and non-Hispanic 70%). Of those surveyed, 52% agreed that general surgeons perform microsurgery, while only 28% agreed that PRS perform microsurgery. When asked if head and neck reconstruction, breast reconstruction, and finger replantation required microsurgery, only 28%, 41%, and 41% of respondents agreed, respectively. When controlled for sociodemographic factors, Hispanics had significantly more odds to mistake that head and neck reconstruction did not require microsurgery (OR 0.49, 0.30-0.80, p 0.004) and less odds to consider PRS for reconstruction (OR 0.51, 0.32-0.84, p 0.008). Females had 1.63 more odds of considering PRS for reconstruction (1.09-2.43 p 0.017). Low-educated subjects had significantly more odds to consider general surgeons as those who performed reconstructive microsurgery (OR 8.70, 1.09-69.40, p 0.041) Conclusions: Misconceptions of microsurgery as a foundational principle of plastic surgery persist and correlate with undervaluing the specialty. Knowledge differs by ethnicity, level of education, and gender. Therefore, patient counseling should use culturally appropriate elements to demystify microsurgery, build value, and better inform risks and benefits. © 2022 Thieme Medical Publishers, Inc.. All rights reserved.</t>
  </si>
  <si>
    <t>Bustos V.P., Xun H., McLarney J., Haddad A., Hyland C.J., Nassar A.H., Lin S.J., Lee B.T.</t>
  </si>
  <si>
    <t>Journal of Reconstructive Microsurgery</t>
  </si>
  <si>
    <t>https://www.scopus.com/inward/record.uri?eid=2-s2.0-85134847942&amp;doi=10.1055%2fa-1896-5598&amp;partnerID=40&amp;md5=1794c425c628187cd9b3f9e028dddee0</t>
  </si>
  <si>
    <t>Division of Plastic and Reconstructive Surgery, Beth Israel Deaconess Medical Center, Harvard Medical School, Boston, United States</t>
  </si>
  <si>
    <t>Bustos, V.P., Division of Plastic and Reconstructive Surgery, Beth Israel Deaconess Medical Center, Harvard Medical School, Boston, United States; Xun, H., Division of Plastic and Reconstructive Surgery, Beth Israel Deaconess Medical Center, Harvard Medical School, Boston, United States; McLarney, J., Division of Plastic and Reconstructive Surgery, Beth Israel Deaconess Medical Center, Harvard Medical School, Boston, United States; Haddad, A., Division of Plastic and Reconstructive Surgery, Beth Israel Deaconess Medical Center, Harvard Medical School, Boston, United States; Hyland, C.J., Division of Plastic and Reconstructive Surgery, Beth Israel Deaconess Medical Center, Harvard Medical School, Boston, United States; Nassar, A.H., Division of Plastic and Reconstructive Surgery, Beth Israel Deaconess Medical Center, Harvard Medical School, Boston, United States; Lin, S.J., Division of Plastic and Reconstructive Surgery, Beth Israel Deaconess Medical Center, Harvard Medical School, Boston, United States; Lee, B.T., Division of Plastic and Reconstructive Surgery, Beth Israel Deaconess Medical Center, Harvard Medical School, Boston, United States</t>
  </si>
  <si>
    <t>Bustos, V.P.; Division of Plastic and Reconstructive Surgery, United States; email: vbustos@bidmc.harvard.edu</t>
  </si>
  <si>
    <t>Mobile workers, contingent labour: Migration, the gig economy and the multiplication of labour</t>
  </si>
  <si>
    <t>10.1177/0308518X211054846</t>
  </si>
  <si>
    <t>57202258345;</t>
  </si>
  <si>
    <t>The article takes the surprising exit of the food delivery platform Deliveroo from Berlin as a starting point to analyse the relationship between migration and the gig economy. In Berlin and many cities across the globe, migrant workers are indispensable to the operations of digital platforms such as Uber, Helpling, or Deliveroo. The article uses in-depth ethnographic and qualitative research to show how the latter's exit from Berlin provides an almost exemplary picture of why urban gig economy platforms are strongholds of migrant labour, while at the same time, demonstrating the very contingency of this form of work. The article analyses the specific reasons why digital platforms are particularly open to migrants and argues that the very combination of new forms of algorithmic management and hyper-flexible forms of employment that is characteristic of gig economy platforms is also the reason why these platforms are geared perfectly toward the exploitation of migrant labour. This allows the analysis of digital platforms in the context of stratified labour markets and situates them within a long history of contingent labour that is closely intertwined with the mobility of labour. © The Author(s) 2021.</t>
  </si>
  <si>
    <t>Altenried M.</t>
  </si>
  <si>
    <t>Environment and Planning A</t>
  </si>
  <si>
    <t>https://www.scopus.com/inward/record.uri?eid=2-s2.0-85119151034&amp;doi=10.1177%2f0308518X211054846&amp;partnerID=40&amp;md5=994c93e6f0d1a5ffc638a1c23bedb76e</t>
  </si>
  <si>
    <t>Humboldt-Universität zu Berlin, Institute for European Ethnology, Berlin Institute for Integration and Migration Research (BIM), Germany</t>
  </si>
  <si>
    <t>Altenried, M., Humboldt-Universität zu Berlin, Institute for European Ethnology, Berlin Institute for Integration and Migration Research (BIM), Germany</t>
  </si>
  <si>
    <t>Altenried, M.; Humboldt-Universität zu Berlin, Germany; email: moritz.altenried@hu-berlin.de</t>
  </si>
  <si>
    <t>Mobilizing Crowdwork:A Systematic Assessment of the Mobile Usability of HITs</t>
  </si>
  <si>
    <t>10.1145/3491102.3501876</t>
  </si>
  <si>
    <t>57422034600;56157632600;57703647000;57703419200;56926698700;55752661600;</t>
  </si>
  <si>
    <t>There is a growing interest in extending crowdwork beyond traditional desktop-centric design to include mobile devices (e.g., smartphones). However, mobilizing crowdwork remains significantly tedious due to a lack of understanding about the mobile usability requirements of human intelligence tasks (HITs). We present a taxonomy of characteristics that defines the mobile usability of HITs for smartphone devices. The taxonomy is developed based on findings from a study of three consecutive steps. In Step 1, we establish an initial design of our taxonomy through a targeted literature analysis. In Step 2, we verify and extend the taxonomy through an online survey with Amazon Mechanical Turk crowdworkers. Finally, in Step 3 we demonstrate the taxonomy's utility by applying it to analyze the mobile usability of a dataset of scraped HITs. In this paper, we present the iterative development of the taxonomy, highlighting the observed practices and preferences around mobile crowdwork. We conclude with the implications of our taxonomy for accessibly and ethically mobilizing crowdwork not only within the context of smartphone devices, but beyond them. © 2022 ACM.</t>
  </si>
  <si>
    <t>Dutta S., Linder R., Lowe D., Rosenbalm R., Kuzminykh A., Williams A.C.</t>
  </si>
  <si>
    <t>https://www.scopus.com/inward/record.uri?eid=2-s2.0-85130575027&amp;doi=10.1145%2f3491102.3501876&amp;partnerID=40&amp;md5=0e3a3d229606d212938175a2ff156066</t>
  </si>
  <si>
    <t>Department of Electrical Engineering and Computer Science, University of Tennessee, Knoxville, TN, United States; Faculty of Information, University of Toronto, Toronto, ON, Canada</t>
  </si>
  <si>
    <t>Dutta, S., Department of Electrical Engineering and Computer Science, University of Tennessee, Knoxville, TN, United States; Linder, R., Department of Electrical Engineering and Computer Science, University of Tennessee, Knoxville, TN, United States; Lowe, D., Department of Electrical Engineering and Computer Science, University of Tennessee, Knoxville, TN, United States; Rosenbalm, R., Department of Electrical Engineering and Computer Science, University of Tennessee, Knoxville, TN, United States; Kuzminykh, A., Faculty of Information, University of Toronto, Toronto, ON, Canada; Williams, A.C., Department of Electrical Engineering and Computer Science, University of Tennessee, Knoxville, TN, United States</t>
  </si>
  <si>
    <t>Mturk for working samples: Evaluation of data quality 2014 – 2020</t>
  </si>
  <si>
    <t>35173367100;57364381400;57364756100;</t>
  </si>
  <si>
    <t>This study examines the quality of Amazon's Mechanical Turk data in 46 (N = 14,604) separate research studies from 2011 to 2020. We sampled data from graduate student theses and coded data on the percentage of male and female respondents, percent of "usable" (i.e., accurate and attentively filled out) respondent data after quality assurance checks, amount of money paid to participants, age of participants, percentage of White and Black respondents, the year of the study, and whether or not the study used quality assurance checks. We found that use of attention checks negatively correlated with usable data. MTurk also overrepresents particular segments of the U.S. population. Specifically, we found that MTurk overrepresents younger, White, and male in United States samples. We also found that increasing pay did not significantly correlate with greater quality of data. © NAJP.</t>
  </si>
  <si>
    <t>Nadler J., Baumgartner S., Washington M.</t>
  </si>
  <si>
    <t>North American Journal of Psychology</t>
  </si>
  <si>
    <t>https://www.scopus.com/inward/record.uri?eid=2-s2.0-85120710041&amp;partnerID=40&amp;md5=208011317050c956f534453ad545f08f</t>
  </si>
  <si>
    <t>Southern Illinois University, Edwardsville, United States</t>
  </si>
  <si>
    <t>Nadler, J., Southern Illinois University, Edwardsville, United States; Baumgartner, S., Southern Illinois University, Edwardsville, United States; Washington, M., Southern Illinois University, Edwardsville, United States</t>
  </si>
  <si>
    <t>Nadler, J.; Southern Illinois University, Box 1121, United States; email: jnadler@siue.edu</t>
  </si>
  <si>
    <t>Museum coolness: creating the desire to revisit</t>
  </si>
  <si>
    <t>10.1080/02508281.2021.1885799</t>
  </si>
  <si>
    <t>27467492100;57222505624;</t>
  </si>
  <si>
    <t>Museum coolness may contribute to deepening the relationship between visitors and museums. The current research aims to identify the characteristics most associated with the museum coolness index, and empirically analyse atmospheric cues, authentic pride, and passionate desire to revisit as constructs related to the museum coolness nomological network. The current study used Amazon’s Mechanical Turk to recruit 308 UK adult participants who frequently visit museums. Participants completed a structured questionnaire with the scales of the constructs and the socio-demographic variables. The findings suggest that being considered aesthetic, authentic, energetic, high status, and useful are the most relevant characteristics to form the museum coolness index. The museum’s décor, permanent displays, facilities, and colours are the most important cues appreciated by visitors to consider a museum as cool. As outcomes of museum coolness, the current study empirically demonstrates the role of authentic pride and passionate desire to revisit. Managerial implications and future research are also suggested. © 2021 Informa UK Limited, trading as Taylor &amp; Francis Group.</t>
  </si>
  <si>
    <t>Loureiro S.M.C., Blanco T.M.</t>
  </si>
  <si>
    <t>Tourism Recreation Research</t>
  </si>
  <si>
    <t>https://www.scopus.com/inward/record.uri?eid=2-s2.0-85102924005&amp;doi=10.1080%2f02508281.2021.1885799&amp;partnerID=40&amp;md5=bfd25fb574d2123e0d06d69b60ce57e9</t>
  </si>
  <si>
    <t>ISCTE-Instituto Universitário de Lisboa and BRU-Business Research Unit, Lisbon, Portugal; ISCTE-Instituto Universitario de Lisboa, Lisbon, Portugal</t>
  </si>
  <si>
    <t>Loureiro, S.M.C., ISCTE-Instituto Universitário de Lisboa and BRU-Business Research Unit, Lisbon, Portugal; Blanco, T.M., ISCTE-Instituto Universitario de Lisboa, Lisbon, Portugal</t>
  </si>
  <si>
    <t>Loureiro, S.M.C.; ISCTE-Instituto Universitário de Lisboa and BRU-Business Research UnitPortugal; email: sandramloureiro@netcabo.pt</t>
  </si>
  <si>
    <t>Non-expert evaluation of summarization systems is risky</t>
  </si>
  <si>
    <t>13609142400;55880179500;</t>
  </si>
  <si>
    <t>We provide evidence that intrinsic evaluation of summaries using Amazon's Mechanical Turk is quite difficult. Experiments mirroring evaluation at the Text Analysis Conference's summarization track show that non-expert judges are not able to recover system rankings derived from experts. © 2010 Association for Computational Linguistics</t>
  </si>
  <si>
    <t>Gillick D., Liu Y.</t>
  </si>
  <si>
    <t>https://www.scopus.com/inward/record.uri?eid=2-s2.0-85083134080&amp;partnerID=40&amp;md5=70b91b36b7336be4b225f7579233437f</t>
  </si>
  <si>
    <t>University of California, Computer Science Division, Berkeley, United States; University of Texas, Department of Computer Science, Dallas, United States</t>
  </si>
  <si>
    <t>Gillick, D., University of California, Computer Science Division, Berkeley, United States; Liu, Y., University of Texas, Department of Computer Science, Dallas, United States</t>
  </si>
  <si>
    <t>Nonstandard Employment in the Nordics - Toward Precarious Work?1</t>
  </si>
  <si>
    <t>10.18291/njwls.v9iS6.114689</t>
  </si>
  <si>
    <t>57211197215;6507868948;7202517416;43661398900;7005872661;</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</si>
  <si>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 © 2019. All Rights Reserved.</t>
  </si>
  <si>
    <t>Rasmussen S., Nätti J., Larsen T.P., Ils⊘e A., Garde A.H.</t>
  </si>
  <si>
    <t>Nordic Journal of Working Life Studies</t>
  </si>
  <si>
    <t>https://www.scopus.com/inward/record.uri?eid=2-s2.0-85075233973&amp;doi=10.18291%2fnjwls.v9iS6.114689&amp;partnerID=40&amp;md5=5f17d7ee8a43a3254fb4a8dc7f2fefd6</t>
  </si>
  <si>
    <t>Associate Professor, Aalborg University, Center for Labour Market Research (CARMA), Denmark; Professor, University of Tampere, Faculty of Social Sciences, Finland; Associate Professor, University of Copenhagen, Employment Relations Research Centre (FAOS), Denmark; Professor, National Research Centre for the Working Environment, Denmark</t>
  </si>
  <si>
    <t>Rasmussen, S., Associate Professor, Aalborg University, Center for Labour Market Research (CARMA), Denmark; Nätti, J., Professor, University of Tampere, Faculty of Social Sciences, Finland; Larsen, T.P., Associate Professor, University of Copenhagen, Employment Relations Research Centre (FAOS), Denmark; Ils⊘e, A., Associate Professor, University of Copenhagen, Employment Relations Research Centre (FAOS), Denmark; Garde, A.H., Professor, National Research Centre for the Working Environment, Denmark</t>
  </si>
  <si>
    <t>Rasmussen, S.; Center for Labour Market Research (CARMA), Denmark</t>
  </si>
  <si>
    <t>Old Media, New Gigs: The Discursive Construction of the Gig Economy in Australian News Media</t>
  </si>
  <si>
    <t>10.1177/09500170211034663</t>
  </si>
  <si>
    <t>56405503000;57260849100;57260186200;</t>
  </si>
  <si>
    <t>This article analyses the representation of the gig economy in three Australian newspapers from 2014 to 2019. ‘Gig work’ is defined as short term, contract or freelance employment and is seen by many social institutions as the future of work. Drawing on a corpus of 426 articles, Laclau and Mouffe’s discourse theory is used to examine the construction of the ‘gig economy’ in the cultural imaginary. Five key elements emerge, including: demographics of workers; working conditions; workers’ rights; resistance and regulation; and change and disruption. Despite multiple competing discourses evident across the newspapers, each constructs the gig economy as an inexorable phase in the evolution of the relationship between capital and the worker. The article critically analyses the construction of the discourse, including the difficulties of regulating gig economy platforms and the narrative of inevitability used to describe changes to work and life brought about by technology. © The Author(s) 2021.</t>
  </si>
  <si>
    <t>Pangrazio L., Bishop C., Lee F.</t>
  </si>
  <si>
    <t>https://www.scopus.com/inward/record.uri?eid=2-s2.0-85115014392&amp;doi=10.1177%2f09500170211034663&amp;partnerID=40&amp;md5=f6f1e3e64b01cd3dd2dbc66d36e5c7db</t>
  </si>
  <si>
    <t>Deakin University, Australia</t>
  </si>
  <si>
    <t>Pangrazio, L., Deakin University, Australia; Bishop, C., Deakin University, Australia; Lee, F., Deakin University, Australia</t>
  </si>
  <si>
    <t>Pangrazio, L.; Deakin UniversityAustralia; email: luci.pangrazio@deakin.edu.au</t>
  </si>
  <si>
    <t>Online Crowdsourcing to Study Trauma andMental Health Symptoms in Military Populations: A Case for Amazon’sMechanical Turk (MTurk) Platform</t>
  </si>
  <si>
    <t>10.1037/tra0001235</t>
  </si>
  <si>
    <t>57201419461;54392860100;57210562862;57188846308;43762132500;</t>
  </si>
  <si>
    <t>Introduction: Amazon’s Mechanical Turk (MTurk) appears to be a reliable resource for studying clinical populations and accessing hard-to-reach populations. Recent research suggests that MTurk may also be a viable option for military recruitment. Objective: The goal of the current study was to examine the utility of collecting clinical data on military samples recruited via MTurk. Method: Participants were 535 military veterans (Mage = 37.45; 71.8% men; 69.5% White) who completed measures assessing trauma and mental health. Results: Findings indicate that rates of military traumas and mental health diagnoses were higher than published comparisons; posttraumatic stress disorder (PTSD) and depression symptoms were found to be higher than values found in a nationally representative sample, lower than a treatment-seeking sample, and comparable to a MTurk-recruited military sample. Alcohol misuse was found to be higher than both nationally representative and treatment-seeking samples. Psychometric analyses indicated support for convergent validity of measures, and confirmatory factor analysis results demonstrated that empirically supported factor models of PTSD were replicated in the current sample; the hybrid model demonstrated the best fit. Conclusions: Our findings support the utility of MTurk for collecting clinical data on military samples. Increasing access to and recruitment of military samples is important for advancing the field of military psychology © 2022. American Psychological Association</t>
  </si>
  <si>
    <t>Forkus S.R., Contractor A.A., Goncharenko S., Goldstein S.C., Weiss N.H.</t>
  </si>
  <si>
    <t>https://www.scopus.com/inward/record.uri?eid=2-s2.0-85131744719&amp;doi=10.1037%2ftra0001235&amp;partnerID=40&amp;md5=b41d8f24cff6097d98a59f0e4ed21055</t>
  </si>
  <si>
    <t>Department of Psychology, University of Rhode Island, United States; Department of Psychology, University of North Texas, United States</t>
  </si>
  <si>
    <t>Forkus, S.R., Department of Psychology, University of Rhode Island, United States; Contractor, A.A., Department of Psychology, University of North Texas, United States; Goncharenko, S., Department of Psychology, University of Rhode Island, United States; Goldstein, S.C., Department of Psychology, University of Rhode Island, United States; Weiss, N.H., Department of Psychology, University of Rhode Island, United States</t>
  </si>
  <si>
    <t>Weiss, N.H.; Department of Psychology, United States; email: nhweiss7@gmail.com</t>
  </si>
  <si>
    <t>Open innovation and multi-homing of delivery platforms: comparative study of Cardiff, Daegu and Nanjing</t>
  </si>
  <si>
    <t>10.1080/09654313.2022.2069463</t>
  </si>
  <si>
    <t>55419994900;57193208482;57761468900;57211443583;57190680108;</t>
  </si>
  <si>
    <t>This study aims to answer the following research question: What is the difference in the open innovation and multi-homing of the smart delivery industry among Cardiff, Daegu, and Nanjing according to the maturity of the restaurant industry of the capitalist economies they belong to? By comparing open innovation and multi-homing of delivery platforms of the three cities representing different alongside the maturity of the restaurant industry in capitalist economies, the evaluation dynamics and focal points of the delivery platform industry, this study is based on an interview method in combination with participatory observation of deliverers, customers and restaurants of the three cities: (1) Cardiff with matured restaurant industry; (2) Daegu with an unmatured restaurant industry; (3) Nanjing with the growth of the restaurant industry. The findings of this research are as follows: (1) Existing industries can disturb the growth of the delivery platform industry; (2) Multi-homing motivates a high labour state of deliverers, the acceptance of restaurants by customers and customer surplus; (3) Motivating open innovation in delivery platforms can maintain a high level after maturity stage. The study concludes that the balance between open innovation and the multi-homing of a three-sided delivery platform is the way to sustainable development to conquer the effects of the gig economy. © 2022 Informa UK Limited, trading as Taylor &amp; Francis Group.</t>
  </si>
  <si>
    <t>Yun J.J., Zhao X., Ma L., Xu Z., Liu Z.</t>
  </si>
  <si>
    <t>European Planning Studies</t>
  </si>
  <si>
    <t>https://www.scopus.com/inward/record.uri?eid=2-s2.0-85132663017&amp;doi=10.1080%2f09654313.2022.2069463&amp;partnerID=40&amp;md5=c4d082563ef93fc48b146cf327c5a410</t>
  </si>
  <si>
    <t>DGIST, Daegu, South Korea; Graduate School of Public Administration, Seoul National University, Gwanak-gu, South Korea; School of Public Affairs, Nanjing University of Science and Technology, Nanjing, China; Cardiff School of Management, Cardiff Metropolitan University, Cardiff, United Kingdom</t>
  </si>
  <si>
    <t>Yun, J.J., DGIST, Daegu, South Korea, Graduate School of Public Administration, Seoul National University, Gwanak-gu, South Korea; Zhao, X., DGIST, Daegu, South Korea; Ma, L., School of Public Affairs, Nanjing University of Science and Technology, Nanjing, China; Xu, Z., School of Public Affairs, Nanjing University of Science and Technology, Nanjing, China; Liu, Z., Cardiff School of Management, Cardiff Metropolitan University, Cardiff, United Kingdom</t>
  </si>
  <si>
    <t>Yun, J.J.R4-306, 333, Techno Jungang Daero, Hyeonpung-Myeon, Dalseong-Gun, South Korea; email: jhyun@dgist.ac.kr</t>
  </si>
  <si>
    <t>Open Innovation Business Model as an Opportunity to Enhance the Development of Sustainable Shared Mobility Industry</t>
  </si>
  <si>
    <t>10.3390/joitmc8010037</t>
  </si>
  <si>
    <t>57195259485;</t>
  </si>
  <si>
    <t>The shared mobility services market is growing and changing very rapidly. Many novelties are introduced to the systems, ranging from improvements to the services already offered to services referred to as innovative. Since the following years are to bring significant development of mobility as a service (MaaS) systems, data sharing, and cooperation on the mobility market, the article is dedicated to check whether the current business models of the industry are ready for the open innovations implementations. The article aimed to analyze the business models of shared mobility systems along with their presentation in the form of CANVAS models and to investigate whether the models contain aspects of open innovation. Moreover, the article presents its own value-added open business model prepared for the whole shared mobility market. The paper also identifies a set of open innovations that can be implemented by all types of shared mobility operators. It proposed the basis that operators can use when developing their own open business models. The developed research is an original contribution to filling the research gap concerning the approach to open innovation by operators of all types of shared mobility services available on the market. The results show that car-sharing service providers are the biggest opponents of open innovation. On the other hand, the most ‘open’ systems are bike-sharing services. The conducted research may support operators in the process of transforming their businesses into more accessible for users. It also helps to develop the open innovation concept to create more sustainable shared mobility systems along the lines of collaborative economy assumptions. © 2022 by the author. Licensee MDPI, Basel, Switzerland.</t>
  </si>
  <si>
    <t>Turoń K.</t>
  </si>
  <si>
    <t>Journal of Open Innovation: Technology, Market, and Complexity</t>
  </si>
  <si>
    <t>https://www.scopus.com/inward/record.uri?eid=2-s2.0-85124823298&amp;doi=10.3390%2fjoitmc8010037&amp;partnerID=40&amp;md5=15e5107f9794c7637c22900c9f73af3f</t>
  </si>
  <si>
    <t>Department of Road Transport, Faculty of Transport and Aviation Engineering, Silesian University of Technology, Katowice, 40-019, Poland</t>
  </si>
  <si>
    <t>Turoń, K., Department of Road Transport, Faculty of Transport and Aviation Engineering, Silesian University of Technology, Katowice, 40-019, Poland</t>
  </si>
  <si>
    <t>Turoń, K.; Department of Road Transport, Poland; email: katarzyna.turon@polsl.pl</t>
  </si>
  <si>
    <t>Opioid use, motivation to quit, and treatment status related to COVID-19: a cross-sectional study</t>
  </si>
  <si>
    <t>10.1186/s13104-021-05601-z</t>
  </si>
  <si>
    <t>56059390200;22940365800;23099162400;36473951300;</t>
  </si>
  <si>
    <t>Objective: Persons who use opioids may be at elevated risk of harm from the coronavirus disease 2019 (COVID-19) pandemic, yet few data currently exist that can be used to examine this risk. As part of a rapid response survey, this study measured opioid users’ perceptions of risk or harm from COVID-19, as well as potential changes in motivation to quit, frequency of use, and engagement with treatment. Data collected from Amazon’s Mechanical Turk (n = 562) were analyzed. Results: Participants perceived modest risk elevation from COVID-19 due to their opioid use, and perceived moderate risk to themselves or their community from COVID-19. Since learning about COVID-19, 31.2% reported decreasing their opioid use, and 26.0% reported increased motivation to quit. Thirty-seven percent of participants reported both their use and motivation to quit stayed the same; 16.6% reported decreased use and increased motivation to quit. Participants who reported that their opioid use increased after learning about COVID-19, or whose motivation to quit opioids decreased, were more likely to also be engaged in treatment than those whose use or motivation stayed the same. These preliminary findings suggest that there likely is an association between COVID-19, opioid use, and treatment engagement that merits further in-depth investigation. © 2021, The Author(s).</t>
  </si>
  <si>
    <t>Parker M.A., Agley J., Adams Z.W., Villanti A.C.</t>
  </si>
  <si>
    <t>BMC Research Notes</t>
  </si>
  <si>
    <t>https://www.scopus.com/inward/record.uri?eid=2-s2.0-85106619394&amp;doi=10.1186%2fs13104-021-05601-z&amp;partnerID=40&amp;md5=ad788d0c8f0ee36b3fe6031479bafd13</t>
  </si>
  <si>
    <t>Department of Epidemiology &amp; Biostatistics, Indiana University School of Public Health, Bloomington, IN, United States; Prevention Insights, Department of Applied Health Science, Indiana University School of Public Health, Bloomington, IN, United States; Indiana University School of Medicine, Indianapolis, IN, United States; Vermont Center on Behavior &amp; Health, University of Vermont, Burlington, VT, United States</t>
  </si>
  <si>
    <t>Parker, M.A., Department of Epidemiology &amp; Biostatistics, Indiana University School of Public Health, Bloomington, IN, United States; Agley, J., Prevention Insights, Department of Applied Health Science, Indiana University School of Public Health, Bloomington, IN, United States; Adams, Z.W., Indiana University School of Medicine, Indianapolis, IN, United States; Villanti, A.C., Vermont Center on Behavior &amp; Health, University of Vermont, Burlington, VT, United States</t>
  </si>
  <si>
    <t>Parker, M.A.; Department of Epidemiology &amp; Biostatistics, United States; email: map2@iu.edu</t>
  </si>
  <si>
    <t>Ownership vs access: consumers' digital ownership perceptions and preferences</t>
  </si>
  <si>
    <t>10.1108/AJIM-11-2020-0373</t>
  </si>
  <si>
    <t>55696659300;56091377500;</t>
  </si>
  <si>
    <t>Purpose: This study investigated the interrelations of US consumers' perceptions of their ownership of digital media content, their perceived importance of various digital rights and ownership rights and their preferences for owning vs accessing media content. Design/methodology/approach: This study used an online questionnaire survey and analyzed data from 437 participants recruited via Amazon's Mechanical Turk mechanism. Findings: Participants' perceived importance of digital rights correlates with consumers' ownership perceptions, and people who value certain digital rights tend to have narrower ownership perceptions. Users' ownership and access preferences vary with their perceived importance of ownership rights, especially concerning music and movies. Notably, people who prefer the access model were less concerned about ownership rights to possess, use and resell content. Social implications: The study provides empirical evidence of consumers' ownership perceptions in the digital age and warns consumers of the dangers of the erosion of their digital ownership rights. Originality/value: Legal ownership and psychological ownership are usually considered separate constructs and seldom examined together. By showing the correlation between consumers' ownership perceptions and their perceived importance of digital rights, this study demonstrates the connection between legal ownership and psychological ownership. © 2021, Emerald Publishing Limited.</t>
  </si>
  <si>
    <t>Zhu X., Cho M.</t>
  </si>
  <si>
    <t>Aslib Journal of Information Management</t>
  </si>
  <si>
    <t>https://www.scopus.com/inward/record.uri?eid=2-s2.0-85114017929&amp;doi=10.1108%2fAJIM-11-2020-0373&amp;partnerID=40&amp;md5=dcb0c44912e14e68dc7a63a3e28f4f64</t>
  </si>
  <si>
    <t>School of Information Sciences, The University of Tennessee Knoxville, Knoxville, TN, United States; School of Advising and Public Relations, The University of Tennessee Knoxville, Knoxville, TN, United States</t>
  </si>
  <si>
    <t>Zhu, X., School of Information Sciences, The University of Tennessee Knoxville, Knoxville, TN, United States; Cho, M., School of Advising and Public Relations, The University of Tennessee Knoxville, Knoxville, TN, United States</t>
  </si>
  <si>
    <t>Zhu, X.; School of Information Sciences, United States; email: xzhu12@utk.edu</t>
  </si>
  <si>
    <t>Participation inequality in the gig economy</t>
  </si>
  <si>
    <t>10.1080/1369118X.2022.2085611</t>
  </si>
  <si>
    <t>37011685700;57217383895;6602640199;</t>
  </si>
  <si>
    <t>In theory, the gig economy facilitates flexible, digitally mediated employment arrangements. Why do some people wind up doing gig work while others do not? We focus on how online participation inequalities, and Internet use experiences and skills, shape the composition of online gig workers. Specifically, we analyze a unique survey data set from a national sample of 1512 U.S. adults that includes information about background attributes and behaviors, detailed measures of Internet experiences and skills, as well as questions about whether study participants had completed specific steps necessary to becoming a task worker on two prominent gig economy platforms: Amazon Mechanical Turk and TaskRabbit. We use Bayesian regression to compare four stages of gig economy participation. Workers who participate in the gig economy tend to be younger, more highly educated, and more skilled Internet users. This implies that the gig economy increases labor market stratification and that digital participation inequalities compound labor inequalities. © 2022 Informa UK Limited, trading as Taylor &amp; Francis Group.</t>
  </si>
  <si>
    <t>Shaw A., Fiers F., Hargittai E.</t>
  </si>
  <si>
    <t>Information Communication and Society</t>
  </si>
  <si>
    <t>https://www.scopus.com/inward/record.uri?eid=2-s2.0-85132336119&amp;doi=10.1080%2f1369118X.2022.2085611&amp;partnerID=40&amp;md5=a7bb301a03f474e1f4f8ae675a24bedc</t>
  </si>
  <si>
    <t>Department of Communication Studies, Northwestern University, Evanston, IL, United States; Department of Communication and Media Research, University of Zurich, Zurich, Switzerland</t>
  </si>
  <si>
    <t>Shaw, A., Department of Communication Studies, Northwestern University, Evanston, IL, United States; Fiers, F., Department of Communication Studies, Northwestern University, Evanston, IL, United States; Hargittai, E., Department of Communication and Media Research, University of Zurich, Zurich, Switzerland</t>
  </si>
  <si>
    <t>Shaw, A.; Department of Communication Studies, United States; email: aaronshaw@northwestern.edu</t>
  </si>
  <si>
    <t>Passive, invasive, and duplicitous: Three forms of intimate partner cyberstalking</t>
  </si>
  <si>
    <t>10.1016/j.paid.2022.111502</t>
  </si>
  <si>
    <t>55813926300;57220027877;57408999600;14045335500;</t>
  </si>
  <si>
    <t>Intimate partners are common targets of cyberstalking, yet despite the negative impact the behavior remains largely underexplored. In the present study, we explore behavioral methods adopted to cyberstalk intimate partners. Participants (N = 449, 50.1% men) recruited via Amazon's Mechanical Turk completed an online questionnaire and we assessed a range of intimate partner cyberstalking behaviors across mating contexts (i.e., short-term v long-term relationships) and goals (i.e., mate retention v mate attainment). These cyberstalking behaviors were factor analyzed (i.e., Exploratory Factor Analysis) and reduced to reveal three dimensions: Passive, invasive, and duplicitous. Both men and women largely engage in passive cyberstalking, though women perpetrated more overall, passive, and invasive intimate partner cyberstalking. Women were also likely to adopt invasive behaviors to retain a long-term mate and attain a short-term mate. We also examined associations between the Dark Tetrad traits, social motives, and cyberstalking. All Dark Tetrad traits were associated with more overall cyberstalking but demonstrated differential patterns across the three forms, substantiating a dimensional conceptualization of this online behavior. Results of the current study contribute to establishing a theoretical framework to understand perpetration of intimate partner cyberstalking, ultimately contributing to managing the potentially harmful online behavior. © 2022 Elsevier Ltd</t>
  </si>
  <si>
    <t>March E., Szymczak P., Di Rago M., Jonason P.K.</t>
  </si>
  <si>
    <t>https://www.scopus.com/inward/record.uri?eid=2-s2.0-85122658490&amp;doi=10.1016%2fj.paid.2022.111502&amp;partnerID=40&amp;md5=6465481afa5174afdb47031e7f710c13</t>
  </si>
  <si>
    <t>Federation University, Australia; Cardinal Stefan Wyszyński University, Poland; Institute for Social Neuroscience, Australia; University of Padua, Italy</t>
  </si>
  <si>
    <t>March, E., Federation University, Australia; Szymczak, P., Cardinal Stefan Wyszyński University, Poland; Di Rago, M., Institute for Social Neuroscience, Australia; Jonason, P.K., Cardinal Stefan Wyszyński University, Poland, University of Padua, Italy</t>
  </si>
  <si>
    <t>March, E.; Federation University Australia, Berwick Campus, 100 Clyde Road, Australia; email: e.march@federation.edu.au</t>
  </si>
  <si>
    <t>Perception of the Role of Private Individuals Participating in the Exchange of Goods and Services Through Digital Platforms in the Collection of Value Added Tax Revenues</t>
  </si>
  <si>
    <t>10.1007/978-3-031-05230-9_123</t>
  </si>
  <si>
    <t>57740679400;57741007400;</t>
  </si>
  <si>
    <t>This paper is aiming to reveal perception of the role of private individuals participating in the exchange of goods and services through digital platforms in the collection of VAT revenues using OECD supporting measures and models for efficient and effective collection of VAT on online sales. The paper introduction will present core components and theoretical framework developed by OECD of a comprehensive VAT policy strategy in the sharing and gig economy including guidance on effective solutions in providing information to tax authorities regarding the collection of VAT revenues. In the second part of the paper, the authors will present and analyze the results of research that will include randomly selected private individuals from Bosnia and Herzegovina participating in the exchange of goods and services through digital platforms in collecting VAT revenues according to the proposed model rules in OECD publications. Finally, the paper is streaming to examine the proposed model rules by OECD and their significance on shaping the future tax policy and system in the sharing and gig economy. © 2022, The Author(s), under exclusive license to Springer Nature Switzerland AG.</t>
  </si>
  <si>
    <t>Imamović-Čizmić K., Ramić L.</t>
  </si>
  <si>
    <t>Lecture Notes in Networks and Systems</t>
  </si>
  <si>
    <t>https://www.scopus.com/inward/record.uri?eid=2-s2.0-85131957839&amp;doi=10.1007%2f978-3-031-05230-9_123&amp;partnerID=40&amp;md5=f2f1279cc28ac8f170114e3a98c37e34</t>
  </si>
  <si>
    <t>Department of Legal and Economic Sciences, Faculty of Law, University of Sarajevo, Obala Kulina bana 7, Sarajevo, 71 000, Bosnia and Herzegovina</t>
  </si>
  <si>
    <t>Imamović-Čizmić, K., Department of Legal and Economic Sciences, Faculty of Law, University of Sarajevo, Obala Kulina bana 7, Sarajevo, 71 000, Bosnia and Herzegovina; Ramić, L., Department of Legal and Economic Sciences, Faculty of Law, University of Sarajevo, Obala Kulina bana 7, Sarajevo, 71 000, Bosnia and Herzegovina</t>
  </si>
  <si>
    <t>Imamović-Čizmić, K.; Department of Legal and Economic Sciences, Obala Kulina bana 7, Bosnia and Herzegovina; email: k.imamovic-cizmic@pfsa.unsa.ba</t>
  </si>
  <si>
    <t>Perceptual Evaluation of the Effectiveness of Voice Disguise by Age Modification</t>
  </si>
  <si>
    <t>10.21437/Odyssey.2018-45</t>
  </si>
  <si>
    <t>56331086500;57194869377;6507506881;23135344600;</t>
  </si>
  <si>
    <t>Voice disguise, the purposeful modification of one’s speaker identity with the aim of avoiding being identified as oneself, is a low-effort way to fool speaker recognition, whether performed by a human or an automatic speaker verification (ASV) system. We present an evaluation of the effectiveness of age stereotypes as a voice disguise strategy, as a follow up to our recent work where 60 native Finnish speakers attempted to sound like an elderly and like a child. In that study, we presented evidence that both ASV and human observers could easily miss the target speaker but we did not address how believable the presented vocal age stereotypes were; this study serves to fill that gap. The interesting cases would be speakers who succeed in being missed by the ASV system, and which a typical listener cannot detect as being a disguise. We carry out a perceptual test to study the quality of the disguised speech samples. The listening test was carried out both locally and with the help of Amazon’s Mechanical Turk (MT) crowd-workers. A total of 91 listeners participated in the test and were instructed to estimate both the speaker’s chronological and intended age. The results indicate that age estimations for the intended old and child voices for female speakers were towards the target age groups, while for male speakers, the age estimations corresponded to the direction of the target voice only for elderly voices. In the case of intended child’s voice, listeners estimated the age of male speakers to be older than their chronological age for most of the speakers and not the intended target age. © ODYSSEY 2018. All rights reserved.</t>
  </si>
  <si>
    <t>Hautamäki R.G., Kanervisto A., Hautamäki V., Kinnunen T.</t>
  </si>
  <si>
    <t>Speaker and Language Recognition Workshop, ODYSSEY 2018</t>
  </si>
  <si>
    <t>https://www.scopus.com/inward/record.uri?eid=2-s2.0-85070067045&amp;doi=10.21437%2fOdyssey.2018-45&amp;partnerID=40&amp;md5=b7fdde92f535d310b195aec9a0017f71</t>
  </si>
  <si>
    <t>School of Computing, University of Eastern Finland, Finland</t>
  </si>
  <si>
    <t>Hautamäki, R.G., School of Computing, University of Eastern Finland, Finland; Kanervisto, A., School of Computing, University of Eastern Finland, Finland; Hautamäki, V., School of Computing, University of Eastern Finland, Finland; Kinnunen, T., School of Computing, University of Eastern Finland, Finland</t>
  </si>
  <si>
    <t>Personal Information Disclosure via Voice Assistants: The Personalization–Privacy Paradox</t>
  </si>
  <si>
    <t>10.1007/s42979-020-00287-9</t>
  </si>
  <si>
    <t>57188765356;36987906100;55649571762;</t>
  </si>
  <si>
    <t>The purpose of this research is to examine the factors affecting the willingness to disclose personal information based upon the privacy calculus framework and its relation to the continued usage of the Voice Assistant (VA) devices. The information disclosure is analyzed from a dual channel benefit/risk perspective through the calculus lens. Particularly, the joint effects of the two independent paths of benefits and risks that can induce the desire to disclose personal information, along with their various antecedents are proposed and empirically tested. Data are collected from 427 respondents using Amazon Mechanical Turk (MTurk) as the platform and analyzed using a Maximum Likelihood Structural Equation Modelling (ML-SEM) technique. The analysis shows that personalized services, perceived enjoyment and perceived complementarity influence the perceived benefits, which in turn positively affects the personal information disclosure. Perceived severity and perceived control are found to have a positive effect, while perceived trust has a negative effect on the perceived risks, respectively, which in turn is negatively associated with the personal information disclosure. Compared to the perceived risks, the effect of perceived benefits on the information disclosure is found to be stronger, which motivates the users to continuously use the services of the VA devices. This work extends the current literatures on privacy concerns to the users’ intention of disclosing their personal information by proposing and empirically testing six hypotheses as a part of the research model. Finally, the research implications are discussed, and suggestions are provided. © 2020, Springer Nature Singapore Pte Ltd.</t>
  </si>
  <si>
    <t>Pal D., Arpnikanondt C., Razzaque M.A.</t>
  </si>
  <si>
    <t>SN Computer Science</t>
  </si>
  <si>
    <t>https://www.scopus.com/inward/record.uri?eid=2-s2.0-85101706494&amp;doi=10.1007%2fs42979-020-00287-9&amp;partnerID=40&amp;md5=34c9fd23e7b36ce7df415dee09dae5a7</t>
  </si>
  <si>
    <t>School of Information Technology, King Mongkut’s University of Technology Thonburi, Bangkok, 10140, Thailand; School of Computing, Engineering and Digital Technologies, Teesside University, Middlesbrough, United Kingdom</t>
  </si>
  <si>
    <t>Pal, D., School of Information Technology, King Mongkut’s University of Technology Thonburi, Bangkok, 10140, Thailand; Arpnikanondt, C., School of Information Technology, King Mongkut’s University of Technology Thonburi, Bangkok, 10140, Thailand; Razzaque, M.A., School of Computing, Engineering and Digital Technologies, Teesside University, Middlesbrough, United Kingdom</t>
  </si>
  <si>
    <t>Pal, D.; School of Information Technology, Thailand; email: debajyoti.pal@mail.kmutt.ac.th</t>
  </si>
  <si>
    <t>Platform Economy And Taxation: Strategies for Sustainable Tax Compliance</t>
  </si>
  <si>
    <t>10.4067/S0718-00122020000300001</t>
  </si>
  <si>
    <t>57475418500;</t>
  </si>
  <si>
    <t>The development of the collaborative economy is giving rise to a new taxpayer profile whose income comes from self-employment and whose tax compliance is hindered by traditional tax management schemes. The analysis of its difficulties, the legislative limitations of some jurisdictions to adapt to this new reality and the perspective of the platforms, is the starting point of the work carried out. Next, we analyze tax strategies that, from different jurisdictions, are aimed at facilitating tax compliance of these new taxpayer profiles. These proposals are complemented by the study of different types of tax cooperative relationship © 2020. All Rights Reserved.</t>
  </si>
  <si>
    <t>Corredor Z.C.</t>
  </si>
  <si>
    <t>Ius et Praxis</t>
  </si>
  <si>
    <t>https://www.scopus.com/inward/record.uri?eid=2-s2.0-85125634775&amp;doi=10.4067%2fS0718-00122020000300001&amp;partnerID=40&amp;md5=4b10ec0546a6d804b32a875676c76552</t>
  </si>
  <si>
    <t>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</si>
  <si>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</si>
  <si>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Profesora acreditada Contratada Doctora de Derecho Financiero y Tributario de la, Spain; email: z.calderon.prof@ufv.es</t>
  </si>
  <si>
    <t>Predictors of Change in Mental Health during the COVID-19 Pandemic</t>
  </si>
  <si>
    <t>10.1016/j.jad.2021.05.045</t>
  </si>
  <si>
    <t>57195351968;57205598791;57221622255;7801574009;</t>
  </si>
  <si>
    <t>Background: : Cross-sectional data suggest that depression, anxiety, and stress have increased during the COVID-19 pandemic. However, longitudinal research is needed to test changes in mental health and determine factors that contribute to change. The purpose of this study was to compare anxiety, depression, and stress pre-pandemic to during the pandemic within the same sample and identify predictors of change (i.e., disease threat, changes to daily life, social isolation, financial worries). Method: : Three national samples of U.S. adults were recruited through an online platform (Amazon's Mechanical Turk). Participants completed online surveys pre-pandemic (September – December 2019) and during the pandemic(April - June 2020). Results: : Across the three samples, mini-meta analyses revealed significant increases in anxiety and stress (Cohen's ds = 0.17, 0.16, respectively; ps &lt; 0.01). Financial concern and effects of COVID-19 on daily life predicted higher levels of depression, anxiety, and stress during the pandemic across all three samples (ds = 0.24, 0.40, and 0.40, respectively; ps &lt; 0.001). Limitations: : Response rates for follow-up surveys were relatively low, with some noted differences between those who did and did not complete both surveys. Conclusions: : Significant increases in anxiety and stress were observed across three samples of U.S. adults from before to during the COVID-19 pandemic. Financial concern and effects of the pandemic on daily life emerged as the most consistent predictors of psychological distress across these samples. © 2021</t>
  </si>
  <si>
    <t>Haliwa I., Wilson J., Lee J., Shook N.J.</t>
  </si>
  <si>
    <t>Journal of Affective Disorders</t>
  </si>
  <si>
    <t>https://www.scopus.com/inward/record.uri?eid=2-s2.0-85107616297&amp;doi=10.1016%2fj.jad.2021.05.045&amp;partnerID=40&amp;md5=c37af5b54e1e202a74792ade43390e3d</t>
  </si>
  <si>
    <t>West Virginia University, Morgantown, WV, United States; University of Connecticut, Storrs, CT, United States</t>
  </si>
  <si>
    <t>Haliwa, I., West Virginia University, Morgantown, WV, United States; Wilson, J., West Virginia University, Morgantown, WV, United States; Lee, J., University of Connecticut, Storrs, CT, United States; Shook, N.J., West Virginia University, Morgantown, WV, United States, University of Connecticut, Storrs, CT, United States</t>
  </si>
  <si>
    <t>Shook, N.J.; University of Connecticut, 231 Glenbrook Road, United States; email: natalie.shook@uconn.edu</t>
  </si>
  <si>
    <t>Preliminary experiments on crowdsourced evaluation of feedback granularity</t>
  </si>
  <si>
    <t>35213363500;6603028537;9939609500;56350017100;14063485900;7801686463;</t>
  </si>
  <si>
    <t>Providing writing feedback to English language learners (ELLs) helps them learn to write better, but it is not clear what type or how much information should be provided. There have been few experiments directly comparing the effects of different types of automatically generated feedback on ELL writing. Such studies are difficult to conduct because they require participation and commitment from actual students and their teachers, over extended periods of time, and in real classroom settings. In order to avoid such difficulties, we instead conduct a crowdsourced study on Amazon Mechanical Turk to answer questions concerning the effects of type and amount of writing feedback. We find that our experiment has several serious limitations but still yields some interesting results. © NAACL-HLT 2015. All rights reserved.</t>
  </si>
  <si>
    <t>Madnani N., Chodorow M., Cahill A., Lopez M., Futagi Y., Attali Y.</t>
  </si>
  <si>
    <t>10th Workshop on Innovative Use of NLP for Building Educational Applications, BEA 2015 at the 2015 Conference of the North American Chapter of the Association for Computational Linguistics: Human Language Technologies, NAACL-HLT 2015</t>
  </si>
  <si>
    <t>https://www.scopus.com/inward/record.uri?eid=2-s2.0-85119954043&amp;partnerID=40&amp;md5=5e4b3e0edb00494881619086bdb1354c</t>
  </si>
  <si>
    <t>Educational Testing Service, Princeton, NJ, United States; Hunter College and the Graduate Center, City University of New YorkNY, United States</t>
  </si>
  <si>
    <t>Madnani, N., Educational Testing Service, Princeton, NJ, United States; Chodorow, M., Hunter College and the Graduate Center, City University of New YorkNY, United States; Cahill, A., Educational Testing Service, Princeton, NJ, United States; Lopez, M., Educational Testing Service, Princeton, NJ, United States; Futagi, Y., Educational Testing Service, Princeton, NJ, United States; Attali, Y., Educational Testing Service, Princeton, NJ, United States</t>
  </si>
  <si>
    <t>Prevalence and Predictors of Cyber Psychological Abuse among Adults</t>
  </si>
  <si>
    <t>10.1007/s10896-021-00317-x</t>
  </si>
  <si>
    <t>57253000200;57210339390;7401764002;</t>
  </si>
  <si>
    <t>Communication technologies, including cell phones, social media, and location tracking services, can be used to perpetrate abuse against current or former intimate partners. A growing literature examines these behaviors in adolescent and college samples, yet very little research has investigated cyber abuse prevalence and risk factors in broader samples of adults. The present study examines whether in-person forms of intimate partner aggression (IPA) and important IPA risk factors are associated with cyber psychological abuse (CPA) in a sample of adults (N = 243; Mean age = 33.49, SD = 11.31) who reported being in a romantic relationship within the last 12 months and were recruited through Amazon’s Mechanical Turk. Participants completed assessments of CPA, physical assault, emotional abuse, maltreatment history, attachment insecurity, jealousy, emotion dysregulation, substance abuse, and relationship functioning. The Cyber Psychological Abuse scales significantly and positively correlated with physical assault and emotional abuse. Multivariate risk factor analyses accounted for 40% and 30% of the variance in CPA perpetration and victimization, respectively. Behavioral jealousy, relationship discord, and extent of daily cell phone use had significant unique associations with both CPA perpetration and victimization. The results indicate that CPA is highly prevalent among adults, strongly associated with other forms of IPA, and correlated with both IPA risk factors and extent of technology use. Findings support the further development of efforts to prevent CPA, to educate potential CPA victims, and to assess and address CPA among adults who engage in or experience in-person forms of partner abuse. © 2021, The Author(s), under exclusive licence to Springer Science+Business Media, LLC, part of Springer Nature.</t>
  </si>
  <si>
    <t>Mahoney J.C., Farrell D.M., Murphy C.M.</t>
  </si>
  <si>
    <t>Journal of Family Violence</t>
  </si>
  <si>
    <t>https://www.scopus.com/inward/record.uri?eid=2-s2.0-85114645434&amp;doi=10.1007%2fs10896-021-00317-x&amp;partnerID=40&amp;md5=9487d331c8a6496df8398152838a4f82</t>
  </si>
  <si>
    <t>Department of Psychology, University of Maryland, Baltimore County, 1000 Hilltop Circle, Baltimore, MD  21250, United States; Veterans Affairs Maryland Healthcare System, Perry Point, MD, United States</t>
  </si>
  <si>
    <t>Mahoney, J.C., Department of Psychology, University of Maryland, Baltimore County, 1000 Hilltop Circle, Baltimore, MD  21250, United States, Veterans Affairs Maryland Healthcare System, Perry Point, MD, United States; Farrell, D.M., Department of Psychology, University of Maryland, Baltimore County, 1000 Hilltop Circle, Baltimore, MD  21250, United States; Murphy, C.M., Department of Psychology, University of Maryland, Baltimore County, 1000 Hilltop Circle, Baltimore, MD  21250, United States</t>
  </si>
  <si>
    <t>Murphy, C.M.; Department of Psychology, Baltimore County, 1000 Hilltop Circle, United States; email: chmurphy@umbc.edu</t>
  </si>
  <si>
    <t>L119</t>
  </si>
  <si>
    <t>Prioritizing the software development methodologies in online gig economy project using analytic hierarchy process</t>
  </si>
  <si>
    <t>10.1145/3465222.3465236</t>
  </si>
  <si>
    <t>57352572800;6507465058;57188979780;</t>
  </si>
  <si>
    <t>Deciding on the software development methodology in the online gig economy project is critical due to indirect communication and limited time. Each methodology has its weaknesses and strengths in the design and operation. The accuracy in choosing the methodology will reduce time and costs, minimize excess and risk exposure, manage uncertainty, improve quality, improve client relationships, and provide better tracking and control projects. Inaccurate software development methodology selection can impact longer project development time, assignment mismatches, design errors, and project failure. This research performed Analytic Hierarchy Process (AHP) to decompose people's perception quantitatively through an online questionnaire with 15 gig workers in the software development area. This research found Requirement on a project as the highest priority when developing software in the online gig economy, followed by User Involvement, Documentation, and Personnel. Meanwhile, Requirement Clarity got the most prioritized sub-factors in Requirement. Therefore, clients and gig workers should clarify all project requirements since they will not physically meet during the project. © 2021 Association for Computing Machinery.</t>
  </si>
  <si>
    <t>Nurrahman Y.A., Sucahyo Y.G., Gandhi A.</t>
  </si>
  <si>
    <t>https://www.scopus.com/inward/record.uri?eid=2-s2.0-85119874489&amp;doi=10.1145%2f3465222.3465236&amp;partnerID=40&amp;md5=fdd96b732e90cc162f2860e5ed1e045f</t>
  </si>
  <si>
    <t>Faculty of Computer Science, Universitas Indonesia</t>
  </si>
  <si>
    <t>Nurrahman, Y.A., Faculty of Computer Science, Universitas Indonesia; Sucahyo, Y.G., Faculty of Computer Science, Universitas Indonesia; Gandhi, A., Faculty of Computer Science, Universitas Indonesia</t>
  </si>
  <si>
    <t>Privacy, Surveillance, and Power in the Gig Economy</t>
  </si>
  <si>
    <t>10.1145/3491102.3502083</t>
  </si>
  <si>
    <t>57194287276;57704114300;6505959682;</t>
  </si>
  <si>
    <t>This paper addresses calls for more research on privacy in the gig economy across a range of work platforms. To understand privacy risks, behaviors, and consequences from the perspective of workers, we analyzed workers' posts about privacy and surveillance from 12 Reddit forums representing four main types of work (crowdwork, freelancing, ridesharing, and delivery). We found that workers perceive both platform companies and customers as sources of unnecessary and opaque data collection and surveillance that can threaten their privacy, safety, and economic outcomes. Workers also engage in many risk mitigation strategies, including self-protective surveillance behaviors such as video recording themselves and customers, as a costly but necessary response to power imbalances created by surveillance. Based on our multi-platform analysis, we present a guiding set of questions that workers, designers, and researchers can use to assess the privacy implications of current and future gig work platforms. © 2022 ACM.</t>
  </si>
  <si>
    <t>Sannon S., Sun B., Cosley D.</t>
  </si>
  <si>
    <t>https://www.scopus.com/inward/record.uri?eid=2-s2.0-85130510320&amp;doi=10.1145%2f3491102.3502083&amp;partnerID=40&amp;md5=0b12f58784b492b26ce8ff4f03abb0f4</t>
  </si>
  <si>
    <t>University of Michigan, Ann Arbor, MI, United States; Independent, Baltimore, MD, United States; National Science Foundation, Alexandria, VA, United States</t>
  </si>
  <si>
    <t>Sannon, S., University of Michigan, Ann Arbor, MI, United States; Sun, B., Independent, Baltimore, MD, United States; Cosley, D., National Science Foundation, Alexandria, VA, United States</t>
  </si>
  <si>
    <t>The proceedings contain 140 papers. The topics discussed include: machine learning models for predicting bank loan eligibility; semantic relation evaluation of data science articles using network of mention; effect of training algorithms and network architecture on the performance of multi-band ANN-based path loss prediction model; digital transformation in Nigeria: the prospects and challenges of the gig economy; assessing the vulnerabilities of internet users to cyber-attacks using their password login patterns; benefits of smart devices and grid-tied minigrids on the Nigerian electricity supply industry; development of Bluetooth enabled switching device for handoff selection in multiple operators enabled sim card system; a spatio-temporal non-concurrent data gathering and energy replenishment in wireless rechargeable sensor networks (ST-NCDR); tech mining analysis: renewable energy forecasting using artificial intelligence technologies; and proactive fuzzy-based backup channel selection scheme for spectrum handoff in cognitive radio networks.</t>
  </si>
  <si>
    <t>https://www.scopus.com/inward/record.uri?eid=2-s2.0-85133977041&amp;partnerID=40&amp;md5=f79d1f02b0fb216b63f46b85e224160d</t>
  </si>
  <si>
    <t>Promoting Sustainable and Intelligent Freight Transportation Systems in the Barcelona Metropolitan Area</t>
  </si>
  <si>
    <t>10.1016/j.trpro.2021.11.055</t>
  </si>
  <si>
    <t>57119537500;57194584439;55207281100;57193834346;55263602400;56129392700;</t>
  </si>
  <si>
    <t>The growth of e-commerce and the on-demand economy in urban and metropolitan areas has been accelerated by the recent COVID-19 pandemic. As a consequence, logistics and transportation operators are subject to a noticeable pressure to develop efficient delivery systems. These systems are also influenced by the global trend towards more sustainable transportation and mobility, which implies changes in urban policies and technological innovations-e.g., the substitution of traditional diesel petrol-drive vehicles by electric ones. This paper analyzes the current and predicted needs of logistics operators in the Barcelona metropolitan area. To do so, urban regulations are analyzed and key shareholders are interviewed. The analysis of these interviews promote a discussion on how the use of new 'agile' optimization algorithms-which are based on the combination of biased-randomized heuristics, computer parallelization techniques, and IoT / 5G technologies-can contribute to enhance urban distribution practices. Finally, we present a case study in which the effect of different configurations of working/resting times and parking areas availability on routing solutions is studied. Our research aims to provide comprehensive knowledge to managers and policy-makers, and to offer them with powerful tools capable of generating real-Time solutions to complex last-mile delivery challenges under dynamic conditions. © 2021 Elsevier B.V.. All rights reserved.</t>
  </si>
  <si>
    <t>Calvet L., Alvarez-Palau E.J., Viu M., Castillo C., Copado P., Juan A.A.</t>
  </si>
  <si>
    <t>Transportation Research Procedia</t>
  </si>
  <si>
    <t>https://www.scopus.com/inward/record.uri?eid=2-s2.0-85121789368&amp;doi=10.1016%2fj.trpro.2021.11.055&amp;partnerID=40&amp;md5=8b52a94123f4323853db7a9d34a963e3</t>
  </si>
  <si>
    <t>IN3-Computer Science Dept, Universitat Oberta de Catalunya, Rambla Poblenou 156, Barcelona, 08018, Spain; Faculty of Business and Economics, Universitat Oberta de Catalunya, Av. Tibidabo 39, Barcelona, 08035, Spain</t>
  </si>
  <si>
    <t>Calvet, L., IN3-Computer Science Dept, Universitat Oberta de Catalunya, Rambla Poblenou 156, Barcelona, 08018, Spain; Alvarez-Palau, E.J., Faculty of Business and Economics, Universitat Oberta de Catalunya, Av. Tibidabo 39, Barcelona, 08035, Spain; Viu, M., Faculty of Business and Economics, Universitat Oberta de Catalunya, Av. Tibidabo 39, Barcelona, 08035, Spain; Castillo, C., Faculty of Business and Economics, Universitat Oberta de Catalunya, Av. Tibidabo 39, Barcelona, 08035, Spain; Copado, P., IN3-Computer Science Dept, Universitat Oberta de Catalunya, Rambla Poblenou 156, Barcelona, 08018, Spain; Juan, A.A., IN3-Computer Science Dept, Universitat Oberta de Catalunya, Rambla Poblenou 156, Barcelona, 08018, Spain</t>
  </si>
  <si>
    <t>Calvet, L.; IN3-Computer Science Dept, Rambla Poblenou 156, Spain; email: lcalvetl@uoc.edu</t>
  </si>
  <si>
    <t>Proteus looks around: Agency, time, and context in a gig economy career analysis</t>
  </si>
  <si>
    <t>10.1590/1807-7692bar2021200098</t>
  </si>
  <si>
    <t>57205617562;55358072800;57189998685;</t>
  </si>
  <si>
    <t>Contemporary career studies based on the protean career theory emphasize individual characteristics such as adaptability and flexibility. However, it is important to consider elements that permeate and influence the individual’s agency and career paths. This study analyzes how the perspectives of time and context, in addition to the individual’s agency, influence the career paths of gig economy workers. The qualitative analysis of data collected from interviews with 57 Brazilian app-based drivers enabled developing an empirically based typology with eight workers’ profiles and different ways of adaptation, including how they experience the activity and how they redirect their professional paths. Although adaptability marks their career trajectory, the time and context limit the area in which they can work and exercise agency. This study joins a broader movement in the career field and international studies that seek a better understanding of the gig economy and its consequences. The emergence of app-based activities resulting from a particular time and technological context brings different ways to adapt and change career plans. © 2021, ANPAD - Associacao Nacional de Pos-Graduacao e Pesquisa em Administracao. All rights reserved.</t>
  </si>
  <si>
    <t>Vaclavik M.C., Rocha-De-oliveira S., Oltramari A.P.</t>
  </si>
  <si>
    <t>BAR - Brazilian Administration Review</t>
  </si>
  <si>
    <t>https://www.scopus.com/inward/record.uri?eid=2-s2.0-85108878273&amp;doi=10.1590%2f1807-7692bar2021200098&amp;partnerID=40&amp;md5=789ec29933da29fff0e04a8365718286</t>
  </si>
  <si>
    <t>Universidade Federal do Rio Grande do Sul, RS, Porto Alegre, Brazil</t>
  </si>
  <si>
    <t>Vaclavik, M.C., Universidade Federal do Rio Grande do Sul, RS, Porto Alegre, Brazil; Rocha-De-oliveira, S., Universidade Federal do Rio Grande do Sul, RS, Porto Alegre, Brazil; Oltramari, A.P., Universidade Federal do Rio Grande do Sul, RS, Porto Alegre, Brazil</t>
  </si>
  <si>
    <t>Vaclavik, M.C.; Universidade Federal do Rio Grande do Sul, RS, Brazil; email: mcvaclavik@gmail.com</t>
  </si>
  <si>
    <t>Provider experience and order selection in the sharing economy</t>
  </si>
  <si>
    <t>10.1111/isj.12398</t>
  </si>
  <si>
    <t>54894812400;57328323700;</t>
  </si>
  <si>
    <t>The sharing economy, enabled by digital platforms, which connect providers and consumers for peer-to-peer exchanges, experienced rapid growth in recent years. Although researchers attempted to explore the societal or business impact of the sharing economy market, little is known about how individual providers operate their businesses, given that providers are capacity-constrained, self-scheduled and unprofessional. In this study, we are interested in the relationship between experience and providers' order selection behaviours. Leveraging a rich and proprietary dataset from a large sharing economy platform—which facilitates the exchanges of home-cooked meals in China—and employing multiple identification strategies and estimation methods, we find that the number of orders declined by a provider first increases with their experience, but later decreases. However, their sales revenue keeps increasing with experience. Our investigation further reveals that this happens because providers adjust their order selection strategies at different experience levels to achieve higher revenue in the sharing economy. Our study is among the pioneering studies to empirically understand providers' market behaviours in the sharing economy and offers important practical implications. © 2022 The Authors. Information Systems Journal published by John Wiley &amp; Sons Ltd.</t>
  </si>
  <si>
    <t>Lin Z., Zhang Y.</t>
  </si>
  <si>
    <t>Information Systems Journal</t>
  </si>
  <si>
    <t>https://www.scopus.com/inward/record.uri?eid=2-s2.0-85133387484&amp;doi=10.1111%2fisj.12398&amp;partnerID=40&amp;md5=223c9c32f487510cbeb8e22909d669b0</t>
  </si>
  <si>
    <t>School of Economics and Management, Tsinghua University, Beijing, China; Department of Information Systems and Operations Management, University of Auckland, Auckland, New Zealand</t>
  </si>
  <si>
    <t>Lin, Z., School of Economics and Management, Tsinghua University, Beijing, China; Zhang, Y., Department of Information Systems and Operations Management, University of Auckland, Auckland, New Zealand</t>
  </si>
  <si>
    <t>Lin, Z.; School of Economics and Management, China; email: dr.zhijie.lin@gmail.com</t>
  </si>
  <si>
    <t>Psychological and Demographic Predictors of Vaping and Vaping Susceptibility in Young Adults</t>
  </si>
  <si>
    <t>10.3389/fpsyg.2021.659206</t>
  </si>
  <si>
    <t>57201880105;57203081004;</t>
  </si>
  <si>
    <t>Background: The use of electronic nicotine delivery systems (ENDS), also known as vaping, is becoming popular among young adults. Few studies have explored the psychological factors that predict ENDS use and susceptibility in young adults, in addition to known demographic predictors. Method: In a cross-sectional survey design, 521 young adults (37% male), ages 18–25 from the United States, were recruited via Amazon’s Mechanical Turk (MTurk) in 2019, to answer an online survey measuring demographic characteristics and psychological characteristics related to mental health and the Big Five personality traits. The survey also included measures of ENDS ever-use, current use, and susceptibility (never users open to trying ENDS), which we predicted from the demographic and psychological measures using independent and multiple binary logistic regression analyses. Results: Of those surveyed (n = 521), 282 (54.1%) were ENDS ever-users, 93 (17.9%) were current ENDS users, and 61 (11.7%) were ENDS susceptible; 62 (11.9%) were current smokers. Demographically, young adults lower in adulthood socioeconomic-status (SES), not pursuing education further than high school, and current smokers were more likely to be ENDS users. Psychologically, young adults higher in anxiety and lower in conscientiousness more likely to have ever-used ENDS. Lower conscientiousness further predicted current ENDS use and ENDS susceptibility. Conclusion: In this sample of MTurk workers, young adults with experience in vaping were more demographically and psychologically vulnerable than young adults with no experience in vaping. Young adults interested in vaping, but without prior experience, were less conscientious than their non-interested peers. Interventions to target vaping use should focus on economically disadvantaged young adults and those lower in conscientiousness. © Copyright © 2021 Teah and Conner.</t>
  </si>
  <si>
    <t>Teah G.E., Conner T.S.</t>
  </si>
  <si>
    <t>Frontiers in Psychology</t>
  </si>
  <si>
    <t>https://www.scopus.com/inward/record.uri?eid=2-s2.0-85114396054&amp;doi=10.3389%2ffpsyg.2021.659206&amp;partnerID=40&amp;md5=3e2ee736d8e18341647dbb5c294f5321</t>
  </si>
  <si>
    <t>Department of Psychology, University of Otago, Dunedin, New Zealand</t>
  </si>
  <si>
    <t>Teah, G.E., Department of Psychology, University of Otago, Dunedin, New Zealand; Conner, T.S., Department of Psychology, University of Otago, Dunedin, New Zealand</t>
  </si>
  <si>
    <t>Conner, T.S.; Department of Psychology, New Zealand; email: tamlin.conner@otago.ac.nz</t>
  </si>
  <si>
    <t>Psychological inflexibility as a mediator of the relationship between adverse childhood experiences and dissociation</t>
  </si>
  <si>
    <t>10.1016/j.jcbs.2021.12.005</t>
  </si>
  <si>
    <t>57402350400;57195601846;36085282600;</t>
  </si>
  <si>
    <t>From a behavioral perspective, dissociation is an avoidant behavior precipitated by difficult life events such as abuse or neglect in childhood. Psychological inflexibility has been proposed as a mechanism carrying the relationship between adverse childhood experiences (ACEs) and their negative consequences. Using cloud source data collected from Amazon's Mechanical Turk (MTurk), this project examined whether psychological inflexibility mediated the relationship between ACEs and dissociation. Psychological inflexibility had a mediational effect on the positive association between ACEs and dissociation. Post hoc analyses, using a parallel mediation model, revealed cognitive fusion mediated the relationship between ACEs and dissociation, whereas experiential avoidance did not. These results provide preliminary evidence suggesting cognitive fusion uniquely contributes to the development of psychological dissociation, even when controlling for experiential avoidance. Implications are discussed. © 2021 Association for Contextual Behavioral Science</t>
  </si>
  <si>
    <t>Parfait B., Sease T.B., Sandoz E.K.</t>
  </si>
  <si>
    <t>Journal of Contextual Behavioral Science</t>
  </si>
  <si>
    <t>https://www.scopus.com/inward/record.uri?eid=2-s2.0-85122371499&amp;doi=10.1016%2fj.jcbs.2021.12.005&amp;partnerID=40&amp;md5=161972c93434f0943afb5caafa96e5a6</t>
  </si>
  <si>
    <t>Department of Psychology, University of Louisiana at Lafayette, Lafayette, United States; Department of Psychology, Texas Christian University, Fort Worth, United States; Louisiana Contextual Science Research Group, University of Louisiana at Lafayette, Lafayette, United States</t>
  </si>
  <si>
    <t>Parfait, B., Department of Psychology, University of Louisiana at Lafayette, Lafayette, United States, Louisiana Contextual Science Research Group, University of Louisiana at Lafayette, Lafayette, United States; Sease, T.B., Department of Psychology, Texas Christian University, Fort Worth, United States, Louisiana Contextual Science Research Group, University of Louisiana at Lafayette, Lafayette, United States; Sandoz, E.K., Department of Psychology, University of Louisiana at Lafayette, Lafayette, United States, Louisiana Contextual Science Research Group, University of Louisiana at Lafayette, Lafayette, United States</t>
  </si>
  <si>
    <t>Sease, T.B.; Department of Psychology, 2800 S University Drive, United States; email: thomas.b.sease@tcu.edu</t>
  </si>
  <si>
    <t>Reading Gigs Dialectically</t>
  </si>
  <si>
    <t>10.1086/719123</t>
  </si>
  <si>
    <t>57729749400;</t>
  </si>
  <si>
    <t>With gig-based sex work as its analytical lens, this article argues that narratives about the crisis of gigification miss workers’ exits from non-gig employment. It advocates taking gig workers seriously when they say they prefer gigified hustling to clocking in for a middling wage. Gig work’s autonomy, limited as it is, can make the workday materially better. And the platform is not necessarily more powerful, or better able to forge false consciousness, than the cubicle farm or the assembly line. Grounded in sex workers’ critical engagements with the gig economy, the article finds workers armed with sharp class analyses who use gig economies to wrest control over their conditions of work. Their efforts produce uneven ends, but the tactics they deploy and the politics that inform them invite a rethinking of gigification and its stakes for twenty-first-century anti-capitalist struggle. © 2022 The University of Chicago. All rights reserved.</t>
  </si>
  <si>
    <t>Berg H.</t>
  </si>
  <si>
    <t>Critical Historical Studies</t>
  </si>
  <si>
    <t>https://www.scopus.com/inward/record.uri?eid=2-s2.0-85131398553&amp;doi=10.1086%2f719123&amp;partnerID=40&amp;md5=077ac5f62a34169a8de68a555ed0b642</t>
  </si>
  <si>
    <t>Washington University, United States</t>
  </si>
  <si>
    <t>Berg, H., Washington University, United States</t>
  </si>
  <si>
    <t>Berg, H.; Washington UniversityUnited States</t>
  </si>
  <si>
    <t>Reassurance Techniques Do Not Significantly Impact Confidence in Biosimilars for Psoriasis: A Survey of a Convenience Sample of Individuals with Self-Identified Psoriasis</t>
  </si>
  <si>
    <t>10.1007/s13555-022-00781-3</t>
  </si>
  <si>
    <t>57222011838;57210325158;55446806200;</t>
  </si>
  <si>
    <t>Introduction: Biosimilars are underutilized, and negative perceptions may hinder their acceptance by patients. Psychologic interventions have not been extensively studied in the context of alleviating biosimilar hesitancy. The objective of this study was to assess the effectiveness of psychologic interventions on biosimilar confidence. Methods: Following institutional review board (IRB) approval, 1285 subjects with self-reported psoriasis were recruited using Amazon Mechanical Turk, an online crowdsourcing platform. Participants were randomized to one of ten groups. Group A started with a hypothetical bio-originator; group B started with a hypothetical biosimilar. The remaining groups were provided a hypothetical scenario in which they were switching to a biosimilar after achieving great results with a bio-originator, and were randomized to receive either no reassurance (group C) or one of the following psychologic interventions: reassurance of comparable effectiveness (group D), an illustration implying comparable effectiveness (group E), anecdote of great results obtained in “other psoriasis patients” (group F), anecdote of great results obtained in another psoriasis patient “a lot like you” (group G), reassurance of the rigorous evaluation process to gain Food and Drug Administration (FDA) approval (group H), engagement in a task designed to facilitate recognition of biosimilars’ comparability through answering multiple choice (group I) or free response questions (group J). Confidence levels were assessed using six-point Likert scales and analyzed using one-way analysis of variance (ANOVA) and two-group t-tests. Results: While no statistically significant differences were detected, illustrations implying comparability (mean 4.19), explanations of the rigorous process to gain FDA approval (mean 4.21), testimonials of treatment success in another psoriasis patient “a lot like you” (mean 4.07) and “other psoriasis patients” (mean 4.01), and engagement with multiple choice (mean 4.02) and free response answers (mean 4.08) improved biosimilar confidence compared with the biosimilar switch control group (mean 3.96). Conclusion: Identifying highly impactful methods of improving biosimilar confidence remains a challenge. © 2022, The Author(s).</t>
  </si>
  <si>
    <t>Hrin M.L., Bray J.K., Feldman S.R.</t>
  </si>
  <si>
    <t>Dermatology and Therapy</t>
  </si>
  <si>
    <t>https://www.scopus.com/inward/record.uri?eid=2-s2.0-85135252900&amp;doi=10.1007%2fs13555-022-00781-3&amp;partnerID=40&amp;md5=3a884183d42bb67b58d0e0495a8d78d6</t>
  </si>
  <si>
    <t>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</si>
  <si>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Wake Forest School of Medicine, Medical Center Boulevard, Center for Dermatology Research, Winston-Salem, NC  27157-1071, United States; Bray, J.K., Department of Dermatology, Wake Forest School of Medicine, Medical Center Boulevard, Center for Dermatology Research, Winston-Salem, NC  27157-1071, United States; Feldman, S.R., 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</si>
  <si>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United States; email: matthewhrin@virginia.edu</t>
  </si>
  <si>
    <t>Recommender systems for Personalized Work Instructions</t>
  </si>
  <si>
    <t>10.1016/j.procir.2022.05.284</t>
  </si>
  <si>
    <t>57194834991;57191745389;57189843624;</t>
  </si>
  <si>
    <t>The introduction of digital systems in manufacturing has increased the number of ways that assistant information reaches the human operators in assembly work spaces. Such digital systems can accustom to different degrees of support, based on the level of detail of the information and the used medium. As the production environment becomes increasingly flexible and the tasks are changing in a faster pace, a more agile way for recommendations of support or instructions is needed. This work will present and compare two ways to represent instructional support, namely, on-screen digital work instructions (DWI) and Augmented Reality (AR)-based instructions. Furthermore, in order to assist an operator with the appropriate instructional support, a recommender system (RS) is developed, which matches an operator's proficiency, a task's requirement and a level of instruction. A purely data-driven RS using Bayesian Probabilistic Matrix Factorization (BPMF) is compared with a skill-driven approach. The latter has the advantage that the recommended level of instruction is directly relatable to a skill-based operator proficiency metric. For the evaluation of the two instruction delivery approaches and for training and testing the RS, a group of 13 users were called to complete two industrial setups, alternating between the different instruction types. Both RS were able to outperform a naive baseline. © 2022 The Authors.</t>
  </si>
  <si>
    <t>Zegers J., Zogopoulos V., Verhees D.</t>
  </si>
  <si>
    <t>https://www.scopus.com/inward/record.uri?eid=2-s2.0-85133520229&amp;doi=10.1016%2fj.procir.2022.05.284&amp;partnerID=40&amp;md5=656f2712ba3c160044b43b8da6ab542d</t>
  </si>
  <si>
    <t>Flanders Make, Oude Diestersebaan 133, Lommel, 3920, Belgium</t>
  </si>
  <si>
    <t>Zegers, J., Flanders Make, Oude Diestersebaan 133, Lommel, 3920, Belgium; Zogopoulos, V., Flanders Make, Oude Diestersebaan 133, Lommel, 3920, Belgium; Verhees, D., Flanders Make, Oude Diestersebaan 133, Lommel, 3920, Belgium</t>
  </si>
  <si>
    <t>Zegers, J.; Flanders Make, Oude Diestersebaan 133, Belgium; email: jeroen.zegers@flandersmake.be</t>
  </si>
  <si>
    <t>Recruiting older adult participants through crowdsourcing platforms: Mechanical Turk versus Prolific Academic</t>
  </si>
  <si>
    <t>35300769400;57217253333;57204243622;55312618500;6701805951;</t>
  </si>
  <si>
    <t>BACKGROUND: Recruiting older adults (OA) into research is challenging. OBJECTIVE: To assess the feasibility of using two crowdsourcing platforms, Amazon's Mechanical Turk (MTurk) and Prolific Academic (ProA), as efficient and low-cost venues for recruiting survey participants aged 65 and older. METHODS: We developed an online survey to investigate and compare the demographics, technology use, and motivations for research participation of OA on MTurk and ProA. Qualitative responses, response time, word count, and recruitment costs were analyzed. RESULTS: We recruited 97 OA survey participants on both MTurk and ProA. Participants were similar in terms ofdemographics, technology usage, and motivations for participation (topic interest and payment). CONCLUSION: Both crowdsourcing platforms are useful for rapid and low-cost recruitment of OA. The OA recruitment process was more efficient with ProA. Crowdsourcing platforms are potential sources of OA research participants; however, the pool is limited to generally healthy, technologically active, and well-educated older adults. ©2020 AMIA - All rights reserved.</t>
  </si>
  <si>
    <t>Turner A.M., Engelsma T., Taylor J.O., Sharma R.K., Demiris G.</t>
  </si>
  <si>
    <t>AMIA ... Annual Symposium proceedings. AMIA Symposium</t>
  </si>
  <si>
    <t>https://www.scopus.com/inward/record.uri?eid=2-s2.0-85105296837&amp;partnerID=40&amp;md5=94108447129544b823507d71fe13de0a</t>
  </si>
  <si>
    <t>Department of Health Services, School of Public Health, University of Washington, Seattle, WA; Department of Biomedical Informatics and Medical Education, School of Medicine, University of Washington, Seattle, WA; Center for Human Factors Engineering of Health Information Technology, Amsterdam, Netherlands; Department of Medical Informatics, Amsterdam, Netherlands; Division of General Internal Medicine, University of Washington; Department of Biostatistics, Epidemiology and Informatics, Perelman School of Medicine, University of Pennsylvania, Philadelphia, United States</t>
  </si>
  <si>
    <t>Turner, A.M., Department of Health Services, School of Public Health, University of Washington, Seattle, WA, Department of Biomedical Informatics and Medical Education, School of Medicine, University of Washington, Seattle, WA; Engelsma, T., Center for Human Factors Engineering of Health Information Technology, Amsterdam, Netherlands, Department of Medical Informatics, Amsterdam, Netherlands; Taylor, J.O., Department of Health Services, School of Public Health, University of Washington, Seattle, WA; Sharma, R.K., Division of General Internal Medicine, University of Washington; Demiris, G., Department of Biostatistics, Epidemiology and Informatics, Perelman School of Medicine, University of Pennsylvania, Philadelphia, United States</t>
  </si>
  <si>
    <t>Relations between Interpersonal Hopelessness and Help-Seeking Intentions and Behaviors in Suicidal Individuals</t>
  </si>
  <si>
    <t>10.1027/0227-5910/a000815</t>
  </si>
  <si>
    <t>57193568583;54279555300;</t>
  </si>
  <si>
    <t>Background: Due to an increasing suicide rate, risk factors for suicidal thoughts and behaviors (STBs) are an important target for research. Furthermore, individuals experiencing STBs often do not seek help. This highlights the need to assess factors that are associated with help-seeking intentions and behaviors. Aim: The current study examines the role of interpersonal hopelessness in help-seeking intentions and behaviors in suicidal individuals. Method: This was a cross-sectional study. A total of 239 adults (Mage = 32; 57.7% male; 67.8% Caucasian) completed online measures via Amazon's Mechanical Turk (MTurk). Bivariate analyses were conducted to assess if higher levels of interpersonal hopelessness were associated with lower levels of help-seeking intentions and behaviors in individuals experiencing STBs within the previous 6 months. To distinguish interpersonal hopelessness from other variables that may affect help-seeking, social anxiety, interpersonal problems, general hopelessness, and perceived barriers to treatment were also examined using hierarchical regression. Results: Results showed that interpersonal hopelessness was significantly positively correlated with help-seeking intentions and behaviors. The proportion of variance in help-seeking intentions and behaviors accounted for by interpersonal hopelessness was negligible. Limitations: The data were self-reported and collected retrospectively making them susceptible to biases. Although an important first step, the cross-sectional design also limits examination of temporal or causal relationships between study variables. Furthermore, the use of an MTurk sample introduces additional limitations, as well as the limited psychometric evaluation of two measures. Conclusion: Results indicate that although interpersonal hopelessness may be an important factor in suicide risk, it may not play a compelling role in help-seeking behaviors. © 2021 Hogrefe Publishing.</t>
  </si>
  <si>
    <t>Peros O., Ward-Ciesielski E.</t>
  </si>
  <si>
    <t>Crisis</t>
  </si>
  <si>
    <t>https://www.scopus.com/inward/record.uri?eid=2-s2.0-85114368201&amp;doi=10.1027%2f0227-5910%2fa000815&amp;partnerID=40&amp;md5=b632dfab47cd53e6a35831959e6971a6</t>
  </si>
  <si>
    <t>Department of Psychology, Hofstra University, Hempstead, NY, United States; Department of Psychological and Brain Sciences, Boston UniversityMA, United States</t>
  </si>
  <si>
    <t>Peros, O., Department of Psychology, Hofstra University, Hempstead, NY, United States; Ward-Ciesielski, E., Department of Psychology, Hofstra University, Hempstead, NY, United States, Department of Psychological and Brain Sciences, Boston UniversityMA, United States</t>
  </si>
  <si>
    <t>Peros, O.; Department of Psychology, 1000 Hempstead Turnpike, United States; email: operos1@pride.hofstra.edu</t>
  </si>
  <si>
    <t>Relationships between stress appraisals and intolerance of uncertainty with psychological health during early COVID-19 in the USA</t>
  </si>
  <si>
    <t>10.1080/10615806.2022.2075855</t>
  </si>
  <si>
    <t>57192711348;57218602097;57761381700;23985688700;55579357800;</t>
  </si>
  <si>
    <t>Background and objectives: The COVID-19 pandemic has caused increased psychological distress and decreased quality of life (QoL), but limited research has evaluated cognitive appraisals of COVID-19. This study aimed to examine the role of three stress appraisals of the COVID-19 pandemic–threat appraisal, harm/loss appraisal, and challenge appraisal–and the interaction between these appraisals and intolerance of uncertainty (IU) on psychological distress and QoL. Design: This was a cross-sectional survey study using Amazon’s Mechanical Turk. Methods: A sample of 327 adults living in the U.S. completed a series of questionnaires investigating IU, appraisal of the pandemic, psychological distress, and QoL in May 2020 during the first wave of the COVID-19 pandemic. Results: Controlling for demographic variables, IU and harm/loss appraisal positively related to psychological distress and negatively related to QoL. Challenge appraisals negatively related to distress and positively related to QoL. Moderation analyses revealed that higher levels of IU led to stronger positive relationships between threat appraisal and psychological distress. Conclusions: Cognitive appraisals of COVID-19 are associated with psychological health, though the relationship between threat appraisal and psychological distress are strongest for those with difficulty tolerating uncertainty. Theoretical and practical implications are discussed. © 2022 Informa UK Limited, trading as Taylor &amp; Francis Group.</t>
  </si>
  <si>
    <t>McCarty R.J., Downing S.T., Daley M.L., McNamara J.P.H., Guastello A.D.</t>
  </si>
  <si>
    <t>Anxiety, Stress and Coping</t>
  </si>
  <si>
    <t>https://www.scopus.com/inward/record.uri?eid=2-s2.0-85132658079&amp;doi=10.1080%2f10615806.2022.2075855&amp;partnerID=40&amp;md5=ac10a0715c8412c1e6f8a26fb2190589</t>
  </si>
  <si>
    <t>Department of Psychiatry, University of Florida, Gainesville, FL, United States</t>
  </si>
  <si>
    <t>McCarty, R.J., Department of Psychiatry, University of Florida, Gainesville, FL, United States; Downing, S.T., Department of Psychiatry, University of Florida, Gainesville, FL, United States; Daley, M.L., Department of Psychiatry, University of Florida, Gainesville, FL, United States; McNamara, J.P.H., Department of Psychiatry, University of Florida, Gainesville, FL, United States; Guastello, A.D., Department of Psychiatry, University of Florida, Gainesville, FL, United States</t>
  </si>
  <si>
    <t>McCarty, R.J.; Department of Psychiatry, United States; email: ryanmccarty12@ufl.edu</t>
  </si>
  <si>
    <t>Religious Nationalism and the Coronavirus Pandemic: Soul-Sucking Evangelicals and Branch Covidians Make America Sick Again</t>
  </si>
  <si>
    <t>10.1007/s42438-020-00122-7</t>
  </si>
  <si>
    <t>35756117800;</t>
  </si>
  <si>
    <t>This article investigates the response to the coronavirus crisis by Evangelical Christian nationalists in the USA. The article outlines the curious mediaverse of religious nationalism—its post-truth and fake news aspects in particular—links religious nationalism to American exceptionalism, and analyzes conflicts between secular and religious authorities. Drawing upon some lessons from the past, the article addresses the wider implications of Christian nationalism on American politics, and capitalist ideology, as it has been played out virally in the corporate media. The article shows that the ideological underpinnings of evangelical Christianity prevent its proponents from understanding the virus in an historical and materialist manner and points toward more epistemically sound approaches to relationships between science and religion. It concludes that privatization, austerity capitalism, and ‘gig economy’ need to be replaced by socialist alternatives and seeks inspiration in theory and practice of Marxism and South American liberation theology. © 2020, Springer Nature Switzerland AG.</t>
  </si>
  <si>
    <t>McLaren P.</t>
  </si>
  <si>
    <t>Postdigital Science and Education</t>
  </si>
  <si>
    <t>https://www.scopus.com/inward/record.uri?eid=2-s2.0-85124763783&amp;doi=10.1007%2fs42438-020-00122-7&amp;partnerID=40&amp;md5=71e20ebb0890d249f7753d545d6f115f</t>
  </si>
  <si>
    <t>Chapman University, Orange, CA, United States; Northeast Normal University, Changchun, China</t>
  </si>
  <si>
    <t>McLaren, P., Chapman University, Orange, CA, United States, Northeast Normal University, Changchun, China</t>
  </si>
  <si>
    <t>McLaren, P.; Northeast Normal UniversityChina; email: peter.mclaren1@gmail.com</t>
  </si>
  <si>
    <t>Resilience and Psychosocial Functioning in Schizotypy</t>
  </si>
  <si>
    <t>10.1037/per0000559</t>
  </si>
  <si>
    <t>57196375865;7003811605;</t>
  </si>
  <si>
    <t>Understanding resilience has expanded our knowledge of certain risk and protective factors regarding the development of different forms of psychopathology. Particularly, a focus on resilience can be used to implement interventions and to target specific behaviors in hopes of mitigating the onset of a disorder or to alleviate symptoms. Less research on resilience has been done with individuals with psychosis, particularly schizophrenia spectrum disorders. Only 1 previous study has targeted individuals assessed for schizotypy. The current study examined associations between resilience and schizotypy features, assessed using self-report measures. Specifically, we compared 3 different resilience measures, social and occupational functioning, and 3 schizotypy measures in 3 different samples: undergraduate students (n = 878), adult community members (n = 120), and an Amazon Mechanical Turk adult community members (n = 329). Data analyses consisted of correlation and regression analyses, including tests for statistical moderation. Specifically, this study found negative associations between schizotypy and both psychosocial functioning and resilience. Although we predicted resilience would moderate the relations between schizotypy and psychosocial functioning, our analyses did not provide support for a moderating role for resilience. We discuss our findings in terms of understanding the relations among schizotypy, resilience, and psychosocial outcome constructs. © 2022 American Psychological Association</t>
  </si>
  <si>
    <t>Zyla H.O., Lenzenweger M.F.</t>
  </si>
  <si>
    <t>Personality Disorders: Theory, Research, and Treatment</t>
  </si>
  <si>
    <t>https://www.scopus.com/inward/record.uri?eid=2-s2.0-85130623987&amp;doi=10.1037%2fper0000559&amp;partnerID=40&amp;md5=050c843ef20de2a43f5b31c69b1f906a</t>
  </si>
  <si>
    <t>Department of Psychology, State University of New York, Binghamton, United States; Department of Psychiatry, Weill Cornell Medical College, United States</t>
  </si>
  <si>
    <t>Zyla, H.O., Department of Psychology, State University of New York, Binghamton, United States; Lenzenweger, M.F., Department of Psychology, State University of New York, Binghamton, United States, Department of Psychiatry, Weill Cornell Medical College, United States</t>
  </si>
  <si>
    <t>Lenzenweger, M.F.; Department of Psychology, United States; email: mlenzen@binghamton.edu</t>
  </si>
  <si>
    <t>Rethinking cell phone use while driving: Isolated risk behavior or a pattern of risk-taking associated with impulsivity in young drivers?</t>
  </si>
  <si>
    <t>10.3390/ijerph18115640</t>
  </si>
  <si>
    <t>56647988800;7103265490;7004409564;</t>
  </si>
  <si>
    <t>This study examines whether cell phone use stands apart from a general pattern of risky driving practices associated with crashes and impulsivity-related personality traits in young drivers. A retrospective online survey study recruited 384 young drivers from across the United States using Amazon’s Mechanical Turk to complete a survey measuring risky driving practices (including cell phone use), history of crashes, and impulsivity-related personality traits. Almost half (44.5%) of the drivers reported being involved in at least one crash, and the majority engaged in cell phone use while driving (up to 73%). Factor analysis and structural equation modeling found that cell phone use loaded highly on a latent factor with other risky driving practices that were associated with prior crashes (b = 0.15, [95% CI: 0.01, 0.29]). There was also an indirect relationship between one form of impulsivity and crashes through risky driving (b = 0.127, [95% CI: 0.01, 0.30]). Additional analyses did not find an independent contribution to crashes for frequent cell phone use. These results suggest a pattern of risky driving practices associated with impulsivity in young drivers, indicating the benefit of exploring a more comprehensive safe driving strategy that includes the avoidance of cell phone use as well as other risky practices, particularly for young drivers with greater impulsive tendencies. © 2021 by the authors. Licensee MDPI, Basel, Switzerland.</t>
  </si>
  <si>
    <t>Walshe E.A., Winston F.K., Romer D.</t>
  </si>
  <si>
    <t>https://www.scopus.com/inward/record.uri?eid=2-s2.0-85106414477&amp;doi=10.3390%2fijerph18115640&amp;partnerID=40&amp;md5=7d8d72cdea4b8a9eaa62edfb160713b9</t>
  </si>
  <si>
    <t>Center for Injury Research and Prevention, The Children’s Hospital of Philadelphia, Philadelphia, PA  19104, United States; Annenberg Public Policy Center, University of Pennsylvania, Philadelphia, PA  19104, United States</t>
  </si>
  <si>
    <t>Walshe, E.A., Center for Injury Research and Prevention, The Children’s Hospital of Philadelphia, Philadelphia, PA  19104, United States; Winston, F.K., Center for Injury Research and Prevention, The Children’s Hospital of Philadelphia, Philadelphia, PA  19104, United States, Annenberg Public Policy Center, University of Pennsylvania, Philadelphia, PA  19104, United States; Romer, D., Annenberg Public Policy Center, University of Pennsylvania, Philadelphia, PA  19104, United States</t>
  </si>
  <si>
    <t>Walshe, E.A.; Center for Injury Research and Prevention, United States; email: walshee@chop.edu</t>
  </si>
  <si>
    <t>Revup: Automatic gap-fill question generation from educational texts</t>
  </si>
  <si>
    <t>57684134300;15050125000;12800953300;</t>
  </si>
  <si>
    <t>This paper describes RevUP which deals with automatically generating gap-fill questions. RevUP consists of 3 parts: Sentence Selection, Gap Selection &amp; Multiple Choice Distractor Selection. To select topicallyimportant sentences from texts, we propose a novel sentence ranking method based on topic distributions obtained from topic models. To select gap-phrases from each selected sentence, we collected human annotations, using the Amazon Mechanical Turk, on the relative relevance of candidate gaps. This data is used to train a discriminative classifier to predict the relevance of gaps, achieving an accuracy of 81.0%. Finally, we propose a novel method to choose distractors that are semantically similar to the gap-phrase and have contextual fit to the gap-fill question. By crowdsourcing the evaluation of our method through the Amazon Mechanical Turk, we found that 94% of the distractors selected were good. RevUP fills the semantic gap left open by previous work in this area, and represents a significant step towards automatically generating quality tests for teachers and self-motivated learners. © NAACL-HLT 2015. All rights reserved.</t>
  </si>
  <si>
    <t>Kumar G., Banchs R.E., D'Haro L.F.</t>
  </si>
  <si>
    <t>https://www.scopus.com/inward/record.uri?eid=2-s2.0-85108141279&amp;partnerID=40&amp;md5=3ecfaa7543916d65f6b35fb80fa1f4f6</t>
  </si>
  <si>
    <t>Nus High School of Math and Science, Singapore, 129957, Singapore; Institute for Infocomm Research, Singapore, 138632, Singapore</t>
  </si>
  <si>
    <t>Kumar, G., Nus High School of Math and Science, Singapore, 129957, Singapore; Banchs, R.E., Institute for Infocomm Research, Singapore, 138632, Singapore; D'Haro, L.F., Institute for Infocomm Research, Singapore, 138632, Singapore</t>
  </si>
  <si>
    <t>Rise of Social Media Influencers as a New Marketing Channel: Focusing on the Roles of Psychological Well-Being and Perceived Social Responsibility among Consumers</t>
  </si>
  <si>
    <t>10.3390/ijerph19042362</t>
  </si>
  <si>
    <t>57201254887;56153457000;</t>
  </si>
  <si>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 © 2022 by the authors. Licensee MDPI, Basel, Switzerland.</t>
  </si>
  <si>
    <t>Kim J., Kim M.</t>
  </si>
  <si>
    <t>https://www.scopus.com/inward/record.uri?eid=2-s2.0-85124911588&amp;doi=10.3390%2fijerph19042362&amp;partnerID=40&amp;md5=9a75bb0eb78891715d28cc888c04d3e4</t>
  </si>
  <si>
    <t>Department of Integrated Strategic Communication, College of Communication and Information, University of Kentucky, Lexington, KY  40506, United States; Department of Management &amp; Marketing, College of Business, Louisiana State University Shreveport, Shreveport, LA  71115, United States</t>
  </si>
  <si>
    <t>Kim, J., Department of Integrated Strategic Communication, College of Communication and Information, University of Kentucky, Lexington, KY  40506, United States; Kim, M., Department of Management &amp; Marketing, College of Business, Louisiana State University Shreveport, Shreveport, LA  71115, United States</t>
  </si>
  <si>
    <t>Kim, M.; Department of Management &amp; Marketing, United States; email: minseong.kim@lsus.edu</t>
  </si>
  <si>
    <t>RLens: A Computer-aided Visualization System for Supporting Reflection on Language Learning under Distributed Tutorship</t>
  </si>
  <si>
    <t>10.1145/3491140.3528264</t>
  </si>
  <si>
    <t>57202803261;57223820407;57376830800;57376722600;57652927200;39361826000;</t>
  </si>
  <si>
    <t>With the rise of the gig economy, online language tutoring platforms are becoming increasingly popular. These platforms provide temporary and flexible jobs for native speakers as tutors and allow language learners to have one-on-one speaking practices on demand, on which learners occasionally practice the language with different tutors. With such distributed tutorship, learners can hold flexible schedules and receive diverse feedback. However, learners face challenges in consistently tracking their learning progress because different tutors provide feedback from diverse standards and perspectives, and hardly refer to learners' previous experiences with other tutors. We present RLens, a visualization system for facilitating learners' learning progress reflection by grouping different tutors' feedback, tracking how each feedback type has been addressed across learning sessions, and visualizing the learning progress. We validate our design through a between-subjects study with 40 real-world learners. Results show that learners can successfully analyze their progress and common language issues under distributed tutorship with RLens, while most learners using the baseline interface had difficulty achieving reflection tasks. We further discuss design considerations of computer-aided systems for supporting learning under distributed tutorship. © 2022 ACM.</t>
  </si>
  <si>
    <t>Xia M., Zhao Y., Hong J., Erol M.H., Kim T., Kim J.</t>
  </si>
  <si>
    <t>L@S 2022 - Proceedings of the 9th ACM Conference on Learning @ Scale</t>
  </si>
  <si>
    <t>https://www.scopus.com/inward/record.uri?eid=2-s2.0-85132201822&amp;doi=10.1145%2f3491140.3528264&amp;partnerID=40&amp;md5=4eb8be7356aac018aa6ae87a60170807</t>
  </si>
  <si>
    <t>Korea Advanced Institute of Science and Technology, Daejeon, South Korea; Hong Kong University of Science and Technology, Hong Kong, Hong Kong</t>
  </si>
  <si>
    <t>Xia, M., Korea Advanced Institute of Science and Technology, Daejeon, South Korea; Zhao, Y., Hong Kong University of Science and Technology, Hong Kong, Hong Kong; Hong, J., Korea Advanced Institute of Science and Technology, Daejeon, South Korea; Erol, M.H., Korea Advanced Institute of Science and Technology, Daejeon, South Korea; Kim, T., Korea Advanced Institute of Science and Technology, Daejeon, South Korea; Kim, J., Korea Advanced Institute of Science and Technology, Daejeon, South Korea</t>
  </si>
  <si>
    <t>RMS: Removing Barriers to Analyze the Availability and Surge Pricing of Ridesharing Services</t>
  </si>
  <si>
    <t>10.1145/3491102.3517464</t>
  </si>
  <si>
    <t>57604710600;57386325100;57196553643;55360622700;</t>
  </si>
  <si>
    <t>Ridesharing services do not make data of their availability (supply, utilization, idle time, and idle distance) and surge pricing publicly available. It limits the opportunities to study the spatiotemporal trends of the availability and surge pricing of these services. Only a few research studies conducted in North America analyzed these features for only Uber and Lyft. Despite the interesting observations, the results of prior works are not generalizable or reproducible because: i) the datasets collected in previous publications are spatiotemporally sensitive, i.e., previous works do not represent the current availability and surge pricing of ridesharing services in different parts of the world; and ii) the analyses presented in previous works are limited in scope (in terms of countries and ridesharing services they studied). Hence, prior works are not generally applicable to ridesharing services operating in different countries. This paper addresses the issue of ridesharing-data unavailability by presenting Ridesharing Measurement Suite (RMS). RMS removes the barrier of entry for analyzing the availability and surge pricing of ridesharing services for ridesharing users, researchers from various scientific domains, and regulators. RMS continuously collects the data of the availability and surge pricing of ridesharing services. It exposes real-time data of these services through i) graphical user interfaces and ii) public APIs to assist various stakeholders of these services and simplify the data collection and analysis process for future ridesharing research studies. To signify the utility of RMS, we deployed RMS to collect and analyze the availability and surge pricing data of 10 ridesharing services operating in nine countries for eight weeks in pre and during pandemic periods. Using the data collected and analyzed by RMS, we identify that previous articles miscalculated the utilization of ridesharing services as they did not count in the vehicles driving in multiple categories of the same service. We observe that during COVID-19, the supply of ridesharing services decreased by 54%, utilization of available vehicles increased by 6%, and a 5 × increase in the surge frequency of services. We also find that surge occurs in a small geographical region, and its intensity reduces by 50% in about 0.5 miles away from the location of a surge. We present several other interesting observations on ridesharing services' availability and surge pricing. © 2022 ACM.</t>
  </si>
  <si>
    <t>Khan H.A., Iqbal H., Shahzad M., Jin G.</t>
  </si>
  <si>
    <t>https://www.scopus.com/inward/record.uri?eid=2-s2.0-85130534978&amp;doi=10.1145%2f3491102.3517464&amp;partnerID=40&amp;md5=26947809683d0230561fe5f01c1097b0</t>
  </si>
  <si>
    <t>North Carolina State University, Raleigh, NC, United States</t>
  </si>
  <si>
    <t>Khan, H.A., North Carolina State University, Raleigh, NC, United States; Iqbal, H., North Carolina State University, Raleigh, NC, United States; Shahzad, M., North Carolina State University, Raleigh, NC, United States; Jin, G., North Carolina State University, Raleigh, NC, United States</t>
  </si>
  <si>
    <t>Science, Technology, Enterprise and Society</t>
  </si>
  <si>
    <t>10.1177/2393957520967801</t>
  </si>
  <si>
    <t>57405115900;</t>
  </si>
  <si>
    <t>One of the greatest challenges for civil societies, politicians and organisations around the globe in the twenty-first century is the digitisation and automatisation of work processes. Through means of machine learning, new mechanical product developments, and a further development of digital work organisation, fundamental aspects of the working reality are changing. The arguments of this essay show that some scholars predict a massive replacement of manufacturing jobs by machines. Others show that people fear to arrive at a feeling of overextension through constant availability or new developments in how firms are organised. All of these aspects can have drastic implications on a macroeconomic level and for the mental health and general well-being of workers. Henceforth, it is utterly important to analyse the implications of digitisation thoroughly and not prematurely arrive at an overly positive perception of such changes in the work environment. © 2020 SAGE Publications.</t>
  </si>
  <si>
    <t>Smit C.</t>
  </si>
  <si>
    <t>Journal of Entrepreneurship and Innovation in Emerging Economies</t>
  </si>
  <si>
    <t>https://www.scopus.com/inward/record.uri?eid=2-s2.0-85122513565&amp;doi=10.1177%2f2393957520967801&amp;partnerID=40&amp;md5=926aa46b232cb4721a30ba3f6357b29e</t>
  </si>
  <si>
    <t>Leuphana Universität Lüneburg, Luneburg, Germany</t>
  </si>
  <si>
    <t>Smit, C., Leuphana Universität Lüneburg, Luneburg, Germany</t>
  </si>
  <si>
    <t>Smit, C.; Leuphana Universität LüneburgGermany; email: Christian.Smit@stud.leuphana.de</t>
  </si>
  <si>
    <t>SemEval-2015 Task 3: Answer Selection in Community Question Answering</t>
  </si>
  <si>
    <t>15043153900;7006837086;15044913900;6507876429;7201603693;57197875871;</t>
  </si>
  <si>
    <t>Community Question Answering (cQA) provides new interesting research directions to the traditional Question Answering (QA) field, e.g., the exploitation of the interaction between users and the structure of related posts. In this context, we organized SemEval-2015 Task 3 on Answer Selection in cQA, which included two subtasks: (a) classifying answers as good, bad, or potentially relevant with respect to the question, and (b) answering a YES/NO question with yes, no, or unsure, based on the list of all answers. We set subtask A for Arabic and English on two relatively different cQA domains, i.e., the Qatar Living website for English, and a Quran-related website for Arabic. We used crowdsourcing on Amazon Mechanical Turk to label a large English training dataset, which we released to the research community. Thirteen teams participated in the challenge with a total of 61 submissions: 24 primary and 37 contrastive. The best systems achieved an official score (macro-averaged F1) of 57.19 and 63.7 for the English subtasks A and B, and 78.55 for the Arabic subtask A. © 2015 Association for Computational Linguistics</t>
  </si>
  <si>
    <t>Nakov P., Màrquez L., Magdy W., Moschitti A., Glass J., Randeree B.</t>
  </si>
  <si>
    <t>SemEval 2015 - 9th International Workshop on Semantic Evaluation, co-located with the 2015 Conference of the North American Chapter of the Association for Computational Linguistics: Human Language Technologies, NAACL-HLT 2015 - Proceedings</t>
  </si>
  <si>
    <t>https://www.scopus.com/inward/record.uri?eid=2-s2.0-85122001332&amp;partnerID=40&amp;md5=827e4a833cf0c3211fac8d986ebd73a7</t>
  </si>
  <si>
    <t>ALT Research Group, Qatar Computing Research Institute, Qatar; MIT Computer Science and Artificial Intelligence Laboratory; Qatar Living, Qatar</t>
  </si>
  <si>
    <t>Nakov, P., ALT Research Group, Qatar Computing Research Institute, Qatar; Màrquez, L., ALT Research Group, Qatar Computing Research Institute, Qatar; Magdy, W., ALT Research Group, Qatar Computing Research Institute, Qatar; Moschitti, A., ALT Research Group, Qatar Computing Research Institute, Qatar; Glass, J., MIT Computer Science and Artificial Intelligence Laboratory; Randeree, B., Qatar Living, Qatar</t>
  </si>
  <si>
    <t>Sex disparities in organ donation: Finding an equitable donor pool</t>
  </si>
  <si>
    <t>10.1161/JAHA.121.020820</t>
  </si>
  <si>
    <t>57215122275;57314150100;57314190500;36934346200;7005310964;57314204900;6602552673;56420001800;</t>
  </si>
  <si>
    <t>BACKGROUND: The majority of living organ donors are women, but few are deceased organ donors, which increases risks associated with sex mismatched organs. We sought to identify reasons for sex disparities in organ donation and strategies for equity. METHODS AND RESULTS: Using Amazon’s Mechanical Turk, we examined US adults’ perceptions regarding donation in a mixed-methods survey study. Results were compared by sex with Fisher’s exact test and T-tests for quantitative results and qualitative descriptive analyses for write-in responses. Among 667 participants (55% women), the majority of men (64.8%) and women (63.4%) self-identified as registered donors. Women’s willingness to donate their own organs to family members (P=0.03) or strangers (P=0.03) was significantly higher than men. Donors from both sexes were guided by: desire to help, personal experience, and believing organs would be useless to deceased donors. Non-donors from both sexes were guided by: no reason, medical mistrust, contemplating donation. When considering whether to donate organs of a deceased family member, women were equally guided by a family member’s wishes and believing the family member had no further use for or-gans. Men had similar themes but valued the family member’s wishes more. Among non-donors, both sexes would consider donation if more information was provided. CONCLUSIONS: In a national survey, both sexes had similar reasons for becoming and not becoming an organ donor. However, compared with men, women were more willing to donate their organs to family members and strangers. Improving educa-tion and communicating wishes regarding organ donation with direct relatives may increase sex equity in deceased organ donation. © 2021 The Authors. Published on behalf of the American Heart Association, Inc., by Wiley.</t>
  </si>
  <si>
    <t>Yee E., Hosseini S.M., Duarte B., Knapp S.M., Carnes M., Young B., Sweitzer N.K., Breathett K.</t>
  </si>
  <si>
    <t>Journal of the American Heart Association</t>
  </si>
  <si>
    <t>https://www.scopus.com/inward/record.uri?eid=2-s2.0-85118096950&amp;doi=10.1161%2fJAHA.121.020820&amp;partnerID=40&amp;md5=af0d249a5f64f6b9e3f1f176d90e6f7a</t>
  </si>
  <si>
    <t>School of Medicine and Sarver Heart Center, Clinical Research Office, University of Arizona, Tucson, AZ, United States; Department of Medicine, University of Arizona, Tucson, AZ, United States; Frontera Program, University of Arizona, Tucson, AZ, United States; Statistics Consulting Lab, Bio5 Institute, University of Arizona, Tucson, AZ, United States; Department of Medicine, University of Wisconsin, Madison, WI, United States; Division of Nephrology, Department of Medicine, University of Washington, Seattle, WA, United States; Division of Cardiology, Department of Medicine, Sarver Heart Center, University of Arizona, Tucson, AZ, United States</t>
  </si>
  <si>
    <t>Yee, E., School of Medicine and Sarver Heart Center, Clinical Research Office, University of Arizona, Tucson, AZ, United States; Hosseini, S.M., Department of Medicine, University of Arizona, Tucson, AZ, United States; Duarte, B., Frontera Program, University of Arizona, Tucson, AZ, United States; Knapp, S.M., Statistics Consulting Lab, Bio5 Institute, University of Arizona, Tucson, AZ, United States; Carnes, M., Department of Medicine, University of Wisconsin, Madison, WI, United States; Young, B., Division of Nephrology, Department of Medicine, University of Washington, Seattle, WA, United States; Sweitzer, N.K., Division of Cardiology, Department of Medicine, Sarver Heart Center, University of Arizona, Tucson, AZ, United States; Breathett, K., Division of Cardiology, Department of Medicine, Sarver Heart Center, University of Arizona, Tucson, AZ, United States</t>
  </si>
  <si>
    <t>Breathett, K.; Sarver Heart Center, 1501 North Campbell Avenue, PO Box 245046, United States; email: kbreathett@shc.arizona.edu</t>
  </si>
  <si>
    <t>Social Data Analytics for Enhancing the Collaborative Economy</t>
  </si>
  <si>
    <t>10.1109/ISMSIT52890.2021.9604730</t>
  </si>
  <si>
    <t>57219600369;56940328400;55649970100;57220199984;24921801900;</t>
  </si>
  <si>
    <t>Focusing on the data-driven analytics and its effects on paid services providers can potentially reverse-engineer break-even rates, expected Return on Investment (ROI), and performance timelines. Traditional centralised social networking analytics and metrics can estimate the expected number of customers using well-established vendor-specific revenue assurance tools. They include a systematic approach of incorporating social, environmental, economic, and other values into standard decision-making processes. The challenge appears when the decentralised social media stakeholders come into the game. Then they need to find unified metrics to measure the achievement of social impact relying on three primary performance indicators: appropriateness, efficiency and effectiveness. This paper presents the idea of adding social collaboration term to increase impact within the industry and the effectiveness of tactics and strategies among multiple people, groups or departments. The decision making process related to the revenues will thus benefit from this newly defined metric called Return on Collaboration (ROC). Measuring the ROC provides users with real-time cost per engagement analyses, allowing them to define their specific business application success indicators. The traditional ROI calculates the gain or loss of a given investment. On the other hand, ROC measures the "improvement"resulting from a monetary expenditure in collaboration and the innovative ROC model facilitates user collaboration and revenue growth. As a result, providers can assess the effect of social media services and technologies. © 2021 IEEE.</t>
  </si>
  <si>
    <t>Sefidanoski M., Hristov A., Karadimce A., Dimoska N.P., Marina N.</t>
  </si>
  <si>
    <t>ISMSIT 2021 - 5th International Symposium on Multidisciplinary Studies and Innovative Technologies, Proceedings</t>
  </si>
  <si>
    <t>https://www.scopus.com/inward/record.uri?eid=2-s2.0-85123272201&amp;doi=10.1109%2fISMSIT52890.2021.9604730&amp;partnerID=40&amp;md5=0b5c2621fc45fbd8b99bf7406601480e</t>
  </si>
  <si>
    <t>University of Information Science and Technology (UIST), North Macedonia</t>
  </si>
  <si>
    <t>Sefidanoski, M., University of Information Science and Technology (UIST), North Macedonia; Hristov, A., University of Information Science and Technology (UIST), North Macedonia; Karadimce, A., University of Information Science and Technology (UIST), North Macedonia; Dimoska, N.P., University of Information Science and Technology (UIST), North Macedonia; Marina, N., University of Information Science and Technology (UIST), North Macedonia</t>
  </si>
  <si>
    <t>Social media activity: its impact on career-related perceptions</t>
  </si>
  <si>
    <t>10.1108/DLO-09-2021-0162</t>
  </si>
  <si>
    <t>56494170400;7202491393;54400262400;55932472900;</t>
  </si>
  <si>
    <t>Purpose: The purpose of this exploratory study is to examine individual perceptions about the impact that social media use has on career satisfaction and perceived career benefits. We examined whether informal online learning through “typical” types of social media behaviors (e.g. liking a post or messaging another user) and “networking” types of social media behaviors (e.g. endorsing another user, writing recommendations, going “live,” or looking for a job) impacted career-related perceptions. Design/methodology/approach: In this study, we analyzed Amazon Mechanical Turk survey data gathered from adult participants (n = 475). We focused our inquiry specifically on two social media sites, Facebook and LinkedIn. We asked participants about their social media use and behaviors, as well as their perceptions of career satisfaction and career benefits related to social media. Findings: We found that both typical and networking types of social media behaviors positively predicted the “knowing whom” career competency (defined as career relevant networks and contacts that individuals use to develop their careers) and career satisfaction. Only networking behaviors were positively associated with perceived career benefits of social media use. We further found that LinkedIn users’ career satisfaction was lower compared to non-LinkedIn users. Originality/value: This study adds to the small, but growing body of career research focusing on social capital and social media. Our results suggest that informal online learning via social media may have a positive impact on employees’ career-related perceptions. © 2021, Emerald Publishing Limited.</t>
  </si>
  <si>
    <t>O'Connor K.W., McDonald K.S., McDaniel B.T., Schmidt G.B.</t>
  </si>
  <si>
    <t>Development and Learning in Organizations</t>
  </si>
  <si>
    <t>https://www.scopus.com/inward/record.uri?eid=2-s2.0-85116745223&amp;doi=10.1108%2fDLO-09-2021-0162&amp;partnerID=40&amp;md5=ea30973737265ec92a0cedceac17d2f3</t>
  </si>
  <si>
    <t>Organizational Leadership, Purdue University Fort Wayne, Fort Wayne, IN, United States; Parkview Mirro Center for Research and Innovation, Fort Wayne, IN, United States</t>
  </si>
  <si>
    <t>O'Connor, K.W., Organizational Leadership, Purdue University Fort Wayne, Fort Wayne, IN, United States; McDonald, K.S., Organizational Leadership, Purdue University Fort Wayne, Fort Wayne, IN, United States; McDaniel, B.T., Parkview Mirro Center for Research and Innovation, Fort Wayne, IN, United States; Schmidt, G.B., Organizational Leadership, Purdue University Fort Wayne, Fort Wayne, IN, United States</t>
  </si>
  <si>
    <t>O'Connor, K.W.; Organizational Leadership, United States; email: oconnork@pfw.edu</t>
  </si>
  <si>
    <t>Staff scientist perspectives on onboarding and professional development: Acasestudy</t>
  </si>
  <si>
    <t>10.7171/jbt.21-3204-001</t>
  </si>
  <si>
    <t>57216376952;57219400962;7007024749;</t>
  </si>
  <si>
    <t>Across the United States, the number of staff scientists (master’s-or doctoral-level professionals working in non-faculty roles) has grown by 35% since 2010, and they play an increasingly important role in research efforts. How-ever, few targeted resources are available, which potentially limits the effectiveness of this group. Launched in 2016, the staff scientist path at Emory has tripled in size over 4 y to 138 staff. The present case study evaluated the perceptions of staff scientists related to onboarding experiences and professional development needs, including those needs arising from coronavirus disease 2019 (COVID-19) impacts in the workplace. A survey of Emory staff scientists was conducted from May to June 2019 as part of a program evaluation initiative to assess perceptions of onboarding and professional development opportunities. Interviews with a subset of scientists informed the survey development and identified COVID-19–related impacts on daily work. Results indicated the need for targeted orientation resources specific to staff scientists, accurate and timely information and resources to support scientists’ supervisors, and professional development for scientists in leadership and management-related skills. Remote work associated with COVID-19 accentuated the need for managerial skills, including team development in digital work environments. Findings from this case study can inform policies and practices at Emory and other institutions that employ a similar staff scientist model. © 2021, Association of Biomolecular Resource Facilities. All rights reserved.</t>
  </si>
  <si>
    <t>Murphy M.M., Richard Johnston H., Zwick M.E.</t>
  </si>
  <si>
    <t>Journal of Biomolecular Techniques</t>
  </si>
  <si>
    <t>https://www.scopus.com/inward/record.uri?eid=2-s2.0-85112125760&amp;doi=10.7171%2fjbt.21-3204-001&amp;partnerID=40&amp;md5=13e1d04295981d70f0dd7191690a2449</t>
  </si>
  <si>
    <t>Department of Human Genetics, Emory University, Atlanta, GA, United States; Emory Integrated Computational Core, Emory University, Atlanta, GA, United States; Department of Pediatrics, Emory University School of Medicine, Atlanta, GA, United States</t>
  </si>
  <si>
    <t>Murphy, M.M., Department of Human Genetics, Emory University, Atlanta, GA, United States; Richard Johnston, H., Emory Integrated Computational Core, Emory University, Atlanta, GA, United States; Zwick, M.E., Department of Human Genetics, Emory University, Atlanta, GA, United States, Department of Pediatrics, Emory University School of Medicine, Atlanta, GA, United States</t>
  </si>
  <si>
    <t>Murphy, M.M.; Emory University, Whitehead, Suite 301, 615 Michael Street, United States; email: melissa.murphy@emory.edu</t>
  </si>
  <si>
    <t>Stakeholder's Training Process for GSD Based Requirements Elicitation Frameworks</t>
  </si>
  <si>
    <t>10.1109/ICETAS51660.2020.9484302</t>
  </si>
  <si>
    <t>57213578037;43061470400;57200159842;57207762231;</t>
  </si>
  <si>
    <t>The requirements elicitation frameworks define a systematic way of performing requirements elicitation tasks at pre-stages of the requirements engineering process. The requirements elicitation is a human-centered activity which critically depends upon the selection and training of the most appropriate stakeholders. The requirements elicitation process becomes challenging in global software development projects where stakeholders of the requirements elicitation process have high diversities in their geographical location, working time zones and local cultures. In such global software development scenarios, the need for the trainings of the involved stakeholders becomes most important aspect to create smoothness in the working setups. This article presents a stakeholder's training process for global software development-based requirements elicitation frameworks to address the emergent need in software development industry. The proposed stakeholder's training process provides a mechanism to comprehensively train requirements elicitation stakeholder's about situational context and global software development context. The application of the proposed stakeholder's training process in software development projects highlighted a significant improvement in the quality of the whole requirements elicitation process for global software development projects. © 2020 IEEE.</t>
  </si>
  <si>
    <t>Iqbal M.A., Shah A., Ammar F.A., Rashed Aldaihani A.</t>
  </si>
  <si>
    <t>7th IEEE International Conference on Engineering Technologies and Applied Sciences, ICETAS 2020</t>
  </si>
  <si>
    <t>https://www.scopus.com/inward/record.uri?eid=2-s2.0-85113483992&amp;doi=10.1109%2fICETAS51660.2020.9484302&amp;partnerID=40&amp;md5=f748e56b23f908031ed879d2e1819fec</t>
  </si>
  <si>
    <t>International Islamic University, Kulliyah of ICT, Dept of CS, Malaysia; International Islamic University, Kulliyah of ICT, Dept of IS, Malaysia</t>
  </si>
  <si>
    <t>Iqbal, M.A., International Islamic University, Kulliyah of ICT, Dept of CS, Malaysia; Shah, A., International Islamic University, Kulliyah of ICT, Dept of IS, Malaysia; Ammar, F.A., International Islamic University, Kulliyah of ICT, Dept of CS, Malaysia; Rashed Aldaihani, A., International Islamic University, Kulliyah of ICT, Dept of IS, Malaysia</t>
  </si>
  <si>
    <t>Suicidal Ideation and Risky Behavior are Related through Impulsivity and Low Wish to Live</t>
  </si>
  <si>
    <t>10.1080/13811118.2022.2106921</t>
  </si>
  <si>
    <t>57214450603;18038766600;</t>
  </si>
  <si>
    <t>Objective: Numerous studies have found support for the relationship between suicide and risky behavior. However, few studies have examined factors that may help explain the relationship between suicidal ideation (SI) and risky behavior. This preregistered study examined the relationship between SI and risky behavior and whether there is an indirect relationship through hopelessness, impulsivity, and low wish to live. These factors were selected due to their relationships with both SI and risky behavior. Methods: Participants recruited from Amazon Mechanical Turk completed measures of SI, risky behavior, hopelessness, impulsivity, and wish to live. Consistent with our preregistered methods, we analyzed data from 180 participants with valid data. Indirect effects were evaluated via bootstrapping with 5000 resamples of the a path x b path product. Results: Consistent with prior work, we found a significant positive association between SI and frequency of risky behavior (r =.49). We found significant indirect effects of SI on risky behavior through impulsivity and wish to live but not through hopelessness. Conclusion: SI and risky behavior are associated with each other through impulsivity and wish to live. Though future longitudinal research is needed to determine causality, this has important implications for models of suicidal thoughts and behaviors and their relationship with risky behavior. The potential of future orientation to explain the results is discussed. © 2022 International Academy for Suicide Research.</t>
  </si>
  <si>
    <t>Smith L.M., Wells T.T.</t>
  </si>
  <si>
    <t>Archives of Suicide Research</t>
  </si>
  <si>
    <t>https://www.scopus.com/inward/record.uri?eid=2-s2.0-85135505556&amp;doi=10.1080%2f13811118.2022.2106921&amp;partnerID=40&amp;md5=3e89717ec08876ba2ef367d314855180</t>
  </si>
  <si>
    <t>Department of Psychology, Oklahoma State University, Stillwater, OK, United States</t>
  </si>
  <si>
    <t>Smith, L.M., Department of Psychology, Oklahoma State University, Stillwater, OK, United States; Wells, T.T., Department of Psychology, Oklahoma State University, Stillwater, OK, United States</t>
  </si>
  <si>
    <t>Smith, L.M.; Department of Psychology, United States; email: Logan.smith12@okstate.edu</t>
  </si>
  <si>
    <t>Support-Seeking and Active Coping Mitigate the Association Between Posttrauma Symptom Severity and Attachment Insecurity in a Community Sample of Trauma Survivors</t>
  </si>
  <si>
    <t>10.1037/trm0000407</t>
  </si>
  <si>
    <t>57795598600;57544999000;55348660600;</t>
  </si>
  <si>
    <t>There is an established association between posttrauma symptom severity (PTSS) and attachment insecurity (anxiety and avoidance). However, few studies have examined this association among community samples of trauma-exposed individuals and identified factors that might moderate these associations. We sought to (a) replicate existing associations between PTSS and attachment insecurity in a community sample of trauma survivors and (b) determine the potential moderating role of support-seeking and coping behaviors. Our sample included 824 trauma-exposed individuals (MPCL-5 = 31.6, SD = 20.0; Mage = 37.4, SD = 13.2; 69.3% female; 79.1% White; 77.2% heterosexual). Participants completed an online survey via Amazon Mechanical Turk. Linear regression and moderation analyses tested the association between PTSS and attachment insecurity and whether support-seeking and coping behaviors moderated these associations. PTSS was positively associated with global attachment anxiety (b =.48, 95% confidence interval [.42,.54]) and global attachment avoidance (b =.06, [.15,.29]). The association between PTSS and attachment avoidance was weaker for people who reported greater instrumental and emotional support-seeking or greater active coping. This study provides evidence for the association between PTSS and attachment insecurity. Findings underscore the need to understand causal mechanisms underlying this association and critically evaluate how existing and future interventions can buffer attachment insecurity in trauma-exposed individuals. © 2022. American Psychological Association</t>
  </si>
  <si>
    <t>Shaw T.J., Jakubiak B.K., Scheer J.R.</t>
  </si>
  <si>
    <t>Traumatology</t>
  </si>
  <si>
    <t>https://www.scopus.com/inward/record.uri?eid=2-s2.0-85135829122&amp;doi=10.1037%2ftrm0000407&amp;partnerID=40&amp;md5=7f2f00d559884ae74756c21c0b0d44c5</t>
  </si>
  <si>
    <t>Department of Psychology, Syracuse University, United States; Department of Psychology, Virginia Polytechnic Institute and State University, United States</t>
  </si>
  <si>
    <t>Shaw, T.J., Department of Psychology, Syracuse University, United States, Department of Psychology, Virginia Polytechnic Institute and State University, United States; Jakubiak, B.K., Department of Psychology, Syracuse University, United States; Scheer, J.R., Department of Psychology, Syracuse University, United States</t>
  </si>
  <si>
    <t>Shaw, T.J.; Department of Psychology, United States; email: tjshaw@vt.edu</t>
  </si>
  <si>
    <t>THE “NARRATIVE TURN” in LITERATURE. OBSERVATIONS on DIGITAL WORKS [„ZWROT NARRACYJNY” W LITERATURZE. ZAPISKI O LITERATURZE CYFROWEJ]</t>
  </si>
  <si>
    <t>10.26485/AI/2020/22/10</t>
  </si>
  <si>
    <t>57202689493;</t>
  </si>
  <si>
    <t>The transformation of literary models was born out of a process initiated by the avant-garde and is still present nowadays in the form of the post avant-garde, understood as the creation of many new manifestations of literary expressions, including digital literature. The aim of the article is to analyse the forms, changes and structures of digital literature in comparison to the procedures of so-called “traditional literature”. The methodology is based on comparative literature. The topic is viewed from the perspective of Ibero-American literature exemplified with proto-hypertexts, hypertexts and literary hypermedia from Latin America. As a summary, we can say that digital literature is not going to change literature, but it is going to introduce new literary aesthetics which, in turn, will provide literature with new, different, and experimental narrative structures. © 2020 Lodzkie Towarzystwo Naukowe. All rights reserved.</t>
  </si>
  <si>
    <t>Wendorff A.</t>
  </si>
  <si>
    <t>Art Inquiry</t>
  </si>
  <si>
    <t>https://www.scopus.com/inward/record.uri?eid=2-s2.0-85101089721&amp;doi=10.26485%2fAI%2f2020%2f22%2f10&amp;partnerID=40&amp;md5=dbbf7d9f07c9a40d3ae11137e2fbfb20</t>
  </si>
  <si>
    <t>Department of Spanish Philology, University of Łódź</t>
  </si>
  <si>
    <t>Wendorff, A., Department of Spanish Philology, University of Łódź</t>
  </si>
  <si>
    <t>Wendorff, A.; Department of Spanish Philology, email: anna.wendorff@uni.lodz.pl</t>
  </si>
  <si>
    <t>The delivery of large-scale software products through the adoption of the SAFe framework</t>
  </si>
  <si>
    <t>10.1109/DAS54948.2022.9786216</t>
  </si>
  <si>
    <t>56275330200;57192980542;57192985603;57771975900;57771976000;24829820400;</t>
  </si>
  <si>
    <t>The paper analyses the Scaled Agile Framework (SAFe) which is currently one of the most important agile scaling frameworks, being adopted by the software development companies to maintain a competitive advantage in the digital age and, at the same time, it represents a way to involve all the organization departments in delivering technology-based solutions. Through this framework, functions like marketing, sales, legal, finance adopt Agile and Lean practices to achieve greater transparency and align project objectives with business goals. As every business is becoming a software business, building solid and automated models is essential to enable and sustain a large-scale software delivery. The SAFe adoption steps are analyzed to identify the prerequisites needed for the organizational transformation. This paper provides a case study presenting the implementation of SAFe at a global software development company. This study provides relevant information for both practitioners and academics. The examined framework is based on robust theories and offers tools that software companies can use to increase the efficiency of their software delivery model. Even if the assessed framework is partially adopted within an organization, its core principles, tools, and techniques enhance the software delivery practices. © 2022 IEEE.</t>
  </si>
  <si>
    <t>Fagarasan C., Cristea C., Cristea M., Popa O., Mihele C., Pisla A.</t>
  </si>
  <si>
    <t>2022 16th International Conference on Development and Application Systems, DAS 2022 - Proceedings</t>
  </si>
  <si>
    <t>https://www.scopus.com/inward/record.uri?eid=2-s2.0-85133124676&amp;doi=10.1109%2fDAS54948.2022.9786216&amp;partnerID=40&amp;md5=4bf7286757c87cb923dc3795e1099ba1</t>
  </si>
  <si>
    <t>Technical University of Cluj-Napoca, Cluj-Napoca, Romania</t>
  </si>
  <si>
    <t>Fagarasan, C., Technical University of Cluj-Napoca, Cluj-Napoca, Romania; Cristea, C., Technical University of Cluj-Napoca, Cluj-Napoca, Romania; Cristea, M., Technical University of Cluj-Napoca, Cluj-Napoca, Romania; Popa, O., Technical University of Cluj-Napoca, Cluj-Napoca, Romania; Mihele, C., Technical University of Cluj-Napoca, Cluj-Napoca, Romania; Pisla, A., Technical University of Cluj-Napoca, Cluj-Napoca, Romania</t>
  </si>
  <si>
    <t>Fagarasan, C.; Technical University of Cluj-NapocaRomania; email: office.cristif@gmail.com</t>
  </si>
  <si>
    <t>The effect of attribute alignability on brand evaluation in a competitive context: The moderating role of regulatory mode</t>
  </si>
  <si>
    <t>10.1002/cb.1962</t>
  </si>
  <si>
    <t>26663352500;8412720400;57224828094;</t>
  </si>
  <si>
    <t>Based on structural alignment and regulatory mode theories, this research examined how different regulatory modes (assessment and locomotion) affect attitude and purchase intention for a target brand when it is presented in nonalignable/alignable comparison contexts. According to the structural alignment theory, alignable attributes are comparable aspects across product alternatives (e.g., Popcorn A has calories equal to 20 peanuts while Popcorn B has calories equal to 10 peanuts) while nonalignable attributes are aspects that do not correspond to aspects in other options (e.g., Popcorn A has fiber while Popcorn B tastes a bit sweet). Study 1 employed locomotion mode and attribute alignability (alignable vs. nonalignable) as between-subjects variables. Study 2 employed a single-factor (regulatory mode: assessment vs. locomotion) design. Data were collected from Amazon's Mechanical Turk participant pool. Findings indicated that the match between regulatory mode and structural alignment of brand attributes affects consumer evaluation and behavioral intention. In Study 1, high locomotors evaluated the target product more favorably and tended to purchase the target brand more in a nonalignable comparison context but not in an alignable one. In Study 2, assessors preferred an alignable-better brand more than locomotors did, whereas locomotors tended to prefer a nonalignable-better brand more than assessors did. Implications are discussed related to the effects of regulatory mode and attribute alignability on consumer preference and brand strategies. © 2021 John Wiley &amp; Sons Ltd</t>
  </si>
  <si>
    <t>Lee B.-K., Suh T., Noh H.-H.</t>
  </si>
  <si>
    <t>Journal of Consumer Behaviour</t>
  </si>
  <si>
    <t>https://www.scopus.com/inward/record.uri?eid=2-s2.0-85108357712&amp;doi=10.1002%2fcb.1962&amp;partnerID=40&amp;md5=afd1b19e628350d1d6b7fd4e067aefee</t>
  </si>
  <si>
    <t>Department of Industrial Psychology, Kwangwoon University, Seoul, South Korea; McCoy College of Business, Texas State University, San Marcos, TX, United States</t>
  </si>
  <si>
    <t>Lee, B.-K., Department of Industrial Psychology, Kwangwoon University, Seoul, South Korea; Suh, T., McCoy College of Business, Texas State University, San Marcos, TX, United States; Noh, H.-H., Department of Industrial Psychology, Kwangwoon University, Seoul, South Korea</t>
  </si>
  <si>
    <t>Noh, H.-H.; Department of Industrial Psychology, South Korea; email: hwanhonoh@gmail.com</t>
  </si>
  <si>
    <t>The effect of the rooney rule on implicit bias in the long term</t>
  </si>
  <si>
    <t>10.1145/3442188.3445930</t>
  </si>
  <si>
    <t>57212933269;57222408118;57213688055;13607606100;</t>
  </si>
  <si>
    <t>The Rooney Rule, originally proposed to counter implicit bias in hiring, has been implemented in the private and public sector in various settings. This rule requires that a decision-maker include at least one candidate from an underrepresented group in their shortlist of candidates. Recently, [42] proposed a mathematical model of implicit bias and studied the effectiveness of the Rooney Rule when applied to a single selection decision. However, selection decisions often occur repeatedly over time; e.g., a software firm is continuously hiring employees or a university makes admissions decisions every year. Further, it has been observed that, given consistent counterstereotypical feedback, implicit biases against underrepresented candidates can change. In this paper, we propose a model of how a decision-maker's implicit bias changes over time given their hiring decisions either with or without the Rooney Rule in place. Our model draws from the work of [42] and the literature on opinion dynamics. Our main result is that, for this model, when the decision-maker is constrained by the Rooney Rule, their implicit bias roughly reduces at a rate that is inverse of the size of the shortlist - -independent of the total number of candidates, whereas without the Rooney Rule, the rate is inversely proportional to the number of candidates. Thus, our model predicts that when the number of candidates is much larger than the size of the shortlist, the Rooney Rule enables a significantly faster reduction in implicit bias, providing additional reason in favor of instating it as a strategy to mitigate implicit bias. Towards empirically evaluating the long-term effect of the Rooney Rule in repeated selection decisions, we conduct an iterative candidate selection experiment on Amazon Mechanical Turk. We observe that, indeed, decision-makers subject to the Rooney Rule select more minority candidates in addition to those required by the rule itself than they would if no rule is in effect, and in fact are able to do so without considerably decreasing the utility of candidates selected. © 2021 ACM.</t>
  </si>
  <si>
    <t>Celis L.E., Hays C., Mehrotra A., Vishnoi N.K.</t>
  </si>
  <si>
    <t>FAccT 2021 - Proceedings of the 2021 ACM Conference on Fairness, Accountability, and Transparency</t>
  </si>
  <si>
    <t>https://www.scopus.com/inward/record.uri?eid=2-s2.0-85102654392&amp;doi=10.1145%2f3442188.3445930&amp;partnerID=40&amp;md5=4fcda221b835d36871ad1f4457f34058</t>
  </si>
  <si>
    <t>Yale University, United States</t>
  </si>
  <si>
    <t>Celis, L.E., Yale University, United States; Hays, C., Yale University, United States; Mehrotra, A., Yale University, United States; Vishnoi, N.K., Yale University, United States</t>
  </si>
  <si>
    <t>The effects of COVID-19 stressors and family life on anxiety and depression one-year into the COVID-19 pandemic</t>
  </si>
  <si>
    <t>10.1111/famp.12771</t>
  </si>
  <si>
    <t>56519602600;57222742309;22934324900;35492315500;</t>
  </si>
  <si>
    <t>The purpose of this study was to examine the effects of Coronavirus (COVID-19)-related stressors and family health on adult anxiety and depressive symptoms 1 year into the pandemic. The sample consisted of 442 adults living in the United States who were recruited via Amazon Mechanical Turk. Data were analyzed using multiple logistic regression. Results indicated that compared to a sample 1 month into the pandemic, participants in the current sample reported worse family health and increases in both positive and negative perceptions of the pandemic on family life and routines. COVID-19 stressors and perceived negative effects of the pandemic on family life increased the odds for moderate-to-severe depression and anxiety while having more family health resources decreased the odds for depression and anxiety symptoms. Participants reported lower odds for worse depression and anxiety since the beginning of the pandemic when they reported more positive family meaning due to the pandemic. The results suggest a need to consider the impact of family life on mental health in pandemics and other disasters. © 2022 Family Process Institute.</t>
  </si>
  <si>
    <t>Crandall A., Daines C., Hanson C.L., Barnes M.D.</t>
  </si>
  <si>
    <t>Family Process</t>
  </si>
  <si>
    <t>https://www.scopus.com/inward/record.uri?eid=2-s2.0-85127235738&amp;doi=10.1111%2ffamp.12771&amp;partnerID=40&amp;md5=57ebaa2bffe9c320ce7bd144bc29d27b</t>
  </si>
  <si>
    <t>Department of Public Health, Brigham Young University, Provo, UT, United States</t>
  </si>
  <si>
    <t>Crandall, A., Department of Public Health, Brigham Young University, Provo, UT, United States; Daines, C., Department of Public Health, Brigham Young University, Provo, UT, United States; Hanson, C.L., Department of Public Health, Brigham Young University, Provo, UT, United States; Barnes, M.D., Department of Public Health, Brigham Young University, Provo, UT, United States</t>
  </si>
  <si>
    <t>Crandall, A.; Department of Public Health, United States; email: ali_crandall@byu.edu</t>
  </si>
  <si>
    <t>The Endgame or aWake?: Tropes of Circularity in Literature Then and Now</t>
  </si>
  <si>
    <t>10.3366/count.2016.0052</t>
  </si>
  <si>
    <t>57490509500;</t>
  </si>
  <si>
    <t>This paper argues that attending to the tropes of circularity featuring in print-based literature proves to be a useful foil for an analysis of electronic literature. Based on the idea that digital literary mechanisms do not obliviate previous circularity-inducing structuring motifs in analog literature, such as labyrinths, chess, rivers, and clockwork, this argument arrives at a crucial time for literature, which is currently the object of intensified debates on beginnings and ends, especially in the context of digitality and multisensory perception becoming central to some aspects of its processes. Accordingly, circular motion is here analysed in its depiction and actuation across several kinds of literary / literal machines, in reflection also on how sensory perception both mediate and is mediated. If literature is conditional upon a series of unique, though interconnected, mechanisms, it seems reasonable not to discard a certain circularity of the senses that is brought into play there and, indeed, given both thematic and formal substance in analog and digital works. In other words, representations generated at the confluence of both biological and technological bodies cannot but instigate a circularity on which they are dependent: an idea which this article examines and critiques with reference to canonical and electronic literature, particularly Borges, Beckett, and Joyce. © 2016 Edinburgh University Press. All Rights Reserved.</t>
  </si>
  <si>
    <t>Marques D.</t>
  </si>
  <si>
    <t>CounterText</t>
  </si>
  <si>
    <t>https://www.scopus.com/inward/record.uri?eid=2-s2.0-85126489552&amp;doi=10.3366%2fcount.2016.0052&amp;partnerID=40&amp;md5=0f968aa3b342e94829e04022a09a67b4</t>
  </si>
  <si>
    <t>CLP-FLUC-UC</t>
  </si>
  <si>
    <t>Marques, D., CLP-FLUC-UC</t>
  </si>
  <si>
    <t>Marques, D.; CLP-FLUC-UC</t>
  </si>
  <si>
    <t>The Fathers’ Current Expectations About Son’s Masculinity Scale (FCEASMS): Development and Validation</t>
  </si>
  <si>
    <t>10.1037/men0000358</t>
  </si>
  <si>
    <t>57212582564;7004046438;57217159061;</t>
  </si>
  <si>
    <t>The Father’s Current Expectations About Son’s Masculinity Scale (FCEASMS) was designed to assess the extent to which fathers of sons aged &lt; 21 currently expect their sons to conform to masculine norms and their rigidity in these expectations. Participants included three samples of 300, 683, and 154 fathers recruited using Amazon’s Mechanical Turk which were used for an exploratory factor analysis (EFA), several confirmatory factor analyses (CFA) and a structural regression, and a final CFA of the trimmed model. The EFA resulted in a 42-item, seven-factor scale. A CFA indicated that a bifactor model best fit the data, although the fit to the data was not acceptable. Trimming the model using recommended procedures resulted in a 26-item scale with reasonable fit to the data. Bifactor reliability and dimensionality diagnostic measures supported the use of the raw FCEASMS total score and of six of the seven factors. Convergent, discriminant, and concurrent evidence for validity was reported © 2021 American Psychological Association</t>
  </si>
  <si>
    <t>Martin-Fernandez J., Levant R.F., Wolfe G.</t>
  </si>
  <si>
    <t>Psychology of Men and Masculinity</t>
  </si>
  <si>
    <t>https://www.scopus.com/inward/record.uri?eid=2-s2.0-85119601397&amp;doi=10.1037%2fmen0000358&amp;partnerID=40&amp;md5=9ca708788de188b0073fd20b22bb27ac</t>
  </si>
  <si>
    <t>Department of Psychology, University of Akron, United States</t>
  </si>
  <si>
    <t>Martin-Fernandez, J., Department of Psychology, University of Akron, United States; Levant, R.F., Department of Psychology, University of Akron, United States; Wolfe, G., Department of Psychology, University of Akron, United States</t>
  </si>
  <si>
    <t>Levant, R.F.; Department of Psychology, United States; email: Levant@uakron.edu</t>
  </si>
  <si>
    <t>The Gym Membership Purchase Task: Early Evidence Towards Establishment of a Novel Hypothetical Purchase Task</t>
  </si>
  <si>
    <t>10.1007/s40732-021-00475-w</t>
  </si>
  <si>
    <t>57224585723;57210990846;49461925400;55189634600;</t>
  </si>
  <si>
    <t>Hypothetical purchase tasks are a widely used tool to determine the reinforcing value of commodities, especially commodities which are difficult to deliver experimentally. Amazon Mechanical Turk users (N = 375) completed two novel hypothetical purchase tasks (quantity of purchase and probability of purchase) and other measures to estimate how much an individual values the opportunity to exercise in a gym. We examined correlations between demand indices generated by each task and measures related to physical activity. In addition, we compared rates of systematic and nonsystematic responding between the two tasks. Exploratory analyses of demand indices and measures of physical activity suggest initial evidence of construct validity for each task. When accounting for an order effect, the probability of purchase task generated significantly lower rates of nonsystematic responding compared to the quantity of purchase task (2.87% vs. 14.6%, respectively). We discuss how these results may inform improved construction of future hypothetical purchase tasks and implications for using likelihood and quantity purchase tasks. © 2021, Association for Behavior Analysis International.</t>
  </si>
  <si>
    <t>Brown J., Washington W.D., Stein J.S., Kaplan B.A.</t>
  </si>
  <si>
    <t>Psychological Record</t>
  </si>
  <si>
    <t>https://www.scopus.com/inward/record.uri?eid=2-s2.0-85109265805&amp;doi=10.1007%2fs40732-021-00475-w&amp;partnerID=40&amp;md5=53bf3981e3cdd4a624074721234a6431</t>
  </si>
  <si>
    <t>Center for Transformative Research on Health Behaviors, Fralin Biomedical Research Institute at VTC, Roanoke, VA, United States; Department of Human Nutrition, Foods, and Exercise, Virginia Polytechnic Institute and State University, Blacksburg, VA, United States; Department of Psychology, University of North Carolina, Wilmington, NC, United States; Department of Family and Community Medicine, University of Kentucky, Lexington, KY, United States</t>
  </si>
  <si>
    <t>Brown, J., Center for Transformative Research on Health Behaviors, Fralin Biomedical Research Institute at VTC, Roanoke, VA, United States, Department of Human Nutrition, Foods, and Exercise, Virginia Polytechnic Institute and State University, Blacksburg, VA, United States; Washington, W.D., Department of Psychology, University of North Carolina, Wilmington, NC, United States; Stein, J.S., Center for Transformative Research on Health Behaviors, Fralin Biomedical Research Institute at VTC, Roanoke, VA, United States, Department of Human Nutrition, Foods, and Exercise, Virginia Polytechnic Institute and State University, Blacksburg, VA, United States; Kaplan, B.A., Department of Family and Community Medicine, University of Kentucky, Lexington, KY, United States</t>
  </si>
  <si>
    <t>Brown, J.; Department of Human Nutrition, United States; email: jeremiahmbrown@gmail.com</t>
  </si>
  <si>
    <t>The Influence of Cost Information on Treatment Choice: A Mixed-Methods Study</t>
  </si>
  <si>
    <t>10.1016/j.jhsa.2020.05.019</t>
  </si>
  <si>
    <t>57205116998;56338884000;36181676000;7402021753;55569423800;37070480600;</t>
  </si>
  <si>
    <t>Purpose: To test the null hypothesis that exposure to societal cost information does not affect choice of treatment for carpal tunnel syndrome (CTS). Methods: We enrolled 304 participants using the Amazon Mechanical Turk platform to complete a survey in which participants were given the choice between carpal tunnel release (CTR) or a less-expensive option (orthosis wear) in a hypothetical mild CTS scenario. Patients were randomized to receive information about the societal cost of CTR (cost cohort) or no cost information (control). The primary outcome was the probability of choosing CTR measured on a 6-point ordinal scale. We employed qualitative content analysis to evaluate participants’ rationale for their choice. We also explored agreement with various attitudes toward health care costs on an ordinal scale. Results: Participants in the cost cohort exhibited a greater probability of choosing surgery than those in the control cohort. The relative risk of choosing surgery after exposure to societal cost information was 1.43 (95% confidence interval, 1.11–1.85). Among participants who had not previously been diagnosed with CTS (n = 232), the relative risk of choosing surgery after exposure to societal cost information was 1.55 (95% confidence interval, 1.17–2.06). Lack of personal monetary responsibility frequently emerged as a theme in those in the cost cohort who chose surgery. The majority (94%) of participants expressed at least some agreement that health care cost is a major problem whereas only 58% indicated that they consider the country's health care costs when making treatment decisions. Conclusions: Participants who received societal cost information were more likely to choose the more expensive treatment option (CTR) for mild CTS. Clinical relevance: Exposure to societal cost information may influence patient decision making in elective hand surgery. A complete understanding of this influence is required prior to implementing processes toward greater cost transparency for diagnostic/treatment options. Sharing out-of-pocket costs with patients may be a beneficial approach because discussing societal cost information alone will likely not improve value of care. © 2020 American Society for Surgery of the Hand</t>
  </si>
  <si>
    <t>Zhuang T., Kortlever J.T.P., Shapiro L.M., Baker L., Harris A.H.S., Kamal R.N.</t>
  </si>
  <si>
    <t>Journal of Hand Surgery</t>
  </si>
  <si>
    <t>https://www.scopus.com/inward/record.uri?eid=2-s2.0-85088559331&amp;doi=10.1016%2fj.jhsa.2020.05.019&amp;partnerID=40&amp;md5=bf038447f136f13fecd406306bb05934</t>
  </si>
  <si>
    <t>VOICES Health Policy Research Center, Department of Orthopaedic Surgery, Stanford University, Redwood City, CA, United States; Department of Health Research and Policy, Stanford University, Redwood City, CA, United States; Center for Health Care Evaluation, VA Palo Alto Health Care System, Palo Alto, CA, United States; Department of Surgery and Perioperative Care, Dell Medical School—The University of Texas at Austin, Austin, TX, United States</t>
  </si>
  <si>
    <t>Zhuang, T., VOICES Health Policy Research Center, Department of Orthopaedic Surgery, Stanford University, Redwood City, CA, United States; Kortlever, J.T.P., Department of Surgery and Perioperative Care, Dell Medical School—The University of Texas at Austin, Austin, TX, United States; Shapiro, L.M., VOICES Health Policy Research Center, Department of Orthopaedic Surgery, Stanford University, Redwood City, CA, United States; Baker, L., Department of Health Research and Policy, Stanford University, Redwood City, CA, United States; Harris, A.H.S., Center for Health Care Evaluation, VA Palo Alto Health Care System, Palo Alto, CA, United States; Kamal, R.N., VOICES Health Policy Research Center, Department of Orthopaedic Surgery, Stanford University, Redwood City, CA, United States</t>
  </si>
  <si>
    <t>Kamal, R.N.; VOICES Health Policy Research Center, 450 Broadway St. MC: 6342, United States; email: rnkamal@stanford.edu</t>
  </si>
  <si>
    <t>The labor of search engine evaluation: Making algorithms more human or humans more algorithmic?</t>
  </si>
  <si>
    <t>10.1177/14614448211063860</t>
  </si>
  <si>
    <t>57209739780;55799606900;55824864300;</t>
  </si>
  <si>
    <t>While search engines are discursively framed as automated, self-governing machines, they remain dependent on human laborers. This behind-the-screen workforce includes not only programmers and engineers but also categories of workers that have drawn far less attention. The latter include search quality raters, contingent workers tasked with supplying a “human check” on search algorithms. To explore the human–machine entanglements in search engine evaluation, we draw upon 21 in-depth interviews with raters located across the globe; we supplement our interview data with an analysis of worker training documents. Our findings reveal that despite Google’s stated efforts to make algorithmic systems more sensitive to human subtlety, raters experience their work in ways that are—paradoxically—algorithmic. Indeed, workers framed their experiences through regimes of standardization, discipline, and invisibility. We conclude by discussing the broader implications of our analysis, including worker dehumanization and the exacerbation of power hierarchies in the global, on-demand economy. © The Author(s) 2022.</t>
  </si>
  <si>
    <t>Meisner C., Duffy B.E., Ziewitz M.</t>
  </si>
  <si>
    <t>New Media and Society</t>
  </si>
  <si>
    <t>https://www.scopus.com/inward/record.uri?eid=2-s2.0-85123850047&amp;doi=10.1177%2f14614448211063860&amp;partnerID=40&amp;md5=06a76ac838852238fac1cb2bd6ea661f</t>
  </si>
  <si>
    <t>Cornell University, United States</t>
  </si>
  <si>
    <t>Meisner, C.; Duffy, B.E.; Ziewitz, M., Cornell University, United States</t>
  </si>
  <si>
    <t>Meisner, C.</t>
  </si>
  <si>
    <t>The musician’s personality: Do personality traits vary according to ensemble membership?</t>
  </si>
  <si>
    <t>10.1177/03057356221096779</t>
  </si>
  <si>
    <t>57731654200;14631143400;36703091700;</t>
  </si>
  <si>
    <t>Despite many decades’ worth of investigations into associations between music and personality, the empirical findings are quite scant and scattered. Perhaps, this is because musicians are a diverse group of people, with far-reaching musical interests and wide-ranging personalities. Little research, however, has investigated whether musicians’ choice of musical genre bears a relationship to their personalities. In this study, we explore the limited literature on the relationship between music ensemble membership and personality by investigating personality differences between jazz and classical ensemble musicians on the Big Five personality dimensions. Musicians (N = 221) were recruited from college music ensembles, an introductory psychology course, a Facebook page, and Amazon Mechanical Turk. Participants completed the Big Five Inventory (BFI), a validated self-report personality questionnaire, and analyses were conducted to compare the scores of jazz musicians to the scores of classical musicians. Significant differences emerged between jazz and classical musicians’ personalities, with gender playing a mediating role. These results may be beneficial for music educators and directors, as knowledge that specific personality traits predict music ensemble membership may help guide instruction techniques, communication, understanding between musicians of different musical genres, and general cooperation between music educators/directors and their ensembles. © The Author(s) 2022.</t>
  </si>
  <si>
    <t>Heydel Z.L., Smith R.D., Grevstad N.</t>
  </si>
  <si>
    <t>Psychology of Music</t>
  </si>
  <si>
    <t>https://www.scopus.com/inward/record.uri?eid=2-s2.0-85131560667&amp;doi=10.1177%2f03057356221096779&amp;partnerID=40&amp;md5=f6b66d0a17ca3787c0aceaf5151bcfc0</t>
  </si>
  <si>
    <t>Department of Psychological Sciences, Metropolitan State University of Denver, Denver, CO, United States; Department of Mathematics and Statistics, Metropolitan State University of Denver, Denver, CO, United States</t>
  </si>
  <si>
    <t>Heydel, Z.L., Department of Psychological Sciences, Metropolitan State University of Denver, Denver, CO, United States; Smith, R.D., Department of Psychological Sciences, Metropolitan State University of Denver, Denver, CO, United States; Grevstad, N., Department of Mathematics and Statistics, Metropolitan State University of Denver, Denver, CO, United States</t>
  </si>
  <si>
    <t>Heydel, Z.L.; Department of Psychological Sciences, United States; email: zahavaheydel@gmail.com</t>
  </si>
  <si>
    <t>The Perils of Using Mechanical Turk to Evaluate Open-Ended Text Generation</t>
  </si>
  <si>
    <t>57275350000;57216621738;44061578400;</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</si>
  <si>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 © 2021 Association for Computational Linguistics</t>
  </si>
  <si>
    <t>Karpinska M., Akoury N., Iyyer M.</t>
  </si>
  <si>
    <t>EMNLP 2021 - 2021 Conference on Empirical Methods in Natural Language Processing, Proceedings</t>
  </si>
  <si>
    <t>https://www.scopus.com/inward/record.uri?eid=2-s2.0-85117997750&amp;partnerID=40&amp;md5=ba0929fa02ba9621f788a345ca401dc2</t>
  </si>
  <si>
    <t>University of Massachusetts Amherst, United States</t>
  </si>
  <si>
    <t>Karpinska, M., University of Massachusetts Amherst, United States; Akoury, N., University of Massachusetts Amherst, United States; Iyyer, M., University of Massachusetts Amherst, United States</t>
  </si>
  <si>
    <t>The Relationship Between Religiousness/Spirituality and Psychometric Intelligence in the United States</t>
  </si>
  <si>
    <t>10.1007/s10943-021-01394-4</t>
  </si>
  <si>
    <t>57192654870;57209199166;</t>
  </si>
  <si>
    <t>An inverse relationship between religiousness/spirituality (R/S) and psychometric intelligence (IQ) is well-documented in previous literature. However, the studies that have examined group differences on IQ regarding R/S have limited generalizability. The present study contributed to the literature by evaluating IQ among participants identifying as differentially religious/spiritual (i.e., religious only, spiritual only, both religious and spiritual, or neither religious nor spiritual) and among those classified as either Christian/Catholic, Atheist, or Agnostic. Four hundred and thirty-two participants (M age = 37.9; 36% men) participated online via Amazon’s Mechanical Turk as part of a larger study and completed a brief measure of IQ, a scale of religiousness and spirituality, and a demographics questionnaire. Correlations between IQ and self-reported religiousness/spirituality were small and negative (Mean r = −0.17), consistent with previous literature. Multivariate analyses of covariance (MANCOVAs) controlling for age, gender, education, and socioeconomic status (operationalized by estimated annual household income) indicated that IQ scores tended to be lowest (p &lt; 0.001) for “religious only” participants (estimated marginal mean [EMM] = 93.0) and highest for “neither religious nor spiritual” participants (EMM = 103.7). Furthermore, IQ scores were significantly lower (ps &lt; 0.001) for Christian/Catholic participants (EMM = 96.7) compared to both Atheist (EMM = 104.9) and Agnostic participants (EMM = 107.5). Discussion of these findings, relationships to previous theoretical and empirical work, limitations of the present study, and directions for future inquiry are provided. © 2021, The Author(s), under exclusive licence to Springer Science+Business Media, LLC, part of Springer Nature.</t>
  </si>
  <si>
    <t>Lace J.W., Evans L.N.</t>
  </si>
  <si>
    <t>Journal of Religion and Health</t>
  </si>
  <si>
    <t>https://www.scopus.com/inward/record.uri?eid=2-s2.0-85113705398&amp;doi=10.1007%2fs10943-021-01394-4&amp;partnerID=40&amp;md5=abc6d7321480b8279d435b1b34090680</t>
  </si>
  <si>
    <t>Department of Psychology, Saint Louis University, 3700 Lindell Blvd, St. Louis, MO  63108, United States; Cleveland Clinic Foundation, Neurological Institute, Cleveland, OH  44124, United States; The University of Akron Counseling and Testing Center, Akron, OH  44325, United States</t>
  </si>
  <si>
    <t>Lace, J.W., Department of Psychology, Saint Louis University, 3700 Lindell Blvd, St. Louis, MO  63108, United States, Cleveland Clinic Foundation, Neurological Institute, Cleveland, OH  44124, United States; Evans, L.N., Department of Psychology, Saint Louis University, 3700 Lindell Blvd, St. Louis, MO  63108, United States, The University of Akron Counseling and Testing Center, Akron, OH  44325, United States</t>
  </si>
  <si>
    <t>Evans, L.N.; Department of Psychology, 3700 Lindell Blvd, United States; email: luke.evans@health.slu.edu</t>
  </si>
  <si>
    <t>The rise of online platforms and the triumph of the corporation</t>
  </si>
  <si>
    <t>10.6092/issn.1971-8853/11715</t>
  </si>
  <si>
    <t>6602402308;56099813200;</t>
  </si>
  <si>
    <t>Rather than viewing online platforms as digital marketplaces, we analyze platforms as corporations and platform participants as a workforce. Online platforms perform very similar functions as any other corporation, but in different ways (applying terms and conditions as a legal framework and data, reviews, and algorithms for decentralized control) and mostly in different contexts (informal labor markets, sharing communities, social media) than traditional corporations did hitherto. The corporation perspective helps us to understand the transformative power of platforms, while at the same time shedding light on the historical continuation of the corporation as a basic institution in society. We argue that platforms’ transformative capacity lies in their continuous development of new institutions that they impose on their workforce and their clientele, codified in terms and conditions. It is the re-coding capacity that provides platforms the ability to continuously adapt the course of institutionalization in largely autonomous manners. Copyright © 2021 Koen Frenken, Lea Fuenfschilling</t>
  </si>
  <si>
    <t>Frenken K., Fuenfschilling L.</t>
  </si>
  <si>
    <t>Sociologica</t>
  </si>
  <si>
    <t>https://www.scopus.com/inward/record.uri?eid=2-s2.0-85103758805&amp;doi=10.6092%2fissn.1971-8853%2f11715&amp;partnerID=40&amp;md5=1d49b7e845aa4a326935d9ff9a34281f</t>
  </si>
  <si>
    <t>Copernicus Institute of Sustainable Development, Utrecht University, Netherlands; CIRCLE, Department of Design Sciences, Lund University, Sweden</t>
  </si>
  <si>
    <t>Frenken, K., Copernicus Institute of Sustainable Development, Utrecht University, Netherlands; Fuenfschilling, L., CIRCLE, Department of Design Sciences, Lund University, Sweden</t>
  </si>
  <si>
    <t>Frenken, K.; Copernicus Institute of Sustainable Development, Netherlands; email: K.Frenken@uu.nl</t>
  </si>
  <si>
    <t>The rise of the digital economy: Thoughts on blockchain technology and cryptocurrencies for the collaborative economy</t>
  </si>
  <si>
    <t>10.1016/j.ijis.2019.12.002</t>
  </si>
  <si>
    <t>56816944900;57223988496;</t>
  </si>
  <si>
    <t>This study highlights the potential impacts of blockchain technology on the collaborative economy (CE), colloquially known as the sharing economy. This conceptual review first analyzes how the CE intersects with the blockchain technology. Collaborative consumption involves an intensification of peer-to-peer trade, underpinned by robust digital infrastructures and processes, hence an increased use of new technologies and a redefinition of business activities. As an inherently connected economy, the CE is, therefore, prone to integrating the most recent technological advances including artificial intelligence, big data analysis, augmented reality, the smart grid, and blockchain technology. This review then furthers the examination of the organizational and managerial implications related to the use of blockchain technology in terms of governance, transaction costs, and user confidence. A closing case finally examines the role of a prominent social networking site (i.e., Facebook) in the CE-blockchain nexus. © 2019 KeAi Communications Co., Ltd</t>
  </si>
  <si>
    <t>Ertz M., Boily É.</t>
  </si>
  <si>
    <t>International Journal of Innovation Studies</t>
  </si>
  <si>
    <t>https://www.scopus.com/inward/record.uri?eid=2-s2.0-85097925154&amp;doi=10.1016%2fj.ijis.2019.12.002&amp;partnerID=40&amp;md5=7b7edb02a94beb42a9c42a232d79160a</t>
  </si>
  <si>
    <t>Department of Economics and Administrative Sciences, Université Du Québec à Chicoutimi, Chicoutimi, QC  G7H 2B1, Canada</t>
  </si>
  <si>
    <t>Ertz, M., Department of Economics and Administrative Sciences, Université Du Québec à Chicoutimi, Chicoutimi, QC  G7H 2B1, Canada; Boily, É., Department of Economics and Administrative Sciences, Université Du Québec à Chicoutimi, Chicoutimi, QC  G7H 2B1, Canada</t>
  </si>
  <si>
    <t>Ertz, M.; Department of Economics and Administrative Sciences, Canada; email: myriam_ertz@uqac.ca</t>
  </si>
  <si>
    <t>The role of request precision and perceived efficacy in increasing charitable donations</t>
  </si>
  <si>
    <t>10.1002/nvsm.1746</t>
  </si>
  <si>
    <t>8916165000;57197782502;</t>
  </si>
  <si>
    <t>Nonprofit organizations often rely on fundraising appeals to generate sufficient revenue to cover their charitable activities and operating expenses, and managers seek to optimize donations by refining how these appeals are worded. The current research examines three factors affecting the persuasiveness of fundraising appeals: precision of ask strings, provision of efficacy information, and donors' prior giving behavior. We predict higher donation amounts when fundraising appeals include precise ask strings and efficacy information (H1), with this effect manifesting primarily among new donors (H2). For Study 1, we recruited 193 participants on Amazon Mechanical Turk. Respondents were presented with a fundraising appeal including either precise or round ask strings, with or without an efficacy statement. For Study 2, we conducted a field study with a real local charity, sending fundraising appeals to 507 prospective donors. All respondents saw efficacy statements, along with either precise or round ask strings; donors were coded as new or repeat. The main dependent variable in both studies was donation amount, which was analyzed using two-way ANOVA. In Study 1, precise ask strings yielded higher donations than round ask strings when efficacy information was provided, supporting H1. In Study 2, this effect held only among new donors, in support of H2. Our results demonstrate how very specific solicitations, combined with information about how funds will be used, can increase the yield of fundraising campaigns. Critically, since these effects are stronger among new donors, managers should employ them selectively. As only three factors were considered in our studies, future work should explore boundary conditions and covariates. © 2022 John Wiley &amp; Sons Ltd.</t>
  </si>
  <si>
    <t>Hershberger E., Hair M.</t>
  </si>
  <si>
    <t>Journal of Philanthropy and Marketing</t>
  </si>
  <si>
    <t>https://www.scopus.com/inward/record.uri?eid=2-s2.0-85125892688&amp;doi=10.1002%2fnvsm.1746&amp;partnerID=40&amp;md5=2d043a338c4702f0de902498cb7c5ac0</t>
  </si>
  <si>
    <t>Management and Marketing Department, Southern Illinois University Edwardsville, Edwardsville, IL, United States</t>
  </si>
  <si>
    <t>Hershberger, E., Management and Marketing Department, Southern Illinois University Edwardsville, Edwardsville, IL, United States; Hair, M., Management and Marketing Department, Southern Illinois University Edwardsville, Edwardsville, IL, United States</t>
  </si>
  <si>
    <t>Hershberger, E.; Management and Marketing Department, United States; email: ehershb@siue.edu</t>
  </si>
  <si>
    <t>The scarlet letter: impacts of moral emotions and attribution type on athlete stigmatization</t>
  </si>
  <si>
    <t>10.1080/16184742.2020.1837199</t>
  </si>
  <si>
    <t>55935254400;57192233185;57190965018;57222015239;</t>
  </si>
  <si>
    <t>Research question: News about celebrity athlete transgressions is nearly an everyday occurrence in today’s media channels. Whether the public stigmatizes these individuals as a result of these indiscretions and how this process is enacted is not yet evident in the literature. This paper seeks to answer the question of whether and how the psychological process of stigma formation occurs with regard to celebrity athletes who transgress. Further, the paper also seeks to clarify the impact of this stigmatization in the context of sponsorship and celebrity endorsement. Research methods: A total of 219 US residents who were recruited from Amazon Mechanical Turk participated in this experimental study. We employed structural equation modeling to test our hypotheses. Results and findings: The results show that the impact of negative moral emotions on stigma formation for transgressed athletes is partially mediated by internal attribution. Moreover, negative moral emotions and stigmas have a direct positive (negative) impact on moral coupling (moral decoupling and rationalization), and ultimately influence the attitude toward the transgressed athlete and sponsored brand. Implications: The findings suggest that brand managers should consider the transgression history as a key determinant for endorsement decisions because sport consumers may have already formed a strong perception of stigma toward those athletes and those perceptions in turn determine the overall evaluations of endorsed athletes and sponsored brands. © 2021 European Association for Sport Management.</t>
  </si>
  <si>
    <t>Lee J.S., Kim D., Jang W., Jun S.</t>
  </si>
  <si>
    <t>European Sport Management Quarterly</t>
  </si>
  <si>
    <t>https://www.scopus.com/inward/record.uri?eid=2-s2.0-85101034316&amp;doi=10.1080%2f16184742.2020.1837199&amp;partnerID=40&amp;md5=847048f65a01dbb9e7dd59effd4406c9</t>
  </si>
  <si>
    <t>Department of Sport Industry Studies, College of Educational Sciences, Yonsei University, Seoul, South Korea; Department of Marine Sports, Pukyong National University, Busan, South Korea; College of Sport Science, Sungkyunkwan University, Suwon, South Korea; Frontier Research Institute of Convergence Sports Science, Yonsei University, Seoul, South Korea</t>
  </si>
  <si>
    <t>Lee, J.S., Department of Sport Industry Studies, College of Educational Sciences, Yonsei University, Seoul, South Korea; Kim, D., Department of Marine Sports, Pukyong National University, Busan, South Korea; Jang, W., College of Sport Science, Sungkyunkwan University, Suwon, South Korea; Jun, S., Frontier Research Institute of Convergence Sports Science, Yonsei University, Seoul, South Korea</t>
  </si>
  <si>
    <t>Kim, D.; Department of Marine Sports, 45, Yongso-ro, Nam-Gu, South Korea; email: dk@pknu.ac.kr</t>
  </si>
  <si>
    <t>The Structure of the Prodromal Questionnaire-16 (PQ-16): Exploratory and confirmatory factor analyses in a general non-help-seeking population sample</t>
  </si>
  <si>
    <t>10.1111/eip.13147</t>
  </si>
  <si>
    <t>57212764186;24066993000;20434587900;36188019700;57331661200;</t>
  </si>
  <si>
    <t>Aims: To examine the structure of the Prodromal Questionnaire (PQ-16) in a non-help-seeking population through exploratory factor analysis and confirmatory factor analysis. Previous studies have not looked at the structure of this self-report measure outside clinical settings. Methods: Participants (n = 1045) were recruited through Amazon's Mechanical Turk (MTurk), and then completed the PQ-16. The data set was split randomly in two, one being used for exploratory factor analysis (EFA) and the other for confirmatory factor analysis (CFA). A polychoric correlation matrix was created and EFA was used to explore the factor structure of the PQ-16. Four models were tested through CFA to determine best fit: one, two, three and four-factor models were all analysed. Results: EFA indicated a two-factor structure in the PQ-16 in a non-help-seeking population (with a mean age = 29.7 years). Factor 1 represented perceptual abnormalities/hallucinations and factor 2 general symptoms associated with psychosis-risk. CFA indicated that all the proposed models were suitable fits for the dataset. Fit indices for the three-factor model (factor 1 representing perceptual abnormalities/hallucinations, factor 2 unusual thought content, and factor 3 negative symptom) indicated that it appeared to be a better fit for the data than the one, two, and four factor models. Conclusions: This study suggests that a three-factor model of the PQ-16 is a better fit than other proposed models in a non-help-seeking population. Future research of the structure of the PQ-16 in this population may benefit from recruiting subjects with a lower mean age than the current study. © 2021 John Wiley &amp; Sons Australia, Ltd.</t>
  </si>
  <si>
    <t>Howie C., Hanna D., Shannon C., Davidson G., Mulholland C.</t>
  </si>
  <si>
    <t>Early Intervention in Psychiatry</t>
  </si>
  <si>
    <t>https://www.scopus.com/inward/record.uri?eid=2-s2.0-85102921391&amp;doi=10.1111%2feip.13147&amp;partnerID=40&amp;md5=7dd27e660d386eee61dfd140aeabbc63</t>
  </si>
  <si>
    <t>School of Medicine, Queen's University Belfast, Belfast, United Kingdom; School of Psychology, Queen's University Belfast, Belfast, United Kingdom; Northern Health and Social Care Trust, Antrim, United Kingdom; School of Social Sciences, Education and Social Work, Queen's University Belfast, Belfast, United Kingdom</t>
  </si>
  <si>
    <t>Howie, C., School of Medicine, Queen's University Belfast, Belfast, United Kingdom; Hanna, D., School of Psychology, Queen's University Belfast, Belfast, United Kingdom; Shannon, C., Northern Health and Social Care Trust, Antrim, United Kingdom; Davidson, G., School of Social Sciences, Education and Social Work, Queen's University Belfast, Belfast, United Kingdom; Mulholland, C., School of Medicine, Queen's University Belfast, Belfast, United Kingdom, Northern Health and Social Care Trust, Antrim, United Kingdom</t>
  </si>
  <si>
    <t>Howie, C.; School of Medicine, United Kingdom; email: chowie02@qub.ac.uk</t>
  </si>
  <si>
    <t>The Tension between Information Justice and Security: Perceptions of Facial Recognition Targeting</t>
  </si>
  <si>
    <t>57193833255;</t>
  </si>
  <si>
    <t>In the discourse on human perceptions of algorithmic fairness, researchers have begun to analyze how these perceptions are shaped by sociotechnical context. In thinking through contexts of work, a half-century of research on organizational decision-making tells us that perceptions and interpretations made within these spaces are highly bounded by surrounding contextual constraints. In this paper I report early findings from a survey I conducted to bridge these two conversations, and scrutinize real-world perceptions of algorithmic decision-making in situ in a space of work. I analyze these perceptions through the case of facial recognition (or more accurately, facial verification) as account verification in gig work. In this survey I asked 100 Uber drivers, who all had been actually subjected to Uber's facial verification process known as Real Time Check ID, their fairness perceptions of this process. I designed the survey to elicit their perceptions across five disparate dimensions of justice: Informational, distributive, procedural, reciprocal, and interactional. I also asked them about their strategies for integrating Real Time Check ID into their work flow, including efforts at repair when the system breaks down and their potential preferences for subversive practices. Of those workers who report engaging in subversive tactics to avoid facial recognition, such as taking a picture of their car seat, their hand, or their passenger instead of their own face, one dimension of fairness elicited worse perceptions than any other: Informational justice, a.k.a. transparency, of facial recognition targeting (the process for deciding which workers trigger this extra layer of verification). This research reveals tensions between transparency, security, and workers' perceptions of the "fairness"of an algorithmic system: While "too much"transparency into how workers are targeted for verification may permit bad actors to defraud the system, "too little"explanation, this research shows, is no solution either. Results have crucial implications for the allocation of transparency and the design of explanations in user-facing algorithmic fraud detection, which must address tensions between information justice and security. © 2020 Copyright for this paper by its authors.</t>
  </si>
  <si>
    <t>Watkins E.A.</t>
  </si>
  <si>
    <t>CEUR Workshop Proceedings</t>
  </si>
  <si>
    <t>https://www.scopus.com/inward/record.uri?eid=2-s2.0-85110527290&amp;partnerID=40&amp;md5=4210af23d3b20cc0288d589a61bd2cc0</t>
  </si>
  <si>
    <t>Center for Information Technology Policy, Princeton University, Princeton, NJ, United States</t>
  </si>
  <si>
    <t>Watkins, E.A., Center for Information Technology Policy, Princeton University, Princeton, NJ, United States</t>
  </si>
  <si>
    <t>Watkins, E.A.; Center for Information Technology Policy, United States; email: ew4582@princeton.edu</t>
  </si>
  <si>
    <t>The Unbearable Lightness of Finger Movements: Commentary to Doliński</t>
  </si>
  <si>
    <t>10.5964/spb.v13i2.26110</t>
  </si>
  <si>
    <t>7004913991;</t>
  </si>
  <si>
    <t>In the target article, Doliński (2018, this issue) showed that empirical studies of “real” behaviour are an almost extinct species of research, judged from articles published in the most recent volume of JPSP (Journal of Personality and Social Psychology). This finding continues a trend identified by Baumeister and colleagues ten years ago. The reliance on self-reports and rating scales can hardly be explained as an aftermath of the cognitive revolution in psychology, or a preoccupation with measurements and advanced statistical analyses, as Doliński suggests, but is more compatible with the ease of collecting questionnaire data, combined with the pressure to publish large multi-study papers and to obtain approval from ethical review boards. This development is further strengthened by the accessibility of online participant pools. An informal count showed that students participating for course credit were in 2006 involved more than 90% of empirical JPSP studies, as against 22.5% in 2017. In contrast, Amazon Mechanical Turk workers, non-existent in 2006, participated in 55.3% of the empirical studies published in the most recent volume. Parallel to this development the number of participants per study and the number of studies per article have vastly increased. © 2018 Afet ve Acil Durum Yonetimi Baskanligi (AFAD). All rights reserved.</t>
  </si>
  <si>
    <t>Teigen K.H.</t>
  </si>
  <si>
    <t>Social Psychological Bulletin</t>
  </si>
  <si>
    <t>https://www.scopus.com/inward/record.uri?eid=2-s2.0-85119212725&amp;doi=10.5964%2fspb.v13i2.26110&amp;partnerID=40&amp;md5=7f24045644d8a11c0b56740edce7d884</t>
  </si>
  <si>
    <t>University of Oslo, Oslo, Norway</t>
  </si>
  <si>
    <t>Teigen, K.H., University of Oslo, Oslo, Norway</t>
  </si>
  <si>
    <t>Teigen, K.H.; Department of Psychology, P.B. 1094 Blindern, Norway; email: k.h.teigen@psykologi.uio.no</t>
  </si>
  <si>
    <t>TOWARD EFFECTIVE AUTOMATED CONTENT ANALYSIS VIA CROWDSOURCING</t>
  </si>
  <si>
    <t>10.1109/ICME51207.2021.9428220</t>
  </si>
  <si>
    <t>57222027514;57089468400;57222025899;57222019479;</t>
  </si>
  <si>
    <t>Many computer scientists use the aggregated answers of online workers to represent ground truth. Prior work has shown that aggregation methods such as majority voting are effective for measuring relatively objective features. For subjective features such as semantic connotation, online workers, known for optimizing their hourly earnings, tend to deteriorate in the quality of their responses as they work longer. In this paper, we aim to address this issue by proposing a quality-aware semantic data annotation system. We observe that with timely feedback on workers' performance quantified by quality scores, better informed online workers can maintain the quality of their labeling throughout an extended period of time. We validate the effectiveness of the proposed annotation system through i) evaluating performance based on an expert-labeled dataset, and ii) demonstrating machine learning tasks that can lead to consistent learning behavior with 70%-80% accuracy. Our results suggest that with our system, researchers can collect high-quality answers of subjective semantic features at a large scale. © 2021 IEEE</t>
  </si>
  <si>
    <t>Wu J., Wong C.-W., Zhao X., Liu X.</t>
  </si>
  <si>
    <t>Proceedings - IEEE International Conference on Multimedia and Expo</t>
  </si>
  <si>
    <t>https://www.scopus.com/inward/record.uri?eid=2-s2.0-85122346609&amp;doi=10.1109%2fICME51207.2021.9428220&amp;partnerID=40&amp;md5=f1925b08adf8bd4d8fc5db2ef8120f20</t>
  </si>
  <si>
    <t>Beijing Institute of Technology, China; North Carolina State University, United States; University of North Carolina, Chapel Hill, United States</t>
  </si>
  <si>
    <t>Wu, J., Beijing Institute of Technology, China, North Carolina State University, United States; Wong, C.-W., North Carolina State University, United States; Zhao, X., University of North Carolina, Chapel Hill, United States; Liu, X., North Carolina State University, United States</t>
  </si>
  <si>
    <t>Towards a Peer-to-Peer Based Global Software Development Environment</t>
  </si>
  <si>
    <t>25630981300;24468209100;36157562300;11739683200;</t>
  </si>
  <si>
    <t>Nowadays, large projects are developed by globally distributed developer teams. Global Software Development (GSD) is currently not supported by appropriate tools but with the tools designed for on-site development. In this work we analyze benefits of a peer-to-peer approach to integrated environment for GSD, analyze its requirements from selected industrial field studies, and present the architecture of our solution - Peer-to-Peer based Integrated Project-support Environment (PIPE). © 2008 Gesellschaft fur Informatik (GI). All rights reserved.</t>
  </si>
  <si>
    <t>2008</t>
  </si>
  <si>
    <t>Mukherjee P., Kovacevic A., Benz M., Schürr A.</t>
  </si>
  <si>
    <t>Lecture Notes in Informatics (LNI), Proceedings - Series of the Gesellschaft fur Informatik (GI)</t>
  </si>
  <si>
    <t>https://www.scopus.com/inward/record.uri?eid=2-s2.0-84900652792&amp;partnerID=40&amp;md5=7547def88dcc5bb0ec0199ac50c2656c</t>
  </si>
  <si>
    <t>Real-Time Systems Lab, Technische Universität Darmstadt, Merckstr. 25, Darmstadt, 64289, Germany; Multimedia Communications Lab, Technische Universität Darmstadt, Merckstr. 25, Darmstadt, 64289, Germany; Research Group IT-Security, Technische Universität Darmstadt, Hochschulstr. 10, Darmstadt, 64289, Germany</t>
  </si>
  <si>
    <t>Mukherjee, P., Real-Time Systems Lab, Technische Universität Darmstadt, Merckstr. 25, Darmstadt, 64289, Germany; Kovacevic, A., Multimedia Communications Lab, Technische Universität Darmstadt, Merckstr. 25, Darmstadt, 64289, Germany; Benz, M., Research Group IT-Security, Technische Universität Darmstadt, Hochschulstr. 10, Darmstadt, 64289, Germany; Schürr, A., Real-Time Systems Lab, Technische Universität Darmstadt, Merckstr. 25, Darmstadt, 64289, Germany</t>
  </si>
  <si>
    <t>Trust in expert versus lay comments in online articles about spanking and car seat safety.</t>
  </si>
  <si>
    <t>10.1037/fam0000784</t>
  </si>
  <si>
    <t>56991850200;6602345533;</t>
  </si>
  <si>
    <t>In this study, we experimentally examined parents’ perceptions of scientific information about spanking, a controversial topic, and car seat safety, a consensus topic, presented in online news articles. Specifically, we tested whether parents of children ages 2 to 8 years would trust scientific experts (speaking from professional expertise) more than online lay commenters (speaking from personal experience). One hundred and eighty parents across 41 U.S. states were recruited online from Amazon’s Mechanical Turk (124 mothers, 56 fathers; 74% White, 9% Black, 8% Latino, 8% Asian, and 1% other or multiple ethnicities). Parents were randomly assigned to read a news article with an expert discussing spanking research that varied by two conditions: The news article contained either anti-spanking lay comments or pro-spanking lay comments. All parents also read a second news article on car seat safety (a consensus topic). Between-condition analyses were used to compare perceptions of the comment conditions, and within-condition analyses were used to compare perceptions of the expert knowledge versus the comments and to compare perceptions of the spanking expert versus the car seat expert. Moderation analyses were used to compare parents’ perceptions based on their attitudes toward spanking. Parents with positive attitudes toward spanking recognized pro-spanking comments as opinion, yet still found them more trustworthy than a scientist taking the opposite position. All parents perceived the car seat expert as trustworthy. The results highlight challenges in disseminating information about controversial topics to the public. (PsycInfo Database Record (c) 2021 APA, all rights reserved) © 2020 American Psychological Association</t>
  </si>
  <si>
    <t>Scott J.K., Gershoff E.T.</t>
  </si>
  <si>
    <t>Journal of Family Psychology</t>
  </si>
  <si>
    <t>https://www.scopus.com/inward/record.uri?eid=2-s2.0-85088454040&amp;doi=10.1037%2ffam0000784&amp;partnerID=40&amp;md5=d3896e6cca28650e9db07f0102722917</t>
  </si>
  <si>
    <t>Department of Human Development and Family Sciences, The University of Texas at Austin, Austin, TX, United States</t>
  </si>
  <si>
    <t>Scott, J.K., Department of Human Development and Family Sciences, The University of Texas at Austin, Austin, TX, United States; Gershoff, E.T., Department of Human Development and Family Sciences, The University of Texas at Austin, Austin, TX, United States</t>
  </si>
  <si>
    <t>Scott, J.K.; Department of Human Development and Family Sciences, 108 East Dean Keeton Street, A2702, United States; email: jkscott@utexas.edu</t>
  </si>
  <si>
    <t>Two notions to delimit the nature of work on digital platforms: Autonomy and alienness</t>
  </si>
  <si>
    <t>57225891200;</t>
  </si>
  <si>
    <t>Nowadays, we are experiencing an increasing and ever-growing resort to the use of technologies at work, and even new forms of employment are appearing through the use of digital platforms. These have been labelled with different terms such as “collaborative platforms”, “sharing economy”, “on demand economy”, “gig economy”, etc. Such reality has raised the justified question as to whether these forms of work provision are covered by Labour Law, or whether, on the contrary, they are excluded. Consequently, the purpose of this article is to analyse the personal scope of Labour Law, providing a critical view of subordination as a defining element of employment relationships and revaluing autonomy and alienness1: two notions that can delimit the employment nature of work on digital platforms. © 2021 ADAPT University Press. All rights reserved.</t>
  </si>
  <si>
    <t>Carli F.R.</t>
  </si>
  <si>
    <t>E-Journal of International and Comparative Labour Studies</t>
  </si>
  <si>
    <t>https://www.scopus.com/inward/record.uri?eid=2-s2.0-85120493125&amp;partnerID=40&amp;md5=8d3156804a21b6e3511a4de13bfb157b</t>
  </si>
  <si>
    <t>Department of Law, Universidad Católica del Uruguay, Uruguay</t>
  </si>
  <si>
    <t>Carli, F.R., Department of Law, Universidad Católica del Uruguay, Uruguay</t>
  </si>
  <si>
    <t>Carli, F.R.; Department of Law, Uruguay; email: federico.rosenbaum@ucu.edu.uy</t>
  </si>
  <si>
    <t>Understanding Distributed Tutorship in Online Language Tutoring</t>
  </si>
  <si>
    <t>10.1145/3506860.3506883</t>
  </si>
  <si>
    <t>57202803261;57223820407;57376722600;57376830800;39361826000;</t>
  </si>
  <si>
    <t>With the rise of the gig economy, online language tutoring platforms are becoming increasingly popular. They provide temporary and flexible jobs for native speakers as tutors and allow language learners to have one-on-one speaking practices on demand. However, the lack of stable relationships hinders tutors and learners from building long-term trust. "Distributed tutorship"- temporally discontinuous learning experience with different tutors - has been underexplored yet has many implications for modern learning platforms. In this paper, we analyzed tutorship sequences of 15, 959 learners and found that around 40% of learners change to new tutors every session; 44% learners change to new tutors while reverting to previous tutors sometimes; only 16% learners change to new tutors and then fix on one tutor. We also found suggestive evidence that higher distributedness - higher diversity and lower continuity in tutorship - is correlated to slower improvements in speaking performance scores with a similar number of sessions. We further surveyed 519 and interviewed 40 learners and found that more learners preferred fixed tutorship while some do not have it due to various reasons. Finally, we conducted semi-structured interviews with three tutors and one product manager to discuss the implications for improving the continuity in learning under distributed tutorship. © 2022 ACM.</t>
  </si>
  <si>
    <t>Xia M., Zhao Y., Erol M.H., Hong J., Kim J.</t>
  </si>
  <si>
    <t>https://www.scopus.com/inward/record.uri?eid=2-s2.0-85126191187&amp;doi=10.1145%2f3506860.3506883&amp;partnerID=40&amp;md5=1fe3ac8772d36aabb93ca3b4abc0b1f8</t>
  </si>
  <si>
    <t>School of Computing, KAIST, South Korea; Hong Kong University of Science and Technology, Hong Kong, Hong Kong</t>
  </si>
  <si>
    <t>Xia, M., School of Computing, KAIST, South Korea; Zhao, Y., Hong Kong University of Science and Technology, Hong Kong, Hong Kong; Erol, M.H., School of Computing, KAIST, South Korea; Hong, J., School of Computing, KAIST, South Korea; Kim, J., School of Computing, KAIST, South Korea</t>
  </si>
  <si>
    <t>Understanding eligibility creep in psoriasis assessments: A survey study</t>
  </si>
  <si>
    <t>10.5070/D328357780</t>
  </si>
  <si>
    <t>57194457647;57222109969;57204949222;57210325158;55446806200;</t>
  </si>
  <si>
    <t>Psoriasis severity assessments for clinical trial entry may be unintentionally overestimated, especially if trial eligibility is chiefly dependent on rating of disease severity. When this results in patients with less severe phenotypes joining clinical trials it is referred to as eligibility creep. We investigated the potential impact of psychosocial incentives on psoriasis lesion severity grading. A survey was constructed and disseminated through Amazon Mechanical Turk. Participants completed two vignette-style questions prompted with a randomly allocated psychosocial incentive. Questions required participants to grade and select psoriasis lesion pictures for a fictional trial. Participants also decided whether or not to schedule re-evaluation of patients deemed ineligible at initial visit. There were 646 participants. There was no significant difference in number of total lesions selected for study inclusion between incentive groups (Kruskal-Wallis, P=0.30). In general, participants completing empathy and professional uncertainty incentives selected the most and least number of lesion pictures for trial inclusion, respectively. Participants prompted with empathy incentives had significantly greater rates of choosing to schedule a follow-up visit for ineligible patients compared to participants prompted with other incentives (69.7% versus 59.1%, Chi square P=0.046). Situations evoking empathy may contribute to eligibility creep. © 2022 Dermatology Online Journal. All rights reserved.</t>
  </si>
  <si>
    <t>Rakita U., Guraya A., Porter C.L., Bray J.K., Feldman S.R.</t>
  </si>
  <si>
    <t>Dermatology Online Journal</t>
  </si>
  <si>
    <t>https://www.scopus.com/inward/record.uri?eid=2-s2.0-85134533585&amp;doi=10.5070%2fD328357780&amp;partnerID=40&amp;md5=0b573f201474942fdb6c97c10c23e602</t>
  </si>
  <si>
    <t>Chicago Medical School, Rosalind Franklin University, North Chicago, IL, United States; Chicago College of Osteopathic Medicine, Midwestern University, Chicago, IL, United States;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</si>
  <si>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Rakita, U., Chicago Medical School, Rosalind Franklin University, North Chicago, IL, United States; Guraya, A., Chicago College of Osteopathic Medicine, Midwestern University, Chicago, IL, United States; Porter, C.L., Center for Dermatology Research, Department of Dermatology, Wake Forest School of Medicine, Winston-Salem, NC, United States; Bray, J.K., Center for Dermatology Research, Department of Dermatology, Wake Forest School of Medicine, Winston-Salem, NC, United States; Feldman, S.R.,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</si>
  <si>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Feldman, S.R.; Center for Dermatology Research, United States; email: sfeldman@wakehealth.edu</t>
  </si>
  <si>
    <t>Use of Relational eHRM Tools in Gig Worker Platforms</t>
  </si>
  <si>
    <t>10.1108/S1877-636120190000023007</t>
  </si>
  <si>
    <t>57802540100;57802540200;</t>
  </si>
  <si>
    <t>One potential shortcoming of the emerging gig economy is the reduced ability of gig workers to meet their social and relatedness needs through their work. Using self-determination theory (SDT) as a theoretical foundation, we examine how gig work platforms currently use their technology for managing relationships with gig workers. We develop a framework consisting of four main attributes: relationship content, relationship duration, relational eHRM function, and social eHRM type. We then analyze the eHRM resources offered on 20 gig work platforms, evaluating the extent to which they are aligned with the framework. All platforms analyzed included some relational eHRM resources. Relationship content tends to be focused on tasks or career development, and relationship duration tends to be short. All three of the relational eHRM types (communication, training and development, and performance management) are currently found on gig platforms. Many of the eHRM resources are available to an open audience, but some of the resources with the potentially highest value are kept internal and are available only to people in particular roles. We discuss practical implications and directions for future research on this topic, suggesting that eHRM systems more focused on relational functions could be used to help gig workers meet their relatedness needs. © 2020 by Emerald Publishing Limited.</t>
  </si>
  <si>
    <t>Fisher S.L., Cassady E.A.</t>
  </si>
  <si>
    <t>Advanced Series in Management</t>
  </si>
  <si>
    <t>https://www.scopus.com/inward/record.uri?eid=2-s2.0-85134174202&amp;doi=10.1108%2fS1877-636120190000023007&amp;partnerID=40&amp;md5=530437571a5b696da0890c3154b213cc</t>
  </si>
  <si>
    <t>Fisher, S.L.; Cassady, E.A.</t>
  </si>
  <si>
    <t>Using Mechanical Turk to build machine translation evaluation sets</t>
  </si>
  <si>
    <t>55039326300;23392090500;</t>
  </si>
  <si>
    <t>Building machine translation (MT) test sets is a relatively expensive task. As MT becomes increasingly desired for more and more language pairs and more and more domains, it becomes necessary to build test sets for each case. In this paper, we investigate using Amazon's Mechanical Turk (MTurk) to make MT test sets cheaply. We find that MTurk can be used to make test sets much cheaper than professionally-produced test sets. More importantly, in experiments with multiple MT systems, we find that the MTurk-produced test sets yield essentially the same conclusions regarding system performance as the professionally-produced test sets yield. © 2010 Association for Computational Linguistics</t>
  </si>
  <si>
    <t>Bloodgood M., Callison-Burch C.</t>
  </si>
  <si>
    <t>https://www.scopus.com/inward/record.uri?eid=2-s2.0-85071672631&amp;partnerID=40&amp;md5=99dedced5042ac9f6e3b3fc5203700a9</t>
  </si>
  <si>
    <t>Human Language Technology, Center of Excellence, Johns Hopkins University, United States; Center for Language and Speech Processing, Johns Hopkins University, United States</t>
  </si>
  <si>
    <t>Bloodgood, M., Human Language Technology, Center of Excellence, Johns Hopkins University, United States; Callison-Burch, C., Center for Language and Speech Processing, Johns Hopkins University, United States</t>
  </si>
  <si>
    <t>Using prosocial behavior to safeguard mental health and foster emotional well-being during the COVID-19 pandemic: A registered report of a randomized trial</t>
  </si>
  <si>
    <t>10.1371/journal.pone.0272152</t>
  </si>
  <si>
    <t>36669086100;21833714300;56426436800;57221855779;</t>
  </si>
  <si>
    <t>Background The COVID-19 pandemic, the accompanying lockdown measures, and their possible longterm effects have made mental health a pressing public health concern. Acts that focus on benefiting others-known as prosocial behaviors-offer one promising intervention that is both flexible and low cost. However, neither the range of emotional states prosocial acts impact nor the size of those effects is currently clear-both of which directly influence its attractiveness as a treatment option. Objective To assess the effect of prosocial activity on emotional well-being (happiness, belief that one's life is valuable) and mental health (anxiety, depression). Methods 1,234 respondents from the United States and Canada were recruited from Amazon's Mechanical Turk and randomly assigned (by computer software) to perform prosocial (N = 411), self-focused (N = 423), or neutral (N = 400) behaviors three times a week for three weeks. A follow-up assessment was given two weeks after the intervention. Participants were blind to alternative conditions. Analyses were based on 1052 participants (Nprosocial = 347, Nself = 365, Nneutral = 340). Findings Those in the prosocial condition did not differ on any outcome from those in the self-focused or neutral acts conditions during the intervention or at follow-up, nor did prosocial effects differ for those who had been negatively affected socially or economically by the pandemic (all p's &gt; 0.05). Exploratory analyses that more tightly controlled for study compliance found that prosocial acts reduced anxiety relative to neutral acts control (β = -0.12 [95% CI: -0.22 to -0.02]) and increased the belief that one's life is valuable (β = 0.11 [95% CI: 0.03 to 0.19]). These effects persisted throughout the intervention and at follow-up. Conclusion Prosocial acts may provide small, lasting benefits to emotional well-being and mental health. Future work should replicate these results using tighter, pre-registered controls on study compliance. © 2022 Miles et al. This is an open access article distributed under the terms of the Creative Commons Attribution License, which permits unrestricted use, distribution, and reproduction in any medium, provided the original author and source are credited.</t>
  </si>
  <si>
    <t>Miles A., Andiappan M., Upenieks L., Orfanidis C.</t>
  </si>
  <si>
    <t>https://www.scopus.com/inward/record.uri?eid=2-s2.0-85135051150&amp;doi=10.1371%2fjournal.pone.0272152&amp;partnerID=40&amp;md5=5594b6241280a6fafa5b70040f6e9440</t>
  </si>
  <si>
    <t>Department of Sociology, University of Toronto, Toronto, Canada; Institute of Health Policy Management and Evaluation, University of Toronto, Toronto, Canada; Department of Sociology, Baylor University, Waco, TX, United States; Ontario Institute for Studies in Education, University of Toronto, Toronto, Canada</t>
  </si>
  <si>
    <t>Miles, A., Department of Sociology, University of Toronto, Toronto, Canada; Andiappan, M., Institute of Health Policy Management and Evaluation, University of Toronto, Toronto, Canada; Upenieks, L., Department of Sociology, Baylor University, Waco, TX, United States; Orfanidis, C., Ontario Institute for Studies in Education, University of Toronto, Toronto, Canada</t>
  </si>
  <si>
    <t>Miles, A.; Department of Sociology, Canada; email: andrew.miles@utoronto.ca</t>
  </si>
  <si>
    <t>Utilisation of Virtual Assistant and Its Impact on Retail Industry</t>
  </si>
  <si>
    <t>10.1109/ICICCS53718.2022.9788243</t>
  </si>
  <si>
    <t>55189966100;57772942000;57773110300;57197794150;57772583600;57200173836;</t>
  </si>
  <si>
    <t>Virtual assistant is nothing but an independent contractor, who offers administrative services to the clients of a particular organisation while operating outside of the office of the client. Generally, a virtual assistant operates from a home-based office. This virtual assistant application has the ability to access the required planning documents, such as shared calendars. The contemporary retail organisations like e-commerce companies in this competitive global business environment are using virtual assistant to enhance omnichannel experience, 24/7 customer service, order tracking, and product recommendations. Overall, virtual assistant helps the organisations in enhancing social media management activities. This concept of the use of virtual assistant has been significantly emerged after the increase in demands for e-commerce business activities in this decade. Research objectives related to the title of this research are developed and listed. Relevant theories on virtual assistant are applied in the literature review section of this study. The researcher has decided to adopt qualitative research methodology to achieve the objectives of the research. Moreover, the researcher has considered secondary data analysis approach to conduct this research. In terms of findings, it has been identified that virtual assistant has a positive impact on the business operation activities of retail organisations. Authentic secondary sources are considered to collect and analyse the data. Some challenges associated with the utilisation of virtual assistant also have been identified in the findings section. Some valuable recommendations are suggested for the future researchers to overcome those identified associated challenges. © 2022 IEEE.</t>
  </si>
  <si>
    <t>Seranmadevi R., Chakraverty S., Raj B., Kudapa V.K., Hepziba R.E., Suleimenova K.</t>
  </si>
  <si>
    <t>Proceedings - 2022 6th International Conference on Intelligent Computing and Control Systems, ICICCS 2022</t>
  </si>
  <si>
    <t>https://www.scopus.com/inward/record.uri?eid=2-s2.0-85133181220&amp;doi=10.1109%2fICICCS53718.2022.9788243&amp;partnerID=40&amp;md5=272b6a1db611d31e4da072f5800dff27</t>
  </si>
  <si>
    <t>Christ University, Department of Professional Studies, Bangalore, India; Amritapuri Kollam, Aich Department of English Amrita Vishwa Vidyapeetham, India; University of Massachusetts, Ethakota College of Information and Computer Sciences, Amherst, MA, United States; Chemical Engineering,UPES, India; BBA, Madras Christian College, India; International Education Corporation, Department of Design, Almaty, Kazakhstan</t>
  </si>
  <si>
    <t>Seranmadevi, R., Christ University, Department of Professional Studies, Bangalore, India; Chakraverty, S., Amritapuri Kollam, Aich Department of English Amrita Vishwa Vidyapeetham, India; Raj, B., University of Massachusetts, Ethakota College of Information and Computer Sciences, Amherst, MA, United States; Kudapa, V.K., Chemical Engineering,UPES, India; Hepziba, R.E., BBA, Madras Christian College, India; Suleimenova, K., International Education Corporation, Department of Design, Almaty, Kazakhstan</t>
  </si>
  <si>
    <t>Vermillion: Oil Painting Simulation in Virtual Reality: A new tool for digital artists offering the analog control of traditional painting with the benefits of a virtual environment.</t>
  </si>
  <si>
    <t>10.1145/3450615.3464542</t>
  </si>
  <si>
    <t>57226882362;</t>
  </si>
  <si>
    <t>Digital art has come a long way since the first release of MS Paint. And while artists can already work wonders with the tools at their disposal, there's always been a very distinct barrier between traditional mediums and the digital ones. Instead of brushes on a canvas, a stylus on a screen is used. Instead of mixing paints of different colors and thickness, a color picker and transparency slider are presented. The instinctiveness and versatility of bristles on canvas have been replaced with a selection of discrete tools - draw, blur, smudge,... It's also not possible to make strokes with large gestures, to work on your piece from arm's length, like the old masters did. The typical texture that physical paint has is also lost in drawing programs. Vermillion offers a new tool for digital artists, be they novices who always wanted to try their hand at following along with Bob Ross, or veteran Photoshop users who long for more analog control. It simulates the full oil painting experience. A selection of specialist brushes is offered, each with unique characteristics and their distinct brush pattern. The bristles bend as they are pushed against a surface, soaking up the paint that's on the palette. The paints mix as they would in the real world, not as RGB colors do on a monitor. Paint thinner can be used to control the thickness and flow of the paint. The paint can be pushed, pulled, blurred and blended on the canvas, and shows the relief and pattern of your strokes. The resulting piece can be exported to be presented as a new digital work of art. © 2021 Owner/Author.</t>
  </si>
  <si>
    <t>Van Den Berge T.</t>
  </si>
  <si>
    <t>ACM SIGGRAPH 2021 Immersive Pavilion, SIGGRAPH 2021</t>
  </si>
  <si>
    <t>https://www.scopus.com/inward/record.uri?eid=2-s2.0-85113205279&amp;doi=10.1145%2f3450615.3464542&amp;partnerID=40&amp;md5=5f796c5cae67e7de7bd60de4c470f7b4</t>
  </si>
  <si>
    <t>Thomas Van Den Berge the Aviary</t>
  </si>
  <si>
    <t>Van Den Berge, T., Thomas Van Den Berge the Aviary</t>
  </si>
  <si>
    <t>Van Den Berge, T.; Thomas Van Den Berge the Aviaryemail: thomasvdb90@gmail.com</t>
  </si>
  <si>
    <t>Visual and semantic similarity norms for a photographic image stimulus set containing recognizable objects, animals and scenes</t>
  </si>
  <si>
    <t>10.3758/s13428-021-01732-0</t>
  </si>
  <si>
    <t>57437989600;57437556500;7005031823;</t>
  </si>
  <si>
    <t>We collected visual and semantic similarity norms for a set of photographic images comprising 120 recognizable objects/animals and 120 indoor/outdoor scenes. Human observers rated the similarity of pairs of images within four categories of stimuli—inanimate objects, animals, indoor scenes and outdoor scenes—via Amazon's Mechanical Turk. We performed multidimensional scaling (MDS) on the collected similarity ratings to visualize the perceived similarity for each image category, for both visual and semantic ratings. The MDS solutions revealed the expected similarity relationships between images within each category, along with intuitively sensible differences between visual and semantic similarity relationships for each category. Stress tests performed on the MDS solutions indicated that the MDS analyses captured meaningful levels of variance in the similarity data. These stimuli, associated norms and naming data are made available to all researchers, and should provide a useful resource for researchers of vision, memory and conceptual knowledge wishing to run experiments using well-parameterized stimulus sets. © 2022, The Psychonomic Society, Inc.</t>
  </si>
  <si>
    <t>Jiang Z., Sanders D.M.W., Cowell R.A.</t>
  </si>
  <si>
    <t>Behavior Research Methods</t>
  </si>
  <si>
    <t>https://www.scopus.com/inward/record.uri?eid=2-s2.0-85123928101&amp;doi=10.3758%2fs13428-021-01732-0&amp;partnerID=40&amp;md5=00b93fb029c72be4bb40ab3b684a818c</t>
  </si>
  <si>
    <t>Neuroscience Program, Smith College, Northampton, MA, United States; Integrated Program in Neuroscience, McGill University, Montreal, QC, Canada; Department of Psychological and Brain Sciences, University of Massachusetts Amherst, 135 Hicks Way, Amherst, MA  01003, United States; Department of Psychology, Harvard University, Cambridge, MA, United States</t>
  </si>
  <si>
    <t>Jiang, Z., Neuroscience Program, Smith College, Northampton, MA, United States, Integrated Program in Neuroscience, McGill University, Montreal, QC, Canada; Sanders, D.M.W., Department of Psychological and Brain Sciences, University of Massachusetts Amherst, 135 Hicks Way, Amherst, MA  01003, United States, Department of Psychology, Harvard University, Cambridge, MA, United States; Cowell, R.A., Department of Psychological and Brain Sciences, University of Massachusetts Amherst, 135 Hicks Way, Amherst, MA  01003, United States</t>
  </si>
  <si>
    <t>Cowell, R.A.; Department of Psychological and Brain Sciences, 135 Hicks Way, United States; email: rcowell@umass.edu</t>
  </si>
  <si>
    <t>Weight Stigma by Association Among Parents of Children With Obesity: A Randomized Trial</t>
  </si>
  <si>
    <t>10.1016/j.acap.2021.09.019</t>
  </si>
  <si>
    <t>57223196968;57385461900;6602721451;23049655000;57203081511;</t>
  </si>
  <si>
    <t>Objective: To experimentally test weight stigma and weight stigma by association in a parent-child relationship using a large, community-based sample. Methods: We conducted a randomized experiment on Amazon Mechanical Turk using an online survey. Participants were randomly assigned to view a picture of a parent-child dyad, for which the parent and child's gender (male vs. female) and weight status (with obesity vs. without obesity) were manipulated. Participants read identical parenting descriptions that adhered to the American Academy of Pediatrics’ parenting recommendations, then rated the parent's perceived effectiveness, helpfulness, and level of caring using a parenting questionnaire based on Barnhart et al (2013). Results: Participants (N = 1862; Mage = 36.8 [11.2] years) rated parents of children with obesity as less effective compared to parents of children without obesity (P = .010) and parents with obesity as less effective compared to parents without obesity (P = .033). Participants also rated parents with obesity as less helpful compared to parents without obesity (P = .021). No differences emerged in perceived caring. Parenting evaluations did not differ across daughters versus sons or mothers versus fathers. Conclusions: Parents of children with obesity may experience weight stigma by association, which could have direct consequences for the parents, the children, and the parent-child relationship. © 2021 The Authors</t>
  </si>
  <si>
    <t>Lee K.M., Arriola-Sanchez L., Lumeng J.C., Gearhardt A., Tomiyama A.J.</t>
  </si>
  <si>
    <t>Academic Pediatrics</t>
  </si>
  <si>
    <t>https://www.scopus.com/inward/record.uri?eid=2-s2.0-85121721531&amp;doi=10.1016%2fj.acap.2021.09.019&amp;partnerID=40&amp;md5=7c34cc720955b2f30b6242957e6c9706</t>
  </si>
  <si>
    <t>Department of Psychology, University of California, Los Angeles (KM Lee, L Arriola-Sanchez, and AJ Tomiyama); Department of Pediatrics, Medical School, and Department of Nutritional Sciences, School of Public Health, University of Michigan (JC Lumeng), Ann Arbor, Mich, United States; Department of Psychology, University of Michigan (A Gearhardt), Ann Arbor, Mich, United States</t>
  </si>
  <si>
    <t>Lee, K.M., Department of Psychology, University of California, Los Angeles (KM Lee, L Arriola-Sanchez, and AJ Tomiyama); Arriola-Sanchez, L., Department of Psychology, University of California, Los Angeles (KM Lee, L Arriola-Sanchez, and AJ Tomiyama); Lumeng, J.C., Department of Pediatrics, Medical School, and Department of Nutritional Sciences, School of Public Health, University of Michigan (JC Lumeng), Ann Arbor, Mich, United States; Gearhardt, A., Department of Psychology, University of Michigan (A Gearhardt), Ann Arbor, Mich, United States; Tomiyama, A.J., Department of Psychology, University of California, Los Angeles (KM Lee, L Arriola-Sanchez, and AJ Tomiyama)</t>
  </si>
  <si>
    <t>Tomiyama, A.J.; Department of Psychology, 1285 Franz Hall 502 Portola Plaza; email: tomiyama@psych.ucla.edu</t>
  </si>
  <si>
    <t>What Do Mom and Dad Think? Examining Parent Preferences for the Use of Behavioral Economic Strategies on Children's Menus in Restaurants</t>
  </si>
  <si>
    <t>10.1016/j.jand.2021.02.016</t>
  </si>
  <si>
    <t>57201698189;57222569628;7406328969;57214125508;6507127924;</t>
  </si>
  <si>
    <t>Background: A majority of children's restaurant meals are nutritionally deficient; use of behavioral economics may improve healthful menu selections. Parents play a role in children's restaurant meal selection, thus understanding parent preferences for potential behavioral economic strategies is warranted. Objective: To examine parent-derived and -stated preferences for selected attributes of children's restaurant menus, which included behavioral economic strategies (eg, optimal defaults and vice-virtue bundles). Design: A descriptive, cross-sectional, within-subjects survey integrating a conjoint design was developed along with 8 children's menus. Menus were manipulated by varying levels of attributes (meal price, healthful side dishes, number of side dish items, healthful entrées, and cost for sugar-sweetened beverages [SSB]). Parents rated menus and attributes using Likert scales. Participants/setting: A national sample of US parents with children 4 to 10 years (n = 463) were recruited in August of 2019 via Amazon's Mechanical Turk. Analysis: A conjoint (regression) analysis was conducted to derive parent preference for each attribute and overall menu preference. Descriptive statistics (means) described overall stated parent menu preferences and ratings. Cluster analysis segmented parents into groups with similar preferences. Results: Derived preferences showed parents had the strongest preference for choice of side dishes (β = .73) and low-priced menus (β = .51), and weak preferences for inclusion of healthful entrées (β = .04) and added cost for SSB (β = .18). Parents stated preference was for a menu that included healthful entrées, was low priced, and featured choices for side dishes. Cluster analysis revealed half of parents preferred the low-cost children's menu with the other half of parents split evenly across preferences related to health, choice, and traditional menus. Conclusion: Parents stated preference was for a socially desirable menu featuring healthful entrée options and added cost for SSB, which was contrary to the conjoint derived menu preferences. Understanding parent preferences may help guide nutrition professionals working to build a more healthful food environment through the use of behavioral economic strategies. © 2021 Academy of Nutrition and Dietetics</t>
  </si>
  <si>
    <t>Ferrante M.J., Slejko G.S., Johnson S.L., Miller J., Bellows L.L.</t>
  </si>
  <si>
    <t>Journal of the Academy of Nutrition and Dietetics</t>
  </si>
  <si>
    <t>https://www.scopus.com/inward/record.uri?eid=2-s2.0-85103277578&amp;doi=10.1016%2fj.jand.2021.02.016&amp;partnerID=40&amp;md5=45a4411443d29098e840abf90f7b5acc</t>
  </si>
  <si>
    <t>Ferrante, M.J.; Slejko, G.S.; Johnson, S.L.; Miller, J.; Bellows, L.L.</t>
  </si>
  <si>
    <t>Bellows, L.L.; Division of Nutritional Sciences, United States; email: laura.bellows@cornell.edu</t>
  </si>
  <si>
    <t>When People Vanish: A Study to Investigate How Human Presence Changes the Scenario Speculation</t>
  </si>
  <si>
    <t>10.1145/3462204.3481781</t>
  </si>
  <si>
    <t>57204036508;55533385300;</t>
  </si>
  <si>
    <t>Designers have used everyday photos as stimuli to speculate alternative scenarios about the future. Many studies have developed diverse ways of re-designing roles of an actor to stimulate scenario speculation; however, a lack of understandings of how the presence of an actor influences the scenario speculation process. Therefore, this work conducted a study that investigates how everyday photos with and without human actors affect people to speculate possible scenarios. We recruited 29 crowd workers from Amazon Mechanical Turk to generate 80 scenarios for two groups of photos (i.e., with-actor and non-actor photos). We analysed these scenarios and found that with-actor photos led people to speculate consistent scenarios around human actors and their activities. By contrast, non-actor photos allowed people to speculate the scenarios flexibly and diversely. These insights suggest a new design opportunity of using non-actor photos as potential materials to encourage people to generate diverse scenarios. © 2021 ACM.</t>
  </si>
  <si>
    <t>Cheng Y.-T., Huang Y.-C.</t>
  </si>
  <si>
    <t>Proceedings of the ACM Conference on Computer Supported Cooperative Work, CSCW</t>
  </si>
  <si>
    <t>https://www.scopus.com/inward/record.uri?eid=2-s2.0-85118572525&amp;doi=10.1145%2f3462204.3481781&amp;partnerID=40&amp;md5=90c1b0d679b6a735d2ee8cc6b50dd553</t>
  </si>
  <si>
    <t>Eindhoven University of Technology, The Netherlands and National Taiwan University of Science and Technology, Taiwan; Eindhoven University of Technology, Netherlands</t>
  </si>
  <si>
    <t>Cheng, Y.-T., Eindhoven University of Technology, The Netherlands and National Taiwan University of Science and Technology, Taiwan; Huang, Y.-C., Eindhoven University of Technology, Netherlands</t>
  </si>
  <si>
    <t>Where to draw the line? Understanding preferences in mucosal collar length after circumcision: A crowdsourced survey from the U.S. general population</t>
  </si>
  <si>
    <t>10.5489/cuaj.7691</t>
  </si>
  <si>
    <t>57218556504;57195639533;57728529800;57220194741;57720336600;55576959500;</t>
  </si>
  <si>
    <t>Introduction: Male circumcision is a polarizing and prevalent procedure. Little understanding exists regarding patient preferences for circumcision appearance. Our objective was to elicit how mucosal collar length may be perceived in terms of overall cosmesis and desirability among adults. Methods: A questionnaire using REDCap was created and distributed through Amazon Mechanical Turk. Respondents provided demographic information and circumcision status before being challenged with artistic representations of circumcised penises with increasing lengths of mucosal collar. Participants were asked to select the most and least esthetically pleasing image, as well as rate the "importance of appearance"from 0-100. Responses were analyzed with ordinal regression models. Results: Preference for shorter mucosal collars were seen in respondents with a postgraduate education (p=0.013) and no religious affiliation (p=0.034). In contrast, participants reporting a religious affiliation preferred longer mucosal collars (p=0.034). Circumcised males rated appearance as being more important (p=0.001) in contrast to uncircumcised males who did not (p=0.001). Circumcised fathers were more likely to circumcise their sons relative to uncircumcised fathers (p&lt;0.05) and women preferred circumcision (p&lt;0.05). Conclusions: Our study revealed polarized esthetic preferences in the sample as a whole, with large proportions of respondents selecting the longest or shortest collar length. Preferences regarding mucosal collar length appear to be most influenced by education and religion. Overall, our study did not observe a predominant preference for mucosal collar length following circumcision. Surgeons should engage patients and/or caregivers/parents preoperatively in discussions regarding preferences and desired cosmetic outcomes. © 2022 Canadian Urological Association.</t>
  </si>
  <si>
    <t>Callegari M., Muncey W., Kim T., Rhodes S., Woo L., Hannick J.</t>
  </si>
  <si>
    <t>Canadian Urological Association Journal</t>
  </si>
  <si>
    <t>https://www.scopus.com/inward/record.uri?eid=2-s2.0-85131074546&amp;doi=10.5489%2fcuaj.7691&amp;partnerID=40&amp;md5=ce639539ba1a08cac16bbd325744f30b</t>
  </si>
  <si>
    <t>University Hospitals Cleveland Medical Center, Cleveland, OH, United States; Case Western Reserve University, School of Medicine, Cleveland, OH, United States; Division of Pediatric Urology, University Hospitals Rainbow Babies and Children's Hospitals, Cleveland, OH, United States</t>
  </si>
  <si>
    <t>Callegari, M., University Hospitals Cleveland Medical Center, Cleveland, OH, United States; Muncey, W., University Hospitals Cleveland Medical Center, Cleveland, OH, United States; Kim, T., Case Western Reserve University, School of Medicine, Cleveland, OH, United States; Rhodes, S., University Hospitals Cleveland Medical Center, Cleveland, OH, United States; Woo, L., Division of Pediatric Urology, University Hospitals Rainbow Babies and Children's Hospitals, Cleveland, OH, United States; Hannick, J., Division of Pediatric Urology, University Hospitals Rainbow Babies and Children's Hospitals, Cleveland, OH, United States</t>
  </si>
  <si>
    <t>Hannick, J.; Division of Pediatric Urology, United States; email: jessica.hannick@uhhospitals.org</t>
  </si>
  <si>
    <t>Who took gig jobs during the COVID-19 recession? Evidence from Uber Eats in Japan</t>
  </si>
  <si>
    <t>10.1016/j.trip.2022.100543</t>
  </si>
  <si>
    <t>57443055200;57443247900;57443248000;24473216200;</t>
  </si>
  <si>
    <t>The main purpose of this study is to examine gig workers in transportation sectors, especially focusing on workers in food delivery services, who had increased during the COVID-19 recession. By using a unique survey of 188 Uber Eats delivery persons in Japan conducted from October 2020 to January 2021, we analyze the features and labor supply behavior of the delivery persons who took the jobs during the COVID-19 recession. We found that more job losers, lower income earners and more manual workers, who are considered to be more negatively impacted by the pandemic, entered the food delivery service market during the recession. We also found that at least one-third of delivery persons worked at an hourly wage below the minimum wage, and those workers were highly concentrated in the workers who joined the market after the pandemic became severe. Based on the theory of compensating wage differentials, our analysis using hypothetical questions also found that such workers are more willing to accept jobs at lower hourly wages than those who started working at Uber Eats before COVID-19 was recognized, even under poor working conditions, such as downpours or fatigue. Our findings suggest that the gig economy, such as food delivery services, acts as an outlet for low-income and unemployed persons during recessions, indicating that such work may serve as a buffer to smooth income against business cycles. However, ample labor suppliers who are eager to take jobs with less money may exert additional downward pressure on wages during recessions. © 2022 The Author(s)</t>
  </si>
  <si>
    <t>Hasegawa Y., Ido K., Kawai S., Kuroda S.</t>
  </si>
  <si>
    <t>Transportation Research Interdisciplinary Perspectives</t>
  </si>
  <si>
    <t>https://www.scopus.com/inward/record.uri?eid=2-s2.0-85124214854&amp;doi=10.1016%2fj.trip.2022.100543&amp;partnerID=40&amp;md5=989411e6d932acfd59e7d8572b525546</t>
  </si>
  <si>
    <t>School of Education, Waseda University, Japan; Faculty of Education and Integrated Arts and Sciences, Waseda University, Japan</t>
  </si>
  <si>
    <t>Hasegawa, Y., School of Education, Waseda University, Japan; Ido, K., School of Education, Waseda University, Japan; Kawai, S., School of Education, Waseda University, Japan; Kuroda, S., Faculty of Education and Integrated Arts and Sciences, Waseda University, Japan</t>
  </si>
  <si>
    <t>Kuroda, S.; Faculty of Education and Integrated Arts and Sciences, Japan; email: s-kuroda@waseda.jp</t>
  </si>
  <si>
    <t>Who Wears the MAGA Hat? Racial Beliefs and Faith in Trump</t>
  </si>
  <si>
    <t>10.1177/2378023121992600</t>
  </si>
  <si>
    <t>57205583082;7006344792;57114362800;57203167268;7004231413;</t>
  </si>
  <si>
    <t>On the basis of a 2019 YouGov survey of white respondents (n = 734), the impact of racial beliefs on support for Donald Trump was explored. The analysis revealed that in addition to racial resentment, white nationalism—a desire to keep the United States white demographically and culturally—was strongly related to faith in Trump. Analyses based on a 2019 Amazon Mechanical Turk survey yielded similar results and also showed that white nationalism increased willingness to wear a MAGA hat. Future research on the political consequences of racial beliefs should focus on what whites think not only of blacks but also of themselves. © The Author(s) 2021.</t>
  </si>
  <si>
    <t>Graham A., Cullen F.T., Butler L.C., Burton A.L., Burton V.S., Jr.</t>
  </si>
  <si>
    <t>https://www.scopus.com/inward/record.uri?eid=2-s2.0-85102309816&amp;doi=10.1177%2f2378023121992600&amp;partnerID=40&amp;md5=ebbf260b92fa9bab91f160d6c36f70db</t>
  </si>
  <si>
    <t>Georgia Southern University, Statesboro, GA, United States; University of Cincinnati, Cincinnati, OH, United States; University of Nebraska, Omaha, NE, United States; University of Arkansas, Little Rock, AR, United States</t>
  </si>
  <si>
    <t>Graham, A., Georgia Southern University, Statesboro, GA, United States; Cullen, F.T., University of Cincinnati, Cincinnati, OH, United States; Butler, L.C., University of Nebraska, Omaha, NE, United States; Burton, A.L., University of Cincinnati, Cincinnati, OH, United States; Burton, V.S., Jr., University of Arkansas, Little Rock, AR, United States</t>
  </si>
  <si>
    <t>Graham, A.; Georgia Southern UniversityUnited States; email: akgraham@georgiasouthern.edu</t>
  </si>
  <si>
    <t>Work Datafication and Digital Work Behavior Analysis as a Source of HRM Insights</t>
  </si>
  <si>
    <t>10.1007/978-3-030-83321-3_4</t>
  </si>
  <si>
    <t>6603431672;16069663700;6701646762;6603425981;55930485700;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</si>
  <si>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benefits, both at the individual and the organizational level, remain largely unexplored. Our research focuses on the relationship between digitally tracked work behaviors and employee attitudes and, in so doing, it explores work datafication as a source of data-driven HRM policies and practices. As a chapter of a wider research program, this paper presents some data analysis we performed on a collection of enterprise collaboration software (ECS) data, in search for promising correlations between behavioral and relational (digital) work patterns and employee attitudes. To this end, the digital actions performed by 106 employees in one year are transformed into a graph representation in order to analyze data under two different points of view: the individual (behavioral) perspective, according to the user who performed the action and the performed action, and the social (relational) perspective, making explicit the interactions between users and the objects of their actions. Different employees’ rankings are thus derived and correlated with their attitudes. Finally, we discuss the obtained results and their implications in terms of people analytics and data-driven HRM. © 2022, The Author(s), under exclusive license to Springer Nature Switzerland AG.</t>
  </si>
  <si>
    <t>Fabbri T., Scapolan A.C., Bertolotti F., Mandreoli F., Martoglia R.</t>
  </si>
  <si>
    <t>Lecture Notes in Information Systems and Organisation</t>
  </si>
  <si>
    <t>https://www.scopus.com/inward/record.uri?eid=2-s2.0-85120540906&amp;doi=10.1007%2f978-3-030-83321-3_4&amp;partnerID=40&amp;md5=d544276db0669cd171d8ff78a297c253</t>
  </si>
  <si>
    <t>University of Modena and Reggio Emilia, Modena, Italy</t>
  </si>
  <si>
    <t>Fabbri, T., University of Modena and Reggio Emilia, Modena, Italy; Scapolan, A.C., University of Modena and Reggio Emilia, Modena, Italy; Bertolotti, F., University of Modena and Reggio Emilia, Modena, Italy; Mandreoli, F., University of Modena and Reggio Emilia, Modena, Italy; Martoglia, R., University of Modena and Reggio Emilia, Modena, Italy</t>
  </si>
  <si>
    <t>Scapolan, A.C.; University of Modena and Reggio EmiliaItaly; email: annachiara.scapolan@unimore.it</t>
  </si>
  <si>
    <t>Work-from/at/for-home: CoVID-19 and the future of work – A critical review</t>
  </si>
  <si>
    <t>10.1016/j.geoforum.2021.11.018</t>
  </si>
  <si>
    <t>57218371623;</t>
  </si>
  <si>
    <t>The Covid19 pandemic has led to speculation about the place of offices in the future world of work – while working-from-home was initially mandated by employers (and governments), recent research has reported that the practice has gained popularity among employees. However, most such research is based on experiences of workers in the Global North. The article challenges the conflation of the Global North with global and shifts the focus from ‘flexible working’ and ‘work-life balance’ to issues of access to work infrastructures, including space, internet, and care. It draws upon existing scholarship on home-based work and precarious work, especially gig work, to outlines ways to analyse the implications of working-from-home in diverse settings. Illustrated with the story of Prachi, a young e-commerce worker in Delhi, the article offers work-from/at/for-home as a wider framework that accounts for inequalities in labour and life conditions of workers around the world. © 2021 Elsevier Ltd</t>
  </si>
  <si>
    <t>Islam A.</t>
  </si>
  <si>
    <t>Geoforum</t>
  </si>
  <si>
    <t>https://www.scopus.com/inward/record.uri?eid=2-s2.0-85120327357&amp;doi=10.1016%2fj.geoforum.2021.11.018&amp;partnerID=40&amp;md5=2a4113602f48202ea52e3fab4b090687</t>
  </si>
  <si>
    <t>University of CambridgeUK, United Kingdom</t>
  </si>
  <si>
    <t xml:space="preserve">Islam, A., University of CambridgeUK, United Kingdom, </t>
  </si>
  <si>
    <t>Working conditions and safety in the gig economy – a media coverage analysis</t>
  </si>
  <si>
    <t>10.3850/978-981-14-8593-0_3742-cd</t>
  </si>
  <si>
    <t>57132467000;25646256800;12240231100;</t>
  </si>
  <si>
    <t>Digital platforms mediating contingent work are continuously expanding in size and encroaching various parts of the labor market. This paper provides a media coverage analysis of this kind of work, also known under several monikers such as the gig economy, the sharing economy, platform economy, collaborative consumption, and on-demand economy. We analyzed 160 news articles from various online and print news media from 2014-2019 to gain insight on the debate around the phenomenon and which issues remain inconspicuous from a safety perspective. The presentation of the empirical results is followed by a discussion of factors that can potentially impact safety and the working conditions of workers in the gig economy. © ESREL2020-PSAM15 Organizers. Published by Research Publishing, Singapore.</t>
  </si>
  <si>
    <t>Nilsen M., Kongsvik T., Antonsen S.</t>
  </si>
  <si>
    <t>Proceedings of the 30th European Safety and Reliability Conference and the 15th Probabilistic Safety Assessment and Management Conference</t>
  </si>
  <si>
    <t>https://www.scopus.com/inward/record.uri?eid=2-s2.0-85107293738&amp;doi=10.3850%2f978-981-14-8593-0_3742-cd&amp;partnerID=40&amp;md5=9d08dfeee415664dff52328476dafa92</t>
  </si>
  <si>
    <t>Industrial Economics and Technology Management, NTNU, Norway; NTNU Social Research, Norway</t>
  </si>
  <si>
    <t>Nilsen, M., Industrial Economics and Technology Management, NTNU, Norway; Kongsvik, T., Industrial Economics and Technology Management, NTNU, Norway; Antonsen, S., NTNU Social Research, Norway</t>
  </si>
  <si>
    <t>1995</t>
  </si>
  <si>
    <t>L120</t>
  </si>
  <si>
    <t>OK</t>
  </si>
  <si>
    <t>X</t>
  </si>
  <si>
    <t>57200183503;57190944943;55641579500;56266004800;</t>
  </si>
  <si>
    <t>Transferring expert system technology to potential users. A case study of Alvey's awareness clubs</t>
  </si>
  <si>
    <t>7102051014;</t>
  </si>
  <si>
    <t>The processes by which the United Kingdom's government-sponsored Alvey Programme for supporting advanced information technology has used research clubs to promote user awareness of expert systems are examined. It is explained how these clubs provided a mechanism whereby would-be users of expert systems in nine different sectors of UK business could gain experience of the development and implementation of a medium-sized expert system, built by independent contractors, that was relevant to their interests. An attempt is made to evaluate the appropriateness of the research clubs as a device for generating knowledge about a relatively new technology (expert systems) and, at the same time, transferring that knowledge to communities of prospective users. It is argued that the clubs provided members with low-cost experience of the specification and use of expert systems, together with an ability to evaluate the constraints and opportunities associated with future progress in the technology. Contractors, for their part, derived experience of expert system construction and established links with possible customers. The factors that appeared to be instrumental in enabling the awareness club to achieve their objectives are analysed.</t>
  </si>
  <si>
    <t>1990</t>
  </si>
  <si>
    <t>Ray Tim</t>
  </si>
  <si>
    <t>International Journal of Computer Applications in Technology</t>
  </si>
  <si>
    <t>https://www.scopus.com/inward/record.uri?eid=2-s2.0-0025642127&amp;partnerID=40&amp;md5=7a958bbce5041041da9b7371370acfe2</t>
  </si>
  <si>
    <t>Univ of Manchester, Manchester, United Kingdom</t>
  </si>
  <si>
    <t>Ray, Tim, Univ of Manchester, Manchester, United Kingdom</t>
  </si>
  <si>
    <t>Ray, Tim; Univ of Manchester, Manchester, United Kingdom</t>
  </si>
  <si>
    <t>Uber in the portuguese gig economy: A laboratory for platform capitalism</t>
  </si>
  <si>
    <t>10.13169/WORKORGALABOGLOB.14.2.0046</t>
  </si>
  <si>
    <t>57192363600;57220894177;</t>
  </si>
  <si>
    <t>The paper frames the emergence of the Portuguese gig economy within the broader process of platformisation of work in Europe as set in motion by the neoliberal turn at a global scale. Against this background the case of Portugal in general and that of Lisbon in particular are analysed to show both their consistency with the general trends of the European Union’s economic dynamics and their irreducible peculiarities. These latter particularities, and especially the so-called ‘Uber Law’, are discussed in connection with the hypothesis of a specifically Portuguese variety of the gig economy. © Emanuele Leonardi and Giorgio Pirina, 2020.</t>
  </si>
  <si>
    <t>Leonardi E., Pirina G.</t>
  </si>
  <si>
    <t>Work Organisation, Labour and Globalisation</t>
  </si>
  <si>
    <t>https://www.scopus.com/inward/record.uri?eid=2-s2.0-85097806038&amp;doi=10.13169%2fWORKORGALABOGLOB.14.2.0046&amp;partnerID=40&amp;md5=9e1c341341a8b461d1f54eacb35e134c</t>
  </si>
  <si>
    <t>Department of Humanities, Social Sciences and Cultural Industries, University of Parma, Italy; Centre for Social Studies, University of Coimbra, Portugal; Department of Sociology and Business Law, University of Bologna, Italy</t>
  </si>
  <si>
    <t>Leonardi, E., Department of Humanities, Social Sciences and Cultural Industries, University of Parma, Italy, Centre for Social Studies, University of Coimbra, Portugal; Pirina, G., Department of Sociology and Business Law, University of Bologna, Italy</t>
  </si>
  <si>
    <t>HR4.0: An Analytics Framework to redefine Employee Engagement in the Fourth Industrial Revolution</t>
  </si>
  <si>
    <t>10.1109/ICCCNT49239.2020.9225456</t>
  </si>
  <si>
    <t>57210414045;</t>
  </si>
  <si>
    <t>Fourth Industrial revolution (4IR) has brought the new future of work for the organizations disrupted by technological advancements like HR Analytics (HRA), Machine Learning (ML) and Artificial Intelligence (AI). HR 4.0 is a framework to bring about changes in the people strategies of organizations changing the way work is experienced. With the advent of gig economy and work from home scenario it has become all the more difficult for the HR manager to engage their employees to achieve business results. This paper attempts to study how organizations are leveraging technological tools to radically transform the use of people data by HR and business leaders. For this study both primary and secondary data was collected to analyze the impact of HR analytics on employee engagement, employees' confidence on performance appraisal and employee experience. A sample size of 100 was collected to test the hypothesis. Analysis of the data revealed a positive correlation between the impact of HR analytics on employees' confidence on performance appraisal and employee experience. Based on literature review and data analysis, an HR Analytics framework is proposed to improve employee engagement in the organization. This study can be used by organizations to enhance employee engagement with the effective use of analytics using employee data to gain insights into employee work life. Although Human Resource Analytics is successfully implemented by only a few organizations due to poor data management, dearth of analytical skills and lack of organizational adaptability. © 2020 IEEE.</t>
  </si>
  <si>
    <t>Gaur B.</t>
  </si>
  <si>
    <t>2020 11th International Conference on Computing, Communication and Networking Technologies, ICCCNT 2020</t>
  </si>
  <si>
    <t>https://www.scopus.com/inward/record.uri?eid=2-s2.0-85096558334&amp;doi=10.1109%2fICCCNT49239.2020.9225456&amp;partnerID=40&amp;md5=82d040ed10305d6345b3805ecc1b40fc</t>
  </si>
  <si>
    <t>Amity University, Department of Management and Commerce, Dubai, United Arab Emirates</t>
  </si>
  <si>
    <t>Gaur, B., Amity University, Department of Management and Commerce, Dubai, United Arab Emirates</t>
  </si>
  <si>
    <t>Gaur, B.; Amity University, United Arab Emirates; email: bgaur@amityuniversity.ae</t>
  </si>
  <si>
    <t>Independent contractor/employee issues.</t>
  </si>
  <si>
    <t>6507593318;</t>
  </si>
  <si>
    <t>When deciding to expand a practice to include an associate, many dentists are unsure whether to classify the worker as an independent contractor or an employee. Incorrectly classifying a worker can carry significant financial ramifications. This article outlines the parameters the Internal Revenue Service uses to make its determination of a worker's status so dentists can avoid a costly financial mistake.</t>
  </si>
  <si>
    <t>1996</t>
  </si>
  <si>
    <t>Wiederman A.S.</t>
  </si>
  <si>
    <t>Journal of the California Dental Association</t>
  </si>
  <si>
    <t>https://www.scopus.com/inward/record.uri?eid=2-s2.0-0030180124&amp;partnerID=40&amp;md5=9a608b148ad425ba13db5c90cc526c69</t>
  </si>
  <si>
    <t>Wiederman, A.S.</t>
  </si>
  <si>
    <t>Dong, J.; Decision, United States; email: jing.dong@gsb.columbia.edu</t>
  </si>
  <si>
    <t>A random survey of anesthesia machines and ancillary monitors in 45 hospitals</t>
  </si>
  <si>
    <t>10.1213/00000539-198807000-00006</t>
  </si>
  <si>
    <t>7404634031;55256758400;57225843892;</t>
  </si>
  <si>
    <t>One hundred sixty-nine anesthesia machines and ancillary monitors were tested in 45 hospitals, randomly selected to assure a sample of hospitals with a wide range of anesthesia workload. The machines ranged in age from 1 to 28 years (8 ± 6, mean ± SD), with 47.3% manufactured since 1980, 39.1% between 1970 and 1980; and 13.6% before 1970. Regular maintenance was provided for 112 machines (66.2%) by the manufacturer, whereas 55 machines (32.5%) were maintained by independent contractors. Two machines designated as backup machines received no maintenance. There was no source of oxygen to back up oxygen piped from a central source on five machines. Thirteen machines had leaks over 500 ml/min distal to the common gas outlet, the most common sites being the carbon dioxide absorber, dome valves, and oxygen monitor sensor adaptors. Another two machines had leaks over 500 ml/min proximal to the common gas outlet. Forty-two of the 169 machines did not have an oxygen analyzer; another 18 had oxygen analyzers that did not function properly. Only 29 (23.5%) of 123 machines equipped with a ventilator had a working high-pressure alarm, whereas functioning low-pressure alarms were available on 104 machines (84.5%). Fourteen of the 383 vaporizers tested for calibration did not meet the calibration standard recommended by the manufacturers. None of the 32 liquid anesthetic samples collected and analyzed during the survey showed contaminants. Only four (8.8%) hospitals utilized a written anesthesia machine checklist. There was no correlation between the number of malfunctions observed and ages of the machines, although the older machines tended to lack the basic monitoring devices and safety features. Equipment inadequacies encountered during the survey period ranged in degree of severity. All such inadequacies were pointed out to the facilities involved. Those inadequacies considered to be major in nature have been rectified.</t>
  </si>
  <si>
    <t>1988</t>
  </si>
  <si>
    <t>Kumar V., Hintze M.S., Jacob A.M.</t>
  </si>
  <si>
    <t>Anesthesia and Analgesia</t>
  </si>
  <si>
    <t>https://www.scopus.com/inward/record.uri?eid=2-s2.0-0023780385&amp;doi=10.1213%2f00000539-198807000-00006&amp;partnerID=40&amp;md5=1892aca91b252a6f2ec4549b62d41b74</t>
  </si>
  <si>
    <t>Department of Anesthesia, University of Iowa Hospitals &amp; Clinics, Iowa City, IA 52242, United States</t>
  </si>
  <si>
    <t>Kumar, V., Department of Anesthesia, University of Iowa Hospitals &amp; Clinics, Iowa City, IA 52242, United States; Hintze, M.S., Department of Anesthesia, University of Iowa Hospitals &amp; Clinics, Iowa City, IA 52242, United States; Jacob, A.M., Department of Anesthesia, University of Iowa Hospitals &amp; Clinics, Iowa City, IA 52242, United States</t>
  </si>
  <si>
    <t>Agent-based asynchronous training in distributed software development</t>
  </si>
  <si>
    <t>10.1504/IJLC.2020.108350</t>
  </si>
  <si>
    <t>7202181503;15066020300;</t>
  </si>
  <si>
    <t>In the changing software development, training on tools and techniques are neceßary for the developers for better quality. Global software development faces great challenge for employee training as project members are scattered geographically. Developers should aware of the custom and culture of co-developers to improve their social and interpersonal competencies such as negotiation, teamwork, conflict resolution, time management, leadership, and communication using common language. The paper discußed a framework for agent based training model that can simulate global software development from different cultures; allows learners to train asynchronously as the agents are always available, and permits to play different roles in the various stages of project development. The framework also provides effective client training on product and effective for the discußion between the client and the developer and thus reduces the effort. The model was evaluated with online geographically separated trainees and trainers and analysed the feedback. Copyright © 2020 Inderscience Enterprises Ltd.</t>
  </si>
  <si>
    <t>Ray D.M., Samuel P.</t>
  </si>
  <si>
    <t>International Journal of Learning and Change</t>
  </si>
  <si>
    <t>https://www.scopus.com/inward/record.uri?eid=2-s2.0-85093868100&amp;doi=10.1504%2fIJLC.2020.108350&amp;partnerID=40&amp;md5=ff561fc5f5431136aab1e1ff32f428e6</t>
  </si>
  <si>
    <t>Department of Computer Science, Cochin University of Science and Technology, Kochi, 682022, India</t>
  </si>
  <si>
    <t>Ray, D.M., Department of Computer Science, Cochin University of Science and Technology, Kochi, 682022, India; Samuel, P., Department of Computer Science, Cochin University of Science and Technology, Kochi, 682022, India</t>
  </si>
  <si>
    <t>Ray, D.M.; Department of Computer Science, India; email: manojray@cusat.ac.in</t>
  </si>
  <si>
    <t>Ambiguity in Communicating Intensity of Physical Activity: Survey Study</t>
  </si>
  <si>
    <t>10.2196/16303</t>
  </si>
  <si>
    <t>8207259400;57221537852;35509805600;</t>
  </si>
  <si>
    <t>Background: Communicating physical activity information with sufficient details, such as activity type, frequency, duration, and intensity, is vital to accurately delineate the attributes of physical activity that bring positive health impact. Unlike frequency and duration, intensity is a subjective concept that can be interpreted differently by people depending on demographics, health status, physical fitness, and exercise habits. However, activity intensity is often communicated using general degree modifiers, degree of physical exertion, and physical activity examples, which are the expressions that people may interpret differently. Lack of clarity in communicating the intensity level of physical activity is a potential barrier to an accurate assessment of exercise effect and effective imparting of exercise recommendations. Objective: This study aimed to assess the variations in people’s perceptions and interpretations of commonly used intensity descriptions of physical activities and to identify factors that may contribute to these variations. Methods: A Web-based survey with a 25-item questionnaire was conducted using Amazon Mechanical Turk, targeting adults residing in the United States. The questionnaire included questions on participants’ demographics, exercise habits, overall perceived health status, and perceived intensity of 10 physical activity examples. The survey responses were analyzed using the R statistical package. Results: The analyses included 498 responses. The majority of respondents were females (276/498, 55.4%) and whites (399/498, 79.9%). Numeric ratings of physical exertion after exercise were relatively well associated with the 3 general degree descriptors of exercise intensity: light, moderate, and vigorous. However, there was no clear association between the intensity expressed with those degree descriptors and the degree of physical exertion the participants reported to have experienced after exercise. Intensity ratings of various examples of physical activity differed significantly according to respondents’ characteristics. Regression analyses showed that those who reported good health or considered regular exercise was important for their health tended to rate the intensity levels of the activity examples significantly higher than their counterparts. The respondents’ age and race (white vs nonwhite) were not significant predictors of the intensity rating. Conclusions: This survey showed significant variations in how people perceive and interpret the intensity levels of physical activities described with general severity modifiers, degrees of physical exertion, and physical activity examples. Considering that these are among the most widely used methods of communicating physical activity intensity in current practice, a possible miscommunication in assessing and promoting physical activity seems to be a real concern. We need to adopt a method that represents activity intensity in a quantifiable manner to avoid unintended miscommunication. © Hyeoneui Kim, Jaemin Kim.</t>
  </si>
  <si>
    <t>Kim H., Kim J., Taira R.</t>
  </si>
  <si>
    <t>https://www.scopus.com/inward/record.uri?eid=2-s2.0-85097828490&amp;doi=10.2196%2f16303&amp;partnerID=40&amp;md5=ad6c9b15d04765a128fa15722e23a3c1</t>
  </si>
  <si>
    <t>School of Nursing, Duke University, Durham, NC, United States; Cancer Care Ontario, Toronto, ON, Canada; Department of Radiological Science, University of California Los Angeles, Los Angeles, CA, United States</t>
  </si>
  <si>
    <t>Kim, H., School of Nursing, Duke University, Durham, NC, United States; Kim, J., Cancer Care Ontario, Toronto, ON, Canada; Taira, R., Department of Radiological Science, University of California Los Angeles, Los Angeles, CA, United States</t>
  </si>
  <si>
    <t>Kim, H.; School of Nursing, 307 Trent Drive, United States; email: hyeoneui.kim@duke.edu</t>
  </si>
  <si>
    <t>Comparing in person and internet methods to recruit low-SES populations for tobacco control policy research</t>
  </si>
  <si>
    <t>10.1016/j.socscimed.2019.112597</t>
  </si>
  <si>
    <t>57199416864;57211414830;57205309495;56088142600;16029149900;57192990911;57207797639;57192372764;16041724100;</t>
  </si>
  <si>
    <t>Tobacco use and the associated consequences are much more prevalent among low-SES populations in the U.S. However, tobacco-based research often does not include these harder-to-reach populations. This paper compares the effectiveness and drawbacks of three methods of recruiting low-SES adult smokers in the Northeast. From a 5-year, [funding blinded] grant about impacts of graphic warning labels on tobacco products, three separate means of recruiting low-SES adult smokers emerged: 1) in person in the field with a mobile lab vehicle, 2) in person in the field with tablet computers, and 3) online via Amazon Mechanical Turk (MTurk). We compared each of these methods in terms of the resulting participant demographics and the “pros” and “cons” of each approach including quality control, logistics, cost, and engagement. Field-based methods (with a mobile lab or in person with a tablet) yielded a greater proportion of disadvantaged participants who could be biochemically verified as current smokers—45% of the field-based sample had an annual income of &lt;$10,000 compared to 16% of the MTurk sample; 40–45% of the field-based sample did not complete high school compared to 2.6% of the MTurk sample. MTurk-based recruitment was substantially less expensive to operate (1/14th the cost of field-based methods) was faster, and involved less logistical coordination, though was unable to provide immediate biochemical verification of current smoking status. Both MTurk and field-based methods provide access to low-SES participants–the difference is the proportion and the degree of disadvantage. For research and interventions where either inclusion considerations or external validity with low-SES populations is critical, especially the most disadvantaged, our research supports the use of field-based methods. It also highlights the importance of adequate funding and time to enable the recruitment and participation of these harder-to-reach populations. © 2019 Elsevier Ltd</t>
  </si>
  <si>
    <t>Greiner Safi A., Reyes C., Jesch E., Steinhardt J., Niederdeppe J., Skurka C., Kalaji M., Scolere L., Byrne S.</t>
  </si>
  <si>
    <t>Social Science and Medicine</t>
  </si>
  <si>
    <t>https://www.scopus.com/inward/record.uri?eid=2-s2.0-85073825977&amp;doi=10.1016%2fj.socscimed.2019.112597&amp;partnerID=40&amp;md5=1fb6e41380a0645fc52f5ab1cf3668bf</t>
  </si>
  <si>
    <t>Department of Communication, Cornell University, 450B Mann Library Building, Ithaca, NY  14853, United States; Department of Population Medicine and Diagnostic Sciences, Master of Public Health Program, Cornell University, S2002 Schurman Hall, Ithaca, NY  14853, United States; Department of Agricultural Economics, Sociology, and Education, Pennsylvania State University, 111 Armsby Building, University Park, PA  16802, United States; Annenberg School of Communication, The University of Pennsylvania, 3620 Walnut Street, Philadelphia, PA  19104, United States; Department of Advertising and Public Relations, Michigan State University, 404 Wilson Road, Office 377, East Lansing, MI  48824, United States; Department of Design and Merchandising, Colorado State University, 1100 Meridian Avenue, Fort Collins, CO  80521, United States; Donald P. Bellisario College of Communications, Pennsylvania State University, 222 Carnegie Building, University Park, PA  16802, United States</t>
  </si>
  <si>
    <t>Greiner Safi, A., Department of Communication, Cornell University, 450B Mann Library Building, Ithaca, NY  14853, United States, Department of Population Medicine and Diagnostic Sciences, Master of Public Health Program, Cornell University, S2002 Schurman Hall, Ithaca, NY  14853, United States; Reyes, C., Department of Communication, Cornell University, 450B Mann Library Building, Ithaca, NY  14853, United States, Department of Agricultural Economics, Sociology, and Education, Pennsylvania State University, 111 Armsby Building, University Park, PA  16802, United States; Jesch, E., Department of Communication, Cornell University, 450B Mann Library Building, Ithaca, NY  14853, United States, Annenberg School of Communication, The University of Pennsylvania, 3620 Walnut Street, Philadelphia, PA  19104, United States; Steinhardt, J., Department of Advertising and Public Relations, Michigan State University, 404 Wilson Road, Office 377, East Lansing, MI  48824, United States; Niederdeppe, J., Department of Communication, Cornell University, 450B Mann Library Building, Ithaca, NY  14853, United States; Skurka, C., Donald P. Bellisario College of Communications, Pennsylvania State University, 222 Carnegie Building, University Park, PA  16802, United States; Kalaji, M., Department of Communication, Cornell University, 450B Mann Library Building, Ithaca, NY  14853, United States; Scolere, L., Department of Design and Merchandising, Colorado State University, 1100 Meridian Avenue, Fort Collins, CO  80521, United States; Byrne, S., Department of Communication, Cornell University, 450B Mann Library Building, Ithaca, NY  14853, United States</t>
  </si>
  <si>
    <t>Greiner Safi, A.; Department of Communication, 450B Mann Library Building, United States; email: alg52@cornell.edu</t>
  </si>
  <si>
    <t>Copyright Certificate Storage and Trading System Based on Blockchain</t>
  </si>
  <si>
    <t>10.1109/AEECA49918.2020.9213631</t>
  </si>
  <si>
    <t>57219669290;21743939300;57215436477;57215319253;</t>
  </si>
  <si>
    <t>In the era of digitalization and networking, the high cost and long time of traditional centralized copyright protection methods make the copyright of digital works cannot be well protected and the infringement phenomenon be serious. Blockchain, as a decentralized distributed database, can store the copyright information of works. This paper researches and analyzes the advantages of blockchain in copyright protection and the current research status, and finally a copyright certificate storage and trading system based on blockchain is designed. In this system, registration confirmation, transaction certificate, and dispute protection are researched as a complete process. And the certificate storage data on the blockchain are precisely designed, which greatly reduces the time and cost of rights protection. What's more, the copyright of digital works is divided by studying laws related to copyright in China, which makes this system more suitable for practical applications. © 2020 IEEE.</t>
  </si>
  <si>
    <t>Han P., Sui A., Jiang T., Gu C.</t>
  </si>
  <si>
    <t>Proceedings of 2020 IEEE International Conference on Advances in Electrical Engineering and Computer Applications, AEECA 2020</t>
  </si>
  <si>
    <t>https://www.scopus.com/inward/record.uri?eid=2-s2.0-85094640003&amp;doi=10.1109%2fAEECA49918.2020.9213631&amp;partnerID=40&amp;md5=55199612851eeb0b09cf2d167f757730</t>
  </si>
  <si>
    <t>Communication University of China, School of Computer Science and Cybersecurity, Beijing, China</t>
  </si>
  <si>
    <t>Han, P., Communication University of China, School of Computer Science and Cybersecurity, Beijing, China; Sui, A., Communication University of China, School of Computer Science and Cybersecurity, Beijing, China; Jiang, T., Communication University of China, School of Computer Science and Cybersecurity, Beijing, China; Gu, C., Communication University of China, School of Computer Science and Cybersecurity, Beijing, China</t>
  </si>
  <si>
    <t>Sui, A.; Communication University of China, China; email: aina@cuc.edu.cn</t>
  </si>
  <si>
    <t>Devaluation of cultural capital on online platforms and the changing shape of the social space</t>
  </si>
  <si>
    <t>10.13169/workorgalaboglob.14.1.0032</t>
  </si>
  <si>
    <t>57225787628;56734420100;</t>
  </si>
  <si>
    <t>This article analyses the devaluation of work and qualifications on crowdworking platforms. It argues that - in the context of a digital reputation economy - cultural capital (formal and incorporated standards of skills and knowledge) is increasingly being devalued, informalised and replaced by symbolic capital. We argue that these changes impact on social relations and the social space. The devaluation and precariousness of crowdwork does not only reflect a crisis of social reproduction and increasing socio-economic inequalities, but also changes traditional channels of upward mobility and thus the structuring of the social space. Furthermore, increasing individual competition implies gendered and discriminatory dynamics. © 2020 Thomas Höhne and Martina Sproll.</t>
  </si>
  <si>
    <t>Höhne T., Sproll M.</t>
  </si>
  <si>
    <t>https://www.scopus.com/inward/record.uri?eid=2-s2.0-85092495907&amp;doi=10.13169%2fworkorgalaboglob.14.1.0032&amp;partnerID=40&amp;md5=40a44957cf0d20106d986643a98d565e</t>
  </si>
  <si>
    <t>Education Science, Faculty of Humanities and Social Science, Helmut Schmidt University, Hamburg, Germany; Social Sciences (Structural Change and the Welfare State in International Perspectives), Department of Business and Economics, HWR Berlin (Berlin School of Economics and Law), Germany</t>
  </si>
  <si>
    <t>Höhne, T., Education Science, Faculty of Humanities and Social Science, Helmut Schmidt University, Hamburg, Germany; Sproll, M., Social Sciences (Structural Change and the Welfare State in International Perspectives), Department of Business and Economics, HWR Berlin (Berlin School of Economics and Law), Germany</t>
  </si>
  <si>
    <t>Development of a fostering purpose intervention</t>
  </si>
  <si>
    <t>10.1016/j.evalprogplan.2020.101857</t>
  </si>
  <si>
    <t>57194484952;57103189900;57189305794;</t>
  </si>
  <si>
    <t>Evolutionary Evaluation is a framework for understanding the evolution of programs. Just as programs grow and develop, so can standalone interventions. This paper focused on building and evaluating a purpose intervention to scaffold adolescents and young adults’ search for purpose. Four studies were conducted at each phase of the intervention's lifespan to assess if modifications were needed and to test the viable validity of using online activities to increase both the search for and the discovery of a purpose in life. These studies can be viewed through the lens of the Evolutionary Evaluation framework. Study 1 evaluated the intervention at its initiation phase, which consisted of developing and testing the intervention activities. Study 2 tested the intervention during the development phase to determine which activities most effectively increased rates of purpose. Study 3 evaluated the intervention in its stability phase by experimentally testing all activities together in a full curriculum via Amazon's Mechanical Turk. Finally, study 4 assessed the dissemination of the intervention by testing the full curriculum with over 500 high school and college students. These studies suggest that the fostering purpose intervention cultivated purpose among adolescents and young adults. Additionally, the success of the intervention demonstrates that the Evolutionary Evaluation framework may be an effective model with which to develop an intervention, from initiation through dissemination phases. © 2020 Elsevier Ltd</t>
  </si>
  <si>
    <t>Riches B.R., Benavides C.M., Dubon V.X.</t>
  </si>
  <si>
    <t>Evaluation and Program Planning</t>
  </si>
  <si>
    <t>https://www.scopus.com/inward/record.uri?eid=2-s2.0-85091896651&amp;doi=10.1016%2fj.evalprogplan.2020.101857&amp;partnerID=40&amp;md5=942423dd92516803d2595833af929f43</t>
  </si>
  <si>
    <t>Claremont Graduate University, United States; California State University, Los Angeles, United States</t>
  </si>
  <si>
    <t>Riches, B.R., Claremont Graduate University, United States; Benavides, C.M., California State University, Los Angeles, United States; Dubon, V.X., Claremont Graduate University, United States</t>
  </si>
  <si>
    <t>Riches, B.R.; Division of Behavioral and Organizational Sciences, ACB 124, 150 E. 10th Street, United States; email: brian.riches@cgu.edu</t>
  </si>
  <si>
    <t>Evaluation of ammonium polyphosphate and waste-activated sludge extract as a nutrient source for activated sludge system: APP works as well as phosphorous acid and ammonia</t>
  </si>
  <si>
    <t>6602431517;7102780658;</t>
  </si>
  <si>
    <t>Ammonium polyphosphate (APP) and nutrient derived from biocracked waste activated sludge (WAS) were evaluated against phosphoric acid (PA) and ammonium salt using the nutrient uptake rates of activated sludge and growth rates of a reference microorganism. APP was found to be comparable to phosphoric acid and ammonia. The product was depolymerized completely within 100 minutes upon introduction to the reaction mixture. APP also generated a small cost reduction compared to PA. It was concluded that APP is a good source of nutrient suitable for effluent treatment. For the WAS extract, there was no discernible difference between the extracted phosphorus and PA. However, only a fraction of the extracted nitrogen was utilized. The nutrient value is less than expected to offset the higher incremental operating cost. This makes the biocracked WAS extract not economically attractive compared to APP.</t>
  </si>
  <si>
    <t>1998</t>
  </si>
  <si>
    <t>Frigon D., Lo A.</t>
  </si>
  <si>
    <t>Pulp and Paper Canada</t>
  </si>
  <si>
    <t>https://www.scopus.com/inward/record.uri?eid=2-s2.0-0032162326&amp;partnerID=40&amp;md5=a408d3cc0ddd98b8b71e019321d93bf3</t>
  </si>
  <si>
    <t>Centre Innovation Domtar, Senneville, Que., Canada</t>
  </si>
  <si>
    <t>Frigon, D., Centre Innovation Domtar, Senneville, Que., Canada; Lo, A., Centre Innovation Domtar, Senneville, Que., Canada</t>
  </si>
  <si>
    <t>Frigon, D.; Centre Innovation Domtar, Senneville, Que., Canada</t>
  </si>
  <si>
    <t>Expert and Crowdsourced Evaluation of Image Quality From a Novel Endoscopy Phone Light Adapter</t>
  </si>
  <si>
    <t>10.1016/j.urology.2020.09.034</t>
  </si>
  <si>
    <t>57194872552;57219380618;7102921523;8927036900;</t>
  </si>
  <si>
    <t>OBJECTIVE: To evaluate the image quality of cystourethroscopy using a novel 3D printed phone light adapter with subject expert and crowdsourced evaluators. METHODS: A simple 3D printed light adaptor for a flexible cystoscopy was developed and made open source. Two videos were then recorded of a simulated cystourethroscopy, one using the novel adapter and the other using a traditional endoscopy light source. Expert evaluators (urology trainees and attendings) were then asked to evaluate the video quality using a double stimulus impairment scale. They were also asked to rate their level of confidence in using the novel adapter in clinical scenarios. Using Amazon's Mechanical Turk marketplace, 100 crowdsourced evaluators viewed the same videos and completed the same rating scale. The Mann-Whitney U test was then used to compare the expert and crowdsourced ratings. RESULTS: Expert and crowdsourced evaluators saw minimal degradation of video quality for the simulated urethroscopy (P=. 66). However, while expert evaluators did identify degradation in the cystoscopy video, the crowdsourced evaluators did not (P = .012). 96% of the expert evaluators would either “often” or “always” use the novel adapter for difficult Foley placements and removal of ureteric stents. CONCLUSION: The novel light adapter caused minimal degradation in image quality for urethroscopy as compared to a traditional endoscopy light source, with vast majority of raters believing it would be adequate to perform common bedside cystoscopy procedures. © 2020 Elsevier Inc.</t>
  </si>
  <si>
    <t>Guo Y., Kshatri K., Matsumoto E.D., Kapoor A.</t>
  </si>
  <si>
    <t>Urology</t>
  </si>
  <si>
    <t>https://www.scopus.com/inward/record.uri?eid=2-s2.0-85092452257&amp;doi=10.1016%2fj.urology.2020.09.034&amp;partnerID=40&amp;md5=f8ca46bad04abcd1714f47728d1da892</t>
  </si>
  <si>
    <t>Division of Urology, McMaster University, Hamilton, ON, Canada</t>
  </si>
  <si>
    <t>Guo, Y., Division of Urology, McMaster University, Hamilton, ON, Canada; Kshatri, K., Division of Urology, McMaster University, Hamilton, ON, Canada; Matsumoto, E.D., Division of Urology, McMaster University, Hamilton, ON, Canada; Kapoor, A., Division of Urology, McMaster University, Hamilton, ON, Canada</t>
  </si>
  <si>
    <t>Guo, Y.; McMaster Institute of Urology, 50 Charlton Ave E, Canada; email: yanbo.guo@medportal.ca</t>
  </si>
  <si>
    <t>Food Folio by Columbia Center for Eating Disorders: A Freely Available Food Image Database</t>
  </si>
  <si>
    <t>10.3389/fpsyg.2020.585044</t>
  </si>
  <si>
    <t>57195602114;23111391300;6602405550;57203189040;57193835746;57200372951;57212382884;7202294846;13005724500;8618117800;</t>
  </si>
  <si>
    <t>Food images are useful stimuli for the study of cognitive processes as well as eating behavior. To enhance rigor and reproducibility in task-based research, it is advantageous to have stimulus sets that are publicly available and well characterized. Food Folio by Columbia Center for Eating Disorders is a publicly available set of 138 images of Western food items. The set was developed for the study of eating disorders, particularly for use in tasks that capture eating behavior characteristic of these illnesses. It contains foods that are typically eaten, as well as those typically avoided, by individuals with eating disorders. Each image has now been rated across 17 different attributes by a large general United States population sample via Amazon’s Mechanical Turk (n = 1054). Ratings included subjective attributes (e.g., tastiness, healthiness, and favorable texture) as well as estimates of nutrient content (e.g., fat and carbohydrate). Each participant rated a subset of stimulus set food items (46 foods) on all 17 dimensions. Additional description of the image set is provided in terms of physical image information and accurate nutritional information. Correlations between subjective ratings were calculated and an exploratory factor analysis and exploratory cluster analysis completed. Outcomes of the factor analysis suggested foods may be described along three latent factors of healthiness, tastiness, and umami taste; the cluster analysis highlighted five distinct clusters of foods varying on these same dimensions. Descriptive outcomes indicated that the stimulus set includes a range of foods that vary along multiple dimensions and thus is likely to be useful in addressing various research questions surrounding eating behavior and cognition in healthy populations, as well as in those with eating disorders. The provision of comprehensive descriptive information allows for stimulus selection that is optimized for a given research question and promotes strong inference. © Copyright © 2020 Lloyd, Shehzad, Schebendach, Bakkour, Xue, Assaf, Jilani, Walsh, Steinglass and Foerde.</t>
  </si>
  <si>
    <t>Lloyd E.C., Shehzad Z., Schebendach J., Bakkour A., Xue A.M., Assaf N.F., Jilani R., Walsh B.T., Steinglass J., Foerde K.</t>
  </si>
  <si>
    <t>https://www.scopus.com/inward/record.uri?eid=2-s2.0-85099157502&amp;doi=10.3389%2ffpsyg.2020.585044&amp;partnerID=40&amp;md5=937696eda66431b9c4be6be3a5149732</t>
  </si>
  <si>
    <t>Department of Psychiatry, Columbia University Irving Medical Center, New York, NY, United States; New York State Psychiatric Institute, New York, NY, United States; Mortimer B. Zuckerman Mind Brain Behavior Institute, Columbia University, New York, NY, United States; Department of Psychology, Columbia University, New York, NY, United States; Albany Medical College, Albany, NY, United States</t>
  </si>
  <si>
    <t>Lloyd, E.C., Department of Psychiatry, Columbia University Irving Medical Center, New York, NY, United States, New York State Psychiatric Institute, New York, NY, United States; Shehzad, Z., Mortimer B. Zuckerman Mind Brain Behavior Institute, Columbia University, New York, NY, United States; Schebendach, J., Department of Psychiatry, Columbia University Irving Medical Center, New York, NY, United States, New York State Psychiatric Institute, New York, NY, United States; Bakkour, A., Mortimer B. Zuckerman Mind Brain Behavior Institute, Columbia University, New York, NY, United States, Department of Psychology, Columbia University, New York, NY, United States; Xue, A.M., Mortimer B. Zuckerman Mind Brain Behavior Institute, Columbia University, New York, NY, United States, Department of Psychology, Columbia University, New York, NY, United States; Assaf, N.F., Albany Medical College, Albany, NY, United States; Jilani, R., Mortimer B. Zuckerman Mind Brain Behavior Institute, Columbia University, New York, NY, United States; Walsh, B.T., Department of Psychiatry, Columbia University Irving Medical Center, New York, NY, United States, New York State Psychiatric Institute, New York, NY, United States; Steinglass, J., Department of Psychiatry, Columbia University Irving Medical Center, New York, NY, United States, New York State Psychiatric Institute, New York, NY, United States; Foerde, K., Department of Psychiatry, Columbia University Irving Medical Center, New York, NY, United States, New York State Psychiatric Institute, New York, NY, United States</t>
  </si>
  <si>
    <t>Lloyd, E.C.; Department of Psychiatry, United States; email: caitlin.lloyd@nyspi.columbia.edu</t>
  </si>
  <si>
    <t>General Medical Services Committee</t>
  </si>
  <si>
    <t>10.1136/bmj.2.5812.131</t>
  </si>
  <si>
    <t>The Chairman reported on the visits to give evidence to the Review Body, on discussions about rent and rates payments, and on meetings with the Department about the selection of general practitioner trainers. He also called for continuing support from doctors of the Dain and Cameron charitable funds. Dr. Keable-Elliott brought the Committee up to date on the Government's proposals for N.H.S. superannuation and on the separate discussions with the Department of Health on the pensions of independent contractors. The Committee accepted the improvements outlined by the Government subject to actuarial information showing the need for the suggested increase of 3/4% in a general practitioner's contribution. The report of the Committee's Working Group on Reporting and Publicity was approved, except for a proposal to admit the press to the Annual Conference of L.M.C.S. Among its 12 recommendations was one that a triennial conference of L.M.C. chairmen should be arranged and another suggested publication by the G.M.S. Committee of a handbook for general practitioners. A long discussion on a report from a working party studying married women doctors and salaried partnerships resulted in the report being referred back. A proposal in the report for “associate practitioners” was strongly criticized. The Committee approved a report from its working group on the functions of the G.M.C. and discussed two others from a Department of Health working party on collaboration between local and health authorities in the reorganized N.H.S. © 1972, British Medical Journal Publishing Group. All rights reserved.</t>
  </si>
  <si>
    <t>1972</t>
  </si>
  <si>
    <t>British Medical Journal</t>
  </si>
  <si>
    <t>https://www.scopus.com/inward/record.uri?eid=2-s2.0-84971585262&amp;doi=10.1136%2fbmj.2.5812.131&amp;partnerID=40&amp;md5=d0af48f3508e6f53bbcb61e668b393db</t>
  </si>
  <si>
    <t>High prevalence of food intolerances among US internet users</t>
  </si>
  <si>
    <t>10.1017/S1368980020003298</t>
  </si>
  <si>
    <t>56563994400;57657507300;57219317132;57219030609;54996506000;</t>
  </si>
  <si>
    <t>Objective: Food intolerances are commonly reported and are predicted to have gastrointestinal health implications. We aimed to quantify the prevalence of food intolerances among US adults and identify culprit foods through a brief web-based survey. Design: We invited participation in an online cross-sectional survey involving a single questionnaire. Data were summarised using percentages or medians and interquartile range. Participant characteristics by self-reported food intolerance were compared using the Wilcoxon rank sum test and Pearson's χ 2 test. Adjusted analyses were performed using multivariable logistic regression. Setting: The survey was internet-based via Amazon's mechanical Turk, a crowdsourcing website for the completion of requester directed tasks. Participants: Adults who were US-based internet users were invited at ages 18-80. Results: We collected 2133 survey responses (ages 18-79 years). The rate of food intolerance was 24·8 % (95 % CI 23·0, 26·6) in US adults. Younger (P &lt; 0·01), female (P = 0·05) and Asian, African American or multiple race individuals (P &lt; 0·01) predominated. Lactose intolerance was most common. Frequency of a non-lactose food intolerance was 18·1 % (95 % CI 16·5, 19·8). When categorised broadly, grains, fruit, lactose, fish, vegetables, alcohol and nuts were most troublesome for individuals in that order. Conclusions: Self-reported food intolerance is common in US internet users. The effect of food on gastrointestinal symptoms and avoidant behaviours deserves further attention. © 2020 The Author(s). Published by Cambridge University Press on behalf of The Nutrition Society.</t>
  </si>
  <si>
    <t>Jansson-Knodell C.L., White M., Lockett C., Xu H., Shin A.</t>
  </si>
  <si>
    <t>Public Health Nutrition</t>
  </si>
  <si>
    <t>https://www.scopus.com/inward/record.uri?eid=2-s2.0-85092179788&amp;doi=10.1017%2fS1368980020003298&amp;partnerID=40&amp;md5=867e031f1de8a813c0f2e119909ebf74</t>
  </si>
  <si>
    <t>Division of Gastroenterology and Hepatology, Department of Medicine, Indiana University School of Medicine, 702 Rotary Circle, Indianapolis, IN  46202, United States; Department of Biostatistics, Indiana University School of Medicine, Indianapolis, IN, United States</t>
  </si>
  <si>
    <t>Jansson-Knodell, C.L., Division of Gastroenterology and Hepatology, Department of Medicine, Indiana University School of Medicine, 702 Rotary Circle, Indianapolis, IN  46202, United States; White, M., Division of Gastroenterology and Hepatology, Department of Medicine, Indiana University School of Medicine, 702 Rotary Circle, Indianapolis, IN  46202, United States; Lockett, C., Division of Gastroenterology and Hepatology, Department of Medicine, Indiana University School of Medicine, 702 Rotary Circle, Indianapolis, IN  46202, United States; Xu, H., Department of Biostatistics, Indiana University School of Medicine, Indianapolis, IN, United States; Shin, A., Division of Gastroenterology and Hepatology, Department of Medicine, Indiana University School of Medicine, 702 Rotary Circle, Indianapolis, IN  46202, United States</t>
  </si>
  <si>
    <t>Shin, A.; Division of Gastroenterology and Hepatology, 702 Rotary Circle, United States; email: ashin@iu.edu</t>
  </si>
  <si>
    <t>How Color Affects the Effectiveness of Taste- versus Health-Focused Restaurant Advertising Messages</t>
  </si>
  <si>
    <t>10.1080/00913367.2020.1809575</t>
  </si>
  <si>
    <t>57199070752;56579451500;13606837900;55780884600;</t>
  </si>
  <si>
    <t>Despite the ubiquitous use of taste-focused and health-focused advertising messages, the existing advertising literature offers little guidance on how the persuasiveness of such messages might be enhanced through design elements such as color. To address this gap, the current research examines the new congruency of a visual design element (i.e., color) and a verbal design element (i.e., message type) and explores how color may facilitate the persuasion of taste-focused versus health-focused advertising messages. The message–color congruency effect is examined across two studies with between-subjects experimental designs utilizing an Amazon's Mechanical Turk (Mturk) consumer panel. The findings suggest that taste-focused advertising messages combined with color imagery and health-focused advertising messages combined with black-and-white (BW) imagery can effectively boost consumer responses, including attitude toward the ad, attitude toward the restaurant, purchase intention, and willingness to pay (WTP). Furthermore, mediation analyses demonstrate that the proposed message–color congruency effect is driven by consumers’ subjective experience of “feeling right” during information processing. Implications for designing advertisements are discussed. © Copyright © 2020, American Academy of Advertising.</t>
  </si>
  <si>
    <t>Wang B., Liu S.Q., Kandampully J., Bujisic M.</t>
  </si>
  <si>
    <t>Journal of Advertising</t>
  </si>
  <si>
    <t>https://www.scopus.com/inward/record.uri?eid=2-s2.0-85090196376&amp;doi=10.1080%2f00913367.2020.1809575&amp;partnerID=40&amp;md5=a66bdd165e24d2012775525a63672739</t>
  </si>
  <si>
    <t>Dalian University of Foreign Languages, Dalian, Liaoning, China; The Ohio State University, Columbus, OH, United States; New York University, New York, NY, United States</t>
  </si>
  <si>
    <t>Wang, B., Dalian University of Foreign Languages, Dalian, Liaoning, China; Liu, S.Q., The Ohio State University, Columbus, OH, United States; Kandampully, J., The Ohio State University, Columbus, OH, United States; Bujisic, M., New York University, New York, NY, United States</t>
  </si>
  <si>
    <t>Wang, B.; Research Center for Chinese Culture Overseas Communication, Room 701 #7 Building, #6 Lvshun South Road West Section, China; email: dutepeter058@126.com</t>
  </si>
  <si>
    <t>How the configurations of job autonomy, work–family interference, and demographics boost job satisfaction: an empirical study using fsQCA</t>
  </si>
  <si>
    <t>10.1057/s41291-020-00138-8</t>
  </si>
  <si>
    <t>57219420341;57203535525;</t>
  </si>
  <si>
    <t>In the gig economy era, job characteristics that affect employees’ job satisfaction have undergone significant changes. However, this has not been studied adequately in the context of Asia. This study applies the job demand–resource model to understand the effect of job autonomy and work–family interference on the job satisfaction of full-time and part-time employees in China, while considering the role of demographics. A total of 415 respondents were analyzed through fuzzy set qualitative comparative analysis. The results show that the employees’ demographics have a corrective effect on the impact of job characteristics and job satisfaction. This study also identifies six causal conditions for the high job satisfaction of full-time employees and three causal conditions for part-time employees. Our research finds that full-time employees need high job autonomy, while part-time employees need low work–family interference. The results provide guidelines for managers to redesign jobs in the era of the gig economy. © 2020, Springer Nature Limited.</t>
  </si>
  <si>
    <t>Wu J., Zhou J.</t>
  </si>
  <si>
    <t>Asian Business and Management</t>
  </si>
  <si>
    <t>https://www.scopus.com/inward/record.uri?eid=2-s2.0-85092656317&amp;doi=10.1057%2fs41291-020-00138-8&amp;partnerID=40&amp;md5=92bc77b804541ac06b5e07d8d47b4816</t>
  </si>
  <si>
    <t>School of Economics and Management, Southwest Jiaotong University, No.111, North Erhuan Road, Chengdu, 610031, China</t>
  </si>
  <si>
    <t>Wu, J., School of Economics and Management, Southwest Jiaotong University, No.111, North Erhuan Road, Chengdu, 610031, China; Zhou, J., School of Economics and Management, Southwest Jiaotong University, No.111, North Erhuan Road, Chengdu, 610031, China</t>
  </si>
  <si>
    <t>Wu, J.; School of Economics and Management, No.111, North Erhuan Road, China; email: JeanWu126@163.com</t>
  </si>
  <si>
    <t>Information provision utilizing a dynamic projection system in industrial site assembly</t>
  </si>
  <si>
    <t>10.1016/j.procir.2020.04.053</t>
  </si>
  <si>
    <t>57216183090;57219370827;9436044000;</t>
  </si>
  <si>
    <t>Today, industrial assembly of large equipment is often organized as site assembly. Information is provided on paper or stationary PC-terminals and employees have to walk long distances to receive information. An augmented dynamic projection system allows direct display of work-instructions and interaction on the component. The paper presents the results of an evaluation of a dynamic projection system compared to state-of-the-art information provision. The experiment is carried out using a demonstrator with a CFRP-layup site assembly for aircraft components. The results show that the augmented dynamic projection system brings significant advantages for process improvements and usability compared to PC-terminals. © 2020 The Authors.</t>
  </si>
  <si>
    <t>Rupprecht P., Kueffner-McCauley H., Schlund S.</t>
  </si>
  <si>
    <t>https://www.scopus.com/inward/record.uri?eid=2-s2.0-85092435488&amp;doi=10.1016%2fj.procir.2020.04.053&amp;partnerID=40&amp;md5=bd2bddbca308fb1ed4e9d4db5c6ff41a</t>
  </si>
  <si>
    <t>Human-Machine Interaction Group, Institute of Management Science, Technische Universität Wien (TU Wien), Theresianumgasse 27, Vienna, 1040, Austria</t>
  </si>
  <si>
    <t>Rupprecht, P., Human-Machine Interaction Group, Institute of Management Science, Technische Universität Wien (TU Wien), Theresianumgasse 27, Vienna, 1040, Austria; Kueffner-McCauley, H., Human-Machine Interaction Group, Institute of Management Science, Technische Universität Wien (TU Wien), Theresianumgasse 27, Vienna, 1040, Austria; Schlund, S., Human-Machine Interaction Group, Institute of Management Science, Technische Universität Wien (TU Wien), Theresianumgasse 27, Vienna, 1040, Austria</t>
  </si>
  <si>
    <t>Rupprecht, P.; Human-Machine Interaction Group, Theresianumgasse 27, Austria; email: patrick.rupprecht@tuwien.ac.at</t>
  </si>
  <si>
    <t>Integrating crowdsourcing and active learning for classification of work-life events from tweets</t>
  </si>
  <si>
    <t>10.1007/978-3-030-55789-8_30</t>
  </si>
  <si>
    <t>57200045312;22036230400;57212102933;57216597174;57718316200;7103200005;</t>
  </si>
  <si>
    <t>Social media, especially Twitter, is being increasingly used for research with predictive analytics. In social media studies, natural language processing (NLP) techniques are used in conjunction with expert-based, manual and qualitative analyses. However, social media data are unstructured and must undergo complex manipulation for research use. The manual annotation is the most resource and time-consuming process that multiple expert raters have to reach consensus on every item, but is essential to create gold-standard datasets for training NLP-based machine learning classifiers. To reduce the burden of the manual annotation, yet maintaining its reliability, we devised a crowdsourcing pipeline combined with active learning strategies. We demonstrated its effectiveness through a case study that identifies job loss events from individual tweets. We used Amazon Mechanical Turk platform to recruit annotators from the Internet and designed a number of quality control measures to assure annotation accuracy. We evaluated 4 different active learning strategies (i.e., least confident, entropy, vote entropy, and Kullback-Leibler divergence). The active learning strategies aim at reducing the number of tweets needed to reach a desired performance of automated classification. Results show that crowdsourcing is useful to create high-quality annotations and active learning helps in reducing the number of required tweets, although there was no substantial difference among the strategies tested. © Springer Nature Switzerland AG 2020.</t>
  </si>
  <si>
    <t>Zhao Y., Prosperi M., Lyu T., Guo Y., Zhou L., Bian J.</t>
  </si>
  <si>
    <t>https://www.scopus.com/inward/record.uri?eid=2-s2.0-85091274670&amp;doi=10.1007%2f978-3-030-55789-8_30&amp;partnerID=40&amp;md5=7be6fb3cfff9dd5de9f17b68620ff401</t>
  </si>
  <si>
    <t>University of Florida, Gainesville, FL  32611, United States; University of Minnesota, Twin Cities, MN  55455, United States</t>
  </si>
  <si>
    <t>Zhao, Y., University of Florida, Gainesville, FL  32611, United States; Prosperi, M., University of Florida, Gainesville, FL  32611, United States; Lyu, T., University of Florida, Gainesville, FL  32611, United States; Guo, Y., University of Florida, Gainesville, FL  32611, United States; Zhou, L., University of Minnesota, Twin Cities, MN  55455, United States; Bian, J., University of Florida, Gainesville, FL  32611, United States</t>
  </si>
  <si>
    <t>Bian, J.; University of FloridaUnited States; email: bianjiang@ufl.edu</t>
  </si>
  <si>
    <t>Intergroup contact, COVID-19 news consumption, and the moderating role of digital media trust on prejudice toward asians in the United States: Cross-sectional study</t>
  </si>
  <si>
    <t>10.2196/22767</t>
  </si>
  <si>
    <t>56949690900;44461911000;57193519275;55589096200;</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</si>
  <si>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 © Jiun-Yi Tsai, Joe Phua, Shuya Pan, Chia-Chen Yang. Originally published in the Journal of Medical Internet Research (http://www.jmir.org), 25.09.2020.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</si>
  <si>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Tsai J.-Y., Phua J., Pan S., Yang C.-C.</t>
  </si>
  <si>
    <t>Journal of Medical Internet Research</t>
  </si>
  <si>
    <t>https://www.scopus.com/inward/record.uri?eid=2-s2.0-85091807159&amp;doi=10.2196%2f22767&amp;partnerID=40&amp;md5=81af039c1ddfdd56705da5ceb9710693</t>
  </si>
  <si>
    <t>School of Communication, Northern Arizona University, Flagstaff, AZ, United States; Grady College of Journalism and Mass Communication, University of Georgia, Athens, GA, United States; School of Journalism and Communication, Renmin University of China, Beijing, China; School of Educational Foundations, Leadership and Aviation, Oklahoma State University, Stillwater, OK, United States</t>
  </si>
  <si>
    <t>Tsai, J.-Y., School of Communication, Northern Arizona University, Flagstaff, AZ, United States; Phua, J., Grady College of Journalism and Mass Communication, University of Georgia, Athens, GA, United States; Pan, S., School of Journalism and Communication, Renmin University of China, Beijing, China; Yang, C.-C., School of Educational Foundations, Leadership and Aviation, Oklahoma State University, Stillwater, OK, United States</t>
  </si>
  <si>
    <t>Pan, S.; School of Journalism and Communication, No. 59 Zhongguancun Street, China; email: shuya@ruc.edu.cn</t>
  </si>
  <si>
    <t>Is Negative Campaigning a Matter of Taste? Political Attacks, Incivility, and the Moderating Role of Individual Differences</t>
  </si>
  <si>
    <t>10.1177/1532673X20965548</t>
  </si>
  <si>
    <t>26429996500;16029040400;</t>
  </si>
  <si>
    <t>We test how individual differences moderate the attitudinal effects of attack politics in two online experiments among US respondents, surveyed through Amazon’s Mechanical Turk (N = 1,408 and N = 1,081). Study 1 tests the moderating effect of personality traits (Big Five, Dark Triad) on the effectiveness of character vs. policy attacks. Study 2 investigates the difference between civil and uncivil attacks and explores the moderating effect of Big Five, Dark Triad, tolerance to negativity and conflict avoidance. Results suggest that the effects of negativity and incivility are not uniform across all respondents. For instance, evaluations of the sponsor are more negative after exposure to negative messages for respondents high in conflict avoidance; respondents high in psychopathy are more likely to have a more negative opinion of the target after being exposed to character attacks, whereas incivility worsen the perception of the target for individuals low in conflict avoidance and agreeableness. Harsher campaigns, in other terms, work particularly well for some – and are particularly rejected by others. The implications of these trends are discussed. © The Author(s) 2020.</t>
  </si>
  <si>
    <t>Nai A., Maier J.</t>
  </si>
  <si>
    <t>American Politics Research</t>
  </si>
  <si>
    <t>https://www.scopus.com/inward/record.uri?eid=2-s2.0-85093838107&amp;doi=10.1177%2f1532673X20965548&amp;partnerID=40&amp;md5=f72fe72fc99800c3234fc9802ec40e62</t>
  </si>
  <si>
    <t>University of Amsterdam, Amsterdam, Netherlands; University of Koblenz Landau - Campus Landau, Landau, Rheinland-Pfalz, Germany</t>
  </si>
  <si>
    <t>Nai, A., University of Amsterdam, Amsterdam, Netherlands; Maier, J., University of Koblenz Landau - Campus Landau, Landau, Rheinland-Pfalz, Germany</t>
  </si>
  <si>
    <t>Nai, A.; University of AmsterdamNetherlands; email: a.nai@uva.nl</t>
  </si>
  <si>
    <t>Is Religious Self-Regulation a Risk or Protective Factor for Men’s Intimate Partner Violence Perpetration?</t>
  </si>
  <si>
    <t>10.1177/0886260520985497</t>
  </si>
  <si>
    <t>57221523989;6602115347;</t>
  </si>
  <si>
    <t>Recent research has indicated that religiosity has multiple dimensions and that religious self-regulation may be a more effective predictor of intimate partner violence (IPV) perpetration than other measures of religiosity, such as frequency of prayer or church attendance. Nonetheless, studies have produced inconsistent results regarding the associations between religious self-regulation and IPV perpetration. Moreover, no studies have included self-reported level of religiosity in addition to religious self-regulation in predictive models of IPV perpetration. The present study sought to address the following research question: What is the association between religious self-regulation and men’s IPV perpetration, accounting for self-reported level of religiosity? A convenience sample of 289 men, who had been in their current committed heterosexual relationship for at least one year, were recruited via Amazon’s Mechanical Turk and responded to an online survey. Logistic and negative binomial regression analyses indicated that introjected religious self-regulation was significantly positively associated with physical, psychological, and sexual IPV perpetration, while identified religious self-regulation was significantly negatively associated with physical, psychological, and sexual IPV perpetration, supporting both hypotheses. These findings have implications for faith leaders and secular service providers seeking to develop effective, culturally sensitive, and empirically informed IPV intervention and prevention strategies. © 2021 SAGE Publications.</t>
  </si>
  <si>
    <t>Davis R.E., Renzetti C.M.</t>
  </si>
  <si>
    <t>https://www.scopus.com/inward/record.uri?eid=2-s2.0-85099345019&amp;doi=10.1177%2f0886260520985497&amp;partnerID=40&amp;md5=1c639abb670c16a8ff7c23676b5037ef</t>
  </si>
  <si>
    <t>University of Kentucky, Lexington, KY, United States</t>
  </si>
  <si>
    <t>Davis, R.E., University of Kentucky, Lexington, KY, United States; Renzetti, C.M., University of Kentucky, Lexington, KY, United States</t>
  </si>
  <si>
    <t>Davis, R.E.; University of KentuckyUnited States; email: Rachel.Davis@uky.edu</t>
  </si>
  <si>
    <t>Medicare program; solicitation of hospitals and medical centers to participate in a study of heart transplants: Health Care Financing Administration. Notice.</t>
  </si>
  <si>
    <t>This notice invites hospitals and medical centers to participate in a study of heart transplants to be conducted by HCFA. The purpose of the study is to examine, in general, all aspects of heart transplants, including the scientific, social, economic, and ethical issues, and, in particular, the impact of a possible Medicare decision to pay for heart transplants on the Medicare program, Medicare beneficiaries, and providers of health care. The study will be done in two related parts--the selection and participation of hospitals and medical centers, to which this notice is addressed, and an analysis of pertinent data and issues, to be conducted by an independent contractor. Hospitals and medical centers selected to participate in this study, under this notice, may be reimbursed for a limited number of heart transplants performed for Medicare beneficiaries during the course of the study. In addition, these institutions will furnish data about heart transplants performed at their facilities and will be reimbursed for the costs of furnishing this information. This notice contains information about the study, the availability of funds, and the procedures by which interested institutions can communicate their willingness to participate in the study. This notice also contains the criteria for the selection of hospitals and medical centers for heart transplant funding.</t>
  </si>
  <si>
    <t>1981</t>
  </si>
  <si>
    <t>Federal Register</t>
  </si>
  <si>
    <t>https://www.scopus.com/inward/record.uri?eid=2-s2.0-0019886181&amp;partnerID=40&amp;md5=1a628e5507d0d911f1b5e5fe786de4ea</t>
  </si>
  <si>
    <t>Parental preferences for vesicoureteral reflux treatment: Profile case best-worst scaling</t>
  </si>
  <si>
    <t>10.1016/j.jpurol.2020.11.020</t>
  </si>
  <si>
    <t>57208161596;35558611800;36186806300;7103318936;9236517900;7201514053;19337794400;7003939382;</t>
  </si>
  <si>
    <t>Introduction: Vesicoureteral reflux is a common pediatric urologic condition that often has several reasonable treatment options depending on condition severity. In order to choose the best treatment for their child, parents are expected to make judgements that weigh attributes such as treatment cost, effectiveness, and complication rate. Prior research has shown that factors such as treating hospital and surgeon also influence patient treatment choice. Objectives: This study evaluates parental preferences for reflux treatment using profile case best-worst scaling, an emerging technique in both urologic and health care preference estimation. The study also uses latent class analysis (LCA) to identify parental sub-classes with different preferences. Study design: Data were collected from a community sample of parents via a multimedia best-worst scaling survey instrument published to Amazon's Mechanical Turk online community. After extensive review of the literature, reflux attributes and attribute levels were selected to correspond with available treatments. The profile case best-worst scaling exercise elicited preferences for granular attributes of reflux treatments. Data were analyzed using multinomial logistic regression and class analysis to distinguish preference heterogeneity. Probability scaled values (PSVs) reflected the order of desirability of the attributes. Attribute preference importance was rescaled into dollar units for comparison as well. Results: We analyzed data for 248 respondents. The highest treatment effectiveness was more desirable than all other leveled treatment attributes (PSV 17.8, all p &lt; 0.01) (Table). Low complication rate and doctor recommendation were amongst the other most desirable treatment attributes (PSV 11.3 and 9.0, respectively). Latent class analysis identified a class with more extreme preferences, for whom doctor recommendation and avoiding hospitalization were particularly desirable. Discussion: In this community-based sample, high treatment effectiveness and low complication rate were the most desirable treatment attributes to parents, though parents likely have heterogenous treatment preference structures. Shared parent-physician decision-making that incorporates parental preferences will likely allow more effective, targeted decision-making in the future. [Table presented] © 2020 Journal of Pediatric Urology Company</t>
  </si>
  <si>
    <t>Dionise Z.R., Gonzalez J.M., Garcia-Roig M.L., Kirsch A.J., Scales C.D., Jr., Wiener J.S., Purves J.T., Routh J.C.</t>
  </si>
  <si>
    <t>Journal of Pediatric Urology</t>
  </si>
  <si>
    <t>https://www.scopus.com/inward/record.uri?eid=2-s2.0-85097670931&amp;doi=10.1016%2fj.jpurol.2020.11.020&amp;partnerID=40&amp;md5=ab1222bbc1e283368a4197cb376d0780</t>
  </si>
  <si>
    <t>Division of Urology, Duke University Medical Center, Durham, NC, United States; Duke Clinical Research Institute, Durham, NC, United States; Department of Pediatric Urology, Emory University and Children's Healthcare of Atlanta, Atlanta, GA, United States</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</si>
  <si>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</si>
  <si>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Dionise, Z.R.; Duke University Medical Center, DUMC Box 3831, United States; email: Zachary.dionise@duke.edu</t>
  </si>
  <si>
    <t>Parenting styles, parenting stress, and behavioral outcomes in children with autism</t>
  </si>
  <si>
    <t>10.1177/0143034320971675</t>
  </si>
  <si>
    <t>57220077856;55261189300;39160897200;36693151000;56313008300;57220068877;</t>
  </si>
  <si>
    <t>Being in a caregiver role for a child with autism spectrum disorder (ASD) brings a unique set of stressors and challenges to the entire family unit. This study examined a model hypothesizing that (a) parenting stress and the parenting style used by the parents of a child with ASD are correlated; (b) ASD severity, parenting stress, and parenting style uniquely explain the variance in the presentation of internalizing and externalizing symptoms among children with ASD; and (c) parenting style moderates the association between ASD severity and the presentation of internalizing and externalizing behaviors after controlling for specific demographic variables. A group of online participants were recruited through personal contacts, social media, and Amazon’s Mechanical Turk. The group of subjects, made up of 70 primary caregivers of children ages 3 to 18 years diagnosed with ASD, completed a self-report measure. Statistical analyses revealed that ASD severity and parenting style contributed to externalizing behaviors but did not have a significant impact on internalizing behaviors. Parenting stress was the primary predictor of both internalizing and externalizing child behaviors. Parenting style was not related to the stress level of parents of children with ASD and was not found to moderate the relationship between ASD severity and internalizing and externalizing behaviors. Implications for future research and clinical practice are discussed, highlighting the importance of reducing parenting stress and providing parent training to promote positive parenting styles for children with ASD. © The Author(s) 2020.</t>
  </si>
  <si>
    <t>Clauser P., Ding Y., Chen E.C., Cho S.-J., Wang C., Hwang J.</t>
  </si>
  <si>
    <t>School Psychology International</t>
  </si>
  <si>
    <t>https://www.scopus.com/inward/record.uri?eid=2-s2.0-85096800247&amp;doi=10.1177%2f0143034320971675&amp;partnerID=40&amp;md5=418393b525ebbcf50b614a0a00db6f6b</t>
  </si>
  <si>
    <t>Fordham University, United States; University of Maryland, College Park, United States</t>
  </si>
  <si>
    <t>Clauser, P., Fordham University, United States; Ding, Y., Fordham University, United States; Chen, E.C., Fordham University, United States; Cho, S.-J., Fordham University, United States; Wang, C., University of Maryland, College Park, United States; Hwang, J., Fordham University, United States</t>
  </si>
  <si>
    <t>Ding, Y.; Fordham UniversityUnited States; email: yding4@fordham.edu</t>
  </si>
  <si>
    <t>Predictors of households at risk for food insecurity in the United States during the COVID-19 pandemic</t>
  </si>
  <si>
    <t>10.1017/S1368980021000355</t>
  </si>
  <si>
    <t>57192251604;57221801055;55993177600;6507717503;6701350864;</t>
  </si>
  <si>
    <t>Objective: To examine associations between sociodemographic and mental health characteristics with household risk for food insecurity during the COVID-19 outbreak. Design: Cross-sectional online survey analysed using univariable tests and a multivariable logistic regression model. Setting: The United States during the week of 30 March 2020. Participants: A convenience sample of 1965 American adults using Amazon's Mechanical Turk platform. Participants reporting household food insecurity prior to the pandemic were excluded from analyses. Results: One thousand two hundred and fifty participants reported household food security before the COVID-19 outbreak. Among this subset, 41 % were identified as at risk for food insecurity after COVID-19, 55 % were women and 73 % were white. On a multivariable analysis, race, income, relationship status, living situation, anxiety and depression were significantly associated with an incident risk for food insecurity. Black, Asian and Hispanic/Latino respondents, respondents with an annual income &lt;$100 000 and those living with children or others were significantly more likely to be newly at risk for food insecurity. Individuals at risk for food insecurity were 2·60 (95 % CI 1·91, 3·55) times more likely to screen positively for anxiety and 1·71 (95 % CI 1·21, 2·42) times more likely to screen positively for depression. Conclusions: An increased risk for food insecurity during the COVID-19 pandemic is common, and certain populations are particularly vulnerable. There are strong associations between being at risk for food insecurity and anxiety/depression. Interventions to increase access to healthful foods, especially among minority and low-income individuals, and ease the socioemotional effects of the outbreak are crucial to relieving the economic stress of this pandemic. © 2021 Cambridge University Press. All rights reserved.</t>
  </si>
  <si>
    <t>Faye A.S., Rogers A.M., Woo-Baidal J.A., Ozanne E.M., Hur C.</t>
  </si>
  <si>
    <t>https://www.scopus.com/inward/record.uri?eid=2-s2.0-85100271394&amp;doi=10.1017%2fS1368980021000355&amp;partnerID=40&amp;md5=792b302af0369f1cb5c80a644b2422c2</t>
  </si>
  <si>
    <t>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Division of Pediatric Gastroenterology, Hepatology and Nutrition, Department of Pediatrics, Columbia University, Irving Medical Center, New York, NY, United States; Department of Population Health Sciences, University of Utah, School of Medicine, Salt Lake, UT, United States; Herbert Irving Comprehensive Cancer Center, Columbia University, Irving Medical Center, New York, NY, United States</t>
  </si>
  <si>
    <t>Faye, A.S., Division of Digestive and Liver Diseases, Department of Medicine, Columbia University, Irving Medical Center, New York, NY, United States; Rogers, A.M., Division of General Medicine, Department of Medicine, Columbia University, Irving Medical Center, 622 W 168th St, PH9E-105, New York, NY  10032, United States; Woo-Baidal, J.A., Division of Pediatric Gastroenterology, Hepatology and Nutrition, Department of Pediatrics, Columbia University, Irving Medical Center, New York, NY, United States; Ozanne, E.M., Department of Population Health Sciences, University of Utah, School of Medicine, Salt Lake, UT, United States; Hur, C., 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Herbert Irving Comprehensive Cancer Center, Columbia University, Irving Medical Center, New York, NY, United States</t>
  </si>
  <si>
    <t>Hur, C.; Division of General Medicine, 622 W 168th St, PH9E-105, United States; email: ch447@cumc.columbia.edu</t>
  </si>
  <si>
    <t>Proceedings - 34th Brazilian Symposium on Software Engineering, SBES 2020</t>
  </si>
  <si>
    <t>The proceedings contain 101 papers. The topics discussed include: on the influence of different perspectives on evaluating the quality of teamwork in the context of agile software development; challenges in agile transformation journey - a qualitative study; agile global software development: a systematic literature review; behavior-driven development: an expert panel to evaluate benefits and challenges [insightful ideas and emerging results; adaptations of scrum roles in software projects: survey and representation tentative with feature models; are code smell co-occurrences harmful to internal quality attributes? a mixed-method study; recommending composite refactorings for smell removal: heuristics and evaluation; a catalog of object-relational mapping code smells for java; and probabilistic model-based analysis to improve software energy efficiency.</t>
  </si>
  <si>
    <t>https://www.scopus.com/inward/record.uri?eid=2-s2.0-85123042060&amp;partnerID=40&amp;md5=172eb7e8a9c178c79e2cada96f5c83ad</t>
  </si>
  <si>
    <t>The Edinburgh-Helsinki study: a comparison of dental care for children.</t>
  </si>
  <si>
    <t>7102927402;6508199173;7102559155;6603801250;</t>
  </si>
  <si>
    <t>A comparison was undertaken of dental care for children in Edinburgh and Helsinki. The evaluation centred upon an epidemiological investigation of the dental health of children in the 5-, 12- and 15-year age groups. This was performed by examiners using standardized procedures who were drawn from both countries. They employed an established system of data recording and processing (SPEED). Using these data, and background information from official and other sources, an assessment was made of the effectiveness, adequacy, efficiency and appropriateness of the services. Children's dental health, particularly in the youngest age group, was generally better in Helsinki than in Edinburgh as were both the population coverage and extent to which disease was controlled. However, the services in Edinburgh were marginally the more economically efficient. This arose from their being provided mainly by independent contractors working under a fee per item of service rather than by a public salaried system. In neither city was the delivery of dental services supplemented by water fluoridation nor was extensive use made of auxiliary personnel. The decrease in caries prevalence in recent years has profound implications for the dental services in both countries. It calls for continuing re-appraisal of present policies on expenditure, manpower, dental education and ways of delivering dental care.</t>
  </si>
  <si>
    <t>1985</t>
  </si>
  <si>
    <t>Downer M.C., Nordling H., Blinkhorn A.S., Koistinen A.</t>
  </si>
  <si>
    <t>International dental journal</t>
  </si>
  <si>
    <t>https://www.scopus.com/inward/record.uri?eid=2-s2.0-0022118349&amp;partnerID=40&amp;md5=ff449848870bd5c2e1cf938b091ce1a1</t>
  </si>
  <si>
    <t>Downer, M.C.; Nordling, H.; Blinkhorn, A.S.; Koistinen, A.</t>
  </si>
  <si>
    <t>Downer, M.C.</t>
  </si>
  <si>
    <t>Tort—Negligence—Hospital—Nurses—Servants or Independent Contractors—Duty of Hospital Authority is, so Far as the Professional (as Distinct from the Ministerial) Skill of Nurses is Concerned, Merely to Use Care in their Selection</t>
  </si>
  <si>
    <t>10.1017/S0008197300124043</t>
  </si>
  <si>
    <t>1937</t>
  </si>
  <si>
    <t>The Cambridge Law Journal</t>
  </si>
  <si>
    <t>https://www.scopus.com/inward/record.uri?eid=2-s2.0-84958737072&amp;doi=10.1017%2fS0008197300124043&amp;partnerID=40&amp;md5=0467a28c92abdfd72399af13be2ffce8</t>
  </si>
  <si>
    <t>What types of insomnia relate to anxiety and depressive symptoms in late life?</t>
  </si>
  <si>
    <t>10.1016/j.heliyon.2020.e05315</t>
  </si>
  <si>
    <t>57218526698;36712113800;</t>
  </si>
  <si>
    <t>Background: Symptoms of insomnia are associated with symptoms of depression and anxiety in older adults, yet less is known about the relation of specific forms of insomnia (i.e., onset, maintenance, and terminal insomnia) with these symptoms. This study explored how insomnia types related to symptoms of anxiety and depression in older adults. It was hypothesized that onset and maintenance insomnia would have stronger relations to anxiety and depressive symptoms than terminal insomnia. Methods: One-hundred thirty-three older adults (mean age 69, age range 65–89) were recruited using Amazon's Mechanical Turk. Participants completed the Insomnia Severity Index, Geriatric Depression Scale-Short Form, and Geriatric Anxiety Inventory-Short Form. Results: Regression analyses that controlled for the comorbidity between anxiety and depressive symptoms indicated that onset insomnia was the only independent predictor of anxiety symptoms, and maintenance insomnia was the only independent predictor of depressive symptoms, each of which had medium to large effect sizes. Limitations: Our findings are limited by an online, primarily Caucasian, and non-clinical sample as well as the cross-sectional design of the study. Conclusions: Our findings suggest that despite overlap between symptoms of depression and anxiety, insomnia may have different mechanisms of affecting each disorder. Thus, the type of insomnia is clinically relevant and should be assessed when symptoms of anxiety, depression, and/or sleep difficulties are reported. © 2020 The Author(s)Psychology; Onset insomnia; Maintenance insomnia; Older adults © 2020 The Author(s)</t>
  </si>
  <si>
    <t>Bolstad C.J., Nadorff M.R.</t>
  </si>
  <si>
    <t>Heliyon</t>
  </si>
  <si>
    <t>https://www.scopus.com/inward/record.uri?eid=2-s2.0-85094951409&amp;doi=10.1016%2fj.heliyon.2020.e05315&amp;partnerID=40&amp;md5=39380789fe05542c0e53a4d267a93f31</t>
  </si>
  <si>
    <t>Mississippi State UniversityMississippi State, United States; Department of Psychiatry and Behavioral Sciences, Baylor College of Medicine, Houston, TX, United States</t>
  </si>
  <si>
    <t>Bolstad, C.J., Mississippi State UniversityMississippi State, United States; Nadorff, M.R., Mississippi State UniversityMississippi State, United States, Department of Psychiatry and Behavioral Sciences, Baylor College of Medicine, Houston, TX, United States</t>
  </si>
  <si>
    <t>Bolstad, C.J.; Mississippi State UniversityUnited States; email: cjb905@msstate.edu</t>
  </si>
  <si>
    <t>When Is Enough Enough? Orgasm's Curvilinear Association With Relational and Sexual Satisfaction</t>
  </si>
  <si>
    <t>10.1016/j.jsxm.2020.10.002</t>
  </si>
  <si>
    <t>56008625700;57193579620;7005846234;57220587524;</t>
  </si>
  <si>
    <t>Background: Curvilinearity has been found for sexual frequency, but research has not examined whether curvilinear associations exist for other aspects of sexual relationships like orgasm consistency. Aim: We examined whether there is curvilinearity and the nature of that curvilinearity between orgasm consistency and sexual and relational satisfaction for men and women. Methods: With pooled samples of 1,619 and 1,695 men and women from Amazon's Mechanical Turk, we examined the differences of orgasm consistency values and both sexual satisfaction and relationship satisfaction through analysis of variance. We then tested for curvilinearity between orgasm consistency and sexual and relational satisfaction with regression analyses. Outcomes: For men we found no evidence of a curvilinear relationship, but for women we found a curvilinear relationship between orgasm consistency values and both sexual satisfaction and relationship satisfaction. Results: Across tests, the overall picture suggests that there is no curvilinear association for men, but there is for women. For women, with each unit increase in orgasm consistency, the increase in sexual satisfaction and relationship satisfaction became progressively smaller. Past the 61-80% threshold for orgasm consistency, there was little gain in sexual satisfaction and no gain in relational satisfaction. Clinical Translation: Physicians, therapists, and educators can reorient women's orgasm expectations by explaining that having regular orgasms—not necessarily always—is associated with satisfaction in their relationship and sexual experience. Strengths &amp; Limitations: Converging large samples and data analytic techniques evinced the curvilinear association between orgasm consistency and both relational and sexual satisfaction for women. However, this study is cross-sectional and correlational, which limits the conclusions we can draw from it. Conclusion: While men's orgasm consistency is linearly associated with relational and sexual satisfaction, more consistent orgasms seem to be associated with women's sexual and relational satisfaction, to a point. Leavitt CE, Leonhardt ND, Busby DM, et al. When Is Enough Enough? Orgasm's Curvilinear Association With Relational and Sexual Satisfaction. J Sex Med 2021;18:167–178. © 2020 International Society for Sexual Medicine</t>
  </si>
  <si>
    <t>Leavitt C.E., Leonhardt N.D., Busby D.M., Clarke R.W.</t>
  </si>
  <si>
    <t>Journal of Sexual Medicine</t>
  </si>
  <si>
    <t>https://www.scopus.com/inward/record.uri?eid=2-s2.0-85097433001&amp;doi=10.1016%2fj.jsxm.2020.10.002&amp;partnerID=40&amp;md5=f2b5498e57a47764145ce21d934265f5</t>
  </si>
  <si>
    <t>The School of Family Life, Brigham Young University, Provo, UT, United States; University of Toronto, Toronto, Canada</t>
  </si>
  <si>
    <t>Leavitt, C.E., The School of Family Life, Brigham Young University, Provo, UT, United States; Leonhardt, N.D., University of Toronto, Toronto, Canada; Busby, D.M., The School of Family Life, Brigham Young University, Provo, UT, United States; Clarke, R.W., The School of Family Life, Brigham Young University, Provo, UT, United States</t>
  </si>
  <si>
    <t>Leavitt, C.E.; Brigham Young University, 2054 JFSB, United States; email: Chelom_leavitt@byu.edu</t>
  </si>
  <si>
    <t>Work by app: Algorithmic management and working conditions of Uber drivers in Brazil</t>
  </si>
  <si>
    <t>10.13169/workorgalaboglob.14.1.0101</t>
  </si>
  <si>
    <t>57214717756;57219398842;</t>
  </si>
  <si>
    <t>Aiming to contribute to the understanding of how the relationship between autonomy and control is materialised in 'work by app', this article draws on the results of research conducted in the city of São Paulo, Brazil, with Uber drivers, The research aimed to analyse the management practices in 'app' work. Because this survey was conducted in the global South, we also present some considerations about the Brazilian working-class conformation and the conditions under which work by app is being performed in Brazil. We argue that the algorithmic management made possible by adopting apps across labour processes is consolidating a new form of management, organisation and control of labour power, increasing workers' actual subsumption to capital and radicalising forms of work exploitation and domination. © 2020 Henrique Amorim and Felipe Moda.</t>
  </si>
  <si>
    <t>Amorim H., Moda F.</t>
  </si>
  <si>
    <t>https://www.scopus.com/inward/record.uri?eid=2-s2.0-85092554926&amp;doi=10.13169%2fworkorgalaboglob.14.1.0101&amp;partnerID=40&amp;md5=11987b79685ae81bd7e40084797c3700</t>
  </si>
  <si>
    <t>Sociology, Department of Social Sciences, Brazil; Social Sciences, Federal University of São Paulo (UNIFESP), Brazil</t>
  </si>
  <si>
    <t>Amorim, H., Sociology, Department of Social Sciences, Brazil, Social Sciences, Federal University of São Paulo (UNIFESP), Brazil; Moda, F., Social Sciences, Federal University of São Paulo (UNIFESP), Brazil</t>
  </si>
  <si>
    <t>Working time and digital transition: A complex and ambiguous relationship</t>
  </si>
  <si>
    <t>10.34190/EAIR.20.052</t>
  </si>
  <si>
    <t>57220901470;57213154886;55178492000;</t>
  </si>
  <si>
    <t>The digital transition underway combines different types of technology: digital, physical and biological. These three families of technologies interact, drawing on the progress in artificial intelligence and machine learning, and creating the opportunity of digitalizing all stages of production and services systems. The increase of digital work represents a deep transformation of economy and society, posing huge challenges to companies, employees and policy makers, and therefore to social scientists. In this context, in European countries, working time regulation has become central to employment policies. The guiding principles of working time management are based on three aspects: the conventional definition of working time flexibility; the development of public measures that aim at making the reduction of working hours advantageous; and the adequacy of working time management to the whole of working life. Advances in information and communication technologies that bring high convenience to personal life are also blurring the lines of work-time and personal time, threatening work-life balance. This situation is raising not only important legal issues, but also ethical considerations related to mandatory or unpaid overtime, and the possibility of employer subtle or explicit coercion. Additionally, the ethicality of unconventional shift work and long work-hour schedules is also at stake in issues like the gender-based inequities related to working hours, and employers’ responsibilities for protecting individuals who are not employees from the indirect effects of demanding work schedules, namely affecting the work-family balance. In terms of research methods, after an assessment of the transformations underway, based on literature review and documentary analysis, we will develop a qualitative approach with semi-structured interviews, which will allow to analyse the position of different key actors (employers' and trade union confederations) on long working hours and their effects. © ECIAIR 2020.All right reserved.</t>
  </si>
  <si>
    <t>Rebelo G., Simões E., Salavisa I.</t>
  </si>
  <si>
    <t>Proceedings of the European Conference on the Impact of Artificial Intelligence and Robotics, ECIAIR 2020</t>
  </si>
  <si>
    <t>https://www.scopus.com/inward/record.uri?eid=2-s2.0-85097851852&amp;doi=10.34190%2fEAIR.20.052&amp;partnerID=40&amp;md5=76c2b7fc7e906c11c971a444f24980ef</t>
  </si>
  <si>
    <t>DINAMIA’CET-Iscte, ULHT, Lisboa, Portugal; DINAMIA’CET-Iscte, ISCTE-IUL, Lisboa, Portugal</t>
  </si>
  <si>
    <t>Rebelo, G., DINAMIA’CET-Iscte, ULHT, Lisboa, Portugal; Simões, E., DINAMIA’CET-Iscte, ISCTE-IUL, Lisboa, Portugal; Salavisa, I., DINAMIA’CET-Iscte, ISCTE-IUL, Lisboa, Portugal</t>
  </si>
  <si>
    <t>"How do i know what i have to do?"- The role of the inquiry culture in requirements communication for distributed software development projects</t>
  </si>
  <si>
    <t>17346198200;7007125217;</t>
  </si>
  <si>
    <t>As software specifications for complex systems are practically never 100% complete and consistent, the recipient of the specification needs domain knowledge in order to decide which parts of the system are specified clearly and which parts are specified ambiguously and thus need inquiry to achieve a more detailed specification. In this paper we classify 16 different situations (states) of requirements communication and analyze, based on a state diagram, how a mature inquiry culture can help to initiate transitions from undesirable states into more desirable states. In a case study the inquiry practices of a very large software development organization are shown. Knowledge networks within the organization play an important role in building up a mature inquiry culture.</t>
  </si>
  <si>
    <t>2006</t>
  </si>
  <si>
    <t>Mikulovic V., Heiss M.</t>
  </si>
  <si>
    <t>https://www.scopus.com/inward/record.uri?eid=2-s2.0-34247100283&amp;partnerID=40&amp;md5=26b180e8f9deef660ba4697a88e6cf31</t>
  </si>
  <si>
    <t>Siemens AG Austria, PSE, Austria</t>
  </si>
  <si>
    <t>Mikulovic, V., Siemens AG Austria, PSE, Austria; Heiss, M., Siemens AG Austria, PSE, Austria</t>
  </si>
  <si>
    <t>Mikulovic, V.; Siemens AG Austria, Austria; email: vesna.mikulovic@siemens.com</t>
  </si>
  <si>
    <t>"I'm 13. I'm online. U believe me?": Implications for undercover internet stings</t>
  </si>
  <si>
    <t>10.1037/law0000149</t>
  </si>
  <si>
    <t>35085948500;7004925232;57197843269;57190050197;</t>
  </si>
  <si>
    <t>The extent to which 262 adults, recruited from a U.S. university sample and Amazon's Mechanical Turk, believed the identity of a 13-year-old boy or girl persona in an online chat room was examined. Sixteen undergraduate confederates (aged 19-38) followed 2 basic biographical sketches ("Amber" or "James") and were instructed to "chat like a teenager" in 1-to-1 private chats. Confederates cycled through conditions in which they provided no age or gender information (control), stated age and gender, stated age and gender and provided a picture (attractive or average), or stated grade only. In all but the control condition, participants estimated the average age of their chat partner to be 13 to 14. Meanwhile, when confederates stated their age and gender, 83% to 88% of participants believed the confederate's stated age, and 94% to 98% believed stated gender. When asked about cues used to discern age and gender, most participants (98%) used multiple cues, including stated age and gender, content cues, style cues, and picture. Moreover, natural language analyses showed that confederates used significantly fewer analytic and 6-letter words, and displayed less clout than the adults with whom they chatted, and confederates who used more analytic words were perceived as older. These findings contradict Lincoln and Coyle (2013) and suggest that even confederates who are not specially trained law enforcement agents are able to deceive others about their age and gender in online chat rooms. This has important implications for those conducting undercover Internet stings and those who prosecute those cases. © 2017 American Psychological Association.</t>
  </si>
  <si>
    <t>Drouin M., Egan V., Yergens N., Hernandez E.</t>
  </si>
  <si>
    <t>Psychology, Public Policy, and Law</t>
  </si>
  <si>
    <t>https://www.scopus.com/inward/record.uri?eid=2-s2.0-85035240156&amp;doi=10.1037%2flaw0000149&amp;partnerID=40&amp;md5=53aaaa5ddcdcc8fcaad261a408fd2fe5</t>
  </si>
  <si>
    <t>Department of Psychology, Indiana University-Purdue University Fort Wayne, United States; Centre for Forensic and Family Psychology, Department of Psychiatry and Applied Psychology, University of Nottingham, United Kingdom</t>
  </si>
  <si>
    <t>Drouin, M., Department of Psychology, Indiana University-Purdue University Fort Wayne, United States; Egan, V., Centre for Forensic and Family Psychology, Department of Psychiatry and Applied Psychology, University of Nottingham, United Kingdom; Yergens, N., Department of Psychology, Indiana University-Purdue University Fort Wayne, United States; Hernandez, E., Department of Psychology, Indiana University-Purdue University Fort Wayne, United States</t>
  </si>
  <si>
    <t>Drouin, M.; Department of Psychology, 2101 E. Coliseum Boulevard, United States; email: drouinm@ipfw.edu</t>
  </si>
  <si>
    <t>“Insiders” or “outsiders”?: Adoption, staffing pattern, and HR configuration of temporary agency workers in the Chinese context</t>
  </si>
  <si>
    <t>10.1108/20408001211220557</t>
  </si>
  <si>
    <t>27168556500;57191772390;57191771463;</t>
  </si>
  <si>
    <t>The purpose of this paper is to gain a systematic and comprehensive understanding of deploying temporary agency work (TAW) in China in relation to the adoption, staffing pattern, and human resource (HR) configuration. Based on the literature and theory of strategic human resource management, this inquiry identifies and analyzes three major components in the utilization of temporary agency work (TAW) in Chinese organizations. The paper derives a framework to conceptualize the relationships among strategic vs ad hoc adoption of TAW, separated and mixed staffing patterns, as well as four HR on the utilization of TAW in the Chinese context. This is an initial effort in exploring the phenomenon of TAW in China prior to the enactment of Labor Contract Law. The paper offers a conceptual base for further examining the evolution of TAWs in Chinese organizations. The context-based analysis of TAW's challenges existing frameworks in the Western literature. The resulting framework is an innovative effort for a comprehensive understanding of TAW in China, thus enriches the existing literature. © 2012, Emerald Group Publishing Limited</t>
  </si>
  <si>
    <t>2012</t>
  </si>
  <si>
    <t>Li X., Liu X., Shi B.</t>
  </si>
  <si>
    <t>Journal of Chinese Human Resources Management</t>
  </si>
  <si>
    <t>https://www.scopus.com/inward/record.uri?eid=2-s2.0-84992963168&amp;doi=10.1108%2f20408001211220557&amp;partnerID=40&amp;md5=d71c550ffbf729dd44ff1fe9b33f69b6</t>
  </si>
  <si>
    <t>Business School, Nankai University, Tianjin, China; Tianjin Foreign Enterprises and Experts Service Co., Ltd, Tianjin, China</t>
  </si>
  <si>
    <t>Li, X., Business School, Nankai University, Tianjin, China; Liu, X., Business School, Nankai University, Tianjin, China; Shi, B., Tianjin Foreign Enterprises and Experts Service Co., Ltd, Tianjin, China</t>
  </si>
  <si>
    <t>Li, X.; Business School, , Tianjin, China</t>
  </si>
  <si>
    <t>“Very humble” vs. “Not humble”: What do ratings of fictitious physician profiles with humility descriptors reveal about potential patient preferences and behaviors?</t>
  </si>
  <si>
    <t>10.1016/j.pec.2020.01.021</t>
  </si>
  <si>
    <t>56092652500;57214591800;57214599054;57214602377;</t>
  </si>
  <si>
    <t>Objectives: The current study examined the impact of physician humility on future medical interactions and physician-related outcomes (e.g., patient patronage, loyalty) using a non-patient, community sample. Methods: Participants (N = 417) were recruited online through Amazon Mechanical Turk (mTurk) and paid a nominal fee for their participation. They reviewed randomly assigned fictitious physician profiles that differed in humility (high, low), general effectiveness (high, low), physician gender (male, female), and specialty (family practice, orthopedic surgery). Then they reported their likelihood to trust, adhere to recommendations, and be satisfied with the physician. They also conveyed how likely they would select and recommend this physician to others, and how much out-of-pocket money they would be willing to spend to see the physician. Results: Humble physicians were rated higher than their non-humble counterparts on all five outcomes. For physicians who were generally ineffective, the physicians low in humility scored lower on intended adherence, trust, and anticipated satisfaction than the physicians high in humility. Additionally, for physicians specializing in family practice, physicians low in humility scored lower on anticipated satisfaction and out-of-pocket expenditure than the physicians high in humility. Conclusions: Findings from this study highlight how physician humility can affect the process of care even before it begins. Practice Implications: The study emphasizes the need for deliberate pursuit of humility to improve outcomes for patients and physicians. © 2020 Elsevier B.V.</t>
  </si>
  <si>
    <t>Huynh H.P., Arthur M., Gamboa A., Escamilla E.</t>
  </si>
  <si>
    <t>Patient Education and Counseling</t>
  </si>
  <si>
    <t>https://www.scopus.com/inward/record.uri?eid=2-s2.0-85078826945&amp;doi=10.1016%2fj.pec.2020.01.021&amp;partnerID=40&amp;md5=55e17b2d5d28cef42450c8d31ecce7e3</t>
  </si>
  <si>
    <t>Department of Science and Mathematics, Texas A&amp;M University, San Antonio, United States</t>
  </si>
  <si>
    <t>Huynh, H.P., Department of Science and Mathematics, Texas A&amp;M University, San Antonio, United States; Arthur, M., Department of Science and Mathematics, Texas A&amp;M University, San Antonio, United States; Gamboa, A., Department of Science and Mathematics, Texas A&amp;M University, San Antonio, United States; Escamilla, E., Department of Science and Mathematics, Texas A&amp;M University, San Antonio, United States</t>
  </si>
  <si>
    <t>Huynh, H.P.; One University WayUnited States; email: hhuynh@tamusa.edu</t>
  </si>
  <si>
    <t>11th European Conference on Software Process Improvement, EuroSPI 2004</t>
  </si>
  <si>
    <t>The proceedings contain 18 papers. The special focus in this conference is on Software Process Improvement. The topics include: Reassessing the requirements management process for an offsite customer; global software development project management - distance overcoming; towards comprehensive experience-based decision support; discovering the relation between project factors and project success in post-mortem evaluations; serious insights through fun software-projects; software process improvement in small and medium sized software enterprises in eastern Finland; an experimental replica to validate a set of metrics for software process models; software thinking improvement learning performance improving lessons; the adoption of an electronic process guide in a company with voluntary use; a technique for identifying knowledge flows in software organisations; determining the improvement potential of a software development organization through fault analysis; empirical evaluation of two requirements prioritization methods in product development projects; a comparison of size estimation techniques applied early in the life cycle and model and process for timely progress reporting in use case driven software development.</t>
  </si>
  <si>
    <t>2004</t>
  </si>
  <si>
    <t>https://www.scopus.com/inward/record.uri?eid=2-s2.0-84941247893&amp;partnerID=40&amp;md5=40cf95787beeae09f19f600841d2a2de</t>
  </si>
  <si>
    <t>15th IFIP TC 13 International Conference on Human-Computer Interaction, INTERACT 2015</t>
  </si>
  <si>
    <t>The proceedings contain 43 papers. The special focus in this conference is on HCI for Global Software Development and HCI in Healthcare. The topics include: An interactive approach for inspecting software system measurements; non-response, social exclusion, and false acceptance; task allocation between UX specialists and developers in agile software development projects; breathe with touch; probing the potential of multimedia artefacts to support communication of people with dementia; smartphone-based gait measurement application for exercise and its effects on the lifestyle of senior citizens; swimming the channels; assessing credibility of online restaurant reviews; an empirical investigation of the practices and challenges specific to international user studies; entity-centric visualization of open data; how digital games can improve mindfulness; the affordances of broken affordances; deploying robots in a production environment; finding objects faster in dense environments using a projection augmented robotic arm; analyses of the perceived spatial affordances of hover interaction above tabletop surfaces; in-situ occlusion resolution for hybrid tabletop environments; the design of moving interactive tabletops; navigation in long forms on smartphones; synchronising live second screen applications with TV broadcasts through user feedback; exploring the interaction space for home deployed projector-camera systems; cue now, reflect later; tick that box; towards deeper understanding of user experience with ubiquitous computing systems; a web framework for spontaneous smartphone interaction with ubiquitous displays; wireless smartphone mirroring in video calls and enabling web-based visualization in multi-screen and multi-user environments.</t>
  </si>
  <si>
    <t>https://www.scopus.com/inward/record.uri?eid=2-s2.0-84946013642&amp;partnerID=40&amp;md5=e56292b399f719d48cec4fff4f061fe3</t>
  </si>
  <si>
    <t>16th International Conference on Evaluation and Assessment in Software Engineering, EASE 2012</t>
  </si>
  <si>
    <t>The proceedings contain 36 papers. The topics discussed include: systematic literature reviews in global software development: a tertiary study; preliminary results of a systematic review on requirements evolution; causes of requirement change - a systematic literature review; a systematic mapping study on the open source software development process; a study on risk management for software engineering; an initial evaluation of requirements dependency types in change propagation analysis; a mapping study of the definitions for service oriented architecture; towards an explanatory theory of motivation in software engineering: a qualitative case study of a government organization; maturity of software modelling and model driven engineering: a survey in the Italian industry; evaluation of traceability recovery in context: a taxonomy for information retrieval tools; and the influence of human aspects on software process improvement: qualitative research findings and comparison to previous studies.</t>
  </si>
  <si>
    <t>IET Seminar Digest</t>
  </si>
  <si>
    <t>https://www.scopus.com/inward/record.uri?eid=2-s2.0-84865515235&amp;partnerID=40&amp;md5=1e03d70683268d76ffebdda1bd51e76f</t>
  </si>
  <si>
    <t>2014 International Conference on Software and Systems Process, ICSSP 2014 - Proceedings</t>
  </si>
  <si>
    <t>The proceedings contain 36 papers. The topics discussed include: the status and prospect of process improvements in China; principles for successful systems and software processes; software processes for a changing world; a model for analyzing estimation, productivity, and quality performance in the personal software process; COCOMO II parameters and IDPD: bilateral relevances; initial evaluation of data quality in a TSP software engineering project data repository; towards an understanding of enabling process knowing in global software development: a case study; a case study on software ecosystem characteristics in industrial automation software; software process simulation modeling: preliminary results from an updated systematic review; refactoring planning and practice in agile software development: an empirical study; and agile development with software process mining.</t>
  </si>
  <si>
    <t>2014</t>
  </si>
  <si>
    <t>https://www.scopus.com/inward/record.uri?eid=2-s2.0-84902437051&amp;partnerID=40&amp;md5=ab52d6609a4cdbd8645a4485c5121635</t>
  </si>
  <si>
    <t>2018 International Conference on Computing, Electronic and Electrical Engineering, ICE Cube 2018</t>
  </si>
  <si>
    <t>The proceedings contain 42 papers. The topics discussed include: a learning analytics approach: using online weekly student engagement data to make predictions on student performance; single dimensional generalized kalman filter; on PQ control of BESS in grid-connected mode and frequency control in islanded-mode for micro-grid application; effect of averaging techniques on PCA algorithm and its performance evaluation in face recognition applications; AZ-model of software requirements change management in global software development; effects of interference on device-to-device communication; and investigation of project administration related challenging factors of requirements change management in global software development: a systematic literature review.</t>
  </si>
  <si>
    <t>https://www.scopus.com/inward/record.uri?eid=2-s2.0-85061912167&amp;partnerID=40&amp;md5=f65cfd21ee94ab5bb74efc35c5cc3473</t>
  </si>
  <si>
    <t>24th Australasian Conference on Information Systems 2013</t>
  </si>
  <si>
    <t>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t>
  </si>
  <si>
    <t>Proceedings of the 24th Australasian Conference on Information Systems</t>
  </si>
  <si>
    <t>https://www.scopus.com/inward/record.uri?eid=2-s2.0-84924146900&amp;partnerID=40&amp;md5=25682fa5c2166b65580a5e0d97fb0d6e</t>
  </si>
  <si>
    <t>2DAM-WAVE: An evaluation method for the WAVE capability model</t>
  </si>
  <si>
    <t>10.1109/ICGSE.2012.15</t>
  </si>
  <si>
    <t>55513992200;6701628401;</t>
  </si>
  <si>
    <t>The purpose of this paper is to present the 2DAM-WAVE, an evaluation method that enables organizations to assess their capability in global software development and to discover improvement opportunities. Organizations can be evaluated in two ways, using questionnaires on a web tool, that gives a fast but undetailed result and a more resourceful way, that uses interviews and artifacts analysis for more detailed and extensive results. This evaluation method uses as reference the WAVE capability model, which documents patterns of evolution in the practice of the internal offshoring of software. This evaluation method has been used in a Brazilian unit of a large company and is already scheduled to be applied to an Indian unit of another big company. © 2012 IEEE.</t>
  </si>
  <si>
    <t>Glanzner R.A., Audy J.L.N.</t>
  </si>
  <si>
    <t>https://www.scopus.com/inward/record.uri?eid=2-s2.0-84870657159&amp;doi=10.1109%2fICGSE.2012.15&amp;partnerID=40&amp;md5=c4c19a851d5bdbaf4449e1637f09a3b9</t>
  </si>
  <si>
    <t>Faculdade de Informática (FACIN), Pontifícia Universidade Católica Do Rio Grande Do Sul (PUCRS), Porto Alegre - RS, Brazil</t>
  </si>
  <si>
    <t>Glanzner, R.A., Faculdade de Informática (FACIN), Pontifícia Universidade Católica Do Rio Grande Do Sul (PUCRS), Porto Alegre - RS, Brazil; Audy, J.L.N., Faculdade de Informática (FACIN), Pontifícia Universidade Católica Do Rio Grande Do Sul (PUCRS), Porto Alegre - RS, Brazil</t>
  </si>
  <si>
    <t>Glanzner, R.A.; Faculdade de Informática (FACIN), , Porto Alegre - RS, Brazil; email: rafael.glanzner@acad.pucrs.br</t>
  </si>
  <si>
    <t>30th International Conference on Software Engineering, ICSE 2008 Co-located Workshops - Proceedings of the 3rd International Workshop on Sharing and Reusing Architectural Knowledge, SHARK 2008</t>
  </si>
  <si>
    <t>The proceedings contain 14 papers. The topics discussed include: SOA process decisions: new challenges in architectural knowledge modeling; architecting as decision making with patterns and primitives; software pre-patterns as architectural knowledge; towards architectural knowledge management practices for global software development; evolution styles to the rescue of architectural evolution knowledge; exploiting connector knowledge to efficiently disseminate highly voluminous data sets; multi-tiered designed rationale for change set based product line architectures; the application of knowledge-sharing workspace paradigm for software architecture processes; reference architecture knowledge representation; leveraging analysis-aided design decision knowledge in UML-based development of embedded systems; a value-based approach for document design decisions rationale: a replicate experiment; and an ontology-driven software architecture evaluation method.</t>
  </si>
  <si>
    <t>https://www.scopus.com/inward/record.uri?eid=2-s2.0-79959440177&amp;partnerID=40&amp;md5=19e5ed0935b37d268a4f83f0caa0e0c9</t>
  </si>
  <si>
    <t>31st International Convention Proceedings: Computers in Education</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</si>
  <si>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t>
  </si>
  <si>
    <t>MIPRO 2008 - 31st International Convention Proceedings: Computers in Education</t>
  </si>
  <si>
    <t>https://www.scopus.com/inward/record.uri?eid=2-s2.0-84897596642&amp;partnerID=40&amp;md5=87dd8cb2cc8ba7e8e9a26fe2bf341e21</t>
  </si>
  <si>
    <t>31st International Convention Proceedings: Computers in Technical Systems and Intelligent Systems</t>
  </si>
  <si>
    <t>MIPRO 2008 - 31st International Convention Proceedings: Computers in Technical Systems and Intelligent Systems</t>
  </si>
  <si>
    <t>https://www.scopus.com/inward/record.uri?eid=2-s2.0-84897617498&amp;partnerID=40&amp;md5=4e0fbf53ac22a429c625362b5a839661</t>
  </si>
  <si>
    <t>31st International Convention Proceedings: Digital Economy 5th ALADIN, Information Systems Security, Business Intelligence Systems, Local Government and Student Papers</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</si>
  <si>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t>
  </si>
  <si>
    <t>MIPRO 2008 - 31st International Convention Proceedings: Digital Economy - 5th ALADIN, Information Systems Security, Business Intelligence Systems, Local Government and Student Papers</t>
  </si>
  <si>
    <t>https://www.scopus.com/inward/record.uri?eid=2-s2.0-84897600446&amp;partnerID=40&amp;md5=92792503db6c4b72d853edf88e587377</t>
  </si>
  <si>
    <t>31st International Convention Proceedings: Microelectronics, Electronics and Electronic Technology, MEET and Grid and Visualizations Systems, GVS 2008</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</si>
  <si>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 web 2.0 technologies in university education.</t>
  </si>
  <si>
    <t>MIPRO 2008 - 31st International Convention Proceedings: Microelectronics, Electronics and Electronic Technology, MEET and Grid and Visualizations Systems, GVS</t>
  </si>
  <si>
    <t>https://www.scopus.com/inward/record.uri?eid=2-s2.0-84897668706&amp;partnerID=40&amp;md5=2dd0573e8727131cf5558d81d37e5cd2</t>
  </si>
  <si>
    <t>31st International Convention Proceedings: Telecommunications and Information</t>
  </si>
  <si>
    <t>MIPRO 2008 - 31st International Convention Proceedings: Telecommunications and Information</t>
  </si>
  <si>
    <t>https://www.scopus.com/inward/record.uri?eid=2-s2.0-84897588099&amp;partnerID=40&amp;md5=4019f867ac1d6ebb20f6167620aaa7be</t>
  </si>
  <si>
    <t>3M thermal oxidizer VOC destruction efficiency testing experiences- The case against EPA method 25 and for method 25A</t>
  </si>
  <si>
    <t>25641733000;36538314400;36537485200;</t>
  </si>
  <si>
    <t>When testing for thermal oxidizer (TO) destruction efficiency (DE) of organic compounds, EPA regulations require the use of EPA Method 25, whenever the TO exhaust contains more than 50 ppm as carbon. The stated justification is concern over the flame ionization analyzer (FIA) response factors with Method 25A, due to the likelihood that the TO exhaust contains different organic compounds than the inlet. For capture testing under EPA Method 204, similar reasoning led to the specification for the use of the FIA, since essentially the same solvents are emitted from all the coating bay exhausts. To demonstrate compliance with the Paper and Other Web MACT (NESHAP 40 CFR Part 63 Subpart JJJJ), 3M independent contractors recently completed capture efficiency testing at US coating plants, totaling 27 coating bays and DE retesting on 26 associated thermal oxidizers. Almost always, since the TO exhaust carbon levels were unknown, 3M paid the testing consultants to provide both Method 25 and 25A equipment and the extra personnel to perform both test procedures simultaneously. This added up to $11,000 per TO DE test, when sampling was also done with Method 25. Even if not used, part of the cost for the Method 25 equipment still had to be paid, since it was leased and the cost of any extra personnel. All the testing consultants used by 3M had their own Method 25A equipment. Once the contractor had his equipment set-up on site, the TO exhausts were checked for ppm carbon at the lowest allowable combustion chamber operating temperature. With the outlet information in hand, a decision was then made whether to use one or both test methods. This decision was also based on the type of TO. Almost all new installed 3M TO(s) are the regenerative type (RTO). For an RTO, as long as the exhaust CO ppm is relatively low, the outlet compounds are generally the same as the inlet. This is due to incomplete chamber flushing and/or valve leakage, since the low CO level indicates that those organic compounds exposed to the combustion chamber were destroyed. The valve switches show up on the FIA as a ppm spike in the exhaust VOC concentration with height of the spike dependent upon the completeness of the flushing of the prior inlet chamber. For RTO(s), only Method 25A was used when the between spike, average exhaust VOC concentration carbon was less than 50 ppm carbon and the ppm CO was likewise less than 50. For different reasons, a case could also be made for the use of Method 25A on other types of TO(s), provided the DE is relatively high, i.e., greater than 97%. The real time advantage of the FIA and its equivalent results, when coupled with the contamination problem with Method 25 cold traps, its increased sampling time, and the additional manpower requirements, all combine to make Method 25A the preferred test for TO DE testing.</t>
  </si>
  <si>
    <t>2007</t>
  </si>
  <si>
    <t>Osborne J.M., Zappia G., Mwangi J.</t>
  </si>
  <si>
    <t>A and WM, Annual International Conference on Incineration and Thermal Treatment Technologies, IT3</t>
  </si>
  <si>
    <t>https://www.scopus.com/inward/record.uri?eid=2-s2.0-77956795442&amp;partnerID=40&amp;md5=a4f8fd37be6d2292b47b827ccc2f8cee</t>
  </si>
  <si>
    <t>3M Environmental, Health and Safety Operations, Building 42-02-E-27, 900 Bush Avenue, St. Paul, MN 55106, United States</t>
  </si>
  <si>
    <t>Osborne, J.M., 3M Environmental, Health and Safety Operations, Building 42-02-E-27, 900 Bush Avenue, St. Paul, MN 55106, United States; Zappia, G., 3M Environmental, Health and Safety Operations, Building 42-02-E-27, 900 Bush Avenue, St. Paul, MN 55106, United States; Mwangi, J., 3M Environmental, Health and Safety Operations, Building 42-02-E-27, 900 Bush Avenue, St. Paul, MN 55106, United States</t>
  </si>
  <si>
    <t>Osborne, J. M.; 3M Environmental, Health and Safety Operations, 900 Bush Avenue, St. Paul, MN 55106, United States</t>
  </si>
  <si>
    <t>3rd International Conference on Software Product Lines, SPLC 2004</t>
  </si>
  <si>
    <t>The proceedings contain 42 papers. The special focus in this conference is on Software Product Lines. The topics include: Governing software product lines and reorganizations; introducing PLA at Bosch gasoline systems; four mechanisms for adaptable systems; automatic generation of program families by model restrictions; dynamic configuration of software product lines in archjava; practical evaluation of software product family architectures; on the development of software product-family components; experiences in software product families; problems and issues during product derivation; a feature-based approach to product line production planning; a framework for modeling variability in software product families; observations from the recovery of a software product family; generalized release planning for product line architectures; a methodology for the derivation and verification of use cases for product lines; staged configuration using feature models; scenario-based decision making for architectural variability in product families; assembling applications with patterns, models, frameworks, and tools; avoiding, surviving, and prevailing over pitfalls in product line engineering; industrial-strength software product line engineering; quality assurance for software product lines; product line architectures for global software development; designing software product lines with the unified modeling language; an introduction to software product lines; using domain-specific languages, patterns, frameworks, and tools to assemble applications; workshop on software product line testing; workshop on modeling business issues of software product lines and workshop on quality assurance in reuse contexts.</t>
  </si>
  <si>
    <t>https://www.scopus.com/inward/record.uri?eid=2-s2.0-84947287442&amp;partnerID=40&amp;md5=e35f90da1aeb04646f3856e327ad1889</t>
  </si>
  <si>
    <t>4th International Conference on Recent Developments in Science, Engineering and Technology, REDSET 2017</t>
  </si>
  <si>
    <t>The proceedings contain 54 papers. The special focus in this conference is on Recent Developments in Science, Engineering and Technology. The topics include: Facial expression recognition for motor impaired users; Document oriented NoSQL databases: An empirical study; a survey of techniques used in processing and mining of medical images; Weighted fuzzy KNN optimized by simulated annealing for classification of large data: A new approach to skin detection; comparative analysis of edge detection techniques for medical images of different body parts; classifier dependent dimensionality reduction for resource restricted environments; improving road safety in India using data mining techniques; an analytical study to find the major factors behind the great smog of Delhi, 2016: Using fundamental data sciences; effects of partial dependency of features and feature selection procedure over the plant leaf image classification; performance analysis of machine learning techniques on big data using apache spark; performance measure based segmentation techniques for skin cancer detection; effectiveness of region growing based segmentation technique for various medical images - A study; biomedical image enhancement using different techniques - A comparative study; using variant directional dis(similarity) measures for the task of textual entailment; image enhancement of lemon grasses using image processing techniques (histogram equalization); unit testing in global software development environment; comparative analysis of different load balancing algorithm using cloud analyst; Performance analysis of QoS parameters during vertical handover process between Wi-Fi and WiMAX networks; Improving the performance of monostatic pulse RADAR by changing waveform design using MATLAB; Analysis of COCOMO and UCP.</t>
  </si>
  <si>
    <t>Communications in Computer and Information Science</t>
  </si>
  <si>
    <t>https://www.scopus.com/inward/record.uri?eid=2-s2.0-85044025886&amp;partnerID=40&amp;md5=4487ff1f5a783152f90048cb6c37de58</t>
  </si>
  <si>
    <t>6th International Conference on Innovations in Bio-Inspired Computing and Applications, IBICA 2015</t>
  </si>
  <si>
    <t>The proceedings contain 51 papers. The special focus in this conference is on Innovations in Bio-Inspired Computing and Applications. The topics include: Multiset genetic algorithm approach to grid resource allocation; secure cloud multi-tenant applications with cache in PaaS; intelligent analysis of socio inspired cohorts for plagiarism; mechanism of fuzzy ARMS on chemical reaction; the power of hybridity and context free in HP system; enhanced bee colony algorithm for efficient load balancing and scheduling in cloud; robust optimized artificial neural network based PEM fuelcell voltage tracking; gravitational search algorithm to solve open vehicle routing problem; a model on intrusion response system based on biologically inspired response mechanism in plants; particle swarm optimization method based consistency checking in UML class and activity diagrams; data centric text processing using mapreduce; ensemble of flexible neural trees for predicting risk in grid computing environment; a novel approach for malicious node detection in MANET; improving the productivity in global software development; prediction of heart disease using random forest and feature subset selection; software requirement elicitation using natural language processing; application of hexagonal coordinate systems for searching the K-NN in 2D space; locality aware mapreduce; hybrid feature selection using correlation coefficient and particle swarm optimization on microarray gene expression data; resource aware adaptive scheduler for heterogeneous workload with task based job sampling; generating picture arrays based on grammar systems with flat splicing operation and identification of multimodal human-robot interaction using combined kernels.</t>
  </si>
  <si>
    <t>https://www.scopus.com/inward/record.uri?eid=2-s2.0-84952051309&amp;partnerID=40&amp;md5=dec1ea6b4da4e463289301813af6c3d2</t>
  </si>
  <si>
    <t>6th International Conference on Software Business, ICSOB 2015</t>
  </si>
  <si>
    <t>The proceedings contain 24 papers. The special focus in this conference is on Software Business. The topics include: The benefits and consequences of workarounds in software development projects; exploring network modelling and strategy in the Dutch software business ecosystem; a survey on the perception of innovation in a large product-focused software organization; ecosystems and open innovation for embedded systems; assessing the value blueprint to support the design of a business ecosystem; effects of technological change on acquisition behavior; hitting the target: practices for moving toward innovation experiment systems; communication in firm-internal global software development with china; a conceptual model for combining qualitative customer feedback with quantitative customer observation; business model patterns for the connected car and the example of data orchestrator; development of a method for the economic evaluation of predictive maintenance; internationalization and export of software products and software engineering knowledge areas in startup companies.</t>
  </si>
  <si>
    <t>https://www.scopus.com/inward/record.uri?eid=2-s2.0-84937393313&amp;partnerID=40&amp;md5=05aac7151eba97e3d0ee8233379f25f0</t>
  </si>
  <si>
    <t>7th IEEE/IFIP Working Conference on Software Architecture, WICSA 2008</t>
  </si>
  <si>
    <t>The proceedings contain 43 papers. The topics discussed include: an economics-driven approach for valuing scalability in distributed architectures; efficient quality impact analyses for iterative architecture construction; media player software in a system of subsystems; interplay of architecture, business goals, and current technology in the evolution of call center systems; coordination implications of software architecture in a global software development project; a just-in-time architectural knowledge sharing portal; combining pattern languages and reusable architectural decision models into a comprehensive and comprehensible design method; introducing recovery style for modeling and analyzing system recovery; supporting the evolution of product line architectures with variability model fragments; and towards a formal model for reconfigurable software architectures by bigraphs.</t>
  </si>
  <si>
    <t>https://www.scopus.com/inward/record.uri?eid=2-s2.0-49949088935&amp;partnerID=40&amp;md5=e1a6a22f79922356c9e2f950f64ad8c3</t>
  </si>
  <si>
    <t>A “circuits of power”-based perspective on algorithmic management and labour in the gig economy [Algorithmisches Management und Arbeitsbeziehungen in der Plattformökonomie – Eine „Circuits of Power”-Perspektive]</t>
  </si>
  <si>
    <t>10.3224/indbez.v27i2.05</t>
  </si>
  <si>
    <t>57195327354;7006328820;</t>
  </si>
  <si>
    <t>The bulk of contributions on digital business so far provide mainly descriptive analyses when it comes to the study of power-related phenomena within the gig economy. We particularly lack systematic, integrative studies which focus on interdependencies of power relations, labour conditions and business model efficiency, based on robust theoretical approaches which capture meso-level structures and micro-level dynamics of power simultaneously. Our conceptual paper addresses this gap by investigating power relations in platform arrangements, based on the framework of “circuits of power”. We use the case of the ridesharing platform Uber, which has caused debates in and beyond academia to illustrate how this framework, combined with concepts from labour process theory, behavioural economics and micro-politics, can be applied for a systematic analysis of the diversified portfolio of power-related control and influence mechanisms that are embedded in platforms’ software infrastructures. Departing from this, we examine how our approach can inform future research focused on assessing specific forms of management, organisation and work in the wider gig economy. Our discussion concentrates on a) the classification and comparison of heterogeneous forms of gig work; b) the assessment of labour-related problems; and c) power-related organisational dynamics or inertia in such settings. The latter point is related to the central question of why employee voice and resistance are rare in certain gig-work arrangements. © 2020, Verlag Barbara Budrich. All rights reserved.</t>
  </si>
  <si>
    <t>Pastuh D., Geppert M.</t>
  </si>
  <si>
    <t>Industrielle Beziehungen</t>
  </si>
  <si>
    <t>https://www.scopus.com/inward/record.uri?eid=2-s2.0-85084849106&amp;doi=10.3224%2findbez.v27i2.05&amp;partnerID=40&amp;md5=6886f76c57ccc97903d83ded2fee1bf6</t>
  </si>
  <si>
    <t>Friedrich-Schiller-Universität Jena, Lehrstuhl für Strategisches und Internationales Management, Carl-Zeiss-Str. 3, Jena, D-07743, Germany</t>
  </si>
  <si>
    <t>Pastuh, D., Friedrich-Schiller-Universität Jena, Lehrstuhl für Strategisches und Internationales Management, Carl-Zeiss-Str. 3, Jena, D-07743, Germany; Geppert, M., Friedrich-Schiller-Universität Jena, Lehrstuhl für Strategisches und Internationales Management, Carl-Zeiss-Str. 3, Jena, D-07743, Germany</t>
  </si>
  <si>
    <t>Geppert, M.; Friedrich-Schiller-Universität Jena, Carl-Zeiss-Str. 3, Germany; email: geppert@uni-jena.de</t>
  </si>
  <si>
    <t>A call for cross-campus collaboration in executive education: Reflections on the certificate in innovation management program at the university of Maryland</t>
  </si>
  <si>
    <t>35549933500;6602786229;</t>
  </si>
  <si>
    <t>The education and development of executives and professionals is an increasingly dynamic market with an expanding variety of suppliers and customers. With in-house corporate training, consulting firms, and independent contractors all vying for the market, university-based programs are uniquely positioned to share a substantial stake of the $50 billion training market in the U.S. and the $500 million earned by the top 10 providers of executive education custom and open enrollment programs.1 Whether the aim for universities is to generate funds for faculty research or program development, or to contribute to the economic competitiveness of their region by serving professionals in their communities of interest, this time of contracted budgets and saturated executive education markets calls for innovative approaches to educating executives and professionals.2 Based on our experiences in the development and management of the Certificate in Innovation Management (CIM) Program at the University of Maryland, we report here on the opportunities and challenges of launching and managing a new executive education program in a crowded market with limited resources and competing priorities. We draw implications from these experiences and analyses to identify areas of best practice and potential pitfalls. This paper also helps existing providers of executive education with new insights and perspectives to improve program efficiency and effectiveness, and benefits new entrants into executive education who have the desire, but not the resources, to singularly launch and manage an executive education program. © American Society for Engineering Education, 2009.</t>
  </si>
  <si>
    <t>Green J., Frels J.</t>
  </si>
  <si>
    <t>ASEE Annual Conference and Exposition, Conference Proceedings</t>
  </si>
  <si>
    <t>https://www.scopus.com/inward/record.uri?eid=2-s2.0-85029067163&amp;partnerID=40&amp;md5=214544a9388c029ae2cc52f804c72be5</t>
  </si>
  <si>
    <t>Department of the Award-Winning, Hinman Campus Entrepreneurship Opportunities (Hinman CEOs), University of Maryland, United States; University of Maryland, United States</t>
  </si>
  <si>
    <t>Green, J., Department of the Award-Winning, Hinman Campus Entrepreneurship Opportunities (Hinman CEOs), University of Maryland, United States; Frels, J., University of Maryland, United States</t>
  </si>
  <si>
    <t>Green, J.; Department of the Award-Winning, United States</t>
  </si>
  <si>
    <t>A case study of globally distributed software development with A-SQUARE project</t>
  </si>
  <si>
    <t>10.1109/ICIS.2012.3</t>
  </si>
  <si>
    <t>55317293300;23389562900;</t>
  </si>
  <si>
    <t>Since a group of people have to work together, software development is a complex activity. In the case of globally distributed software development (GDSD), in which people separated over different locations of the world develop software together, the complexity dramatically increases due to the geographical, temporal, and sociocultural distance. In this paper, we identify and analyze from a case study various problems that people can encounter while working in a GDSD setting. We also describe the strategies that we used to solve those problems and evaluate their effectiveness. © 2012 IEEE.</t>
  </si>
  <si>
    <t>Park T., Kang S.</t>
  </si>
  <si>
    <t>Proceedings - 2012 IEEE/ACIS 11th International Conference on Computer and Information Science, ICIS 2012</t>
  </si>
  <si>
    <t>https://www.scopus.com/inward/record.uri?eid=2-s2.0-84864064756&amp;doi=10.1109%2fICIS.2012.3&amp;partnerID=40&amp;md5=38b6ebd5cc2629441a39721a77956a3f</t>
  </si>
  <si>
    <t>College of Information Science and Technology, KAIST, Daejeon, South Korea; Department of Computer Science, KAIST, Daejeon, South Korea</t>
  </si>
  <si>
    <t>Park, T., College of Information Science and Technology, KAIST, Daejeon, South Korea; Kang, S., Department of Computer Science, KAIST, Daejeon, South Korea</t>
  </si>
  <si>
    <t>Park, T.; College of Information Science and Technology, , Daejeon, South Korea; email: tpark@kaist.ac.kr</t>
  </si>
  <si>
    <t>A collection of conversational AAC-like communications</t>
  </si>
  <si>
    <t>10.1145/2513383.2513388</t>
  </si>
  <si>
    <t>24345666900;</t>
  </si>
  <si>
    <t>We contribute a public test set of everyday conversational communications. The communications were written in response to ten hypothetical situations given to workers on the crowdsourcing site Amazon Mechanical Turk. After quality control, our public dataset consists of 1,506 unique communications. These communications can be used to help design and evaluate text-based predictive communication aids. The collection also provides a common public test set for research into predictive conversational text entry.</t>
  </si>
  <si>
    <t>Vertanen K.</t>
  </si>
  <si>
    <t>Proceedings of the 15th International ACM SIGACCESS Conference on Computers and Accessibility, ASSETS 2013</t>
  </si>
  <si>
    <t>https://www.scopus.com/inward/record.uri?eid=2-s2.0-84887495007&amp;doi=10.1145%2f2513383.2513388&amp;partnerID=40&amp;md5=86c952269a338b963a5a0c2eb568ecd3</t>
  </si>
  <si>
    <t>Montana Tech, Butte, MT, United States</t>
  </si>
  <si>
    <t>Vertanen, K., Montana Tech, Butte, MT, United States</t>
  </si>
  <si>
    <t>Vertanen, K.; Montana Tech, Butte, MT, United States; email: kvertanen@mtech.edu</t>
  </si>
  <si>
    <t>A comparison of neural network methods for accurate sentiment analysis of stock market tweets</t>
  </si>
  <si>
    <t>10.1007/978-3-030-13463-1_4</t>
  </si>
  <si>
    <t>57207982393;57195679326;57207997432;6602079921;6603116034;</t>
  </si>
  <si>
    <t>Sentiment analysis of Twitter messages is a challenging task because they contain limited contextual information. Despite the popularity and significance of this task for financial institutions, models being used still lack high accuracy. Also, most of these models are not built specifically on stock market data. Therefore, there is still a need for a highly accurate model of sentiment classification that is specifically tuned and trained for stock market data. Facing the lack of a publicly available Twitter dataset that is labeled with positive or negative sentiments, in this paper, we first introduce a dataset of 11,000 stock market tweets. This dataset was labeled manually using Amazon Mechanical Turk. Then, we report a thorough comparison of various neural network models against different baselines. We find that when using a balanced dataset of positive and negative tweets, and a unique pre-processing technique, a shallow CNN achieves the best error rate, while a shallow LSTM, with a higher number of cells, achieves the highest accuracy of 92.7% compared to baseline of 79.9% using SVM. Building on this substantial improvement in the sentiment analysis of stock market tweets, we expect to see a similar improvement in any research that investigates the relationship between social media and various aspects of finance, such as stock market prices, perceived trust in companies, and the assessment of brand value. The dataset and the software are publicly available. In our final analysis, we used the LSTM model to assign sentiment to three years of stock market tweets. Then, we applied Granger Causality in different intervals to sentiments and stock market returns to analyze the impact of social media on stock market and visa versa. © Springer Nature Switzerland AG 2019.</t>
  </si>
  <si>
    <t>Tabari N., Seyeditabari A., Peddi T., Hadzikadic M., Zadrozny W.</t>
  </si>
  <si>
    <t>https://www.scopus.com/inward/record.uri?eid=2-s2.0-85063466060&amp;doi=10.1007%2f978-3-030-13463-1_4&amp;partnerID=40&amp;md5=39c20366a0d2662c2e5bc2484e8090d9</t>
  </si>
  <si>
    <t>University of North Carolina at Charlotte, Charlotte, NC, United States</t>
  </si>
  <si>
    <t>Tabari, N., University of North Carolina at Charlotte, Charlotte, NC, United States; Seyeditabari, A., University of North Carolina at Charlotte, Charlotte, NC, United States; Peddi, T., University of North Carolina at Charlotte, Charlotte, NC, United States; Hadzikadic, M., University of North Carolina at Charlotte, Charlotte, NC, United States; Zadrozny, W., University of North Carolina at Charlotte, Charlotte, NC, United States</t>
  </si>
  <si>
    <t>Tabari, N.; University of North Carolina at CharlotteUnited States; email: nseyedit@uncc.edu</t>
  </si>
  <si>
    <t>A decision support system for global team management: Expert evaluation</t>
  </si>
  <si>
    <t>10.1109/ICGSEW.2012.14</t>
  </si>
  <si>
    <t>6505937694;36185022700;56257636100;</t>
  </si>
  <si>
    <t>Context: The literature is rich in examples of both successful and failed global software development projects. However, practitioners do not have the time to wade through the many recommendations to work out which ones apply to them. To this end, we developed a prototype Decision Support System (DSS) for Global Teaming (GT), with the goal of making research results available to practitioners. Aims: We want the system we build to be based on the real needs of practitioners: the end users of our system. Therefore the aim of this study is to assess the usefulness and usability of our proof-of-concept in order to create a tool that is actually used by practitioners. Method: Twelve experts in GSD evaluated our system. Each individual participant tested the system and completed a short usability questionnaire. Results: Feedback on the prototype DSS was positive. All experts supported the concept, although many suggested areas that could be improved. Both expert practitioners and researchers participated, providing different perspectives on what we need to do to improve the system. Conclusion: Involving both practitioners (users) and researchers in the evaluation elicited a range of useful feedback, providing useful insights that might not have emerged had we focused on one or the other group. However, even when we implement recommended changes, we still need to persuade practitioner to adopt the new tool. © 2012 IEEE.</t>
  </si>
  <si>
    <t>Beecham S., Carroll N., Noll J.</t>
  </si>
  <si>
    <t>Proceedings - 2012 IEEE 7th International Conference on Global Software Engineering Workshops, ICGSEW 2012</t>
  </si>
  <si>
    <t>https://www.scopus.com/inward/record.uri?eid=2-s2.0-84870662811&amp;doi=10.1109%2fICGSEW.2012.14&amp;partnerID=40&amp;md5=6a0194295a8a16cc8454d14c3a91bc28</t>
  </si>
  <si>
    <t>Lero, Irish Software Engineering, Research Centre, Ireland</t>
  </si>
  <si>
    <t>Beecham, S., Lero, Irish Software Engineering, Research Centre, Ireland; Carroll, N., Lero, Irish Software Engineering, Research Centre, Ireland; Noll, J., Lero, Irish Software Engineering, Research Centre, Ireland</t>
  </si>
  <si>
    <t>Beecham, S.; Lero, Ireland; email: sarah.beecham@lero.ie</t>
  </si>
  <si>
    <t>A deep ranking model for spatio-temporal highlight detection from a 360 ◦ video</t>
  </si>
  <si>
    <t>57201326268;56097726300;57205548691;57205541237;55685918100;</t>
  </si>
  <si>
    <t>We address the problem of highlight detection from a 360 ◦ video by summarizing it both spatially and temporally. Given a long 360 ◦ video, we spatially select pleasantly-looking normal field-of-view (NFOV) segments from unlimited field of views (FOV) of the 360 ◦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 videos. Copyright © 2018, Association for the Advancement of Artificial Intelligence (www.aaai.org). All rights reserved.</t>
  </si>
  <si>
    <t>Yu Y., Lee S., Na J., Kang J., Kim G.</t>
  </si>
  <si>
    <t>32nd AAAI Conference on Artificial Intelligence, AAAI 2018</t>
  </si>
  <si>
    <t>https://www.scopus.com/inward/record.uri?eid=2-s2.0-85060481496&amp;partnerID=40&amp;md5=6ca8aced8d85884cc2fc1c9baa46b9bc</t>
  </si>
  <si>
    <t>Seoul National University, South Korea</t>
  </si>
  <si>
    <t>Yu, Y., Seoul National University, South Korea; Lee, S., Seoul National University, South Korea; Na, J., Seoul National University, South Korea; Kang, J., Seoul National University, South Korea; Kim, G., Seoul National University, South Korea</t>
  </si>
  <si>
    <t>A dynamic life-cycle model for the provisioning of software testing services: Experiences from a case study in the Chinese ICT sourcing market</t>
  </si>
  <si>
    <t>37048744100;6603112374;</t>
  </si>
  <si>
    <t>ICT-enabled international sourcing of software-intensive systems and services (eSourcing) is a powerful strategy for managing businesses more effectively. China is becoming a superpower for eSourcing service provisioning, but most Chinese providers are small or medium-sized and leverage the mediated eSourcing model, delivering services to foreign ICT clients that interface with end-clients onshore. This model restricts the providers to low-value projects. This paper probes eSourcing of software testing services within the Chinese market. Testing is studied for two reasons. First, testing is one of the best ICT services, small- and medium-sized providers can provide to develop domain and technological knowledge required to transcend the limitations of the mediated sourcing model. Second, high software quality is paramount as software has become ubiquitous. This paper draws upon a literature review and a case study to create and validate a life-cycle model for testing that helps providers develop the capabilities for overcoming the limitations of mediated sourcing. The class of integrated requirements, test, and defect management systems is found to be the most important class of information systems for enabling the life-cycle.</t>
  </si>
  <si>
    <t>Lu Y., Käkölä T.</t>
  </si>
  <si>
    <t>19th European Conference on Information Systems, ECIS 2011</t>
  </si>
  <si>
    <t>https://www.scopus.com/inward/record.uri?eid=2-s2.0-84870651957&amp;partnerID=40&amp;md5=bfb0e1e92779b40f545853ed3ee12ed7</t>
  </si>
  <si>
    <t>University of Jyväskylä, Finland</t>
  </si>
  <si>
    <t>Lu, Y., University of Jyväskylä, Finland; Käkölä, T., University of Jyväskylä, Finland</t>
  </si>
  <si>
    <t>Lu, Y.; University of JyväskyläFinland; email: yikun.y.lu@jyu.fi</t>
  </si>
  <si>
    <t>A factor analytic investigation of the Barkley deficits in executive functioning scale, short form</t>
  </si>
  <si>
    <t>10.1007/s12144-020-00756-7</t>
  </si>
  <si>
    <t>57192654870;57200960551;57192014249;</t>
  </si>
  <si>
    <t>Executive functioning is a multidimensional construct measured in various ways. Despite the widespread utilization of the Barkley Deficits in Executive Functioning Scale, Short Form (BDEFS-SF), factor analytic work on the measure is scarce, and limited work has investigated its latent factor structure in a sample of English-speaking, American adults. The present study sought to address this gap in the literature by using exploratory and confirmatory factor analyses (EFA and CFA). Four-hundred thirty-four (434) individuals (M age = 37.9) participated online via Amazon’s Mechanical Turk as part of a larger cross-sectional, survey-based study and completed the BDEFS-SF. The sample was randomly split to conduct EFAs and CFAs. Results from EFAs revealed that structures with one (executive dysfunction), two (behavioral/emotional and cognitive), and five (self-motivation, self-restraint, self-management to time, self-organization/problem solving, and self-regulation of emotion) factors accounted for 60.5%, 67.4%, and 81.0% of the variance, respectively, with each providing logical patterns of factor loadings. CFAs revealed that each factor structure demonstrated good-to-excellent fit (goodness of fit indices ranged from.99 to 1.00). However, statistical comparison of the models via χ2-difference tests revealed that the five-factor model described by the BDEFS-SF’s author provided statistically significantly improved fit (ps &amp;lt;.001) over both the one- and two-factor models identified via EFAs. It is likely that the BDEFS-SF broadly mirrors the five-factor dimensionality described by its author and seen in its longer, parent scale, although continued study is needed to further verify and/or challenge this conclusion. Limitations of the present paper and directions of future inquir are discussed. © 2020, Springer Science+Business Media, LLC, part of Springer Nature.</t>
  </si>
  <si>
    <t>Lace J.W., McGrath A., Merz Z.C.</t>
  </si>
  <si>
    <t>https://www.scopus.com/inward/record.uri?eid=2-s2.0-85084125472&amp;doi=10.1007%2fs12144-020-00756-7&amp;partnerID=40&amp;md5=93881941ad4df377a4a875867b70db71</t>
  </si>
  <si>
    <t>Department of Psychology, Saint Louis University, St. Louis, MO, United States; Department of Physical Medicine and Rehabilitation, University of North Carolina, Chapel Hill, NC, United States</t>
  </si>
  <si>
    <t>Lace, J.W., Department of Psychology, Saint Louis University, St. Louis, MO, United States; McGrath, A., Department of Psychology, Saint Louis University, St. Louis, MO, United States; Merz, Z.C., Department of Physical Medicine and Rehabilitation, University of North Carolina, Chapel Hill, NC, United States</t>
  </si>
  <si>
    <t>Lace, J.W.; Department of Psychology, United States; email: john.lace@slu.edu</t>
  </si>
  <si>
    <t>A global and competition-based model for fostering technical and soft skills in software engineering education</t>
  </si>
  <si>
    <t>10.1109/CSEET.2009.36</t>
  </si>
  <si>
    <t>35579350900;23393343800;24833473600;23393700000;24832071800;</t>
  </si>
  <si>
    <t>The project experience described in this paper builds upon three years of running global software development projects in an educational setting. It explicitly addresses some of the difficulties we have experienced in the past in getting students to deliver a quality software product at the end of a typical semester-long course in which Software Engineering is taught for the first time while a capstone project is concurrently undertaken. The initiative is unique in that it brings undergraduate, graduate and industry students together in a synergistic manner to capitalize upon individual learning needs and prior skill sets. To focus upon quality, coaches and auditors support traditional student teams with critical technical tasks. Working from identical requirements, a five-way competition affords multiple perspectives, improving the requirements, encouraging design diversity and so increasing the likelihood of the client receiving a deployable product. The fact that the development teams are in different geographic locations and that the software is required for a Cambodian client places soft skills entirely at the forefront. One of the software systems developed during this experience was selected by the client and is now successfully deployed in Cambodia. The paper reports on an educational model that has been seen to deliver results. © 2009 IEEE.</t>
  </si>
  <si>
    <t>Gotel O., Kulkarni V., Say M., Scharff C., Sunetnanta T.</t>
  </si>
  <si>
    <t>Proceedings - 22nd Conference on Software Engineering Education and Training, CSEET 2009</t>
  </si>
  <si>
    <t>https://www.scopus.com/inward/record.uri?eid=2-s2.0-67650002374&amp;doi=10.1109%2fCSEET.2009.36&amp;partnerID=40&amp;md5=e47548206f8ff2ebe8e3ddddd7e4119f</t>
  </si>
  <si>
    <t>Pace University, NY, United States; University of Delhi, Delhi, India; Institute of Technology of Cambodia, Phnom Penh, Cambodia; Mahidol University, Bangkok, Thailand</t>
  </si>
  <si>
    <t>Gotel, O., Pace University, NY, United States; Kulkarni, V., University of Delhi, Delhi, India; Say, M., Institute of Technology of Cambodia, Phnom Penh, Cambodia; Scharff, C., Pace University, NY, United States; Sunetnanta, T., Mahidol University, Bangkok, Thailand</t>
  </si>
  <si>
    <t>Gotel, O.; Pace University, NY, United States; email: ogotel@pace.edu</t>
  </si>
  <si>
    <t>A global software project: Developing a tablet pc capture platform for explanograms</t>
  </si>
  <si>
    <t>10.1145/1595356.1595364</t>
  </si>
  <si>
    <t>35615244100;14036449300;24546811000;57219367517;6602928070;14629169800;</t>
  </si>
  <si>
    <t>Explanograms provide "a sketch or diagram that students can play" [10]. They are a directly recorded multi-media resource that can be viewed dynamically. Often they are used in teaching situations to provide animated explanations of concepts or processes. Explanograms were initially based upon proprietary paper and digital pen technology. The project outlined here augments that design by using a tablet PC as a mobile, general purpose capture platform which will interoperate with the existing server based system developed in Sweden. The design of this platform is intended to achieve both learning and research outcomes, in a research linked learning model for global software development. The project has completed an initial development phase during which a prototype has been built, and a consolidation, extension and evaluation phase is now underway. The origins and goals of the research, the methodology adopted, the design of the application and the challenges that the New Zealand based team have faced are presented. Copyright 2008 ACM.</t>
  </si>
  <si>
    <t>Clear T., Whalley J., Hill J., Liu Y., Pears A., Plimmer B.</t>
  </si>
  <si>
    <t>Koli Calling 2008 - 8th International Conference on Computing Education Research</t>
  </si>
  <si>
    <t>https://www.scopus.com/inward/record.uri?eid=2-s2.0-70450164512&amp;doi=10.1145%2f1595356.1595364&amp;partnerID=40&amp;md5=088c69069855d80fc5ff8d45fd38950f</t>
  </si>
  <si>
    <t>Auckland University of Technology Private, Bag 92006, Auckland 1020, New Zealand; Uppsala University, Box 325, Uppsala, 75105, Sweden; University of Auckland, P.O. Box 123, Auckland 1020, New Zealand</t>
  </si>
  <si>
    <t>Clear, T., Auckland University of Technology Private, Bag 92006, Auckland 1020, New Zealand; Whalley, J., Auckland University of Technology Private, Bag 92006, Auckland 1020, New Zealand; Hill, J., Auckland University of Technology Private, Bag 92006, Auckland 1020, New Zealand; Liu, Y., Auckland University of Technology Private, Bag 92006, Auckland 1020, New Zealand; Pears, A., Uppsala University, Box 325, Uppsala, 75105, Sweden; Plimmer, B., University of Auckland, P.O. Box 123, Auckland 1020, New Zealand</t>
  </si>
  <si>
    <t>Clear, T.; Auckland University of Technology Private, Bag 92006, Auckland 1020, New Zealand; email: Tony.clear@aut.ac.nz</t>
  </si>
  <si>
    <t>A graph analytical approach for topic detection</t>
  </si>
  <si>
    <t>10.1145/2542214.2542215</t>
  </si>
  <si>
    <t>57434521700;7003604646;</t>
  </si>
  <si>
    <t>Topic detection with large and noisy data collections such as social media must address both scalability and accuracy challenges. KeyGraph is an efficient method that improves on current solutions by considering keyword cooccurrence. We show that KeyGraph has similar accuracy when compared to state-of-the-art approaches on small, well-annotated collections, and it can successfully filter irrelevant documents and identify events in large and noisy social media collections. An extensive evaluation using Amazon's Mechanical Turk demonstrated the increased accuracy and high precision of KeyGraph, as well as superior runtime performance compared to other solutions. © 2013 ACM.</t>
  </si>
  <si>
    <t>Sayyadi H., Raschid L.</t>
  </si>
  <si>
    <t>ACM Transactions on Internet Technology</t>
  </si>
  <si>
    <t>https://www.scopus.com/inward/record.uri?eid=2-s2.0-84891823783&amp;doi=10.1145%2f2542214.2542215&amp;partnerID=40&amp;md5=2d0abef37476cd91b377065f88b2e518</t>
  </si>
  <si>
    <t>University of Maryland, United States</t>
  </si>
  <si>
    <t>Sayyadi, H., University of Maryland, United States; Raschid, L., University of Maryland, United States</t>
  </si>
  <si>
    <t>Sayyadi, H.; University of MarylandUnited States; email: sayyadi@cs.umd.edu</t>
  </si>
  <si>
    <t>A highly secure image watermarking authentication algorithm based on MECDH and AECDSA</t>
  </si>
  <si>
    <t>56031580000;13607280200;8976198600;35186075800;</t>
  </si>
  <si>
    <t>This paper proposes a highly secure DSWT (Discrete Stationary Wavelet Transform) domain image watermarking and digital signature algorithm. The algorithm is based on MECDH (Modified Elliptic Curve Diffie-Hellman) key exchange protocol with more secure elliptic curves and SHA-512 AECDSA (Advanced Elliptic Curve Digital Signature Algorithm), both of which are derived from ECC (Elliptic Curves Cryptography) [1] with ECDLP known to be very difficult to solve. Meanwhile, the algorithm run on MIRACL (Multiprecision Integer and Rational Arithmetic C/C++ Library) becomes stronger. Theoretical analyses and experimental results show that the proposed algorithm is more secure and practical to protect the copyrights of multimedia digital works.</t>
  </si>
  <si>
    <t>Zhang R., Wang Y.-B., Yan J.-Y., Feng S.</t>
  </si>
  <si>
    <t>Infocommunications Journal</t>
  </si>
  <si>
    <t>https://www.scopus.com/inward/record.uri?eid=2-s2.0-85017563168&amp;partnerID=40&amp;md5=de6067a8dc7a44b684bb9f20b776063c</t>
  </si>
  <si>
    <t>Communication University of China, No.1 Dingfuzhuang East Street, Chaoyang District, Beijing, 100024, China</t>
  </si>
  <si>
    <t>Zhang, R., Communication University of China, No.1 Dingfuzhuang East Street, Chaoyang District, Beijing, 100024, China; Wang, Y.-B., Communication University of China, No.1 Dingfuzhuang East Street, Chaoyang District, Beijing, 100024, China; Yan, J.-Y., Communication University of China, No.1 Dingfuzhuang East Street, Chaoyang District, Beijing, 100024, China; Feng, S., Communication University of China, No.1 Dingfuzhuang East Street, Chaoyang District, Beijing, 100024, China</t>
  </si>
  <si>
    <t>A license language design and analysis for e-government</t>
  </si>
  <si>
    <t>10.1109/WICOM.2007.853</t>
  </si>
  <si>
    <t>23388527100;7201547065;6701837270;7003872540;</t>
  </si>
  <si>
    <t>This paper proposes a digital right management license language (called, PALL) for e-government and analyzes the advantage and potential application of it. Classical digital rights license languages applied to the electronic "downloading", payment and rendering(playing) of artistic worksffor example music, literature readings and movies), we extend the concept of license to also cover work authorization in public government. The digital works are now public government documents. As digital rights license for artistic works seeks to safeguard against privacy and to ensure proper payments for the rights to render these works. Public government license language seeks to ensure transparent and professional "good governance". © 2007 IEEE.</t>
  </si>
  <si>
    <t>Chen X., Xiang J., Bjørner D., Futatsugi K.</t>
  </si>
  <si>
    <t>2007 International Conference on Wireless Communications, Networking and Mobile Computing, WiCOM 2007</t>
  </si>
  <si>
    <t>https://www.scopus.com/inward/record.uri?eid=2-s2.0-38049059959&amp;doi=10.1109%2fWICOM.2007.853&amp;partnerID=40&amp;md5=0cd170876267401aee86724daabe3494</t>
  </si>
  <si>
    <t>Japan Advanced Institute of Science and Technology (JAIST), Graduate School of Information Science, 1-1 Asahidai, Nomi, Ishikawa 923-1292, Japan</t>
  </si>
  <si>
    <t>Chen, X., Japan Advanced Institute of Science and Technology (JAIST), Graduate School of Information Science, 1-1 Asahidai, Nomi, Ishikawa 923-1292, Japan; Xiang, J., Japan Advanced Institute of Science and Technology (JAIST), Graduate School of Information Science, 1-1 Asahidai, Nomi, Ishikawa 923-1292, Japan; Bjørner, D., Japan Advanced Institute of Science and Technology (JAIST), Graduate School of Information Science, 1-1 Asahidai, Nomi, Ishikawa 923-1292, Japan; Futatsugi, K., Japan Advanced Institute of Science and Technology (JAIST), Graduate School of Information Science, 1-1 Asahidai, Nomi, Ishikawa 923-1292, Japan</t>
  </si>
  <si>
    <t>Chen, X.; Japan Advanced Institute of Science and Technology (JAIST), 1-1 Asahidai, Nomi, Ishikawa 923-1292, Japan; email: xychen@jaist.ac.jp</t>
  </si>
  <si>
    <t>A Measure to Assess Perceptions and Knowledge about Electroconvulsive Therapy: Development and Psychometric Properties</t>
  </si>
  <si>
    <t>10.1097/YCT.0000000000000609</t>
  </si>
  <si>
    <t>35590808700;57203263508;56061431900;57202354983;35415442600;6602481736;</t>
  </si>
  <si>
    <t>Objectives Although electroconvulsive therapy (ECT) has been found to be one of the most robust and rapid treatments for severe depression, it is widely underused partly because of negative perceptions and inaccurate knowledge about the treatment. Methods The 18-item ECT Perception and Knowledge (ECT-PK) measure was developed through a systematic review of the literature, subject matter expert ratings, and examination of content validity. The ECT-PK consists of Perception and Knowledge subscales, which were tested on a national sample of 1091 US adults who screened positive for depression in 2018 through Amazon's Mechanical Turk platform. Results Evaluation of the ECT-PK subscales found that both subscales demonstrated good construct validity, criterion validity, and internal consistency reliability. Participants who had higher Perception and Knowledge subscale scores were significantly more likely to report that they were willing to try ECT. The ECT-PK revealed that many participants reported fears about pain, brain damage, and memory loss resulting from ECT, and had inaccurate knowledge about ECT being outdated or lacking scientific evidence. Conclusions Together, these results showed that the ECT-PK is an efficient and effective contemporary tool to measure the perception and knowledge of ECT, and highlights areas in need of psychoeducation. © 2020 Wolters Kluwer Health, Inc. All rights reserved.</t>
  </si>
  <si>
    <t>Tsai J., Huang M., Wilkinson S.T., Edelen C., Rosenheck R.A., Holtzheimer P.E.</t>
  </si>
  <si>
    <t>Journal of ECT</t>
  </si>
  <si>
    <t>https://www.scopus.com/inward/record.uri?eid=2-s2.0-85074554825&amp;doi=10.1097%2fYCT.0000000000000609&amp;partnerID=40&amp;md5=067e4a6909280d00e57bb09e6399ac94</t>
  </si>
  <si>
    <t>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Department of Psychology, University of Hartford, West Hartford, CT, United States;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</si>
  <si>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Huang, M., Department of Psychology, University of Hartford, West Hartford, CT, United States; Wilkinson, S.T., US Department of Veterans Affairs, Connecticut Healthcare System, West Haven, United States; Edelen, C., US Department of Veterans Affairs, Connecticut Healthcare System, West Haven, United States, Department of Psychiatry, Yale University School of Medicine, New Haven, United States; Rosenheck, R.A., US Department of Veterans Affairs, Connecticut Healthcare System, West Haven, United States, Department of Psychiatry, Yale University School of Medicine, New Haven, United States; Holtzheimer, P.E.,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</si>
  <si>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950 Campbell Ave, 151D, United States; email: Jack.Tsai@yale.edu</t>
  </si>
  <si>
    <t>A method for investigating the quality of evolving object-oriented software using defects in global software development projects</t>
  </si>
  <si>
    <t>10.1002/smr.1788</t>
  </si>
  <si>
    <t>54418751100;35547332200;22635718800;22433869800;6603198801;</t>
  </si>
  <si>
    <t>Context: Global software development (GSD) projects can have distributed teams that work independently in different locations or team members that are dispersed. The various development settings in GSD can influence quality during product evolution. When evaluating quality using defects as a proxy, the development settings have to be taken into consideration. Objective: The aim is to provide a systematic method for supporting investigations of the implication of GSD contexts on defect data as a proxy for quality. Method: A method engineering approach was used to incrementally develop the proposed method. This was done through applying the method in multiple industrial contexts and then using lessons learned to refine and improve the method after application. Results: A measurement instrument and visualization was proposed incorporating an understanding of the release history and understanding of GSD contexts. Conclusion: The method can help with making accurate inferences about development settings because it includes details on collecting and aggregating data at a level that matches the development setting in a GSD context and involves practitioners at various phases of the investigation. Finally, the information that is produced from following the method can help practitioners make informed decisions when planning to develop software in comparable circumstances. Copyright © 2016 John Wiley &amp; Sons, Ltd. Copyright © 2016 John Wiley &amp; Sons, Ltd.</t>
  </si>
  <si>
    <t>Jabangwe R., Wohlin C., Petersen K., Šmite D., Börstler J.</t>
  </si>
  <si>
    <t>https://www.scopus.com/inward/record.uri?eid=2-s2.0-84981275207&amp;doi=10.1002%2fsmr.1788&amp;partnerID=40&amp;md5=8802572fc119602488ea585a65d61371</t>
  </si>
  <si>
    <t>Lero, The Irish Software Engineering Research Centre, Regulated Software Research Centre, Dundalk Institute of Technology, Ireland; Department of Software Engineering, Blekinge Institute of Technology, Karlskrona, 371 79, Sweden</t>
  </si>
  <si>
    <t>Jabangwe, R., Lero, The Irish Software Engineering Research Centre, Regulated Software Research Centre, Dundalk Institute of Technology, Ireland, Department of Software Engineering, Blekinge Institute of Technology, Karlskrona, 371 79, Sweden; Wohlin, C., Department of Software Engineering, Blekinge Institute of Technology, Karlskrona, 371 79, Sweden; Petersen, K., Department of Software Engineering, Blekinge Institute of Technology, Karlskrona, 371 79, Sweden; Šmite, D., Department of Software Engineering, Blekinge Institute of Technology, Karlskrona, 371 79, Sweden; Börstler, J., Department of Software Engineering, Blekinge Institute of Technology, Karlskrona, 371 79, Sweden</t>
  </si>
  <si>
    <t>Jabangwe, R.; Lero, Ireland; email: ronald.jabangwe@dkit.ie</t>
  </si>
  <si>
    <t>A methodology for evaluating aggregated search results</t>
  </si>
  <si>
    <t>10.1007/978-3-642-20161-5_15</t>
  </si>
  <si>
    <t>12345191500;55605195900;35588436200;6507636450;</t>
  </si>
  <si>
    <t>Aggregated search is the task of incorporating results from different specialized search services, or verticals, into Web search results. While most prior work focuses on deciding which verticals to present, the task of deciding where in the Web results to embed the vertical results has received less attention. We propose a methodology for evaluating an aggregated set of results. Our method elicits a relatively small number of human judgements for a given query and then uses these to facilitate a metric-based evaluation of any possible presentation for the query. An extensive user study with 13 verticals confirms that, when users prefer one presentation of results over another, our metric agrees with the stated preference. By using Amazon’s Mechanical Turk, we show that reliable assessments can be obtained quickly and inexpensively. © Springer-Verlag Berlin Heidelberg 2011.</t>
  </si>
  <si>
    <t>Arguello J., Diaz F., Callan J., Carterette B.</t>
  </si>
  <si>
    <t>https://www.scopus.com/inward/record.uri?eid=2-s2.0-85015342057&amp;doi=10.1007%2f978-3-642-20161-5_15&amp;partnerID=40&amp;md5=b60b8cf9cd22ff8e2e6a2025ae46f225</t>
  </si>
  <si>
    <t>Carnegie Mellon University, United States; Yahoo! Research, United States; University of Delaware, United States</t>
  </si>
  <si>
    <t>Arguello, J., Carnegie Mellon University, United States; Diaz, F., Yahoo! Research, United States; Callan, J., Carnegie Mellon University, United States; Carterette, B., University of Delaware, United States</t>
  </si>
  <si>
    <t>A Mindset for Career Curiosity: Emerging Leaders Working in the Digital Space</t>
  </si>
  <si>
    <t>10.1002/yd.20232</t>
  </si>
  <si>
    <t>57202330462;57194849103;</t>
  </si>
  <si>
    <t>This chapter addresses the rapid growth of American industry and a proposed framework-the mindset for career curiosity-that can be used to prepare students for quickly evolving 21st-century digital work environments. © 2017 Wiley Periodicals, Inc., A Wiley Company.</t>
  </si>
  <si>
    <t>Bower M., Konwerski P.</t>
  </si>
  <si>
    <t>New directions for student leadership</t>
  </si>
  <si>
    <t>https://www.scopus.com/inward/record.uri?eid=2-s2.0-85042499660&amp;doi=10.1002%2fyd.20232&amp;partnerID=40&amp;md5=4e574afa397c3515a28fb3962a967d39</t>
  </si>
  <si>
    <t>George Washington University, United States; George Washington University, United States</t>
  </si>
  <si>
    <t>Bower, M., George Washington University, United States; Konwerski, P., George Washington University, United States</t>
  </si>
  <si>
    <t>A novel application for text watermarking in digital reading</t>
  </si>
  <si>
    <t>10.1007/978-3-642-05253-8_12</t>
  </si>
  <si>
    <t>55961722700;55836535600;55684026300;37006495100;</t>
  </si>
  <si>
    <t>Although watermarking research has made great strides in theoretical aspect, its lack of application in business could not be covered. It is due to few people pays attention to usage of the information carried by watermarking. This paper proposes a new watermarking application method. After digital document being reorganized with advertisement together, watermarking is designed to carry this structure of new document. It will release advertisement as interference information under attack. On the one hand, reducing the quality of digital works could inhabit unauthorized distribution. On the other hand, advertisement can benefit copyright holders as compensation. Moreover implementation detail, attack evaluation and watermarking algorithm correlation are also discussed through an experiment based on txt file. © 2009 Springer-Verlag.</t>
  </si>
  <si>
    <t>Zhang J., Li Q.-C., Wang C., Fang J.</t>
  </si>
  <si>
    <t>https://www.scopus.com/inward/record.uri?eid=2-s2.0-71549165143&amp;doi=10.1007%2f978-3-642-05253-8_12&amp;partnerID=40&amp;md5=c1506af1d13fed1d95d6e3edb6ddeb0d</t>
  </si>
  <si>
    <t>Department of Computer Science, Nankai University, Tianjin 300071, China</t>
  </si>
  <si>
    <t>Zhang, J., Department of Computer Science, Nankai University, Tianjin 300071, China; Li, Q.-C., Department of Computer Science, Nankai University, Tianjin 300071, China; Wang, C., Department of Computer Science, Nankai University, Tianjin 300071, China; Fang, J., Department of Computer Science, Nankai University, Tianjin 300071, China</t>
  </si>
  <si>
    <t>Zhang, J.; Department of Computer Science, , Tianjin 300071, China; email: nkzhangjin@nankai.edu.cn</t>
  </si>
  <si>
    <t>A pilot study of online feedback for adult drinkers 50 and older: Feasibility, efficacy, and preferences for intervention</t>
  </si>
  <si>
    <t>10.1016/j.jsat.2017.04.004</t>
  </si>
  <si>
    <t>6507402649;55624842800;7402763185;6603733913;</t>
  </si>
  <si>
    <t>Normative (NF) and personalized feedback (PF) are moderately effective brief interventions for at-risk drinking middle-aged and older adults. This study tested the feasibility of online feedback for drinkers 50 and older. This study's aims were to identify whether there is differential effectiveness of PF over NF in prompting drinkers 50 years old and older to plan for change and to determine potential preferences for intervention among adult drinkers 50 and older with practical knowledge about computers. Method Using Amazon's Mechanical Turk, 138 male and female drinkers aged 50 to 75 + were recruited to complete an online survey that asked about their: perceptions of their drinking, quantity and frequency of drinking, and any comorbid health and/or mental health disorders/medications. They were then provided either NF or PF. NF provided information about how participants’ drinking compared to their same age and gendered peers. PF provided information about level of risk to health and provided recommendations for safe levels of drinking. After feedback, participants were evaluated for their reactions (e.g., “How much does this worry you?”) and their plan to change their drinking. Participants were asked about preferences for interventions. Results 80% of participants rated themselves a no or low-risk drinker, yet 52.2% were found to be at-risk drinkers. Overall, participants reported feedback was helpful, and 43.9% made some kind of plan to change. Participants in NF were significantly more likely to make a plan for change than those in PF. Participants reported that they most preferred an online (40.9%) or a brief in-person (31.8%) intervention. Conclusion Findings revealed that brief online feedback was feasible, though limited to those who are computer knowledgeable. Unexpectedly, NF outperformed PF, suggesting that peer comparisons may be more motivating for adults 50 and older than previously thought. Finally, an online intervention appears to be a preferred intervention for alcohol use among this particular group of drinkers. © 2017 Elsevier Inc.</t>
  </si>
  <si>
    <t>Kuerbis A.N., Hail L., Moore A.A., Muench F.J.</t>
  </si>
  <si>
    <t>Journal of Substance Abuse Treatment</t>
  </si>
  <si>
    <t>https://www.scopus.com/inward/record.uri?eid=2-s2.0-85018501926&amp;doi=10.1016%2fj.jsat.2017.04.004&amp;partnerID=40&amp;md5=408cbd811b4407aef77020f00fae261c</t>
  </si>
  <si>
    <t>Hunter College at the City University of New York, United States; Department of Psychiatry, University of California San Francisco, United States; Division of Geriatrics, University of California San Diego, United States; Northwell Health, United States</t>
  </si>
  <si>
    <t>Kuerbis, A.N., Hunter College at the City University of New York, United States; Hail, L., Department of Psychiatry, University of California San Francisco, United States; Moore, A.A., Division of Geriatrics, University of California San Diego, United States; Muench, F.J., Northwell Health, United States</t>
  </si>
  <si>
    <t>Kuerbis, A.N.; Silberman School of Social Work at Hunter College, 2180 Third Avenue, United States; email: ak1465@hunter.cuny.edu</t>
  </si>
  <si>
    <t>Beecham, S.; Lero - the Irish Software Engineering Research Centre, Ireland; email: Sarah.Beecham@lero.ie</t>
  </si>
  <si>
    <t>A recommendation framework for allocating global software teams in software product line projects</t>
  </si>
  <si>
    <t>10.1145/1808920.1808928</t>
  </si>
  <si>
    <t>35809848000;36187835500;55907106100;55027970600;</t>
  </si>
  <si>
    <t>In order to improve software quality and reduce costs and deadlines, many companies are adopting Software Product Line approaches. As a consequence of globalization, another common practice is the adoption of Global Software Development approaches, which seek to find more qualified workforce and more attractive costs in companies distributed around the world. Taking into account the benefits of both approaches, the ramework proposed in this paper has the goal of aiding the management of global software teams involved in the implementation phase of an SPL project, providing recommendations on how to allocate the teams to the set of software components, which are initially specified in the SPL architecture and must be subsequently implemented. Copyright © 2010 ACM.</t>
  </si>
  <si>
    <t>Pereira T.A.B., Dos Santos V.S., Ribeiro B.L., Elias G.</t>
  </si>
  <si>
    <t>https://www.scopus.com/inward/record.uri?eid=2-s2.0-77955002132&amp;doi=10.1145%2f1808920.1808928&amp;partnerID=40&amp;md5=bb0dbc1c83c1e83eb4923cc9c96d05df</t>
  </si>
  <si>
    <t>Informatics Department, COMPOSE - Component Oriented Software Engineering Group, Federal University, Paraíba, Brazil</t>
  </si>
  <si>
    <t>Pereira, T.A.B., Informatics Department, COMPOSE - Component Oriented Software Engineering Group, Federal University, Paraíba, Brazil; Dos Santos, V.S., Informatics Department, COMPOSE - Component Oriented Software Engineering Group, Federal University, Paraíba, Brazil; Ribeiro, B.L., Informatics Department, COMPOSE - Component Oriented Software Engineering Group, Federal University, Paraíba, Brazil; Elias, G., Informatics Department, COMPOSE - Component Oriented Software Engineering Group, Federal University, Paraíba, Brazil</t>
  </si>
  <si>
    <t>Pereira, T. A. B.; Informatics Department, , Paraíba, Brazil; email: thais@compose.ufpb.br</t>
  </si>
  <si>
    <t>A reliability analysis of Mechanical Turk data</t>
  </si>
  <si>
    <t>10.1016/j.chb.2014.11.004</t>
  </si>
  <si>
    <t>7006576939;</t>
  </si>
  <si>
    <t>Amazon's Mechanical Turk (MTurk) provides researchers with access to a diverse set of people who can serve as research participants, making the process of data collection a streamlined and cost-effective one. While a small number of studies are often cited to support the use of this methodology, there remains a need for additional analyses of the quality of the research data. In the present study, MTurk-based responses for a personality scale were found to be significantly less reliable than scores previously reported for a community sample. While score reliability was not affected by the length of the survey or the payment rates, the presence of an item asking respondents to affirm that they were attentive and honest was associated with more reliable responses. Best practices for MTurk-based research and continuing research needs are addressed. © 2014 Elsevier Ltd. All rights reserved.</t>
  </si>
  <si>
    <t>Rouse S.V.</t>
  </si>
  <si>
    <t>Computers in Human Behavior</t>
  </si>
  <si>
    <t>https://www.scopus.com/inward/record.uri?eid=2-s2.0-84912570663&amp;doi=10.1016%2fj.chb.2014.11.004&amp;partnerID=40&amp;md5=343e81a095435a6d357c7755679cd73b</t>
  </si>
  <si>
    <t>Social Sciences Division, Pepperdine University, Malibu, CA  90263, United States</t>
  </si>
  <si>
    <t>Rouse, S.V., Social Sciences Division, Pepperdine University, Malibu, CA  90263, United States</t>
  </si>
  <si>
    <t>Rouse, S.V.; Social Sciences Division, Pepperdine UniversityUnited States</t>
  </si>
  <si>
    <t>A response to the challenges posed by the binary divide between employee and self-employed</t>
  </si>
  <si>
    <t>10.1108/IJLMA-03-2013-0012</t>
  </si>
  <si>
    <t>55241827600;</t>
  </si>
  <si>
    <t>Purpose – The purpose of this paper is to examine the nature of the legal relationship tying workers to employers. It explores how the individual who is categorised as an employee is distinguished from a self-employed or independent contractor or a worker. The common law tests for classifying employment status are analysed against a backdrop of emerging research literature. Recommendations for reform are provided, drawing from the work of prominent scholars such as Mark Freedland and Simon Deakin. Design/methodology/approach – The paper reviews court decisions and examines arguments raised in relation to the binary divide between employed and self-employed. The paper is largely conceptual. Findings – This paper has shown that divergence between law and realities of employment still puzzle modern law reformers and judges alike. The common law test have proved to be inadequate and new solutions have been recommended. One of the suggest solutions is to import the doctrine of good faith into the tests. Originality/value – The paper makes recommendations that will further refine and clarify the employment relationship in a bid to create a more inclusive “labour law” capable of protecting a wider range of atypical and vulnerable work relations. This paper will inform managers on the challenges in relation to classification of employment status brought about by the growth in atypical work. © Emerald Group Publishing Limited.</t>
  </si>
  <si>
    <t>Nyombi C.</t>
  </si>
  <si>
    <t>International Journal of Law and Management</t>
  </si>
  <si>
    <t>https://www.scopus.com/inward/record.uri?eid=2-s2.0-84922183781&amp;doi=10.1108%2fIJLMA-03-2013-0012&amp;partnerID=40&amp;md5=91f5b7b56752d4b66f0fb069090a7da5</t>
  </si>
  <si>
    <t>School of Law, University of Essex, Colchester, United Kingdom</t>
  </si>
  <si>
    <t>Nyombi, C., School of Law, University of Essex, Colchester, United Kingdom</t>
  </si>
  <si>
    <t>Nyombi, C.; School of Law, United Kingdom; email: cnyomb@essex.ac.uk</t>
  </si>
  <si>
    <t>A risk-driven model for work allocation in global software development projects</t>
  </si>
  <si>
    <t>10.1109/ICGSE.2011.10</t>
  </si>
  <si>
    <t>6505467826;7102005186;36617946800;24825424200;</t>
  </si>
  <si>
    <t>Risks and potential benefits of distributing software development projects globally depend to a large extent on how to allocate work to different development sites and regions. Existing methods in task allocation are likely to omit the relevance of considering a multitude of criteria and the impact of task distribution on risks and potential benefits. To assess risks stemming from specific work distributions and to exploit organization-specific experience, we have developed a customizable risk-driven model. It consists of two main steps: Suggesting a set of task allocation alternatives based on project- and site-specific characteristics and analyzing it with respect to possible project risks stemming from the work distribution. To evaluate the model, we conducted a series of semi-structured interviews in a multinational IT company. The results of the evaluation show that the suggestions of the model mostly comply with the retrospective views voiced by the involved experienced managers. © 2011 IEEE.</t>
  </si>
  <si>
    <t>Lamersdorf A., Münch J., Torre A.F.-D.V., Sánchez C.R.</t>
  </si>
  <si>
    <t>Proceedings - 2011 6th IEEE International Conference on Global Software Engineering, ICGSE 2011</t>
  </si>
  <si>
    <t>https://www.scopus.com/inward/record.uri?eid=2-s2.0-81255143855&amp;doi=10.1109%2fICGSE.2011.10&amp;partnerID=40&amp;md5=8fdcf2b8d26ca18da3e9c23a0aa445de</t>
  </si>
  <si>
    <t>University of Kaiserslautern, Software Engineering Research Group, PO Box 3049, 67653 Kaiserslautern, Germany; University of Helsinki, Department of Computer Science, P.O. Box 68 (Gustaf Hällströmin katu 2b), FI-00014 Helsinki, Finland; Indra Software Labs., Madrid, Spain</t>
  </si>
  <si>
    <t>Lamersdorf, A., University of Kaiserslautern, Software Engineering Research Group, PO Box 3049, 67653 Kaiserslautern, Germany; Münch, J., University of Helsinki, Department of Computer Science, P.O. Box 68 (Gustaf Hällströmin katu 2b), FI-00014 Helsinki, Finland; Torre, A.F.-D.V., Indra Software Labs., Madrid, Spain; Sánchez, C.R., Indra Software Labs., Madrid, Spain</t>
  </si>
  <si>
    <t>Lamersdorf, A.; University of Kaiserslautern, PO Box 3049, 67653 Kaiserslautern, Germany; email: ansgar@lamersdorf.net</t>
  </si>
  <si>
    <t>A rule-based model for customized risk identification in distributed software development projects</t>
  </si>
  <si>
    <t>10.1109/ICGSE.2010.32</t>
  </si>
  <si>
    <t>6505467826;7102005186;36617946800;24825424200;57225802361;6602660776;</t>
  </si>
  <si>
    <t>Many project risks in distributed software development are very different from the ones in collocated development and therefore are often overlooked. At the same time, they depend to a large extent on project-specific characteristics. This article presents a model for identifying risks early in a project. This model systematically captures experiences from past projects and is based on a set of logical rules describing how project characteristics influence typical risks in distributed development. Thus, the model is able to assess risks individually for each project. It was developed by applying qualitative content analysis to 19 interviews with practitioners. An evaluation using expert interviews showed that the risks identified by the model matched the actual experiences in 81% of the cases; of these, 40% have not been regarded yet at project start. The article describes the concepts of the model, its instantiation and evaluation, followed by a conclusion and future work. © 2010 IEEE.</t>
  </si>
  <si>
    <t>Proceedings - 5th International Conference on Global Software Engineering, ICGSE 2010</t>
  </si>
  <si>
    <t>https://www.scopus.com/inward/record.uri?eid=2-s2.0-78149318420&amp;doi=10.1109%2fICGSE.2010.32&amp;partnerID=40&amp;md5=b4cc313f796e08a3e6ee14fc3cb9348a</t>
  </si>
  <si>
    <t>University of Kaiserslautern, Kaiserslautern, Germany; University of Kaiserslautern, Fraunhofer IESE, Kaiserslautern, Germany; Indra Software Labs., Madrid, Spain</t>
  </si>
  <si>
    <t>Lamersdorf, A., University of Kaiserslautern, Kaiserslautern, Germany; Münch, J., University of Kaiserslautern, Fraunhofer IESE, Kaiserslautern, Germany; Torre, A.F.-D.V., Indra Software Labs., Madrid, Spain; Sánchez, C.R., Indra Software Labs., Madrid, Spain; Heinz, M., University of Kaiserslautern, Kaiserslautern, Germany; Rombach, D., University of Kaiserslautern, Fraunhofer IESE, Kaiserslautern, Germany</t>
  </si>
  <si>
    <t>A software inspection process for globally distributed teams</t>
  </si>
  <si>
    <t>10.1007/978-3-642-16961-8_47</t>
  </si>
  <si>
    <t>15730011900;7201441575;</t>
  </si>
  <si>
    <t>Globally distributed software development is an accepted trend towards delivering high-quality software to global users at lower costs. Globally distributed software development teams particularly face communication and coordination problems due to spatial, temporal and cultural separation between team members. Ensuring quality issues in such projects is an important issue. This paper presents a software inspection process in the distributed software development towards quality assurance and management. © 2010 Springer-Verlag Berlin Heidelberg.</t>
  </si>
  <si>
    <t>Mishra D., Mishra A.</t>
  </si>
  <si>
    <t>https://www.scopus.com/inward/record.uri?eid=2-s2.0-78649522770&amp;doi=10.1007%2f978-3-642-16961-8_47&amp;partnerID=40&amp;md5=fe63565bf9841f611245f28a2fadc361</t>
  </si>
  <si>
    <t>Department of Computer Engineering, Atilim University, Incek, Ankara 06836, Turkey</t>
  </si>
  <si>
    <t>Mishra, D., Department of Computer Engineering, Atilim University, Incek, Ankara 06836, Turkey; Mishra, A., Department of Computer Engineering, Atilim University, Incek, Ankara 06836, Turkey</t>
  </si>
  <si>
    <t>Mishra, D.; Department of Computer Engineering, , Incek, Ankara 06836, Turkey; email: deepti@atilim.edu.tr</t>
  </si>
  <si>
    <t>A study on global software development (GSD) and software development processes in Malaysian software companies</t>
  </si>
  <si>
    <t>57190968564;36052560100;36618409800;</t>
  </si>
  <si>
    <t>Software development processes have been tremendously changed since last two decades. Due to GSD or IT globalization, traditional practices of software development have been replaced by lightweight methodologies; global software industry has been reshaped and has taken new direction. Software companies are struggling to cope with these changes to stay competitive in the international markets. The companies need to understand these changes, their consequences and how to accommodate them. A lot of new processes and approaches of software development have been introduced. It is difficult for companies to select an appropriate process suitable for their project and environment as well as for addressing the challenges associated with GSD. Therefore, it is required to identify the GSD factors that bring change in software processes and also play role in the selection of a suitable process. In this context, the present study has been conducted on Malaysian companies. Therefore, it is necessary to understand the software processes currently being used by the Malaysian companies; how GSD affects these processes and what is the change in processes after GSD. The present study finds the answers of these questions to help in understanding the current software development trends in Malaysian software companies. It will contribute to formulate a process selection framework for Malaysian companies.</t>
  </si>
  <si>
    <t>Khan A.R., Akbar R., Ten D.W.H.</t>
  </si>
  <si>
    <t>https://www.scopus.com/inward/record.uri?eid=2-s2.0-84984839714&amp;partnerID=40&amp;md5=07349f9a9224c98bcbf6ee83917bb031</t>
  </si>
  <si>
    <t>Faculty of Information and Communication Technology, Universiti Tunku Abdul Rahman, Kampar, Perak, 31900, Malaysia</t>
  </si>
  <si>
    <t>Khan, A.R., Faculty of Information and Communication Technology, Universiti Tunku Abdul Rahman, Kampar, Perak, 31900, Malaysia; Akbar, R., Faculty of Information and Communication Technology, Universiti Tunku Abdul Rahman, Kampar, Perak, 31900, Malaysia; Ten, D.W.H., Faculty of Information and Communication Technology, Universiti Tunku Abdul Rahman, Kampar, Perak, 31900, Malaysia</t>
  </si>
  <si>
    <t>A survey based study on factors effecting communication in GSD</t>
  </si>
  <si>
    <t>26434399300;36536436600;36190471800;</t>
  </si>
  <si>
    <t>Presently, most of software development companies are trying to globalize their work throughout the world in order to get the various benefits. The phenomenon of this software globalization is called Global Software Development (GSD). However, GSD is not a simple job and the software companies face various challenges. In GSD Communication is a main issue and it became more complicated during Requirements Change Management (RCM). This research will result to explore different factors that can negatively affect communication during the RCM process by conducting a survey in GSD industry. A framework is proposed for the factors effecting communication and total nine hypotheses are developed. A quantitative research method has been used to collect and analyse the data. The results show that total seven out of nine hypotheses are supported and two hypotheses are rejected. © 2014 Maxwell Scientific Organization.</t>
  </si>
  <si>
    <t>Khan A.A., Basri S., Fazal-e-Amin</t>
  </si>
  <si>
    <t>Research Journal of Applied Sciences, Engineering and Technology</t>
  </si>
  <si>
    <t>https://www.scopus.com/inward/record.uri?eid=2-s2.0-84893488556&amp;partnerID=40&amp;md5=c92473c61ff48839eea8ac35edd16ca6</t>
  </si>
  <si>
    <t>Department of Computer and Information Sciences, Universiti Teknologi PETRONAS, Bandar Seri Iskandar, Tronoh Perak, Malaysia; College of Computer Science and Information Studies, Government College University, Faisalabad, Pakistan</t>
  </si>
  <si>
    <t>Khan, A.A., Department of Computer and Information Sciences, Universiti Teknologi PETRONAS, Bandar Seri Iskandar, Tronoh Perak, Malaysia; Basri, S., Department of Computer and Information Sciences, Universiti Teknologi PETRONAS, Bandar Seri Iskandar, Tronoh Perak, Malaysia; Fazal-e-Amin, College of Computer Science and Information Studies, Government College University, Faisalabad, Pakistan</t>
  </si>
  <si>
    <t>Khan, A.A.; Department of Computer and Information Sciences, , Bandar Seri Iskandar, Tronoh Perak, Malaysia</t>
  </si>
  <si>
    <t>A survey of electronic literature collections</t>
  </si>
  <si>
    <t>10.7771/1481-4374.2558</t>
  </si>
  <si>
    <t>35812369600;35198011300;</t>
  </si>
  <si>
    <t>In their article "A Survey of Electronic Literature Collections" Luis Pablo and Mar쟠Goicoechea describe characteristics and functions of collections of electronic literature and analyze descriptors used and the way information can be accessed. Based on their observations, Pablo and Goicoechea advocate a database structure which is flexible and can produce a dynamic archiving model as texts are registered and collected so that tags form a close set for the texts in the collection and this set can expand as new texts make new tags necessary. Further, the organization of tags into ever more complex taxonomies seems inevitable, since this provides an accurate description of knowledge accumulation with respect to the field's richness. They postulate that the study of tagging practices applied to digital works provides us with guidelines not only to describe texts of electronic literature, but also to demonstrate the wide variety of forms which a literary text can embody. © Purdue University.</t>
  </si>
  <si>
    <t>Pablo L., Goicoechea M.</t>
  </si>
  <si>
    <t>CLCWeb - Comparative Literature and Culture</t>
  </si>
  <si>
    <t>https://www.scopus.com/inward/record.uri?eid=2-s2.0-84924300083&amp;doi=10.7771%2f1481-4374.2558&amp;partnerID=40&amp;md5=651c9c21cae0f794d8c0bdeefb123811</t>
  </si>
  <si>
    <t>Madrid, Spain; Complutense University Madrid, Spain</t>
  </si>
  <si>
    <t>Pablo, L., Madrid, Spain; Goicoechea, M., Complutense University Madrid, Spain</t>
  </si>
  <si>
    <t>A taxonomy and visual notation for modeling globally distributed requirements engineering projects</t>
  </si>
  <si>
    <t>10.1109/ICGSE.2010.55</t>
  </si>
  <si>
    <t>24477810100;35586964300;6506741859;35866800500;</t>
  </si>
  <si>
    <t>This paper presents a visual modeling notation for use in planning globally distributed requirements engineering projects. An underlying meta-model defines the elements of the modeling language, including site locations, stakeholder roles, communication flows, critical documents, and supporting tools and repositories. The modeling notation is motivated through the findings of eight in-depth interviews with requirements analysts who had worked on requirements elicitation, analysis, and specification tasks in globally distributed projects. We illustrate the modeling notation with examples drawn from telecommunications, video gaming, retail, and consulting projects. Based on a set of recurring problems and best practices identified in our interviews, the models are then analyzed, and specific recommendations are made to mitigate the identified risks. © 2010 IEEE.</t>
  </si>
  <si>
    <t>Laurent P., Mäder P., Cleland-Huang J., Steele A.</t>
  </si>
  <si>
    <t>https://www.scopus.com/inward/record.uri?eid=2-s2.0-78149322674&amp;doi=10.1109%2fICGSE.2010.55&amp;partnerID=40&amp;md5=bdd21bce9b66618a6de45a60dc91d4f5</t>
  </si>
  <si>
    <t>Systems and Requirements Engineering Center, DePaul University, Chicago, IL, United States</t>
  </si>
  <si>
    <t>Laurent, P., Systems and Requirements Engineering Center, DePaul University, Chicago, IL, United States; Mäder, P., Systems and Requirements Engineering Center, DePaul University, Chicago, IL, United States; Cleland-Huang, J., Systems and Requirements Engineering Center, DePaul University, Chicago, IL, United States; Steele, A., Systems and Requirements Engineering Center, DePaul University, Chicago, IL, United States</t>
  </si>
  <si>
    <t>Laurent, P.; Systems and Requirements Engineering Center, , Chicago, IL, United States; email: plaurent@cs.depaul.edu</t>
  </si>
  <si>
    <t>Abstractive summarization of reddit posts with multi-level memory networks</t>
  </si>
  <si>
    <t>57201394002;57215327662;55685918100;</t>
  </si>
  <si>
    <t>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 The code and dataset are available at http://vision.snu.ac.kr/projects/reddit-tifu. © 2019 Association for Computational Linguistics</t>
  </si>
  <si>
    <t>Kim B., Kim H., Kim G.</t>
  </si>
  <si>
    <t>NAACL HLT 2019 - 2019 Conference of the North American Chapter of the Association for Computational Linguistics: Human Language Technologies - Proceedings of the Conference</t>
  </si>
  <si>
    <t>https://www.scopus.com/inward/record.uri?eid=2-s2.0-85078774783&amp;partnerID=40&amp;md5=d0c5e2a51ceae0f7d10b8500e99cbaea</t>
  </si>
  <si>
    <t>Department of Computer Science and Engineering, Center for Superintelligence, Seoul National University, Seoul, South Korea</t>
  </si>
  <si>
    <t>Kim, B., Department of Computer Science and Engineering, Center for Superintelligence, Seoul National University, Seoul, South Korea; Kim, H., Department of Computer Science and Engineering, Center for Superintelligence, Seoul National University, Seoul, South Korea; Kim, G., Department of Computer Science and Engineering, Center for Superintelligence, Seoul National University, Seoul, South Korea</t>
  </si>
  <si>
    <t>The proceedings contain 25 papers. The topics discussed include: global software development: a design framework to measure the risk of the global practitioners; a discourse linking tool for English language texts comprising lexicon building and ontology creation; three-dimensional SVPWM using Α-Β-Γ frame for solving 4-leg active shunt filter; travel recommendation system using geotagged photos; HDML : habit detection with machine learning; calculus of concurrent probabilistic reversible processes; flip error elimination and core map selection in patch and stitch algorithms for localization in wireless sensor network; comparative study for proposed algorithm for all-optical network with negative acknowledgement (AO-NACK); a load balancing cross clustering approach in wireless sensor network; component-based self-healing algorithm with dynamic range allocation for fault-tolerance in WSN; optimal sub-path selection for maximum data gathering using mobile sink in WSN; an improved tour length minimization for single hop data gathering in wireless sensor network; copy-move tampering detection based on local binary pattern histogram Fourier feature; a handheld gun detection using faster R-CNN deep learning; an automated approach for volume fraction measurement of titanium alloy using digital image processing; recognition of bird species from their sounds using data reduction techniques; designing an efficient methodology based on entropy-TOPSIS for evaluating efficiency of cloud services; and generation and proliferation of random directed acyclic graphs for workflow scheduling problem.</t>
  </si>
  <si>
    <t>https://www.scopus.com/inward/record.uri?eid=2-s2.0-85046054549&amp;partnerID=40&amp;md5=6ec6429c7b60485f17d70f690d094ef2</t>
  </si>
  <si>
    <t>Active learning with amazon mechanical turk</t>
  </si>
  <si>
    <t>51665075400;36992515300;7003432991;</t>
  </si>
  <si>
    <t>Supervised classification needs large amounts of annotated training data that is expensive to create. Two approaches that reduce the cost of annotation are active learning and crowd-sourcing. However, these two approaches have not been combined successfully to date. We evaluate the utility of active learning in crowdsourcing on two tasks, named entity recognition and sentiment detection, and show that active learning outperforms random selection of annotation examples in a noisy crowdsourcing scenario. © 2011 Association for Computational Linguistics.</t>
  </si>
  <si>
    <t>Laws F., Scheible C., Schütze H.</t>
  </si>
  <si>
    <t>EMNLP 2011 - Conference on Empirical Methods in Natural Language Processing, Proceedings of the Conference</t>
  </si>
  <si>
    <t>https://www.scopus.com/inward/record.uri?eid=2-s2.0-80053259936&amp;partnerID=40&amp;md5=f116ccfdabe989e765024f31ea878696</t>
  </si>
  <si>
    <t>Institute for Natural Language Processing, Universität Stuttgart, Germany</t>
  </si>
  <si>
    <t>Laws, F., Institute for Natural Language Processing, Universität Stuttgart, Germany; Scheible, C., Institute for Natural Language Processing, Universität Stuttgart, Germany; Schütze, H., Institute for Natural Language Processing, Universität Stuttgart, Germany</t>
  </si>
  <si>
    <t>Laws, F.; Institute for Natural Language Processing, Germany; email: lawsfn@ims.uni-stuttgart.de</t>
  </si>
  <si>
    <t>Adapting the turing test for declaring document analysis problems solved</t>
  </si>
  <si>
    <t>10.1109/DAS.2012.14</t>
  </si>
  <si>
    <t>57190383560;56672133100;</t>
  </si>
  <si>
    <t>We propose to adapt Turing's seminal 1950 test for machine intelligence to evaluating progress in document analysis systems. Our premise is that a problem can be considered solved if automated and human solutions to the underlying task are indistinguishable to a skeptical human judge. For the domain-specific problems of concern here, we reformulate the test to keep the interaction between judges and human/machine participants to graphical user interfaces that do not require natural language processing, a notable difference from Turing's original formulation. Examples of tasks that may lend themselves to such tests include detecting or identifying specific document components such as logos, photographs, tables, as well as writer and language identification. The administration of the test would be facilitated by commercial crowd-sourcing systems such as Amazon Mechanical Turk, as well as research platforms such as the Lehigh Document Analysis Engine (DAE) that accept arbitrary documents for input, record test results, and provide for trusted execution of submitted programs. © 2012 IEEE.</t>
  </si>
  <si>
    <t>Lopresti D., Nagy G.</t>
  </si>
  <si>
    <t>Proceedings - 10th IAPR International Workshop on Document Analysis Systems, DAS 2012</t>
  </si>
  <si>
    <t>https://www.scopus.com/inward/record.uri?eid=2-s2.0-84862108498&amp;doi=10.1109%2fDAS.2012.14&amp;partnerID=40&amp;md5=49cda87a93afedc288763b06bbd2b447</t>
  </si>
  <si>
    <t>CSE Department, Lehigh University, Bethlehem, PA 18055, United States; ECSE Department, Rensselaer Polytechnic Institute, Troy, NY 12180, United States</t>
  </si>
  <si>
    <t>Lopresti, D., CSE Department, Lehigh University, Bethlehem, PA 18055, United States; Nagy, G., ECSE Department, Rensselaer Polytechnic Institute, Troy, NY 12180, United States</t>
  </si>
  <si>
    <t>Lopresti, D.; CSE Department, , Bethlehem, PA 18055, United States; email: lopresti@cse.lehigh.edu</t>
  </si>
  <si>
    <t>Addressing Inconsistencies in the Social Norms Drinking Literature: Development of the Injunctive Norms Drinking and Abstaining Behaviors Questionnaire</t>
  </si>
  <si>
    <t>10.1111/acer.13202</t>
  </si>
  <si>
    <t>56656222100;6603749133;7202391795;</t>
  </si>
  <si>
    <t>Background: Informed by inconsistent findings regarding the association between injunctive norms (IN) and drinking behaviors, the current study developed a new measure of IN, the Injunctive Norms Drinking and Abstaining Behaviors Questionnaire (IN-DABQ). This measure addressed several psychometric weaknesses of prior assessment of this construct, specifically, reliance on single-item measures, and assessment of a limited range of drinking behaviors. The new measure also assessed norms for reasons for abstaining from drinking as college students often have simultaneous motives to use and inhibit their drug use. A parallel measure of descriptive norms (DN), the Descriptive Norms Drinking and Abstaining Behaviors Questionnaire (DN-DABQ), was created to allow for a comparison of the relative predictive effects of descriptive and IN in relation to different drinking outcomes. Methods: A college sample (N = 254, female = 50.42%) was recruited using Amazon's Mechanical Turk. Participants completed an online survey assessing demographic characteristics, social norms for 3 referents, weekly alcohol use, and alcohol-related consequences. Results: Exploratory factor analyses indicated 2 factors for the DN-DABQ and 3 factors for the IN-DABQ. The IN Drinking Behaviors factor consistently predicted weekly consumption and alcohol-related consequences across 3 reference groups (typical college student at your school, friends, and closest friends). Conclusions: These findings suggest that prior inconsistencies in the relationship between IN and drinking behaviors are likely a function of poor measurement of this construct. Implications for normative feedback interventions are discussed. Copyright © 2016 by the Research Society on Alcoholism</t>
  </si>
  <si>
    <t>Meisel S.N., Colder C.R., Read J.P.</t>
  </si>
  <si>
    <t>Alcoholism: Clinical and Experimental Research</t>
  </si>
  <si>
    <t>https://www.scopus.com/inward/record.uri?eid=2-s2.0-84989338132&amp;doi=10.1111%2facer.13202&amp;partnerID=40&amp;md5=5b254063ec21c981cab9afda21edf690</t>
  </si>
  <si>
    <t>Department of Psychology, University at Buffalo, The State University of New York, Buffalo, NY, United States</t>
  </si>
  <si>
    <t>Meisel, S.N., Department of Psychology, University at Buffalo, The State University of New York, Buffalo, NY, United States; Colder, C.R., Department of Psychology, University at Buffalo, The State University of New York, Buffalo, NY, United States; Read, J.P., Department of Psychology, University at Buffalo, The State University of New York, Buffalo, NY, United States</t>
  </si>
  <si>
    <t>Meisel, S.N.; Department of Psychology, United States; email: snmeisel@buffalo.edu</t>
  </si>
  <si>
    <t>Adopting a social network perspective in global software development</t>
  </si>
  <si>
    <t>10.1109/ICGSE.2012.10</t>
  </si>
  <si>
    <t>51663653100;57193896682;6507773935;</t>
  </si>
  <si>
    <t>In the past few years, software engineering researchers have adopted social network analysis techniques to understand collaboration patterns in global software teams. In this paper, we investigate current research in global software development where social network theory is used as an analysis technique. We do so through a systematic literature review where we collect and analyze previous work that adopt a social network perspective in distributed software development. We use the 3C collaboration model to classify our results based on the communication, coordination and cooperation aspects of global networks. Our results reveal two main coordination structures used in distributed teams, namely the clustering and the core-periphery structure. The analysis of the cooperation activities of the global networks reveal differences between planning and practice. Finally, several tools have been identified that aim to improve communication patterns among distributed team members. © 2012 IEEE.</t>
  </si>
  <si>
    <t>Manteli C., Van Vliet H., Van Den Hooff B.</t>
  </si>
  <si>
    <t>https://www.scopus.com/inward/record.uri?eid=2-s2.0-84870692248&amp;doi=10.1109%2fICGSE.2012.10&amp;partnerID=40&amp;md5=b12890562b0597cf2a098c67800c13f7</t>
  </si>
  <si>
    <t>Dept. of Computer Science, VU University Amsterdam, Amsterdam, Netherlands; Faculty of Economics and Business Administration, VU University Amsterdam, Amsterdam, Netherlands</t>
  </si>
  <si>
    <t>Manteli, C., Dept. of Computer Science, VU University Amsterdam, Amsterdam, Netherlands; Van Vliet, H., Dept. of Computer Science, VU University Amsterdam, Amsterdam, Netherlands; Van Den Hooff, B., Faculty of Economics and Business Administration, VU University Amsterdam, Amsterdam, Netherlands</t>
  </si>
  <si>
    <t>Manteli, C.; Dept. of Computer Science, , Amsterdam, Netherlands; email: cmanteli@cs.vu.nl</t>
  </si>
  <si>
    <t>Adult ADHD, Emotion Dysregulation, and Functional Outcomes: Examining the Role of Emotion Regulation Strategies</t>
  </si>
  <si>
    <t>10.1007/s10862-018-9695-1</t>
  </si>
  <si>
    <t>57203866695;8832607900;57203859894;</t>
  </si>
  <si>
    <t>Emotion dysregulation is associated with Attention-Deficit/Hyperactivity Disorder (ADHD) and may contribute to the functional impairment experienced by people with this disorder. The present study addressed the following questions: 1) Does emotion dysregulation mediate the relationship between ADHD and key domains of functioning in adults with ADHD?, and, 2) If so, which emotion regulation strategies might further explain this relationship? 159 participants (59 ADHD, 100 non-ADHD) were recruited through Amazon’s Mechanical Turk. Participants completed a variety of online self-report measures assessing ADHD symptoms, emotion regulation deficits and strategies, symptoms of depression and anxiety, relationship satisfaction, and overall functional impairment. Deficits in emotion regulation mediated the relationship between ADHD and internalizing symptoms, relationship satisfaction, and overall functional impairment. In exploratory analyses, avoidance mediated the relationship between ADHD and deficits in emotion regulation, but reappraisal and suppression did not. Serial mediation analyses indicated that the indirect effects of avoidance alone, apart from deficits in emotion regulation, partially explained the relationship between ADHD and nearly all outcomes. These results are consistent with past literature indicating that emotion regulation problems help explain the presence of depressive symptoms and romantic relationship impairment in adults with ADHD, and add that anxiety symptoms, poorer friendship quality, and greater functional impairment also may be influenced by emotion regulation problems. This study also identifies a specific emotion regulation strategy – avoidance – as a potential contributor to these outcomes. Future work should investigate contexts in which avoidant coping is most problematic so that interventions can be adapted accordingly. © 2018, Springer Science+Business Media, LLC, part of Springer Nature.</t>
  </si>
  <si>
    <t>Bodalski E.A., Knouse L.E., Kovalev D.</t>
  </si>
  <si>
    <t>Journal of Psychopathology and Behavioral Assessment</t>
  </si>
  <si>
    <t>https://www.scopus.com/inward/record.uri?eid=2-s2.0-85053268042&amp;doi=10.1007%2fs10862-018-9695-1&amp;partnerID=40&amp;md5=2b8662bf6de02661749105dc69dcd431</t>
  </si>
  <si>
    <t>Department of Psychology, University of Richmond, Richmond, VA, United States; Department of Psychology, University of Maryland, College Park, MD  20740, United States</t>
  </si>
  <si>
    <t>Bodalski, E.A., Department of Psychology, University of Richmond, Richmond, VA, United States, Department of Psychology, University of Maryland, College Park, MD  20740, United States; Knouse, L.E., Department of Psychology, University of Richmond, Richmond, VA, United States; Kovalev, D., Department of Psychology, University of Richmond, Richmond, VA, United States</t>
  </si>
  <si>
    <t>Bodalski, E.A.; Department of Psychology, United States; email: bodalski@terpmail.umd.edu</t>
  </si>
  <si>
    <t>Advanced Techniques for Dispute Resolving and Authorship Proofs on Digital Works</t>
  </si>
  <si>
    <t>10.1117/12.477295</t>
  </si>
  <si>
    <t>8316936900;7005114196;</t>
  </si>
  <si>
    <t>Digital watermarking is a promising technology for protecting intellectual property rights on digital content. Resolving authorship-disputes was one of the first and most propelling applications of robust digital watermarks, and much research effort has gone into protocols for resolving authorship-disputes by means of digital watermarks. Unfortunately, previous proposals lack formal definitions of their trust model, their assumptions, and requirements they should fulfill. This lack of formal definitions makes security proofs for such protocols impossible and many dispute resolving protocols, claimed to be secure, can be shown to be insecure. In this paper we set off to rigorously defining dispute resolving schemes based on a reasonable formal definition of "authorship". Building on this formal fundament, we analyze the most important proposals for dispute resolving, and discuss their connection to our authorship model. We show that existing proposals suffer from two major problems: First, they require an unnecessary high level of trust in the dispute resolving party. The second and even more serious is that the winner of the dispute is not guaranteed to be the rightful author of the disputed work (conclusiveness problem). As solutions, we propose dispute resolving schemes based on zero-knowledge watermark detection and asymmetric watermarking schemes.</t>
  </si>
  <si>
    <t>2003</t>
  </si>
  <si>
    <t>Adelsbach A., Sadeghi A.-R.</t>
  </si>
  <si>
    <t>Proceedings of SPIE - The International Society for Optical Engineering</t>
  </si>
  <si>
    <t>https://www.scopus.com/inward/record.uri?eid=2-s2.0-0242581588&amp;doi=10.1117%2f12.477295&amp;partnerID=40&amp;md5=0d61fb5122a8f39fd58c5ad8124cbd28</t>
  </si>
  <si>
    <t>Department of Computer Science, Security and Cryptography Group, Saarland University, Postfach 151150, D-66041 Saarbrücken, Germany</t>
  </si>
  <si>
    <t>Adelsbach, A., Department of Computer Science, Security and Cryptography Group, Saarland University, Postfach 151150, D-66041 Saarbrücken, Germany; Sadeghi, A.-R., Department of Computer Science, Security and Cryptography Group, Saarland University, Postfach 151150, D-66041 Saarbrücken, Germany</t>
  </si>
  <si>
    <t>Adelsbach, A.; Department of Computer Science, Postfach 151150, D-66041 Saarbrücken, Germany; email: adelsbach@cs.uni-sb.de</t>
  </si>
  <si>
    <t>Agile global software development communication challenges: A systematic review</t>
  </si>
  <si>
    <t>36348354800;53979600700;</t>
  </si>
  <si>
    <t>Organizations have shown a significant interest in adopting human and communication-oriented agile practices for Global Software Development (GSD). Agile practices originated in the context of small and medium co-located project teams present a number of communication challenges when they are applied to the distributed GSD. There is a need to understand the underlying communication challenges of agile GSD environment. This paper adopts a Systematic Literature Review (SLR) approach and reports communication challenges in the agile GSD context. A customized literature search and selection criteria was first developed and then applied to initially identify a set of 449 papers. Finally, 22 of 449 papers, relevant to this research, were selected for this study. These final 22 papers were reviewed and 7 major categories of communication challenges were identified in the context of agile GSD. The review results of this paper are expected to help researchers and practitioners to understand communication challenges of agile GSD and develop tools, techniques and strategies to deal with these challenges. This paper is limited to the number of reviewed studies from selected databases.</t>
  </si>
  <si>
    <t>Alzoubi Y.I., Gill A.Q.</t>
  </si>
  <si>
    <t>Proceedings - Pacific Asia Conference on Information Systems, PACIS 2014</t>
  </si>
  <si>
    <t>https://www.scopus.com/inward/record.uri?eid=2-s2.0-84928620140&amp;partnerID=40&amp;md5=0d53bb68550fba099d437f1a50a22740</t>
  </si>
  <si>
    <t>School of Software, University of Technology Sydney, Sydney, Australia</t>
  </si>
  <si>
    <t>Alzoubi, Y.I., School of Software, University of Technology Sydney, Sydney, Australia; Gill, A.Q., School of Software, University of Technology Sydney, Sydney, Australia</t>
  </si>
  <si>
    <t>Algorithmic labor in the platform Economy: Digital infrastructures, job quality, and workplace surveillance</t>
  </si>
  <si>
    <t>10.22381/EMFM13320184</t>
  </si>
  <si>
    <t>35759104700;57201592999;57204710811;</t>
  </si>
  <si>
    <t>The current study supports previous research claiming that algorithmic control is key to the performance of online labor platforms. Using data from BloombergOpinion, Edelman Berland, Elance-oDesk, Ernst &amp; Young, Freelancers Union, National Technology Readiness Survey, T. Rowe Price, and U.S. Bureau of Labor Statistics, we performed analyses and made estimates regarding the income gap between traditional and gig workers, on-demand economy consumers by technology readiness segment compared to the U.S. population, self-employed workers as a percentage of total employment, not seasonally adjusted, and on-demand economy consumers by age group. Empirical and secondary data are employed to support the claim that online labor platforms utilize algorithms to clarify work away from individuals with unsatisfactory ratings. © 2018, Addleton Academic Publishers. All rights reserved.</t>
  </si>
  <si>
    <t>Popescu G.H., Petrescu I.E., Sabie O.M.</t>
  </si>
  <si>
    <t>Economics, Management, and Financial Markets</t>
  </si>
  <si>
    <t>https://www.scopus.com/inward/record.uri?eid=2-s2.0-85056796880&amp;doi=10.22381%2fEMFM13320184&amp;partnerID=40&amp;md5=a1376c24c94119b83ea2c9ce6ef585d3</t>
  </si>
  <si>
    <t>Center for Applied Macroeconomic Analysis at AAER, New York, India; Dimitrie Cantemir Christian University, Bucharest, Romania; The Bucharest University of Economic Studies, Romania</t>
  </si>
  <si>
    <t>Popescu, G.H., Center for Applied Macroeconomic Analysis at AAER, New York, India, Dimitrie Cantemir Christian University, Bucharest, Romania; Petrescu, I.E., The Bucharest University of Economic Studies, Romania; Sabie, O.M., The Bucharest University of Economic Studies, Romania</t>
  </si>
  <si>
    <t>Algorithmic mechanisms for internet supercomputing under unreliable communication</t>
  </si>
  <si>
    <t>10.1109/NCA.2011.46</t>
  </si>
  <si>
    <t>53879258100;23110003000;7005194639;8978041800;</t>
  </si>
  <si>
    <t>This work, using a game-theoretic approach, considers Internet-based computations, where a master processor assigns, over the Internet, a computational task to a set of untrusted worker processors, and collects their responses. The master must obtain the correct task result, while maximizing its benefit. Building on prior work, we consider a framework where altruistic, malicious, and rational workers co-exist. In addition, we consider the possibility that the communication between the master and the workers is not reliable, and that workers could be unavailable; assumptions that are very realistic for Internet-based master-worker computations. Within this framework, we design and analyze two algorithmic mechanisms that provide, when necessary, appropriate incentives to rational workers to act correctly, despite the malicious' workers actions and the unreliability of the network. These mechanisms are then applied to two realistic Internet-based master-worker settings, a SETI-like one and a contractor-based one, such as Amazon's mechanical turk. © 2011 IEEE.</t>
  </si>
  <si>
    <t>Christoforou E., Anta A.F., Georgiou C., Mosteiro M.A.</t>
  </si>
  <si>
    <t>Proceedings - 2011 IEEE International Symposium on Network Computing and Applications, NCA 2011</t>
  </si>
  <si>
    <t>https://www.scopus.com/inward/record.uri?eid=2-s2.0-80055016235&amp;doi=10.1109%2fNCA.2011.46&amp;partnerID=40&amp;md5=ac0b3936b82943d15fb8d594583712cb</t>
  </si>
  <si>
    <t>Univ. of Cyprus, Cyprus; Institute IMDEA Networks, URJC, Spain; Rutgers Univ., URJC, United States</t>
  </si>
  <si>
    <t>Christoforou, E., Univ. of Cyprus, Cyprus; Anta, A.F., Institute IMDEA Networks, URJC, Spain; Georgiou, C., Univ. of Cyprus, Cyprus; Mosteiro, M.A., Rutgers Univ., URJC, United States</t>
  </si>
  <si>
    <t>Christoforou, E.; Univ. of CyprusCyprus; email: evgenia.christoforou@gmail.com</t>
  </si>
  <si>
    <t>Algorithmic mechanisms for reliable master-worker internet-based computing</t>
  </si>
  <si>
    <t>10.1109/TC.2012.186</t>
  </si>
  <si>
    <t>We consider Internet-based master-worker computations, where a master processor assigns, across the Internet, a computational task to a set of untrusted worker processors, and collects their responses. Examples of such computations are the "@home" projects such as SETI. In this work, various worker behaviors are considered. Altruistic workers always return the correct result of the task, malicious workers always return an incorrect result, and rational workers act based on their self-interest. In a massive computation platform, such as the Internet, it is expected that all three type of workers coexist. Therefore, in this work, we study Internet-based master-worker computations in the presence of malicious, altruistic, and rational workers. A stochastic distribution of the workers over the three types is assumed. In addition, we consider the possibility that the communication between the master and the workers is not reliable, and that workers could be unavailable. Considering all the three types of workers renders a combination of game-theoretic and classical distributed computing approaches to the design of mechanisms for reliable Internet-based computing. Indeed, in this work, we design and analyze two algorithmic mechanisms to provide appropriate incentives to rational workers to act correctly, despite the malicious workers' actions and the unreliability of the communication. Only when necessary, the incentives are used to force the rational players to a certain equilibrium (which forces the workers to be truthful) that overcomes the attempt of the malicious workers to deceive the master. Finally, the mechanisms are analyzed in two realistic Internet-based master-worker settings, a SETI-like one and a contractor-based one, such as Amazon's mechanical turk. We also present plots that illustrate the tradeoffs between reliability and cost, under different system parameters. © 2013 IEEE.</t>
  </si>
  <si>
    <t>Christoforou E., Fernández Anta A., Georgiou C., Mosteiro M.A.</t>
  </si>
  <si>
    <t>IEEE Transactions on Computers</t>
  </si>
  <si>
    <t>https://www.scopus.com/inward/record.uri?eid=2-s2.0-84890524623&amp;doi=10.1109%2fTC.2012.186&amp;partnerID=40&amp;md5=0a26d45c48896d4c4aea5c0adb775087</t>
  </si>
  <si>
    <t>Institute IMDEA Networks and Universidad Carlos III de Madrid, Av. del Mediterráneo 22, 28918 Leganés, Spain; Institute IMDEA Networks, Av. del Mediterráneo 22, 28918 Leganés, Spain; Department of Computer Science, University of Cyprus, 75 Kallipoleos Str., CY-1678, Nicosia, Cyprus; Department of Computer Science, Kean University, 1000 Morris Ave., Union, NJ 07083, United States; Universidad Rey Juan Carlos, Madrid, Spain</t>
  </si>
  <si>
    <t>Christoforou, E., Institute IMDEA Networks and Universidad Carlos III de Madrid, Av. del Mediterráneo 22, 28918 Leganés, Spain; Fernández Anta, A., Institute IMDEA Networks, Av. del Mediterráneo 22, 28918 Leganés, Spain; Georgiou, C., Department of Computer Science, University of Cyprus, 75 Kallipoleos Str., CY-1678, Nicosia, Cyprus; Mosteiro, M.A., Department of Computer Science, Kean University, 1000 Morris Ave., Union, NJ 07083, United States, Universidad Rey Juan Carlos, Madrid, Spain</t>
  </si>
  <si>
    <t>Institute IMDEA Networks and Universidad Carlos III de Madrid, Av. del Mediterráneo 22, 28918 Leganés, Spain</t>
  </si>
  <si>
    <t>American and indian conceptualizations of phishing</t>
  </si>
  <si>
    <t>10.1109/STAST.2013.10</t>
  </si>
  <si>
    <t>55957702700;55192902800;16307910100;6602271299;35181459400;</t>
  </si>
  <si>
    <t>Using Amazon's Mechanical Turk, fifty American and sixty-one Indian participants completed a survey that assessed characteristics of phishing attacks, asked participants to describe their previous phishing experiences, and report phishing consequences. The results indicated that almost all participants had been targets, yet Indian participants were twice as likely to be successfully phished as American participants. Part of the reason appears to be that American participants reported more frequent efforts to protect themselves online such as by looking for the padlock icon in their browser. Statistical analyses indicated that American participants agreed more with items for characteristics of phishing, consequences of phishing and the types of media where phishing occurs, suggesting more cautiousness and awareness of phishing. © 2013 IEEE.</t>
  </si>
  <si>
    <t>Tembe R., Hong K.W., Murphy-Hill E., Mayhorn C.B., Kelley C.M.</t>
  </si>
  <si>
    <t>Workshop on Socio-Technical Aspects in Security and Trust, STAST</t>
  </si>
  <si>
    <t>https://www.scopus.com/inward/record.uri?eid=2-s2.0-84897734571&amp;doi=10.1109%2fSTAST.2013.10&amp;partnerID=40&amp;md5=07d5ddf949ed221b371b541f287c6125</t>
  </si>
  <si>
    <t>Department of Psychology, North Carolina State University, Raleigh, NC, United States; Department of Computer Science, North Carolina State University, Raleigh, NC, United States</t>
  </si>
  <si>
    <t>Tembe, R., Department of Psychology, North Carolina State University, Raleigh, NC, United States; Hong, K.W., Department of Computer Science, North Carolina State University, Raleigh, NC, United States; Murphy-Hill, E., Department of Computer Science, North Carolina State University, Raleigh, NC, United States; Mayhorn, C.B., Department of Psychology, North Carolina State University, Raleigh, NC, United States; Kelley, C.M., Department of Psychology, North Carolina State University, Raleigh, NC, United States</t>
  </si>
  <si>
    <t>Department of Psychology, , Raleigh, NC, United States</t>
  </si>
  <si>
    <t>An analysis of crowd workers mistakes for specific and complex relevance assessment task</t>
  </si>
  <si>
    <t>10.1145/2505515.2507884</t>
  </si>
  <si>
    <t>55838375500;55837144300;15045464400;7004337816;</t>
  </si>
  <si>
    <t>The TREC 2012 Crowdsourcing track asked participants to crowdsource relevance assessments with the goal of replicating costly expert judgements with relatively fast, inexpensive, but less reliable judgements from anonymous online workers. The track used 10 "ad-hoc" queries, highly specific and complex (as compared to web search). The crowd-sourced assessments were evaluated against expert judgments made by highly trained and capable human analysts in 1999 as part of ad hoc track collection construction. Since most crowdsourcing approaches submitted to the TREC 2012 track produced assessment sets nowhere close to the expert judgements, we decided to analyze crowdsourcing mistakes made on this task using data we collected via Amazon's Mechanical Turk service. We investigate two types of crowdsourcing approaches: one that asks for nominal relevance grades for each document, and the other that asks for preferences on many (not all) pairs of documents. Copyright is held by the owner/author(s).</t>
  </si>
  <si>
    <t>Anderton J., Bashir M., Pavlu V., Aslam J.A.</t>
  </si>
  <si>
    <t>International Conference on Information and Knowledge Management, Proceedings</t>
  </si>
  <si>
    <t>https://www.scopus.com/inward/record.uri?eid=2-s2.0-84889603841&amp;doi=10.1145%2f2505515.2507884&amp;partnerID=40&amp;md5=437942da208450894362f3911036bb42</t>
  </si>
  <si>
    <t>College of Computer and Information Science, Northeastern University, Boston, MA, United States</t>
  </si>
  <si>
    <t>Anderton, J., College of Computer and Information Science, Northeastern University, Boston, MA, United States; Bashir, M., College of Computer and Information Science, Northeastern University, Boston, MA, United States; Pavlu, V., College of Computer and Information Science, Northeastern University, Boston, MA, United States; Aslam, J.A., College of Computer and Information Science, Northeastern University, Boston, MA, United States</t>
  </si>
  <si>
    <t>College of Computer and Information Science, , Boston, MA, United States</t>
  </si>
  <si>
    <t>An analysis of human factors and label accuracy in crowdsourcing relevance judgments</t>
  </si>
  <si>
    <t>10.1007/s10791-012-9205-0</t>
  </si>
  <si>
    <t>6507792543;7006392783;55663600700;</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</si>
  <si>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crowd for the given task and promotes quality work. In this paper, we describe a series of experiments using Amazon's Mechanical Turk, conducted to explore the 'human' characteristics of the crowds involved in a relevance assessment task. In the experiments, we vary the level of pay offered, the effort required to complete a task and the qualifications required of the workers. We observe the effects of these variables on the quality of the resulting relevance labels, measured based on agreement with a gold set, and correlate them with self-reported measures of various human factors. We elicit information from the workers about their motivations, interest and familiarity with the topic, perceived task difficulty, and satisfaction with the offered pay. We investigate how these factors combine with aspects of the task design and how they affect the accuracy of the resulting relevance labels. Based on the analysis of 960 HITs and 2,880 HIT assignments resulting in 19,200 relevance labels, we arrive at insights into the complex interaction of the observed factors and provide practical guidelines to crowdsourcing practitioners. In addition, we highlight challenges in the data analysis that stem from the peculiarity of the crowdsourcing environment where the sample of individuals engaged in specific work conditions are inherently influenced by the conditions themselves. © 2012 Springer Science+Business Media, LLC.</t>
  </si>
  <si>
    <t>Kazai G., Kamps J., Milic-Frayling N.</t>
  </si>
  <si>
    <t>Information Retrieval</t>
  </si>
  <si>
    <t>https://www.scopus.com/inward/record.uri?eid=2-s2.0-84875650055&amp;doi=10.1007%2fs10791-012-9205-0&amp;partnerID=40&amp;md5=154d347a333e10cbbd50619078ca246d</t>
  </si>
  <si>
    <t>Microsoft Research, Cambridge, United Kingdom; University of Amsterdam, Amsterdam, Netherlands</t>
  </si>
  <si>
    <t>Kazai, G., Microsoft Research, Cambridge, United Kingdom; Kamps, J., University of Amsterdam, Amsterdam, Netherlands; Milic-Frayling, N., Microsoft Research, Cambridge, United Kingdom</t>
  </si>
  <si>
    <t>Kazai, G.; Microsoft Research, Cambridge, United Kingdom; email: v-gabkaz@microsoft.com</t>
  </si>
  <si>
    <t>Humayun, M.; Department of computer Science and Technology, , Harbin, China; email: mamoona@hit.edu.cn</t>
  </si>
  <si>
    <t>An evaluation framework for plagiarism detection</t>
  </si>
  <si>
    <t>23012600600;23013265500;26321398000;8960238100;</t>
  </si>
  <si>
    <t>We present an evaluation framework for plagiarism detection.1 The framework provides performance measures that address the specifics of plagiarism detection, and the PAN-PC-10 corpus, which contains 64 558 artificial and 4 000 simulated plagiarism cases, the latter generated via Amazon's Mechanical Turk. We discuss the construction principles behind the measures and the corpus, and we compare the quality of our corpus to existing corpora. Our analysis gives empirical evidence that the construction of tailored training corpora for plagiarism detection can be automated, and hence be done on a large scale.</t>
  </si>
  <si>
    <t>Potthast M., Stein B., Barrón-Cedeño A., Rosso P.</t>
  </si>
  <si>
    <t>Coling 2010 - 23rd International Conference on Computational Linguistics, Proceedings of the Conference</t>
  </si>
  <si>
    <t>https://www.scopus.com/inward/record.uri?eid=2-s2.0-80053426905&amp;partnerID=40&amp;md5=76bd741fcd8ca27d78699b55a4758f45</t>
  </si>
  <si>
    <t>Web Technology and Information Systems, Bauhaus-Universität Weimar, Germany; Natural Language Engineering Lab-ELiRF, Universidad Politécnica de Valencia, Spain</t>
  </si>
  <si>
    <t>Potthast, M., Web Technology and Information Systems, Bauhaus-Universität Weimar, Germany; Stein, B., Web Technology and Information Systems, Bauhaus-Universität Weimar, Germany; Barrón-Cedeño, A., Natural Language Engineering Lab-ELiRF, Universidad Politécnica de Valencia, Spain; Rosso, P., Natural Language Engineering Lab-ELiRF, Universidad Politécnica de Valencia, Spain</t>
  </si>
  <si>
    <t>Potthast, M.; Web Technology and Information Systems, Germany; email: martin.potthast@uni-weimar.de</t>
  </si>
  <si>
    <t>Buhrmester, M.D.; Institute of Cognitive and Evolutionary Anthropology, 64 Banbury Rd., United Kingdom; email: buhrmester@gmail.com</t>
  </si>
  <si>
    <t>An Evaluation of the Impact of Visual Embellishments in Bar Charts</t>
  </si>
  <si>
    <t>10.1111/cgf.12634</t>
  </si>
  <si>
    <t>55571586800;26666810600;13905689700;</t>
  </si>
  <si>
    <t>(Figure Presented). As data visualization becomes further intertwined with the field of graphic design and information graphics, small graphical alterations are made to many common chart formats. Despite the growing prevalence of these embellishments, their effects on communication of the charts' data is unknown. From an overview of the design space, we have outlined some of the common embellishments that are made to bar charts. We have studied the effects of these chart embellishments on the communication of the charts' data through a series of user studies on Amazon's Mechanical Turk platform. The results of these studies lead to a better understanding of how each chart type is perceived, and help provide guiding principles for the graphic design of charts. © 2015 The Author(s) Computer Graphics Forum © 2015 The Eurographics Association and John Wiley &amp; Sons Ltd. Published by John Wiley &amp; Sons Ltd.</t>
  </si>
  <si>
    <t>Skau D., Harrison L., Kosara R.</t>
  </si>
  <si>
    <t>Computer Graphics Forum</t>
  </si>
  <si>
    <t>https://www.scopus.com/inward/record.uri?eid=2-s2.0-84937904513&amp;doi=10.1111%2fcgf.12634&amp;partnerID=40&amp;md5=195a710e1d9279074dd58bc183f91082</t>
  </si>
  <si>
    <t>Visually Inc., United States; Tufts University, United States; Tableau Research, United States; UNC Charlotte, United States</t>
  </si>
  <si>
    <t>Skau, D., Visually Inc., United States, UNC Charlotte, United States; Harrison, L., Tufts University, United States; Kosara, R., Tableau Research, United States, UNC Charlotte, United States</t>
  </si>
  <si>
    <t>An evaluation study of architectural design decision paradigms in global software development</t>
  </si>
  <si>
    <t>10.18293/SEKE2015-215</t>
  </si>
  <si>
    <t>48361123700;7202212797;</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</si>
  <si>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(LSD), we present five ADD paradigms used for GSD projects with different organizational structures. We also investigate the benefits and the challenges of the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Copyright © 2015 by KSI Research Inc. and Knowledge Systems Institute Graduate School.</t>
  </si>
  <si>
    <t>Che M., Perry D.E.</t>
  </si>
  <si>
    <t>Proceedings of the International Conference on Software Engineering and Knowledge Engineering, SEKE</t>
  </si>
  <si>
    <t>https://www.scopus.com/inward/record.uri?eid=2-s2.0-84969796282&amp;doi=10.18293%2fSEKE2015-215&amp;partnerID=40&amp;md5=40ecf52f7506eca3da5f07efba55be52</t>
  </si>
  <si>
    <t>Department of Electrical and Computer Engineering, University of Texas at Austin, Austin, TX, United States</t>
  </si>
  <si>
    <t>Che, M., Department of Electrical and Computer Engineering, University of Texas at Austin, Austin, TX, United States; Perry, D.E., Department of Electrical and Computer Engineering, University of Texas at Austin, Austin, TX, United States</t>
  </si>
  <si>
    <t>An examination of the equivalency of self-report measures obtained from crowdsourced versus undergraduate student samples</t>
  </si>
  <si>
    <t>10.3758/s13428-016-0710-8</t>
  </si>
  <si>
    <t>57140168300;6603603437;</t>
  </si>
  <si>
    <t>Increasingly, researchers have begun to explore the potential of the Internet to reach beyond the traditional undergraduate sample. In the present study, we sought to compare the data obtained from a conventional undergraduate college-student sample to data collected via two online survey recruitment platforms. In order to examine whether the data sampled from the three populations were equivalent, we conducted a test of equivalency using inferential confidence intervals—an approach that differs from the more traditional null hypothesis significance testing. The results showed that the data obtained via the two online recruitment platforms, the Amazon Mechanical Turk crowdsourcing site and the virtual environment of Second Life, were statistically equivalent to the data obtained from the college sample, on the basis of means of standardized measures of psychological stress and sleep quality. Additionally, correlations between the sleep and stress measures were not statistically different between the groups. These results, along with practical considerations for the use of these recruitment platforms, are discussed, and recommendations for other researchers who may be considering the use of these platforms are provided. © 2016, Psychonomic Society, Inc.</t>
  </si>
  <si>
    <t>Briones E.M., Benham G.</t>
  </si>
  <si>
    <t>https://www.scopus.com/inward/record.uri?eid=2-s2.0-84959134321&amp;doi=10.3758%2fs13428-016-0710-8&amp;partnerID=40&amp;md5=77edb92c39ac9c33a8334d9c2f435cdd</t>
  </si>
  <si>
    <t>Department of Psychological Science, The University of Texas Rio Grande Valley, 1201 W. University Drive, Edinburg, TX  78539, United States</t>
  </si>
  <si>
    <t>Briones, E.M., Department of Psychological Science, The University of Texas Rio Grande Valley, 1201 W. University Drive, Edinburg, TX  78539, United States; Benham, G., Department of Psychological Science, The University of Texas Rio Grande Valley, 1201 W. University Drive, Edinburg, TX  78539, United States</t>
  </si>
  <si>
    <t>Benham, G.; Department of Psychological Science, 1201 W. University Drive, United States; email: grant.benham@utrgv.edu</t>
  </si>
  <si>
    <t>An experience of young software engineers' employability in the Moroccan offshore industry</t>
  </si>
  <si>
    <t>10.1109/EDUCON.2012.6201187</t>
  </si>
  <si>
    <t>57193396335;24833288900;</t>
  </si>
  <si>
    <t>Last few years, French customers' demand for relocation of part of IT projects has allowed the emergence of an offshore software development industry in Morocco. A network of eight Moroccan universities and the University of Brest has set up a mobility scheme for Moroccan Master students. The OTI programme Offshoring des Technologies de l'Information is governed by the strong principle of driving skilled young engineers to the benefit of Morocco economic development. Education in Morocco and France is specialized on the issue of software development. The mobility scheme should help to reduce the socio-cultural distance that is inherent to offshore software projects. Without neglecting the need of the good quality of academic education, the programme success relies also on complementary actions: students' selection in Morocco; welcome and support in France; search, placement and follow-up of internships in France with pre-employment in Morocco. This article presents original points of the programme and an evaluation using criteria related to students' needs, business demand and institutions requirements. © 2012 IEEE.</t>
  </si>
  <si>
    <t>Saliou P., Ribaud V.</t>
  </si>
  <si>
    <t>IEEE Global Engineering Education Conference, EDUCON</t>
  </si>
  <si>
    <t>https://www.scopus.com/inward/record.uri?eid=2-s2.0-84864132870&amp;doi=10.1109%2fEDUCON.2012.6201187&amp;partnerID=40&amp;md5=2b7a51bd1ab686c6eeaaaff167ab4825</t>
  </si>
  <si>
    <t>Université de Brest, UEB, LabSTICC, Brest, France</t>
  </si>
  <si>
    <t>Saliou, P., Université de Brest, UEB, LabSTICC, Brest, France; Ribaud, V., Université de Brest, UEB, LabSTICC, Brest, France</t>
  </si>
  <si>
    <t>Saliou, P.; Université de Brest, UEB, , Brest, France; email: psaliou@univ-brest.fr</t>
  </si>
  <si>
    <t>An experience-based framework for evaluating alignment of software quality goals</t>
  </si>
  <si>
    <t>10.1007/s11219-014-9251-5</t>
  </si>
  <si>
    <t>Efficient quality management of software projects requires knowledge of how various groups of stakeholders involved in software development prioritize the product and project goals. Agreements or disagreements among members of a team may originate from inherent groupings, depending on various professional or other characteristics. These agreements are not easily detected by conventional practices (discussions, meetings, etc.) since the natural language expressions are often obscuring, subjective, and prone to misunderstandings. It is therefore essential to have objective tools that can measure the alignment among the members of a team; especially critical for the software development is the degree of alignment with respect to the prioritization goals of the software product. The paper proposes an experience-based framework of statistical and graphical techniques for the systematic study of prioritization alignment, such as hierarchical cluster analysis, analysis of cluster composition, correlation analysis, and closest agreement-directed graph. This framework can provide a thorough and global picture of a team’s prioritization perspective and can potentially aid managerial decisions regarding team composition and leadership. The framework is applied and illustrated in a study related to global software development where 65 individuals in different roles, geographic locations and professional relationships with a company, prioritize 24 goals from individual perception of the actual situation and for an ideal situation. © 2014, Springer Science+Business Media New York.</t>
  </si>
  <si>
    <t>https://www.scopus.com/inward/record.uri?eid=2-s2.0-85028193608&amp;doi=10.1007%2fs11219-014-9251-5&amp;partnerID=40&amp;md5=dbcf765656760d5ef5d16996f0b82b9f</t>
  </si>
  <si>
    <t>Department of Informatics, Aristotle University of Thessaloniki, Thessaloníki, Greece; Blekinge Institute of Technology, Karlskrona, Sweden; School of Information Systems, Technology and Management, University of New South Wales, Sydney, NSW, Australia</t>
  </si>
  <si>
    <t>Chatzipetrou, P., Department of Informatics, Aristotle University of Thessaloniki, Thessaloníki, Greece; Angelis, L., Department of Informatics, Aristotle University of Thessaloniki, Thessaloníki, Greece; Barney, S., Blekinge Institute of Technology, Karlskrona, Sweden, School of Information Systems, Technology and Management, University of New South Wales, Sydney, NSW, Australia; Wohlin, C., Blekinge Institute of Technology, Karlskrona, Sweden</t>
  </si>
  <si>
    <t>Angelis, L.; Department of Informatics, Greece; email: lef@csd.auth.gr</t>
  </si>
  <si>
    <t>An expert-based requirements effort estimation model using bayesian networks</t>
  </si>
  <si>
    <t>10.1007/978-3-319-27033-3_6</t>
  </si>
  <si>
    <t>7103403410;24832068200;57031944000;</t>
  </si>
  <si>
    <t>[Motivation]: There are numerous software companies worldwide that split the software development life cycle into at least two separate projects – an initial project where a requirements specification document is prepared; and a follow-up project where the previously prepared requirements document is used as input to developing a software application. These follow-up projects can also be delegated to a third party, as occurs in numerous global software development scenarios. Effort estimation is one of the cornerstones of any type of project management; however, a systematic literature review on requirements effort estimation found hardly any empirical study investigating this topic. [Objective]: The goal of this paper is to describe an industrial case study where an expert-based requirements effort estimation model was built and validated for the Brazilian Navy. [Method]: A knowledge engineering of Bayesian networks process was employed to build the requirements effort estimation model. [Results]: The expert-based requirements effort estimation model was built with the participation of seven software requirements analysts and project managers, leading to 28 prediction factors and 30+ relationships. The model was validated based on real data from 11 large requirements specification projects. The model was incorporated into the Brazilian navy’s quality assurance process to be used by their software requirements analysts and managers. [Conclusion]: This paper details a case study where an expert-based requirements effort estimation model based solely on knowledge from requirements analysts and project managers was successfully built to help the Brazilian Navy estimate the requirements effort for their projects. © Springer International Publishing Switzerland 2016.</t>
  </si>
  <si>
    <t>Mendes E., Vaz V.T., Muradas F.</t>
  </si>
  <si>
    <t>https://www.scopus.com/inward/record.uri?eid=2-s2.0-84952646318&amp;doi=10.1007%2f978-3-319-27033-3_6&amp;partnerID=40&amp;md5=de2982f30a4a5721497c61320feb9caa</t>
  </si>
  <si>
    <t>BTH – Blekinge Institute of Technology, Karlskrona, 37179, Sweden; University of Oulu, Oulu, Finland; UFRJ – Federal University of Rio de Janeiro, P.O. Box 68511, Rio de Janeiro, Brazil; Naval Systems Analysis Centre, San Diego, 20091000, Brazil</t>
  </si>
  <si>
    <t>Mendes, E., BTH – Blekinge Institute of Technology, Karlskrona, 37179, Sweden, University of Oulu, Oulu, Finland; Vaz, V.T., UFRJ – Federal University of Rio de Janeiro, P.O. Box 68511, Rio de Janeiro, Brazil; Muradas, F., Naval Systems Analysis Centre, San Diego, 20091000, Brazil</t>
  </si>
  <si>
    <t>Mendes, E.; BTH – Blekinge Institute of TechnologySweden; email: emilia.mendes@bth.se</t>
  </si>
  <si>
    <t>An exploratory pilot study of mechanisms of action within normative feedback for adult drinkers</t>
  </si>
  <si>
    <t>10.7717/peerj.2114</t>
  </si>
  <si>
    <t>6507402649;6603733913;56712193700;15835628800;55624842800;</t>
  </si>
  <si>
    <t>Background. Normative feedback (NF), or receiving information about one's drinking compared to peer drinking norms, is one of the most widely used brief interventions for prevention and intervention for hazardous alcohol use. NF has demonstrated predominantly small but significant effect sizes for intention to change and other drinking related outcomes. Identifying mechanisms of action may improve the effectiveness of NF; however, few studies have examined NF's mechanisms of action, particularly among adults. Objective. This study is an exploratory analysis of two theorized mechanisms of NF: Discrepancy (specifically personal dissonance-the affective response to feedback) and belief in the accuracy of feedback. Method. Using Amazon's Mechanical Turk, 87 men (n = 56) and women (n = 31) completed an online survey during which they were asked about their perceptions about their drinking and actual drinking behaviors. Then participants were provided tailored NF and evaluated for their reactions. Severity of discrepancy was measured by the difference between one's estimated percentile ranking of drinking compared to peers and actual percentile ranking. Surprise and worry reported due to the discrepancy were proxies for personal dissonance. Participants were also asked if they believed the feedback and if they had any plans to change their drinking. Mediation analyses were implemented, exploring whether surprise, worry, or belief in the accuracy of feedback mediated severity of discrepancy's impact on plan for change. Results. Among this sample of adult drinkers, severity of discrepancy did not predict plan for change, and personal dissonance did not mediate severity of discrepancy. Severity of discrepancy was mediated by belief in the accuracy of feedback. In addition, viewing one's drinking as a problem prior to feedback and post-NF worry both predicted plan for change independently. Conclusions. Results revealed that NF may not work to create personal dissonance through discrepancy, but belief in the accuracy of feedback may be important. It appears the more one believes the feedback, the more one makes a plan for change, suggesting practitioners should be mindful of how information within feedback is presented. Findings also indicate NF may work by validating a preexisting perception that drinking is a problem instead of creating concern related to discrepancy where none existed. Limitations regarding generalizability are discussed. © 2016 Kuerbis et al.</t>
  </si>
  <si>
    <t>Kuerbis A., Muench F.J., Lee R., Pena J., Hail L.</t>
  </si>
  <si>
    <t>PeerJ</t>
  </si>
  <si>
    <t>https://www.scopus.com/inward/record.uri?eid=2-s2.0-84977109259&amp;doi=10.7717%2fpeerj.2114&amp;partnerID=40&amp;md5=62492af690b74be9695ca723c75aa0da</t>
  </si>
  <si>
    <t>Silberman School of Social Work, City University of New York, Hunter College, New York, NY, United States; Department of Psychiatry, Northwell Health, Great Neck, NY, United States; School of Psychology, Fairleigh Dickinson University, Metropolitan Campus, Teaneck, NJ, United States</t>
  </si>
  <si>
    <t>Kuerbis, A., Silberman School of Social Work, City University of New York, Hunter College, New York, NY, United States; Muench, F.J., Department of Psychiatry, Northwell Health, Great Neck, NY, United States; Lee, R., Silberman School of Social Work, City University of New York, Hunter College, New York, NY, United States; Pena, J., Silberman School of Social Work, City University of New York, Hunter College, New York, NY, United States; Hail, L., School of Psychology, Fairleigh Dickinson University, Metropolitan Campus, Teaneck, NJ, United States</t>
  </si>
  <si>
    <t>Kuerbis, A.; Silberman School of Social Work, United States; email: ak1465@hunter.cuny.edu</t>
  </si>
  <si>
    <t>57220532454;57191171688;</t>
  </si>
  <si>
    <t>Ilyas, M.; Software Engineering Research Group (SERG_UOM), Pakistan; email: milyasmkd@gmail.com</t>
  </si>
  <si>
    <t>An information systems design theory for integrated requirements and release management systems</t>
  </si>
  <si>
    <t>10.1109/HICSS.2009.66</t>
  </si>
  <si>
    <t>6603112374;26424723000;26424735600;</t>
  </si>
  <si>
    <t>High-tech companies need to collect and analyze requirements and allocate them to appropriate product releases in market-driven product development. Development activities are typically scattered across multiple sites and involve multiple partners in different countries, complicating requirements and release management. Flexible, scalable, and secure groupware-based support for the activities provides substantial payoffs. Yet, the extant literature provides little theoretical guidance for designing and using requirements and release management systems in multi-site, multi-partner environments. This article develops the meta-requirements and a meta-design of an Information Systems Design Theory for the class of Requirements and Release Management Systems based on a case study in a global company and a literature review. The theory is scalable to meet the needs of global companies but simple enough so small and medium sized companies can also leverage it to implement requirements and release management solutions. © 2009 IEEE.</t>
  </si>
  <si>
    <t>Käkölä T., Koivulahti-Ojala M., Liimatainen J.</t>
  </si>
  <si>
    <t>Proceedings of the 42nd Annual Hawaii International Conference on System Sciences, HICSS</t>
  </si>
  <si>
    <t>https://www.scopus.com/inward/record.uri?eid=2-s2.0-63349085495&amp;doi=10.1109%2fHICSS.2009.66&amp;partnerID=40&amp;md5=492c0b5a095185284c979260649291b2</t>
  </si>
  <si>
    <t>University of Jyväskylä, 40014 Jyväskylä, Finland</t>
  </si>
  <si>
    <t>Käkölä, T., University of Jyväskylä, 40014 Jyväskylä, Finland; Koivulahti-Ojala, M., University of Jyväskylä, 40014 Jyväskylä, Finland; Liimatainen, J.</t>
  </si>
  <si>
    <t>Käkölä, T.; University of Jyväskylä, 40014 Jyväskylä, Finland; email: timokk@jyu.fi</t>
  </si>
  <si>
    <t>An investigation into feature effectiveness for multimedia hyperlinking</t>
  </si>
  <si>
    <t>10.1007/978-3-319-04117-9_23</t>
  </si>
  <si>
    <t>57191420541;36720377900;9133183900;7103192405;</t>
  </si>
  <si>
    <t>The increasing amount of archival multimedia content available online is creating increasing opportunities for users who are interested in exploratory search behaviour such as browsing. The user experience with online collections could therefore be improved by enabling navigation and recommendation within multimedia archives, which can be supported by allowing a user to follow a set of hyperlinks created within or across documents. The main goal of this study is to compare the performance of different multimedia features for automatic hyperlink generation. In our work we construct multimedia hyperlinks by indexing and searching textual and visual features extracted from the blip.tv dataset. A user-driven evaluation strategy is then proposed by applying the Amazon Mechanical Turk (AMT) crowdsourcing platform, since we believe that AMT workers represent a good example of "real world" users. We conclude that textual features exhibit better performance than visual features for multimedia hyperlink construction. In general, a combination of ASR transcripts and metadata provides the best results. © 2014 Springer International Publishing.</t>
  </si>
  <si>
    <t>Chen S., Eskevich M., Jones G.J.F., O'Connor N.E.</t>
  </si>
  <si>
    <t>https://www.scopus.com/inward/record.uri?eid=2-s2.0-84893495463&amp;doi=10.1007%2f978-3-319-04117-9_23&amp;partnerID=40&amp;md5=b6709de238a64e4849065a53b12a49be</t>
  </si>
  <si>
    <t>INSIGHT Centre for Data Analytics, Dublin City University, Dublin 9, Dublin, Ireland; CNGL Centre for Global Intelligent Content, School of Computing, Dublin City University, Dublin 9, Dublin, Ireland</t>
  </si>
  <si>
    <t>Chen, S., INSIGHT Centre for Data Analytics, Dublin City University, Dublin 9, Dublin, Ireland, CNGL Centre for Global Intelligent Content, School of Computing, Dublin City University, Dublin 9, Dublin, Ireland; Eskevich, M., CNGL Centre for Global Intelligent Content, School of Computing, Dublin City University, Dublin 9, Dublin, Ireland; Jones, G.J.F., CNGL Centre for Global Intelligent Content, School of Computing, Dublin City University, Dublin 9, Dublin, Ireland; O'Connor, N.E., INSIGHT Centre for Data Analytics, Dublin City University, Dublin 9, Dublin, Ireland</t>
  </si>
  <si>
    <t>INSIGHT Centre for Data Analytics, , Dublin 9, Dublin, Ireland</t>
  </si>
  <si>
    <t>An online randomised controlled trial of mental contrasting with implementation intentions as a smoking behaviour change intervention</t>
  </si>
  <si>
    <t>10.1080/08870446.2019.1634200</t>
  </si>
  <si>
    <t>57194495471;6701352863;6701801989;</t>
  </si>
  <si>
    <t>Objective: We assessed the effectiveness of mental contrasting with implementation intentions (MCII), an established self-regulatory strategy, as a brief online smoking behaviour change intervention. We expected that MCII would enhance smoking reduction among the highly cigarette dependent because MCII is most effective for challenging pursuits. Design: Participants interested in reducing or quitting smoking were recruited online via Amazon Mechanical Turk. At Time 1, we assessed cigarette dependence using the Cigarette Dependence Scale (CDS-5), then administered one of two brief self-help interventions: MCII (n = 172) or a government-promoted control strategy (n = 174). Participants were invited to complete an online follow-up survey 4 weeks later (Time 2). Main Outcome Measure: At Time 1 and Time 2, we measured recent cigarette smoking with a retrospective, self-report questionnaire. We used these reports to compute smoking reduction scores, with an intent-to-treat approach. Results: MCII increased smoking reduction compared to the control strategy at high, but not low, levels of cigarette dependence. Conclusion: We found preliminary evidence consistent with MCII, delivered as a brief online intervention, as an effective smoking reduction strategy for highly dependent cigarette smokers. Further research is needed on MCII as a smoking behaviour change intervention. © 2019, © 2019 Informa UK Limited, trading as Taylor &amp; Francis Group.</t>
  </si>
  <si>
    <t>Mutter E.R., Oettingen G., Gollwitzer P.M.</t>
  </si>
  <si>
    <t>Psychology and Health</t>
  </si>
  <si>
    <t>https://www.scopus.com/inward/record.uri?eid=2-s2.0-85068549050&amp;doi=10.1080%2f08870446.2019.1634200&amp;partnerID=40&amp;md5=4affda7dfd031fa03aa0f570604145fc</t>
  </si>
  <si>
    <t>Department of Psychology, New York UniversityNy, United States</t>
  </si>
  <si>
    <t>Mutter, E.R., Department of Psychology, New York UniversityNy, United States; Oettingen, G., Department of Psychology, New York UniversityNy, United States; Gollwitzer, P.M., Department of Psychology, New York UniversityNy, United States</t>
  </si>
  <si>
    <t>Mutter, E.R.; Department of Psychology, United States; email: erm462@nyu.edu</t>
  </si>
  <si>
    <t>Analysis Identifies Deficiencies in Existing Pressure Relief Systems</t>
  </si>
  <si>
    <t>10.1002/prs.680190308</t>
  </si>
  <si>
    <t>6603661723;6508062195;7407090798;</t>
  </si>
  <si>
    <t>This article presents a statistical analysis showing that the pressure relief systems on nearly half of the equipment in the oil, gas, and chemical industries lack adequate overpressure protection as defined by recognized and generally accepted good engineering practice. This analysis was based on data collected from a large number of government mandated (per OSHA 1910.119) pressure relief system design audits performed by an independent contractor. The vast majority of these deviations from good practice were not identified during conventional process hazard analyses (PHA) performed on these same facilities. Most of the units had also been designed by reputable design, firms. The authors conclude that, as a practical matter, conventional PHA methods are ineffective tools for evaluating pressure relief systems. They also conclude that the pressure relief system design process could be improved. Specifically, the authors recommend that, in order to reduce this deficiency rate in the future, that the industry adopt an equipment based approach to pressure relief system design and maintenance.</t>
  </si>
  <si>
    <t>2000</t>
  </si>
  <si>
    <t>Berwanger P.C., Kreder R.A., Lee W.-S.</t>
  </si>
  <si>
    <t>Process Safety Progress</t>
  </si>
  <si>
    <t>https://www.scopus.com/inward/record.uri?eid=2-s2.0-0034258013&amp;doi=10.1002%2fprs.680190308&amp;partnerID=40&amp;md5=3ae604bd5612b1906f3cf5aff7caa42e</t>
  </si>
  <si>
    <t>Berwanger, Incorporated, 4615 Southwest Freeway, Houston, TX 77027, United States</t>
  </si>
  <si>
    <t>Berwanger, P.C., Berwanger, Incorporated, 4615 Southwest Freeway, Houston, TX 77027, United States; Kreder, R.A., Berwanger, Incorporated, 4615 Southwest Freeway, Houston, TX 77027, United States; Lee, W.-S., Berwanger, Incorporated, 4615 Southwest Freeway, Houston, TX 77027, United States</t>
  </si>
  <si>
    <t>Berwanger, P.C.; Berwanger, 4615 Southwest Freeway, Houston, TX 77027, United States</t>
  </si>
  <si>
    <t>Analyzing book-related features to recommend books for emergent readers</t>
  </si>
  <si>
    <t>10.1145/2700171.2791037</t>
  </si>
  <si>
    <t>23398088300;35303536900;</t>
  </si>
  <si>
    <t>We recognize that emergent literacy forms a foundation upon which children will gage their future reading.1 It is imperative to motivate young readers to read by offering them appealing books to read so that they can enjoy reading and gradually establish a reading habit during their formative years that can aid in promoting their good reading habits. However, with the huge volume of existing and newly-published books, it is a challenge for parents/educators (young readers, respectively) to find the right ones that match children's interests and their readability levels. In response to the needs, we have developed K3Rec, a recommender which applies a multi-dimensional approach to suggest books that simultaneously match the interests/preferences and reading abilities of emergent (i.e., K-3) readers. K3Rec considers the grade levels, contents, illustrations, and topics, besides using special properties, such as length and writing style, to distinguish K-3 books from other books targeting more mature readers. K3Rec is novel, since it adopts an unsupervised strategy to suggest books for K-3 readers which does not rely on the existence of personal social media data, such as personal tags and ratings, that are seldom, if ever, created by emergent readers. Furthermore, unlike existing book recommenders, K3Rec explicitly analyzes book illustrations, which is of special significance for emergent readers, since illustrations assist these readers in understanding the contents of books. K3Rec focuses on a niche group of readers that has not been explicitly targeted by existing book recommenders. Empirical studies conducted using data from BiblioNasium.com and Amazon's Mechanical Turk have verified the effectiveness of K3Rec in making book recommendations for emergent readers. © 2015 ACM.</t>
  </si>
  <si>
    <t>Pera M.S., Ng Y.-K.</t>
  </si>
  <si>
    <t>HT 2015 - Proceedings of the 26th ACM Conference on Hypertext and Social Media</t>
  </si>
  <si>
    <t>https://www.scopus.com/inward/record.uri?eid=2-s2.0-84957014858&amp;doi=10.1145%2f2700171.2791037&amp;partnerID=40&amp;md5=021da044b9af527a399d4ac0641b03f2</t>
  </si>
  <si>
    <t>Department of Computer Science, Boise State University, Boise, ID, United States; Computer Science Department, Brigham Young University, Provo, UT, United States</t>
  </si>
  <si>
    <t>Pera, M.S., Department of Computer Science, Boise State University, Boise, ID, United States; Ng, Y.-K., Computer Science Department, Brigham Young University, Provo, UT, United States</t>
  </si>
  <si>
    <t>Analyzing equity in collaborative learning situations: A comparative case study in elementary computer science</t>
  </si>
  <si>
    <t>55556210800;36023835200;55651853600;</t>
  </si>
  <si>
    <t>This paper presents a comparative case study of the different ways that equity and inequity emerged as an elementary computer science student collaborated with two different classmates on programming tasks. Data collected include audio recordings of students' interactions, field notes, written assessments, and students' digital work. Using a mixed methods approach, quantitative patterns were identified in the distribution and content of student talk at multiple grain-sizes, which were analyzed in conjunction with pivotal sequences of interaction. Findings indicate that despite the existence of participation structures designed to foster equitable collaboration, inequities emerged in both dyads as students positioned themselves and their classmates with identities as more or less competent in computer science. While in the first dyad this positioning was often overt, in the second dyad positioning assumed a more passive form. Further, there is evidence that these positionings had an impact on students' opportunities to learn. © 2014 ISLS.</t>
  </si>
  <si>
    <t>Shah N., Lewis C., Caires R.</t>
  </si>
  <si>
    <t xml:space="preserve">Proceedings of International Conference of the Learning Sciences, ICLS </t>
  </si>
  <si>
    <t>https://www.scopus.com/inward/record.uri?eid=2-s2.0-84937896144&amp;partnerID=40&amp;md5=c5b3524ebf9cdc1594014d9692db1245</t>
  </si>
  <si>
    <t>University of California, Berkeley, Berkeley, CA  94720, United States; Harvey Mudd College, Claremont, CA  91711, United States; New York University, New York, NY  10012, United States</t>
  </si>
  <si>
    <t>Shah, N., University of California, Berkeley, Berkeley, CA  94720, United States; Lewis, C., Harvey Mudd College, Claremont, CA  91711, United States; Caires, R., New York University, New York, NY  10012, United States</t>
  </si>
  <si>
    <t>Application analyses of visual information processing techniques in e-commerce</t>
  </si>
  <si>
    <t>57216124734;</t>
  </si>
  <si>
    <t>Digital visual information plays a very important role in E-Commerce (EC). Their usage brings forth many novel research topics for digital visual information processing skills and software. Some issues of application analysis of image/video information processing techniques suitable for EC are described in the paper. Visual design for goods or services trading, image retrieval based on visual contents, applications of images to the trade safety on the Internet, 3-dimensional display, virtual reality for goods browsing, inquiry based on image and video contents, trade safety and copyright protection of digital works based on digital watermarking are mainly discussed which are considered as the technological solutions that could enhance EC. © 2019 International Consortium for Electronic Business. All rights reserved.</t>
  </si>
  <si>
    <t>Zhu M.X.</t>
  </si>
  <si>
    <t>Proceedings of the International Conference on Electronic Business (ICEB)</t>
  </si>
  <si>
    <t>https://www.scopus.com/inward/record.uri?eid=2-s2.0-85082601929&amp;partnerID=40&amp;md5=4c71d77de80deb9ad19fcdf8a8a85d4f</t>
  </si>
  <si>
    <t>Nanjing University, Nanjing, China</t>
  </si>
  <si>
    <t>Zhu, M.X., Nanjing University, Nanjing, China</t>
  </si>
  <si>
    <t>Zhu, M.X.; Nanjing UniversityChina; email: xfzhu@nju.edu.cn</t>
  </si>
  <si>
    <t>Application of agglomerative and partitional algorithms for the study of the phenomenon of the collaborative economy within the tourism industry</t>
  </si>
  <si>
    <t>10.14313/JAMRIS/1-2020/10</t>
  </si>
  <si>
    <t>57217737141;36976252700;57213170534;57202829192;54913400900;36601388800;</t>
  </si>
  <si>
    <t>This research discusses the application of two different clustering algorithms (agglomerative and partitional) to a set of data derived from the phenomenon of the collaborative economy in the tourism industry known as Airbnb. In order to analyze this phenomenon, the algorithms are known as “hierarchical Tree” and “K-Means” were used with the objective of gaining a better understanding of the spatial configuration and current functioning of this complimentary lodging offer. The city of Guanajuato, Mexico was selected as the case for convenience purposes and the main touristic attractions were used as parameters to conduct the analysis. Cluster techniques were applied to both algorithms and the results were statistically compared. © 2020, Industrial Research Institute for Automation and Measurements. All rights reserved.</t>
  </si>
  <si>
    <t>Pérez-Rocha J.M., Soria-Alcaraz J.A., Guerrero-Rodriguez R., Purata-Sifuentes O.J., Espinal A., Sotelo-Figueroa M.A.</t>
  </si>
  <si>
    <t>Journal of Automation, Mobile Robotics and Intelligent Systems</t>
  </si>
  <si>
    <t>https://www.scopus.com/inward/record.uri?eid=2-s2.0-85087559276&amp;doi=10.14313%2fJAMRIS%2f1-2020%2f10&amp;partnerID=40&amp;md5=bb79fc874cdc3d06f897ea1064ac7a33</t>
  </si>
  <si>
    <t>Administrative Information Systems, DCEA-University of Guanajuato, Gua-najuato, Mexico; Organizational Studies Department, DCEA-University of Guanajuato, Gua-najuato, Mexico; Management and Business Management Department, DCEA-University of Guanajuato, Guanajuato, Mexico</t>
  </si>
  <si>
    <t>Pérez-Rocha, J.M., Administrative Information Systems, DCEA-University of Guanajuato, Gua-najuato, Mexico; Soria-Alcaraz, J.A., Organizational Studies Department, DCEA-University of Guanajuato, Gua-najuato, Mexico; Guerrero-Rodriguez, R., Management and Business Management Department, DCEA-University of Guanajuato, Guanajuato, Mexico; Purata-Sifuentes, O.J., Organizational Studies Department, DCEA-University of Guanajuato, Gua-najuato, Mexico; Espinal, A., Organizational Studies Department, DCEA-University of Guanajuato, Gua-najuato, Mexico; Sotelo-Figueroa, M.A., Organizational Studies Department, DCEA-University of Guanajuato, Gua-najuato, Mexico</t>
  </si>
  <si>
    <t>Sotelo-Figueroa, M.A.; Organizational Studies Department, Mexico; email: masotelo@ugto.mx</t>
  </si>
  <si>
    <t>Are samples drawn from mechanical turk valid for research on political ideology?</t>
  </si>
  <si>
    <t>10.1177/2053168015622072</t>
  </si>
  <si>
    <t>56487218300;57202574803;57194181226;</t>
  </si>
  <si>
    <t>Amazon’s Mechanical Turk (MTurk) is an increasingly popular tool for the recruitment of research subjects. While there has been much focus on the demographic differences between MTurk samples and the national public, we know little about whether liberals and conservatives recruited from MTurk share the same psychological dispositions as their counterparts in the mass public. In the absence of such evidence, some have argued that the selection process involved in joining MTurk invalidates the subject pool for studying questions central to political science. In this paper, we evaluate this claim by comparing a large MTurk sample to two benchmark national samples – one conducted online and one conducted face-to-face. We examine the personality and value-based motivations of political ideology across the three samples. All three samples produce substantively identical results with only minor variation in effect sizes. In short, liberals and conservatives in our MTurk sample closely mirror the psychological divisions of liberals and conservatives in the mass public, though MTurk liberals hold more characteristically liberal values and attitudes than liberals from representative samples. Overall, our results suggest that MTurk is a valid recruitment tool for psychological research on political ideology. © The Author(s) 2015.</t>
  </si>
  <si>
    <t>Clifford S., Jewell R.M., Waggoner P.D.</t>
  </si>
  <si>
    <t>https://www.scopus.com/inward/record.uri?eid=2-s2.0-85043532872&amp;doi=10.1177%2f2053168015622072&amp;partnerID=40&amp;md5=04929f97135d0da56f016f152e2df449</t>
  </si>
  <si>
    <t>University of Houston, United States</t>
  </si>
  <si>
    <t>Clifford, S., University of Houston, United States; Jewell, R.M., University of Houston, United States; Waggoner, P.D., University of Houston, United States</t>
  </si>
  <si>
    <t>Clifford, S.; University of Houston, 447 Philip Guthrie Hoffman Hall, United States; email: sclifford@uh.edu</t>
  </si>
  <si>
    <t>Artificial intelligence aspects in developed e-material formatting application</t>
  </si>
  <si>
    <t>10.1145/3358331.3358354</t>
  </si>
  <si>
    <t>57195485916;16642613800;</t>
  </si>
  <si>
    <t>Despite technology and screen use benefits in education providing and supporting, lots of users are having complains after long screen reading. It is based on the slower evolution of humans’ perception system and reading paradigms to new reading conditions. Followed new public health problems of nowadays related to screen-reading, and users’ needs are thought of new content-presentation improvement is need. Methodology: Literature research of AI approaches, app prototype descriptive analysis, and simple comparison analysis of app and theoretical AI approaches. Results: Newly developed application prototype for e-material formatting is created to improve screen-reading abilities and comfort and improve learning processes. The app works by using several AI approaches and elements: machine learning, perceptron, decision tree graphs, rule-based system, classification, and deep learning. The app collects data and analyses them based on the training database. After, app categorises data by decision tree method. Finally, it decides for formatting recommendation to suggest and make appropriate document formatting. The app receives users' feedback after use. Conclusions: The app uses all collected data for the deep learning process to improve personalised recommendations to create the user-centred design. Currently, it is a narrow range use app designed for e-study use on MOOC type platforms for user group without specific limitations or disabilities. The app is with several level formatting possibilities, including deeply personalised formatting. That create and provide more effective e-materials as it increases visual perception, legibility, readability, reading comprehension, and memorability of content. It is a learner-oriented education methodology with an AI approach. © 2019 Association for Computing Machinery.</t>
  </si>
  <si>
    <t>Mackare K., Jansone A.</t>
  </si>
  <si>
    <t>https://www.scopus.com/inward/record.uri?eid=2-s2.0-85075440200&amp;doi=10.1145%2f3358331.3358354&amp;partnerID=40&amp;md5=0c3c373ab046982f1c0b8e81153b59f8</t>
  </si>
  <si>
    <t>Faculty of Science and Engineering, Liepaja University, Liepaja, Latvia</t>
  </si>
  <si>
    <t>Mackare, K., Faculty of Science and Engineering, Liepaja University, Liepaja, Latvia; Jansone, A., Faculty of Science and Engineering, Liepaja University, Liepaja, Latvia</t>
  </si>
  <si>
    <t>Assessing crowdsourcing quality through objective tasks</t>
  </si>
  <si>
    <t>36052381900;27367801600;36164985900;6603505459;</t>
  </si>
  <si>
    <t>The emergence of crowdsourcing as a commonly used approach to collect vast quantities of human assessments on a variety of tasks represents nothing less than a paradigm shift. This is particularly true in academic research where it has suddenly become possible to collect (high-quality) annotations rapidly without the need of an expert. In this paper we investigate factors which can influence the quality of the results obtained through Amazon's Mechanical Turk crowdsourcing platform. We investigated the impact of different presentation methods (free text versus radio buttons), workers' base (USA versus India as the main bases of MTurk workers) and payment scale (about $4, $8 and $10 per hour) on the quality of the results. For each run we assessed the results provided by 25 workers on a set of 10 tasks. We run two different experiments using objective tasks: maths and general text questions. In both tasks the answers are unique, which eliminates the uncertainty usually present in subjective tasks, where it is not clear whether the unexpected answer is caused by a lack of worker's motivation, the worker's interpretation of the task or genuine ambiguity. In this work we present our results comparing the influence of the different factors used. One of the interesting findings is that our results do not confirm previous studies which concluded that an increase in payment attracts more noise. We also find that the country of origin only has an impact in some of the categories and only in general text questions but there is no significant difference at the top pay.</t>
  </si>
  <si>
    <t>Aker A., El-Haj M., Albakour M.-D., Kruschwitz U.</t>
  </si>
  <si>
    <t>Proceedings of the 8th International Conference on Language Resources and Evaluation, LREC 2012</t>
  </si>
  <si>
    <t>https://www.scopus.com/inward/record.uri?eid=2-s2.0-84984834296&amp;partnerID=40&amp;md5=768e8a45550e878bafb13d580d8ed9bf</t>
  </si>
  <si>
    <t>Department of Computer Science, University of Sheffield, United Kingdom; School of Computer Science and Electronic Engineering, University of Essex, United Kingdom</t>
  </si>
  <si>
    <t>Aker, A., Department of Computer Science, University of Sheffield, United Kingdom; El-Haj, M., School of Computer Science and Electronic Engineering, University of Essex, United Kingdom; Albakour, M.-D., School of Computer Science and Electronic Engineering, University of Essex, United Kingdom; Kruschwitz, U., School of Computer Science and Electronic Engineering, University of Essex, United Kingdom</t>
  </si>
  <si>
    <t>Assessing Internet video quality using crowdsourcing</t>
  </si>
  <si>
    <t>10.1145/2506364.2506366</t>
  </si>
  <si>
    <t>55915365900;36170409900;57295796500;55926246800;</t>
  </si>
  <si>
    <t>In this paper, we present a subjective video quality evaluation system that has been integrated with different crowdsourcing platforms. We try to evaluate the feasibility of replacing the time consuming and expensive traditional tests with a faster and less expensive crowdsourcing alternative. CrowdFlower and Amazon's Mechanical Turk were used as the crowdsourcing platforms to collect data. The data was compared with the formal subjective tests conducted by MPEG as part of the video standardization process, as well as with previous results from a study we ran at the university level. High quality compressed videos with known Mean Opinion Score (MOS) are used as references instead of the original lossless videos in order to overcome intrinsic bandwidth limitations. The bitrates chosen for the experiment were selected targeting Internet use, since this is the environment in which users were going to be evaluating the videos. Evaluations showed that the results are consistent with formal subjective evaluation scores, and can be reproduced across different crowds with low variability, which makes this type of test setting very promising. Copyright © 2013 ACM.</t>
  </si>
  <si>
    <t>Figuerola Salas O., Adzic V., Kalva H., Shah A.</t>
  </si>
  <si>
    <t>CrowdMM 2013 - Proceedings of the 2nd ACM International Workshop on Crowdsourcing for Multimedia</t>
  </si>
  <si>
    <t>https://www.scopus.com/inward/record.uri?eid=2-s2.0-84887483961&amp;doi=10.1145%2f2506364.2506366&amp;partnerID=40&amp;md5=c5d574acb8e556b0115bdd640e225bfb</t>
  </si>
  <si>
    <t>Florida Atlantic University, 777 Glades Road, Boca Raton, FL 33431, United States; Nirma University Institute of Technology, Sarkhej-Gandhinagar Highway, Post Chandlodia, Ahmedabad, Gujarat, India</t>
  </si>
  <si>
    <t>Figuerola Salas, O., Florida Atlantic University, 777 Glades Road, Boca Raton, FL 33431, United States; Adzic, V., Florida Atlantic University, 777 Glades Road, Boca Raton, FL 33431, United States; Kalva, H., Florida Atlantic University, 777 Glades Road, Boca Raton, FL 33431, United States; Shah, A., Nirma University Institute of Technology, Sarkhej-Gandhinagar Highway, Post Chandlodia, Ahmedabad, Gujarat, India</t>
  </si>
  <si>
    <t>Assessing the Effectiveness of Static Analysis through Defect Correlation Analysis</t>
  </si>
  <si>
    <t>10.1109/ICGSE.2015.18</t>
  </si>
  <si>
    <t>55320975300;56121840000;55926026800;</t>
  </si>
  <si>
    <t>Assessment of code and design quality using Software Code Assessment tools is important for continuous improvement and monitoring of code quality in the software industry in general and for global software development in particular. Static Analysis is believed to help identify issues at an early stage in the software development life cycle (SDLC), however it is still under utilized in the industry. In this paper, we discuss our experiences in determining the importance of Static Analysis and the extent to which the defects (that could otherwise be slipped to later stages of SDLC) could have been reduced with the continuous use of Static Analysis. Towards this end, we have performed analysis of defects reported from testing/field by correlating the defects to Static Analysis Rules, for projects that were developed across different regions. Our focus was to gather insight into the number and type of defects that could be identified in advance through Static Analysis Rules. The purpose of gaining the insights is to justify the ROI for software quality checks, fine tune, update existing software quality practices and introduce new practices uniformly across the teams as necessary. The results substantiate the role of Static Analysis in reducing technical debt by identifying potential defects early in the SDLC. © 2015 IEEE.</t>
  </si>
  <si>
    <t>Venkatasubramanyam R.D., Gupta S., Uppili U.</t>
  </si>
  <si>
    <t>Proceedings - 2015 IEEE 10th International Conference on Global Software Engineering, ICGSE 2015</t>
  </si>
  <si>
    <t>https://www.scopus.com/inward/record.uri?eid=2-s2.0-84957873187&amp;doi=10.1109%2fICGSE.2015.18&amp;partnerID=40&amp;md5=26bf00c52b0b3a12499dd733cb3258b5</t>
  </si>
  <si>
    <t>Corporate Technology-Research and Technology Center, Siemens Technology and Services Private Limited, Bengaluru, India; Corporate Technology-Development Center, Siemens Technology and Services Private Limited, Bengaluru, India</t>
  </si>
  <si>
    <t>Venkatasubramanyam, R.D., Corporate Technology-Research and Technology Center, Siemens Technology and Services Private Limited, Bengaluru, India; Gupta, S., Corporate Technology-Research and Technology Center, Siemens Technology and Services Private Limited, Bengaluru, India; Uppili, U., Corporate Technology-Development Center, Siemens Technology and Services Private Limited, Bengaluru, India</t>
  </si>
  <si>
    <t>Assessing the role of impulsivity in smoking &amp; non-smoking disordered gamblers</t>
  </si>
  <si>
    <t>10.1016/j.addbeh.2017.02.002</t>
  </si>
  <si>
    <t>57192065651;56160532300;57214043034;7006685175;35503690100;</t>
  </si>
  <si>
    <t>Background Co-morbidity with other addictive behaviors is common in disordered gambling (DG). In particular, tobacco dependence has been found to be among the most prevalent disorders co-morbid with DG. While the extant literature has firmly established the co-occurrence of DG and smoking, there is a paucity of research examining factors that differentiate DGs who smoke from those who do not. Objectives To address this empirical gap, the current study tested whether dimensions of trait impulsivity as measured by the UPPS-P Impulsive Behavior Scale (positive urgency, negative urgency, lack of premeditation, lack of perseverance, and sensation seeking), discriminated between non-DGs and DGs based on their present smoking status: non-smoker, occasional smoker, and daily smoker. Methods To this end, 564 community gamblers were recruited through a crowdsourcing platform (Amazon's Mechanical Turk) and completed an online survey, assessing problem gambling severity, tobacco use, and trait impulsivity. Results MANOVA analyses revealed significant main effects for both gambling severity and smoking status groups. Importantly, a significant gambling by smoking interaction was also found. Pairwise comparisons revealed that DGs who were daily smokers scored higher on negative urgency than those who smoked occasionally or not all. Furthermore, among non-DGs, smoking status failed to discriminate between mean scores on negative urgency. No other significant interaction effects were found for the remaining UPPS-P impulsivity facets. Conclusions Results suggest that individual components of trait impulsivity, and more specifically negative urgency, successfully differentiate DGs who do not smoke, or just smoke occasionally, from DGs who smoke daily. These findings suggest that the degree of trait impulsivity may potentially distinguish between DGs and DGs who are dually addicted to other substances such as tobacco. © 2017</t>
  </si>
  <si>
    <t>Boothby C.A., Kim H.S., Romanow N.K., Hodgins D.C., McGrath D.S.</t>
  </si>
  <si>
    <t>https://www.scopus.com/inward/record.uri?eid=2-s2.0-85011982252&amp;doi=10.1016%2fj.addbeh.2017.02.002&amp;partnerID=40&amp;md5=146482ca8096cec142d8ab740c3b7da9</t>
  </si>
  <si>
    <t>Department of Psychology, University of Calgary, Alberta, Canada</t>
  </si>
  <si>
    <t>Boothby, C.A., Department of Psychology, University of Calgary, Alberta, Canada; Kim, H.S., Department of Psychology, University of Calgary, Alberta, Canada; Romanow, N.K., Department of Psychology, University of Calgary, Alberta, Canada; Hodgins, D.C., Department of Psychology, University of Calgary, Alberta, Canada; McGrath, D.S., Department of Psychology, University of Calgary, Alberta, Canada</t>
  </si>
  <si>
    <t>McGrath, D.S.; Administration Building (AD) 216, 2500 University Drive NW, Canada; email: daniel.mcgrath@ucalgary.ca</t>
  </si>
  <si>
    <t>Assessing the speaker recognition performance of naive listeners using Mechanical Turk</t>
  </si>
  <si>
    <t>10.1109/ICASSP.2011.5947708</t>
  </si>
  <si>
    <t>13607876700;55470020600;49061455800;22949039300;</t>
  </si>
  <si>
    <t>In this paper we attempt to quantify the ability of naive listeners to perform speaker recognition in the context of the NIST evaluation task. We describe our protocol: a series of listening experiments using large numbers of naive listeners (432) on Amazon's Mechanical Turk that attempts to measure the ability of the average human listener to perform speaker recognition. Our goal was to compare the performance of the average human listener to both forensic experts and state-of-the-art automatic systems. We show that naive listeners vary substantially in their performance, but that an aggregation of listener responses can achieve performance similar to that of expert forensic examiners. © 2011 IEEE.</t>
  </si>
  <si>
    <t>Shen W., Campbell J., Straub D., Schwartz R.</t>
  </si>
  <si>
    <t>ICASSP, IEEE International Conference on Acoustics, Speech and Signal Processing - Proceedings</t>
  </si>
  <si>
    <t>https://www.scopus.com/inward/record.uri?eid=2-s2.0-80051636275&amp;doi=10.1109%2fICASSP.2011.5947708&amp;partnerID=40&amp;md5=2b6dc16a7080114a0baf47b60422ebcd</t>
  </si>
  <si>
    <t>MIT/Lincoln Laboratory, 244 Wood Street, Lexington, MA 02476, United States; United States Secret Service, 2255 H St. NW, Washington, DC 20006, United States</t>
  </si>
  <si>
    <t>Shen, W., MIT/Lincoln Laboratory, 244 Wood Street, Lexington, MA 02476, United States; Campbell, J., MIT/Lincoln Laboratory, 244 Wood Street, Lexington, MA 02476, United States; Straub, D., MIT/Lincoln Laboratory, 244 Wood Street, Lexington, MA 02476, United States; Schwartz, R., United States Secret Service, 2255 H St. NW, Washington, DC 20006, United States</t>
  </si>
  <si>
    <t>Shen, W.; MIT/Lincoln Laboratory, 244 Wood Street, Lexington, MA 02476, United States</t>
  </si>
  <si>
    <t>Assessing work-asthma interaction with Amazon Mechanical Turk</t>
  </si>
  <si>
    <t>10.1097/JOM.0000000000000360</t>
  </si>
  <si>
    <t>7004944714;7102314927;</t>
  </si>
  <si>
    <t>Objectives: To illustrate the utility of crowdsourcing for occupational health surveillance. Methods: Amazon Mechanical Turk was used to recruit and obtain information from employed persons with asthma, who answered questions about work-asthma interactions. Results: Data collection from 60 subjects required only a few hours. Participants spent on average 7 minutes responding to seven questions (one optional) and used an average of 708 words. Work exacerbation, interference of asthma with work, and suggested workplace accommodation are frequent (83% reported at least one interaction). Conclusions: The full spectrum of work-asthma interactions should be considered. Modern crowdsourcing methods have considerable potential as occupational health surveillance tools because of their effectiveness; efficiency and financial viability are additional important advantages. © 2015 by American College of Occupational and Environmental Medicine.</t>
  </si>
  <si>
    <t>Harber P., Leroy G.</t>
  </si>
  <si>
    <t>Journal of Occupational and Environmental Medicine</t>
  </si>
  <si>
    <t>https://www.scopus.com/inward/record.uri?eid=2-s2.0-84953344141&amp;doi=10.1097%2fJOM.0000000000000360&amp;partnerID=40&amp;md5=68d54c975521a6e73064151d172bc9c3</t>
  </si>
  <si>
    <t>Community, Environment and Policy, Mel and Enid Zuckerman College of Public Health, University of Arizona, 1656 E. Mabel St, Tucson, AZ  85719, United States; Management Information Systems, Eller College of Management, University of Arizona, Tucson, AZ, United States</t>
  </si>
  <si>
    <t>Harber, P., Community, Environment and Policy, Mel and Enid Zuckerman College of Public Health, University of Arizona, 1656 E. Mabel St, Tucson, AZ  85719, United States; Leroy, G., Management Information Systems, Eller College of Management, University of Arizona, Tucson, AZ, United States</t>
  </si>
  <si>
    <t>Harber, P.; Community, 1656 E. Mabel St, United States; email: pharber@email.arizona.edu</t>
  </si>
  <si>
    <t>Assessments in global software development: A tailorable framework for industrial projects</t>
  </si>
  <si>
    <t>10.1145/1810295.1810301</t>
  </si>
  <si>
    <t>7801419975;7004530938;57197466811;</t>
  </si>
  <si>
    <t>Assessments are an effective technique for software quality assurance. As global software development (GSD) becomes the standard, an assessment framework must be flexible to support different sourcing and shoring models. Although much work exists on inspections and reviews, an assessment framework which addresses these challenges is missing. We present a systematic yet flexible assessment framework. The paper contributes: i) The description of our assessment framework which addresses four challenges: Appropriateness of a software requirements specification (SRS), viability of software architectures and SRS, wholeness of work packages, and compliance of results with predefined quality objectives. ii) A detailed explanation how the assessment framework can be tailored to support offshore and outsourcing scenarios. This paper describes the result of a two years research initiative at Capgemini sdμ and serves the practitioner to implement assessment frameworks according to his needs. We also discuss open research questions of high relevance for the software industry. © 2010 ACM.</t>
  </si>
  <si>
    <t>Salger F., Engels G., Hofmann A.</t>
  </si>
  <si>
    <t>https://www.scopus.com/inward/record.uri?eid=2-s2.0-77954715131&amp;doi=10.1145%2f1810295.1810301&amp;partnerID=40&amp;md5=10c98bfa486f46168add60b206bdd927</t>
  </si>
  <si>
    <t>Capgemini Sd and M, Carl Wery Straße 42, 81739 Munich, Germany; University of Paderborn, Warburger Str. 100, 33098 Paderborn, Germany</t>
  </si>
  <si>
    <t>Salger, F., Capgemini Sd and M, Carl Wery Straße 42, 81739 Munich, Germany; Engels, G., University of Paderborn, Warburger Str. 100, 33098 Paderborn, Germany; Hofmann, A., Capgemini Sd and M, Carl Wery Straße 42, 81739 Munich, Germany</t>
  </si>
  <si>
    <t>Salger, F.; Capgemini Sd and M, Carl Wery Straße 42, 81739 Munich, Germany; email: frank.salger@capgemini-sdm.com</t>
  </si>
  <si>
    <t>Association of exercise with smoking-related symptomatology, smoking behavior and impulsivity in men and women</t>
  </si>
  <si>
    <t>10.1016/j.drugalcdep.2018.07.022</t>
  </si>
  <si>
    <t>56082597300;35344644000;6603941540;57216333321;6603049193;55585838700;56747298500;57203807657;7402388096;</t>
  </si>
  <si>
    <t>Introduction: Despite extensive efforts to develop effective smoking cessation interventions, 70–85% of American cigarette smokers who quit relapse within one year. Exercise has shown promise as an intervention; however, many results have been equivocal. This study explored how exercise is associated with smoking-related symptomatology, smoking behavior and impulsivity in male and female smokers. Methods: Participants were recruited throughout the United States using the on-line crowdsourcing platform, Amazon's Mechanical Turk. They completed a survey with self-report measures assessing exercise, smoking-related symptomatology, smoking behavior and impulsivity. Differences between men and women were tested using t- and chi-square tests. Regression analyses tested for associations between exercise and smoking-related symptomatology, smoking behavior and impulsivity. Results: Participants (N = 604) were, on average, 32 (SD = 6.2) years old, mostly Caucasian, with at least some college education and approximately half were women. Women exercised slightly less than men and had more negative affect, craving, physical symptoms and withdrawal. Women smoked more cigarettes per day, had greater nicotine dependency and more years of smoking. Positive affect was positively associated with exercise for both men and women; however, this association was significantly stronger in women. Negative affect and withdrawal were inversely associated with exercise for women only. Impulsivity was inversely associated with exercise for both men and women. Conclusion: Exercise was significantly associated with several smoking-related symptomatology, smoking behavior and impulsivity variables for both men and women, suggesting that exercise may be a useful intervention for smoking cessation. Future prospective research should determine how exercise directly impacts smoking cessation. © 2018 Elsevier B.V.</t>
  </si>
  <si>
    <t>Tosun N.L., Allen S.S., Eberly L.E., Yao M., Stoops W.W., Strickland J.C., Harrison K.A., al Absi M., Carroll M.E.</t>
  </si>
  <si>
    <t>Drug and Alcohol Dependence</t>
  </si>
  <si>
    <t>https://www.scopus.com/inward/record.uri?eid=2-s2.0-85053003320&amp;doi=10.1016%2fj.drugalcdep.2018.07.022&amp;partnerID=40&amp;md5=af101f32ab3810e5c3e394ba5026d0e4</t>
  </si>
  <si>
    <t>Department of Family Medicine and Community Health, University of Minnesota, 717 Delaware Street SE, Minneapolis, MN  55414, United States; Division of Biostatistics, University of Minnesota, 420 Delaware St SE, Minneapolis, MN  55455, United States; Department of Behavioral Science, University of Kentucky, 1100 Veterans Drive, Lexington, KY  40536, United States; Department of Psychology, University of Kentucky, 171 Funkhouser Drive, Lexington, KY  40506, United States; Department of Behavioral Sciences, University of Minnesota, Duluth Campus, 1035 University Ave, Duluth, MN  55812, United States; Department of Psychiatry, University of Minnesota, MMC 392, 505 Essex St SE, Minneapolis, MN  55455, United States</t>
  </si>
  <si>
    <t>Tosun, N.L., Department of Family Medicine and Community Health, University of Minnesota, 717 Delaware Street SE, Minneapolis, MN  55414, United States; Allen, S.S., Department of Family Medicine and Community Health, University of Minnesota, 717 Delaware Street SE, Minneapolis, MN  55414, United States; Eberly, L.E., Division of Biostatistics, University of Minnesota, 420 Delaware St SE, Minneapolis, MN  55455, United States; Yao, M., Division of Biostatistics, University of Minnesota, 420 Delaware St SE, Minneapolis, MN  55455, United States; Stoops, W.W., Department of Behavioral Science, University of Kentucky, 1100 Veterans Drive, Lexington, KY  40536, United States; Strickland, J.C., Department of Psychology, University of Kentucky, 171 Funkhouser Drive, Lexington, KY  40506, United States; Harrison, K.A., Department of Family Medicine and Community Health, University of Minnesota, 717 Delaware Street SE, Minneapolis, MN  55414, United States; al Absi, M., Department of Behavioral Sciences, University of Minnesota, Duluth Campus, 1035 University Ave, Duluth, MN  55812, United States; Carroll, M.E., Department of Psychiatry, University of Minnesota, MMC 392, 505 Essex St SE, Minneapolis, MN  55455, United States</t>
  </si>
  <si>
    <t>Tosun, N.L.; Department of Family Medicine and Community Health, 717 Delaware Street SE, United States; email: tosun004@umn.edu</t>
  </si>
  <si>
    <t>Associations between time since event and posttraumatic growth among military veterans</t>
  </si>
  <si>
    <t>10.1037/mil0000170</t>
  </si>
  <si>
    <t>55897931300;36748976300;</t>
  </si>
  <si>
    <t>Despite efforts to understand the antecedents, correlates, and consequences of posttraumatic growth (PTG), the role of time since a traumatic event (time since event) vis-à-vis PTG is not well understood. Part of a larger project exploring experiences following emotionally distressing events among military veterans (N = 197) using Amazon's Mechanical Turk (Mturk), in the current study, we sought to clarify associations between the time since event and PTG. We used cluster-analytic techniques and analyses of variance to (a) determine the number of clusters, and (b) assess differences in core constructs of PTG and participant characteristics across clusters. Results revealed 4 significantly different groups (i.e., clusters) characterized by differential associations between PTG and time since event. These groups also differed significantly in challenge to core beliefs, level of PTSD symptoms, intrusive and deliberate rumination, and age. The immediate moderate-growth group (Cluster 1) experienced moderate levels of PTG over shorter periods of time, severe PTSD symptoms, and was significantly younger. The low-growth group (Cluster 2) was characterized by minimal PTG, regardless of time, the least challenge to core beliefs, and low amounts of intrusive and deliberate rumination. The long-term small-growth group (Cluster 3) was primarily characterized by small amounts of PTG over longer periods of time. The high-growth group (Cluster 4) was characterized by high PTG, regardless of time, greater challenge to core beliefs, the highest amount of deliberate rumination, and the highest number of PTSD symptoms. Findings underscore heterogeneity within military veterans' experiences of PTG over time. © 2017 American Psychological Association.</t>
  </si>
  <si>
    <t>Morgan J.K., Desmarais S.L.</t>
  </si>
  <si>
    <t>Military Psychology</t>
  </si>
  <si>
    <t>https://www.scopus.com/inward/record.uri?eid=2-s2.0-85017187934&amp;doi=10.1037%2fmil0000170&amp;partnerID=40&amp;md5=e7c35cd3f8c7114c56cb5ee955acfe33</t>
  </si>
  <si>
    <t>Department of Psychology, North Carolina State University, 718 Poe Hall, Campus Box 7650, 2310 Stinson Drive, Raleigh, NC  27695-7650, United States</t>
  </si>
  <si>
    <t>Morgan, J.K., Department of Psychology, North Carolina State University, 718 Poe Hall, Campus Box 7650, 2310 Stinson Drive, Raleigh, NC  27695-7650, United States; Desmarais, S.L., Department of Psychology, North Carolina State University, 718 Poe Hall, Campus Box 7650, 2310 Stinson Drive, Raleigh, NC  27695-7650, United States</t>
  </si>
  <si>
    <t>Morgan, J.K.; Department of Psychology, 718 Poe Hall, Campus Box 7650, 2310 Stinson Drive, United States; email: jlkelley@ncsu.edu</t>
  </si>
  <si>
    <t>Attachment to God moderates the relation between sociocultural pressure and eating disorder symptoms as mediated by emotional eating</t>
  </si>
  <si>
    <t>10.1080/13674676.2015.1086324</t>
  </si>
  <si>
    <t>56922070200;55252436200;56160260000;</t>
  </si>
  <si>
    <t>Research suggests that secure attachment to God protects against eating disorder risk factors, but studies have not examined how attachment to God might moderate the effects of sociocultural pressure on eating disorder symptoms. Moreover, models testing moderation in combination with mediation by eating in response to negative emotions have not been tested. Questionnaires collected from 102 women (19–57 years) recruited from Amazon's Mechanical Turk were analysed. Participants had diverse religious affiliations and beliefs. Insecure-anxious attachment to God moderated the effect of sociocultural pressure on eating disorder symptoms; women with higher anxious attachment were more susceptible to the effects of sociocultural pressures. Eating in response to negative emotions mediated the relation between sociocultural pressure and eating disorder symptoms, and moderated mediation analyses revealed that participants with average or above-average levels of anxious God attachment had an increase in emotional eating and consequent eating disorder symptoms as a result of sociocultural pressure. © 2015 Taylor &amp; Francis.</t>
  </si>
  <si>
    <t>Strenger A.M., Schnitker S.A., Felke T.J.</t>
  </si>
  <si>
    <t>Mental Health, Religion and Culture</t>
  </si>
  <si>
    <t>https://www.scopus.com/inward/record.uri?eid=2-s2.0-84961203932&amp;doi=10.1080%2f13674676.2015.1086324&amp;partnerID=40&amp;md5=86bcc3bbd9922d1ff7b268811b48be66</t>
  </si>
  <si>
    <t>School of Psychology, Fuller Theological Seminary, 180 N. Oakland Ave, Pasadena, CA  91101, United States</t>
  </si>
  <si>
    <t>Strenger, A.M., School of Psychology, Fuller Theological Seminary, 180 N. Oakland Ave, Pasadena, CA  91101, United States; Schnitker, S.A., School of Psychology, Fuller Theological Seminary, 180 N. Oakland Ave, Pasadena, CA  91101, United States; Felke, T.J., School of Psychology, Fuller Theological Seminary, 180 N. Oakland Ave, Pasadena, CA  91101, United States</t>
  </si>
  <si>
    <t>Strenger, A.M.; School of Psychology, 180 N. Oakland Ave, United States; email: alyssamstrenger@gmail.com</t>
  </si>
  <si>
    <t>Attitudes and Beliefs Toward Computerized Cognitive Training in the General Population</t>
  </si>
  <si>
    <t>10.3389/fpsyg.2020.00503</t>
  </si>
  <si>
    <t>6507103033;57211865974;57207567588;57216436683;57225670804;</t>
  </si>
  <si>
    <t>Introduction: In recent years, computerized cognitive training (CCT) programs have been developed commercially for widespread public consumption. Despite early enthusiasm, whether these programs enhance cognitive abilities in healthy adults is a contentious area of investigation. Given the mixed findings in the literature, researchers are beginning to investigate how beliefs and attitudes toward CCT impact motivation, expectations, and gains after cognitive training. Method: We collected survey data from 497 North American participants from Amazon’s Mechanical Turk (MTurk). This survey asked novel questions regarding respondents’ beliefs about the effectiveness of CCT for improving different domains of cognition, mood, and daily life; beliefs about whether CCT programs are supported by research; and whether impressions of CCT have improved or worsened over time. Exploratory analyses are reported descriptively, while parametric tests were used to analyze a priori hypotheses. Results: Almost half of the surveyed participants had used CCT, and respondents with a self-reported psychological or neurological disorder were more likely to have used CCT platforms than participants without such conditions. Motivations for using CCT included curiosity; to improve or maintain cognition; to prevent cognitive decline; and/or for enjoyment or fun. Participants believed that CCT is somewhat effective for improving mood and cognition across a variety of domains. Greater age and fewer years of education predicted perceived effectiveness of CCT. Finally, participants largely reported unchanged opinions of CCT platforms over time. Conclusion: Our study suggests the need for future research regarding the general population’s beliefs and attitudes toward CCT, along with knowledge translation for relevant stakeholders. © Copyright © 2020 Goghari, Krzyzanowski, Yoon, Dai and Toews.</t>
  </si>
  <si>
    <t>Goghari V.M., Krzyzanowski D., Yoon S., Dai Y., Toews D.</t>
  </si>
  <si>
    <t>https://www.scopus.com/inward/record.uri?eid=2-s2.0-85083525599&amp;doi=10.3389%2ffpsyg.2020.00503&amp;partnerID=40&amp;md5=8a7ed27f467f19eed0f1761072b3b26c</t>
  </si>
  <si>
    <t>Department of Psychology, University of Toronto Scarborough, Toronto, ON, Canada; Graduate Department of Psychological Clinical Science, University of Toronto, Toronto, ON, Canada</t>
  </si>
  <si>
    <t>Goghari, V.M., Department of Psychology, University of Toronto Scarborough, Toronto, ON, Canada, Graduate Department of Psychological Clinical Science, University of Toronto, Toronto, ON, Canada; Krzyzanowski, D., Department of Psychology, University of Toronto Scarborough, Toronto, ON, Canada, Graduate Department of Psychological Clinical Science, University of Toronto, Toronto, ON, Canada; Yoon, S., Department of Psychology, University of Toronto Scarborough, Toronto, ON, Canada; Dai, Y., Department of Psychology, University of Toronto Scarborough, Toronto, ON, Canada; Toews, D., Department of Psychology, University of Toronto Scarborough, Toronto, ON, Canada</t>
  </si>
  <si>
    <t>Goghari, V.M.; Department of Psychology, Canada; email: vina.goghari@utoronto.ca</t>
  </si>
  <si>
    <t>Automatic summarization of events from social media</t>
  </si>
  <si>
    <t>36454725500;14319100100;</t>
  </si>
  <si>
    <t>Social media services such as Twitter generate phenomenal volume of content for most real-world events on a daily basis. Digging through the noise and redundancy to understand the important aspects of the content is a very challenging task. We propose a search and summarization framework to extract relevant representative tweets from a time-ordered sample of tweets to generate a coherent and concise summary of an event. We introduce two topic models that take advantage of temporal correlation in the data to extract relevant tweets for summarization. The summarization framework has been evaluated using Twitter data on four real-world events. Evaluations are performed using Wikipedia articles on the events as well as using Amazon Mechanical Turk (MTurk) with human readers (MTurkers). Both experiments show that the proposed models outperform traditional LDA and lead to informative summaries. Copyright © 2013, Association for the Advancement of Artificial Intelligence (www.aaai.org). All rights reserved.</t>
  </si>
  <si>
    <t>Chua F.C.T., Asur S.</t>
  </si>
  <si>
    <t>Proceedings of the 7th International Conference on Weblogs and Social Media, ICWSM 2013</t>
  </si>
  <si>
    <t>https://www.scopus.com/inward/record.uri?eid=2-s2.0-84900453328&amp;partnerID=40&amp;md5=2b02dd2b00b52f75b841202130d0d4d4</t>
  </si>
  <si>
    <t>Living Analytics Research Centre, Singapore Management University, 80 Stamford Road, Singapore, Singapore; Social Computing Lab., Hewlett Packard Research Labs, Palo Alto, CA, United States</t>
  </si>
  <si>
    <t>Chua, F.C.T., Living Analytics Research Centre, Singapore Management University, 80 Stamford Road, Singapore, Singapore; Asur, S., Social Computing Lab., Hewlett Packard Research Labs, Palo Alto, CA, United States</t>
  </si>
  <si>
    <t>Automatically embedding newsworthy links to articles: From implementation to evaluation</t>
  </si>
  <si>
    <t>10.1002/asi.22959</t>
  </si>
  <si>
    <t>25824652800;6603685753;27567579100;23392141000;</t>
  </si>
  <si>
    <t>News portals are a popular destination for web users. News providers are therefore interested in attaining higher visitor rates and promoting greater engagement with their content. One aspect of engagement deals with keeping users on site longer by allowing them to have enhanced click-through experiences. News portals have invested in ways to embed links within news stories but so far these links have been curated by news editors. Given the manual effort involved, the use of such links is limited to a small scale. In this article, we evaluate a system-based approach that detects newsworthy events in a news article and locates other articles related to these events. Our system does not rely on resources like Wikipedia to identify events, and it was designed to be domain independent. A rigorous evaluation, using Amazon's Mechanical Turk, was performed to assess the system-embedded links against the manually-curated ones. Our findings reveal that our system's performance is comparable with that of professional editors, and that users find the automatically generated highlights interesting and the associated articles worthy of reading. Our evaluation also provides quantitative and qualitative insights into the curation of links, from the perspective of users and professional editors.©2013 ATAT.</t>
  </si>
  <si>
    <t>Arapakis I., Lalmas M., Ceylan H., Donmez P.</t>
  </si>
  <si>
    <t>Journal of the American Society for Information Science and Technology</t>
  </si>
  <si>
    <t>https://www.scopus.com/inward/record.uri?eid=2-s2.0-84895063363&amp;doi=10.1002%2fasi.22959&amp;partnerID=40&amp;md5=52d540dfc6d4d5c9037bd9831b46ca47</t>
  </si>
  <si>
    <t>Yahoo Research Barcelona, Avinguda Diagonal 177, Barcelona, 08018, Spain; Netflix, Inc., 100 Winchester Circle, Los Gatos, CA 95032, United States; Banjo Inc., 250 King Street #772, San Francisco, CA 94107, United States</t>
  </si>
  <si>
    <t>Arapakis, I., Yahoo Research Barcelona, Avinguda Diagonal 177, Barcelona, 08018, Spain; Lalmas, M., Yahoo Research Barcelona, Avinguda Diagonal 177, Barcelona, 08018, Spain; Ceylan, H., Netflix, Inc., 100 Winchester Circle, Los Gatos, CA 95032, United States; Donmez, P., Banjo Inc., 250 King Street #772, San Francisco, CA 94107, United States</t>
  </si>
  <si>
    <t>Yahoo Research Barcelona, Avinguda Diagonal 177, Barcelona, 08018, Spain</t>
  </si>
  <si>
    <t>AxGames: Towards crowdsourcing quality target determination in approximate computing</t>
  </si>
  <si>
    <t>10.1145/2872362.2872376</t>
  </si>
  <si>
    <t>56310813400;57189063768;56938177300;56310079800;6506771295;</t>
  </si>
  <si>
    <t>Approximate computing trades quality of application output for higher efficiency and performance. Approximation is useful only if its impact on application output quality is acceptable to the users. However, there is a lack of systematic solutions and studies that explore users' perspective on the effects of approximation. In this paper, we seek to provide one such solution for the developers to probe and discover the boundary of quality loss that most users will deem acceptable. We propose AxGames, a crowdsourced solution that enables developers to readily infer a statistical common ground from the general public through three entertaining games. The users engage in these games by betting on their opinion about the quality loss of the final output while the AxGames framework collects statistics about their perceptions. The framework then statistically analyzes the results to determine the acceptable levels of quality for a pair of (application, approximation technique). The three games are designed such that they effectively capture quality requirements with various tradeoffs and contexts. To evaluate AxGames, we examine seven diverse applications that produce user perceptible outputs and cover a wide range of domains, including image processing, optical character recognition, speech to text conversion, and audio processing. We recruit 700 participants/users through Amazon's Mechanical Turk to play the games that collect statistics about their perception on different levels of quality. Subsequently, the AxGames framework uses the Clopper-Pearson exact method, which computes a binomial proportion confidence interval, to analyze the collected statistics for each level of quality. Using this analysis, AxGames can statistically project the quality level that satisfies a given percentage of users. The developers can use these statistical projections to tune the level of approximation based on the user experience. We find that the level of acceptable quality loss significantly varies across applications. For instance, to satisfy 90% of users, the level of acceptable quality loss is 2% for one application (image processing) and 26% for another (audio processing). Moreover, the pattern with which the crowd responds to approximation takes significantly different shape and form depending on the class of applications. These results confirm the necessity of solutions that systematically explore the effect of approximation on the end user experience. © 2016 ACM.</t>
  </si>
  <si>
    <t>Park J., Amaro E., Mahajan D., Thwaites B., Esmaeilzadeh H.</t>
  </si>
  <si>
    <t>ACM SIGPLAN Notices</t>
  </si>
  <si>
    <t>https://www.scopus.com/inward/record.uri?eid=2-s2.0-85043525300&amp;doi=10.1145%2f2872362.2872376&amp;partnerID=40&amp;md5=f03e70cf63a481a08bde4181100d8f9d</t>
  </si>
  <si>
    <t>Alternative Computing Technologies (ACT) Lab, Georgia Institute of Technology, United States</t>
  </si>
  <si>
    <t>Park, J., Alternative Computing Technologies (ACT) Lab, Georgia Institute of Technology, United States; Amaro, E., Alternative Computing Technologies (ACT) Lab, Georgia Institute of Technology, United States; Mahajan, D., Alternative Computing Technologies (ACT) Lab, Georgia Institute of Technology, United States; Thwaites, B., Alternative Computing Technologies (ACT) Lab, Georgia Institute of Technology, United States; Esmaeilzadeh, H., Alternative Computing Technologies (ACT) Lab, Georgia Institute of Technology, United States</t>
  </si>
  <si>
    <t>Being a turker</t>
  </si>
  <si>
    <t>10.1145/2531602.2531663</t>
  </si>
  <si>
    <t>55957973300;37035791400;8412486300;57209931428;</t>
  </si>
  <si>
    <t>We conducted an ethnomethodological analysis of publicly available content on Turker Nation, a general forum for Amazon Mechanical Turk (AMT) users. Using forum data we provide novel depth and detail on how the Turker Nation members operate as economic actors, working out which Requesters and jobs are worthwhile to them. We show some of the key ways Turker Nation functions as a community and also look further into Turker-Requester relationships from the Turker perspective - considering practical, emotional and moral aspects. Finally, following Star and Strauss [25] we analyse Turking as a form of invisible work. We do this to illustrate practical and ethical issues relating to working with Turkers and AMT, and to promote design directions to support Turkers and their relationships with Requesters. Copyright © 2014 ACM.</t>
  </si>
  <si>
    <t>Martin D., Hanrahan B.V., O'Neill J., Gupta N.</t>
  </si>
  <si>
    <t>https://www.scopus.com/inward/record.uri?eid=2-s2.0-84899030093&amp;doi=10.1145%2f2531602.2531663&amp;partnerID=40&amp;md5=293b806e06f38e9a1f2bc1f8d3d80fe8</t>
  </si>
  <si>
    <t>Xerox Research Centre Europe, 6 chemin de Maupertuis, Grenoble, France; University of Nottingham, University Park, NG7 2TD Nottingham, United Kingdom</t>
  </si>
  <si>
    <t>Martin, D., Xerox Research Centre Europe, 6 chemin de Maupertuis, Grenoble, France; Hanrahan, B.V., Xerox Research Centre Europe, 6 chemin de Maupertuis, Grenoble, France; O'Neill, J., Xerox Research Centre Europe, 6 chemin de Maupertuis, Grenoble, France; Gupta, N., University of Nottingham, University Park, NG7 2TD Nottingham, United Kingdom</t>
  </si>
  <si>
    <t>Best practices for international eSourcing of software products and services</t>
  </si>
  <si>
    <t>10.1109/HICSS.2008.71</t>
  </si>
  <si>
    <t>6603112374;</t>
  </si>
  <si>
    <t>This paper analyzes how the information and communications technology-supported international eSourcing of software products and services (IeS) can be effectively executed. The extant literature falls short of providing a systematic and detailed enough set of best practices to guide IeS. This paper presents best practices for IeS to facilitate further research, and to help managers and other stakeholders to understand, execute, and proactively improve and manage international eSourcing. The practices emphasize the need to establish and enact rigorous, mature, and quantitatively managed eSourcing lifecycles in order to transcend temporal, geographical, social, technical, and other boundaries in IeS. © 2008 IEEE.</t>
  </si>
  <si>
    <t>Käkölä T.</t>
  </si>
  <si>
    <t>https://www.scopus.com/inward/record.uri?eid=2-s2.0-51449096731&amp;doi=10.1109%2fHICSS.2008.71&amp;partnerID=40&amp;md5=1643c10496648729bab0156a030f0108</t>
  </si>
  <si>
    <t>Käkölä, T., University of Jyväskylä, 40014 Jyväskylä, Finland</t>
  </si>
  <si>
    <t>Käkölä, T.; University of Jyväskylä, 40014 Jyväskylä, Finland; email: timokk@cc.jyu.fi</t>
  </si>
  <si>
    <t>Bonus, disclosure, and choice: What motivates the creation of high-quality paid reviews?</t>
  </si>
  <si>
    <t>57200022593;9845067800;6603236863;</t>
  </si>
  <si>
    <t>The emergence of online crowdsourcing sites has opened up new channels for third parties and companies to solicit paid reviews from people. In this paper, we investigate 1) how the introduction of monetary payments affects review quality, and 2) the impact of bonus rewards, sponsorship disclosure, and choice freedom on the quality of paid reviews. We conduct a 2×2×2 between-subjects experiment on Amazon Mechanical Turk. Our results indicate that there are no significant quality differences between paid and unpaid reviews. The quality of paid reviews improves by both the presence of additional performance-contingent rewards and the requirement to add disclosure text about material connections, and deteriorates by the restrictions imposed on the product set to be reviewed. These results have implications for websites and companies who are seeking legitimate reviews for their online products from paid workers.</t>
  </si>
  <si>
    <t>Wang J., Ghose A., Ipeirotis P.G.</t>
  </si>
  <si>
    <t>International Conference on Information Systems, ICIS 2012</t>
  </si>
  <si>
    <t>https://www.scopus.com/inward/record.uri?eid=2-s2.0-84886526501&amp;partnerID=40&amp;md5=03d6ace24805a0bc740bd5d8aec06b1a</t>
  </si>
  <si>
    <t>Stern School of Business,NYU, 44 W. 4th Street, New York, NY 10012, United States</t>
  </si>
  <si>
    <t>Wang, J., Stern School of Business,NYU, 44 W. 4th Street, New York, NY 10012, United States; Ghose, A., Stern School of Business,NYU, 44 W. 4th Street, New York, NY 10012, United States; Ipeirotis, P.G., Stern School of Business,NYU, 44 W. 4th Street, New York, NY 10012, United States</t>
  </si>
  <si>
    <t>Branding for the Independent Consultant: Basic to Advanced</t>
  </si>
  <si>
    <t>10.1002/ev.20392</t>
  </si>
  <si>
    <t>31667464700;57208176579;</t>
  </si>
  <si>
    <t>With a growing contingency of evaluators consulting in the gig economy, questions have shifted from “Should I?” to “How do I?” This chapter provides tips and strategies for branding your business as an independent consultant. Branding has become increasingly important for independent consultants, as a way to tell the world who you are and the unique value you offer. For new consultants, branding is a means for potential clients to find and remember you, and for you to showcase your skills and competencies. For established consultants or businesses, branding can be a catalyst to land bigger (as in, higher profile or larger) and better (as in, more lucrative, connected, or longer-term) clients. This chapter delves into three hypothetical case studies of evaluation consultants, Jason, Siobhan, and Anuj, to provide insight into how branding, and different levels of branding, can help them attract the types of clients they desire. Examples of exemplar branding from established evaluation companies are also shared throughout the chapter. © 2019 Wiley Periodicals, Inc., and the American Evaluation Association</t>
  </si>
  <si>
    <t>Evergreen S., Sabarre N.</t>
  </si>
  <si>
    <t>New Directions for Evaluation</t>
  </si>
  <si>
    <t>https://www.scopus.com/inward/record.uri?eid=2-s2.0-85076410964&amp;doi=10.1002%2fev.20392&amp;partnerID=40&amp;md5=7e1e615b1e7441561c4682fd90a523b5</t>
  </si>
  <si>
    <t>Evergreen Data, United States; Claremont Graduate University, United States; American University, United States</t>
  </si>
  <si>
    <t>Evergreen, S., Evergreen Data, United States; Sabarre, N., Claremont Graduate University, United States, American University, United States</t>
  </si>
  <si>
    <t>Bringing reputation-awareness into crowdsourcing</t>
  </si>
  <si>
    <t>10.1109/ICICS.2013.6782912</t>
  </si>
  <si>
    <t>55753004000;57206655762;7402612617;</t>
  </si>
  <si>
    <t>In crowdsourcing systems, worker selection is a challenging issue. Researchers have advocated the incorporation of reputation management into crowdsourcing systems to address this issue. However, current reputation-based decisions often result in concentrating the delegation of human intelligence tasks (HITs) to a small number of highly reputable workers to reduce risk. It conflicts with the main objective of crowdsourcing systems which is to promote mass collaboration. In this paper, we propose a situation-aware approach - SWORD - to enable existing reputation models to work in crowdsourcing systems. We holistically consider the objectives of all stake-holders in a crowdsourcing system (including requesters, workers, and system operators) to formulate the HIT allocation problem as a trade-off between quality and timeliness, and propose an efficient approach via constraint optimization to produce solutions to this problem with low computational complexity. Extensive simulations designed based on the actual conditions from Amazon's Mechanical Turk system demonstrates significant advantage of SWORD compared to existing approaches in improving social welfare. © 2013 IEEE.</t>
  </si>
  <si>
    <t>Yu H., Shen Z., Leung C.</t>
  </si>
  <si>
    <t>ICICS 2013 - Conference Guide of the 9th International Conference on Information, Communications and Signal Processing</t>
  </si>
  <si>
    <t>https://www.scopus.com/inward/record.uri?eid=2-s2.0-84899118673&amp;doi=10.1109%2fICICS.2013.6782912&amp;partnerID=40&amp;md5=9b69076714469a13affac68adf682179</t>
  </si>
  <si>
    <t>School of Computer Engineering, Nanyang Technological University, 50 Avenue, Singapore 639798, Singapore; Department of Electrical and Computer Engineering, University of British Columbia, Vancouver, BC V6T 1Z4, Canada</t>
  </si>
  <si>
    <t>Yu, H., School of Computer Engineering, Nanyang Technological University, 50 Avenue, Singapore 639798, Singapore; Shen, Z., School of Computer Engineering, Nanyang Technological University, 50 Avenue, Singapore 639798, Singapore; Leung, C., Department of Electrical and Computer Engineering, University of British Columbia, Vancouver, BC V6T 1Z4, Canada</t>
  </si>
  <si>
    <t>Building blocks in creative computing: Modularity increases the probability of prototyping novel ideas</t>
  </si>
  <si>
    <t>10.1080/21650349.2015.1136796</t>
  </si>
  <si>
    <t>56536110500;36460489000;57194452486;</t>
  </si>
  <si>
    <t>Design is a cyclical journey from creative ideas to concrete realizations of those ideas though prototyping. Designers today have increasing access to low-cost technology toolkits within the electronic and computational domain. However, for technical novices, including electronic components in prototypes can hamper the ability to create novel ideas by introducing technical obstacles. Electronic modules can increase the probability of prototyping success, at the cost of reduced design flexibility. This research (1) presents the results of a pilot usability evaluation of (N = 68) participants making physical light emitting diode (LED) light creations with non-modular electronics components, and (2) uses this evaluation to motivate a creative prototyping study (N = 86) exploring the question: ‘How does prototyping tool modularity influence the creative result?’ Using a browser-based crowd platform (Amazon’s Mechanical Turk), participants created electric ‘creature circuits’ with LEDs in a virtual prototyping environment. We found that increasing the modularity of LED components (i) increased the novelty rating of prototypes as rated by a condition-blind panel, (ii) increased the quantity of prototypes created and the quantity of LEDs used by study participants, (iii) increased participants’ degree of perceived self-efficacy and cognitive flow, and (iv) reduced the number of errors due to LED polarity. The results highlight that novice prototyping with electronics is difficult due to the number of possible ways to fail. The findings show that modularity can reduce the chance of errors and improve the likelihood of creating novel prototypes. © 2016 Taylor and Francis.</t>
  </si>
  <si>
    <t>Sadler J., Shluzas L., Bliksteinb P.</t>
  </si>
  <si>
    <t>International Journal of Design Creativity and Innovation</t>
  </si>
  <si>
    <t>https://www.scopus.com/inward/record.uri?eid=2-s2.0-85020179583&amp;doi=10.1080%2f21650349.2015.1136796&amp;partnerID=40&amp;md5=588a7e913fe6c006928fc3c151a10cf1</t>
  </si>
  <si>
    <t>Mechanical Engineering Department, Stanford University, Stanford, CA, United States; School of Education and (by courtesy) Computer Science Department, Stanford University, Stanford, CA, United States</t>
  </si>
  <si>
    <t>Sadler, J., Mechanical Engineering Department, Stanford University, Stanford, CA, United States; Shluzas, L., Mechanical Engineering Department, Stanford University, Stanford, CA, United States; Bliksteinb, P., School of Education and (by courtesy) Computer Science Department, Stanford University, Stanford, CA, United States</t>
  </si>
  <si>
    <t>Sadler, J.; Mechanical Engineering Department, United States; email: jsadler@stanford.edu</t>
  </si>
  <si>
    <t>Calibrated self-assessment</t>
  </si>
  <si>
    <t>24341027000;22036392500;</t>
  </si>
  <si>
    <t>Peer-grading is widely believed to be an inexpensive and scalable way to assess students in large classroom settings. In this paper, we propose calibrated self-grading as a more efficient alternative to peer grading. For self-grading, students assign themselves a grade that they think they deserve via an incentive-compatible mechanism that elicits maximally truthful judgements of performance. We show that the students’ self-evaluation scores obtained via this mechanism can be used to perform classic item response theory (IRT) analysis. In order to obtain unbiased estimates of the IRT parameters, we show that the self-assigned grades can be calibrated with a minimum amount of input from instructors or domain experts. We demonstrate the effectiveness of the proposed calibrated self-grading approach via simulations and experiments on Amazon’s Mechanical Turk. © 2016 International Educational Data Mining Society. All rights reserved.</t>
  </si>
  <si>
    <t>Labutov I., Studer C.</t>
  </si>
  <si>
    <t>Proceedings of the 9th International Conference on Educational Data Mining, EDM 2016</t>
  </si>
  <si>
    <t>https://www.scopus.com/inward/record.uri?eid=2-s2.0-85035136623&amp;partnerID=40&amp;md5=3436d16aefec91db577b93593a1016f3</t>
  </si>
  <si>
    <t>Labutov, I., Cornell University, United States; Studer, C., Cornell University, United States</t>
  </si>
  <si>
    <t>Challenges and opportunities for trust management in crowdsourcing</t>
  </si>
  <si>
    <t>10.1109/WI-IAT.2012.104</t>
  </si>
  <si>
    <t>55753004000;57206655762;8850060600;8901577100;</t>
  </si>
  <si>
    <t>Crowd sourcing (CS) systems offer a new way for businesses and individuals to leverage on the power of mass collaboration to accomplish complex tasks in a divide-and-conquer manner. In existing CS systems, no facility has been provided for analyzing the trustworthiness of workers and providing decision support for allocating tasks to workers, which leads to high dependency of the quality of work on the behavior of workers in CS systems as shown in this paper. To address this problem, trust management mechanisms are urgently needed. Traditional trust management techniques are focused on identifying the most trustworthy service providers (SPs) as accurately as possible. Little thoughts were given to the question of how to utilize these SPs due to two common assumptions: 1) an SP can serve an unlimited number of requests in one time unit, and 2) a service consumer (SC) only needs to select one SP for interaction to complete a task. However, in CS systems, these two assumptions are no longer valid. Thus, existing models cannot be directly used for trust management in CS systems. This paper takes the first step towards a systematic investigation of trust management in CS systems by extending existing trust management models for CS trust management and conducting extensive experiments to study and analyze the performance of various trust management models in crowd sourcing. In this paper, the following key contributions are made. We 1) propose extensions to existing trust management approaches to enable them to operate in CS systems, 2) design a simulation test-bed based on the system characteristics of Amazon's Mechanical Turk (AMT) to make evaluation close to practical CS systems, 3) discuss the effect of incorporating trust management into CS system on the overall social welfare, and 4) identify the challenges and opportunities for future trust management research in CS systems. © 2012 IEEE.</t>
  </si>
  <si>
    <t>Yu H., Shen Z., Miao C., An B.</t>
  </si>
  <si>
    <t>Proceedings - 2012 IEEE/WIC/ACM International Conference on Intelligent Agent Technology, IAT 2012</t>
  </si>
  <si>
    <t>https://www.scopus.com/inward/record.uri?eid=2-s2.0-84878448819&amp;doi=10.1109%2fWI-IAT.2012.104&amp;partnerID=40&amp;md5=1d3f9521981e29d69719a0ea25fa2b2b</t>
  </si>
  <si>
    <t>School of Computer Engineering, Nanyang Technological University, Singapore, Singapore; Key Laboratory of Intelligent Information Processing, Institute of Computing Technology, Chinese Academy of Sciences, Beijing, 100190, China</t>
  </si>
  <si>
    <t>Yu, H., School of Computer Engineering, Nanyang Technological University, Singapore, Singapore; Shen, Z., School of Computer Engineering, Nanyang Technological University, Singapore, Singapore; Miao, C., School of Computer Engineering, Nanyang Technological University, Singapore, Singapore; An, B., Key Laboratory of Intelligent Information Processing, Institute of Computing Technology, Chinese Academy of Sciences, Beijing, 100190, China</t>
  </si>
  <si>
    <t>School of Computer Engineering, , Singapore, Singapore</t>
  </si>
  <si>
    <t>Classification of software transfers</t>
  </si>
  <si>
    <t>10.1109/APSEC.2012.137</t>
  </si>
  <si>
    <t>35547332200;22433869800;</t>
  </si>
  <si>
    <t>Many companies have development sites around the globe. This inevitably means that development work may be transferred between the sites. This paper defines a classification of software transfer types, it divides transfers into three main types: full, partial and gradual transfers to describe the context of a transfer. The differences between transfer types, and hence the need for a classification, are illustrated with staffing curves for two different transfer types. The staffing curves are obtained through a combination of interviews with both high-level management and a group of experts, and an industrial case study. From the empirical work, it is concluded that the distribution of personnel differs for different types of transfer, which means that it is crucial to be clear about different classes of software transfers. If not, it is easy to underestimate the effort needed to transfer software work as well as additional costs related to the transfer as such. © 2012 IEEE.</t>
  </si>
  <si>
    <t>Wohlin C., Šmite D.</t>
  </si>
  <si>
    <t>Proceedings - Asia-Pacific Software Engineering Conference, APSEC</t>
  </si>
  <si>
    <t>https://www.scopus.com/inward/record.uri?eid=2-s2.0-84874633992&amp;doi=10.1109%2fAPSEC.2012.137&amp;partnerID=40&amp;md5=862cf9ebf4d038c9a07c614a61c8553c</t>
  </si>
  <si>
    <t>Wohlin, C., Blekinge Institute of Technology, Karlskrona, Sweden; Šmite, D., Blekinge Institute of Technology, Karlskrona, Sweden</t>
  </si>
  <si>
    <t>Wohlin, C.; Blekinge Institute of Technology, Karlskrona, Sweden; email: Claes.Wohlin@bth.se</t>
  </si>
  <si>
    <t>Coding psychological constructs in text using mechanical turk: A reliable, accurate, and efficient alternative</t>
  </si>
  <si>
    <t>10.3389/fpsyg.2016.00741</t>
  </si>
  <si>
    <t>54404120300;26424576800;</t>
  </si>
  <si>
    <t>In this paper we evaluate how to effectively use the crowdsourcing service, Amazon's Mechanical Turk (MTurk), to content analyze textual data for use in psychological research. MTurk is a marketplace for discrete tasks completed by workers, typically for small amounts of money. MTurk has been used to aid psychological research in general, and content analysis in particular. In the current study, MTurk workers content analyzed personally-written textual data using coding categories previously developed and validated in psychological research. These codes were evaluated for reliability, accuracy, completion time, and cost. Results indicate that MTurk workers categorized textual data with comparable reliability and accuracy to both previously published studies and expert raters. Further, the coding tasks were performed quickly and cheaply. These data suggest that crowdsourced content analysis can help advance psychological research. © 2016 Tosti-Kharas and Conley.</t>
  </si>
  <si>
    <t>Tosti-Kharas J., Conley C.</t>
  </si>
  <si>
    <t>https://www.scopus.com/inward/record.uri?eid=2-s2.0-84974710099&amp;doi=10.3389%2ffpsyg.2016.00741&amp;partnerID=40&amp;md5=e2be527dd3488c75fc627675751b241c</t>
  </si>
  <si>
    <t>Babson College, Babson Park, MA, United States; Information, Risk, and Operations Management, McCombs School of Business, University of Texas at Austin, Austin, TX, United States</t>
  </si>
  <si>
    <t>Tosti-Kharas, J., Babson College, Babson Park, MA, United States; Conley, C., Information, Risk, and Operations Management, McCombs School of Business, University of Texas at Austin, Austin, TX, United States</t>
  </si>
  <si>
    <t>Tosti-Kharas, J.; Babson CollegeUnited States; email: jtostikharas@babson.edu</t>
  </si>
  <si>
    <t>Collaboration in distributed software development</t>
  </si>
  <si>
    <t>10.1007/978-3-540-95888-8_7</t>
  </si>
  <si>
    <t>7003587349;</t>
  </si>
  <si>
    <t>Software development is an intense collaborative process where success depends on the ability to create, share and integrate information. Given the trend towards globalization in the software development industry, distance creates an additional challenge to development processes, as fewer opportunities for rich interaction and lower frequencies of direct communication. The chapter introduces a taxonomy of software engineering tools for distributed projects and presents collaborative development environments, ranging from classic platforms for dispersed developers in open source software projects to modern environments for flexible and distributed processes. Moreover, it introduces computer-mediated communication theories which reveal some patterns of tool usage to overcome the challenges of distance. Building upon the theoretical background of media selection, the chapter summarizes research activities aimed to build an evidence-based model of task-technology fit for communication- intensive activities such as distributed requirements workshops. © Springer-Verlag Berlin Heidelberg 2009.</t>
  </si>
  <si>
    <t>Lanubile F.</t>
  </si>
  <si>
    <t>https://www.scopus.com/inward/record.uri?eid=2-s2.0-67049119208&amp;doi=10.1007%2f978-3-540-95888-8_7&amp;partnerID=40&amp;md5=dac7d7644e1fa380de287e94554651d4</t>
  </si>
  <si>
    <t>Dipartimento di Informatica, University of Bari, Via Orabona 4, 70126 Bari, Italy</t>
  </si>
  <si>
    <t>Lanubile, F., Dipartimento di Informatica, University of Bari, Via Orabona 4, 70126 Bari, Italy</t>
  </si>
  <si>
    <t>Lanubile, F.; Dipartimento di Informatica, Via Orabona 4, 70126 Bari, Italy; email: lanubile@di.uniba.it</t>
  </si>
  <si>
    <t>Collaboration patterns and the impact of distance on awareness in requirements-centred social networks</t>
  </si>
  <si>
    <t>10.1109/RE.2007.14</t>
  </si>
  <si>
    <t>57192297254;24477940900;22134765100;</t>
  </si>
  <si>
    <t>Because of intense collaborative needs, requirements engineering is a challenge in global software development. How do distributed teams manage the development of requirements in environments that require significant cross-site collaboration and coordination? In this paper, we report research that used social network analysis to explore collaboration and awareness among team members during requirements management in an industrial distributed software team. Using the lens of a requirements-centred social network to group team members who work on a particular requirement, we collected data to characterize requirements-centric collaborations in a project, and to examine aspects of awareness of requirements changes within these networks. Our findings indicate organic patterns of collaboration involving considerable cross-site interaction, in which communication of changes was the most predominant reason for interaction. Although we did not find evidence that distance affects developers ' awareness of remote team members who work on the same requirements, distance affected how accessible the remote colleagues were. We discuss implications for knowledge sharing and coordination of work on a requirement in distributed teams, and propose directions for the design of collaboration tools that support awareness in distributed requirements management. © 2007 IEEE.</t>
  </si>
  <si>
    <t>Damian D., Marczak S., Kwan I.</t>
  </si>
  <si>
    <t>Proceedings - 15th IEEE International Requirements Engineering Conference, RE 2007</t>
  </si>
  <si>
    <t>https://www.scopus.com/inward/record.uri?eid=2-s2.0-47949106829&amp;doi=10.1109%2fRE.2007.14&amp;partnerID=40&amp;md5=a988ab849ccaf1a732c75b4b5196e12e</t>
  </si>
  <si>
    <t>Software Engineering Global Inter Action Lab. - SEGAL, Department of Computer Science, University of Victoria, 3800 Finnerty Road, Victoria, BC, Canada</t>
  </si>
  <si>
    <t>Damian, D., Software Engineering Global Inter Action Lab. - SEGAL, Department of Computer Science, University of Victoria, 3800 Finnerty Road, Victoria, BC, Canada; Marczak, S., Software Engineering Global Inter Action Lab. - SEGAL, Department of Computer Science, University of Victoria, 3800 Finnerty Road, Victoria, BC, Canada; Kwan, I., Software Engineering Global Inter Action Lab. - SEGAL, Department of Computer Science, University of Victoria, 3800 Finnerty Road, Victoria, BC, Canada</t>
  </si>
  <si>
    <t>Damian, D.; Software Engineering Global Inter Action Lab. - SEGAL, 3800 Finnerty Road, Victoria, BC, Canada; email: danielad@cs.uvic.ca</t>
  </si>
  <si>
    <t>Collaborative economy for testing cost reduction on Android ecosystem</t>
  </si>
  <si>
    <t>10.1145/3121245.3121248</t>
  </si>
  <si>
    <t>57203761163;57203760970;57203765636;6602150321;</t>
  </si>
  <si>
    <t>Collaborative Economy (CE) promotes significant changes in several sectors around the world, e.g. the famous companies Uber, Airbnb, and Turo. The general idea behind CE is the establishment of a win-win partnership between two agents. One agent has a potential need for a resource of high cost for acquisition or location, and the other agent has the resource frequently idle. Software quality verification on Android ecosystem is a hard task due to the fragmentation among the devices, i.e. the large number of devices configurations. In this scenario, compatibility testing demands the acquisition or location of several different devices of high cost and volatility due to technology evolution. On the other hand, there are several devices around the world with a high rate of idle time and which could be used for testing, generating an extra budget for their owners. In this sense, this paper defends the principles of CE for supporting the testing activity of Android applications. We implemented a platform to use and evaluate the practical usefulness and applicability of CE principles in Android software testing context. The platform makes it possible to run system testing on several devices, geographically distributed, simultaneously. The general idea is to record system testing by using an extension of Expresso, a Google proposed framework for user interface (UI) testing, and execute the test cases on idle devices previous registered on the platform, according to the test requirements. We carried out some exploratory studies which evidentiate the potential of the proposed platform, its benefits, and its impact not only on the market but also on the way we can run efficiently testing on Android ecosystem. © 2017 Association for Computing Machinery.</t>
  </si>
  <si>
    <t>Faria K.A.C., de Andrade E.N., Freitas, Vincenzi A.M.R.</t>
  </si>
  <si>
    <t>A-TEST 2017 - Proceedings of the 8th ACM SIGSOFT International Workshop on Automated Software Testing, Co-located with FSE 2017</t>
  </si>
  <si>
    <t>https://www.scopus.com/inward/record.uri?eid=2-s2.0-85052860536&amp;doi=10.1145%2f3121245.3121248&amp;partnerID=40&amp;md5=3cd40eb0f987ea831ed2a9dc9109f06d</t>
  </si>
  <si>
    <t>Federal Institute of Goiás Inhumas, Goiás, Brazil; Federal University of São Carlos São Carlos, São Paulo, Brazil</t>
  </si>
  <si>
    <t>Faria, K.A.C., Federal Institute of Goiás Inhumas, Goiás, Brazil; de Andrade, E.N., Federal Institute of Goiás Inhumas, Goiás, Brazil; Freitas, Federal Institute of Goiás Inhumas, Goiás, Brazil; Vincenzi, A.M.R., Federal University of São Carlos São Carlos, São Paulo, Brazil</t>
  </si>
  <si>
    <t>Collaborative filtering model for user satisfaction prediction in spoken dialog system evaluation</t>
  </si>
  <si>
    <t>10.1109/SLT.2010.5700898</t>
  </si>
  <si>
    <t>57778023300;37012703900;56172345200;7102275781;6603027744;7202279063;</t>
  </si>
  <si>
    <t>Developing accurate models to automatically predict user satisfaction about the overall quality of a Spoken Dialog System (SDS) is highly desirable for SDS evaluation. In the original PARADISE framework, a linear regression model is trained using measures drawn from rated dialogs as predictors with user satisfaction as the target. In this paper, we extend PARADISE by introducing a collaborative filtering (CF) model for user satisfaction prediction and its corresponding extension. This prediction model is drawn from the idea of CF in recommendation systems, which uses information from near neighbors of an unrated dialog to predict its user satisfaction. We also present the methodology of collecting user judgments on SDS quality with crowdsourcing through Amazon Mechanical Turk. Experimental results show that the CF approaches could distinctly improve the prediction accuracy of user satisfaction. ©2010 IEEE.</t>
  </si>
  <si>
    <t>Yang Z., Li B., Zhu Y., King I., Levow G., Meng H.</t>
  </si>
  <si>
    <t>2010 IEEE Workshop on Spoken Language Technology, SLT 2010 - Proceedings</t>
  </si>
  <si>
    <t>https://www.scopus.com/inward/record.uri?eid=2-s2.0-79951808299&amp;doi=10.1109%2fSLT.2010.5700898&amp;partnerID=40&amp;md5=939242fbc1de0152d967931f135c8ab0</t>
  </si>
  <si>
    <t>Department of System Engineering and Engineering Management, Chinese University of Hong Kong, Shatin, N.T., Hong Kong; Department of Computer Science and Engineering, Chinese University of Hong Kong, Shatin, N.T., Hong Kong; Department of Linguistics, University of Washington, Seattle, WA 98195, United States</t>
  </si>
  <si>
    <t>Yang, Z., Department of System Engineering and Engineering Management, Chinese University of Hong Kong, Shatin, N.T., Hong Kong; Li, B., Department of Computer Science and Engineering, Chinese University of Hong Kong, Shatin, N.T., Hong Kong; Zhu, Y., Department of Computer Science and Engineering, Chinese University of Hong Kong, Shatin, N.T., Hong Kong; King, I., Department of Computer Science and Engineering, Chinese University of Hong Kong, Shatin, N.T., Hong Kong; Levow, G., Department of Linguistics, University of Washington, Seattle, WA 98195, United States; Meng, H., Department of System Engineering and Engineering Management, Chinese University of Hong Kong, Shatin, N.T., Hong Kong</t>
  </si>
  <si>
    <t>Meng, H.; Department of System Engineering and Engineering Management, , Shatin, N.T., Hong Kong</t>
  </si>
  <si>
    <t>Collection of user judgments on spoken dialog system with crowdsourcing</t>
  </si>
  <si>
    <t>10.1109/SLT.2010.5700864</t>
  </si>
  <si>
    <t>This paper presents an initial attempt at the use of crowdsourcing for collection of user judgments on spoken dialog systems (SDSs). This is implemented on Amazon Mechanical Turk (MTurk), where a Requester can design a human intelligence task (HIT) to be performed by a large number of Workers efficiently and cost-effectively. We describe a design methodology for two types of HITs - the first targets at fast rating of a large number of dialogs regarding some dimensions of the SDS's performance and the second aims to assess the reliability of Workers on MTurk through the variability in ratings across different Workers. A set of approval rules are also designed to control the quality of ratings from MTurk. At the end of the collection work, user judgments for about 8,000 dialogs rated by around 700Workers are collected in 45 days. We observe reasonable consistency between the manual MTurk ratings and an automatic categorization of dialogs in terms of task completion, which partially verifies the reliability of the approved ratings from MTurk. From the second type of HITs, we also observe moderate inter-rater agreement for ratings in task completion which provides support for the utilization of MTurk as a judgments collection platform. Further research on the exploration of SDS evaluation models could be developed based on the collected corpus. ©2010 IEEE.</t>
  </si>
  <si>
    <t>https://www.scopus.com/inward/record.uri?eid=2-s2.0-79951807212&amp;doi=10.1109%2fSLT.2010.5700864&amp;partnerID=40&amp;md5=62f7e6a2b01900e90223ac71b251060c</t>
  </si>
  <si>
    <t>Department of System Engineering and Engineering Management, Chinese University of Hong Kong, Shatin.N.T, Hong Kong; Department of Computer Science and Engineering, Chinese University of Hong Kong, Shatin.N.T, Hong Kong; Department of Linguistics, University of Washington, Seattle, WA 98195, United States</t>
  </si>
  <si>
    <t>Yang, Z., Department of System Engineering and Engineering Management, Chinese University of Hong Kong, Shatin.N.T, Hong Kong; Li, B., Department of Computer Science and Engineering, Chinese University of Hong Kong, Shatin.N.T, Hong Kong; Zhu, Y., Department of Computer Science and Engineering, Chinese University of Hong Kong, Shatin.N.T, Hong Kong; King, I., Department of Computer Science and Engineering, Chinese University of Hong Kong, Shatin.N.T, Hong Kong; Levow, G., Department of Linguistics, University of Washington, Seattle, WA 98195, United States; Meng, H., Department of System Engineering and Engineering Management, Chinese University of Hong Kong, Shatin.N.T, Hong Kong</t>
  </si>
  <si>
    <t>Yang, Z.; Department of System Engineering and Engineering Management, , Shatin.N.T, Hong Kong</t>
  </si>
  <si>
    <t>Combining human and computation intelligence: The case of data interlinking tools</t>
  </si>
  <si>
    <t>10.1504/IJMSO.2012.050018</t>
  </si>
  <si>
    <t>23036541000;55386190600;40662148600;15136545600;24385580800;</t>
  </si>
  <si>
    <t>Interlinking is without doubt one of the most active and mature areas of research and development in semantic technologies. Over the last decade or more a multitude of approaches to match, merge and integrate ontologies, both at the schema and instance levels have been proposed and successfully applied to resolve heterogeneity issues and, more recently, to interlink RDF data sets exposed over the Web as part of the Linked Open Data Cloud. The strengths and weaknesses of existing interlinking solutions, as well as their natural limitations and principled combinations have been intensively studied, not least through community projects such as the Ontology Alignment Evaluation Initiative. Human input remains a key ingredient of the process, either as a source of domain knowledge used to train matching algorithms and to build the underlying knowledge base, or to validate automatically computed results. In this paper we describe how such human input could be acquired and used to enhance the results of existing data interlinking technology via crowdsourcing. In a survey of data interlinking tools we identify several aspects of the interlinking process that crucially rely on human contributions and explain how these aspects could be subject to a semantically enabled human computation architecture that can be set-up by extending interlinking platforms such as Silk with direct interfaces to popular microtask platforms such as Amazon's Mechanical Turk. Copyright © 2012 Inderscience Enterprises Ltd.</t>
  </si>
  <si>
    <t>Simperl E., Wölger S., Thaler S., Norton B., Bürger T.</t>
  </si>
  <si>
    <t>International Journal of Metadata, Semantics and Ontologies</t>
  </si>
  <si>
    <t>https://www.scopus.com/inward/record.uri?eid=2-s2.0-84868240603&amp;doi=10.1504%2fIJMSO.2012.050018&amp;partnerID=40&amp;md5=4d6c537f9699bdc03977ed636faec189</t>
  </si>
  <si>
    <t>Karlsruhe Institute of Technology, Germany; STI Innsbruck, University of Innsbruck, Austria; Ontotext AD, United Kingdom; Payback GmbH, Germany</t>
  </si>
  <si>
    <t>Simperl, E., Karlsruhe Institute of Technology, Germany; Wölger, S., STI Innsbruck, University of Innsbruck, Austria; Thaler, S., STI Innsbruck, University of Innsbruck, Austria; Norton, B., Ontotext AD, United Kingdom; Bürger, T., Payback GmbH, Germany</t>
  </si>
  <si>
    <t>Simperl, E.; Karlsruhe Institute of TechnologyGermany; email: elena.simperl@kit.edu</t>
  </si>
  <si>
    <t>Combining image databases for affective image classification</t>
  </si>
  <si>
    <t>57191719246;36067382500;</t>
  </si>
  <si>
    <t>Affective image classification has attracted much attention in recent years. However, the production of more exact classifiers depends on the quality of the sample database. In this study, we analyzed various existing databases used for affective image classification and we tried to improve the quality of the learning data by combining existing databases in several different ways. We found that existing image databases cannot cover the overall range of the arousal-valence plane. Thus, to obtain a wider distribution of emotion labels from images, we conducted a crowd-sourcing-based user study with Amazon Mechanical Turk. We aimed to construct several different versions of affective image classifiers by using different combinations of existing databases, instead of using one. We used low-level features in our classification experiments to explore the discriminatory properties of emotion categories. We report the results of intermediate comparisons using different combinations of databases to evaluate the performance of this approach. Copyright © IARIA, 2015.</t>
  </si>
  <si>
    <t>Kim H.-R., Lee I.-K.</t>
  </si>
  <si>
    <t>ACHI 2015 - 8th International Conference on Advances in Computer-Human Interactions</t>
  </si>
  <si>
    <t>https://www.scopus.com/inward/record.uri?eid=2-s2.0-84966550427&amp;partnerID=40&amp;md5=a4b5299040c42945d523f0959e2d2b48</t>
  </si>
  <si>
    <t>Dept. of Computer Science Yonsei University, Seoul, South Korea</t>
  </si>
  <si>
    <t>Kim, H.-R., Dept. of Computer Science Yonsei University, Seoul, South Korea; Lee, I.-K., Dept. of Computer Science Yonsei University, Seoul, South Korea</t>
  </si>
  <si>
    <t>Combining Multiple Treatment Comparisons with Personalized Patient Preferences: A Randomized Trial of an Interactive Platform for Statin Treatment Selection</t>
  </si>
  <si>
    <t>10.1177/0272989X19835239</t>
  </si>
  <si>
    <t>55535707100;57191365799;57207847582;24728579800;9335409500;24475357200;</t>
  </si>
  <si>
    <t>Background. Patients and clinicians are often required to make tradeoffs between the relative benefits and harms of multiple treatment options. Combining network meta-analysis results with user preferences can be useful when choosing among several treatment alternatives. Objective. Using cholesterol-lowering statin drugs as a case study, we aimed to determine whether an interactive web-based platform that combines network meta-analysis findings with patient preferences had an effect on the decision-making process in a general population sample. Method. This was a pilot parallel randomized controlled trial. We used Amazon’s Mechanical Turk to recruit adults residing in the United States. A total of 349 participants were randomly allocated to view either the interactive tool (intervention) or a series of bar charts (control). The primary endpoint was decisional conflict, and secondary endpoints included decision self-efficacy, preparation for decision making, and the overall ranking of statins. Results. A total of 258 participants completed the trial and were included in the analysis. On the primary outcome, participants randomized to the interactive tool had significantly lower levels of decisional conflict than those in the control group (difference, –8.53; 95% confidence interval [CI], −12.96 to −4.11 on a 100-point scale; P = 0.001). They also appeared to have higher levels of preparation for decision making (difference, 4.19; 95% CI, –0.24 to 8.63 on a 100-point scale; P = 0.031). No difference was found for decision self-efficacy, although groups were statistically significantly different in how they ranked different statins. Conclusion. The findings of our proof-of-concept evaluation suggest that an interactive web-based tool combining published clinical evidence with individual preferences can reduce decisional conflict and better prepare individuals for decision making. © The Author(s) 2019.</t>
  </si>
  <si>
    <t>Hopkin G., Au A., Collier V.J., Yudkin J.S., Basu S., Naci H.</t>
  </si>
  <si>
    <t>Medical Decision Making</t>
  </si>
  <si>
    <t>https://www.scopus.com/inward/record.uri?eid=2-s2.0-85063064543&amp;doi=10.1177%2f0272989X19835239&amp;partnerID=40&amp;md5=5d4c5b2495b1db9086c749306d6466cd</t>
  </si>
  <si>
    <t>Department of Health Policy, London School of Economics and Political Science, London, United Kingdom; Department of Sociology, University of Toronto, Toronto, ON, Canada; King’s College London, London, United Kingdom; University College London, London, United Kingdom; Stanford University School of Medicine, Palo Alto, CA, United States</t>
  </si>
  <si>
    <t>Hopkin, G., Department of Health Policy, London School of Economics and Political Science, London, United Kingdom; Au, A., Department of Sociology, University of Toronto, Toronto, ON, Canada; Collier, V.J., King’s College London, London, United Kingdom; Yudkin, J.S., University College London, London, United Kingdom; Basu, S., Stanford University School of Medicine, Palo Alto, CA, United States; Naci, H., Department of Health Policy, London School of Economics and Political Science, London, United Kingdom</t>
  </si>
  <si>
    <t>Naci, H.; Department of Health Policy, United Kingdom; email: h.naci@lse.ac.uk</t>
  </si>
  <si>
    <t>Common law liability for landowners when using prescribed fires on private forest land in the Southern United States</t>
  </si>
  <si>
    <t>12784339500;</t>
  </si>
  <si>
    <t>The potential liability associated with escaped fires has been a widespread concern to forest landowners when using prescribed fires on private forestland. In this study, common law for prescribed fires on forestland in the 13 southern states was analyzed by examining published legal cases. A thorough search on the legal database of Westlaw generated a list of 27 cases at the state appellate courts. Major characteristics of these cases were summarized by features such as state, year, ownership type, and liability of landowner. Furthermore, these cases were analyzed under three focus areas: negligence rules, strict liability, and vicarious liability. Overall, the standard of care associated with the reasonable prudent person has been required for the intentional use of fire on forestland with a lawful purpose. In the past, gross negligence rule and strict liability have not been applied in the South. Vicarious liability may become a chief concern for forest landowners in the future. Copyright © 2007 by the Society of American Foresters.</t>
  </si>
  <si>
    <t>Sun C.</t>
  </si>
  <si>
    <t>Forest Science</t>
  </si>
  <si>
    <t>https://www.scopus.com/inward/record.uri?eid=2-s2.0-35348928798&amp;partnerID=40&amp;md5=306f1a72baef0154f0fa86e6faec2a83</t>
  </si>
  <si>
    <t>Department of Forestry, Mississippi State University, Box 9681, Mississippi State, MS 39762, United States</t>
  </si>
  <si>
    <t>Sun, C., Department of Forestry, Mississippi State University, Box 9681, Mississippi State, MS 39762, United States</t>
  </si>
  <si>
    <t>Sun, C.; Department of Forestry, , Mississippi State, MS 39762, United States; email: csun@cfr.msstate.edu</t>
  </si>
  <si>
    <t>Competitive game designs for improving the cost effectiveness of crowdsourcing</t>
  </si>
  <si>
    <t>10.1145/2661829.2661946</t>
  </si>
  <si>
    <t>56730485000;36170468400;24176258100;7801642131;</t>
  </si>
  <si>
    <t>Crowd based online work is leveraged in a variety of applications such as semantic annotation of images, translation of texts in foreign languages, and labeling of training data for machine learning models. However, annotating large amounts of data through crowdsourcing can be slow and costly. In order to improve both cost and time efficiency of crowdsourcing we examine alternative reward mechanisms compared to the "Pay-per-HIT" scheme commonly used in platforms such as Amazon Mechanical Turk. To this end, we explore a wide range of monetary reward schemes that are inspired by the success of competitions, lotteries, and games of luck. Our large-scale experimental evaluation with an overall budget of more than 1,000 USD and with 2,700 hours of work spent by crowd workers demonstrates that our alternative reward mechanisms are well accepted by online workers and lead to substantial performance boosts. Copyright 2014 ACM.</t>
  </si>
  <si>
    <t>Rokicki M., Chelaru S., Zerr S., Siersdorfer S.</t>
  </si>
  <si>
    <t>CIKM 2014 - Proceedings of the 2014 ACM International Conference on Information and Knowledge Management</t>
  </si>
  <si>
    <t>https://www.scopus.com/inward/record.uri?eid=2-s2.0-84937598773&amp;doi=10.1145%2f2661829.2661946&amp;partnerID=40&amp;md5=297f78bd89ee48c481829091c66c23ab</t>
  </si>
  <si>
    <t>L3S Research Center, Hannover, Germany</t>
  </si>
  <si>
    <t>Rokicki, M., L3S Research Center, Hannover, Germany; Chelaru, S., L3S Research Center, Hannover, Germany; Zerr, S., L3S Research Center, Hannover, Germany; Siersdorfer, S., L3S Research Center, Hannover, Germany</t>
  </si>
  <si>
    <t>Compressor system performance at abnormal or non-design conditions</t>
  </si>
  <si>
    <t>57190814077;52864433900;57190818784;57221808476;</t>
  </si>
  <si>
    <t>When attempting to optimize facility performance or determine the effectiveness of process safety systems, accurate evaluation of compressor performance at conditions deviating from design is critical. This paper presents a joint study involving the Atlantic LNG Company of Trinidad and Tobago, the ioMosaic Corporation, and an independent contractor. At the Atlantic LNG facility, a large feed gas compressor was tested at varying inlet conditions and the operating data were analyzed to determine the impact on compressor performance. A comprehensive data set spanning 2 years and more than 400,000 measured conditions were used to develop a method combining empirical data and design calculations to optimize compressor performance and provide a framework for evaluating compressor safety. A validation of 3 methods of predicting compressor performance (the Isentropic Energy Balance Model, the Ideal Polytropic Model, and the Real Polytropic Model) was performed to determine which method/s are most suitable for process safety/optimization work. The analysis considered both, the fundamental and empirical bases. A mathematical model was derived for projecting the behavior of the polytropic head and efficiency curves, provided by the compressor manufacturer, based on numerical integration and data residualization techniques. Then, the data set were analyzed to find behavioral patterns which may indicate potential hazardous conditions or deviations from efficient operation. Additionally, a detailed list of hazardous scenarios, design considerations, and operating practices that have resulted in safety incidents in current industry applications are given for consideration during compressor system design and evaluation. It was found that, under optimal conditions, the Isentropic Energy Balance Model and the Ideal Polytropic Model predict exactly the same results for compressor performance. It was found that the polytropic head and efficiency curves furnished by the vendor are only accurate at certain, optimal, suction pressures and that these optimal pressures are only consistent with the reference pressure on the vendor supplied curves at very specific operating points. Furthermore, it was found that deviations from optimal suction pressure result in a reduced head and flow capacity of the compressor. The pattern of inefficiency is consistent with operating conditions that have been shown to lead to equipment failure and loss of containment from vibration induced fatigue in existing compressor system applications. The final result of the study found that it is possible to use a combination of operating data and design calculations to generate suction pressure curves that will improve safe operations, optimal efficiency, and can be used by operators while the system is online. Copyright © 2016 Retained by Authors, April, UNPUBLISHED.</t>
  </si>
  <si>
    <t>Grosscup D., Ramlakhan C.D., Jarvis C., Lea C.</t>
  </si>
  <si>
    <t>18th Process Plant Safety Symposium, PPSS 2016 - Topical Conference at the 2016 AIChE Spring Meeting and 12th Global Congress on Process Safety</t>
  </si>
  <si>
    <t>https://www.scopus.com/inward/record.uri?eid=2-s2.0-84983296840&amp;partnerID=40&amp;md5=543761f7554f357f20075004de8b2c6b</t>
  </si>
  <si>
    <t>Consultant, United States; Atlantic LNG Company of Trinidad and Tobago, United States; Operations Specialist-Project Engineering and Optimization, Atlantic LNG Company of Trinidad and Tobago, United States; Senior Process Safety and Risk Management Consultant, IoMosaic Corporation, United States</t>
  </si>
  <si>
    <t>Grosscup, D., Consultant, United States; Ramlakhan, C.D., Atlantic LNG Company of Trinidad and Tobago, United States; Jarvis, C., Operations Specialist-Project Engineering and Optimization, Atlantic LNG Company of Trinidad and Tobago, United States; Lea, C., Senior Process Safety and Risk Management Consultant, IoMosaic Corporation, United States</t>
  </si>
  <si>
    <t>Ramlakhan, C.D.; Atlantic LNG Company of Trinidad and TobagoUnited States; email: cramlakhan@atlanticlng.com</t>
  </si>
  <si>
    <t>Conference v2.0: An uncertain version of the OAEI conference benchmark</t>
  </si>
  <si>
    <t>10.1007/978-3-319-11915-1_3</t>
  </si>
  <si>
    <t>13806682500;8876646400;</t>
  </si>
  <si>
    <t>The Ontology Alignment Evaluation Initiative is a set of benchmarks for evaluating the performance of ontology alignment systems. In this paper we re-examine the Conference track of the OAEI, with a focus on the degree of agreement between the reference alignments within this track and the opinion of experts. We propose a new version of this benchmark that more closely corresponds to expert opinion and confidence on the matches. The performance of top alignment systems is compared on both versions of the benchmark. Additionally, a general method for crowdsourcing the development of more benchmarks of this type using Amazon’s Mechanical Turk is introduced and shown to be scalable, cost-effective and to agree well with expert opinion. © Springer International Publishing Switzerland 2014.</t>
  </si>
  <si>
    <t>Cheatham M., Hitzler P.</t>
  </si>
  <si>
    <t>https://www.scopus.com/inward/record.uri?eid=2-s2.0-84910095220&amp;doi=10.1007%2f978-3-319-11915-1_3&amp;partnerID=40&amp;md5=7be15655b72fb634a08f8869e335f552</t>
  </si>
  <si>
    <t>Data Semantics (DaSe) Laboratory, Wright State University, Dayton, OH  45435, United States</t>
  </si>
  <si>
    <t>Cheatham, M., Data Semantics (DaSe) Laboratory, Wright State University, Dayton, OH  45435, United States; Hitzler, P., Data Semantics (DaSe) Laboratory, Wright State University, Dayton, OH  45435, United States</t>
  </si>
  <si>
    <t>Cheatham, M.; Data Semantics (DaSe) Laboratory, United States</t>
  </si>
  <si>
    <t>Consensus versus Crowdsourcing in Collaborative Decision-Making Applied in Cultural Institutions</t>
  </si>
  <si>
    <t>10.1016/j.procs.2019.12.022</t>
  </si>
  <si>
    <t>26428683300;57191987405;</t>
  </si>
  <si>
    <t>The paper presents an analysis of the decision-making process applied in the cultural institutions for choosing the best ICT platform, for purposes of developing a virtual exhibition for creative digital works. A review of the existing platforms and tools already used in creative digital field is performed and a multi-criteria analysis is described. The application of the consensus in decision-making process is presented and the use of the crowdsourcing approach is analyzed. The collaborative aspects of the decision-making process, based on consensus and crowdsourcing, are considered. © 2020 The Authors. Published by Elsevier B.V.</t>
  </si>
  <si>
    <t>Ciurea C., Owsiński J.W.</t>
  </si>
  <si>
    <t>Procedia Computer Science</t>
  </si>
  <si>
    <t>https://www.scopus.com/inward/record.uri?eid=2-s2.0-85081049646&amp;doi=10.1016%2fj.procs.2019.12.022&amp;partnerID=40&amp;md5=a191d37d11759e08a2c8c50b93aaaf05</t>
  </si>
  <si>
    <t>Bucharest University of Economic Studies, Piata Romana 6, Bucharest, 010374, Romania; Polish Academy of Sciences, Newelska, 6, Warszawa, 01-447, Poland</t>
  </si>
  <si>
    <t>Ciurea, C., Bucharest University of Economic Studies, Piata Romana 6, Bucharest, 010374, Romania; Owsiński, J.W., Polish Academy of Sciences, Newelska, 6, Warszawa, 01-447, Poland</t>
  </si>
  <si>
    <t>Ciurea, C.; Bucharest University of Economic Studies, Piata Romana 6, Romania; email: cristian.ciurea@ie.ase.ro</t>
  </si>
  <si>
    <t>Considering human aspects on strategies for designing and managing distributed human computation</t>
  </si>
  <si>
    <t>10.1186/s13174-014-0010-4</t>
  </si>
  <si>
    <t>36975953000;6602598797;7003429497;7007056631;</t>
  </si>
  <si>
    <t>A human computation system can be viewed as a distributed system in which the processors are humans, called workers. Such systems harness the cognitive power of a group of workers connected to the Internet to execute relatively simple tasks, whose solutions, once grouped, solve a problem that systems equipped with only machines could not solve satisfactorily. Examples of such systems are Amazon Mechanical Turk and the Zooniverse platform. A human computation application comprises a group of tasks, each of them can be performed by one worker. Tasks might have dependencies among each other. In this study, we propose a theoretical framework to analyze such type of application from a distributed systems point of view. Our framework is established on three dimensions that represent different perspectives in which human computation applications can be approached: quality-of-service requirements, design and management strategies, and human aspects. By using this framework, we review human computation in the perspective of programmers seeking to improve the design of human computation applications and managers seeking to increase the effectiveness of human computation infrastructures in running such applications. In doing so, besides integrating and organizing what has been done in this direction, we also put into perspective the fact that the human aspects of the workers in such systems introduce new challenges in terms of, for example, task assignment, dependency management, and fault prevention and tolerance. We discuss how they are related to distributed systems and other areas of knowledge. © 2014, Ponciano et al.; licensee Springer.</t>
  </si>
  <si>
    <t>Ponciano L., Brasileiro F., Andrade N., Sampaio L.</t>
  </si>
  <si>
    <t>Journal of Internet Services and Applications</t>
  </si>
  <si>
    <t>https://www.scopus.com/inward/record.uri?eid=2-s2.0-84908441414&amp;doi=10.1186%2fs13174-014-0010-4&amp;partnerID=40&amp;md5=8563d392284f90ee0f4d3aa44339e491</t>
  </si>
  <si>
    <t>Department of Computing and Systems, Federal University of Campina Grande, Av. Aprígio Veloso, 882 – Bloco CO, 58.429-900, Campina Grande – PB, Brazil</t>
  </si>
  <si>
    <t>Ponciano, L., Department of Computing and Systems, Federal University of Campina Grande, Av. Aprígio Veloso, 882 – Bloco CO, 58.429-900, Campina Grande – PB, Brazil; Brasileiro, F., Department of Computing and Systems, Federal University of Campina Grande, Av. Aprígio Veloso, 882 – Bloco CO, 58.429-900, Campina Grande – PB, Brazil; Andrade, N., Department of Computing and Systems, Federal University of Campina Grande, Av. Aprígio Veloso, 882 – Bloco CO, 58.429-900, Campina Grande – PB, Brazil; Sampaio, L., Department of Computing and Systems, Federal University of Campina Grande, Av. Aprígio Veloso, 882 – Bloco CO, 58.429-900, Campina Grande – PB, Brazil</t>
  </si>
  <si>
    <t>Ponciano, L.; Department of Computing and Systems, Av. Aprígio Veloso, 882 – Bloco CO, 58.429-900, Brazil</t>
  </si>
  <si>
    <t>Consumer demand for sustainability benchmarks in tourism and hospitality</t>
  </si>
  <si>
    <t>10.1108/TR-05-2017-0087</t>
  </si>
  <si>
    <t>6601939236;</t>
  </si>
  <si>
    <t>Purpose: The purpose of this paper is to measure the potential influence of sociodemographic characteristics on consumers’ stated importance for sustainability benchmarks for satisfaction, the importance of different areas for benchmarks and the importance of different organizations having benchmarks. Design/methodology/approach: Quantitative methods with a structured survey was applied on an online survey platform called Amazon’s Mechanical Turk, or MTurk. A total of 417 completed surveys were collected from residents in the USA; however, missing values reduced the sample size to 410 and 411 for some variables. The data were analyzed using descriptives, frequencies, t-test and one-way ANOVA test using SPSS version 24. Findings: The results revealed consumers’ short-term focus on self-related benefits, rather than long-term-oriented sustainability concerns, and thus a lack of awareness and demand for sustainability-related benchmarks. Only gender showed a strong explanatory power in explaining the demand for all benchmarks, including those related to sustainability. Research limitations/implications: The study was conducted online with volunteer participants, regarding their general attitudes rather than a specific consumption experience. On-site studies of consumers of organizations applying or not applying sustainability benchmarks could enable the identification of fresh attitudes and opinions as consumers experience the products and services of the organizations. Practical implications: Organizations advocating sustainability may need to step up in increasing consumer awareness and attention. None of the formal sustainability-related certificates were mentioned by respondents. The burden of this education should perhaps also be placed on the organizations providing these certificates; they may need to start following the marketing approach, investigating consumers when formulating and promoting these certificates. Social implications: In light of the socially desirable tendencies of human beings, marketing communication messages that relate ethics and moral development to sustainable behavior may be more compelling for both suppliers and consumers. Consumers with different ethical views may require different motivation for demanding sustainability benchmarks. Originality/value: Although much attention has been focused on sustainable development, and many standardization tools and benchmarks have been developed to ensure sustainable tourism and hospitality practices, there is a lack of attention concerning consumers’ awareness of, demand for and especially, consumer characteristics that determine their demand for such benchmarks. The current study is one of the few that fill this void in literature. © 2017, © Emerald Publishing Limited.</t>
  </si>
  <si>
    <t>D.A. Tasci A.</t>
  </si>
  <si>
    <t>Tourism Review</t>
  </si>
  <si>
    <t>https://www.scopus.com/inward/record.uri?eid=2-s2.0-85035805753&amp;doi=10.1108%2fTR-05-2017-0087&amp;partnerID=40&amp;md5=a37e5a4273983c61e0ae6a21988f4e88</t>
  </si>
  <si>
    <t>Rosen College of Hospitality Management, University of Central Florida, Orlando, FL, United States</t>
  </si>
  <si>
    <t>D.A. Tasci, A., Rosen College of Hospitality Management, University of Central Florida, Orlando, FL, United States</t>
  </si>
  <si>
    <t>D.A. Tasci, A.; Rosen College of Hospitality Management, United States; email: adatasci@yahoo.com</t>
  </si>
  <si>
    <t>Consumer-citizen willingness to pay for healthy eating messages</t>
  </si>
  <si>
    <t>10.1108/IJCHM-08-2017-0490</t>
  </si>
  <si>
    <t>57195983935;55482805400;</t>
  </si>
  <si>
    <t>Purpose: The purpose of this study was to investigate the preference of health-warning message labeling in an eating-away-from-home context. The authors assessed individuals’ preference valuation of such messaging from a dual – consumer and citizen – perspective and with associated expected risk reduction (RR) level. Design/methodology/approach: In an online stated choice experiment on Amazon’s Mechanical Turk (N = 658), participants were asked to provide willingness to pay (WTP) preferences for health-warning messages and based on the expected RR from health-warning messages. Two types of multiple price list questions were used for consumer and citizen contexts. Interval regression and descriptive analysis methods were applied to analyze the data. Findings: The study found that individuals placed a higher value (higher WTP) on health-warning message labeling when acting as citizens rather than as consumers. An RR expectation of 50 per cent was most effective in increasing participants’ WTP. Individuals who ate out frequently were more concerned about healthier food messages, and the influence of gender and age on WTP was conditional on individuals’ roles as consumers versus citizens. Originality/value: This study extends the theory of consumer-citizen duality to the context of health-related information labeling, thus opening the discussion to extending such labeling from traditionally risky behavior such as alcohol and tobacco to also including food choice behavior. The authors also highlight implications on policy and industry practices to promote healthy food choices through such messages. © 2019, Emerald Publishing Limited.</t>
  </si>
  <si>
    <t>Ouyang Y., Sharma A.</t>
  </si>
  <si>
    <t>International Journal of Contemporary Hospitality Management</t>
  </si>
  <si>
    <t>https://www.scopus.com/inward/record.uri?eid=2-s2.0-85061632183&amp;doi=10.1108%2fIJCHM-08-2017-0490&amp;partnerID=40&amp;md5=ba08170dcb342ff291dbee299601fb62</t>
  </si>
  <si>
    <t>School of Hospitality Management, Pennsylvania State University, University Park, PA, United States</t>
  </si>
  <si>
    <t>Ouyang, Y., School of Hospitality Management, Pennsylvania State University, University Park, PA, United States; Sharma, A., School of Hospitality Management, Pennsylvania State University, University Park, PA, United States</t>
  </si>
  <si>
    <t>Ouyang, Y.; School of Hospitality Management, United States; email: oriazhuang@gmail.com</t>
  </si>
  <si>
    <t>Consumers’ intention to patronize food trucks: An application of the theory of planned behavior</t>
  </si>
  <si>
    <t>10.1080/15378020.2019.1671120</t>
  </si>
  <si>
    <t>56063496200;57192979896;16043610800;</t>
  </si>
  <si>
    <t>This study examines customers’ food truck patronage intention based on the theory of planned behavior with an additional path from subjective norm to attitude and an additional variable; past behavior. The data were collected from actual and potential food truck customers in the United States, whose age is 18 years or older, by employing Amazon Mechanical Turk as a sampling frame. The data were analyzed using a two-step approach of structural equation modeling. The study’s results indicate that the hypothesized model can explain customers’ intention formation of eating at a food truck well. Based on these findings, theoretical and managerial implications are presented. © 2019, © 2019 Taylor &amp; Francis.</t>
  </si>
  <si>
    <t>Shin Y.H., Im J., Severt K.</t>
  </si>
  <si>
    <t>Journal of Foodservice Business Research</t>
  </si>
  <si>
    <t>https://www.scopus.com/inward/record.uri?eid=2-s2.0-85073390590&amp;doi=10.1080%2f15378020.2019.1671120&amp;partnerID=40&amp;md5=a6c91db02bb828126e584072e6a1dfda</t>
  </si>
  <si>
    <t>Department of Human Nutrition and Hospitality Management, The University of Alabama, Tuscaloosa, AL, United States; Division of Engineering, Business, and Computing, Penn State Berks, Reading, PA, United States</t>
  </si>
  <si>
    <t>Shin, Y.H., Department of Human Nutrition and Hospitality Management, The University of Alabama, Tuscaloosa, AL, United States; Im, J., Division of Engineering, Business, and Computing, Penn State Berks, Reading, PA, United States; Severt, K., Department of Human Nutrition and Hospitality Management, The University of Alabama, Tuscaloosa, AL, United States</t>
  </si>
  <si>
    <t>Shin, Y.H.; Department of Human Nutrition and Hospitality Management, United States; email: yshin9@ches.ua.edu</t>
  </si>
  <si>
    <t>Content Validation Guidelines: Evaluation Criteria for Definitional Correspondence and Definitional Distinctiveness</t>
  </si>
  <si>
    <t>10.1037/apl0000406</t>
  </si>
  <si>
    <t>6701797702;57208106179;28167784100;57208100514;</t>
  </si>
  <si>
    <t>Several reviews have been critical of the degree to which scales in industrial/organizational psychology and organizational behavior adequately reflect the content of their construct. One potential reason for that circumstance is a tendency for scholars to focus less on content validation than on other validation methods (e.g., establishing reliability, performing convergent, discriminant, and criterion-related validation, and examining factor structure). We provide clear evaluation criteria for 2 commonly used content validation approaches: Anderson and Gerbing (1991) and Hinkin and Tracey (1999). To create those guidelines, we gathered all new scales introduced in Journal of Applied Psychology, Academy of Management Journal, Personnel Psychology, and Organizational Behavior and Human Decision Processes from 2010 to 2016. We then subjected those 112 scales to Anderson and Gerbing's (1991) and Hinkin and Tracey's (1999) approaches using 6,240 participants from Amazon's Mechanical Turk with detailed, transparent, and replicable instructions. For both approaches, our results provide evaluation criteria for definitional correspondence-the degree to which a scale's items correspond to the construct's definition-and definitional distinctiveness-the degree to which a scale's items correspond more to the construct's definition than to the definitions of other orbiting constructs. © 2019 American Psychological Association.</t>
  </si>
  <si>
    <t>Colquitt J.A., Sabey T.B., Rodell J.B., Hill E.T.</t>
  </si>
  <si>
    <t>Journal of Applied Psychology</t>
  </si>
  <si>
    <t>https://www.scopus.com/inward/record.uri?eid=2-s2.0-85063809902&amp;doi=10.1037%2fapl0000406&amp;partnerID=40&amp;md5=1abcdeb65b6abc99a01e29b267b56a76</t>
  </si>
  <si>
    <t>Colquitt, J.A.; Sabey, T.B.; Rodell, J.B.; Hill, E.T.</t>
  </si>
  <si>
    <t>Colquitt, J.A.</t>
  </si>
  <si>
    <t>Context-dependent transprejudice: Attitudes toward transgender individuals in gender-integrated and gender-segregated settings.</t>
  </si>
  <si>
    <t>10.1037/sgd0000251</t>
  </si>
  <si>
    <t>36625022900;57197746079;</t>
  </si>
  <si>
    <t>Though often conceptualized as sharing a common cultural ingroup, trans individuals face barriers to acceptance and social equality that lesbian, gay, and bisexual individuals do not. Traditionally gender-segregated settings (e.g., bathrooms) are contexts in which trans people seem more likely to experience intolerance and discrimination. This study tested the hypothesis that attitudes toward trans people are more negative in gender-segregated than gender-integrated settings, and it explored possible individual differences that could explain this discrepancy in attitudes. Heterosexual cisgender participants recruited from Amazon's Mechanical Turk (n = 189) completed an online survey that included measures of attitudes toward trans people in gender-segregated and gender-integrated settings, transphobia, ambivalent sexism, and beliefs that the world is a dangerous place. Analyses indicated that attitudes do differ by context, with participants reporting significantly more negative attitudes in gender-segregated settings. Additional analyses suggest that this difference could be in part explained by belief in a dangerous world and benevolent sexist attitudes. These findings suggest that the unsubstantiated safety concerns espoused by some opponents of trans rights may be sincere; however, they may also be more reflective of a subjective and fearful worldview than of objective reality. © 2017 American Psychological Association.</t>
  </si>
  <si>
    <t>Buck D.M., Obzud T.</t>
  </si>
  <si>
    <t>https://www.scopus.com/inward/record.uri?eid=2-s2.0-85034426454&amp;doi=10.1037%2fsgd0000251&amp;partnerID=40&amp;md5=df7bafe36137d139741c28be8a01695e</t>
  </si>
  <si>
    <t>Department of Psychology, Elon University, 100 Campus Drive, Elon, NC  27244, United States</t>
  </si>
  <si>
    <t>Buck, D.M., Department of Psychology, Elon University, 100 Campus Drive, Elon, NC  27244, United States; Obzud, T., Department of Psychology, Elon University, 100 Campus Drive, Elon, NC  27244, United States</t>
  </si>
  <si>
    <t>Buck, D.M.; Department of Psychology, 100 Campus Drive, United States; email: dbuck3@elon.edu</t>
  </si>
  <si>
    <t>Continuous measurement scales in human evaluation of machine translation</t>
  </si>
  <si>
    <t>We explore the use of continuous rating scales for human evaluation in the context of machine translation evaluation, comparing two assessor-intrinsic quality-control techniques that do not rely on agreement with expert judgments. Experiments employing Amazon's Mechanical Turk service show that quality-control techniques made possible by the use of the continuous scale show dramatic improvements to intra-annotator agreement of up to +0.101 in the kappa coefficient, with inter-annotator agreement increasing by up to +0.144 when additional standardization of scores is applied. © 2013 Association for Computational Linguistics</t>
  </si>
  <si>
    <t>LAW 2013 and ID 2013 - 7th Linguistic Annotation Workshop and Interoperability with Discourse, Proceedings of the Workshop</t>
  </si>
  <si>
    <t>https://www.scopus.com/inward/record.uri?eid=2-s2.0-85084339089&amp;partnerID=40&amp;md5=434a5e924f903cd0b9fc0fdce6140445</t>
  </si>
  <si>
    <t>Contractor performance: How good are contingent workers at the professional level?</t>
  </si>
  <si>
    <t>10.1109/17.658657</t>
  </si>
  <si>
    <t>14121432900;7006231195;6508357485;</t>
  </si>
  <si>
    <t>"Contractors," sometimes called "job shoppers," are temporary workers from an agency "A" who perform professional work at client site "B" under the direction of the client's employees. The authors surveyed 96 managers in six hightechnology settings about their overall perceptions of contractor performance, finding that respondents perceived it to rival that of comparable employees. Such perceptions of contractor performance were unaffected by the amount of time the contractor spent in the client workgroup. Also, perceived overall contractor performance was unaffected both by aggregated client measures against coemployment risk and by existence of a forced-departure rule. © 1998 IEEE.</t>
  </si>
  <si>
    <t>Jarmon R., Paulson A.S., Rebne D.</t>
  </si>
  <si>
    <t>IEEE Transactions on Engineering Management</t>
  </si>
  <si>
    <t>https://www.scopus.com/inward/record.uri?eid=2-s2.0-0031996784&amp;doi=10.1109%2f17.658657&amp;partnerID=40&amp;md5=9e6d34b7d5738a154f9fb05ba15ccf89</t>
  </si>
  <si>
    <t>School of Business and Public Management, State University, New York Institute of Technology, Utica, NY 13504-3050, United States; Lally School of Management, Rensselaer Polytechnic Institute, Troy, NY 12180-3590, United States; Socioeconomic Education Foundation of New York</t>
  </si>
  <si>
    <t>Jarmon, R., School of Business and Public Management, State University, New York Institute of Technology, Utica, NY 13504-3050, United States, Lally School of Management, Rensselaer Polytechnic Institute, Troy, NY 12180-3590, United States; Paulson, A.S., Lally School of Management, Rensselaer Polytechnic Institute, Troy, NY 12180-3590, United States, Socioeconomic Education Foundation of New York; Rebne, D., School of Business and Public Management, State University, New York Institute of Technology, Utica, NY 13504-3050, United States</t>
  </si>
  <si>
    <t>Jarmon, R.; School of Business and Public Management, , Utica, NY 13504-3050, United States</t>
  </si>
  <si>
    <t>Corning uses Telcordia's 'virtual' design simulation service in FTTH cabinet design</t>
  </si>
  <si>
    <t>Corning Cable Systems, a FTTH infrastructure supplier, becomes the first company to use Telecordia's Digital Work Design (DWD) service, a CAD-based design simulation tool, which aims at the telecommunication industry. The service incorporates highly detailed graphical simulations including 'human factors' and ergonomic analyses to test products' usability in '3D virtual world'. The DWD service is a subset of Telecordia's larger Product Lifecycle Management (PLM) platform. Telecordia's digital work modeling approach enables telecom equipment suppliers and service providers to move away from physical mockups and field trails to virtual prototypes and virtual field trials. The DWD service identifies design problems early on and can decrease development time and cost for both suppliers and providers. The service supports a centralized database that can be used to create and distribute training materials and becoming more prevalent in telecommunication industry.</t>
  </si>
  <si>
    <t>Lightwave</t>
  </si>
  <si>
    <t>https://www.scopus.com/inward/record.uri?eid=2-s2.0-33745700287&amp;partnerID=40&amp;md5=b5bdee9fad0b047fb5b8c993609cc1b2</t>
  </si>
  <si>
    <t>Counting with the crowd</t>
  </si>
  <si>
    <t>10.14778/2535568.2448944</t>
  </si>
  <si>
    <t>55613231286;7007021839;7007132780;57216196948;55625388200;</t>
  </si>
  <si>
    <t>In this paper, we address the problem of selectivity estimation in a crowdsourced database. Specifically, we develop several techniques for using workers on a crowdsourcing platform like Amazon's Mechanical Turk to estimate the fraction of items in a dataset (e.g., a collection of photos) that satisfy some property or predicate (e.g., photos of trees). We do this without explicitly iterating through every item in the dataset. This is important in crowdsourced query optimization to support predicate ordering and in query evaluation, when performing a GROUP BY operation with a COUNT or AVG aggregate. We compare sampling item labels, a traditional approach, to showing workers a collection of items and asking them to estimate how many satisfy some predicate. Additionally, we develop techniques to eliminate spammers and colluding attackers trying to skew selectivity estimates when using this count estimation approach. We find that for images, counting can be much more effective than sampled labeling, reducing the amount of work necessary to arrive at an estimate that is within 1% of the true fraction by up to an order of magnitude, with lower worker latency. We also find that sampled labeling outperforms count estimation on a text processing task, presumably because people are better at quickly processing large batches of images than they are at reading strings of text. Our spammer detection technique, which is applicable to both the label- and count-based approaches, can improve accuracy by up to two orders of magnitude. © 2012 VLDB Endowment.</t>
  </si>
  <si>
    <t>Marcus A., Karger D., Madden S., Miller R., Oh S.</t>
  </si>
  <si>
    <t>Proceedings of the VLDB Endowment</t>
  </si>
  <si>
    <t>https://www.scopus.com/inward/record.uri?eid=2-s2.0-84875121323&amp;doi=10.14778%2f2535568.2448944&amp;partnerID=40&amp;md5=6587ed4984ac30fc0b0d376c3623aa3f</t>
  </si>
  <si>
    <t>MIT CSAIL, United States</t>
  </si>
  <si>
    <t>Marcus, A., MIT CSAIL, United States; Karger, D., MIT CSAIL, United States; Madden, S., MIT CSAIL, United States; Miller, R., MIT CSAIL, United States; Oh, S., MIT CSAIL, United States</t>
  </si>
  <si>
    <t>Marcus, A.; MIT CSAILUnited States; email: marcua@csail.mit.edu</t>
  </si>
  <si>
    <t>Crossing the communication barrier in global software development projects via global software development brokers</t>
  </si>
  <si>
    <t>14057317200;55332627600;6603347028;</t>
  </si>
  <si>
    <t>As the key stakeholders in Global Software Development (GSD) projects are distributed across geographical locations, many GSD projects suffer from a communication barrier, which exists due to language-, cultural-, time zone (and possibly other) differences among key stakeholders. This barrier not only increases communication cost, it also decreases the efficiency and quality of stakeholder communication, adding extra risks to these projects, and decreasing the probability of success. So far, there is no simple solution to this problem. Using the Collaborative Networks paradigm, this paper introduces the concept of ‘Global Software Development Collaborative Network’ (GSD-CN) as a formal model to analyse communication cost and quality. The paper proposes a new entity (role) called Global Software Development Broker (GSDB). We argue and demonstrate in an example that the proposed GSDBs will (a) simplify the network structure, (b) decrease communication cost, and (c) improve communication quality – consequently increasing the probability of success of GSD projects. © 2013.</t>
  </si>
  <si>
    <t>Wen L., Kandjani H., Bernus P.</t>
  </si>
  <si>
    <t>https://www.scopus.com/inward/record.uri?eid=2-s2.0-84923902806&amp;partnerID=40&amp;md5=03bddeb8ec9c4122e98f5f11654f7bac</t>
  </si>
  <si>
    <t>Centre for Enterprise Architecture Research and Management (CEARM), School of ICT, Griffith University, Brisbane, Australia</t>
  </si>
  <si>
    <t>Wen, L., Centre for Enterprise Architecture Research and Management (CEARM), School of ICT, Griffith University, Brisbane, Australia; Kandjani, H., Centre for Enterprise Architecture Research and Management (CEARM), School of ICT, Griffith University, Brisbane, Australia; Bernus, P., Centre for Enterprise Architecture Research and Management (CEARM), School of ICT, Griffith University, Brisbane, Australia</t>
  </si>
  <si>
    <t>Wen, L.; Centre for Enterprise Architecture Research and Management (CEARM), School of ICT, Griffith UniversityAustralia</t>
  </si>
  <si>
    <t>Crowd-based MT evaluation for non-English target languages</t>
  </si>
  <si>
    <t>56883752600;16040287500;8866126500;7101629493;</t>
  </si>
  <si>
    <t>This paper investigates the feasibility of using crowd-sourcing services for the human assessment of machine translation quality of translations into non-English target languages. Non-expert graders are hired through the CrowdFlower interface to Amazon's Mechanical Turk in order to carry out a ranking-based MT evaluation of utterances taken from the travel conversation domain for 10 Indo-European and Asian languages. The collected human assessments are analyzed for their worker characteristics, evaluation costs, and quality of the evaluations in terms of the agreement between non-expert graders and expert/oracle judgments. Moreover, data quality control mechanisms including "locale qualification" "qualificatio testing", and "on-the-fl verification are investigated in order to increase the reliability of the crowd-based evaluation results. © 2012, European Association for Machine Translation. All rights reserved.</t>
  </si>
  <si>
    <t>Paul M., Sumita E., Bentivogli L., Federico M.</t>
  </si>
  <si>
    <t>Proceedings of the 16th Annual Conference of the European Association for Machine Translation, EAMT 2012</t>
  </si>
  <si>
    <t>https://www.scopus.com/inward/record.uri?eid=2-s2.0-85001099422&amp;partnerID=40&amp;md5=73e9add1d8df368cfdeb8f4ade7f1af8</t>
  </si>
  <si>
    <t>NICT, Hikaridai 3-5, Kyoto, 619-0289, Japan; FBK-irst, Via Sommarive, 18, Povo-Trento, 38123, Italy</t>
  </si>
  <si>
    <t>Paul, M., NICT, Hikaridai 3-5, Kyoto, 619-0289, Japan; Sumita, E., NICT, Hikaridai 3-5, Kyoto, 619-0289, Japan; Bentivogli, L., FBK-irst, Via Sommarive, 18, Povo-Trento, 38123, Italy; Federico, M., FBK-irst, Via Sommarive, 18, Povo-Trento, 38123, Italy</t>
  </si>
  <si>
    <t>Crowd-based processing of social multimedia to support information assessments in disaster response</t>
  </si>
  <si>
    <t>57196976865;7003705237;57205305314;8399247700;</t>
  </si>
  <si>
    <t>At the onset of a disaster, the rapid assessment of relevant information is one of the most critical challenges for decision-makers at all levels. The proliferation of social networking software combined with the increasing pervasiveness of smartphones has established new sources of very timely and current information. However, crowd-sourced social media suffer some major drawbacks hindering its efficient use. Aid organizations and agencies need to be able to rely on a valid and relevant set of information, which they can incorporate systematically in their response actions. This paper addresses the identification of potentially relevant photos shared through social networks and their preparation for a rapid spatial assessment. We present a conceptual framework for a crowd-based, semi-automated approach of processing photos to leverage them for a spatial information assessment. The framework enables ad-hoc volunteers to digitally support response actions by reviewing, georeferencing, and annotating shared photos. We introduce a prototype called DisasterMapper, which retrieves photos from Twitter and provides a geovisualization tool for semi-automatic human processing and annotation. In two different evaluations, we were able to demonstrate that digital volunteers can successfully process social multimedia content and create a set of valuable photos applicable for systematic information assessment operations. © 2005 – ongoing JATIT &amp; LLS.</t>
  </si>
  <si>
    <t>Fritze H., Clementini E., Breda S., Kray C.</t>
  </si>
  <si>
    <t>Journal of Theoretical and Applied Information Technology</t>
  </si>
  <si>
    <t>https://www.scopus.com/inward/record.uri?eid=2-s2.0-85059444504&amp;partnerID=40&amp;md5=3c225ae3b0b59706b0b8b7b2414ff446</t>
  </si>
  <si>
    <t>Institute for Geoinformatics, University of Muenster, Heisenbergstraße 2, Münster, 48149, Germany; Industrial and Information Engineering and Economics, University of L'Aquila, Via Giovanni Gronchi 18, L'Aquila, 67100, Italy</t>
  </si>
  <si>
    <t>Fritze, H., Institute for Geoinformatics, University of Muenster, Heisenbergstraße 2, Münster, 48149, Germany; Clementini, E., Industrial and Information Engineering and Economics, University of L'Aquila, Via Giovanni Gronchi 18, L'Aquila, 67100, Italy; Breda, S., Industrial and Information Engineering and Economics, University of L'Aquila, Via Giovanni Gronchi 18, L'Aquila, 67100, Italy; Kray, C., Institute for Geoinformatics, University of Muenster, Heisenbergstraße 2, Münster, 48149, Germany</t>
  </si>
  <si>
    <t>Crowdfunding: A Resource Exchange Perspective</t>
  </si>
  <si>
    <t>10.1145/2468356.2468514</t>
  </si>
  <si>
    <t>57014191200;56012523400;36084552700;</t>
  </si>
  <si>
    <t>Online crowdfunding has gained attention among novice entrepreneurs as an effective platform for funding their ventures. However, a focus on the financial nature of the relationship has obscured the complex interpersonal interactions involving the exchange of non-financial resources. Drawing from resource exchange theory in the marketing literature, we look at the exchange of resources and the mechanisms that facilitate this exchange in online crowdfunding. We analyzed 81 popular online crowdfunding platforms to reveal the exchange of various resources including: money, love, information, status, goods, and services through mediated, unmediated, and hybrid structures. Using resource exchange theory as a lens, we examine crowdfunding as a new type of crowdwork platform and explain how resource exchange theory can help the HCI community understand new, crowdwork platforms.</t>
  </si>
  <si>
    <t>Greenberg M.D., Hui J., Gerber E.</t>
  </si>
  <si>
    <t>https://www.scopus.com/inward/record.uri?eid=2-s2.0-84963560507&amp;doi=10.1145%2f2468356.2468514&amp;partnerID=40&amp;md5=82eaed759c5c8679a99fc4f438ab4216</t>
  </si>
  <si>
    <t>2133 Sheridan Rd, Evanston, IL  60208, United States; 2133 Sheridan Rd, Evanston, IL  60208, United States; 2133 Sheridan Rd, Evanston, IL  60208, United States</t>
  </si>
  <si>
    <t>Greenberg, M.D., 2133 Sheridan Rd, Evanston, IL  60208, United States; Hui, J., 2133 Sheridan Rd, Evanston, IL  60208, United States; Gerber, E., 2133 Sheridan Rd, Evanston, IL  60208, United States</t>
  </si>
  <si>
    <t>Crowd-sourced assessment of surgical skills in cricothyrotomy procedure</t>
  </si>
  <si>
    <t>10.1016/j.jss.2015.03.018</t>
  </si>
  <si>
    <t>56587999400;55670083700;36081406500;7005603758;7005808816;14319319500;</t>
  </si>
  <si>
    <t>Background Objective assessment of surgical skills is resource intensive and requires valuable time of expert surgeons. The goal of this study was to assess the ability of a large group of laypersons using a crowd-sourcing tool to grade a surgical procedure (cricothyrotomy) performed on a simulator. The grading included an assessment of the entire procedure by completing an objective assessment of technical skills survey. Materials and methods Two groups of graders were recruited as follows: (1) Amazon Mechanical Turk users and (2) three expert surgeons from University of Washington Department of Otolaryngology. Graders were presented with a video of participants performing the procedure on the simulator and were asked to grade the video using the objective assessment of technical skills questions. Mechanical Turk users were paid $0.50 for each completed survey. It took 10 h to obtain all responses from 30 Mechanical Turk users for 26 training participants (26 videos/tasks), whereas it took 60 d for three expert surgeons to complete the same 26 tasks. Results The assessment of surgical performance by a group (n = 30) of laypersons matched the assessment by a group (n = 3) of expert surgeons with a good level of agreement determined by Cronbach alpha coefficient = 0.83. Conclusions We found crowd sourcing was an efficient, accurate, and inexpensive method for skills assessment with a good level of agreement to experts' grading. © 2015 Elsevier Inc.</t>
  </si>
  <si>
    <t>Aghdasi N., Bly R., White L.W., Hannaford B., Moe K., Lendvay T.S.</t>
  </si>
  <si>
    <t>Journal of Surgical Research</t>
  </si>
  <si>
    <t>https://www.scopus.com/inward/record.uri?eid=2-s2.0-84930383401&amp;doi=10.1016%2fj.jss.2015.03.018&amp;partnerID=40&amp;md5=064f5a3ebf46125c9e0fc4b44f4ba328</t>
  </si>
  <si>
    <t>Department of Electrical Engineering, University of Washington, Seattle, WA, United States; Department of Otolaryngology-Head and Neck Surgery, University of Washington, Seattle, WA, United States; M.D.C. School of Medicine, Stanford University, Stanford, CA, United States; Department of Urology, Seattle Children's Hospital SeattleWA, United States</t>
  </si>
  <si>
    <t>Aghdasi, N., Department of Electrical Engineering, University of Washington, Seattle, WA, United States; Bly, R., Department of Otolaryngology-Head and Neck Surgery, University of Washington, Seattle, WA, United States; White, L.W., M.D.C. School of Medicine, Stanford University, Stanford, CA, United States; Hannaford, B., Department of Electrical Engineering, University of Washington, Seattle, WA, United States; Moe, K., Department of Otolaryngology-Head and Neck Surgery, University of Washington, Seattle, WA, United States; Lendvay, T.S., Department of Urology, Seattle Children's Hospital SeattleWA, United States</t>
  </si>
  <si>
    <t>Aghdasi, N.; Department of Electrical Engineering, United States; email: navaa@u.washington.edu</t>
  </si>
  <si>
    <t>Crowd-sourced assessment of technical skills: Differentiating animate surgical skill through the wisdom of crowds</t>
  </si>
  <si>
    <t>10.1089/end.2015.0104</t>
  </si>
  <si>
    <t>55892934500;7006132582;36081406500;14039907700;15049523300;7202044065;56320858700;55851624700;56898394100;17347006600;14319319500;</t>
  </si>
  <si>
    <t>Background: Objective quantification of surgical skill is imperative as we enter a healthcare environment of quality improvement and performance-based reimbursement. The gold standard tools are infrequently used due to time-intensiveness, cost inefficiency, and lack of standard practices. We hypothesized that valid performance scores of surgical skill can be obtained through crowdsourcing. Methods: Twelve surgeons of varying robotic surgical experience performed live porcine robot-assisted urinary bladder closures. Blinded video-recorded performances were scored by expert surgeon graders and by Amazon's Mechanical Turk crowdsourcing crowd workers using the Global Evaluative Assessment of Robotic Skills tool assessing five technical skills domains. Seven expert graders and 50 unique Mechanical Turkers (each paid $0.75/survey) evaluated each video. Global assessment scores were analyzed for correlation and agreement. Results: Six hundred Mechanical Turkers completed the surveys in less than 5 hours, while seven surgeon graders took 14 days. The duration of video clips ranged from 2 to 11 minutes. The correlation coefficient between the Turkers' and expert graders' scores was 0.95 and Cronbach's Alpha was 0.93. Inter-rater reliability among the surgeon graders was 0.89. Conclusion: Crowdsourcing surgical skills assessment yielded rapid inexpensive agreement with global performance scores given by expert surgeon graders. The crowdsourcing method may provide surgical educators and medical institutions with a boundless number of procedural skills assessors to efficiently quantify technical skills for use in trainee advancement and hospital quality improvement. © Mary Ann Liebert, Inc. 2015.</t>
  </si>
  <si>
    <t>Holst D., Kowalewski T.M., White L.W., Brand T.C., Harper J.D., Sorensen M.D., Truong M., Simpson K., Tanaka A., Smith R., Lendvay T.S.</t>
  </si>
  <si>
    <t>Journal of Endourology</t>
  </si>
  <si>
    <t>https://www.scopus.com/inward/record.uri?eid=2-s2.0-84933513900&amp;doi=10.1089%2fend.2015.0104&amp;partnerID=40&amp;md5=b7af5b18b19701fa2ea044d605a311c5</t>
  </si>
  <si>
    <t>University of Washington, School of Medicine, 3824 Fremont Lane N., Seattle, 98103, United States; Department of Mechanical Engineering, University of Minnesota, Minneapolis, MN, United States; Stanford University, School of Medicine, Palo Alto, CA, United States; Department of Urology, Madigan Army Medical Center, Tacoma, United States; Department of Urology, University of Washington, Seattle, WA, United States; Florida Hospital Nicholson Center, Orlando, FL, United States</t>
  </si>
  <si>
    <t>Holst, D., University of Washington, School of Medicine, 3824 Fremont Lane N., Seattle, 98103, United States; Kowalewski, T.M., Department of Mechanical Engineering, University of Minnesota, Minneapolis, MN, United States; White, L.W., Stanford University, School of Medicine, Palo Alto, CA, United States; Brand, T.C., Department of Urology, Madigan Army Medical Center, Tacoma, United States; Harper, J.D., Department of Urology, University of Washington, Seattle, WA, United States; Sorensen, M.D., Department of Urology, University of Washington, Seattle, WA, United States; Truong, M., Florida Hospital Nicholson Center, Orlando, FL, United States; Simpson, K., Florida Hospital Nicholson Center, Orlando, FL, United States; Tanaka, A., Florida Hospital Nicholson Center, Orlando, FL, United States; Smith, R., Florida Hospital Nicholson Center, Orlando, FL, United States; Lendvay, T.S., Department of Urology, University of Washington, Seattle, WA, United States</t>
  </si>
  <si>
    <t>Holst, D.; University of Washington, 3824 Fremont Lane N., United States; email: dholst@uw.edu</t>
  </si>
  <si>
    <t>Crowdsourced assessment of ureteroscopy with laser lithotripsy video feed does not correlate with trainee experience</t>
  </si>
  <si>
    <t>10.1089/end.2018.0534</t>
  </si>
  <si>
    <t>24775162300;57197843947;21833451200;7003504059;55255647000;7004228009;23972487700;8554900200;8309280700;</t>
  </si>
  <si>
    <t>Objectives: We sought to validate the use of crowdsourced surgical video assessment in the evaluation of urology residents performing flexible ureteroscopic laser lithotripsy. Methods: We collected video feeds from 30 intrarenal ureteroscopic laser lithotripsy cases where residents, postgraduate year (PGY) two through six, handled the ureteroscope. The video feeds were annotated to represent overall performance and to contain parts of the procedure being scored. Videos were submitted to a commercially available surgical video evaluation platform (Crowd-Sourced Assessment of Technical Skills). We used a validated ureteroscopic laser lithotripsy global assessment tool that was modified to include only those domains that could be evaluated on the captured video. Videos were evaluated by crowd workers recruited using Amazon's Mechanical Turk platform as well as five endourology-Trained experts. Mean scores were calculated and intraclass correlation coefficients (ICCs) were computed for the expert domain and total scores. ICCs were estimated using a linear mixed-effects model. Spearman rank correlation coefficients were calculated as a measure of the strength of the relationships between the crowd mean and expert average scores. Results: A total of 30 videos were reviewed 2488 times by 487 crowd workers and five expert endourologists. ICCs between expert raters were all below accepted levels of correlation (0.30), with the overall score having an ICC of &lt;0.001. For individual domains, the crowd scores did not correlate with expert scores, except for the stone retrieval domain (0.60 p = 0.015). In addition, crowdsourced scores had a negative correlation with the PGY level (0.44, p = 0.019). Conclusions: There is poor agreement between experts and poor correlation between expert and crowd scores when evaluating video feeds of ureteroscopic laser lithotripsy. The use of an intraoperative video of ureteroscopy with laser lithotripsy for assessment of resident trainee skills does not appear reliable. This is further supported by the lack of correlation between crowd scores and advancing PGY level. © Copyright 2019, Mary Ann Liebert, Inc., publishers 2019.</t>
  </si>
  <si>
    <t>Conti S.L., Brubaker W., Chung B.I., Sofer M., Hsi R.S., Shinghal R., Elliott C.S., Caruso T., Leppert J.T.</t>
  </si>
  <si>
    <t>https://www.scopus.com/inward/record.uri?eid=2-s2.0-85060167137&amp;doi=10.1089%2fend.2018.0534&amp;partnerID=40&amp;md5=d1173d8b8f8a3ddaefdbe0d1912d3d76</t>
  </si>
  <si>
    <t>Department of Urology, Stanford University School of Medicine, Grant S-285 300 Pasteur Drive, Stanford, CA  94305, United States; Veterans Affairs Palo Alto Health Care System, Palo Alto, CA, United States; Johns Hopkins School of Education, Baltimore, MD, United States; Tel Aviv Sourasky Medical Center, Tel Aviv, Israel; Department of Urologic Surgery, Vanderbilt University Medical Center, Nashville, TN, United States; Palo Alto Medical Foundation, Palo Alto, CA, United States; Division of Urology, Santa Clara Valley Medical Center, Santa Clara, CA, United States; Department of Anesthesia, Stanford University School of Medicine, Stanford, CA, United States</t>
  </si>
  <si>
    <t>Conti, S.L., Department of Urology, Stanford University School of Medicine, Grant S-285 300 Pasteur Drive, Stanford, CA  94305, United States, Veterans Affairs Palo Alto Health Care System, Palo Alto, CA, United States, Johns Hopkins School of Education, Baltimore, MD, United States; Brubaker, W., Department of Urology, Stanford University School of Medicine, Grant S-285 300 Pasteur Drive, Stanford, CA  94305, United States; Chung, B.I., Department of Urology, Stanford University School of Medicine, Grant S-285 300 Pasteur Drive, Stanford, CA  94305, United States; Sofer, M., Tel Aviv Sourasky Medical Center, Tel Aviv, Israel; Hsi, R.S., Department of Urologic Surgery, Vanderbilt University Medical Center, Nashville, TN, United States; Shinghal, R., Palo Alto Medical Foundation, Palo Alto, CA, United States; Elliott, C.S., Department of Urology, Stanford University School of Medicine, Grant S-285 300 Pasteur Drive, Stanford, CA  94305, United States, Division of Urology, Santa Clara Valley Medical Center, Santa Clara, CA, United States; Caruso, T., Johns Hopkins School of Education, Baltimore, MD, United States, Department of Anesthesia, Stanford University School of Medicine, Stanford, CA, United States; Leppert, J.T., Department of Urology, Stanford University School of Medicine, Grant S-285 300 Pasteur Drive, Stanford, CA  94305, United States, Veterans Affairs Palo Alto Health Care System, Palo Alto, CA, United States</t>
  </si>
  <si>
    <t>Conti, S.L.; Department of Urology, Grant S-285 300 Pasteur Drive, United States; email: sconti@stanford.edu</t>
  </si>
  <si>
    <t>Crowdsourced query processing on microblogs</t>
  </si>
  <si>
    <t>10.1007/978-3-319-32025-0_2</t>
  </si>
  <si>
    <t>57195468020;55959624600;56878758200;7401613441;</t>
  </si>
  <si>
    <t>Currently, crowdsourced query processing is done on reward driven platforms such as Amazon Mechanical Turk (AMT) and Crowd-Flower. However, due to budget constraints for conducting a crowdsourcing task in practice, the scalability is inherently poor. In this paper, we exploit microblogs for supporting crowdsourced query processing. We leverage the social computation power and decentralize the evaluation of the crowdsourcing platforms queries towards social networks. We propose a new problem of minimizing the cost of processing crowdsourced queries on microblogs, given a specified accuracy threshold of users’ votes. This problem is NP-hard and its computation is #P-hard. To tackle this problem, we develop a greedy algorithm with a quality guarantee. We demonstrate the performance on real datasets. © Springer International Publishing Switzerland 2016.</t>
  </si>
  <si>
    <t>Chen W., Zhao Z., Wang X., Ng W.</t>
  </si>
  <si>
    <t>https://www.scopus.com/inward/record.uri?eid=2-s2.0-84962339891&amp;doi=10.1007%2f978-3-319-32025-0_2&amp;partnerID=40&amp;md5=f2ecfc6dcd18c238e2eaafcd9c82af87</t>
  </si>
  <si>
    <t>The Hong Kong University of Science and Technology, Hong Kong; Zhejiang University, Hangzhou, China</t>
  </si>
  <si>
    <t>Chen, W., The Hong Kong University of Science and Technology, Hong Kong; Zhao, Z., Zhejiang University, Hangzhou, China; Wang, X., The Hong Kong University of Science and Technology, Hong Kong; Ng, W., The Hong Kong University of Science and Technology, Hong Kong</t>
  </si>
  <si>
    <t>Chen, W.; The Hong Kong University of Science and TechnologyHong Kong; email: wchenad@cse.ust.hk</t>
  </si>
  <si>
    <t>Crowdsourced Research: Vulnerability, Autonomy, and Exploitation</t>
  </si>
  <si>
    <t>10.1002/eahr.500040</t>
  </si>
  <si>
    <t>57196080110;</t>
  </si>
  <si>
    <t>The use of crowd workers as research participants is fast becoming commonplace in social, behavioral, and educational research, and institutional review boards are encountering more and more research protocols concerning these workers. In what sense are crowd workers vulnerable as research participants, and what should ethics reviewers look out for in evaluating a crowdsourced research protocol? Using the popular crowd-working platform Amazon Mechanical Turk as the key example, this article aims to provide a starting point for a heuristic for ethical evaluation. The first part considers two reputed threats to crowd workers’ autonomy—undue inducements and dependent relationships—and finds that autonomy-focused arguments about these factors are inconclusive or inapplicable. The second part proposes applying Alan Wertheimer's analysis of exploitation instead to frame the ethics of crowdsourced research. The article then provides some concrete suggestions for ethical reviewers based on the exploitation framework. © 2020 by The Hastings Center. All rights reserved</t>
  </si>
  <si>
    <t>Kwek A.</t>
  </si>
  <si>
    <t>Ethics and Human Research</t>
  </si>
  <si>
    <t>https://www.scopus.com/inward/record.uri?eid=2-s2.0-85078114074&amp;doi=10.1002%2feahr.500040&amp;partnerID=40&amp;md5=142bd5b9d6ab917bc4414b421b5219a8</t>
  </si>
  <si>
    <t>Centre for University Core at the Singapore University of Social Sciences, Singapore</t>
  </si>
  <si>
    <t>Kwek, A., Centre for University Core at the Singapore University of Social Sciences, Singapore</t>
  </si>
  <si>
    <t>Kwek, A.; Centre for University Core at the Singapore University of Social SciencesSingapore</t>
  </si>
  <si>
    <t>Crowdsourced top-k algorithms: An experimental evaluation</t>
  </si>
  <si>
    <t>10.14778/2921558.2921559</t>
  </si>
  <si>
    <t>56581496700;55800543300;7403884576;</t>
  </si>
  <si>
    <t>Crowdsourced top-k computation has attracted significantattention recently, thanks to emerging crowdsourcing platforms,e.g., Amazon Mechanical Turk and CrowdFlower.Crowdsourced top-k algorithms ask the crowd to comparethe objects and infer the top-k objects based on the crowdsourcedcomparison results. The crowd may return incorrectanswers, but traditional top-k algorithms cannot toleratethe errors from the crowd. To address this problem,the database and machine-learning communities have independentlystudied the crowdsourced top-k problem. Thedatabase community proposes the heuristic-based solutionswhile the machine-learning community proposes the learningbasedmethods (e.g., maximum likelihood estimation). However,these two types of techniques have not been comparedsystematically under the same experimental framework.Thus it is rather difficult for a practitioner to decidewhich algorithm should be adopted. Furthermore, theexperimental evaluation of existing studies has several weaknesses.Some methods assume the crowd returns high-qualityresults and some algorithms are only tested on simulated experiments.To alleviate these limitations, in this paper wepresent a comprehensive comparison of crowdsourced top-kalgorithms. Using various synthetic and real datasets, weevaluate each algorithm in terms of result quality and efficiencyon real crowdsourcing platforms. We reveal the characteristicsof different techniques and provide guidelines onselecting appropriate algorithms for various scenarios. © 2016.</t>
  </si>
  <si>
    <t>Zhang X., Li G., Feng J.</t>
  </si>
  <si>
    <t>https://www.scopus.com/inward/record.uri?eid=2-s2.0-84975797359&amp;doi=10.14778%2f2921558.2921559&amp;partnerID=40&amp;md5=945d5cc22f298fa35842bacb67d5f4a5</t>
  </si>
  <si>
    <t>Department of Computer Science, Tsinghua National Laboratory for Information Science and Technology (TNList), Tsinghua University, Beijing, China</t>
  </si>
  <si>
    <t>Zhang, X., Department of Computer Science, Tsinghua National Laboratory for Information Science and Technology (TNList), Tsinghua University, Beijing, China; Li, G., Department of Computer Science, Tsinghua National Laboratory for Information Science and Technology (TNList), Tsinghua University, Beijing, China; Feng, J., Department of Computer Science, Tsinghua National Laboratory for Information Science and Technology (TNList), Tsinghua University, Beijing, China</t>
  </si>
  <si>
    <t>Crowdsourcing a Wikipedia vandalism corpus</t>
  </si>
  <si>
    <t>10.1145/1835449.1835617</t>
  </si>
  <si>
    <t>23012600600;</t>
  </si>
  <si>
    <t>We report on the construction of the PAN Wikipedia vandalism corpus, PAN-WVC-10, using Amazon's Mechanical Turk. The corpus compiles 32 452 edits on 28468 Wikipedia articles, among which 2 391 vandalism edits have been identified. 753 human annotators cast a total of 193 022 votes on the edits, so that each edit was reviewed by at least 3 annotators, whereas the achieved level of agreement was analyzed in order to label an edit as "regular" or "vandalism." The corpus is available free of charge. © 2010 ACM.</t>
  </si>
  <si>
    <t>Potthast M.</t>
  </si>
  <si>
    <t>SIGIR 2010 Proceedings - 33rd Annual International ACM SIGIR Conference on Research and Development in Information Retrieval</t>
  </si>
  <si>
    <t>https://www.scopus.com/inward/record.uri?eid=2-s2.0-77956013649&amp;doi=10.1145%2f1835449.1835617&amp;partnerID=40&amp;md5=65421ba26a03186f64b103508c2081d8</t>
  </si>
  <si>
    <t>Bauhaus-Universitát Weimar, 99421 Weimar, Germany</t>
  </si>
  <si>
    <t>Potthast, M., Bauhaus-Universitát Weimar, 99421 Weimar, Germany</t>
  </si>
  <si>
    <t>Potthast, M.; Bauhaus-Universitát Weimar, 99421 Weimar, Germany; email: martin.potthast@uni-weimar.de</t>
  </si>
  <si>
    <t>Crowdsourcing evaluations of classifier interpretability</t>
  </si>
  <si>
    <t>55002868500;57201969559;7405843398;</t>
  </si>
  <si>
    <t>This paper presents work using crowdsourcing to assess explanations for supervised text classification. In this paper, an explanation is defined to be a set of words from the input text that a classifier or human believes to be most useful for making a classification decision. We compared two types of explanations for classification decisions: human-generated and computer-generated. The comparison is based on whether the type of the explanation was identifiable and on which type of explanation was preferred. Crowdsourcing was used to collect two types of data for these experiments. First, human-generated explanations were collected by having users select an appropriate category for a piece of text and highlight words that best support this category. Second, users were asked to compare human- and computer-generated explanations and indicate which they preferred and why. The crowdsourced data used for this paper was collected primarily via Amazon's Mechanical Turk, using several quality control methods. We found that in one test corpus, the two explanation types were virtually indistinguishable, and that participants did not have a significant preference for one type over another. For another corpus, the explanations were slightly more distinguishable, and participants preferred the computer-generated explanations at a small, but statistically significant, level. We conclude that computer-generated explanations for text classification can be comparable in quality to human-generated explanations. Copyright © 2012, Association for the Advancement of Artificial Intelligence. All rights reserved.</t>
  </si>
  <si>
    <t>Hutton A., Liu A., Martin C.</t>
  </si>
  <si>
    <t>AAAI Spring Symposium - Technical Report</t>
  </si>
  <si>
    <t>https://www.scopus.com/inward/record.uri?eid=2-s2.0-84864978948&amp;partnerID=40&amp;md5=472a43d28c05e28350e58c12707b1756</t>
  </si>
  <si>
    <t>Applied Research Laboratories, University of Texas at Austin, Austin, TX, United States</t>
  </si>
  <si>
    <t>Hutton, A., Applied Research Laboratories, University of Texas at Austin, Austin, TX, United States; Liu, A., Applied Research Laboratories, University of Texas at Austin, Austin, TX, United States; Martin, C., Applied Research Laboratories, University of Texas at Austin, Austin, TX, United States</t>
  </si>
  <si>
    <t>Hutton, A.; Applied Research Laboratories, , Austin, TX, United States; email: ahutton@arlut.utexas.edu</t>
  </si>
  <si>
    <t>Crowdsourcing feedback for pay-as-you-go data integration</t>
  </si>
  <si>
    <t>56543772800;7101820325;7201782110;</t>
  </si>
  <si>
    <t>Providing an integrated representation of data from heterogeneous data sources involves the specification of mappings that transform the data into a consistent logical schema. With a view to supporting large-scale data integration, the specification of such mappings can be carried out automatically using algorithms and heuristics. However, automatically generated mappings typically provide partial and/or incorrect results. Users can help to improve such mappings; expert users can act on the mappings directly using data integration tools, and end users or crowds can provide feedback in a pay-as-you-go fashion on results from the mappings. Such feedback can be used to inform the selection and refinement of mappings, thus improving the quality of the integration and reducing the need for expensive and potentially scarce expert staff. In this paper, we investigate the use of crowdsourcing to obtain feedback on mapping results that inform mapping selection and refinement. The investigation involves an experiment in Amazon Mechanical Turk that obtains feedback from the crowd on the correctness of mapping results. The paper describes this experiment, considers generic issues such as reliability, and reports the results for different mappings and reliability strategies. Copyright © 2013 for the individual papers by the papers' authors.</t>
  </si>
  <si>
    <t>Osorno-Gutierrez F., Paton N.W., Fernandes A.A.A.</t>
  </si>
  <si>
    <t>https://www.scopus.com/inward/record.uri?eid=2-s2.0-84924412203&amp;partnerID=40&amp;md5=15fdd0fc4eed922f67246dec0467978d</t>
  </si>
  <si>
    <t>School of Computer Science, University of Manchester, Oxford Road, Manchester, M13 9PL, United Kingdom</t>
  </si>
  <si>
    <t>Osorno-Gutierrez, F., School of Computer Science, University of Manchester, Oxford Road, Manchester, M13 9PL, United Kingdom; Paton, N.W., School of Computer Science, University of Manchester, Oxford Road, Manchester, M13 9PL, United Kingdom; Fernandes, A.A.A., School of Computer Science, University of Manchester, Oxford Road, Manchester, M13 9PL, United Kingdom</t>
  </si>
  <si>
    <t>Crowdsourcing for API documentation: A preliminary investigation</t>
  </si>
  <si>
    <t>55615118500;55513526800;</t>
  </si>
  <si>
    <t>Developers and researchers have been using crowdsourcing in a variety of fields related to software development and software engineering. Crowd based documentation is another yield of crowdsourcing where the coder community or workers document the software. In the present work, we have analyzed how crowdsourcing can be used for an API documentation. The study is based on the fact that good programmers write descriptive variables and method names and continue to do so for future references. A variety of tools such as Amazon Mechanical Turk, ETurk and DocIt were evaluated for the purpose. Among these, DocIt and ETurk were built in-house. The evaluation of the documentation was performed by experienced coders. This is a preliminary experiment which was performed in a controlled environment. Results were encouraging and help us to determine that in future crowd based documentation might help to reduce time to market and improve software quality. © 2015 for the individual papers by the papers' authors.</t>
  </si>
  <si>
    <t>Asadullah A.M., Jain S.</t>
  </si>
  <si>
    <t>https://www.scopus.com/inward/record.uri?eid=2-s2.0-84962550897&amp;partnerID=40&amp;md5=5d00084ba9fac20bd38cea60d084a896</t>
  </si>
  <si>
    <t>Infosys Labs, Infosys Ltd., Bangalore, India; FORE School of Management, New Delhi, India</t>
  </si>
  <si>
    <t>Asadullah, A.M., Infosys Labs, Infosys Ltd., Bangalore, India; Jain, S., FORE School of Management, New Delhi, India</t>
  </si>
  <si>
    <t>Crowdsourcing for social multimedia at MediaEval 2013: Challenges, data set, and evaluation</t>
  </si>
  <si>
    <t>27467517900;56574709600;16548743400;35228993800;</t>
  </si>
  <si>
    <t>This paper provides an overview of the Crowdsourcing for Multimedia Task at MediaEval 2013 multimedia benchmarking initiative. The main goal of this task is to assess the potential of hybrid human/conventional computation techniques to generate accurate labels for social multimedia content. The task data are fashion-related images, collected from the Web-based photo sharing platform Flickr. Each image is accompanied by a) its metadata (e.g., title, description, and tags), and b) a set of 'basic human labels' collected from human annotators using a microtask with a basic quality control mechanism that is run on the Amazon Mechanical Turk crowdsourcing platform. The labels reflect whether or not the image depicts fashion, and whether or not the image matches its 'category' (i.e., the fashion-related query that returned the image from Flickr). The 'basic human labels' were collected such that their noise levels would be characteristic of data gathered from crowdsourcing workers without using highly sophisticated quality control. The task asks participants to predict high-quality labels, either by aggregating the 'basic human labels' or by combining them with the context (i.e., the metadata) and/or the content (i.e., visual features) of the image.</t>
  </si>
  <si>
    <t>Loni B., Larson M., Bozzon A., Gottlieb L.</t>
  </si>
  <si>
    <t>https://www.scopus.com/inward/record.uri?eid=2-s2.0-84924785744&amp;partnerID=40&amp;md5=21970a538280748a35fad4fd2d8e6bb4</t>
  </si>
  <si>
    <t>Delft University of Technology, Netherlands; International Computer Science Institute, Berkeley, CA, United States</t>
  </si>
  <si>
    <t>Loni, B., Delft University of Technology, Netherlands; Larson, M., Delft University of Technology, Netherlands; Bozzon, A., Delft University of Technology, Netherlands; Gottlieb, L., International Computer Science Institute, Berkeley, CA, United States</t>
  </si>
  <si>
    <t>Crowdsourcing for usability testing</t>
  </si>
  <si>
    <t>10.1002/meet.14504901100</t>
  </si>
  <si>
    <t>55755682000;55826718500;13005498000;55755950400;</t>
  </si>
  <si>
    <t>While usability evaluation is critical to designing usable websites, traditional usability testing can be both expensive and time consuming. The advent of crowd sourcing platforms such as Amazon Mechanical Turk and Crowd Flower offer an intriguing new avenue for performing remote usability testing with potentially many users, quick turn-around, and significant cost savings. To investigate the potential of such crowd sourced usability testing, we conducted a usability study which evaluated a graduate school's website using a crowd sourcing platform. In addition, we performed a similar but not identical traditional lab usability test on the same site. While we find that crowd sourcing exhibits some notable limitations in comparison to the traditional lab environment, its applicability and value for usability testing is clearly evidenced. We discuss both methodological differences for crowd sourced usability testing, as well as empirical contrasts to results from more traditional, face-to-face usability testing.</t>
  </si>
  <si>
    <t>Liu D., Bias R.G., Lease M., Kuipers R.</t>
  </si>
  <si>
    <t>Proceedings of the ASIST Annual Meeting</t>
  </si>
  <si>
    <t>https://www.scopus.com/inward/record.uri?eid=2-s2.0-84878567481&amp;doi=10.1002%2fmeet.14504901100&amp;partnerID=40&amp;md5=f5922052d523bd9629baca28f1fd7417</t>
  </si>
  <si>
    <t>School of Information, University of Texas at Austin, 1616 Guadalupe Street, Austin TX, 78701, United States</t>
  </si>
  <si>
    <t>Liu, D., School of Information, University of Texas at Austin, 1616 Guadalupe Street, Austin TX, 78701, United States; Bias, R.G., School of Information, University of Texas at Austin, 1616 Guadalupe Street, Austin TX, 78701, United States; Lease, M., School of Information, University of Texas at Austin, 1616 Guadalupe Street, Austin TX, 78701, United States; Kuipers, R., School of Information, University of Texas at Austin, 1616 Guadalupe Street, Austin TX, 78701, United States</t>
  </si>
  <si>
    <t>School of Information, 1616 Guadalupe Street, Austin TX, 78701, United States</t>
  </si>
  <si>
    <t>Crowdsourcing graphical perception: Using mechanical Turk to assess visualization design</t>
  </si>
  <si>
    <t>10.1145/1753326.1753357</t>
  </si>
  <si>
    <t>6603794736;55309497200;</t>
  </si>
  <si>
    <t>Understanding perception is critical to effective visualization design. With its low cost and scalability, crowdsourcing presents an attractive option for evaluating the large design space of visualizations; however, it first requires validation. In this paper, we assess the viability of Amazon's Mechanical Turk as a platform for graphical perception experiments. We replicate previous studies of spatial encoding and luminance contrast and compare our results. We also conduct new experiments on rectangular area perception (as in treemaps or cartograms) and on chart size and gridline spacing. Our results demonstrate that crowdsourced perception experiments are viable and contribute new insights for visualization design. Lastly, we report cost and performance data from our experiments and distill recommendations for the design of crowdsourced studies. © 2010 ACM.</t>
  </si>
  <si>
    <t>Heer J., Bostock M.</t>
  </si>
  <si>
    <t>https://www.scopus.com/inward/record.uri?eid=2-s2.0-77953992027&amp;doi=10.1145%2f1753326.1753357&amp;partnerID=40&amp;md5=a6fe4a804166c285ec3e688ac9454391</t>
  </si>
  <si>
    <t>Computer Science Department, Stanford University, United States</t>
  </si>
  <si>
    <t>Heer, J., Computer Science Department, Stanford University, United States; Bostock, M., Computer Science Department, Stanford University, United States</t>
  </si>
  <si>
    <t>Heer, J.; Computer Science Department, United States; email: jheer@cs.stanford.edu</t>
  </si>
  <si>
    <t>Crowdsourcing micro-level multimedia annotations: The challenges of evaluation and interface</t>
  </si>
  <si>
    <t>10.1145/2390803.2390816</t>
  </si>
  <si>
    <t>55504255400;34882049400;56062888900;6603047400;</t>
  </si>
  <si>
    <t>This paper presents a new evaluation procedure and tool for crowdsourcing micro-level multimedia annotations and shows that such annotations can achieve a quality comparable to that of expert annotations. We propose a new evaluation procedure, called MM-Eval (Micro-level Multimedia Evaluation), which compares fine time-aligned annotations using Krippendorff's alpha metric and introduce two new metrics to evaluate the types of disagreement between coders. We also introduce OCTAB (Online Crowdsourcing Tool for Annotations of Behaviors), a web-based annotation tool that allows precise and convenient multimedia behavior annotations, directly from Amazon Mechanical Turk interface. With an experiment using the above tool and evaluation procedure, we show that a majority vote among annotations from 3 crowdsource workers leads to a quality comparable to that of local expert annotations. Copyright 2012 ACM.</t>
  </si>
  <si>
    <t>Park S., Mohammadi G., Artstein R., Morency L.-P.</t>
  </si>
  <si>
    <t>CrowdMM 2012 - Proceedings of the 2012 ACM Workshop on Crowdsourcing for Multimedia, Co-located with ACM Multimedia 2012</t>
  </si>
  <si>
    <t>https://www.scopus.com/inward/record.uri?eid=2-s2.0-84870517097&amp;doi=10.1145%2f2390803.2390816&amp;partnerID=40&amp;md5=5400e2bbc862b28ae2160b179cdb42fc</t>
  </si>
  <si>
    <t>Institute for Creative Technologies, University of Southern California, 12015 Waterfront Drive, Playa Vista, CA 90094, United States; Idiap Research Institute, CP 592, 1920 Martigny, Switzerland; École Polytechnique Fédérale de Lausanne - EPFL, 1015-Lausanne, Switzerland</t>
  </si>
  <si>
    <t>Park, S., Institute for Creative Technologies, University of Southern California, 12015 Waterfront Drive, Playa Vista, CA 90094, United States; Mohammadi, G., Idiap Research Institute, CP 592, 1920 Martigny, Switzerland, École Polytechnique Fédérale de Lausanne - EPFL, 1015-Lausanne, Switzerland; Artstein, R., Institute for Creative Technologies, University of Southern California, 12015 Waterfront Drive, Playa Vista, CA 90094, United States; Morency, L.-P., Institute for Creative Technologies, University of Southern California, 12015 Waterfront Drive, Playa Vista, CA 90094, United States</t>
  </si>
  <si>
    <t>Park, S.; Institute for Creative Technologies, 12015 Waterfront Drive, Playa Vista, CA 90094, United States; email: park@ict.usc.edu</t>
  </si>
  <si>
    <t>Crowdsourcing music similarity judgments using mechanical turk</t>
  </si>
  <si>
    <t>16028477900;</t>
  </si>
  <si>
    <t>Collecting human judgments for music similarity evaluation has always been a difficult and time consuming task. This paper explores the viability of Amazon Mechanical Turk (MTurk) for collecting human judgments for audio music similarity evaluation tasks. We compared the similarity judgments collected from Evalutron6000 (E6K) and MTurk using the Music Information Retrieval Evaluation eXchange 2009 Audio Music Similarity and Retrieval task dataset. Our data show that the results are highly comparable, and MTurk may be a useful method for collecting subjective ground truth data. Furthermore, there are several benefits to using MTurk over the traditional E6K infrastructure. We conclude that using MTurk is a practical alternative of music similarity when it is used with some precautions. © 2010 International Society for Music Information Retrieval.</t>
  </si>
  <si>
    <t>Lee J.H.</t>
  </si>
  <si>
    <t>Proceedings of the 11th International Society for Music Information Retrieval Conference, ISMIR 2010</t>
  </si>
  <si>
    <t>https://www.scopus.com/inward/record.uri?eid=2-s2.0-84873598993&amp;partnerID=40&amp;md5=bc2baf2215eda3547385c2e9fbd5cc9b</t>
  </si>
  <si>
    <t>University of Washington, United States</t>
  </si>
  <si>
    <t>Lee, J.H., University of Washington, United States</t>
  </si>
  <si>
    <t>Lee, J.H.; University of WashingtonUnited States; email: jinhalee@uw.edu</t>
  </si>
  <si>
    <t>Crowdsourcing performance evaluations of user interfaces</t>
  </si>
  <si>
    <t>10.1145/2470654.2470684</t>
  </si>
  <si>
    <t>55734836600;24605497700;8375653300;</t>
  </si>
  <si>
    <t>Online labor markets, such as Amazon's Mechanical Turk (MTurk), provide an attractive platform for conducting human subjects experiments because the relative ease of recruitment, low cost, and a diverse pool of potential participants enable larger-scale experimentation and faster experimental revision cycle compared to lab-based settings. However, because the experimenter gives up the direct control over the participants' environments and behavior, concerns about the quality of the data collected in online settings are pervasive. In this paper, we investigate the feasibility of conducting online performance evaluations of user interfaces with anonymous, unsupervised, paid participants recruited via MTurk. We implemented three performance experiments to re-evaluate three previously well-studied user interface designs. We conducted each experiment both in lab and online with participants recruited via MTurk. The analysis of our results did not yield any evidence of significant or substantial differences in the data collected in the two settings: All statistically significant differences detected in lab were also present on MTurk and the effect sizes were similar. In addition, there were no significant differences between the two settings in the raw task completion times, error rates, consistency, or the rates of utilization of the novel interaction mechanisms introduced in the experiments. These results suggest that MTurk may be a productive setting for conducting performance evaluations of user interfaces providing a complementary approach to existing methodologies. Copyright © 2013 ACM.</t>
  </si>
  <si>
    <t>Komarov S., Reinecke K., Gajos K.Z.</t>
  </si>
  <si>
    <t>https://www.scopus.com/inward/record.uri?eid=2-s2.0-84877958002&amp;doi=10.1145%2f2470654.2470684&amp;partnerID=40&amp;md5=0e269a1908b8578691fe1a14bfa8c34b</t>
  </si>
  <si>
    <t>Intelligent Interactive Systems Group, Harvard School of Engineering and Applied Sciences, 33 Oxford St., Cambridge, MA 02138, United States</t>
  </si>
  <si>
    <t>Komarov, S., Intelligent Interactive Systems Group, Harvard School of Engineering and Applied Sciences, 33 Oxford St., Cambridge, MA 02138, United States; Reinecke, K., Intelligent Interactive Systems Group, Harvard School of Engineering and Applied Sciences, 33 Oxford St., Cambridge, MA 02138, United States; Gajos, K.Z., Intelligent Interactive Systems Group, Harvard School of Engineering and Applied Sciences, 33 Oxford St., Cambridge, MA 02138, United States</t>
  </si>
  <si>
    <t>Intelligent Interactive Systems Group, 33 Oxford St., Cambridge, MA 02138, United States</t>
  </si>
  <si>
    <t>Crowdsourcing tools for disaster management: A review of platforms and methods</t>
  </si>
  <si>
    <t>10.1007/978-3-662-45960-7</t>
  </si>
  <si>
    <t>8984233400;56871353100;13604673100;</t>
  </si>
  <si>
    <t>Recent advances on information technologies and communications, coupled with the advent of the social media applications have fuelled a new landscape of emergency and disaster response systems by enabling affected citizens to generate georeferenced real time information on critical events. The identification and analysis of such events is not straightforward and the application of crowdsourcing methods or automatic tools is needed for that purpose. Whereas crowdsourcing makes emphasis on the resources of people to produce, aggregate, or filter original data, automatic tools make use of information retrieval techniques to analyze publicly available information. This paper reviews a set of online tools and platforms implemented in recent years which are currently being applied in the area of emergency management and proposes a taxonomy for its categorization. © Springer-Verlag Berlin Heidelberg 2014.</t>
  </si>
  <si>
    <t>Poblet M., García-Cuesta E., Casanovas P.</t>
  </si>
  <si>
    <t>https://www.scopus.com/inward/record.uri?eid=2-s2.0-84919444096&amp;doi=10.1007%2f978-3-662-45960-7&amp;partnerID=40&amp;md5=ca37c483e8533180c8903a1c0f736bcf</t>
  </si>
  <si>
    <t>RMIT University, Melbourne, Australia; Institute of Law and Technology, Universitat Autónoma de Barcelona, Bellaterra, Spain; iSOCO, Madrid, Spain</t>
  </si>
  <si>
    <t>Poblet, M., RMIT University, Melbourne, Australia, Institute of Law and Technology, Universitat Autónoma de Barcelona, Bellaterra, Spain; García-Cuesta, E., iSOCO, Madrid, Spain; Casanovas, P., RMIT University, Melbourne, Australia, Institute of Law and Technology, Universitat Autónoma de Barcelona, Bellaterra, Spain</t>
  </si>
  <si>
    <t>Poblet, M.; RMIT UniversityAustralia</t>
  </si>
  <si>
    <t>Crowdsourcing transcription beyond mechanical turk</t>
  </si>
  <si>
    <t>56119624600;56120015200;13005498000;</t>
  </si>
  <si>
    <t>While much work has studied crowdsourced transcription via Amazon's Mechanical Turk, we are not familiar with any prior cross-platform analysis of crowdsourcing service providers for transcription. We present a qualitative and quantitative analysis of eight such providers: 1-888-Type-It-Up, 3Play Media, Transcription Hub, CastingWords, Rev, TranscribeMe, Quicktate, and SpeakerText. We also provide comparative evaluation vs. three transcribers from oDesk. Spontanteous speech used in our experiments is drawn from USC-SFI MALACH collection of oral history interviews. After informally evaluating pilot transcripts from all providers, our formal evaluation measures word error rate (WER) over 10-minute segments from six interviews transcribed by three service providers and the three oDesk transcribers. We report the WER obtained in each case, and more generally assess tradeoffs among the quality, cost, risk and effort of alternative crowd-based transcription options. Copyright © 2013, Association for the Advancement of Artificial Intelligence. All rights reserved.</t>
  </si>
  <si>
    <t>Zhou H., Baskov D., Lease M.</t>
  </si>
  <si>
    <t>AAAI Workshop - Technical Report</t>
  </si>
  <si>
    <t>https://www.scopus.com/inward/record.uri?eid=2-s2.0-84898914722&amp;partnerID=40&amp;md5=c1b0919d2c8bafbebfd027cb13ad6401</t>
  </si>
  <si>
    <t>School of Information, University of Texas at Austin, United States; Department of Computer Science, University of Texas at Austin, United States</t>
  </si>
  <si>
    <t>Zhou, H., School of Information, University of Texas at Austin, United States; Baskov, D., Department of Computer Science, University of Texas at Austin, United States; Lease, M., School of Information, University of Texas at Austin, United States</t>
  </si>
  <si>
    <t>Crowdsourcing Trauma: Psychopathology in a Trauma-Exposed Sample Recruited via Mechanical Turk</t>
  </si>
  <si>
    <t>10.1002/jts.22303</t>
  </si>
  <si>
    <t>56100082000;57203203015;56610148500;36613525500;7102147882;55730165900;</t>
  </si>
  <si>
    <t>Although crowdsourcing websites like Amazon's Mechanical Turk (MTurk) allow researchers to conduct research efficiently, it is unclear if MTurk and traditionally recruited samples are comparable when assessing the sequela of traumatic events. We compared the responses to validated self-report measures of posttraumatic stress disorder (PTSD) and related constructs that were given by 822 participants recruited via MTurk and had experienced a DSM-5 Criterion A traumatic event to responses obtained in recent samples of participants recruited via traditional methods. Results suggested that the rate of PTSD in the present sample (19.8%) was statistically higher than that found in a recent systematic review of studies that used only traditional recruitment methods. The severity of PTSD reported in the MTurk sample was significantly greater than that reported in a college sample, d = 0.24, and significantly less than that reported in a veteran sample, d = 0.90. The factor structure of PTSD found in the MTurk sample was consistent with prevailing models of PTSD. Findings indicate that crowdsourcing may improve access to this hard-to-reach population. © 2018 International Society for Traumatic Stress Studies</t>
  </si>
  <si>
    <t>van Stolk-Cooke K., Brown A., Maheux A., Parent J., Forehand R., Price M.</t>
  </si>
  <si>
    <t>Journal of Traumatic Stress</t>
  </si>
  <si>
    <t>https://www.scopus.com/inward/record.uri?eid=2-s2.0-85050914650&amp;doi=10.1002%2fjts.22303&amp;partnerID=40&amp;md5=8ed1d7add3bbf810d8391d61bb736210</t>
  </si>
  <si>
    <t>Department of Psychology, University of Vermont, Burlington, VT, United States</t>
  </si>
  <si>
    <t>van Stolk-Cooke, K., Department of Psychology, University of Vermont, Burlington, VT, United States; Brown, A., Department of Psychology, University of Vermont, Burlington, VT, United States; Maheux, A., Department of Psychology, University of Vermont, Burlington, VT, United States; Parent, J., Department of Psychology, University of Vermont, Burlington, VT, United States; Forehand, R., Department of Psychology, University of Vermont, Burlington, VT, United States; Price, M., Department of Psychology, University of Vermont, Burlington, VT, United States</t>
  </si>
  <si>
    <t>van Stolk-Cooke, K.; Department of Psychology, United States; email: kvanstol@uvm.edu</t>
  </si>
  <si>
    <t>Crowdsourcing user studies with Mechanical Turk</t>
  </si>
  <si>
    <t>10.1145/1357054.1357127</t>
  </si>
  <si>
    <t>24923233700;7102932536;22837001100;</t>
  </si>
  <si>
    <t>User studies are important for many aspects of the design process and involve techniques ranging from informal surveys to rigorous laboratory studies. However, the costs involved in engaging users often requires practitioners to trade off between sample size, time requirements, and monetary costs. Micro-task markets, such as Amazon's Mechanical Turk, offer a potential paradigm for engaging a large number of users for low time and monetary costs. Here we investigate the utility of a micro-task market for collecting user measurements, and discuss design considerations for developing remote micro user evaluation tasks. Although micro-task markets have great potential for rapidly collecting user measurements at low costs, we found that special care is needed in formulating tasks in order to harness the capabilities of the approach. Copyright 2008 ACM.</t>
  </si>
  <si>
    <t>Kittur A., Chi E.H., Suh B.</t>
  </si>
  <si>
    <t>https://www.scopus.com/inward/record.uri?eid=2-s2.0-57649217556&amp;doi=10.1145%2f1357054.1357127&amp;partnerID=40&amp;md5=8b5599733de67cfccc3159e57eacb61b</t>
  </si>
  <si>
    <t>Palo Alto Research Center, 3333 Coyote Hill Road, Palo Alto, CA 94304, United States</t>
  </si>
  <si>
    <t>Kittur, A., Palo Alto Research Center, 3333 Coyote Hill Road, Palo Alto, CA 94304, United States; Chi, E.H., Palo Alto Research Center, 3333 Coyote Hill Road, Palo Alto, CA 94304, United States; Suh, B., Palo Alto Research Center, 3333 Coyote Hill Road, Palo Alto, CA 94304, United States</t>
  </si>
  <si>
    <t>Kittur, A.; Palo Alto Research Center, 3333 Coyote Hill Road, Palo Alto, CA 94304, United States; email: nkittur@parc.com</t>
  </si>
  <si>
    <t>Crowdsourcing utility estimation for spina bifida in the general population</t>
  </si>
  <si>
    <t>10.3233/PRM-170453</t>
  </si>
  <si>
    <t>57200040536;56789784000;55822053900;45261550200;7003939382;</t>
  </si>
  <si>
    <t>INTRODUCTION: Cost-utility analyses (CUA) are useful when the treatment conditions depend on patient preferences that are in turn dependent on health state utility value. Spina bifida (SB) is an example of such a preference-sensitive condition. Historically, the SB utility value for CUA has been gathered via a traditional face-to-face interview. However, due to funding and time constrains, utility estimation via online crowdsourcing has recently gained popularity. Our aim was to estimate the utility value for a generic SB health state using a validated online tool. METHODS: A cross-sectional survey of American adults was conducted using the time-trade-off (TTO) method. Participants were recruited from an online crowdsourcing interface, Amazon's Mechanical Turk (mTurk). Demographic information and prior knowledge of SB were assessed. Respondents were provided a written passage and an online video explaining SB and its potential associated comorbidities. Participants were queried on hypothetical ascending time-trades from a child-parent dyad perspective to determine the utility of a SB health state in an affected 6-year-old child. Respondents were also asked to indicate the percentage of time traded from their life in relation to their child's. Utility estimates were then calculated and compared using bivariate and multivariate analyses. RESULTS: We obtained 503 responses (85% response rate). Mean respondent age was 34 (± 11); 247 (49%) were female; 386 (77%) were white; 189 (38%) were married, and 234 (46%) had children. Mean proportion of longevity traded by participants in the dyadic interaction was 66% (± 27) from the parent's life. Only 51 respondents (9%) reported having "ample" prior knowledge of SB; 8 respondents (0.02%) had SB themselves. Few others had previous experience with SB or myelomeningocele either in a child (4, 1%), or friend/relative (28, 5%). Compared with a perfect health state of 1.0, we found mean utilities of 0.85 (± 0.20) for SB. CONCLUSIONS: Utility estimation for SB is feasible through crowdsourcing, and the resultant values are similar to previous estimates using traditional techniques. Subjects view the SB health state to be inferior to perfect health. © 2017 - IOS Press and the authors. All rights reserved.</t>
  </si>
  <si>
    <t>Jiang R., Inouye B.M., Wang H.-H.S., Tejwani R., Routh J.C.</t>
  </si>
  <si>
    <t>Journal of Pediatric Rehabilitation Medicine</t>
  </si>
  <si>
    <t>https://www.scopus.com/inward/record.uri?eid=2-s2.0-85039441402&amp;doi=10.3233%2fPRM-170453&amp;partnerID=40&amp;md5=7a06108e139bc4b168025bd70c6e2bd0</t>
  </si>
  <si>
    <t>Division of Urologic Surgery, Duke University Medical Center, DUMC 3831, Durham, NC  27710, United States; Department of Urology, Boston Children's Hospital, Boston, MA, United States</t>
  </si>
  <si>
    <t>Jiang, R., Division of Urologic Surgery, Duke University Medical Center, DUMC 3831, Durham, NC  27710, United States; Inouye, B.M., Division of Urologic Surgery, Duke University Medical Center, DUMC 3831, Durham, NC  27710, United States; Wang, H.-H.S., Department of Urology, Boston Children's Hospital, Boston, MA, United States; Tejwani, R., Division of Urologic Surgery, Duke University Medical Center, DUMC 3831, Durham, NC  27710, United States; Routh, J.C., Division of Urologic Surgery, Duke University Medical Center, DUMC 3831, Durham, NC  27710, United States</t>
  </si>
  <si>
    <t>Routh, J.C.; Division of Urologic Surgery, United States; email: Jonathan.Routh@duke.edu</t>
  </si>
  <si>
    <t>Crowdsourcing WordNet</t>
  </si>
  <si>
    <t>8538613800;55797382700;</t>
  </si>
  <si>
    <t>This paper describes an experiment in using Amazon Mechanical Turk to collaboratively create a sense inventory. In a bootstrapping process with massive collaborative input, substitutions for target words in context are elicited and clustered by sense; then more contexts are collected. Contexts that cannot be assigned to a current target word's sense inventory re-enter the loop and get a supply of substitutions. This process provides a sense inventory with its granularity determined by common substitutions rather than by psychologically motivated concepts. Evaluation shows that the process is robust against noise from the crowd, yields a less fine-grained inventory thanWordNet and provides a rich body of high precision substitution data at a low cost. © Global Wordnet Conference, GWC 2010. All rights reserved.</t>
  </si>
  <si>
    <t>Biemann C., Nygaard V.</t>
  </si>
  <si>
    <t>Global Wordnet Conference, GWC 2010</t>
  </si>
  <si>
    <t>https://www.scopus.com/inward/record.uri?eid=2-s2.0-85084945389&amp;partnerID=40&amp;md5=8d0700d4e1f07c8a56cc5fe53eed9e78</t>
  </si>
  <si>
    <t>Powerset, A Microsoft Company, 475 Brannan St 330, San Francisco, CA  94107, United States</t>
  </si>
  <si>
    <t>Biemann, C., Powerset, A Microsoft Company, 475 Brannan St 330, San Francisco, CA  94107, United States; Nygaard, V., Powerset, A Microsoft Company, 475 Brannan St 330, San Francisco, CA  94107, United States</t>
  </si>
  <si>
    <t>Crowdworking - A new digital divide? IS design and research implications</t>
  </si>
  <si>
    <t>55879216100;7003834429;7201961114;</t>
  </si>
  <si>
    <t>The ubiquitous penetration of Internet technologies in modern societies has created new forms of wo rking, one such being microtask crowdsourcing. This phenomenon requires further research, especially when the attendant ethical issues are considered. In this paper, we investigate crowd wo rking - the individual behaviors associated with microtask crowdsourcing work. In particular, we address two questions: (1) how do individuals participate in crowdworking? (2) do their participation behaviors differ? Our findings point to the emergence of a new digital divide - one that is present on our own doorstep, not in some distant land. We analyze data collected from 150 crowdworkers registered on Amazon Mechanical Turk. A mixed research approach is adopted. Quantitative data analysis reveals significant differences in the degree of participation by individuals from different demographic backgrounds. Qualitative data analysis confirms prior studies in that job autonomy and workplace flexibility make crowdworking attractive but in addition we identify that disadvantaged groups (lower education; otherwise unemployed) perceive these attractions differently from more privileged groups. Our contributions include extending understanding of microtask crowdsourcing and our conceptualization of a new form of digital divide. We also offer ethical considerations with regard to the design of crowdworking platforms, to account for differences in the reported use and perceived value of the IT-enabled platforms for crowdworkers.</t>
  </si>
  <si>
    <t>Deng X., Galliers R.D., Joshi K.D.</t>
  </si>
  <si>
    <t>24th European Conference on Information Systems, ECIS 2016</t>
  </si>
  <si>
    <t>https://www.scopus.com/inward/record.uri?eid=2-s2.0-84995802694&amp;partnerID=40&amp;md5=cbd7fcea7e8e6f8ef0c61a0cc036f66a</t>
  </si>
  <si>
    <t>California State University, Dominguez Hills, Carson, CA, United States; Bentley University, Waltham, MA, United States; Loughborough University, Loughborough, Leicestershire, United Kingdom; Washington State University, Pullman, WA, United States</t>
  </si>
  <si>
    <t>Deng, X., California State University, Dominguez Hills, Carson, CA, United States; Galliers, R.D., Bentley University, Waltham, MA, United States, Loughborough University, Loughborough, Leicestershire, United Kingdom; Joshi, K.D., Washington State University, Pullman, WA, United States</t>
  </si>
  <si>
    <t>Customer loyalty in the sharing economy platforms: How digital personal reputation and feedback systems facilitate interaction and trust between strangers</t>
  </si>
  <si>
    <t>10.22 381/JSME7120192</t>
  </si>
  <si>
    <t>57208707641;57190389197;26323322300;57193929852;57196487445;</t>
  </si>
  <si>
    <t>We inspect the relevant literature on customer loyalty in the sharing economy platforms, providing both quantitative evidence on trends and numerous in-depth empirical examples. Using and replicating data from BBC, Business Insider Intelligence, CIPD, Consultancy.uk, Full Fact, Kalido, One Poll, ONS, RSA, Statista, and YouGov, we performed analyses and made estimates regarding most commonlyused platforms by gig economy workers, drivers of freelancing, share of generational groups who think that the gig economy is beneficial for everyone, percentage of employees and self-employed working more than 45 hours per week, and adults in different forms of work in the gig economy. © 2019, Addleton Academic Publishers. All rights reserved.</t>
  </si>
  <si>
    <t>Jane Hollowell C., Rowland Z., Kliestik T., Kliestikova J., Dengov V.V.</t>
  </si>
  <si>
    <t>Journal of Self-Governance and Management Economics</t>
  </si>
  <si>
    <t>https://www.scopus.com/inward/record.uri?eid=2-s2.0-85065586656&amp;doi=10.22+381%2fJSME7120192&amp;partnerID=40&amp;md5=d1d9bc091cfc73db78d4b2f8ab800f46</t>
  </si>
  <si>
    <t>Center for Human Resources and Labor Studies, AAER, Belfast, United Kingdom; The Institute of Technology and Business in Ceske Budejovice, The School of Expertness and Valuation, Czech Republic; Faculty of Operation and Economics of Transport and Communications, Department of Economics, University of Zilina, Slovakia; Faculty of Economics, Department of Economics and Economic Policy, Saint Petersburg State University, Saint Petersburg, Russian Federation</t>
  </si>
  <si>
    <t>Jane Hollowell, C., Center for Human Resources and Labor Studies, AAER, Belfast, United Kingdom; Rowland, Z., The Institute of Technology and Business in Ceske Budejovice, The School of Expertness and Valuation, Czech Republic; Kliestik, T., Faculty of Operation and Economics of Transport and Communications, Department of Economics, University of Zilina, Slovakia; Kliestikova, J., Faculty of Operation and Economics of Transport and Communications, Department of Economics, University of Zilina, Slovakia; Dengov, V.V., Faculty of Economics, Department of Economics and Economic Policy, Saint Petersburg State University, Saint Petersburg, Russian Federation</t>
  </si>
  <si>
    <t>Jane Hollowell, C.; Center for Human Resources and Labor Studies, United Kingdom; email: hollowell@aa-er.org</t>
  </si>
  <si>
    <t>Customer value co-creation behavior in the online platform economy</t>
  </si>
  <si>
    <t>10.22381/JSME7120193</t>
  </si>
  <si>
    <t>57208709013;</t>
  </si>
  <si>
    <t>This research synthesizes existing studies and investigates customer value co-creation behavior in the online platform economy. Building my argument by drawing on data collected from Atlas, BLS, Deloitte, D&amp;S, Edelman Intelligence, GAO, JPMorgan Chase Institute, Upwork, and YouGov Omnibus, I performed analyses and made estimates regarding annual personal income of freelancers in US and UK, year-on-year growth in gig economy monthly earnings, median individual income reported by alternative workers, average weekly earnings (traditional vs. contingent employment), type of gig economy work by income earned from gig economy in the past 12 months, type of gig economy work by total annual income from all sources, and frequency of involvement by annual income from gig economy. © 2019, Addleton Academic Publishers. All rights reserved.</t>
  </si>
  <si>
    <t>Meilhan D.</t>
  </si>
  <si>
    <t>https://www.scopus.com/inward/record.uri?eid=2-s2.0-85065556953&amp;doi=10.22381%2fJSME7120193&amp;partnerID=40&amp;md5=a847abb6ef39dd70a970488de81bf282</t>
  </si>
  <si>
    <t>Center for Economic Performance, CSAACT, Australia</t>
  </si>
  <si>
    <t>Meilhan, D., Center for Economic Performance, CSAACT, Australia</t>
  </si>
  <si>
    <t>Meilhan, D.; Center for Economic Performance, Australia; email: meilhan@aa-er.org</t>
  </si>
  <si>
    <t>Data Cleaning for XML Electronic Dictionaries via Statistical Anomaly Detection</t>
  </si>
  <si>
    <t>10.1109/ICSC.2016.38</t>
  </si>
  <si>
    <t>55039326300;57191658041;</t>
  </si>
  <si>
    <t>Many important forms of data are stored digitally in XML format. Errors can occur in the textual content of the data in the fields of the XML. Fixing these errors manually is time-consuming and expensive, especially for large amounts of data. There is increasing interest in the research, development, and use of automated techniques for assisting with data cleaning. Electronic dictionaries are an important form of data frequently stored in XML format that frequently have errors introduced through a mixture of manual typographical entry errors and optical character recognition errors. In this paper we describe methods for flagging statistical anomalies as likely errors in electronic dictionaries stored in XML format. We describe six systems based on different sources of information. The systems detect errors using various signals in the data including uncommon characters, text length, character-based language models, word-based language models, tied-field length ratios, and tied-field transliteration models. Four of the systems detect errors based on expectations automatically inferred from content within elements of a single field type. We call these single-field systems. Two of the systems detect errors based on correspondence expectations automatically inferred from content within elements of multiple related field types. We call these tied-field systems. For each system, we provide an intuitive analysis of the type of error that it is successful at detecting. Finally, we describe two larger-scale evaluations using crowdsourcing with Amazon's Mechanical Turk platform and using the annotations of a domain expert. The evaluations consistently show that the systems are useful for improving the efficiency with which errors in XML electronic dictionaries can be detected. © 2016 IEEE.</t>
  </si>
  <si>
    <t>Bloodgood M., Strauss B.</t>
  </si>
  <si>
    <t>Proceedings - 2016 IEEE 10th International Conference on Semantic Computing, ICSC 2016</t>
  </si>
  <si>
    <t>https://www.scopus.com/inward/record.uri?eid=2-s2.0-84968885147&amp;doi=10.1109%2fICSC.2016.38&amp;partnerID=40&amp;md5=813153a6cc5fd1b8a4188be8dff2bb27</t>
  </si>
  <si>
    <t>Center for Advanced Study of Language, University of Maryland, College Park, MD  20742, United States; Department of Computer Science and Engineering, Ohio State University, Columbus, OH  43210, United States</t>
  </si>
  <si>
    <t>Bloodgood, M., Center for Advanced Study of Language, University of Maryland, College Park, MD  20742, United States; Strauss, B., Department of Computer Science and Engineering, Ohio State University, Columbus, OH  43210, United States</t>
  </si>
  <si>
    <t>Data collection and normalization for building the Scenario-Based Lexical Knowledge Resource of a text-to-scene conversion system</t>
  </si>
  <si>
    <t>10.1109/SMAP.2010.5706851</t>
  </si>
  <si>
    <t>36629267300;57525427100;55884410500;35271550700;</t>
  </si>
  <si>
    <t>WordsEye is a system for converting from English text into three-dimensional graphical scenes that represent that text. It works by performing syntactic and semantic analyses on the input text, producing a description of the arrangement of objects in a scene. At the core of WordsEye is the Scenario-Based Lexical Knowledge Resource (SBLR), a unified knowledge base and representational system for expressing lexical and realworld knowledge needed to depict scenes from text. This paper explores information collection methods for building the SBLR, using Amazon's Mechanical Turk (AMT) and manual normalization of raw AMT data. The paper follows with manual review of existing relations in the SBLR and classification of the AMT data into existing and new semantic relations. Since manual annotation is a time-consuming and expensive approach, we also explored the use of automatic normalization of AMT data through log-odds and log-likelihood ratios extracted from the English Gigaword corpus, as well as through WordNet similarity measures. © 2010 IEEE.</t>
  </si>
  <si>
    <t>Rouhizadeh M., Bowler M., Sproat R., Coyne B.</t>
  </si>
  <si>
    <t>Proceedings - 2010 5th International Workshop on Semantic Media Adaptation and Personalization, SMAP 2010</t>
  </si>
  <si>
    <t>https://www.scopus.com/inward/record.uri?eid=2-s2.0-79952380646&amp;doi=10.1109%2fSMAP.2010.5706851&amp;partnerID=40&amp;md5=fc02d09a39036a09529957910a8ed1b3</t>
  </si>
  <si>
    <t>Center for Spoken Language Understanding, Oregon Health and Science University, United States; Department of Computer Science, Columbia University, United States</t>
  </si>
  <si>
    <t>Rouhizadeh, M., Center for Spoken Language Understanding, Oregon Health and Science University, United States; Bowler, M., Center for Spoken Language Understanding, Oregon Health and Science University, United States; Sproat, R., Center for Spoken Language Understanding, Oregon Health and Science University, United States; Coyne, B., Department of Computer Science, Columbia University, United States</t>
  </si>
  <si>
    <t>Rouhizadeh, M.; Center for Spoken Language Understanding, United States; email: masoud@cslu.ogi.edu</t>
  </si>
  <si>
    <t>Data collection in the digital age: Innovative alternatives to student samples</t>
  </si>
  <si>
    <t>10.25300/MISQ/2014/38.2.02</t>
  </si>
  <si>
    <t>55070878300;55941020100;6603530297;</t>
  </si>
  <si>
    <t>Online crowdsourcing markets (OCM) are becoming more popular as a source for data collection. In this paper, we examine the consistency of survey results across student samples, consumer panels, and online crowdsourcing markets (specifically Amazon's Mechanical Turk) both within the United States and outside. We conduct two studies examining the technology acceptance model (TAM) and the expectation-disconfirmation theory (EDT) to explore potential differences in demographics, psychometrics, structural model estimates, and measurement invariances. Our findings indicate that (1) U.S.-based OCM samples provide demographics much more similar to our student and consumer panel samples than the non-U.S.-based OCM samples; (2) both U.S. and non-U.S. OCM samples provide initial psychometric properties (reliability, convergent, and divergent validity) that are similar to those of both student and consumer panels; (3) non-U.S. OCM samples generally provide differences in scale means compared to those of our students, consumer panels, and U.S. OCM samples; and (4) one of the non-U.S. OCM samples refuted the highly replicated and validated TAM model in the relationship of perceived usefulness to behavioral intentions. Although our post hoc analyses isolated some cultural and demographic effects with regard to the non-U.S. samples in Study 1, they did not address the model differences found in Study 2. Specifically, the inclusion of non-U.S. OCM respondents led to statistically significant differences in parameter estimates, and hence to different statistical conclusions. Due to these unexplained differences that exist within the non-U.S. OCM samples, we caution that the inclusion of non-U.S. OCM participants may lead to different conclusions than studies with only U.S. OCM participants. We are unable to conclude whether this is due to of cultural differences, differences in the demographic profiles of non-U.S. OCM participants, or some unexplored factors within the models. Therefore, until further research is conducted to explore these differences in detail, we urge researchers utilizing OCMs with the intention to generalize to U.S. populations focus on U.S.-based participants and exercise caution in using non-U.S. participants. We further recommend that researchers should clearly describe their OCM usage and design (e.g., demographics, participant filters, etc.) procedures. Overall, we find that U.S. OCM samples produced models that lead to similar statistical conclusions as both U.S. students and U.S. consumer panels at a considerably reduced cost.</t>
  </si>
  <si>
    <t>Steelman Z.R., Hammer B.I., Limayem M.</t>
  </si>
  <si>
    <t>MIS Quarterly: Management Information Systems</t>
  </si>
  <si>
    <t>https://www.scopus.com/inward/record.uri?eid=2-s2.0-84928644953&amp;doi=10.25300%2fMISQ%2f2014%2f38.2.02&amp;partnerID=40&amp;md5=06967f74aeeeb935028cb0e2d8db124e</t>
  </si>
  <si>
    <t>Management Science and Information Systems Department, Spears School of Business, Oklahoma State University, Tulsa, OK  74106, United States; Spears School of Business, Management Science and Information Systems, Oklahoma State University, Stillwater, OK  74078, United States; College of Business, University of South Florida, Tampa, FL  33620, United States</t>
  </si>
  <si>
    <t>Steelman, Z.R., Management Science and Information Systems Department, Spears School of Business, Oklahoma State University, Tulsa, OK  74106, United States; Hammer, B.I., Spears School of Business, Management Science and Information Systems, Oklahoma State University, Stillwater, OK  74078, United States; Limayem, M., College of Business, University of South Florida, Tampa, FL  33620, United States</t>
  </si>
  <si>
    <t>Defect detection effectiveness and product quality in global software development</t>
  </si>
  <si>
    <t>10.1007/978-3-642-21843-9_11</t>
  </si>
  <si>
    <t>57202354149;55933729700;</t>
  </si>
  <si>
    <t>Global software development (GSD) has become a common practice in the software development industry. The main challenge organizations have to overcome is to minimize the effect of organizational diversity on the effectiveness of their GSD collaboration. The objective of this study is to understand the differences in the defect detection effectiveness among different organizations involved into the same GSD project, and how these differences, if any, are reflected on the delivered product quality. The case study is undertaken in a GSD project at Ericsson corporation involving nine organizations that are commonly developing a software product for telecommunication exchanges. Comparing the effectiveness of defect detection on the sample of 216 software units developed by nine organizations, it turns out that there is statistically significant difference between defect detection effectiveness among organizations. Moreover, the defect density serves better as a measure of defect detection effectiveness than as a measure of the product quality. © 2011 Springer-Verlag.</t>
  </si>
  <si>
    <t>Galinac Grbac T., Huljenić D.</t>
  </si>
  <si>
    <t>https://www.scopus.com/inward/record.uri?eid=2-s2.0-79960225377&amp;doi=10.1007%2f978-3-642-21843-9_11&amp;partnerID=40&amp;md5=d21227d94a4cbc888145d098b5b1c59e</t>
  </si>
  <si>
    <t>Faculty of Engineering, University of Rijeka, Vukovarska 58, HR-51000 Rijeka, Croatia; Ericsson Nikola Tesla, Krapinska 45, HR-10000 Zagreb, Croatia</t>
  </si>
  <si>
    <t>Galinac Grbac, T., Faculty of Engineering, University of Rijeka, Vukovarska 58, HR-51000 Rijeka, Croatia; Huljenić, D., Ericsson Nikola Tesla, Krapinska 45, HR-10000 Zagreb, Croatia</t>
  </si>
  <si>
    <t>Galinac Grbac, T.; Faculty of Engineering, Vukovarska 58, HR-51000 Rijeka, Croatia; email: tihana.galinac@riteh.hr</t>
  </si>
  <si>
    <t>Defects in common property of strata developments in Singapore: Representative actions against developers</t>
  </si>
  <si>
    <t>10.1108/02630800710772872</t>
  </si>
  <si>
    <t>8836744500;</t>
  </si>
  <si>
    <t>Purpose - The paper seeks to consider the basis on which a management corporation can represent original and subsequent purchasers of units in strata developments in a representative action against developers; the significance of unit owners' share values when courts award compensation; vicarious liability; and developers' use of the "independent contractor" defence in relation to its liability for defects in common property. Design/methodology/approach - The paper analyses cases from several common law jurisdictions, with a focus on Singapore Court of Appeal decisions. Findings - The paper highlights the problems posed as a result of the doctrine of privity in relation to management corporations' claims against developers for defects in common property; the implications of unit holders' share values; and the circumstances in which developers can avail themselves of the independent contractor defence. Practical implications - The paper will be instructive to developers, contractors, management corporations and both original and subsequent purchasers of units in strata developments. Originality/value - The paper brings to focus the importance of due consideration by the management corporation before it commences a representative action on behalf of the subsidiary proprietors; and also highlights procedures and/or legislation that need to be implemented, failing which there may be financial implications that can render a "successful" litigation against the developer a pyrrhic victory.</t>
  </si>
  <si>
    <t>Christudason A.</t>
  </si>
  <si>
    <t>Structural Survey</t>
  </si>
  <si>
    <t>https://www.scopus.com/inward/record.uri?eid=2-s2.0-34548171684&amp;doi=10.1108%2f02630800710772872&amp;partnerID=40&amp;md5=0b6b1a1e05c6a5309261fb7d74048e71</t>
  </si>
  <si>
    <t>Department of Real Estate, School of Design and Environment, National University of Singapore, Singapore, Singapore</t>
  </si>
  <si>
    <t>Christudason, A., Department of Real Estate, School of Design and Environment, National University of Singapore, Singapore, Singapore</t>
  </si>
  <si>
    <t>Christudason, A.; Department of Real Estate, , Singapore, Singapore; email: rstac@nus.edu.sg</t>
  </si>
  <si>
    <t>Delaying Disposing: Examining the Relationship between Procrastination and Clutter across Generations</t>
  </si>
  <si>
    <t>10.1007/s12144-017-9679-4</t>
  </si>
  <si>
    <t>7102399864;6507987164;</t>
  </si>
  <si>
    <t>We explored how two types of procrastination (indecision and behavioral), contribute to problems with clutter across three adult U.S. samples differing as generational cohorts. An online survey was administered to college students (mean age = 21) and younger adults recruited using Amazon’s Mechanical Turk (MTurk; mean age = 31), plus older adults recruited with help from the Institute for Challenging Disorganization (mean age = 54) (http://challengingdisorganization.org). Hierarchical linear regression revealed that behavioral procrastination contributed significantly to an increasingly larger percentage of explained variance in clutter problems across the generational cohorts in a series of separate analyses. The addition of indecision as a variable led to a significant incremental increase in explained variance for the younger and older adult samples, but not for the student sample. Clutter problems led to a significant decrease in satisfaction with life among older adults. Findings suggest that general procrastination tendencies may enable a lifelong pattern of responses to one’s environment that become increasingly maladaptive throughout the life cycle - simultaneously delaying disposal decisions. © 2017, Springer Science+Business Media, LLC.</t>
  </si>
  <si>
    <t>Ferrari J.R., Roster C.A.</t>
  </si>
  <si>
    <t>https://www.scopus.com/inward/record.uri?eid=2-s2.0-85029576806&amp;doi=10.1007%2fs12144-017-9679-4&amp;partnerID=40&amp;md5=f3880eaa17908ac9fe831e7f9ebfe7e4</t>
  </si>
  <si>
    <t>DePaul University, Chicago, IL, United States; University of New Mexico, Anderson School of Management, 1924 Las Lomas NE, Albuquerque, NM  87131, United States</t>
  </si>
  <si>
    <t>Ferrari, J.R., DePaul University, Chicago, IL, United States; Roster, C.A., University of New Mexico, Anderson School of Management, 1924 Las Lomas NE, Albuquerque, NM  87131, United States</t>
  </si>
  <si>
    <t>Roster, C.A.; University of New Mexico, 1924 Las Lomas NE, United States; email: roster@unm.edu</t>
  </si>
  <si>
    <t>Design and analysis of incentive and reputation mechanisms for online crowdsourcing systems</t>
  </si>
  <si>
    <t>10.1145/2897510</t>
  </si>
  <si>
    <t>56140732400;7007064465;7101832058;</t>
  </si>
  <si>
    <t>Today, online crowdsourcing services like Amazon Mechanical Turk, UpWork, and Yahoo! Answers are gaining in popularity. For such online services, it is important to attract “workers” to provide high-quality solutions to the “tasks” outsourced by “requesters.” The challenge is that workers have different skill sets and can provide different amounts of effort. In this article, we design a class of incentive and reputation mechanisms to solicit high-quality solutions from workers. Our incentive mechanism allows multiple workers to solve a task, splits the reward among workers based on requester evaluations of the solution quality, and guarantees that high-skilled workers provide high-quality solutions. However, our incentive mechanism suffers the potential risk that a requester will eventually collects low-quality solutions due to fundamental limitations in task assigning accuracy. Our reputation mechanism ensures that low-skilled workers do not provide low-quality solutions by tracking workers' historical contributions and penalizing those workers having poor reputations. We show that by coupling our reputation mechanism with our incentive mechanism, a requester can collect at least one high-quality solution. We present an optimization framework to select parameters for our reputation mechanism. We show that there is a trade-off between system efficiency (i.e., the number of tasks that can be solved for a given reward) and revenue (i.e., the amount of transaction fees), and we present the optimal trade-off curve between system efficiency and revenue. We demonstrate the applicability and effectiveness of our mechanisms through experiments using a real-world dataset from UpWork. We infer model parameters from this data, use them to determine proper rewards, and select the parameters of our incentive and reputation mechanisms for UpWork. Experimental results show that our incentive and reputation mechanisms achieve 98.82% of the maximum system efficiency while only sacrificing 4% of revenue. © 2016 ACM 2376-3639/2016/05-ART13 $15.00</t>
  </si>
  <si>
    <t>Xie H., Lui J.C.S., Towsley D.</t>
  </si>
  <si>
    <t>ACM Transactions on Modeling and Performance Evaluation of Computing Systems</t>
  </si>
  <si>
    <t>https://www.scopus.com/inward/record.uri?eid=2-s2.0-85034216544&amp;doi=10.1145%2f2897510&amp;partnerID=40&amp;md5=e7fce91728f0a1cb3cdfdf60a8b6393a</t>
  </si>
  <si>
    <t>Department of Computer Science and Engineering, Chinese University of Hong Kong, Shatin, NT, Hong Kong; Department of Computer Science, University of Massachusetts AmherstMA  01003, United States</t>
  </si>
  <si>
    <t>Xie, H., Department of Computer Science and Engineering, Chinese University of Hong Kong, Shatin, NT, Hong Kong; Lui, J.C.S., Department of Computer Science and Engineering, Chinese University of Hong Kong, Shatin, NT, Hong Kong; Towsley, D., Department of Computer Science, University of Massachusetts AmherstMA  01003, United States</t>
  </si>
  <si>
    <t>Design and evaluation of a fuzzy cloud controller</t>
  </si>
  <si>
    <t>10.1504/IJCC.2017.086012</t>
  </si>
  <si>
    <t>6603034226;6602464131;</t>
  </si>
  <si>
    <t>The management of cloud deployments is still largely the responsibility of system administrators. Introducing autonomy in cloud management would entail, amongst other things, the ability for automated cloud manager systems to scale up or down the number of deployed virtual machines, and/or deploy machines of different types to meet performance and other SLAs. However, the workload of cloud deployments can exhibit high variability over short time periods. This creates the necessity of introducing autonomic behaviour in the resource management function of the cloud deployment that makes decisions in real time so to optimise cost and/or performance. In this paper, we employ fuzzy logic to design a cloud controller whose scaling policies emulate the reasoning of human cloud operators, and take into account the current system load and the system load rate of change. The fuzzy controller's performance is compared and evaluated against Amazon's AWS auto-scaling policies. Results indicate the ability of the proposed fuzzy controller to adapt better to changing workloads by provisioning virtual machines appropriately to match the rate of system load change. Additionally, fuzzy rules are more intuitive than auto-scaling policies and thus easier to understand and modify by human users. Copyright © 2017 Inderscience Enterprises Ltd.</t>
  </si>
  <si>
    <t>Karakostas B., Kardaras D.K.</t>
  </si>
  <si>
    <t>International Journal of Cloud Computing</t>
  </si>
  <si>
    <t>https://www.scopus.com/inward/record.uri?eid=2-s2.0-85044340001&amp;doi=10.1504%2fIJCC.2017.086012&amp;partnerID=40&amp;md5=8722a1ffd5afd1b39ac41bf72769b161</t>
  </si>
  <si>
    <t>VLTN GCV, Welvaartstraat 33B, Antwerpen, 2000, Belgium; Business Informatics Lab, Department of Business Administration, Athens University of Economics and Business, Athens, Greece</t>
  </si>
  <si>
    <t>Karakostas, B., VLTN GCV, Welvaartstraat 33B, Antwerpen, 2000, Belgium; Kardaras, D.K., Business Informatics Lab, Department of Business Administration, Athens University of Economics and Business, Athens, Greece</t>
  </si>
  <si>
    <t>Karakostas, B.; VLTN GCV, Welvaartstraat 33B, Belgium; email: bill.karakostas@vltn.be</t>
  </si>
  <si>
    <t>Design, implementation, and evaluation of a Virtual Meeting Tool-based innovation for UML technology training in global organizations</t>
  </si>
  <si>
    <t>10.1109/HICSS.2012.198</t>
  </si>
  <si>
    <t>26424723000;6603112374;</t>
  </si>
  <si>
    <t>End-user training is complicated to implement in global corporations whose activities are typically scattered across multiple sites in different countries and leverage information systems in various ways. This is especially true in global software development where the sites may leverage a development tool for totally different purposes. Web-based Virtual Meeting Tools (VMT) enable synchronous communication globally through interactive audio, online chats, video, and the sharing of presentations. They provide potentially a cost effective way to train even complex topics to large numbers of people in global settings. Few industrial experiences from the design and use of VMT-based training innovations have been reported. This paper draws upon a case study in a global corporation to describe the design, implementation, and evaluation of a training innovation, consisting of a set of courses delivered by means of a VMT and conference calls, to support the global deployment of a Unified Modeling Language (UML) modeling tool and to develop UML modeling skills. Evaluation is based on interviews to verify 1) the impacts of the innovation on skills, knowledge and motivation, 2) perceived learner satisfaction with respect to the innovation. The innovation proved successful in improving skills, knowledge, and motivation in the case organization and learners were satisfied with it. Other organizations may benefit from using VMT to train people to use similar complex information systems for supporting global software development. © 2012 IEEE.</t>
  </si>
  <si>
    <t>Koivulahti-Ojala M., Käkölä T.</t>
  </si>
  <si>
    <t>https://www.scopus.com/inward/record.uri?eid=2-s2.0-84857938540&amp;doi=10.1109%2fHICSS.2012.198&amp;partnerID=40&amp;md5=1a7fce87bc45f788e700cc9b095e46fd</t>
  </si>
  <si>
    <t>Koivulahti-Ojala, M., University of Jyväskylä, 40014 Jyväskylä, Finland; Käkölä, T., University of Jyväskylä, 40014 Jyväskylä, Finland</t>
  </si>
  <si>
    <t>Koivulahti-Ojala, M.; University of Jyväskylä, 40014 Jyväskylä, Finland; email: meelheko@jyu.fi</t>
  </si>
  <si>
    <t>Designing an E-mentoring application for facebook</t>
  </si>
  <si>
    <t>10.1145/1982143.1982175</t>
  </si>
  <si>
    <t>14826647300;35368766900;13006881900;</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</si>
  <si>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for'conveying' and'converging' communications. However the theory does not cover all important factors. We confirm previous findings that media availability, media familiarity and infrastructure capabilities also need to be taken into consideration. © 2011 ACM.</t>
  </si>
  <si>
    <t>Lee H.-M., Long J., Mehta M.R.</t>
  </si>
  <si>
    <t>SIGMIS CPR 2011 - Proceedings of the 2011 ACM SIGMIS Computer Personnel Research Conference</t>
  </si>
  <si>
    <t>https://www.scopus.com/inward/record.uri?eid=2-s2.0-79958699577&amp;doi=10.1145%2f1982143.1982175&amp;partnerID=40&amp;md5=5399e28ce3c8f35155fd7ab2aefe0c67</t>
  </si>
  <si>
    <t>Dept. of Computer Information Systems and Quantitative Methods, Texas State University San Marcos, San Marcos, TX, United States</t>
  </si>
  <si>
    <t>Lee, H.-M., Dept. of Computer Information Systems and Quantitative Methods, Texas State University San Marcos, San Marcos, TX, United States; Long, J., Dept. of Computer Information Systems and Quantitative Methods, Texas State University San Marcos, San Marcos, TX, United States; Mehta, M.R., Dept. of Computer Information Systems and Quantitative Methods, Texas State University San Marcos, San Marcos, TX, United States</t>
  </si>
  <si>
    <t>Lee, H.-M.; Dept. of Computer Information Systems and Quantitative Methods, , San Marcos, TX, United States; email: samlee@txstate.edu</t>
  </si>
  <si>
    <t>Designing appropriate contracts for achieving efficient winter road and railway maintenance with high performance quality: A survey of the state of practice in Sweden</t>
  </si>
  <si>
    <t>10.1108/IJQSS-06-2014-0033</t>
  </si>
  <si>
    <t>55971117800;24302583900;7004762082;</t>
  </si>
  <si>
    <t>Purpose - For a long time, the winter maintenance of the Swedish road and railway network had been performed in-house by Swedish Transport Administration, Swedish local authorities i.e. municipalities and Stockholm public transport. During the last 15 years the winter operation and maintenance of these state infrastructures have been performed by public procurement and contracting from independent contractors, where in practice the lowest price is the dominating selection criteria. The aim of this paper is to investigate and identify how these contracts are designed and how satisfied the parties are with the contract and the quality of the performed work during the winter and point our directions for improvement. Design/methodology/approach - The study was conducted by a literature review and followed by semi-structured interviews and electronic questionnaire. Findings - The results of the study which are based on the interviews and the online questionnaire show that there is widespread dissatisfaction with the contracts among both clients and contractors. Practical implications - The article prepares a basis showing how a contract affects the quality of the performed winter road and railway maintenance services. Originality/value - The findings lead to a number of suggestions about how to improve the contracts, e.g. having a separate winter maintenance contract to increase the quality of performed winter maintenance measures, a more partnering-like structure where consultations and adjustment can be made during the contract period. A partnering structure also makes it less important to get all the details right in the contract. © Emerald Group Publishing Limited.</t>
  </si>
  <si>
    <t>Abdi A., Lind H., Birgisson B.</t>
  </si>
  <si>
    <t>International Journal of Quality and Service Sciences</t>
  </si>
  <si>
    <t>https://www.scopus.com/inward/record.uri?eid=2-s2.0-84927587121&amp;doi=10.1108%2fIJQSS-06-2014-0033&amp;partnerID=40&amp;md5=069e99dbcf3247487b121b4a0d85acf4</t>
  </si>
  <si>
    <t>Department of Transport Science, Royal Institute of Technology - KTH, Stockholm, Sweden; Department of Real Estate and Construction Management, Royal Institute of Technology - KTH, Stockholm, Sweden; Department of Transport Science, Royal Institute of Technology - KTH, Stockholm, Sweden</t>
  </si>
  <si>
    <t>Abdi, A., Department of Transport Science, Royal Institute of Technology - KTH, Stockholm, Sweden; Lind, H., Department of Real Estate and Construction Management, Royal Institute of Technology - KTH, Stockholm, Sweden; Birgisson, B., Department of Transport Science, Royal Institute of Technology - KTH, Stockholm, Sweden</t>
  </si>
  <si>
    <t>Abdi, A.; Department of Transport Science, Royal Institute of Technology - KTHSweden</t>
  </si>
  <si>
    <t>Detecting anomalies in social network data consumption</t>
  </si>
  <si>
    <t>10.1007/s13278-014-0231-3</t>
  </si>
  <si>
    <t>36439210200;13402877800;7202281602;23135116900;</t>
  </si>
  <si>
    <t>As the popularity and usage of social media exploded over the years, understanding how social network users’ interests evolve gained importance in diverse fields, ranging from sociological studies to marketing. In this paper, we use two snapshots from the Twitter network and analyze data interest patterns of users in time to understand individual and collective user behavior on social networks. Building topical profiles of users, we propose novel metrics to identify anomalous friendships, and validate our results with Amazon Mechanical Turk experiments. We show that although more than 80 % of all friendships on Twitter are created due to data interests, 83 % of all users have at least one friendship that can be explained neither by users’ past interest nor collective behavior of other similar users. © 2014, Springer-Verlag Wien.</t>
  </si>
  <si>
    <t>Akcora C.G., Carminati B., Ferrari E., Kantarcioglu M.</t>
  </si>
  <si>
    <t>Social Network Analysis and Mining</t>
  </si>
  <si>
    <t>https://www.scopus.com/inward/record.uri?eid=2-s2.0-84947267636&amp;doi=10.1007%2fs13278-014-0231-3&amp;partnerID=40&amp;md5=7d4aab1a4bf113e6d69fc6a799507f3d</t>
  </si>
  <si>
    <t>DISTA, Università degli Studi dell’Insubria, Via Mazzini 5, Varese, Italy; Data Security and Privacy Laboratory, University of Texas at Dallas, Richardson, United States</t>
  </si>
  <si>
    <t>Akcora, C.G., DISTA, Università degli Studi dell’Insubria, Via Mazzini 5, Varese, Italy; Carminati, B., DISTA, Università degli Studi dell’Insubria, Via Mazzini 5, Varese, Italy; Ferrari, E., DISTA, Università degli Studi dell’Insubria, Via Mazzini 5, Varese, Italy; Kantarcioglu, M., Data Security and Privacy Laboratory, University of Texas at Dallas, Richardson, United States</t>
  </si>
  <si>
    <t>Akcora, C.G.; DISTA, Via Mazzini 5, Italy; email: cuneyt.akcora@fulbrightmail.org</t>
  </si>
  <si>
    <t>Determining personal talents and behavioral styles of applicants to surgical training: A new look at an old problem, part i</t>
  </si>
  <si>
    <t>10.1016/j.jsurg.2011.05.016</t>
  </si>
  <si>
    <t>57213808378;6701875904;16203310600;53986256800;</t>
  </si>
  <si>
    <t>Background: The selection of residents for any program and their evaluation for success is an inexact science. Errors can prove costly, disruptive, and potentially damaging to training programs, and personal and professional setbacks can occur for resident applicants. A method was sought to determine the intangible characteristics of applicants to a general surgery residency program, particularly an assessment of behavior and motivation. The hypothesis was that such information could contribute to a more objective analysis of how well an applicant might fit into a program and its culture, and therefore improve the residents' chance for success and reduce the attrition rate. Methods: Applications were screened by the Program Director and selection committee according to departmental standards. Those applicants who were offered the opportunity for interview were asked to complete an on-line survey that assessed behavioral style, intrinsic motivators, and dimensional balance. The assessment is known as the TriMetrix Personal Talent Report (TriMetrix; Target Training International, Ltd; TTI, Phoenix, AZ). An initial job benchmark was constructed from data based on surveys of current residents and faculty, and from interviews held with Subject Matter Experts (SMEs) familiar with the demands of the position and the qualities necessary for success. Resident selection was carried out as has been done historically within the program. An independent contractor, who was blinded to the ranking by the program, presented an applicant list based on the candidate's Personal Talent Reports against the job benchmark. The ranking lists were then compared. Results: Of the 535 applications received, interviews were offered to 112, and 77 interviews were conducted. Seventy-five on-line TriMetrix (TTI) assessments were completed by the applicants. Rank lists developed independently by the program and by the consultant were compared, with obvious discrepancies. Overall there was little concordance between the two lists, suggesting that the TriMetrix (TTI) assessment measures something different. The job benchmark identified different behavioral styles among the most successful of the current residents, suggesting that a diversity of natural behavior does not preclude success in the program. Conclusions: Objective data regarding an individual's personal style can be used to identify applicants who match with a training program's job benchmark. Factors predictive of success specific to our program include an independent desire for knowledge, a commitment to the service of others, and a view of the world with a sense of direction and purpose. The diversity of our current residents' styles as identified by this analysis indicates that many different individuals can be successful. While the instrument can provide important information regarding elements that contribute to successful performance, it is weighted as one essential component utilized in conjunction with other tools. © 2011 Association of Program Directors in Surgery.</t>
  </si>
  <si>
    <t>Bell R.M., Fann S.A., Morrison J.E., Lisk J.R.</t>
  </si>
  <si>
    <t>Journal of Surgical Education</t>
  </si>
  <si>
    <t>https://www.scopus.com/inward/record.uri?eid=2-s2.0-80054120791&amp;doi=10.1016%2fj.jsurg.2011.05.016&amp;partnerID=40&amp;md5=9378ccd9371c19cfdb50dd4519d4cd90</t>
  </si>
  <si>
    <t>Department of Surgery, University of South Carolina School of Medicine and Palmetto Health, Columbia, SC 29203, United States; Lisk Associates, Lexington, KY, United States</t>
  </si>
  <si>
    <t>Bell, R.M., Department of Surgery, University of South Carolina School of Medicine and Palmetto Health, Columbia, SC 29203, United States; Fann, S.A., Department of Surgery, University of South Carolina School of Medicine and Palmetto Health, Columbia, SC 29203, United States; Morrison, J.E., Department of Surgery, University of South Carolina School of Medicine and Palmetto Health, Columbia, SC 29203, United States; Lisk, J.R., Lisk Associates, Lexington, KY, United States</t>
  </si>
  <si>
    <t>Bell, R.M.; Department of Surgery, , Columbia, SC 29203, United States; email: richard.bell@uscmed.sc.edu</t>
  </si>
  <si>
    <t>Development and evaluation of a web-based drill system to master basic math formulae using a new interactive math input method</t>
  </si>
  <si>
    <t>10.1007/978-3-662-44199-2_93</t>
  </si>
  <si>
    <t>56319504200;56272333100;</t>
  </si>
  <si>
    <t>We present a web-based drill system named DIGITAL-WORK which assists learners in mastering some basic formulae using a new interactive math input method. This method enables users to format any mathematical expression in WYSIWYG by converting from colloquial style strings in fuzzy mathematical notation. The purpose of this study is to investigate whether students can smoothly learn basic math formulae with our drill system. In this paper, we report the results from a field survey that was conducted in an actual remedial math class of 20 junior high school students. The results of our survey showed that 85% of them found this system to be more fun than learning on paper. © 2014 Springer-Verlag.</t>
  </si>
  <si>
    <t>Shirai S., Fukui T.</t>
  </si>
  <si>
    <t>https://www.scopus.com/inward/record.uri?eid=2-s2.0-84905814850&amp;doi=10.1007%2f978-3-662-44199-2_93&amp;partnerID=40&amp;md5=7ddb0da6732bdf2b68d9e4993a4bc973</t>
  </si>
  <si>
    <t>Graduate School of Human Environmental Sciences, Mukogawa Women's University, Japan; Mukogawa Women's University, Japan</t>
  </si>
  <si>
    <t>Shirai, S., Graduate School of Human Environmental Sciences, Mukogawa Women's University, Japan; Fukui, T., Mukogawa Women's University, Japan</t>
  </si>
  <si>
    <t>Development and evaluation of quality control methods in a microtask crowdsourcing platform</t>
  </si>
  <si>
    <t>10.1527/tjsai.29.503</t>
  </si>
  <si>
    <t>56374727000;7401949024;6603722508;</t>
  </si>
  <si>
    <t>Open Crowdsourcing platforms like Amazon Mechanical Turk provide an attractive solution for process of high volume tasks with low costs. However problems of quality control is still of major interest. In this paper, we design a private crowdsourcing system, where we can devise methods for the quality control. For the quality control, we introduce four worker selection methods, each of which we call preprocessing filtering, real-time filtering, post processing filtering, and guess processing filtering. These methods include a novel approach, which utilizes a collaborative filtering technique in addition to a basic approach of initial training or gold standard data. For an use case, we have built a very large dictionary, which is necessary for Large Vocabulary Continuous Speech Recognition and Text-to-Speech. We show how the system yields high quality results for some difficult tasks of word extraction, part-of-speech tagging, and pronunciation prediction to build a large dictionary. © 2014, Japanese Society for Artificial Intelligence. All rights reserved.</t>
  </si>
  <si>
    <t>Ashikawa M., Kawamura T., Ohsuga A.</t>
  </si>
  <si>
    <t>Transactions of the Japanese Society for Artificial Intelligence</t>
  </si>
  <si>
    <t>https://www.scopus.com/inward/record.uri?eid=2-s2.0-84907505999&amp;doi=10.1527%2ftjsai.29.503&amp;partnerID=40&amp;md5=8af6e3946f6c370793c2b08a7e8009bd</t>
  </si>
  <si>
    <t>Corporate Research and Development Center, Toshiba Corporation, Japan; Graduate School of Information Systems, The University of Electro-Communications, Japan</t>
  </si>
  <si>
    <t>Ashikawa, M., Corporate Research and Development Center, Toshiba Corporation, Japan; Kawamura, T., Corporate Research and Development Center, Toshiba Corporation, Japan; Ohsuga, A., Graduate School of Information Systems, The University of Electro-Communications, Japan</t>
  </si>
  <si>
    <t>Ashikawa, M.; Corporate Research and Development Center, Japan</t>
  </si>
  <si>
    <t>Digital Imaging in Pathology</t>
  </si>
  <si>
    <t>10.1016/j.cll.2012.07.006</t>
  </si>
  <si>
    <t>55418524100;7005166926;7004273180;</t>
  </si>
  <si>
    <t>Advances in computing speed and power have made a pure digital work flow for pathology. New technologies such as whole slide imaging (WSI), multispectral image analysis, and algorithmic image searching seem poised to fundamentally change the way in which pathology is practiced. This article provides the practicing pathologist with a primer on digital imaging. Building on this primer, the current state of the art concerning digital imaging in pathology is described. Emphasis is placed on WSI and its ramifications, showing how it is useful in both anatomic (histology, cytopathology) and clinical (hematopathology) pathology. Future trends are also extrapolated. © 2012 Elsevier Inc.</t>
  </si>
  <si>
    <t>Park S., Pantanowitz L., Parwani A.V.</t>
  </si>
  <si>
    <t>Clinics in Laboratory Medicine</t>
  </si>
  <si>
    <t>https://www.scopus.com/inward/record.uri?eid=2-s2.0-84867679508&amp;doi=10.1016%2fj.cll.2012.07.006&amp;partnerID=40&amp;md5=8d9db148f29c8f2404e321c686190a2b</t>
  </si>
  <si>
    <t>Division of Pathology Informatics, Department of Pathology, UPMC Shadyside Hospital, University of Pittsburgh Medical Center, Suite 201, 5150 Centre Avenue, Pittsburgh, PA 15232, United States</t>
  </si>
  <si>
    <t>Park, S., Division of Pathology Informatics, Department of Pathology, UPMC Shadyside Hospital, University of Pittsburgh Medical Center, Suite 201, 5150 Centre Avenue, Pittsburgh, PA 15232, United States; Pantanowitz, L., Division of Pathology Informatics, Department of Pathology, UPMC Shadyside Hospital, University of Pittsburgh Medical Center, Suite 201, 5150 Centre Avenue, Pittsburgh, PA 15232, United States; Parwani, A.V., Division of Pathology Informatics, Department of Pathology, UPMC Shadyside Hospital, University of Pittsburgh Medical Center, Suite 201, 5150 Centre Avenue, Pittsburgh, PA 15232, United States</t>
  </si>
  <si>
    <t>Park, S.; Division of Pathology Informatics, Suite 201, 5150 Centre Avenue, Pittsburgh, PA 15232, United States; email: parks3@upmc.edu</t>
  </si>
  <si>
    <t>Digital work in the transport sector: In search of the employer</t>
  </si>
  <si>
    <t>10.13169/workorgalaboglob.12.2.0023</t>
  </si>
  <si>
    <t>57225443395;57205471679;</t>
  </si>
  <si>
    <t>This article analyses two of the major digital platforms dealing with transport: Uber and FlixBus. It reconstructs the nature of these platforms as transportation companies and studies their structures. It finds that such companies can assume ‘trilateral’ or ‘quadrilateral’ structures, depending on the subjects involved, with different consequences for labour relations. Following on from this, the article investigates the applicability of labour law in such structures, searching for an employment relationship in ‘trilateral’ structures and identifying the real employer in ‘quadrilateral’ structures. © Antonio Loffredo and Marco Tufo, 2018.</t>
  </si>
  <si>
    <t>Loffredo A., Tufo M.</t>
  </si>
  <si>
    <t>https://www.scopus.com/inward/record.uri?eid=2-s2.0-85060171941&amp;doi=10.13169%2fworkorgalaboglob.12.2.0023&amp;partnerID=40&amp;md5=0216c76092a686874fb28c0236756b94</t>
  </si>
  <si>
    <t>University of Siena, Italy</t>
  </si>
  <si>
    <t>Loffredo, A., University of Siena, Italy; Tufo, M., University of Siena, Italy</t>
  </si>
  <si>
    <t>Digital x-ray systems. Part 1. An introduction to DX technologies and an evaluation of cassette DX systems.</t>
  </si>
  <si>
    <t>Film is an effective means for capturing diagnostic information. However, film images cannot be easily integrated into a digital communication system. Thus, as the number of healthcare facilities moving toward a digital work-flow increases, so too does the interest in digital x-ray (DX) systems, which produce images as collections of digital data, rather than as static films. In this first part of our two-part series on DX systems, we present an overview of DX technology, we review the cost factors to consider when deciding whether to invest in DX technology, we offer guidance to help facilities determine which type of system--cassette or cassetteless--will best meet their needs, and we evaluate cassette DX systems from four suppliers. Part 2 of our series, which features an evaluation of cassetteless DX systems, will be published later this year. Our testing of DX systems identifies whether a system can provide at least the same amount of diagnostic information as a screen-film system while significantly increasing the efficiency of operations. We found all the evaluated systems to be effective, but we rank the systems from two suppliers above the others because their user interfaces allow easier and more efficient operation.</t>
  </si>
  <si>
    <t>2001</t>
  </si>
  <si>
    <t>Health devices</t>
  </si>
  <si>
    <t>https://www.scopus.com/inward/record.uri?eid=2-s2.0-0035430459&amp;partnerID=40&amp;md5=1ab6fb0676d6645d61a88fdb1f0ac3cd</t>
  </si>
  <si>
    <t>Discovering the influencing factors of physical gig economy usage: Quantitative approach on clients9 perception</t>
  </si>
  <si>
    <t>10.1109/ICACSIS47736.2019.8979958</t>
  </si>
  <si>
    <t>57215532294;6507465058;57188979780;56119154900;</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</si>
  <si>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 © 2019 IEEE.</t>
  </si>
  <si>
    <t>Auditianto A., Sucahyo Y.G., Gandhi A., Ruldeviyani Y.</t>
  </si>
  <si>
    <t>2019 International Conference on Advanced Computer Science and Information Systems, ICACSIS 2019</t>
  </si>
  <si>
    <t>https://www.scopus.com/inward/record.uri?eid=2-s2.0-85081082332&amp;doi=10.1109%2fICACSIS47736.2019.8979958&amp;partnerID=40&amp;md5=934c7120405cd1dedc914d202cf68d46</t>
  </si>
  <si>
    <t>Universitas Indonesia, Faculty of Computer Science, Depok, Indonesia</t>
  </si>
  <si>
    <t>Auditianto, A., Universitas Indonesia, Faculty of Computer Science, Depok, Indonesia; Sucahyo, Y.G., Universitas Indonesia, Faculty of Computer Science, Depok, Indonesia; Gandhi, A., Universitas Indonesia, Faculty of Computer Science, Depok, Indonesia; Ruldeviyani, Y., Universitas Indonesia, Faculty of Computer Science, Depok, Indonesia</t>
  </si>
  <si>
    <t>Disentangling orthorexia nervosa from healthy eating and other eating disorder symptoms: Relationships with clinical impairment, comorbidity, and self-reported food choices</t>
  </si>
  <si>
    <t>10.1016/j.appet.2018.12.006</t>
  </si>
  <si>
    <t>56117537600;56995518100;57105546600;</t>
  </si>
  <si>
    <t>Background: Orthorexia nervosa (ON) is characterized by obsessions about eating healthily and rigid adherence to a perceived healthy diet. This study uses the Eating Habits Questionnaire to investigate the relationship of ON symptoms with self-reported food intake, eating-related impairment, obsessive compulsive disorder symptoms (OCD), gender, and BMI while controlling for other eating disordered symptoms. The aim of this study is to provide further evidence for the construct of ON as distinct from other forms of disordered eating. Methods: The sample consisted of 449 adults recruited on Amazon's Mechanical Turk. Self-reported symptoms of currently recognized eating disorders (anorexia and bulimia nervosa, AN/BN, avoidant/restrictive food intake disorder, ARFID) were statistically controlled in correlational analyses and MANCOVA exploring the relationship of ON domains to comorbidity, eating behavior, gender, and weight. Results: Confirmatory factor analysis supported a three-factor solution for the EHQ, with factors representing normative healthy eating behaviors (“behaviors”), positive feelings associated with healthy eating (“feelings”), and interference/problems from rigid healthy eating (“problems”). Overall ON symptoms were more strongly related to AN/BN than to ARFID. Of the subscales, only Problems was related to other eating disorder symptomatology. Controlling for other eating disorder symptoms, overall ON symptomatology was not related to clinical impairment from eating or OCD, although it was related to higher self-reported intake of fruits/vegetables and lower intake of discretionary foods. When other eating disordered symptoms and ON domains were statistically controlled, Problems was related to clinical eating impairment, OCD symptoms, and higher intake of both fruits/vegetables and discretionary foods. Conclusions: The Problems scale of the EHQ appears to capture disordered eating symptomatology that is distinct from other eating disorders and from normative healthy eating behaviors, consistent with descriptions of ON. © 2018 Elsevier Ltd</t>
  </si>
  <si>
    <t>Zickgraf H.F., Ellis J.M., Essayli J.H.</t>
  </si>
  <si>
    <t>https://www.scopus.com/inward/record.uri?eid=2-s2.0-85058797320&amp;doi=10.1016%2fj.appet.2018.12.006&amp;partnerID=40&amp;md5=efb272a0e501ce5bbe372135e0e61fb5</t>
  </si>
  <si>
    <t>University of Chicago Pritzker School of Medicine, United States; East Carolina University, United States; Penn State College of Medicine, Penn State Health Milton S. Hershey Medical Center, United States</t>
  </si>
  <si>
    <t>Zickgraf, H.F., University of Chicago Pritzker School of Medicine, United States, Penn State College of Medicine, Penn State Health Milton S. Hershey Medical Center, United States; Ellis, J.M., East Carolina University, United States; Essayli, J.H., Penn State College of Medicine, Penn State Health Milton S. Hershey Medical Center, United States</t>
  </si>
  <si>
    <t>Zickgraf, H.F.5841 S. Maryland Ave., MC 3077, United States; email: zickgraf@uchicago.edu</t>
  </si>
  <si>
    <t>Disgust images and nonprofit children’s causes</t>
  </si>
  <si>
    <t>10.1108/JSOCM-01-2017-0003</t>
  </si>
  <si>
    <t>6603195215;24337613700;</t>
  </si>
  <si>
    <t>Purpose: The purpose of this study is to examine the usefulness of disgust imagery in a nonprofit organization context as one part of the broader social marketing paradigm. Design/methodology/approach: An experiment was conducted in the child victim segment of the market using disgust and nondisgust images. Data were collected from 167 subjects via Amazon’s Mechanical Turk. Dependent variables measured included donation intention, empathy and guilt. Control variables included religiosity and attitude toward helping others, along with demographic factors. Findings: MANCOVA results indicate that while the disgust image evoked greater empathy, the nondisgust image evoked greater donation intentions. The disgust image had a nonsignificant effect on the level of guilt felt by subjects. Mediation analysis indicates that empathy serves as a competitive mediator for the disgust–donation intentions relationship. Research limitations/implications: This study examines the effects of disgust images on empathy, guilt and donation intentions. Although the findings indicate a contrasting effect of disgust on empathy and donation intentions, more research is needed to validate these findings with diverse samples, contexts and various donation behavior measures. Regarding charitable giving, the current findings suggest caution should be used when using disgust images to evoke empathy, as the tactic may also negatively affect donation intentions. Social implications: Nonprofits that effectively apply marketing can change individual and community behavior. To continue their work, they rely on donors and volunteers. This study provides social marketers. Originality/value: Past research has demonstrated the effectiveness of disgust appeals for deterring behavior. In contrast, this research provides unique insights into disgust appeals as a catalyst for motivating behavior. This research provides a much-needed empirical evaluation of disgust appeals in a social marketing context. © 2018, © Emerald Publishing Limited.</t>
  </si>
  <si>
    <t>Allred A.T., Amos C.</t>
  </si>
  <si>
    <t>Journal of Social Marketing</t>
  </si>
  <si>
    <t>https://www.scopus.com/inward/record.uri?eid=2-s2.0-85035058419&amp;doi=10.1108%2fJSOCM-01-2017-0003&amp;partnerID=40&amp;md5=e4964bf1689d6e5258e4eb0184057451</t>
  </si>
  <si>
    <t>Department of Business Administration, John B. Goddard School of Business and Economics, Weber State University, Ogden, UT, United States</t>
  </si>
  <si>
    <t>Allred, A.T., Department of Business Administration, John B. Goddard School of Business and Economics, Weber State University, Ogden, UT, United States; Amos, C., Department of Business Administration, John B. Goddard School of Business and Economics, Weber State University, Ogden, UT, United States</t>
  </si>
  <si>
    <t>Allred, A.T.; Department of Business Administration, United States; email: aallred@weber.edu</t>
  </si>
  <si>
    <t>Disparate interactions: An algorithm-in-the-loop analysis of fairness in risk assessments</t>
  </si>
  <si>
    <t>10.1145/3287560.3287563</t>
  </si>
  <si>
    <t>57193629269;57196267342;</t>
  </si>
  <si>
    <t>Despite vigorous debates about the technical characteristics of risk assessments being deployed in the U.S. criminal justice system, remarkably little research has studied how these tools aect actual decision-making processes. After all, risk assessments do not make denitive decisions-they inform judges, who are the nal arbiters. It is therefore essential that considerations of risk assessments be informed by rigorous studies of how judges actually interpret and use them. This paper takes a rst step toward such research on human interactions with risk assessments through a controlled experimental study on Amazon Mechanical Turk. We found several behaviors that call into question the supposed ecacy and fairness of risk assessments: our study participants 1) underperformed the risk assessment even when presented with its predictions, 2) could not eectively evaluate the accuracy of their own or the risk assessment's predictions, and 3) exhibited behaviors fraught with “disparate interactions,” whereby the use of risk assessments led to higher risk predictions about black defendants and lower risk predictions about white defendants. These results suggest the need for a new “algorithm-in-the-loop”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 © 2019 Copyright held by the owner/author(s).</t>
  </si>
  <si>
    <t>Green B., Chen Y.</t>
  </si>
  <si>
    <t>FAT* 2019 - Proceedings of the 2019 Conference on Fairness, Accountability, and Transparency</t>
  </si>
  <si>
    <t>https://www.scopus.com/inward/record.uri?eid=2-s2.0-85061829582&amp;doi=10.1145%2f3287560.3287563&amp;partnerID=40&amp;md5=6e420159fb3910cf73c5a9ece4f30abd</t>
  </si>
  <si>
    <t>Harvard University, United States</t>
  </si>
  <si>
    <t>Green, B., Harvard University, United States; Chen, Y., Harvard University, United States</t>
  </si>
  <si>
    <t>Disruptive Digital Innovation and Sharing Economy in Hospitality and Tourism Destination</t>
  </si>
  <si>
    <t>10.1088/1757-899X/495/1/012006</t>
  </si>
  <si>
    <t>56113028900;57209575556;</t>
  </si>
  <si>
    <t>The emergence of digital technology and disruptive innovation has been accepted globally by different manufacturing and service industries. As a follow up to the disruptive digital innovations, this paper is aimed to provide insights into the promise and peril of disruptive digital innovation and sharing economy, in particular as it affects the hospitality and tourism services. An extensive review of existing literature on digital technology, disruptive digital innovation, collaborative economy, smartphone technology, social media, internet and mobile applications, business-to-business (B2B), peer to peer (P2P), business-to-customer (B2C) from the perspective of hospitality, leisure, events management, travel and tourism were conducted and content analysed. Findings suggest digital technology and sharing economy provide ten disruptive innovative promises in the hospitality and tourism destinations. Similarly, study shows digital innovation and sharing economy have several destructive or perils that are specific to hospitality and tourism industry. Implications of these findings to business stakeholders in hospitality and tourism, consumers (customers, tourists, guests, travellers), and industry policy makers are discussed. © Published under licence by IOP Publishing Ltd.</t>
  </si>
  <si>
    <t>Adeyinka-Ojo S., Abdullah S.K.</t>
  </si>
  <si>
    <t>IOP Conference Series: Materials Science and Engineering</t>
  </si>
  <si>
    <t>https://www.scopus.com/inward/record.uri?eid=2-s2.0-85067892640&amp;doi=10.1088%2f1757-899X%2f495%2f1%2f012006&amp;partnerID=40&amp;md5=f2c7795e109e2701d73ca186e72aceb7</t>
  </si>
  <si>
    <t>Department of Marketing, Faculty of Business, Curtin University Malaysia, Malaysia</t>
  </si>
  <si>
    <t>Adeyinka-Ojo, S., Department of Marketing, Faculty of Business, Curtin University Malaysia, Malaysia; Abdullah, S.K., Department of Marketing, Faculty of Business, Curtin University Malaysia, Malaysia</t>
  </si>
  <si>
    <t>Adeyinka-Ojo, S.; Department of Marketing, Malaysia; email: samuel.adey@curtin.edu.my</t>
  </si>
  <si>
    <t>Distributed Cognition: Toward a New Foundation for Human-Computer Interaction Research</t>
  </si>
  <si>
    <t>10.1145/353485.353487</t>
  </si>
  <si>
    <t>6602750503;25950046300;6602906173;</t>
  </si>
  <si>
    <t>We are quickly passing through the historical moment when people work in front of a single computer, dominated by a small CRT and focused on tasks involving only local information. Networked computers are becoming ubiquitous and are playing increasingly significant roles in our lives and in the basic infrastructures of science, business, and social interaction. For human-computer interaction to advance in the new millennium we need to better understand the emerging dynamic of interaction in which the focus task is no longer confined to the desktop but reaches into a complex networked world of information and computer-mediated interactions. We think the theory of distributed cognition has a special role to play in understanding interactions between people and technologies, for its focus has always been on whole environments: what we really do in them and how we coordinate our activity in them. Distributed cognition provides a radical reorientation of how to think about designing and supporting human-computer interaction. As a theory it is specifically tailored to understanding interactions among people and technologies. In this article we propose distributed cognition as a new foundation for human-computer interaction, sketch an integrated research framework, and use selections from our earlier work to suggest how this framework can provide new opportunities in the design of digital work materials. © 2000, ACM. All rights reserved.</t>
  </si>
  <si>
    <t>Hollan J., Hutchins E., Kirsh D.</t>
  </si>
  <si>
    <t>ACM Transactions on Computer-Human Interaction</t>
  </si>
  <si>
    <t>https://www.scopus.com/inward/record.uri?eid=2-s2.0-84988425770&amp;doi=10.1145%2f353485.353487&amp;partnerID=40&amp;md5=e1056a5ee2fa0656894134bad03cdecb</t>
  </si>
  <si>
    <t>Distributed Cognition and HCI Laboratory, Department of Cognitive Science, University of California, La Jolla, CA 92093-0515, San Diego, United States</t>
  </si>
  <si>
    <t>Hollan, J., Distributed Cognition and HCI Laboratory, Department of Cognitive Science, University of California, La Jolla, CA 92093-0515, San Diego, United States; Hutchins, E., Distributed Cognition and HCI Laboratory, Department of Cognitive Science, University of California, La Jolla, CA 92093-0515, San Diego, United States; Kirsh, D., Distributed Cognition and HCI Laboratory, Department of Cognitive Science, University of California, La Jolla, CA 92093-0515, San Diego, United States</t>
  </si>
  <si>
    <t>Distributed Privacy Preserving Platform for Ridesharing Services</t>
  </si>
  <si>
    <t>10.1007/978-3-030-24907-6_1</t>
  </si>
  <si>
    <t>57210197508;23135704400;</t>
  </si>
  <si>
    <t>The sharing economy fundamentally changed business and social interactions. Interestingly, while in essence this form of collaborative economy allows people to directly interact with each other, it is also at the source of the advent of eminently centralized platforms and marketplaces, such as Uber and Airbnb. One may be concerned with the risk of giving the control of a market to a handful of actors that may unilaterally fix their own rules and threaten privacy. In this paper, we propose a decentralized ridesharing architecture which gives the opportunity to shift from centralized platforms to decentralized ones. Digital communications in our proposition are specifically designed to preserve data privacy and avoid any form of centralization. We integrate a blockchain in our proposition to guarantee the essential roles of a marketplace, but in a decentralized way. Our numerical evaluation quantifies the advantages and limits of decentralization and our Android implementation shows the feasibility of our proposition. © Springer Nature Switzerland AG 2019.</t>
  </si>
  <si>
    <t>Semenko Y., Saucez D.</t>
  </si>
  <si>
    <t>https://www.scopus.com/inward/record.uri?eid=2-s2.0-85069885515&amp;doi=10.1007%2f978-3-030-24907-6_1&amp;partnerID=40&amp;md5=fce7e7a93cb5953fd9d907cc52c77b93</t>
  </si>
  <si>
    <t>Université Côte d’Azur, Inria, France</t>
  </si>
  <si>
    <t>Semenko, Y., Université Côte d’Azur, Inria, France; Saucez, D., Université Côte d’Azur, Inria, France</t>
  </si>
  <si>
    <t>Saucez, D.; Université Côte d’AzurFrance; email: damien.saucez@inria.fr</t>
  </si>
  <si>
    <t>Distributed requirements specification: Minimizing the effect of geographic dispersioni</t>
  </si>
  <si>
    <t>7102509214;13612977400;6701628401;6504379395;</t>
  </si>
  <si>
    <t>Requirements specification is an important phase of the requirements engineering area in the software development process. In geographically distributed environments, this phase becomes critical due to the characteristics of the distributed development (physical and temporal distance, cultural differences, trust, communication, etc). The objective of this paper is to analyze the requirements specification in geographically distributed environments, identifying the main challenges and proposing a process to minimize the impacts of this scenario. The results are based on a case study carried on a multinational organization that has software development units in multiple countries, and was recognized as a SW-CMM level 2 organization in 2 of them. The results suggest the necessity to adapt the requirements specification phase to the distributed software development environment, addressing the main existing challenges. The problems and the solutions adopted are presented, aiming to relate these solutions to the organization distribution level, considering where the project team, users and customers are located.</t>
  </si>
  <si>
    <t>Lopes L., Prikladnicki R., Audy J.L.N., Majdenbaum A.</t>
  </si>
  <si>
    <t>ICEIS 2004 - Proceedings of the Sixth International Conference on Enterprise Information Systems</t>
  </si>
  <si>
    <t>https://www.scopus.com/inward/record.uri?eid=2-s2.0-8444222369&amp;partnerID=40&amp;md5=eafc0ad09f6fbb3d57cff0c49c2e6edd</t>
  </si>
  <si>
    <t>School of Computer Science, PUCRS, Porto Alegre, Rio Grande do Sul, Brazil</t>
  </si>
  <si>
    <t>Lopes, L., School of Computer Science, PUCRS, Porto Alegre, Rio Grande do Sul, Brazil; Prikladnicki, R., School of Computer Science, PUCRS, Porto Alegre, Rio Grande do Sul, Brazil; Audy, J.L.N., School of Computer Science, PUCRS, Porto Alegre, Rio Grande do Sul, Brazil; Majdenbaum, A.</t>
  </si>
  <si>
    <t>Lopes, L.; School of Computer Science, , Porto Alegre, Rio Grande do Sul, Brazil; email: lteixeira@inf.pucrs.br</t>
  </si>
  <si>
    <t>Distributed software development in an offshore outsourcing project: A case study of source code evolution and quality</t>
  </si>
  <si>
    <t>10.1016/j.infsof.2015.12.005</t>
  </si>
  <si>
    <t>54418751100;22433869800;57127309800;</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</si>
  <si>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 © 2015 Elsevier B.V. All rights reserved.</t>
  </si>
  <si>
    <t>Jabangwe R., Šmite D., Hessbo E.</t>
  </si>
  <si>
    <t>https://www.scopus.com/inward/record.uri?eid=2-s2.0-84958643339&amp;doi=10.1016%2fj.infsof.2015.12.005&amp;partnerID=40&amp;md5=7397b62868f599d970d6f40e39e90b5f</t>
  </si>
  <si>
    <t>Lero, Irish Software Engineering Research Centre, Regulated Software Research Centre, Dundalk Institute of Technology, Ireland; Department of Software Engineering, Blekinge Institute of Technology, Karlskrona, Sweden; HCL Technologies, Växjö, Sweden</t>
  </si>
  <si>
    <t>Jabangwe, R., Lero, Irish Software Engineering Research Centre, Regulated Software Research Centre, Dundalk Institute of Technology, Ireland, Department of Software Engineering, Blekinge Institute of Technology, Karlskrona, Sweden; Šmite, D., Department of Software Engineering, Blekinge Institute of Technology, Karlskrona, Sweden; Hessbo, E., HCL Technologies, Växjö, Sweden</t>
  </si>
  <si>
    <t>Jabangwe, R.; Lero, Ireland; email: ronald.jabangwe@bth.se</t>
  </si>
  <si>
    <t>District of columbia court of appeals reverses national labor relations board and finds delivery drivers are independent contractors</t>
  </si>
  <si>
    <t>35172497700;</t>
  </si>
  <si>
    <t>Tbis article analyzes why the United States Court of Ajipealsfor the District of Columbia and the National Labor Relations Board reached opposite conclusions in a case involving the employment status of FedEx drivers and it discusses the implications of the FedEx case on future employee/contractor determinations. © 2009 Aspen Publishers.</t>
  </si>
  <si>
    <t>Bosley J.S.</t>
  </si>
  <si>
    <t>Employee Relations Law Journal</t>
  </si>
  <si>
    <t>https://www.scopus.com/inward/record.uri?eid=2-s2.0-84892777802&amp;partnerID=40&amp;md5=ae331607815381de199e47e2def2f318</t>
  </si>
  <si>
    <t>Labor and Employment Department, Winston and Strawn LLP, United States</t>
  </si>
  <si>
    <t>Bosley, J.S., Labor and Employment Department, Winston and Strawn LLP, United States</t>
  </si>
  <si>
    <t>Bosley, J.S.; Labor and Employment Department, United States; email: jbosley@winston.com</t>
  </si>
  <si>
    <t>Do Americans Want a Right to be Forgotten? Estimating Public Support for Digital Erasure Legislation</t>
  </si>
  <si>
    <t>10.1002/poi3.174</t>
  </si>
  <si>
    <t>55171224300;56661499900;</t>
  </si>
  <si>
    <t>With the increasing salience of online privacy as an issue, concern has focused on the ability to delete outdated personal information. In response, several varieties of a law mimicking the European “Right to be Forgotten” have been introduced at the state and federal level in the United States, despite limited measurement of public opinion on the issue. Because policymakers and courts often consider public opinion when deciding what laws to make and how to interpret those laws, public opinion is an important consideration when thinking about the potential for a right to be forgotten in the United States. In order to determine likely levels of support, as well as what predicts public backing of such a law, we analyze survey data collected from Amazon's Mechanical Turk (N = 1,380). We find that women are more likely to support such a law, as are those who are particularly concerned about online privacy, and those who express greatest confidence in Google. Those who think the government is too large are less likely to support such legislation. This suggests a complicated road forward for a Right to be Forgotten in the United States, with coalitions of support crossing traditional political boundaries. © 2018 Policy Studies Organization</t>
  </si>
  <si>
    <t>Bode L., Jones M.L.</t>
  </si>
  <si>
    <t>Policy and Internet</t>
  </si>
  <si>
    <t>https://www.scopus.com/inward/record.uri?eid=2-s2.0-85050662245&amp;doi=10.1002%2fpoi3.174&amp;partnerID=40&amp;md5=a25f9f99deea44b18386ad5ca4b95ebe</t>
  </si>
  <si>
    <t>Communication, Culture, and Technology, Georgetown University, Washington, DC, United States; Communication, Culture, and Technology, Georgetown University, Washington, DC, United States</t>
  </si>
  <si>
    <t>Bode, L., Communication, Culture, and Technology, Georgetown University, Washington, DC, United States; Jones, M.L., Communication, Culture, and Technology, Georgetown University, Washington, DC, United States</t>
  </si>
  <si>
    <t>DOCS: Domain-aware crowdsourcing system</t>
  </si>
  <si>
    <t>10.14778/3025111.3025118</t>
  </si>
  <si>
    <t>57189985436;55800543300;7201955416;</t>
  </si>
  <si>
    <t>Crowdsourcing is a new computing paradigm that harnesses human effort to solve computer-hard problems, such as entity resolution and photo tagging. The crowd (or workers) have diverse qualities and it is important to effectively model a worker's quality. Most of existing worker models assume that workers have the same quality on different tasks. In practice, however, tasks belong to a variety of diverse domains, and workers have different qualities on different domains. For example, a worker who is a basketball fan should have better quality for the task of labeling a photo related to 'Stephen Curry' than the one related to 'Leonardo DiCaprio'. In this paper, we study how to leverage domain knowledge to accurately model a worker's quality. We examine using knowledge base (KB), e.g., Wikipedia and Freebase, to detect the domains of tasks and workers. We develop Domain Vector Estimation, which analyzes the domains of a task with respect to the KB. We also study Truth Inference, which utilizes the domain-sensitive worker model to accurately infer the true answer of a task. We design an Online Task Assignment algorithm, which judiciously and efficiently assigns tasks to appropriate workers. To implement these solutions, we have built DOCS, a system deployed on the Amazon Mechanical Turk. Experiments show that DOCS performs much better than the state-of-the-art approaches.</t>
  </si>
  <si>
    <t>Zheng Y., Li G., Cheng R.</t>
  </si>
  <si>
    <t>https://www.scopus.com/inward/record.uri?eid=2-s2.0-85020440647&amp;doi=10.14778%2f3025111.3025118&amp;partnerID=40&amp;md5=c78185ea216c2e134fbf69e947d99470</t>
  </si>
  <si>
    <t>Department of Computer Science, The University of Hong Kong, Hong Kong; Department of Computer Science, Tsinghua University, China</t>
  </si>
  <si>
    <t>Zheng, Y., Department of Computer Science, The University of Hong Kong, Hong Kong; Li, G., Department of Computer Science, Tsinghua University, China; Cheng, R., Department of Computer Science, The University of Hong Kong, Hong Kong</t>
  </si>
  <si>
    <t>Zheng, Y.; Department of Computer Science, Hong Kong; email: ydzheng2@cs.hku.hk</t>
  </si>
  <si>
    <t>Does distance still matter?</t>
  </si>
  <si>
    <t>10.1002/spip.401</t>
  </si>
  <si>
    <t>16040981900;57211179834;57192297254;</t>
  </si>
  <si>
    <t>Nowadays, distributed development is common in software development. Besides many advantages, research in the last decade has consistently found that distribution has a negative impact on collaboration in general, and communication delay and time to complete tasks in particular. Adapted processes, practices, and tools are demanded to overcome these challenges. We report on an empirical study of communication structures and delay in IBM's distributed development project Jazz. The Jazz project explicitly focuses on distributed collaboration and has adapted processes and tools to overcome known challenges. We explore the effect of distance on communication and task completion time and use social network analysis to obtain insights about the collaboration in the Jazz project. We discuss our findings in the light of existing literature on distributed collaboration and delays. Copyright © 2008 John Wiley &amp; Sons, Ltd.</t>
  </si>
  <si>
    <t>Wolf T., Nguyen T., Damian D.</t>
  </si>
  <si>
    <t>https://www.scopus.com/inward/record.uri?eid=2-s2.0-56749165230&amp;doi=10.1002%2fspip.401&amp;partnerID=40&amp;md5=e403fea6c009232ea38ccd8efce189be</t>
  </si>
  <si>
    <t>Software Engineering Interaction Lab (SEGAL), Department of Computer Science, University of Victoria, Victoria, BC, Canada; Department of Computer Science, University of Victoria, Victoria, BC, Canada</t>
  </si>
  <si>
    <t>Wolf, T., Software Engineering Interaction Lab (SEGAL), Department of Computer Science, University of Victoria, Victoria, BC, Canada, Department of Computer Science, University of Victoria, Victoria, BC, Canada; Nguyen, T., Software Engineering Interaction Lab (SEGAL), Department of Computer Science, University of Victoria, Victoria, BC, Canada; Damian, D., Software Engineering Interaction Lab (SEGAL), Department of Computer Science, University of Victoria, Victoria, BC, Canada</t>
  </si>
  <si>
    <t>Wolf, T.; Department of Computer Science, , Victoria, BC, Canada; email: timowolf@uvic.ca</t>
  </si>
  <si>
    <t>Does service marketing enhance supplier and customer contact in the gig economy era? Case analysis from malaysian SMEs women entrepreneurs</t>
  </si>
  <si>
    <t>55386082200;56275481000;57216754472;57192817973;26642631300;</t>
  </si>
  <si>
    <t>This research explores the effectiveness of service marketing strategies among Malay women entrepreneurs and how this service marketing strategy affects business performance. The study employs a qualitative method by interviewing a women entrepreneur and their strategies to compete in the market. However, with the right strategy, it is also a time full of opportunities for entrepreneurs. Descriptive statistics and interviews were used to analyse the data. The finding of this research revealed the significant role of information and communication technology (ICT) and social media in their service marketing effectiveness. Online business and social media have brought a significant improvement in the net income of these entrepreneurs, some by manifold. Therefore, women entrepreneurs must adapt to the use of ICT and social media in order to improve the sustainability of their businesses, as well as to attract the younger generation. © 2020 Exceling Tech Pub, UK.</t>
  </si>
  <si>
    <t>Md Isa F., Jaganathan M., Sern V.Y.C., Ahmdon M.A.S., Nafi S.N.M.</t>
  </si>
  <si>
    <t>International Journal of Supply Chain Management</t>
  </si>
  <si>
    <t>https://www.scopus.com/inward/record.uri?eid=2-s2.0-85084416886&amp;partnerID=40&amp;md5=c03237f16c8201ece5bb1d83a53c4d3f</t>
  </si>
  <si>
    <t>Taylor's Business School, Taylor's University, Malaysia; School of Business Management, College of Business, Universiti Utara Malaysia, Malaysia</t>
  </si>
  <si>
    <t>Md Isa, F., Taylor's Business School, Taylor's University, Malaysia; Jaganathan, M., School of Business Management, College of Business, Universiti Utara Malaysia, Malaysia; Sern, V.Y.C., Taylor's Business School, Taylor's University, Malaysia; Ahmdon, M.A.S., Taylor's Business School, Taylor's University, Malaysia; Nafi, S.N.M., School of Business Management, College of Business, Universiti Utara Malaysia, Malaysia</t>
  </si>
  <si>
    <t>Dogfooding: 'Eating our Own Dog Food' in a Large Global Mobile Industry Player</t>
  </si>
  <si>
    <t>10.1109/ICGSE.2019.00024</t>
  </si>
  <si>
    <t>57210980671;57210977344;57210982551;</t>
  </si>
  <si>
    <t>Dogfooding refers to the idea of 'eating your own dog food'. In one of the largest players in the mobile industry, dogfooders use prototypes of unreleased products as their primary mobile device. This entails using on a daily basis both hardware and software that is still under development and constant changes. For the past 4 years, Dogfooding has been a fundamental piece of the product development process for a number of reasons. Firstly, it allows us to cover unpredicted test scenarios that traditional software quality assurance methodologies do not. Moreover, the usage of prototypes in more consumer-like environments provides valuable data from which we can assess key aspects of the product such as battery life and connectivity. Lastly, dogfooders serve as a user base for collecting feedback on more subjective topics such as design and usability also allowing to detect regional idiosyncrasies that regular test cases would not. Despite all of these benefits, running the operations of Dogfooding is far from trivial. We have a total of over 4,000 dogfooders spread across 4 different sites in United States, Brazil, India and China. The Dogfooding programs need to run in sync with the development of new products as well as over-the-air upgrades. This paper aims to present the processes, tools and people responsible for running Dogfooding operations on a global scale. We'll also cover the lessons learned throughout the past 4 years and challenges that still lie ahead of us. © 2019 IEEE.</t>
  </si>
  <si>
    <t>Tanaka E., Silva E., Tordin G.</t>
  </si>
  <si>
    <t>https://www.scopus.com/inward/record.uri?eid=2-s2.0-85072107140&amp;doi=10.1109%2fICGSE.2019.00024&amp;partnerID=40&amp;md5=c174d2efb2dd9536c7d50c3ca554cb96</t>
  </si>
  <si>
    <t>Dogfooding, Motorola Mobility, Campinas, Brazil</t>
  </si>
  <si>
    <t>Tanaka, E., Dogfooding, Motorola Mobility, Campinas, Brazil; Silva, E., Dogfooding, Motorola Mobility, Campinas, Brazil; Tordin, G., Dogfooding, Motorola Mobility, Campinas, Brazil</t>
  </si>
  <si>
    <t>Domain-independent quality measures for crowd truth disagreement</t>
  </si>
  <si>
    <t>56414801600;57204250351;7004043830;23499748000;</t>
  </si>
  <si>
    <t>Using crowdsourcing platforms such as CrowdFlower and Amazon Mechanical Turk for gathering human annotation data has become now a mainstream process. Such crowd involvement can reduce the time needed for solving an annotation task and with the large number of annotators can be a valuable source of annotation diversity. In order to harness this diversity across domains it is critical to establish a common ground for quality assessment of the results. In this paper we report our experiences for optimizing and adapting crowdsourcing microtasks across domains considering three aspects: (1) the micro-task template, (2) the quality measurements for the workers judgments and (3) the overall annotation workflow. We performed experiments in two domains, i.e. events extraction (MRP project) and medical relations extraction (Crowd-Watson project). The results confirm our main hypothesis that some aspects of the evaluation metrics can be defined in a domainindependent way for micro-tasks that assess the parameters to harness the diversity of annotations and the useful disagreement between workers. This paper focuses specifically on the parameters relevant for the 'event extraction' ground-truth data collection and demonstrates their reusability from the medical domain. Copyright © 2013 for the individual papers by the papers' authors.</t>
  </si>
  <si>
    <t>Inel O., Aroyo L., Welty C., Sips R.-J.</t>
  </si>
  <si>
    <t>https://www.scopus.com/inward/record.uri?eid=2-s2.0-84946202046&amp;partnerID=40&amp;md5=eecd0c5be347a0e464cb94452a6095d0</t>
  </si>
  <si>
    <t>VU University, Amsterdam, Netherlands; IBM Watson Research Center, New York, United States; CAS Benelux, IBM Netherlands, Netherlands</t>
  </si>
  <si>
    <t>Inel, O., VU University, Amsterdam, Netherlands, CAS Benelux, IBM Netherlands, Netherlands; Aroyo, L., VU University, Amsterdam, Netherlands; Welty, C., IBM Watson Research Center, New York, United States; Sips, R.-J., CAS Benelux, IBM Netherlands, Netherlands</t>
  </si>
  <si>
    <t>Donation appeals rewarding fitness in the context of CSR initiatives</t>
  </si>
  <si>
    <t>10.1108/JSM-12-2017-0421</t>
  </si>
  <si>
    <t>57196123011;7003754716;54924348800;</t>
  </si>
  <si>
    <t>Purpose: The purpose of this study is to examine the impact of the donation appeals requiring physical effort on consumers’ willingness to donate in the context of corporate social responsibility (CSR) initiatives. Moreover, this paper investigates the moderating role of donation proximity on consumers’ attitudinal and behavioral responses to CSR initiatives. Design/methodology/approach: Two studies were conducted using a 2 (donation appeal type: fitness vs general) by 2 (donation proximity: nearby vs faraway) between-subjects experimental design. The authors recruited 234 participants from Qualtrics’ online panel (Study 1) and 122 participants from Amazon’s Mechanical Turk (Study 2). Findings: The study findings indicate that the consumers tend to perceive the company to be more socially responsible (i.e. perceived CSR engagement) when the donation appeal involves local beneficiaries and rewards fitness (i.e. fitness appeal). The positive impact of the fitness appeal was not observed when the donation involved faraway targets. Additionally, the mediation analyses indicate that the perceived CSR engagement has a spillover effect on behavioral outcomes (e.g. willingness to donate) when the initiative supports local beneficiaries. Originality/value: This study provides several theoretical contributions to the services marketing literature by examining the role of fitness appeals in enhancing perceived CSR engagement and investigating the moderating role of donation proximity on customers’ willingness to donate to charities. © 2019, Emerald Publishing Limited.</t>
  </si>
  <si>
    <t>Choi S., Mattila A.S., Quadri-Felitti D.</t>
  </si>
  <si>
    <t>Journal of Services Marketing</t>
  </si>
  <si>
    <t>https://www.scopus.com/inward/record.uri?eid=2-s2.0-85063957009&amp;doi=10.1108%2fJSM-12-2017-0421&amp;partnerID=40&amp;md5=b793f83fe7fd0717e2fd65ede9ea77a9</t>
  </si>
  <si>
    <t>The Pennsylvania State University, University Park, PA, United States</t>
  </si>
  <si>
    <t>Choi, S., The Pennsylvania State University, University Park, PA, United States; Mattila, A.S., The Pennsylvania State University, University Park, PA, United States; Quadri-Felitti, D., The Pennsylvania State University, University Park, PA, United States</t>
  </si>
  <si>
    <t>Choi, S.; The Pennsylvania State UniversityUnited States; email: szc216@psu.edu</t>
  </si>
  <si>
    <t>Dynamic learning-based mechanism design for dependent valued exchange economies</t>
  </si>
  <si>
    <t>10.1145/1963192.1963350</t>
  </si>
  <si>
    <t>37104503400;</t>
  </si>
  <si>
    <t>Learning private information from multiple strategic agents poses challenge in many Internet applications. Sponsored search auctions, crowdsourcing, Amazon's mechanical turk, various online review forums are examples where we are interested in learning true values of the advertisers or true opinion of the reviewers. The common thread in these decision problems is that the optimal outcome depends on the private information of all the agents, while the decision of the outcome can be chosen only through reported information which may be manipulated by the strategic agents. The other important trait of these applications is their dynamic nature. The advertisers in an online auction or the users of mechanical turk arrive and depart, and when present, interact with the system repeatedly, giving the opportunity to learn their types. Dynamic mechanisms, which learn from the past interactions and make present decisions depending on the expected future evolution of the game, has been shown to improve performance over repeated versions of static mechanisms. In this paper, we will survey the past and current state-of-the-art dynamic mechanisms and analyze a new setting where the agents consist of buyers and sellers, known as exchange economies, and agents having value interdependency, which are relevant in applications illustrated through examples. We show that known results of dynamic mechanisms with independent value settings cannot guarantee certain desirable properties in this new significantly different setting. In the future work, we propose to analyze similar settings with dynamic types and population. © 2011 ACM.</t>
  </si>
  <si>
    <t>Nath S.</t>
  </si>
  <si>
    <t>Proceedings of the 20th International Conference Companion on World Wide Web, WWW 2011</t>
  </si>
  <si>
    <t>https://www.scopus.com/inward/record.uri?eid=2-s2.0-79955141582&amp;doi=10.1145%2f1963192.1963350&amp;partnerID=40&amp;md5=ae196b7bae8906cf4da1eeffac6b41bd</t>
  </si>
  <si>
    <t>Department of Computer Science and Automation, Indian Institute of Science, Bangalore 560 012, India</t>
  </si>
  <si>
    <t>Nath, S., Department of Computer Science and Automation, Indian Institute of Science, Bangalore 560 012, India</t>
  </si>
  <si>
    <t>Nath, S.; Department of Computer Science and Automation, , Bangalore 560 012, India; email: swaprava@gmail.com</t>
  </si>
  <si>
    <t>Dynamics of HR practices in disruptive and innovative business models in an emerging economy</t>
  </si>
  <si>
    <t>10.36941/ajis-2019-0005</t>
  </si>
  <si>
    <t>57204617187;57204629059;</t>
  </si>
  <si>
    <t>Ethical issues in recruitment/selection and training/development, protection of employees rights concerning fair and adequate compensation, employee engagement, Flexi-working, maternity and paternity pay, job security and compulsory holiday pay are the issues that continue to bug web and platform-based businesses in emerging economies. While there are elements of infusion of HR and technology in practice and application, the role and perception of contemporary HR practices and practitioners in steaming the effects of disruptive business models on the afore-mentioned HR issues and constructs are both foggy and fussy. This research paper, therefore, focuses on understanding the HR practices of disruptive business models and the challenges of balancing between ethics/best practices in HR and organisational bottom-lines. The research exploits exploratory data from secondary sources and gathers primary evidence from major stakeholders in Nigeria emerging web and platform-based businesses, otherwise know as the 'gig economy'. The study focused, specifically, on Uber and Taxify which are the two prominent transport platform networks operations in Nigeria. Samples were drawn from a large population consisting of 22 D&amp;I business executives, 150 D&amp;I operators, 5 industry regulator executives, and 500 service users. Sequel to the data collection, the quantitative data were analysed using SPSS to derive descriptive and regression analysis. This study found that despite changes in the business models of these organisations, particularly the human resource unit, new HR management systems such as the human capital management software for recruitment had also taken a new shape which is more effective and less expensive to organisations. The protection of employees' rights seemed to have been a critical issue leading to ethical concerns. Also, as a result of the 'gig' nature of the industry, it is challenging for organisations to measure the basis for maternity and paternity pay. This research recommends the need for ensuring fairness to all employees, eradicating tribal, age, gender and income discrimination, ensuring that the role of technology does not encroach into the privacy and flexibility of employees but rather to enhance their skills, development and overall competence. © 2019 Bashir Aboaba Mojeed-Sanni and Hakeem Adeniyi Ajonbadi. This is an open access article licensed under the Creative Commons Attribution-NonCommercial-NoDerivs License (http://creativecommons.org/licenses/by-nc-nd/3.0/).</t>
  </si>
  <si>
    <t>Mojeed-Sanni B.A., Ajonbadi H.A.</t>
  </si>
  <si>
    <t>Academic Journal of Interdisciplinary Studies</t>
  </si>
  <si>
    <t>https://www.scopus.com/inward/record.uri?eid=2-s2.0-85083004659&amp;doi=10.36941%2fajis-2019-0005&amp;partnerID=40&amp;md5=106c0cfb4362b469859d22964bca7589</t>
  </si>
  <si>
    <t>Business Division, Higher Colleges of Technology, United Arab Emirates</t>
  </si>
  <si>
    <t>Mojeed-Sanni, B.A., Business Division, Higher Colleges of Technology, United Arab Emirates; Ajonbadi, H.A., Business Division, Higher Colleges of Technology, United Arab Emirates</t>
  </si>
  <si>
    <t>Effect of Three Types of Activities on Improving Mood and Enjoyment in a Brief Online Depression Study</t>
  </si>
  <si>
    <t>10.1155/2020/1387832</t>
  </si>
  <si>
    <t>57214749456;57201774189;57207206760;57214750569;7202035926;35078041400;</t>
  </si>
  <si>
    <t>The goal of this study is to determine whether different types of activities have a differential effect on mood and enjoyment. Methods. A secondary analysis of the data of 754 participants (M age = 35.8 years, SD age = 12.6; M PHQ-9 = 7.6, SD PHQ-9 = 7.0) who were recruited via Amazon Mechanical Turk (AMT) to participate in a brief online study. Participants completed an activity log and reported retrospectively about three types of activities (Pleasant, Meaningful, and Mastery) at baseline and one week follow-up. A mixed effects ANOVA was used to analyze the effect of weekly activities on mood, and a temporal analysis model was used to test for the effect of daily activities on enjoyment. Results. Participants who reported higher number of Mastery activities for the week had higher mood ratings at follow-up (F (1, 39) = 4.89, p &amp;lt;. 05), regardless of depression status at baseline. Pleasant and Meaningful activities did not have a significant effect on mood. Daily engagement in any of the three activity types increased enjoyment of that day (Pleasant: B = 0.312, t (1811) = 46.73, p &amp;lt;. 001; Meaningful: B = 0.254, t (1814) = 11.65, p &amp;lt;. 001; Mastery: B = 0.290, t (1816) = 13.07, p &amp;lt;. 001[. Conclusions. These findings contribute to the understanding on how brief behavioral activation interventions delivered online may influence participants' mood and enjoyment, and can inform clinicians' recommendations about types of activities. © 2020 Caitriona Tilden et al.</t>
  </si>
  <si>
    <t>Tilden C., Bond M.H., Stephens T.N., Lyckberg T., Munõz R.F., Bunge E.L.</t>
  </si>
  <si>
    <t>Depression Research and Treatment</t>
  </si>
  <si>
    <t>https://www.scopus.com/inward/record.uri?eid=2-s2.0-85079062945&amp;doi=10.1155%2f2020%2f1387832&amp;partnerID=40&amp;md5=04f28d401cfa5a93474b644b9895f51a</t>
  </si>
  <si>
    <t>Palo Alto UniversityCA, United States; Children and Adolescents Psychotherapy and Technology (CAPT) LabCA, United States; Institute for International Internet Interventions for Health (i4Health)CA, United States</t>
  </si>
  <si>
    <t>Tilden, C., Palo Alto UniversityCA, United States, Children and Adolescents Psychotherapy and Technology (CAPT) LabCA, United States; Bond, M.H., Palo Alto UniversityCA, United States, Institute for International Internet Interventions for Health (i4Health)CA, United States; Stephens, T.N., Palo Alto UniversityCA, United States, Children and Adolescents Psychotherapy and Technology (CAPT) LabCA, United States; Lyckberg, T., Palo Alto UniversityCA, United States, Institute for International Internet Interventions for Health (i4Health)CA, United States; Munõz, R.F., Palo Alto UniversityCA, United States, Institute for International Internet Interventions for Health (i4Health)CA, United States; Bunge, E.L., Palo Alto UniversityCA, United States, Children and Adolescents Psychotherapy and Technology (CAPT) LabCA, United States, Institute for International Internet Interventions for Health (i4Health)CA, United States</t>
  </si>
  <si>
    <t>Bunge, E.L.; Palo Alto UniversityUnited States; email: ebunge@paloaltou.edu</t>
  </si>
  <si>
    <t>Effective communication and coordination: A comparison of requirements validation techniques in GSD</t>
  </si>
  <si>
    <t>57200850755;24437607500;</t>
  </si>
  <si>
    <t>Requirements validation activities ensure that the developers are working with a set of requirements that are a true representative of users' intents. These techniques face challenges when employed in the global context. This paper describes a four-dimensional framework developed to analyze the communication and coordination problems faced by requirements validation techniques in a global environment. Based upon this framework, it performs a comparative analysis to identify strengths and weaknesses of the techniques in a global context and provides recommendations to increase their effectiveness in a distributed setup.</t>
  </si>
  <si>
    <t>Munir A., Ikram N.</t>
  </si>
  <si>
    <t>Proceedings of the IASTED International Conference on Software Engineering, SE 2009</t>
  </si>
  <si>
    <t>https://www.scopus.com/inward/record.uri?eid=2-s2.0-74549176519&amp;partnerID=40&amp;md5=07a3ea5e37885ef1e321a285e0c113fc</t>
  </si>
  <si>
    <t>Department of Computer Science, International Islamic University, Islamabad, Pakistan</t>
  </si>
  <si>
    <t>Munir, A., Department of Computer Science, International Islamic University, Islamabad, Pakistan; Ikram, N., Department of Computer Science, International Islamic University, Islamabad, Pakistan</t>
  </si>
  <si>
    <t>Munir, A.; Department of Computer Science, , Islamabad, Pakistan; email: asma_mnr@hotmail.com</t>
  </si>
  <si>
    <t>Effectiveness of Large-Scale, State-Sponsored Language and Literacy Professional Development on Early Childhood Educator Outcomes</t>
  </si>
  <si>
    <t>10.1080/19345747.2016.1270378</t>
  </si>
  <si>
    <t>26028416500;6603726662;7103078359;56830440000;56507379500;55583890600;57192064198;55905177900;</t>
  </si>
  <si>
    <t>The current study investigated the effectiveness of large-scale, state-sponsored language and literacy professional development (PD) intended to improve early childhood educators' knowledge, beliefs, and practices. PD was offered in a real-world context and delivered at-scale across the state, implemented by an independent contractor. Educators (n = 535) were randomly assigned to participate in one of three types of PD: 30 hrs of language and literacy PD presented in a workshop format, 30 hrs of language and literacy PD plus monthly coaching, or PD on alternative topics (comparison). Baseline and outcome measures were collected by an independent research team to determine PD effectiveness. Growth curve analyses showed little change in educator outcomes over an 18-month period, with no differences among conditions or evidence of moderation by educator or classroom characteristics. Explanations for lack of PD impacts and the importance of evaluating educational investments are discussed. © 2017 Taylor &amp; Francis Group, LLC.</t>
  </si>
  <si>
    <t>Piasta S.B., Justice L.M., O'Connell A.A., Mauck S.A., Weber-Mayrer M., Schachter R.E., Farley K.S., Spear C.F.</t>
  </si>
  <si>
    <t>Journal of Research on Educational Effectiveness</t>
  </si>
  <si>
    <t>https://www.scopus.com/inward/record.uri?eid=2-s2.0-85015714210&amp;doi=10.1080%2f19345747.2016.1270378&amp;partnerID=40&amp;md5=5f32ceaf2feb6676bd28cb2d111f38c3</t>
  </si>
  <si>
    <t>The Ohio State University, Columbus, OH, United States</t>
  </si>
  <si>
    <t>Piasta, S.B., The Ohio State University, Columbus, OH, United States; Justice, L.M., The Ohio State University, Columbus, OH, United States; O'Connell, A.A., The Ohio State University, Columbus, OH, United States; Mauck, S.A., The Ohio State University, Columbus, OH, United States; Weber-Mayrer, M., The Ohio State University, Columbus, OH, United States; Schachter, R.E., The Ohio State University, Columbus, OH, United States; Farley, K.S., The Ohio State University, Columbus, OH, United States; Spear, C.F., The Ohio State University, Columbus, OH, United States</t>
  </si>
  <si>
    <t>Piasta, S.B.; Department of Teaching and Learning, United States; email: piasta.1@osu.edu</t>
  </si>
  <si>
    <t>Effects of online brand community on value creation practices: Mediating effects of community loyalty</t>
  </si>
  <si>
    <t>10.24052/jbrmr/v12is03/art-06</t>
  </si>
  <si>
    <t>57201678283;</t>
  </si>
  <si>
    <t>Online brand community refers to a specialized, non-geographically bound, online community, based on social communications and relationships among brand's consumers. Consciousness of kind, rituals and traditions, and moral responsibility are the three markers of brand community. The present study tested the effects of online brand community by modeling the three community markers as formative indicators of online brand community. The effects of online brand community on four value creation practices, social networking, impression management, community engagement, and brand use, and the mediating effects of community loyalty were tested. Participants (N=370) of this study were members of online brand commun ities. A survey-based empirical study was conducted using Amazon Mechanical Turk. Data were analyzed through structural equation modeling. Test results showed that,among the three brand community markers,consciousness of kind and rituals and traditions are formative indicators of online brand community while moral responsibility is not. The effects of online brand community on all four value creation practices were revealed. Test results showed that online brand community has the strongest effects on soc ial networking, moderate effects on community engagement and brand use, and the weakest effects on impression management practices. Community loyalty was found to fully mediate the relationship between online brand community and value creation practices. Implications for theory, practice, and future research are discussed. © 2017, Academy of Business and Retail Management Research.</t>
  </si>
  <si>
    <t>Ha Y.</t>
  </si>
  <si>
    <t>Journal of Business and Retail Management Research</t>
  </si>
  <si>
    <t>https://www.scopus.com/inward/record.uri?eid=2-s2.0-85045702792&amp;doi=10.24052%2fjbrmr%2fv12is03%2fart-06&amp;partnerID=40&amp;md5=3e20dec39fb67b669f96cd059a0af1ae</t>
  </si>
  <si>
    <t>College of Business, Kwangwoon University, South Korea</t>
  </si>
  <si>
    <t>Ha, Y., College of Business, Kwangwoon University, South Korea</t>
  </si>
  <si>
    <t>Ha, Y.; College of Business, South Korea; email: hys@kw.ac.kr</t>
  </si>
  <si>
    <t>Efficacy of distributed pair programming</t>
  </si>
  <si>
    <t>10.1109/ICIET.2010.5625667</t>
  </si>
  <si>
    <t>36699313100;26431533600;</t>
  </si>
  <si>
    <t>In the last decade, there has been a vast growth in global software development. It has lead to opportunities around the world for people to collaborate and communicate timelessly. Consequently, people are working in the same team while being geographically dispersed around the globe. Working in software development practices like pair programming while being placed at different locations has lead to many questions being raised regarding the success and efficacy of the methodology in comparison to co-located pair programming. During the course of this research, the author performed a survey of research studies and experiments conducted to analyze the effects of behavioral factors (e.g. pair satisfaction, pair enjoyment, and pair confidence) of programmers on the overall productivity of the pair and quality of the product. The data collected from the studies is further analyzed to study the correlation between pair behavioral factors and the productivity of the pair and quality of work performed. ©2010 IEEE.</t>
  </si>
  <si>
    <t>Bandukda M., Nasir Z.</t>
  </si>
  <si>
    <t>2010 International Conference on Information and Emerging Technologies, ICIET 2010</t>
  </si>
  <si>
    <t>https://www.scopus.com/inward/record.uri?eid=2-s2.0-78650545034&amp;doi=10.1109%2fICIET.2010.5625667&amp;partnerID=40&amp;md5=7b813ade05b02e2e2cf5eca789e1ec02</t>
  </si>
  <si>
    <t>Department of Computer Science, National University of Computer and Emerging Sciences, Pakistan</t>
  </si>
  <si>
    <t>Bandukda, M., Department of Computer Science, National University of Computer and Emerging Sciences, Pakistan; Nasir, Z., Department of Computer Science, National University of Computer and Emerging Sciences, Pakistan</t>
  </si>
  <si>
    <t>Bandukda, M.; Department of Computer Science, Pakistan; email: maryambandukda@gmail.com</t>
  </si>
  <si>
    <t>Efficient crowdsourcing for multi-class labeling</t>
  </si>
  <si>
    <t>10.1145/2494232.2465761</t>
  </si>
  <si>
    <t>7007021839;55625388200;7402371516;</t>
  </si>
  <si>
    <t>Crowdsourcing systems like Amazon's Mechanical Turk have emerged as an effective large-scale human-powered platform for performing tasks in domains such as image classification, data entry, recommendation, and proofreading. Since workers are low-paid (a few cents per task) and tasks performed are monotonous, the answers obtained are noisy and hence unreliable. To obtain reliable estimates, it is essential to utilize appropriate inference algorithms (e.g. Majority voting) coupled with structured redundancy through task assignment. Our goal is to obtain the best possible trade-off between reliability and redundancy. In this paper, we consider a general probabilistic model for noisy observations for crowd-sourcing systems and pose the problem of minimizing the total price (i.e. redundancy) that must be paid to achieve a target overall reliability. Concretely, we show that it is possible to obtain an answer to each task correctly with probability 1 - ε as long as the redundancy per task is O((K/q) log(K/ε)), where each task can have any of the K distinct answers equally likely, q is the crowd-quality parameter that is defined through a probabilistic model. Further, effectively this is the best possible redundancy-accuracy trade-off any system design can achieve. Such a single-parameter crisp characterization of the (order-)optimal trade-off between redundancy and reliability has various useful operational consequences. Further, we analyze the robustness of our approach in the presence of adversarial workers and provide a bound on their influence on the redundancy-accuracy trade-off. Unlike recent prior work [13, 17, 19], our result applies to non-binary (i.e. K &gt; 2) tasks. In effect, we utilize algorithms for binary tasks (with inhomogeneous error model unlike that in [13, 17, 19]) as key subroutine to obtain answers for K-ary tasks. Technically, the algorithm is based on low-rank approximation of weighted adjacency matrix for a random regular bipartite graph, weighted according to the answers provided by the workers. Copyright © 2013 ACM.</t>
  </si>
  <si>
    <t>Karger D.R., Oh S., Shah D.</t>
  </si>
  <si>
    <t>Performance Evaluation Review</t>
  </si>
  <si>
    <t>https://www.scopus.com/inward/record.uri?eid=2-s2.0-84880241088&amp;doi=10.1145%2f2494232.2465761&amp;partnerID=40&amp;md5=bf781737f58ce7d0b6bf2b13a214f7c4</t>
  </si>
  <si>
    <t>Massachusetts Institute of Technology, United States; University of Illinios at Urbana-Champaign, United States</t>
  </si>
  <si>
    <t>Karger, D.R., Massachusetts Institute of Technology, United States; Oh, S., University of Illinios at Urbana-Champaign, United States; Shah, D., Massachusetts Institute of Technology, United States</t>
  </si>
  <si>
    <t>Massachusetts Institute of TechnologyUnited States</t>
  </si>
  <si>
    <t>Efficiently learning the accuracy of labeling sources for selective sampling</t>
  </si>
  <si>
    <t>10.1145/1557019.1557053</t>
  </si>
  <si>
    <t>23392141000;35609950300;57194307511;</t>
  </si>
  <si>
    <t>Many scalable data mining tasks rely on active learning to provide the most useful accurately labeled instances. However, what if there are multiple labeling sources ('oracles' or 'experts') with different but unknown reliabilities? With the recent advent of inexpensive and scalable online annotation tools, such as Amazon's Mechanical Turk, the labeling process has become more vulnerable to noise - and without prior knowledge of the accuracy of each individual labeler. This paper addresses exactly such a challenge: how to jointly learn the accuracy of labeling sources and obtain the most informative labels for the active learning task at hand minimizing total labeling effort. More specifically, we present IEThresh (Interval Estimate Threshold) as a strategy to intelligently select the expert(s) with the highest estimated labeling accuracy. IEThresh estimates a confidence interval for the reliability of each expert and filters out the one(s) whose estimated upper-bound confidence interval is below a threshold - which jointly optimizes expected accuracy (mean) and need to better estimate the expert's accuracy (variance). Our framework is flexible enough to work with a wide range of different noise levels and outperforms baselines such as asking all available experts and random expert selection. In particular, IEThresh achieves a given level of accuracy with less than half the queries issued by allexperts labeling and less than a third the queries required by random expert selection on datasets such as the UCI mushroom one. The results show that our method naturally balances exploration and exploitation as it gains knowledge of which experts to rely upon, and selects them with increasing frequency. Copyright 2009 ACM.</t>
  </si>
  <si>
    <t>Donmez P., Carbonell J.G., Schneider J.</t>
  </si>
  <si>
    <t>Proceedings of the ACM SIGKDD International Conference on Knowledge Discovery and Data Mining</t>
  </si>
  <si>
    <t>https://www.scopus.com/inward/record.uri?eid=2-s2.0-70350681833&amp;doi=10.1145%2f1557019.1557053&amp;partnerID=40&amp;md5=c00188a4b2868fd8da1202967e216729</t>
  </si>
  <si>
    <t>Language Technologies Institute, Carnegie Mellon University, Pittsburgh, PA 15213, United States; Robotics Institute, Carnegie Mellon University, Pittsburgh, PA 15213, United States</t>
  </si>
  <si>
    <t>Donmez, P., Language Technologies Institute, Carnegie Mellon University, Pittsburgh, PA 15213, United States; Carbonell, J.G., Language Technologies Institute, Carnegie Mellon University, Pittsburgh, PA 15213, United States; Schneider, J., Robotics Institute, Carnegie Mellon University, Pittsburgh, PA 15213, United States</t>
  </si>
  <si>
    <t>Donmez, P.; Language Technologies Institute, , Pittsburgh, PA 15213, United States; email: pinard@cs.cmu.edu</t>
  </si>
  <si>
    <t>Effort estimation in global software development projects: Preliminary results from a survey</t>
  </si>
  <si>
    <t>10.1109/ICGSE.2010.22</t>
  </si>
  <si>
    <t>36170942900;6701628401;13612977400;</t>
  </si>
  <si>
    <t>Global Software Development (GSD) has intensified over the past years. Many reasons drove this development practice rise, where reducing development costs can be highlighted. In this context, software development effort estimation plays a very important role to achieve this goal of reducing costs. Once the effort required to develop software is a key component of the cost of development, the correct application of effort estimation techniques is crucial for the success of these projects. However, the current set of effort estimation techniques and models have been used without a clear definition of what has to be different when such techniques or models are used in the context of GSD projects. This paper presents preliminary results towards the understanding of effort estimation in GSD projects. The results found indicate that the teams don't have clear criteria to guide the selection of an effort estimation technique for a certain project. In addition, we can not correlate the effort estimation technique being used and the number of locations involved in a distributed project. © 2010 IEEE.</t>
  </si>
  <si>
    <t>Lima Peixoto C.E., Audy J.L.N., Prikladnicki R.</t>
  </si>
  <si>
    <t>https://www.scopus.com/inward/record.uri?eid=2-s2.0-78149343581&amp;doi=10.1109%2fICGSE.2010.22&amp;partnerID=40&amp;md5=458971a4bfe943ca9342466fafee4c6d</t>
  </si>
  <si>
    <t>Computer Science School, PUCRS, Porto Alegre, Brazil</t>
  </si>
  <si>
    <t>Lima Peixoto, C.E., Computer Science School, PUCRS, Porto Alegre, Brazil; Audy, J.L.N., Computer Science School, PUCRS, Porto Alegre, Brazil; Prikladnicki, R., Computer Science School, PUCRS, Porto Alegre, Brazil</t>
  </si>
  <si>
    <t>Lima Peixoto, C. E.; Computer Science School, , Porto Alegre, Brazil; email: carlos.peixoto.001@acad.pucrs.br</t>
  </si>
  <si>
    <t>Emotion in music task at MediaEval 2014</t>
  </si>
  <si>
    <t>56410808700;55218558400;57188866370;</t>
  </si>
  <si>
    <t>Emotional expression is an important property of music. Its emotional characteristics are thus especially natural for music indexing and recommendation. The Emotion in Music task addresses the task of automatic music emotion prediction and is held for the second year in 2014. As compared to previous year, we modified the task by offering a new feature development subtask, and releasing a new evaluation set. We employed a crowdsourcing approach to collect the data, using Amazon Mechanical Turk. The dataset consists of music licensed under Creative Commons from the Free Music Archive, which can be shared freely without restrictions. In this paper we describe the dataset collection, annotations, and evaluation criteria, as well as the two required and optional runs.</t>
  </si>
  <si>
    <t>Aljanaki A., Yang Y.-H., Soleymani M.</t>
  </si>
  <si>
    <t>https://www.scopus.com/inward/record.uri?eid=2-s2.0-84909979819&amp;partnerID=40&amp;md5=c3cf80d67747d446a14344dcff76c8e5</t>
  </si>
  <si>
    <t>Information and Computing Sciences, Utrecht University, Netherlands; Academia Sinica, Taipei, Taiwan; Computer Science Dept., University of Geneva, Switzerland</t>
  </si>
  <si>
    <t>Aljanaki, A., Information and Computing Sciences, Utrecht University, Netherlands; Yang, Y.-H., Academia Sinica, Taipei, Taiwan; Soleymani, M., Computer Science Dept., University of Geneva, Switzerland</t>
  </si>
  <si>
    <t>Aljanaki, A.; Information and Computing Sciences, Utrecht UniversityNetherlands</t>
  </si>
  <si>
    <t>Emotion Regulation as a Mediator of Self-Compassion and Depressive Symptoms in Recurrent Depression</t>
  </si>
  <si>
    <t>10.1007/s12671-018-1072-3</t>
  </si>
  <si>
    <t>57214564708;37046999300;6602078019;55767056400;</t>
  </si>
  <si>
    <t>A key challenge for people who struggle with major depressive disorder (MDD) is the prevention of recurrence, given that the risk of recurrence increases significantly with each episode. Recently, it has been suggested that low levels of self-compassion may be an enduring risk factor for depression recurrence; however, surprisingly little research has examined the pathways through which self-compassion and recurrent depressive symptoms are linked. Thus, our study examined how self-compassion may be protective in the recurrence of depressive symptoms through four emotion regulation strategies associated with depression: brooding rumination, experiential avoidance, cognitive reappraisal, and acceptance. A sample of 100 participants with a history of recurrent depression were recruited using Amazon’s Mechanical Turk (MTurk). Simple and multiple mediation analyses were conducted. Results from the simple mediation models indicated that higher levels of self-compassion were associated with lower depressive symptoms through brooding rumination, experiential avoidance, and acceptance, while cognitive reappraisal did not mediate the relation. The multiple mediation model revealed that brooding rumination was the only significant mediator, when controlling for other emotion regulation strategy variables. Theoretical implications are discussed. © 2018, Springer Science+Business Media, LLC, part of Springer Nature.</t>
  </si>
  <si>
    <t>Bakker A.M., Cox D.W., Hubley A.M., Owens R.L.</t>
  </si>
  <si>
    <t>Mindfulness</t>
  </si>
  <si>
    <t>https://www.scopus.com/inward/record.uri?eid=2-s2.0-85065818893&amp;doi=10.1007%2fs12671-018-1072-3&amp;partnerID=40&amp;md5=5243ac5cbb77491cd75c647fd7863524</t>
  </si>
  <si>
    <t>Clinical Psychology Program, University of British Columbia – Okanagan Campus, 3187 University Way, Kelowna, BC  V1V 1V7, Canada; Counselling Psychology Program, University of British Columbia, Vancouver, BC, Canada; Measurement, Evaluation, &amp; Research Methodology Program and Counselling Psychology Program, University of British Columbia, Vancouver, BC, Canada; Counseling Psychology and Community Services, University of North Dakota, Grand Forks, ND, United States</t>
  </si>
  <si>
    <t>Bakker, A.M., Clinical Psychology Program, University of British Columbia – Okanagan Campus, 3187 University Way, Kelowna, BC  V1V 1V7, Canada; Cox, D.W., Counselling Psychology Program, University of British Columbia, Vancouver, BC, Canada; Hubley, A.M., Measurement, Evaluation, &amp; Research Methodology Program and Counselling Psychology Program, University of British Columbia, Vancouver, BC, Canada; Owens, R.L., Counseling Psychology and Community Services, University of North Dakota, Grand Forks, ND, United States</t>
  </si>
  <si>
    <t>Bakker, A.M.; Clinical Psychology Program, 3187 University Way, Canada; email: ambakker@alumni.ubc.ca</t>
  </si>
  <si>
    <t>Emotion regulation mediates relationships between perceived childhood invalidation, emotional reactivity, and emotional eating</t>
  </si>
  <si>
    <t>10.1177/1359105320942860</t>
  </si>
  <si>
    <t>35232426500;57210733130;57213819831;57202081108;57192833760;57205221139;</t>
  </si>
  <si>
    <t>Dialectical Behavior Therapy (DBT) is informed by the biosocial model which suggests that emotional sensitivity and childhood invalidation interact to influence emotion dysregulation, leading to behavioral disorders. Although adapted DBT interventions have resulted in improved emotional eating, little research has been conducted to examine whether key aspects of the biosocial model apply to emotional eating. Adults (N = 258) were enrolled via Amazon’s Mechanical Turk. Three separate mediation analyses were performed using Hayes’ SPSS macro. Results showed that emotion regulation difficulties mediated the relationships between biosocial variables (i.e. perceived maternal and paternal invalidation and emotional reactivity) and emotional eating. © The Author(s) 2020.</t>
  </si>
  <si>
    <t>Braden A., Anderson L., Redondo R., Watford T., Emley E., Ferrell E.</t>
  </si>
  <si>
    <t>Journal of Health Psychology</t>
  </si>
  <si>
    <t>https://www.scopus.com/inward/record.uri?eid=2-s2.0-85088106586&amp;doi=10.1177%2f1359105320942860&amp;partnerID=40&amp;md5=ef0dd4128ac7710f3b6f0d7dc2a6836b</t>
  </si>
  <si>
    <t>Bowling Green State University, United States</t>
  </si>
  <si>
    <t>Braden, A., Bowling Green State University, United States; Anderson, L., Bowling Green State University, United States; Redondo, R., Bowling Green State University, United States; Watford, T., Bowling Green State University, United States; Emley, E., Bowling Green State University, United States; Ferrell, E., Bowling Green State University, United States</t>
  </si>
  <si>
    <t>Braden, A.; Bowling Green State UniversityUnited States; email: abbym@bgsu.edu</t>
  </si>
  <si>
    <t>Employee–employer relationships in the gig economy: Harmonizing and consolidating labor regulations and safety nets</t>
  </si>
  <si>
    <t>10.22381/CRLSJ10120188</t>
  </si>
  <si>
    <t>Following recent research (e.g. Harris, 2018; Lobel, 2017; Steinberger, 2018 etc.) on the possible suitability of current laws and regulations to gig work, I have identified and provided empirical evidence that they may not apply to independent contractors and cannot be adequately enforced in the digital economy. Using data from Bloomberg BNA, CIPD, McKinsey Institute, ONS, U.S. Census Bureau etc., I performed analyses and made estimates regarding reasons for partnering with a peer-to-peer ridesharing, taxi cab, food delivery, and transportation network company, number of U.S. employer and nonemployer business establishments, including percentage distribution, share of U.S. adults earning income in a given month via online platforms, and cumulative growth in overall employment, number of employees, and number of self-employed (UK). © 2018 by the Institute of Interdisciplinary Studies in Humanities and Social Sciences, New York.</t>
  </si>
  <si>
    <t>Popescu Ljungholm D.</t>
  </si>
  <si>
    <t>Contemporary Readings in Law and Social Justice</t>
  </si>
  <si>
    <t>https://www.scopus.com/inward/record.uri?eid=2-s2.0-85052653462&amp;doi=10.22381%2fCRLSJ10120188&amp;partnerID=40&amp;md5=33f714fdb1f82e532d55150f343c136e</t>
  </si>
  <si>
    <t>Popescu Ljungholm, D., University of Pitești, Romania</t>
  </si>
  <si>
    <t>Popescu Ljungholm, D.; University of PiteștiRomania; email: dopopescu@yahoo.com</t>
  </si>
  <si>
    <t>Enabling collaboration in distributed requirements management</t>
  </si>
  <si>
    <t>10.1109/MS.2006.123</t>
  </si>
  <si>
    <t>23002348500;13607233600;55729867300;</t>
  </si>
  <si>
    <t>A collaborative Eclipse-based global requirements tool, Egret has been developed for distributed requirements management. Significant difficulties posed while distributing stakeholders in the global software development projects have necessitated the development of the tool. About 30 practitioners involved in projects were interacted to understand their problems and to propose solutions for them. The tool will enable the geographically distributed practitioners to gain a consistent understanding of requirements or managing requirement change. A preliminary evaluation of the utility of the tool's usability and directions for further enhancement have also been proposed.</t>
  </si>
  <si>
    <t>Sinha V., Sengupta B., Chandra S.</t>
  </si>
  <si>
    <t>IEEE Software</t>
  </si>
  <si>
    <t>https://www.scopus.com/inward/record.uri?eid=2-s2.0-33947249729&amp;doi=10.1109%2fMS.2006.123&amp;partnerID=40&amp;md5=59cd757c5903353a69625bc7f7ed4b56</t>
  </si>
  <si>
    <t>IBM India Research Lab., India; IBM T.J. Watson Research Center, United States; IBM India Research Laboratory, Indian Inst. of Technology at Delhi, Block 1, Hauz Khas, New Delhi-110016, India; IBM T.J. Watson Research Center, 19 Skyline Dr., Hawthorne, NY 10532, United States</t>
  </si>
  <si>
    <t>Sinha, V., IBM India Research Lab., India, IBM India Research Laboratory, Indian Inst. of Technology at Delhi, Block 1, Hauz Khas, New Delhi-110016, India; Sengupta, B., IBM India Research Lab., India, IBM India Research Laboratory, Indian Inst. of Technology at Delhi, Block 1, Hauz Khas, New Delhi-110016, India; Chandra, S., IBM T.J. Watson Research Center, United States, IBM T.J. Watson Research Center, 19 Skyline Dr., Hawthorne, NY 10532, United States</t>
  </si>
  <si>
    <t>Sinha, V.; IBM India Research Laboratory, Block 1, Hauz Khas, New Delhi-110016, India; email: vibsinha@in.ibm.com</t>
  </si>
  <si>
    <t>Equal but not the same: Understanding the implicit relationship between persuasive images and text</t>
  </si>
  <si>
    <t>57201311491;56243902100;36445028000;</t>
  </si>
  <si>
    <t>Images and text in advertisements interact in complex, non-literal ways. The two channels are usually complementary, with each channel telling a different part of the story. Current approaches, such as image captioning methods, only examine literal, redundant relationships, where image and text show exactly the same content. To understand more complex relationships, we first collect a dataset of advertisement interpretations for whether the image and slogan in the same visual advertisement form a parallel (conveying the same message without literally saying the same thing) or nonparallelrelationship, with the help of workers recruited on Amazon Mechanical Turk. We develop a variety of features that capture the creativity of images and the specificity or ambiguity of text, as well as methods that analyze the semantics within and across channels. We show that our method outperforms standard image-text alignment approaches on predicting the parallel/non-parallel relationship between image and text. © 2018. The copyright of this document resides with its authors.</t>
  </si>
  <si>
    <t>Zhang M., Hwa R., Kovashka A.</t>
  </si>
  <si>
    <t>British Machine Vision Conference 2018, BMVC 2018</t>
  </si>
  <si>
    <t>https://www.scopus.com/inward/record.uri?eid=2-s2.0-85084017191&amp;partnerID=40&amp;md5=d7f497349c9aa406b8e5a18e09f14260</t>
  </si>
  <si>
    <t>Department of Computer Science, University of Pittsburgh, Pittsburgh, PA, United States</t>
  </si>
  <si>
    <t>Zhang, M., Department of Computer Science, University of Pittsburgh, Pittsburgh, PA, United States; Hwa, R., Department of Computer Science, University of Pittsburgh, Pittsburgh, PA, United States; Kovashka, A., Department of Computer Science, University of Pittsburgh, Pittsburgh, PA, United States</t>
  </si>
  <si>
    <t>Estimating everyday risk: Subjective judgments are related to objective risk, mapping of numerical magnitudes and previous experience</t>
  </si>
  <si>
    <t>10.1371/journal.pone.0207356</t>
  </si>
  <si>
    <t>55409865000;14422378000;</t>
  </si>
  <si>
    <t>We aimed to investigate individual differences that associate with peoples’ acute risk perception for activities such as walking and giving birth, including objective risk and the mapping of numerical magnitudes. The Amazon Mechanical Turk platform was used, with 284 participants recruited (40% female) ranging between 19 and 68 years. Participants had to indicate the positions of (1) the relative death risk of activities on a horizontal-line with ‘very low risk of death’ and ‘very high risk of death’ as left and right anchors respectively and (2), numerical magnitudes on a horizontal-line ranging 0–1000. The MicroMort framework was used to index acute risk of death (one/million chance of dying from an accident). Previous experience with the activities, handedness, along with risk propensity and unrealistic optimism were also measured. Linear mixed-effects modelling was used to investigate predictors of subjective MicroMort judgments. Individuals subjectively judged activities to be riskier if the activity was objectively riskier, if they over-estimated on the numerical task (more so for low-risk activities as compared to high-risk), or if they had not experienced the activity previously. The observed relationship between the number line task and everyday risk judgments is in keeping with the idea of a common magnitude representation system. In conclusion, individuals are able to discriminate between activities varying in risk in an absolute sense, however intuition for judging the relative differences in risk is poor. The relationship between the misjudging of both risks and numerical magnitudes warrants further investigation, as may inform the development of risk communication strategies. © 2018 Keage, Loetscher. This is an open access article distributed under the terms of the Creative Commons Attribution License, which permits unrestricted use, distribution, and reproduction in any medium, provided the original author and source are credited.</t>
  </si>
  <si>
    <t>Keage H.A.D., Loetscher T.</t>
  </si>
  <si>
    <t>https://www.scopus.com/inward/record.uri?eid=2-s2.0-85058017144&amp;doi=10.1371%2fjournal.pone.0207356&amp;partnerID=40&amp;md5=a10b9359a15016b3504428e440e939f8</t>
  </si>
  <si>
    <t>Cognitive Ageing and Impairment Neurosciences, School of Psychology, Social Work and Social Policy, University of South Australia, Adelaide, Australia</t>
  </si>
  <si>
    <t>Keage, H.A.D., Cognitive Ageing and Impairment Neurosciences, School of Psychology, Social Work and Social Policy, University of South Australia, Adelaide, Australia; Loetscher, T., Cognitive Ageing and Impairment Neurosciences, School of Psychology, Social Work and Social Policy, University of South Australia, Adelaide, Australia</t>
  </si>
  <si>
    <t>Keage, H.A.D.; Cognitive Ageing and Impairment Neurosciences, Australia; email: Hannah.Keage@unisa.edu.au</t>
  </si>
  <si>
    <t>Estimating utility values for vesicoureteral reflux in the general public using an online tool</t>
  </si>
  <si>
    <t>10.1016/j.jpurol.2014.02.014</t>
  </si>
  <si>
    <t>35484901600;56113545700;6603715961;7201514053;16508015800;6504447359;7403703738;7003939382;</t>
  </si>
  <si>
    <t>Introduction Cost-utility analyses are useful to study conditions without a widely accepted treatment algorithm; in pediatric urology, one such condition is vesicoureteral reflux (VUR). A necessary component of cost-utility analyses is to accurately calculate the "utility", a numerical surrogate of quality of life, for various health states. Our aims were to determine utility values for representative VUR health states and to verify the feasibility of a novel online platform for utility elicitation in order to reduce the time and expense of such analyses. Methods A cross-sectional survey of American adults was conducted using the time-trade-off (TTO) method. Respondents were recruited from an online work interface, Amazon's Mechanical Turk (MTurk). Four annualized VUR health states were assessed: VUR treated with/without continuous antibiotic prophylaxis (CAP) and with/without associated febrile urinary tract infection (UTI). A 6-week post-operative scenario following open ureteroneocystostomy was also assessed. Results We received 278 survey responses (70% response rate). The respondents were largely between the ages of 25 and 44 (59%), female (60%), and Caucasian (76%). Thirty-seven percent had a college degree, and 44% were parents. Compared with a perfect health state of 1.0, we found mean utilities of 0.87 for VUR, regardless of whether CAP was used or whether UTI was present (p = 0.9). The immediate post-operative period following ureteroneocystostomy garnered an annualized utility of 0.94. Conclusions Our data suggest that MTurk-based utility assessment is feasible, and that subjects view the VUR health state as only slightly inferior to perfect health. This includes VUR health states incorporating CAP and febrile UTI. © 2014 Journal of Pediatric Urology Company.</t>
  </si>
  <si>
    <t>Lloyd J.C., Yen T., Pietrobon R., Wiener J.S., Ross S.S., Kokorowski P.J., Nelson C.P., Routh J.C.</t>
  </si>
  <si>
    <t>https://www.scopus.com/inward/record.uri?eid=2-s2.0-84917677539&amp;doi=10.1016%2fj.jpurol.2014.02.014&amp;partnerID=40&amp;md5=b274b7cb5b16b0f52ca2dac6b446c7d1</t>
  </si>
  <si>
    <t>Division of Urologic Surgery, Duke University Medical Center, DUMC 3831, Durham, NC  27710, United States; Research on Research Group, Department of Surgery, Duke University Medical Center, Durham, NC, United States; Department of Urology, Children's Hospital Los Angeles, Los Angeles, CA, United States; Department of Urology, Children's Hospital of Boston, Boston, MA, United States</t>
  </si>
  <si>
    <t>Lloyd, J.C., Division of Urologic Surgery, Duke University Medical Center, DUMC 3831, Durham, NC  27710, United States; Yen, T., Research on Research Group, Department of Surgery, Duke University Medical Center, Durham, NC, United States; Pietrobon, R., Research on Research Group, Department of Surgery, Duke University Medical Center, Durham, NC, United States; Wiener, J.S., Division of Urologic Surgery, Duke University Medical Center, DUMC 3831, Durham, NC  27710, United States; Ross, S.S., Division of Urologic Surgery, Duke University Medical Center, DUMC 3831, Durham, NC  27710, United States; Kokorowski, P.J., Department of Urology, Children's Hospital Los Angeles, Los Angeles, CA, United States; Nelson, C.P., Department of Urology, Children's Hospital of Boston, Boston, MA, United States; Routh, J.C., Division of Urologic Surgery, Duke University Medical Center, DUMC 3831, Durham, NC  27710, United States</t>
  </si>
  <si>
    <t>Routh, J.C.; Division of Urologic Surgery, United States</t>
  </si>
  <si>
    <t>Eureka of effective leadership skill in the digital era of disruption</t>
  </si>
  <si>
    <t>57208000362;57215608539;56342376300;57216590375;</t>
  </si>
  <si>
    <t>Disruptions, sustainability plays a pivot role in the ‘core ‘business of corporate world. Effective Leadership goes in consonance with the sustainability. It is a matter of fact that the Companies having effective leadership gear up their business strategy which in turn would enthuse employee loyalty, creates unique customer experience, strengthens suppliers confidence and thus add niche brand value through which company’s investors would also be benefitted.. In today’s competitive scenario a more positive significant and sustainable future is of utmost importance for corporates. Adoption of meaningful near-term targets and efficient reallocation of resources can be enhanced with effective and visionary leaders. It is important for a visionary leader to encourage and support employees to become effective and productive workforce in the fast changing digital work environment, and unleash their talents. In the digital era of deep discounting companies with the immense challenges of customer retention, the enthusiastic customer’s transition rate to resistant customers leads to loss of business for firms. In this paper the authors through the qualitative research method of content analysis have made an attempt to analyze the traits of effective leadership of Apple’s CEO Tim Cook. The systematic examination of the content of Tim Cook’s interview transcript and investor’s report of Apple has been considered as the unit of analysis. Through theme based content analysis the authors have concluded the unique leadership traits of Apple CEO of being humble, people and society centric with a belief of corporates should have value and the digital security of customer’s data is of utmost important makes him the unique and effective leader. © 2020 SERSC.</t>
  </si>
  <si>
    <t>Tandon N., Singh P., Tandon D., Batra J.K.</t>
  </si>
  <si>
    <t>International Journal of Advanced Science and Technology</t>
  </si>
  <si>
    <t>https://www.scopus.com/inward/record.uri?eid=2-s2.0-85083978883&amp;partnerID=40&amp;md5=acfda0cbce8057b6baed94200bc49b9a</t>
  </si>
  <si>
    <t>Jagannath International Management School, Kalakji, India; International Management Institute, NewDelhi, India; Jagannath International Management School, India</t>
  </si>
  <si>
    <t>Tandon, N., Jagannath International Management School, Kalakji, India; Singh, P., Jagannath International Management School, Kalakji, India; Tandon, D., International Management Institute, NewDelhi, India; Batra, J.K., Jagannath International Management School, India</t>
  </si>
  <si>
    <t>Evaluating Amazon’s Mechanical Turk for psychological research on the symbolic control of attention</t>
  </si>
  <si>
    <t>10.3758/s13428-016-0847-5</t>
  </si>
  <si>
    <t>57188665017;55929097900;7202976305;</t>
  </si>
  <si>
    <t>The use of online crowdsourcing services like Amazon’s Mechanical Turk (AMT) as a method of collecting behavioral data online has become increasingly popular in recent years. A growing body of contemporary research has empirically validated the use of AMT as a tool in psychological research by replicating a wide range of well-established effects that have been previously reported in controlled laboratory studies. However, the potential for AMT to be used to conduct spatial cuing experiments has yet to be investigated in depth. Spatial cuing tasks are typically very basic in terms of their stimulus complexity and experimental testing procedures, thus making them ideal for remote testing online that requires minimal task instruction. Studies employing the spatial cuing paradigm are typically aimed at unveiling novel facets of the symbolic control of attention, which occurs whenever observers orient their attention through space in accordance with the meaning of a spatial cue. Ultimately, the present study empirically validated the use of AMT to study the symbolic control of attention by successfully replicating four hallmark effects reported throughout the visual attention literature: the left/right advantage, cue type effect, cued axis effect, and cued endpoint effect. Various recommendations for future endeavors using AMT as a means of remotely collecting behavioral data online are also provided. In sum, the present study provides a crucial first step toward establishing a novel tool for conducting psychological research that can be used to expedite not only our own scientific contributions, but also those of our colleagues. © 2017, Psychonomic Society, Inc.</t>
  </si>
  <si>
    <t>Pauszek J.R., Sztybel P., Gibson B.S.</t>
  </si>
  <si>
    <t>https://www.scopus.com/inward/record.uri?eid=2-s2.0-85010711330&amp;doi=10.3758%2fs13428-016-0847-5&amp;partnerID=40&amp;md5=09e20be2416844b652916efcf0fca2d9</t>
  </si>
  <si>
    <t>University of Notre Dame, Notre Dame, IN, United States; Department of Psychology, University of Notre Dame, 118 Haggar Hall, Notre Dame, IN  46556, United States</t>
  </si>
  <si>
    <t>Pauszek, J.R., University of Notre Dame, Notre Dame, IN, United States; Sztybel, P., University of Notre Dame, Notre Dame, IN, United States; Gibson, B.S., University of Notre Dame, Notre Dame, IN, United States, Department of Psychology, University of Notre Dame, 118 Haggar Hall, Notre Dame, IN  46556, United States</t>
  </si>
  <si>
    <t>Gibson, B.S.; Department of Psychology, 118 Haggar Hall, United States; email: bgibson@nd.edu</t>
  </si>
  <si>
    <t>Evaluating hotel guest technologies: does home matter?</t>
  </si>
  <si>
    <t>10.1108/IJCHM-03-2017-0148</t>
  </si>
  <si>
    <t>57211136543;35889300200;57202395981;</t>
  </si>
  <si>
    <t>Purpose: With the advent of the smart home, where connectivity is facilitated by the internet of things, the provision of guest technologies in hotel service delivery has acquired greater significance. This ubiquity of technology implies that hotels need to view their technological offerings as facilitating guest’s broader lifestyles, and not just services in isolated spaces. This study aims to examine the role of “home” as a socio-technological unit, and how customers’ ownership of technologies at home affects evaluations of guest technologies at hotels. Design/methodology/approach: Data are collected from a sample of US lodging consumers using Amazon’s Mechanical Turk. Partial least squares, which is a component-based structural equation modeling technique with SmartPLS 3.2, is used to test the hypotheses and meet the study’s objectives. Findings: The findings show that hotel guest technologies should be of a higher standard than those at home, for guests to be satisfied with them. This relationship was robust across all hotel types, and both leisure and business visitation. Also, satisfaction with guest technologies has a relatively stronger impact on customer satisfaction in mid-scale and economy hotels compared to that in upscale and luxury hotels. Research limitations/implications: By empirically validating “home” as a frame of reference in the evaluations of hospitality experiences, it opens up the potential for future research to study how home affects the evaluation of the hospitality experience as a whole. Practical implications: Hotels need to identify viable technologies that have the potential to become mainstream, and be ahead of customers in the technology adoption curve. Originality/value: This study is the first to look at home as a conceptual entity that is integral to hospitality using a socio-psychological lens, and evaluates its impact on evaluations of guest technologies at hotels. © 2018, Emerald Publishing Limited.</t>
  </si>
  <si>
    <t>Beldona S., Schwartz Z., Zhang X.</t>
  </si>
  <si>
    <t>https://www.scopus.com/inward/record.uri?eid=2-s2.0-85048190490&amp;doi=10.1108%2fIJCHM-03-2017-0148&amp;partnerID=40&amp;md5=69c51b35a535cd8a84c3088fb03287eb</t>
  </si>
  <si>
    <t>Department of Hotel, Restaurant and Institutional Management, University of Delaware, Newark, DE, United States; Department of Hospitality Business Management, University of Delaware, Newark, DE, United States</t>
  </si>
  <si>
    <t>Beldona, S., Department of Hotel, Restaurant and Institutional Management, University of Delaware, Newark, DE, United States; Schwartz, Z., Department of Hospitality Business Management, University of Delaware, Newark, DE, United States; Zhang, X., Department of Hospitality Business Management, University of Delaware, Newark, DE, United States</t>
  </si>
  <si>
    <t>Beldona, S.; Department of Hotel, United States; email: beldona@udel.edu</t>
  </si>
  <si>
    <t>Evaluating the accessibility of crowdsourcing tasks on Amazon's mechanical turk</t>
  </si>
  <si>
    <t>10.1145/2661334.2661401</t>
  </si>
  <si>
    <t>40461115300;16241496400;16238510200;</t>
  </si>
  <si>
    <t>Crowd work web sites such as Amazon Mechanical Turk enable individuals to work from home, which may be useful for people with disabilities. However, the web sites for finding and performing crowd work tasks must be accessible if people with disabilities are to use them. We performed a heuristic analysis of one crowd work site, Amazon's Mechanical Turk, using the Web Content Accessibility Guidelines 2.0. This paper presents the accessibility problems identified in our analysis and offers suggestions for making crowd work platforms more accessible.</t>
  </si>
  <si>
    <t>Calvo R., Kane S.K., Hurst A.</t>
  </si>
  <si>
    <t>ASSETS14 - Proceedings of the 16th International ACM SIGACCESS Conference on Computers and Accessibility</t>
  </si>
  <si>
    <t>https://www.scopus.com/inward/record.uri?eid=2-s2.0-84911457894&amp;doi=10.1145%2f2661334.2661401&amp;partnerID=40&amp;md5=ab9b903aebbf49a5694a855b99234071</t>
  </si>
  <si>
    <t>Computer Science Department, Universidad Carlos III de Madrid, Leganés, 28911, Spain; Department of Computer Science, University of Colorado Boulder, Boulder, CO  80309, United States; Information Systems Department, UMBC, Baltimore, MD  21250, United States</t>
  </si>
  <si>
    <t>Calvo, R., Computer Science Department, Universidad Carlos III de Madrid, Leganés, 28911, Spain; Kane, S.K., Department of Computer Science, University of Colorado Boulder, Boulder, CO  80309, United States, Information Systems Department, UMBC, Baltimore, MD  21250, United States; Hurst, A., Information Systems Department, UMBC, Baltimore, MD  21250, United States</t>
  </si>
  <si>
    <t>Evaluating the usefulness and ease of use of a groupware tool for the software architecture evaluation process</t>
  </si>
  <si>
    <t>10.1109/ESEM.2007.44</t>
  </si>
  <si>
    <t>6602842620;57210102724;6701704981;</t>
  </si>
  <si>
    <t>We have developed a framework for groupware tool support for the software architecture evaluation process in the context of global software development. We have empirically assessed the effectiveness of the groupware-supported software architecture evaluation process in a set of controlled experiments. While we found that groupware-supported distributed meetings can be very effective, we saw the need to investigate users' acceptance of the tool used in these empirical studies. In this paper we report on the "perceived usefulness" and "ease of use" of the groupware tool based on the adapted Davis' Technology Acceptance Model (TAM), a widely used general-purpose instrument for measuring users' attitude towards a particular technology. Main results from analyzing the TAM data are: a majority of the participants found the tool quite useful and easy to use for supporting collaborative tasks like architecture evaluation; a majority of the respondents was also very positive about the regular use of the tool for collaborative tasks in the future. However, there was considerably less support for preferring a distributed tool-based meeting to a face-to-face meeting. © 2007 IEEE.</t>
  </si>
  <si>
    <t>Ali Babar M., Winkler D., Biffl S.</t>
  </si>
  <si>
    <t>Proceedings - 1st International Symposium on Empirical Software Engineering and Measurement, ESEM 2007</t>
  </si>
  <si>
    <t>https://www.scopus.com/inward/record.uri?eid=2-s2.0-47949100326&amp;doi=10.1109%2fESEM.2007.44&amp;partnerID=40&amp;md5=b2015079f4de57be992226ce97ef3092</t>
  </si>
  <si>
    <t>Lero, University of Limerick, Ireland; TU Wien, Institute of Software Technology, Vienna, Austria</t>
  </si>
  <si>
    <t>Ali Babar, M., Lero, University of Limerick, Ireland; Winkler, D., TU Wien, Institute of Software Technology, Vienna, Austria; Biffl, S., TU Wien, Institute of Software Technology, Vienna, Austria</t>
  </si>
  <si>
    <t>Ali Babar, M.; Lero, Ireland; email: malibaba@lero.ie</t>
  </si>
  <si>
    <t>Evaluation of a spatial language interpretation framework for natural human-robot interaction with older adults</t>
  </si>
  <si>
    <t>10.1109/ROMAN.2015.7333611</t>
  </si>
  <si>
    <t>15724923300;7005611984;</t>
  </si>
  <si>
    <t>We present the design and analysis of a multi-session user study conducted with older adults to evaluate the effectiveness of a human-robot interaction (HRI) framework utilizing a neuroscience-inspired spatial language interpretation approach. The user study was designed to: 1) evaluate the effectiveness and feasibility of the spatial language interpretation framework with target users, and 2) collect data on the types of phrases, responses, and format of natural language instructions given by target users to help inform possible modifications to the HRI framework. In addition, an expanded study was conducted on Amazon's Mechanical Turk to gather further natural language instructions from general users for analysis. The results of both studies, evaluated across a variety of objective performance and participant evaluation measures, demonstrate the feasibility of the approach and its effectiveness in interpreting and following natural language instructions from target users, achieving high task success rates and high participant evaluations across multiple measures. © 2015 IEEE.</t>
  </si>
  <si>
    <t>Fasola J., Mataric M.J.</t>
  </si>
  <si>
    <t>Proceedings - IEEE International Workshop on Robot and Human Interactive Communication</t>
  </si>
  <si>
    <t>https://www.scopus.com/inward/record.uri?eid=2-s2.0-84954052929&amp;doi=10.1109%2fROMAN.2015.7333611&amp;partnerID=40&amp;md5=a362cdc42b777174cfe6ab56b23aba2f</t>
  </si>
  <si>
    <t>University of Southern California, Los Angeles, CA  90089, United States</t>
  </si>
  <si>
    <t>Fasola, J., University of Southern California, Los Angeles, CA  90089, United States; Mataric, M.J., University of Southern California, Los Angeles, CA  90089, United States</t>
  </si>
  <si>
    <t>Evaluation of auto-generated distractors in multiple choice questions from a semantic network</t>
  </si>
  <si>
    <t>10.1080/10494820.2019.1619586</t>
  </si>
  <si>
    <t>55203060400;6603878078;</t>
  </si>
  <si>
    <t>Despite their drawback, multiple-choice questions are an enduring feature in instruction because they can be answered more rapidly than open response questions and they are easily scored. However, it can be difficult to generate good incorrect choices (called “distractors”). We designed an algorithm to generate distractors from a semantic network for four types of multiple choice questions in biology. By recruiting 200 participants from Amazon Mechanical Turk, the machine-generated distractors were compared to human-generated distractors in terms of question difficulty, question discrimination and distractor usefulness. The machine-generated and human-generated distractors performed very closely on all the three measures, suggesting that generating distractors from a semantic network for simple multiple choice questions is a viable method. © 2019 Informa UK Limited, trading as Taylor &amp; Francis Group.</t>
  </si>
  <si>
    <t>Zhang L., VanLehn K.</t>
  </si>
  <si>
    <t>Interactive Learning Environments</t>
  </si>
  <si>
    <t>https://www.scopus.com/inward/record.uri?eid=2-s2.0-85066906007&amp;doi=10.1080%2f10494820.2019.1619586&amp;partnerID=40&amp;md5=958888d212525e38136c5a2cc473a32f</t>
  </si>
  <si>
    <t>National Engineering Research Center for E-learning, Central China Normal University, Wuhan, China; Computing, Informatics and Decision Science Engineering, Arizona State University, Tempe, AZ, United States</t>
  </si>
  <si>
    <t>Zhang, L., National Engineering Research Center for E-learning, Central China Normal University, Wuhan, China; VanLehn, K., Computing, Informatics and Decision Science Engineering, Arizona State University, Tempe, AZ, United States</t>
  </si>
  <si>
    <t>Zhang, L.; National Engineering Research Center for E-learning, China; email: lishan.zhang3@gmail.com</t>
  </si>
  <si>
    <t>Evaluation of Image Annotation Using Amazon Mechanical Turk in ImageCLEF</t>
  </si>
  <si>
    <t>10.1007/978-3-319-06755-1_20</t>
  </si>
  <si>
    <t>37079249700;35105725200;57201244088;</t>
  </si>
  <si>
    <t>With the increasing amount of digital information in the Web and on personal computers, the need for systems that are capable of automated indexing, searching, and organizing multimedia documents is incessantly growing. Automated systems have to retrieve information with high performance in order to be accepted by industry and end users. Multimedia retrieval systems are often evaluated on different test collections with different performance measures, which makes the comparison of retrieval performance impossible and limits the benefits of the approaches. Benchmarking campaigns counteract these tendencies and establish an objective comparison among the performance of different approaches by posing challenging tasks and by pushing the availability of test collections, topics, and performance measures. As part of the THESEUS research program, Fraunhofer IDMT organized the "Visual Concept Detection and Annotation Task" (VCDT) of the international benchmark ImageCLEF, with the goal of enabling the comparison of technologies developed within THESEUS CTC to international developments. While the test collection in 2009 was assessed with expert knowledge, the relevance assessments for the task have been acquired in a crowdsourcing approach since 2010 by using the platform of Amazon Mechanical Turk (MTurk). In this article the evaluation of THESEUS core technologies within ImageCLEF is explained in detail. A special focus lies on the acquisition of ground truth data using MTurk. Advantages and disadvantages of this approach are discussed and best practices are shared. © Springer International Publishing Switzerland 2014.</t>
  </si>
  <si>
    <t>Liebetrau J., Nowak S., Schneider S.</t>
  </si>
  <si>
    <t>Cognitive Technologies</t>
  </si>
  <si>
    <t>https://www.scopus.com/inward/record.uri?eid=2-s2.0-84907362074&amp;doi=10.1007%2f978-3-319-06755-1_20&amp;partnerID=40&amp;md5=822088c2115d167b4979448601ae9437</t>
  </si>
  <si>
    <t>Fraunhofer Institute for Digital Media Technology (IDMT), Ilmenau, Germany; Hella Aglaia Mobile Vision GmbH, Berlin, Germany</t>
  </si>
  <si>
    <t>Liebetrau, J., Fraunhofer Institute for Digital Media Technology (IDMT), Ilmenau, Germany; Nowak, S., Hella Aglaia Mobile Vision GmbH, Berlin, Germany; Schneider, S., Fraunhofer Institute for Digital Media Technology (IDMT), Ilmenau, Germany</t>
  </si>
  <si>
    <t>Liebetrau, J.; Fraunhofer Institute for Digital Media Technology (IDMT), Ilmenau, Germany; email: ltu@idmt.fraunhofer.de</t>
  </si>
  <si>
    <t>Evaluation of spatial interaction techniques for virtual heritage applications: A case study of an interactive holographic projection</t>
  </si>
  <si>
    <t>10.1016/j.future.2017.07.047</t>
  </si>
  <si>
    <t>55372183800;24072878600;56449399500;</t>
  </si>
  <si>
    <t>The increasing use of information and communication technologies (ICT) in museums is providing curators with new opportunities for the display of cultural heritage content, making it possible to merge real and digital works of art in a coherent exhibition space. However, humans learn and perceive by following an interactive process, a fact that is particularly true in relation to the understanding, analysis and interpretation of the cultural heritage. In order to allow visitors to fully exploit the potential of this new hybrid cultural communication, interactivity is essential. This paper analyzes interaction design focusing on a holographic projection system equipped with a gesture-based interface and discussing the results of both quantitative and qualitative user studies aimed at empirically investigating users’ preferences in relation to interaction techniques when used in a museum context. The experimental findings suggest the adoption of task-specific patterns in the design of touchless user interfaces for the exploration of digital heritage content. © 2017 Elsevier B.V.</t>
  </si>
  <si>
    <t>Caggianese G., Gallo L., Neroni P.</t>
  </si>
  <si>
    <t>Future Generation Computer Systems</t>
  </si>
  <si>
    <t>https://www.scopus.com/inward/record.uri?eid=2-s2.0-85028357054&amp;doi=10.1016%2fj.future.2017.07.047&amp;partnerID=40&amp;md5=39a32dcddad2a14e24898f7e03e60d5f</t>
  </si>
  <si>
    <t>Institute for High Performance Computing and Networking, National Research Council of Italy (ICAR-CNR), Naples, Italy</t>
  </si>
  <si>
    <t>Caggianese, G., Institute for High Performance Computing and Networking, National Research Council of Italy (ICAR-CNR), Naples, Italy; Gallo, L., Institute for High Performance Computing and Networking, National Research Council of Italy (ICAR-CNR), Naples, Italy; Neroni, P., Institute for High Performance Computing and Networking, National Research Council of Italy (ICAR-CNR), Naples, Italy</t>
  </si>
  <si>
    <t>Gallo, L.; Institute for High Performance Computing and Networking, Italy; email: luigi.gallo@cnr.it</t>
  </si>
  <si>
    <t>Evaluation of the reception capacity of a Certain Area regarding tourist housing, addressing sustainable-tourism Criteria</t>
  </si>
  <si>
    <t>10.3390/su11226422</t>
  </si>
  <si>
    <t>57212089215;6507238505;56940120700;</t>
  </si>
  <si>
    <t>The emergence of new 2.0 net collaborative economies has brought an increase in the number of tourists, changing the paradigm of the tourist-housing sector in the main cities around the world. This has directly impacted inhabitants and land-use planning, and there is no general agreement yet between different public and private agents on how to deal with the problem. In this document, a model supported by scientific approaches is presented to assist in planning for sustainable land use through assessing its reception capacity to host tourist housing. The area of study is a medium-sized city in Spain with four UNESCO World Heritage Sites. The methodology is based on the application of the multicriteria decision paradigm in the geographical information systems' field to deal with complex problems with several alternatives and various criteria to be evaluated. As a result, we obtained a classification of every part of the study area, depending on the reception capacity of the considered uses. The main conclusion is that tourist housing must be regulated, although its effects cannot be generalized, since specific analysis for every neighborhood in a territory is needed. © 2019 by the authors.</t>
  </si>
  <si>
    <t>Gallardo J.A.F., Caridad y Ocerín J.M., de la Torre M.G.M.V.</t>
  </si>
  <si>
    <t>Sustainability (Switzerland)</t>
  </si>
  <si>
    <t>https://www.scopus.com/inward/record.uri?eid=2-s2.0-85075876213&amp;doi=10.3390%2fsu11226422&amp;partnerID=40&amp;md5=817100ef7d3f751197e5c2a938fa5ad9</t>
  </si>
  <si>
    <t>Department Agricultural Economics, Sociology and Policy, Faculty of Economics and Business Sciences, University of Cordoba, Cordoba, 14002, Spain; Department of Statistics and Econometrics, Faculty of Economics and Business Sciences, University of Cordoba, Cordoba, 14002, Spain; Department of Quantitative Methods, Faculty of Economics and Business Sciences, Universidad Loyola Andalucia, Cordoba, 14004, Spain</t>
  </si>
  <si>
    <t>Gallardo, J.A.F., Department Agricultural Economics, Sociology and Policy, Faculty of Economics and Business Sciences, University of Cordoba, Cordoba, 14002, Spain; Caridad y Ocerín, J.M., Department of Statistics and Econometrics, Faculty of Economics and Business Sciences, University of Cordoba, Cordoba, 14002, Spain; de la Torre, M.G.M.V., Department of Quantitative Methods, Faculty of Economics and Business Sciences, Universidad Loyola Andalucia, Cordoba, 14004, Spain</t>
  </si>
  <si>
    <t>Gallardo, J.A.F.; Department Agricultural Economics, Spain; email: jose.fernandez@uco.es</t>
  </si>
  <si>
    <t>Examination of approach and avoidance inclinations on the reinforcing value of alcohol</t>
  </si>
  <si>
    <t>10.1016/j.addbeh.2017.12.005</t>
  </si>
  <si>
    <t>57199390920;23092374400;</t>
  </si>
  <si>
    <t>Although behavioral economics tends to focus on environmental factors (i.e., price, availability) that act to influence valuation of alcohol, recent research has begun to address how motivational and cognitive factors influence an individual's demand for alcohol. Motivational states, including craving, are one possible mechanism underlying the value based decision making that demand represents. Using a multidimensional model of craving (Ambivalence Model of Craving), the current study examined the relationships between indices of alcohol demand (i.e., reinforcing value of alcohol) and craving (i.e., approach inclinations), and the ways in which competing desires moderate that relationship (i.e., avoidance inclinations). Individuals who reported consuming alcohol in the past month were recruited for the study using Amazon's Mechanical Turk. A total of 529 participants (mean age = 33.03 years, SD = 8.85) completed a series of surveys assessing their drinking behavior and other alcohol-related measures. Multiple regression analyses indicated that while approach significantly predicted intensity (i.e., consumption at zero cost), O max (i.e., the maximum alcohol expenditure) and breakpoint (i.e., the first price that seizes consumption), avoidance moderated the relationship between approach and O max and breakpoint. Specifically, follow up analyses demonstrated that higher avoidance inclinations attenuated the effect of approach inclinations on these demand indices. Finally, despite conceptual overlap between approach, avoidance, and alcohol demand, regression analyses indicated that these constructs account for unique variance in alcohol outcomes. These results illustrate the importance of considering the effects of both approach and avoidance inclinations on an individual's valuation of alcohol. © 2017 Elsevier Ltd</t>
  </si>
  <si>
    <t>Noyes E.T., Schlauch R.C.</t>
  </si>
  <si>
    <t>https://www.scopus.com/inward/record.uri?eid=2-s2.0-85038016220&amp;doi=10.1016%2fj.addbeh.2017.12.005&amp;partnerID=40&amp;md5=1427acb0dda8b753ea1863e2b18fce52</t>
  </si>
  <si>
    <t>Department of Psychology, University of South Florida, 4202 East Fowler Ave, Tampa, FL  33620, United States</t>
  </si>
  <si>
    <t>Noyes, E.T., Department of Psychology, University of South Florida, 4202 East Fowler Ave, Tampa, FL  33620, United States; Schlauch, R.C., Department of Psychology, University of South Florida, 4202 East Fowler Ave, Tampa, FL  33620, United States</t>
  </si>
  <si>
    <t>Schlauch, R.C.; Department of Psychology, 4202 East Fowler Ave, United States; email: rschlauch@usf.edu</t>
  </si>
  <si>
    <t>Examining correlates of teacher receptivity to social influence strategies within a school consultation relationship</t>
  </si>
  <si>
    <t>10.1002/pits.22163</t>
  </si>
  <si>
    <t>7401460366;56293168000;56419866900;6603727749;</t>
  </si>
  <si>
    <t>Successful school consultation depends largely on the consultant's ability to influence teacher behavior and the teacher's receptivity to that influence. The goal of this study was to examine correlates of teacher receptivity to social influence strategies within school consultation. Participants were 365 general education teachers (K-5) recruited through Amazon's Mechanical Turk. Teachers completed questionnaires that included (1) three subscales of the modified Consultee/Teacher Version of the Interpersonal Power Inventory assessing soft social influence strategies; and measures assessing (2) personality constructs; (3) knowledge of behavior modification and mental health literacy; (4) need for cognition and beliefs about student behavior and interventions; and (5) work-related stress. As expected, the subscales of the modified Interpersonal Power Inventory had acceptable internal consistency (alphas &gt;.70). Hierarchical regression analyses revealed that teacher beliefs, need for cognition, and the interaction between need for cognition and stress, were significantly positively associated with receptivity to positive expert and direct information influences, after accounting for personality characteristics. These relationships were not found for receptivity to positive referent influences. Instead, knowledge of behavioral principles was negatively associated with this social influence. Results are discussed in relation to consultation research and practice. © 2018 Wiley Periodicals, Inc.</t>
  </si>
  <si>
    <t>Owens J.S., Allan D.M., Hustus C., Erchul W.P.</t>
  </si>
  <si>
    <t>Psychology in the Schools</t>
  </si>
  <si>
    <t>https://www.scopus.com/inward/record.uri?eid=2-s2.0-85050607056&amp;doi=10.1002%2fpits.22163&amp;partnerID=40&amp;md5=adf7607b6960cfa27061dbe26708c203</t>
  </si>
  <si>
    <t>Ohio University, United States; University of California, Riverside, United States</t>
  </si>
  <si>
    <t>Owens, J.S., Ohio University, United States; Allan, D.M., Ohio University, United States; Hustus, C., Ohio University, United States; Erchul, W.P., University of California, Riverside, United States</t>
  </si>
  <si>
    <t>Owens, J.S.; Ohio UniversityUnited States; email: owensj@ohio.edu</t>
  </si>
  <si>
    <t>Examining rumination and sleep: A transdiagnostic approach to depression and social anxiety</t>
  </si>
  <si>
    <t>10.1016/j.npbr.2019.05.003</t>
  </si>
  <si>
    <t>57208823585;57208825146;6603244606;</t>
  </si>
  <si>
    <t>Background: Research suggests that rumination is related to sleep difficulties. Both rumination and sleep have been shown to play important roles in various psychopathologies, with rumination often described as a transdiagnostic process. The relationship between rumination, sleep, and psychopathology has been researched in depression, but less so in other disorders. The aim of this study is to replicate previous findings between sleep and depression, but to examine these relationships in another disorder, social anxiety. Methods: Participants included 143 individuals from Amazon Mechanical Turk. There were 61 participants with symptoms of social anxiety, and 21 participants with symptoms of depression. Participants took a series of surveys. In addition to correlation coefficients and t-tests, multiple linear regression analyses were completed in order to examine the relations between sleep, rumination and psychopathology (i.e., depression and anxiety, respectively). Results: Sleep and rumination independently predict variance in depression scores, even when accounting for social anxiety symptoms. In contrast, in individuals with symptoms of social anxiety, the relationship between sleep and social anxiety is mediated by rumination after accounting for depressive symptoms. Limitations: A limitation of this design was that psychopathology symptoms and sleep quality were examined through self-report evaluations. Additionally, the overall sample size was small; however, the relative number of participants in each group was substantial despite this limitation. Conclusions: Our results strengthen the importance of examining rumination as a transdiagnostic process, but identify differences between these relationships that may be relevant in the treatment of these disorders. Further clinical implications discussed. © 2019 Elsevier GmbH</t>
  </si>
  <si>
    <t>Armstead E.A., Votta C.M., Deldin P.J.</t>
  </si>
  <si>
    <t>Neurology Psychiatry and Brain Research</t>
  </si>
  <si>
    <t>https://www.scopus.com/inward/record.uri?eid=2-s2.0-85065895327&amp;doi=10.1016%2fj.npbr.2019.05.003&amp;partnerID=40&amp;md5=3ab180a93c7e068079ce967ce024f4e4</t>
  </si>
  <si>
    <t>University of Michigan, 530 Church St., Ann Arbor, MI  48103, United States</t>
  </si>
  <si>
    <t>Armstead, E.A., University of Michigan, 530 Church St., Ann Arbor, MI  48103, United States; Votta, C.M., University of Michigan, 530 Church St., Ann Arbor, MI  48103, United States; Deldin, P.J., University of Michigan, 530 Church St., Ann Arbor, MI  48103, United States</t>
  </si>
  <si>
    <t>Votta, C.M.; University of Michigan, 530 Church St., United States; email: cmvotta@umich.edu</t>
  </si>
  <si>
    <t>Examining the effectiveness of an online program to cultivate mindfulness and self-compassion skills (Mind-OP): Randomized controlled trial on Amazon's Mechanical Turk</t>
  </si>
  <si>
    <t>10.1016/j.brat.2020.103724</t>
  </si>
  <si>
    <t>53463089800;57218913828;57192305688;36682359100;15063254400;</t>
  </si>
  <si>
    <t>Objectives: The demand for effective psychological treatments for depression, anxiety, and heightened stress is far outstripping their supply. Accordingly, internet delivered, self-help interventions offer hope to many people, as they can be easily accessed and at a fraction of the price of face-to-face options. Mindfulness and self-compassion are particularly exciting approaches, as evidence suggests interventions that cultivate these skills are effective in reducing depression, anxiety, and heightened stress. We examined the effectiveness of a newly developed program that combines mindfulness, self-compassion, and goal-setting exercises into a brief self-guided intervention (Mind-OP). The secondary aim of this study was to investigate the feasibility of conducting a randomized-controlled trial entirely on a popular crowdsourcing platform, Amazon's Mechanical Turk (MTurk). Methods: We randomized 456 participants reporting heightened depression, anxiety, or stress to one of two conditions: the 4-week Mind-OP intervention (n = 227) or to an active control condition (n = 229) where participants watched nature videos superimposed onto relaxing meditation music for four consecutive weeks. We administered measures of anxiety, depression, perceived stress, dispositional and state mindfulness, self-compassion, and nonattachment. Results: Intent-to-treat and per-protocol analyses revealed that, compared to participants in the control condition, participants in the Mind-OP intervention condition reported significantly less anxiety and stress at the end of the trial, as well as significantly greater mindfulness, self-compassion, and nonattachment. Conclusions: Mind-OP appears effective in reducing anxiety symptoms and perceived stress among MTurk participants. We highlight issues (e.g., attrition) related to feasibility of conducting randomized trials on crowdsourcing platforms such as MTurk. © 2020 Elsevier Ltd</t>
  </si>
  <si>
    <t>Beshai S., Bueno C., Yu M., Feeney J.R., Pitariu A.</t>
  </si>
  <si>
    <t>Behaviour Research and Therapy</t>
  </si>
  <si>
    <t>https://www.scopus.com/inward/record.uri?eid=2-s2.0-85090734746&amp;doi=10.1016%2fj.brat.2020.103724&amp;partnerID=40&amp;md5=fbb9f55fee9515777e6fcbc23962f0ba</t>
  </si>
  <si>
    <t>Department of Psychology, University of Regina, 3737 Wascana Parkway, Regina, SK  S4S0A2, Canada; Faculty of Business Administration, University of Regina, 3737 Wascana Parkway, Regina, SK  S4S0A2, Canada; Department of Management and Marketing, School of Business, Rhode Island College, 600 Mount Pleasant Avenue ProvidenceRI 02908, Canada</t>
  </si>
  <si>
    <t>Beshai, S., Department of Psychology, University of Regina, 3737 Wascana Parkway, Regina, SK  S4S0A2, Canada; Bueno, C., Department of Psychology, University of Regina, 3737 Wascana Parkway, Regina, SK  S4S0A2, Canada; Yu, M., Department of Psychology, University of Regina, 3737 Wascana Parkway, Regina, SK  S4S0A2, Canada; Feeney, J.R., Department of Management and Marketing, School of Business, Rhode Island College, 600 Mount Pleasant Avenue ProvidenceRI 02908, Canada; Pitariu, A., Faculty of Business Administration, University of Regina, 3737 Wascana Parkway, Regina, SK  S4S0A2, Canada</t>
  </si>
  <si>
    <t>Beshai, S.; Department of Psychology, 3737 Wascana Parkway, Canada; email: shadi.beshai@uregina.ca</t>
  </si>
  <si>
    <t>Examining the Relationships Between Childhood Exposure to Intimate Partner Violence, the Dark Tetrad of Personality, and Violence Perpetration in Adulthood</t>
  </si>
  <si>
    <t>10.1177/0886260520948517</t>
  </si>
  <si>
    <t>57190577682;57193381153;7004876348;</t>
  </si>
  <si>
    <t>Intimate partner violence (IPV) is a major international public health concern that poses significant mental and physical health risks for affected individuals. To improve prevention efforts, it is imperative that researchers and government bodies understand risk factors for IPV. One such risk factor concerns the extent to which violence is intergenerational, such that exposure to violence predisposes individuals to engage in violence toward intimate partners. The purpose of this research is to assess childhood exposure to violence as a risk factor for perpetration of IPV in adulthood, and to evaluate the Dark Tetrad personality traits as mediators in this relationship. We recruited 153 men and 246 women (age range = 18–73, Mage = 33.50, SDage = 10.26) through Amazon’s Mechanical Turk to complete a series of questionnaires and an open-ended IPV perpetration assessment. Results showed no relationship between IPV perpetration and childhood IPV exposure, indicating that mediation analyses were not possible. Possible explanations are discussed. Follow-up exploratory analyses demonstrated that gender moderated the relationships between childhood IPV exposure and levels of Factor 1 psychopathy and Machiavellianism. Specifically, men who were exposed to IPV in childhood were more likely to develop higher levels of Factor 1 psychopathy and Machiavellianism, whereas women were not. Overall, our findings highlight the importance of providing researchers and clinicians with a greater understanding of environmental events preceding maladaptive trait development. It is also important for researchers and clinicians to consider gender differences in pathways between exposure to IPV and subsequent development of dark personality traits. Theoretical and practical implications are discussed. © The Author(s) 2020.</t>
  </si>
  <si>
    <t>Plouffe R.A., Wilson C.A., Saklofske D.H.</t>
  </si>
  <si>
    <t>https://www.scopus.com/inward/record.uri?eid=2-s2.0-85089538453&amp;doi=10.1177%2f0886260520948517&amp;partnerID=40&amp;md5=1671236d9c180fa62bac3593b20ba0cf</t>
  </si>
  <si>
    <t>University of Western Ontario, London, Canada</t>
  </si>
  <si>
    <t>Plouffe, R.A., University of Western Ontario, London, Canada; Wilson, C.A., University of Western Ontario, London, Canada; Saklofske, D.H., University of Western Ontario, London, Canada</t>
  </si>
  <si>
    <t>Plouffe, R.A.; University of Western OntarioCanada; email: rplouffe@uwo.ca</t>
  </si>
  <si>
    <t>Examining the Structure of Emotion Regulation: A Factor-Analytic Approach</t>
  </si>
  <si>
    <t>10.1002/jclp.22197</t>
  </si>
  <si>
    <t>55078313500;6603604597;</t>
  </si>
  <si>
    <t>Objective: Critiques of self-report indices of emotion regulation suggest that its measurement is in need of more critical investigation. The current study examined the factor structure of emotion regulation as informed by Gross' (1998a) Process Model: Situation Selection, Attentional Deployment, Cognitive Change, and Response Modulation. Method: A sample of 553 participants was recruited using Amazon's Mechanical Turk (Mage = 37.12, SD = 13.66; n = 352 female). Confirmatory factor analysis with maximum likelihood estimation was performed in Mplus. Results: A four-factor model of emotion regulation demonstrated poor fit. An alternative five-factor model fit the data well: CFI =94, TLI =93, RMSEA =07. Conclusion: Emotion regulation may be better conceptualized as a combination of specific strategy use and a broader construct, called "emotional distancing" (a trait-like disposition towards emotions). Further research is required to determine if the observed five-factor model can be replicated in more diverse samples. © 2015 Wiley Periodicals, Inc.</t>
  </si>
  <si>
    <t>Seligowski A.V., Orcutt H.K.</t>
  </si>
  <si>
    <t>Journal of Clinical Psychology</t>
  </si>
  <si>
    <t>https://www.scopus.com/inward/record.uri?eid=2-s2.0-84941875927&amp;doi=10.1002%2fjclp.22197&amp;partnerID=40&amp;md5=23f73446e00d703b68e399fb8e13a50c</t>
  </si>
  <si>
    <t>Northern Illinois University, United States</t>
  </si>
  <si>
    <t>Seligowski, A.V., Northern Illinois University, United States; Orcutt, H.K., Northern Illinois University, United States</t>
  </si>
  <si>
    <t>Seligowski, A.V.100 Normal Road, United States; email: avic858@gmail.com</t>
  </si>
  <si>
    <t>Experiences surveying the crowd: Reflections on methods, participation, and reliability</t>
  </si>
  <si>
    <t>10.1145/2464464.2464485</t>
  </si>
  <si>
    <t>56187719400;7004203343;</t>
  </si>
  <si>
    <t>Crowdsourcing services such as Amazon's Mechanical Turk (MTurk) provide new venues for recruiting participants and conducting studies; hundreds of surveys may be offered to workers at any given time. We reflect on the results of six related studies we performed on MTurk over a two year period. The studies used a combination of open-ended questions and structured hypothetical statements about story-like scenarios to engage the efforts of 1252 participants. We describe the method used in the studies and reflect on what we have learned about identified best practices. We analyze the aggregated data to profile the types of Turkers who take surveys and examine how the characteristics of the surveys may influence data reliability. The results point to the value of participant engagement, identify potential changes in MTurk as a study venue, and highlight how communication among Turkers influences the data that researchers collect. Copyright 2013 ACM.</t>
  </si>
  <si>
    <t>Marshall C.C., Shipman F.M.</t>
  </si>
  <si>
    <t>Proceedings of the 5th Annual ACM Web Science Conference, WebSci'13</t>
  </si>
  <si>
    <t>https://www.scopus.com/inward/record.uri?eid=2-s2.0-84883121123&amp;doi=10.1145%2f2464464.2464485&amp;partnerID=40&amp;md5=648161aa523e85ef7f831302a9789ff0</t>
  </si>
  <si>
    <t>Microsoft Research, Silicon Valley, 1065 La Avenida, Mountain View, CA 94043, United States; Department of Computer Science, Texas A and M University, College Station, TX 77843-3112, United States</t>
  </si>
  <si>
    <t>Marshall, C.C., Microsoft Research, Silicon Valley, 1065 La Avenida, Mountain View, CA 94043, United States; Shipman, F.M., Department of Computer Science, Texas A and M University, College Station, TX 77843-3112, United States</t>
  </si>
  <si>
    <t>Experiences with agile practices in the Global Studio Project</t>
  </si>
  <si>
    <t>10.1109/ICGSE.2008.11</t>
  </si>
  <si>
    <t>25822874000;7102795205;7003345567;6603151782;</t>
  </si>
  <si>
    <t>We report on our experiences using agile practices in a global software development project. Specifically, we report on the communication and collaboration patterns that were discovered using the social network analysis methodology. We used as a case study the Global Studio Project Version 3.0, where Extreme Programming practices were applied to one of the remote software development teams. We summarize our conclusions about Extreme Programming usage in global software development projects by presenting ten lessons learned from the application of Extreme Programming practices to the Global Studio Project Version 3.0. © 2008 IEEE.</t>
  </si>
  <si>
    <t>Urdangarin R., Fernandes P., Avritzer A., Paulish D.</t>
  </si>
  <si>
    <t>Proceedings - 2008 3rd IEEE International Conference Global Software Engineering, ICGSE 2008</t>
  </si>
  <si>
    <t>https://www.scopus.com/inward/record.uri?eid=2-s2.0-56349148478&amp;doi=10.1109%2fICGSE.2008.11&amp;partnerID=40&amp;md5=f3016ca4b36907a802186c943b27fb9f</t>
  </si>
  <si>
    <t>PUCRS-FACIN, Av. Ipiranga, 6681, Porto Alegre, RS 90.619-900, Brazil; Siemens Corporate Research, 755 College Road East, Princeton, NJ 08540, United States</t>
  </si>
  <si>
    <t>Urdangarin, R., PUCRS-FACIN, Av. Ipiranga, 6681, Porto Alegre, RS 90.619-900, Brazil; Fernandes, P., PUCRS-FACIN, Av. Ipiranga, 6681, Porto Alegre, RS 90.619-900, Brazil; Avritzer, A., Siemens Corporate Research, 755 College Road East, Princeton, NJ 08540, United States; Paulish, D., Siemens Corporate Research, 755 College Road East, Princeton, NJ 08540, United States</t>
  </si>
  <si>
    <t>Urdangarin, R.; PUCRS-FACIN, Av. Ipiranga, 6681, Porto Alegre, RS 90.619-900, Brazil; email: urdangarin@inf.pucrs.br</t>
  </si>
  <si>
    <t>Experiential Avoidance: An Examination of the Construct Validity of the AAQ-II and MEAQ</t>
  </si>
  <si>
    <t>10.1016/j.beth.2017.08.008</t>
  </si>
  <si>
    <t>57195956379;14049767200;56034755600;</t>
  </si>
  <si>
    <t>Experiential avoidance (also referred to as acceptance or psychological flexibility) is a core construct of third-wave behavior therapies. It is the tendency to avoid uncomfortable thoughts or feelings, even when doing so has negative long-term consequences. In order for developments in experiential avoidance and third-wave behavior therapies to continue, it is imperative to examine the construct validity of the most widely used measures of this construct, the Acceptance and Action Questionnaire–II (AAQ-II) and the Multidimensional Experiential Avoidance Questionnaire (MEAQ). In Amazon's Mechanical Turk (N = 1,052) and college (N = 364) samples, we evaluated the construct validity of these measures. The AAQ-II demonstrated suboptimal patterns of convergent and discriminant validity with measures of neuroticism/negative affect (Big Five Inventory, Big Five Aspects Scale, Positive and Negative Affect Schedule), the MEAQ, and mindfulness (Five Factor Mindfulness Questionnaire). In contrast, the MEAQ demonstrated optimal convergent and discriminant validity. Factor analyses at the scale, subscale, and item levels demonstrated that the AAQ-II loads with indicators of neuroticism/negative affect and not with other constructs at the core of third-wave behavior therapies. In contrast, the MEAQ loads on factors with mindfulness or forms its own factors. These findings suggest the AAQ-II functions as a measure of neuroticism/negative affect, whereas the MEAQ functions as an indicator of experiential avoidance. These findings have substantial implications for research on experiential avoidance and third-wave behavior therapies. Therefore, in order to improve the theory, research, and practice of third-wave behavior therapies, we recommend using the MEAQ to assess experiential avoidance. © 2017</t>
  </si>
  <si>
    <t>Rochefort C., Baldwin A.S., Chmielewski M.</t>
  </si>
  <si>
    <t>Behavior Therapy</t>
  </si>
  <si>
    <t>https://www.scopus.com/inward/record.uri?eid=2-s2.0-85030483575&amp;doi=10.1016%2fj.beth.2017.08.008&amp;partnerID=40&amp;md5=ed2315ed621b8631cc87242a1f3eafc4</t>
  </si>
  <si>
    <t>Southern Methodist University, United States</t>
  </si>
  <si>
    <t>Rochefort, C., Southern Methodist University, United States; Baldwin, A.S., Southern Methodist University, United States; Chmielewski, M., Southern Methodist University, United States</t>
  </si>
  <si>
    <t>Chmielewski, M.; Department of Psychology, P.O. Box 750442, United States; email: mchmielewski@smu.edu</t>
  </si>
  <si>
    <t>Explanation systems for influence maximization algorithms</t>
  </si>
  <si>
    <t>56393839900;57189899513;23009039400;23478550500;7006395526;57195591733;</t>
  </si>
  <si>
    <t>The field of influence maximization (IM) has made rapid advances, resulting in many sophisticated algorithms for identifying "influential" members in social networks. However, in order to engender trust in IM algorithms, the rationale behind their choice of "influential" nodes needs to be explained to its users. This is a challenging open problem that needs to be solved before these algorithms can be deployed on a large scale. This paper attempts to tackle this open problem via four major contributions: (i) we propose a general paradigm for designing explanation systems for IM algorithms by exploiting the tradeoff between explanation accuracy and interpretability; our paradigm treats IM algorithms as black boxes, and is flexible enough to be used with any algorithm; (ii) we utilize this paradigm to build XplainIM, a suite of explanation systems; (iii) we illustrate the usability of XplainIM by explaining solutions of HEALER (a recent IM algorithm) among ∼200 human subjects on Amazon Mechanical Turk (AMT); and (iv) we provide extensive evaluation of our AMT results, which shows the effectiveness of XplainIM. Copyright © 2017 for the individual papers by the papers' authors.</t>
  </si>
  <si>
    <t>Yadav A., Rahmattalabi A., Kamar E., Vayanos P., Tambe M., Noronha V.L.</t>
  </si>
  <si>
    <t>https://www.scopus.com/inward/record.uri?eid=2-s2.0-85028997041&amp;partnerID=40&amp;md5=0cd22bd86662d32c7d9feb8bbe45ca6a</t>
  </si>
  <si>
    <t>Center for Artificial Intelligence in Society, University of Southern California, laCA  90089, United States; Microsoft Research, Redmond, WA  98052, United States</t>
  </si>
  <si>
    <t>Yadav, A., Center for Artificial Intelligence in Society, University of Southern California, laCA  90089, United States; Rahmattalabi, A., Center for Artificial Intelligence in Society, University of Southern California, laCA  90089, United States; Kamar, E., Microsoft Research, Redmond, WA  98052, United States; Vayanos, P., Center for Artificial Intelligence in Society, University of Southern California, laCA  90089, United States; Tambe, M., Center for Artificial Intelligence in Society, University of Southern California, laCA  90089, United States; Noronha, V.L., Center for Artificial Intelligence in Society, University of Southern California, laCA  90089, United States</t>
  </si>
  <si>
    <t>Exploratory study of personal health information management using health literacy model</t>
  </si>
  <si>
    <t>10.1108/AJIM-03-2017-0062</t>
  </si>
  <si>
    <t>57205336074;22836779000;36021844000;</t>
  </si>
  <si>
    <t>Purpose: The purpose of this paper is to empirically test whether individuals’ internal factors (prior knowledge, resources, and capability) and environmental factors (stimuli, limitation) have any influence on the development of personal health information management (PHIM) literacy skills and which constructs are statistically associated with general health-related outcomes. Design/methodology/approach: Survey responses were collected from Amazon’s Mechanical Turk (mTurk), a crowdsourcing internet service, in December 2013. A total of 578 responses were analyzed using partial-least squares structural equation modeling technique. Findings: The model as a whole exhibited 62.8 percent of variance in health-related outcomes. The findings suggest that prior knowledge has a direct effect on health literacy (HL) skills (H3: β=0.212, p&lt;0.001). The PHIM stimuli (H4: β=0.475, p&lt;0.001) have a direct impact on HL skills, and they have an indirect effect on the comprehension of stimuli (H6: β=0.526, p&lt;0.001) through the mediator of stimuli and the knowledge variable. Research limitations/implications: One possible limitation of this study is that the study may include a highly technology literate group, as survey respondents were recruited from the online service mTurk. Practical implications: The study poses implications for further research and practice. This research was an exploratory work for further model development so future studies should investigate deeper into real personal health record (PHR) user groups (e.g. patients and caregivers). For example, studies by White and Horvitz (2009a, b) conducted real-time user studies that the authors could apply to the authors’ future PHR studies. Since the findings cannot be generalizable to these specific groups, similar research may be conducted. Using caregiver groups of PHR users in comparison to patient groups could determine the similarities and differences of their PHIM activities and related outcomes for optimal design of self-care management. Social implications: Further, it is suggested to conduct large scale, real-time-based studies using a PHR transaction log analysis to achieve conclusiveness and generalizability. Additionally, future studies should address not only diverse real-time user groups, but also various PHR data sources and their presentation issues. Originality/value: This study model offers an important perspective on PHIM and its causal pathway for use not only by patient educators and healthcare providers but also information providers, personal health record (PHR) system developers, and PHR users. © 2018, Emerald Publishing Limited.</t>
  </si>
  <si>
    <t>Kim S., Syn S.Y., Sinn D.</t>
  </si>
  <si>
    <t>https://www.scopus.com/inward/record.uri?eid=2-s2.0-85041388830&amp;doi=10.1108%2fAJIM-03-2017-0062&amp;partnerID=40&amp;md5=e4c0dac601722f8aa5867dc82ee621ce</t>
  </si>
  <si>
    <t>Department of Internal Medicine, University of Kentucky, Lexington, KY, United States; Department of Library and Information Science, The Catholic University of America, Washington, DC, United States; University at Albany – State University of New York, Albany, NY, United States</t>
  </si>
  <si>
    <t>Kim, S., Department of Internal Medicine, University of Kentucky, Lexington, KY, United States; Syn, S.Y., Department of Library and Information Science, The Catholic University of America, Washington, DC, United States; Sinn, D., University at Albany – State University of New York, Albany, NY, United States</t>
  </si>
  <si>
    <t>Kim, S.; Department of Internal Medicine, United States; email: sujinkim@uky.edu</t>
  </si>
  <si>
    <t>Exploring architectural design decision management paradigms for global software development</t>
  </si>
  <si>
    <t>Global software development (GSD) is an increasing trend in the field of software engineering. It can be considered as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 However, little work has be done on capturing, sharing, and evolving ADDs in a GSD context. Based on our previous work on ADD management in localized software development (LSD), we extend our study to explore ADD management paradigms for GSD in this paper. We propose three ADD management strategies for the distributed development environment, and according to global software project structures, we explore and analyze three typical ADD management paradigms that can be widely adopted in GSD.We aim to provide a fundamental framework on managing ADD documentation and evolution in GSD, and offer good insights into sharing and coordinating ADDs in a global setting. Copyright © 2013 by Knowledge Systems Institute Graduate School.</t>
  </si>
  <si>
    <t>https://www.scopus.com/inward/record.uri?eid=2-s2.0-84937722337&amp;partnerID=40&amp;md5=43beb6cdc3f431548c6cc7bae5f7d52b</t>
  </si>
  <si>
    <t>Exploring beyond simple demographic variables: Differences between traditional laboratory samples and crowdsourced online samples on the Big Five personality traits</t>
  </si>
  <si>
    <t>10.1016/j.paid.2017.06.023</t>
  </si>
  <si>
    <t>57125727700;57205745260;14048836500;</t>
  </si>
  <si>
    <t>Amazon's Mechanical Turk (MTurk), a popular crowdsourcing website, is increasingly being utilized by researchers to obtain psychological data. This transition has prompted evaluation of sourcing costs, psychometric properties, and motivations of participants. However, research is limited comparing traditional and crowdsourced participants on personality measures. Therefore, in the current study laboratory participants (drawn from three universities) and MTurk workers completed the Big Five inventory and provided demographic information using web-based surveys. Controlling for age and gender, laboratory participants were significantly lower in Openness (d̂ = 0.26), and higher in Extraversion (d̂ = 0.37), Agreeableness (d̂ = 0.15), and Neuroticism (d̂ = 0.05) than MTurk participants. However, pairwise comparisons among individual sites revealed there were means above and below that for MTurk participants for Openness and Conscientiousness. Given these differences, researchers are encouraged to consider how such personality characteristics may influence the outcomes of their research when designing and conducting psychological studies that use crowdsourcing techniques to recruit participants. © 2017 Elsevier Ltd</t>
  </si>
  <si>
    <t>Colman D.E., Vineyard J., Letzring T.D.</t>
  </si>
  <si>
    <t>https://www.scopus.com/inward/record.uri?eid=2-s2.0-85021092107&amp;doi=10.1016%2fj.paid.2017.06.023&amp;partnerID=40&amp;md5=ab4de896f08b3d579494d97c7c578dc6</t>
  </si>
  <si>
    <t>Department of Psychology, Idaho State University, United States; Idaho Center for Health Research, Idaho State University, United States</t>
  </si>
  <si>
    <t>Colman, D.E., Department of Psychology, Idaho State University, United States; Vineyard, J., Idaho Center for Health Research, Idaho State University, United States; Letzring, T.D., Department of Psychology, Idaho State University, United States</t>
  </si>
  <si>
    <t>Colman, D.E.; Idaho State University, 921 S. 8th Ave, Stop 8112, United States; email: colmdoug@isu.edu</t>
  </si>
  <si>
    <t>Exploring task properties in crowdsourcing - An empirical study on Mechanical Turk</t>
  </si>
  <si>
    <t>55484591500;16417884000;57197096561;52364038200;6602652616;</t>
  </si>
  <si>
    <t>In the last years, crowdsourcing has emerged as a new approach for outsourcing work to a large number of human workers in the form of an open call. Amazon's Mechanical Turk (MTurk) enables requesters to efficiently distribute micro tasks to an unknown workforce which selects and processes them for small financial rewards. While worker behavior and demographics as well as task design and quality management have been studied in detail, more research is needed on the relationship between workers and task design. In this paper, we conduct a series of explorative studies on task properties on MTurk. First, we identify properties that may be relevant to workers' task selection through qualitative and quantitative preliminary studies. Second, we provide a quantitative survey with 345 participants. As a result, the task properties are ranked and set into relation with the workers' demographics and background. The analysis suggests that there is little influence of education level, age, and gender. Culture may influence the importance of bonuses, however. Based on the explorative data analysis, five hypotheses for future research are derived. This paper contributes to a better understanding of task choice and implies that other factors than demographics influence workers' task selection.</t>
  </si>
  <si>
    <t>Schulze T., Seedorf S., Geiger D., Kaufmann N., Schader M.</t>
  </si>
  <si>
    <t>https://www.scopus.com/inward/record.uri?eid=2-s2.0-84870637551&amp;partnerID=40&amp;md5=a57fc108caf740bad63c4f7724f857a1</t>
  </si>
  <si>
    <t>University of Mannheim, Department in Information Systems III, Schloss, 68131 Mannheim, Germany</t>
  </si>
  <si>
    <t>Schulze, T., University of Mannheim, Department in Information Systems III, Schloss, 68131 Mannheim, Germany; Seedorf, S., University of Mannheim, Department in Information Systems III, Schloss, 68131 Mannheim, Germany; Geiger, D., University of Mannheim, Department in Information Systems III, Schloss, 68131 Mannheim, Germany; Kaufmann, N., University of Mannheim, Department in Information Systems III, Schloss, 68131 Mannheim, Germany; Schader, M., University of Mannheim, Department in Information Systems III, Schloss, 68131 Mannheim, Germany</t>
  </si>
  <si>
    <t>Schulze, T.; University of Mannheim, , Schloss, 68131 Mannheim, Germany; email: schulze@wifo.uni-mannheim.de</t>
  </si>
  <si>
    <t>Exploring the Benefits of Using Redundant Responses in Crowdsourced Evaluations</t>
  </si>
  <si>
    <t>10.1109/CSI-SE.2015.15</t>
  </si>
  <si>
    <t>35273571700;57119361700;57119084400;</t>
  </si>
  <si>
    <t>Crowdsourcing can be an efficient and cost-effective way to evaluate software engineering research, particularly when the evaluation can be broken down into small, independent tasks. In prior work, we crowdsourced evaluations for a refactoring technique for web mashups and for a source code search engine, both using Amazon's Mechanical Turk. In the refactoring study, preference information was gathered when comparing a refactored with an unrefactored pipe, in addition to a free-text justification. In the code search study, information was gathered about whether a code snippet was relevant to a programming task and why. In both studies, we used redundant metrics and gathered quantitative and qualitative data in an effort to control response quality. Our prior work only analyzed the quantitative results. In this work, we explore the value of using such redundant metrics in crowdsourced evaluations. We code the free-text responses to unveil common themes among the responses and then compare those themes with the quantitative results. Our findings indicate high similarity between the quantitative and free-text responses, that the quantitative results are sometimes more positive than the free-text response, and that some of the qualitative responses point to potential inadequacies with the quantitative questions from the studies. © 2015 IEEE.</t>
  </si>
  <si>
    <t>Stolee K.T., Saylor J., Lund T.</t>
  </si>
  <si>
    <t>Proceedings - 2nd International Workshop on CrowdSourcing in Software Engineering, CSI-SE 2015</t>
  </si>
  <si>
    <t>https://www.scopus.com/inward/record.uri?eid=2-s2.0-84958279426&amp;doi=10.1109%2fCSI-SE.2015.15&amp;partnerID=40&amp;md5=dd83afcd251b10df91720363cfa57211</t>
  </si>
  <si>
    <t>Department of Computer Science, Iowa State University, United States</t>
  </si>
  <si>
    <t>Stolee, K.T., Department of Computer Science, Iowa State University, United States; Saylor, J., Department of Computer Science, Iowa State University, United States; Lund, T., Department of Computer Science, Iowa State University, United States</t>
  </si>
  <si>
    <t>Exploring the Impact of Informal Rape Myth Education in a Nonstudent Sample</t>
  </si>
  <si>
    <t>10.1177/0886260520927496</t>
  </si>
  <si>
    <t>57216949415;55565051600;56789825200;</t>
  </si>
  <si>
    <t>Sexual assault has come to the forefront in terms of prevention and education for many social institutions such as college campuses. However, with a growing body of research highlighting the importance and effectiveness of interventions, research examining the impact of sexual assault education (SAE) on altering rape myth acceptance (RMA) among nonstudent populations is severely lacking. This is particularly problematic when considering that the issue of sexual assault extends well beyond academia in the United States. Accordingly, this study aims to fill this gap by employing an experimental design with repeated measures. Using a sample of 137 nonstudents surveyed via Amazon’s Mechanical Turk, participants were randomly assigned to a treatment (rape myth intervention) or control (unrelated video content) group. To detect changes in RMA after a short rape myth education intervention, pretest and posttest RMA scores were generated for all participants using an altered version of the Updated Illinois Rape Myth Adherence scale. The treatment video was roughly 10 min in length and constructed by the lead author for the current research. All participants were presented with common rape myths, and then, the treatment group was provided with information (e.g., available research and statistics) to “debunk” these myths, and ultimately decrease acceptance of myths. Analyses indicate support for a significant change in RMA scores from pretest to posttest in the treatment group, finding support for the use of informal rape myth education in altering immediate RMA scores of a nonstudent sample. The RMA difference scores were also examined through a demographic lens to determine if the inclusion could further explain score changes. Demographics were not deemed significant predictors. Limitations and implications are discussed. © The Author(s) 2020.</t>
  </si>
  <si>
    <t>Reddy L.N., Campbell C.M., Morczek A.L.</t>
  </si>
  <si>
    <t>https://www.scopus.com/inward/record.uri?eid=2-s2.0-85086226859&amp;doi=10.1177%2f0886260520927496&amp;partnerID=40&amp;md5=7d6468276e03503f22b1cf8d725ef99a</t>
  </si>
  <si>
    <t>Portland State UniversityOR, United States; Nevada State College, Henderson, United States</t>
  </si>
  <si>
    <t>Reddy, L.N., Portland State UniversityOR, United States; Campbell, C.M., Portland State UniversityOR, United States; Morczek, A.L., Nevada State College, Henderson, United States</t>
  </si>
  <si>
    <t>Reddy, L.N.; Portland State UniversityUnited States; email: leah.reddy@wsu.edu</t>
  </si>
  <si>
    <t>Sangaiah, A.K.; School of Computing Science and Engineering (SCSE), India; email: sarunkumar@vit.ac.in</t>
  </si>
  <si>
    <t>Exploring the structure of narcissism: Toward an integrated solution</t>
  </si>
  <si>
    <t>10.1111/jopy.12464</t>
  </si>
  <si>
    <t>57072833900;55416190700;7402861060;55547139304;</t>
  </si>
  <si>
    <t>Objective: Despite decades of work on narcissism, there remain many active areas of exploration and debate including a clear and consensual description of its underlying components. Understanding narcissism's factor structure is necessary for the precise measurement and investigation of specific psychological and behavioral processes. The aim of the current study was to explore the structure of narcissism by examining it at varying hierarchical levels. Method: Participants recruited from Amazon's Mechanical Turk (N = 591) completed 303 narcissism items encompassing 46 narcissism scales and subscales. Criterion variables measuring the five-factor model, self-esteem, aggression, and externalizing behavior were also collected. Results: A series of factor analyses reveal the factor structure of narcissism at a range of specificities. No more than five meaningful factors (i.e., Grandiosity, Neuroticism, Antagonism, Distrustful Self-reliance, Attention-seeking) were identified and the most parsimonious model appears to be a three-factor structure. Narcissism scales that effectively capture each of the identified factors are identified. Factors diverged in their associations with criterion variables. Conclusions: A three-factor model (i.e., Agentic Extraversion, Narcissistic Neuroticism, Self-centered Antagonism) seems to be the most parsimonious conceptualization. Larger factor solutions are discussed, but future research will be necessary to determine the value of these increasingly narrow factors. © 2019 Wiley Periodicals, Inc.</t>
  </si>
  <si>
    <t>Crowe M.L., Lynam D.R., Campbell W.K., Miller J.D.</t>
  </si>
  <si>
    <t>Journal of Personality</t>
  </si>
  <si>
    <t>https://www.scopus.com/inward/record.uri?eid=2-s2.0-85061983802&amp;doi=10.1111%2fjopy.12464&amp;partnerID=40&amp;md5=5a779e29c0bbebf65ff65eda909f2e8e</t>
  </si>
  <si>
    <t>Department of Psychology, University of Georgia, Athens, GA, United States; Department of Psychology, Purdue University, West Lafayette, IN, United States</t>
  </si>
  <si>
    <t>Crowe, M.L., Department of Psychology, University of Georgia, Athens, GA, United States; Lynam, D.R., Department of Psychology, Purdue University, West Lafayette, IN, United States; Campbell, W.K., Department of Psychology, University of Georgia, Athens, GA, United States; Miller, J.D., Department of Psychology, University of Georgia, Athens, GA, United States</t>
  </si>
  <si>
    <t>Crowe, M.L.; Department of Psychology, United States; email: crowem@uga.edu</t>
  </si>
  <si>
    <t>FACeTOR: Cost-driven exploration of faceted query results</t>
  </si>
  <si>
    <t>10.1145/1871437.1871530</t>
  </si>
  <si>
    <t>26666009300;6507537461;6507213803;</t>
  </si>
  <si>
    <t>Faceted navigation is being increasingly employed as an effective technique for exploring large query results on structured databases. This technique of mitigating information-overload leverages metadata of the query results to provide users with facet conditions that can be used to progressively refine the user's query and filter the query results. However, the number of facet conditions can be quite large, thereby increasing the burden on the user. We present the FACeTOR system that proposes a cost-based approach to faceted navigation. At each step of the navigation, the user is presented with a subset of all possible facet conditions that are selected such that the overall expected navigation cost is minimized and every result is guaranteed to be reachable by a facet condition. We prove that the problem of selecting the optimal facet conditions at each navigation step is NP-Hard, and subsequently present two intuitive heuristics employed by FACeTOR. Our user study at Amazon Mechanical Turk shows that FACeTOR reduces the user navigation time compared to the cutting edge commercial and academic faceted search algorithms. The user study also confirms the validity of our cost model. We also present the results of an extensive experimental evaluation on the performance of the proposed approach using two real datasets. FACeTOR is available at http://db.cse.buffalo. edu/facetor/. © 2010 ACM.</t>
  </si>
  <si>
    <t>Kashyap A., Hristidis V., Petropoulos M.</t>
  </si>
  <si>
    <t>https://www.scopus.com/inward/record.uri?eid=2-s2.0-78651268983&amp;doi=10.1145%2f1871437.1871530&amp;partnerID=40&amp;md5=7b45147ba7633d56ba858591318f682f</t>
  </si>
  <si>
    <t>Computer Science and Engineering, SUNY at Buffalo, Buffalo, NY 14260, United States; Computing and Information Sciences, Florida International University, Miami, FL 33199, United States</t>
  </si>
  <si>
    <t>Kashyap, A., Computer Science and Engineering, SUNY at Buffalo, Buffalo, NY 14260, United States; Hristidis, V., Computing and Information Sciences, Florida International University, Miami, FL 33199, United States; Petropoulos, M., Computer Science and Engineering, SUNY at Buffalo, Buffalo, NY 14260, United States</t>
  </si>
  <si>
    <t>Kashyap, A.; Computer Science and Engineering, , Buffalo, NY 14260, United States; email: rk39@buffalo.edu</t>
  </si>
  <si>
    <t>Factor structure and gender invariance testing for the sport anxiety scale-2 (SAS-2)</t>
  </si>
  <si>
    <t>10.1123/jcsp.2016-0036</t>
  </si>
  <si>
    <t>55641181500;55907914400;56188385800;8381776600;7102364738;</t>
  </si>
  <si>
    <t>This study aimed to provide further psychometric validation of the Sport Anxiety Scale-2 (SAS-2) by assessing the factor structure, invariance across gender, and convergent and divergent validity of the SAS-2 by correlating both related (i.e., anxiety sensitivity, brief fear of negative evaluation, intolerance of uncertainty, and negative affect) and unrelated constructs (i.e., positive affect, self-confidence). A total of 542 current and former competitive athletes completed a questionnaire through Amazon’s Mechanical Turk system. All data were collected via online survey. Participants were randomly assigned to an exploratory factor analysis (n = 271) and confirmatory factor analysis group (n = 271). Results indicated that both exploratory and confirmatory factor analyses supported the three-factor model of anxiety involving somatic anxiety, worry, and concentration disruption. Additionally, this study found the SAS-2 to be reliable, gender invariant, and have strong construct validity. Our findings extend the generalizability of the SAS-2 in more varied populations of athletic backgrounds. © 2018 Human Kinetics, Inc.</t>
  </si>
  <si>
    <t>Madrigal L.A., Roma V., Caze T., Maerlender A., Hope D.</t>
  </si>
  <si>
    <t>Journal of Clinical Sport Psychology</t>
  </si>
  <si>
    <t>https://www.scopus.com/inward/record.uri?eid=2-s2.0-85050596204&amp;doi=10.1123%2fjcsp.2016-0036&amp;partnerID=40&amp;md5=612c032a6c7a28ac174daea757a68e6c</t>
  </si>
  <si>
    <t>Dept. of Kinesiology, California State University Long Beach, Long Beach, CA, United States; Dept. of Psychology, University of Nebraska-Lincoln, Lincoln, NE, United States; Center for Brain, Biology, &amp; Behavior, University of Nebraska-Lincoln, Lincoln, NE, United States</t>
  </si>
  <si>
    <t>Madrigal, L.A., Dept. of Kinesiology, California State University Long Beach, Long Beach, CA, United States; Roma, V., Dept. of Psychology, University of Nebraska-Lincoln, Lincoln, NE, United States; Caze, T., Dept. of Psychology, University of Nebraska-Lincoln, Lincoln, NE, United States; Maerlender, A., Center for Brain, Biology, &amp; Behavior, University of Nebraska-Lincoln, Lincoln, NE, United States; Hope, D., Dept. of Psychology, University of Nebraska-Lincoln, Lincoln, NE, United States</t>
  </si>
  <si>
    <t>Madrigal, L.A.; Dept. of Kinesiology, United States; email: leilani.madrigal@csulb.edu</t>
  </si>
  <si>
    <t>Factor structure of the Internalized Homonegativity Inventory (IHNI)</t>
  </si>
  <si>
    <t>10.1037/sgd0000245</t>
  </si>
  <si>
    <t>57192893655;57194683158;6603039278;</t>
  </si>
  <si>
    <t>This article presents results from a psychometric evaluation of the Internalized Homonegativity Inventory (IHNI; Mayfield, 2001), a widely used scale for measuring internalized heterosexism in gay men. The IHNI was initially reported to consist of 3 correlated factors-Personal Homonegativity, Gay Affirmation, and Morality of Homosexuality-and our work represents the first attempt to test this assertion using latent variable modeling. Confirmatory factor analysis was conducted on data from 230 gay men recruited through Amazon Mechanical Turk. To improve model fit, and consistent with theoretical rationale, 2 gay affirmation items were rearranged to load onto different factors. Statistical evidence then indicated that the items adequately measured their respective factors. Bifactor modeling further suggested that although a single factor did not fully represent the construct, reliable variance on the IHNI largely originated from a unidimensional continuum on which individual differences in gay men's internalized heterosexism are distributed. These results advance additional validity evidence related to the IHNI's factor structure and offer some support for computing a mean total score and ipsatized subscale scores in applied research. Future validation studies should investigate response processes, consequences of test use in research and clinical settings, as well as relations to theoretically and clinically relevant criterion variables. Similarly, further work is needed to explore effective ways to use the IHNI in psychological assessment, psychotherapy, and other therapeutic capacities. © 2017 American Psychological Association.</t>
  </si>
  <si>
    <t>Choi A.Y., Merrill C.R.S., Israel T.</t>
  </si>
  <si>
    <t>https://www.scopus.com/inward/record.uri?eid=2-s2.0-85030547860&amp;doi=10.1037%2fsgd0000245&amp;partnerID=40&amp;md5=1d02b74c31cfb023e37e24b7c6544d9e</t>
  </si>
  <si>
    <t>Department of Counseling Clinical, School Psychology, University of California, Santa Barbara, Santa Barbara, CA  93106, United States</t>
  </si>
  <si>
    <t>Choi, A.Y., Department of Counseling Clinical, School Psychology, University of California, Santa Barbara, Santa Barbara, CA  93106, United States; Merrill, C.R.S., Department of Counseling Clinical, School Psychology, University of California, Santa Barbara, Santa Barbara, CA  93106, United States; Israel, T., Department of Counseling Clinical, School Psychology, University of California, Santa Barbara, Santa Barbara, CA  93106, United States</t>
  </si>
  <si>
    <t>Choi, A.Y.; Department of Counseling Clinical, United States; email: achoi@ucsb.edu</t>
  </si>
  <si>
    <t>Factors predicting desired autonomy in medical decisions: Risk-taking and gambling behaviors</t>
  </si>
  <si>
    <t>10.1177/2055102916651267</t>
  </si>
  <si>
    <t>35179460000;57193728007;57193719769;57193718734;</t>
  </si>
  <si>
    <t>This study investigated factors that influence patients’ desired level of autonomy in medical decisions. Analyses included previously supported demographic variables in addition to risk-taking and gambling behaviors, which exhibit a strong relationship with overall health and decision-making, but have not been investigated in conjunction with medical autonomy. Participants (N = 203) completed measures on Amazon’s Mechanical Turk, including two measures of autonomy. Two hierarchical regressions revealed that the predictors explained a significant amount of variance for both measures, but the contribution of predictor variables was incongruent between models. Possible causes for this incongruence and implications for patient-physician interactions are discussed. © The Author(s) 2016.</t>
  </si>
  <si>
    <t>Fortune E.E., Shotwell J.J., Buccellato K., Moran E.</t>
  </si>
  <si>
    <t>Health Psychology Open</t>
  </si>
  <si>
    <t>https://www.scopus.com/inward/record.uri?eid=2-s2.0-85016133351&amp;doi=10.1177%2f2055102916651267&amp;partnerID=40&amp;md5=2db3f6add0f97b54f6914b0666e47779</t>
  </si>
  <si>
    <t>Arcadia University, United States; University of Georgia, United States</t>
  </si>
  <si>
    <t>Fortune, E.E., Arcadia University, United States; Shotwell, J.J., Arcadia University, United States, University of Georgia, United States; Buccellato, K., Arcadia University, United States; Moran, E., Arcadia University, United States</t>
  </si>
  <si>
    <t>Fortune, E.E.; Arcadia University, 450 S. Easton Road, United States; email: fortunee@arcadia.edu</t>
  </si>
  <si>
    <t>Fashion-focused creative commons social dataset</t>
  </si>
  <si>
    <t>10.1145/2483977.2483984</t>
  </si>
  <si>
    <t>27467517900;56539938800;35102057200;57265480200;55513231500;6507657395;15125029400;55971366400;54581717100;56574709600;</t>
  </si>
  <si>
    <t>In this work, we present a fashion-focused Creative Commons dataset, which is designed to contain a mix of general images as well as a large component of images that are focused on fashion (i.e., relevant to particular clothing items or fashion accessories). The dataset contains 4810 images and related metadata. Furthermore, a ground truth on image's tags is presented. Ground truth generation for large-scale datasets is a necessary but expensive task. Traditional expert based approaches have become an expensive and non-scalable solution. For this reason, we turn to crowdsourcing techniques in order to collect ground truth labels; in particular we make use of the commercial crowdsourcing platform, Amazon Mechanical Turk (AMT). Two different groups of annotators (i.e., trusted annotators known to the authors and crowdsourcing workers on AMT) participated in the ground truth creation. Annotation agreement between the two groups is analyzed. Applications of the dataset in different contexts are discussed. This dataset contributes to research areas such as crowdsourcing for multimedia, multimedia content analysis, and design of systems that can elicit fashion preferences from users. © 2013 ACM.</t>
  </si>
  <si>
    <t>Loni B., Menendez M., Georgescu M., Galli L., Massari C., Altingovde I.S., Martinenghi D., Melenhorst M., Vliegendhart R., Larson M.</t>
  </si>
  <si>
    <t>Proceedings of the 4th ACM Multimedia Systems Conference, MMSys 2013</t>
  </si>
  <si>
    <t>https://www.scopus.com/inward/record.uri?eid=2-s2.0-84877982691&amp;doi=10.1145%2f2483977.2483984&amp;partnerID=40&amp;md5=a3bd92a3c86fa5ffb9ccbfc2051ee83c</t>
  </si>
  <si>
    <t>DMIR Lab., Delft University of Technology, Netherlands; Department of Computer and Information Science, University of Trento, Italy; L3S Research Center, Germany; Department of Electronic and Informatics, Polytechnic of Milan, Italy; Innovation Engineering, Italy; Novay, Netherlands</t>
  </si>
  <si>
    <t>Loni, B., DMIR Lab., Delft University of Technology, Netherlands; Menendez, M., Department of Computer and Information Science, University of Trento, Italy; Georgescu, M., L3S Research Center, Germany; Galli, L., Department of Electronic and Informatics, Polytechnic of Milan, Italy; Massari, C., Innovation Engineering, Italy; Altingovde, I.S., L3S Research Center, Germany; Martinenghi, D., Department of Electronic and Informatics, Polytechnic of Milan, Italy; Melenhorst, M., Novay, Netherlands; Vliegendhart, R., DMIR Lab., Delft University of Technology, Netherlands; Larson, M., DMIR Lab., Delft University of Technology, Netherlands</t>
  </si>
  <si>
    <t>DMIR Lab., Netherlands</t>
  </si>
  <si>
    <t>Fast, cheap, and creative: Evaluating translation quality using Amazon's Mechanical Turk</t>
  </si>
  <si>
    <t>23392090500;</t>
  </si>
  <si>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 © 2009 ACL and AFNLP.</t>
  </si>
  <si>
    <t>Callison-Burch C.</t>
  </si>
  <si>
    <t>EMNLP 2009 - Proceedings of the 2009 Conference on Empirical Methods in Natural Language Processing: A Meeting of SIGDAT, a Special Interest Group of ACL, Held in Conjunction with ACL-IJCNLP 2009</t>
  </si>
  <si>
    <t>https://www.scopus.com/inward/record.uri?eid=2-s2.0-80053402398&amp;partnerID=40&amp;md5=9eb35c2e81f62a3a66bf35131c46e888</t>
  </si>
  <si>
    <t>Center for Language and Speech Processing, Johns Hopkins University, Baltimore, MD, United States</t>
  </si>
  <si>
    <t>Callison-Burch, C., Center for Language and Speech Processing, Johns Hopkins University, Baltimore, MD, United States</t>
  </si>
  <si>
    <t>Callison-Burch, C.; Center for Language and Speech Processing, , Baltimore, MD, United States; email: ccb@cs.jhu.edu</t>
  </si>
  <si>
    <t>Father Participation in Child Psychopathology Research</t>
  </si>
  <si>
    <t>10.1007/s10802-016-0254-5</t>
  </si>
  <si>
    <t>36613525500;7102147882;57191754198;57140665500;16317321100;</t>
  </si>
  <si>
    <t>The purpose of the current study was two-fold: (1) To examine time trends of the inclusion of fathers in child psychopathology research from 2005 to 2015; and (2) to examine online crowdsourcing as a method to recruit and study fathers. In study 1, findings indicated that, relative to two earlier reviews of father participation from 1984 to 1991 and 1992–2004, there has been limited progress in the inclusion of fathers in child psychopathology research over the last decade. In study 2, without explicit efforts to recruit fathers, almost 40% of a sample of 564 parents recruited from online crowdsourcing (Amazon’s Mechanical Turk) were fathers. Major demographic differences did not emerge between mother and father participants and data were equally reliable for mothers and fathers. Fathers were more likely to drop out over the course of a 12-month follow-up but these differences in retention between mothers and fathers were non-significant if fathers were retained at a 2-week follow-up. Finally, family process models tested across four assessments (baseline, 4, 8, and 12 month follow-ups) indicated that data from fathers are equally supportive of convergent validity as data from mothers. We concluded that online crowdsourcing is a promising recruitment methodology to increase father participation in child psychopathology research. © 2017, Springer Science+Business Media New York.</t>
  </si>
  <si>
    <t>Parent J., Forehand R., Pomerantz H., Peisch V., Seehuus M.</t>
  </si>
  <si>
    <t>Journal of Abnormal Child Psychology</t>
  </si>
  <si>
    <t>https://www.scopus.com/inward/record.uri?eid=2-s2.0-85008440582&amp;doi=10.1007%2fs10802-016-0254-5&amp;partnerID=40&amp;md5=966222d1b1f0acc8d9060f6abf14c849</t>
  </si>
  <si>
    <t>University of Vermont, 2 Colchester Ave, Burlington, VT  05405, United States; Department of Psychiatry and Human Behavior, Alpert Medical School of Brown University, Providence, RI, United States; Middlebury College, Middlebury, VT  05753, United States</t>
  </si>
  <si>
    <t>Parent, J., University of Vermont, 2 Colchester Ave, Burlington, VT  05405, United States, Department of Psychiatry and Human Behavior, Alpert Medical School of Brown University, Providence, RI, United States; Forehand, R., University of Vermont, 2 Colchester Ave, Burlington, VT  05405, United States; Pomerantz, H., University of Vermont, 2 Colchester Ave, Burlington, VT  05405, United States; Peisch, V., University of Vermont, 2 Colchester Ave, Burlington, VT  05405, United States; Seehuus, M., Middlebury College, Middlebury, VT  05753, United States</t>
  </si>
  <si>
    <t>Parent, J.; University of Vermont, 2 Colchester Ave, United States; email: justin_parent@brown.edu</t>
  </si>
  <si>
    <t>Fear and Psychopathology During the COVID-19 Crisis: Neuroticism, Hypochondriasis, Reassurance-Seeking, and Coronaphobia as Fear Factors</t>
  </si>
  <si>
    <t>10.1177/0030222820949350</t>
  </si>
  <si>
    <t>35119161300;57056383100;</t>
  </si>
  <si>
    <t>The COVID-19 pandemic has generated a rise in psychological distress worldwide. Although fear appears to be a major contributing factor, there has been no systematic research to determine which specific facets of fear predict psychopathology during the coronavirus crisis. The present study is the first to examine which fear factors uniquely predict clinical levels of depressive symptoms and generalized anxiety. Data were collected from 256 adults in the United States recruited from Amazon’s Mechanical Turk (MTurk) during the coronavirus pandemic. The results from logistic regression analyses demonstrated that neuroticism, coronaphobia, and hypochondriasis were fear factors that predicted pandemic-related psychopathology in adults. These findings suggest that mental health professionals should screen individuals for this set of fear factors when choosing appropriate assessments and interventions for treating people who are suffering during the crisis. © The Author(s) 2020.</t>
  </si>
  <si>
    <t>Lee S.A., Crunk E.A.</t>
  </si>
  <si>
    <t>Omega (United States)</t>
  </si>
  <si>
    <t>https://www.scopus.com/inward/record.uri?eid=2-s2.0-85089145237&amp;doi=10.1177%2f0030222820949350&amp;partnerID=40&amp;md5=4bbb0a79460c62eb4d09553a67f8704b</t>
  </si>
  <si>
    <t>Department of Psychology, Christopher Newport University, Newport News, VA, United States; Counseling and Human Development, The George Washington University, Washington, DC, United States</t>
  </si>
  <si>
    <t>Lee, S.A., Department of Psychology, Christopher Newport University, Newport News, VA, United States; Crunk, E.A., Counseling and Human Development, The George Washington University, Washington, DC, United States</t>
  </si>
  <si>
    <t>Lee, S.A.; Department of Psychology, United States; email: sherman.lee@cnu.edu</t>
  </si>
  <si>
    <t>Filling the blanks (hint: Plural noun) for Mad Libs® humor</t>
  </si>
  <si>
    <t>10.18653/v1/d17-1067</t>
  </si>
  <si>
    <t>55348314100;6701617326;56118814700;6701318945;7005697997;</t>
  </si>
  <si>
    <t>Computerized generation of humor is a notoriously difficult AI problem. We develop an algorithm called Libitum that helps humans generate humor in a Mad Lib® ,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 © 2017 Association for Computational Linguistics.</t>
  </si>
  <si>
    <t>Hossain N., Krumm J., Vanderwende L., Horvitz E., Kautz H.</t>
  </si>
  <si>
    <t>EMNLP 2017 - Conference on Empirical Methods in Natural Language Processing, Proceedings</t>
  </si>
  <si>
    <t>https://www.scopus.com/inward/record.uri?eid=2-s2.0-85050619827&amp;doi=10.18653%2fv1%2fd17-1067&amp;partnerID=40&amp;md5=06b7080810e2f0da169afd0df82b6f33</t>
  </si>
  <si>
    <t>Department of Computer Science, University of Rochester, United States; Microsoft Research AI Redmond, Washington, United States</t>
  </si>
  <si>
    <t>Hossain, N., Department of Computer Science, University of Rochester, United States; Krumm, J., Microsoft Research AI Redmond, Washington, United States; Vanderwende, L., Microsoft Research AI Redmond, Washington, United States; Horvitz, E., Microsoft Research AI Redmond, Washington, United States; Kautz, H., Department of Computer Science, University of Rochester, United States</t>
  </si>
  <si>
    <t>Finding mental health providers in the United States: a national survey and implications for policy and practice</t>
  </si>
  <si>
    <t>10.1080/09638237.2019.1677867</t>
  </si>
  <si>
    <t>54279555300;7201786926;</t>
  </si>
  <si>
    <t>Background: Research suggests that a major barrier to mental health treatment is not knowing where to go for services, yet little is known about the specific steps people take to find treatment. Aims: To (1) understand the process people would undertake if they decided they needed mental health treatment and (2) examine how well the process that current non-treatment-seeking individuals describe matches that used by individuals currently in treatment. Methods: Adults recruited online via Amazon’s Mechanical Turk (N = 669) answered questions about finding a mental health provider. Participants who had (N = 167) and had not (N = 502) seen a mental health provider in the past month were compared. Results: Both groups indicated they would rely on Internet searches and recommendations of family, friends and physicians to find mental health providers. The order in which participants indicated they would use each step was similar across groups as was participants’ confidence these steps would help them find a provider. Differences emerged in the factors each group indicated were important to their selection of a provider. Conclusions: Results can inform mental health providers and policy makers regarding the importance of clear and informative online mental health information, including thorough information about appropriate mental health providers. © 2019 Informa UK Limited, trading as Taylor &amp; Francis Group.</t>
  </si>
  <si>
    <t>Ward-Ciesielski E.F., Rizvi S.L.</t>
  </si>
  <si>
    <t>Journal of Mental Health</t>
  </si>
  <si>
    <t>https://www.scopus.com/inward/record.uri?eid=2-s2.0-85074498307&amp;doi=10.1080%2f09638237.2019.1677867&amp;partnerID=40&amp;md5=c66f5eec60cee6776ba997952035fa70</t>
  </si>
  <si>
    <t>Department of Psychology, Hofstra University, Hempstead, NY, United States; Graduate School of Applied and Professional Psychology, Rutgers University, Piscataway, NJ, United States</t>
  </si>
  <si>
    <t>Ward-Ciesielski, E.F., Department of Psychology, Hofstra University, Hempstead, NY, United States; Rizvi, S.L., Graduate School of Applied and Professional Psychology, Rutgers University, Piscataway, NJ, United States</t>
  </si>
  <si>
    <t>Ward-Ciesielski, E.F.; Department of Psychology, United States</t>
  </si>
  <si>
    <t>Firearm Ownership, Means Safety, and Suicidality</t>
  </si>
  <si>
    <t>10.1111/sltb.12509</t>
  </si>
  <si>
    <t>15821688600;55191309000;45661164100;</t>
  </si>
  <si>
    <t>Objective: Means safety interventions are effective at reducing suicide rates. This study examined beliefs about firearm ownership or storage and suicide risk, lifetime suicidal thoughts, and openness to means safety. Method: A community sample of 107 American adult firearm owners (51.4% male; 82.2% White; mage = 37.46) completed a series of self-report questionnaires via Amazon's Mechanical Turk. Results: Hierarchical linear regressions indicated that beliefs regarding firearm ownership or storage were associated with openness to means safety measures to prevent a suicide attempt by someone else, but not to prevent one's own suicide attempt. Additionally, results from analyses of covariance indicated that firearm owners with lifetime ideation had stronger beliefs regarding the association between firearm ownership or storage and suicide risk. Conclusions: Findings indicate firearm owners’ willingness to engage in means safety may be influenced by the degree to which they believe firearm storage is associated with suicide. Furthermore, firearm owners with prior suicide ideation are more open to the idea that firearm ownership and storage are related to suicide risk. Viewing suicide as salient to one's own life may serve as a focal point in efforts to increase openness to means safety among firearm owners. © 2018 The American Association of Suicidology</t>
  </si>
  <si>
    <t>Anestis M.D., Daruwala S., Capron D.W.</t>
  </si>
  <si>
    <t>Suicide and Life-Threatening Behavior</t>
  </si>
  <si>
    <t>https://www.scopus.com/inward/record.uri?eid=2-s2.0-85052810471&amp;doi=10.1111%2fsltb.12509&amp;partnerID=40&amp;md5=ba55fb51ffe26ccd06b27871a54047f6</t>
  </si>
  <si>
    <t>School of Psychology, University of Southern Mississippi, Hattiesburg, MS, United States</t>
  </si>
  <si>
    <t>Anestis, M.D., School of Psychology, University of Southern Mississippi, Hattiesburg, MS, United States; Daruwala, S., School of Psychology, University of Southern Mississippi, Hattiesburg, MS, United States; Capron, D.W., School of Psychology, University of Southern Mississippi, Hattiesburg, MS, United States</t>
  </si>
  <si>
    <t>Anestis, M.D.; School of Psychology, United States; email: michael.anestis@usm.edu</t>
  </si>
  <si>
    <t>First, do no harm: Institutional betrayal and trust in health care organizations</t>
  </si>
  <si>
    <t>10.2147/JMDH.S125885</t>
  </si>
  <si>
    <t>7501658990;</t>
  </si>
  <si>
    <t>Purpose: Patients’ trust in health care is increasingly recognized as important to quality care, yet questions remain about what types of health care experiences erode trust. The current study assessed the prevalence and impact of institutional betrayal on patients’ trust and engagement in health care. Participants and methods: Participants who had sought health care in the US in October 2013 were recruited from an online marketplace, Amazon’s Mechanical Turk. Participants (n = 707; 73% Caucasian; 56.8% female; 9.8% lesbian, gay, or bisexual; median age between 18 and 35 years) responded to survey questions about health care use, trust in health care providers and organizations, negative medical experiences, and institutional betrayal. Results: Institutional betrayal was reported by two-thirds of the participants and predicted disengagement from health care (r = 0.36, p &lt; 0.001). Mediational models (tested using bootstrapping analyses) indicated a negative, nonzero pathway between institutional betrayal and trust in health care organizations (b = -0.05, 95% confidence interval [CI] = [-0.07, -0.02]), controlling for trust in physicians and hospitalization history. These negative effects were not buffered by trust in one’s own physician, but in fact patients who trusted their physician more reported lower trust in health care organizations following negative medical events (interaction b = -0.02, 95%CI = [-0.03, -0.01]). Conclusion: Clinical implications are discussed, concluding that institutional betrayal decreases patient trust and engagement in health care. © 2017 Smith.</t>
  </si>
  <si>
    <t>Smith C.P.</t>
  </si>
  <si>
    <t>Journal of Multidisciplinary Healthcare</t>
  </si>
  <si>
    <t>https://www.scopus.com/inward/record.uri?eid=2-s2.0-85017410501&amp;doi=10.2147%2fJMDH.S125885&amp;partnerID=40&amp;md5=e9662ccdadb07ed94d1a3bc37dde85b7</t>
  </si>
  <si>
    <t>Department of Psychology, University of Oregon, Eugene, OR, United States</t>
  </si>
  <si>
    <t>Smith, C.P., Department of Psychology, University of Oregon, Eugene, OR, United States</t>
  </si>
  <si>
    <t>Smith, C.P.; Penn State University College of Medicine, 500 University Drive, United States; email: csmith34@pennstatehealth.psu.edu</t>
  </si>
  <si>
    <t>Follow-the-sun methodology in a stochastic modeling perspective</t>
  </si>
  <si>
    <t>10.1109/ICGSE-W.2011.26</t>
  </si>
  <si>
    <t>57203848743;7102795205;13612977400;8944846500;57199742377;57193088183;</t>
  </si>
  <si>
    <t>Stochastic modeling of globally distributed projects has become a way to evaluate the performance of teams working in different time zones. The interest in extracting and analyzing quantitative data from geographically dispersed teams has grown throughout the years as major development companies were attracted by potential benefits. We direct our attention to Follow-The-Sun (FTS), a special case of globally distributed projects, where work is handed off every day from one development site to the next on a different time zone. The main benefit of FTS is to reduce project duration providing continuous software development. Our objective in this paper is to discuss a formal mapping of FTS characteristics to a stochastic model in order to predict performance indices of teams such as availability and risk assessment. The modeling effort aims to enhance understanding and feasibility evaluation for FTS projects. © 2011 IEEE.</t>
  </si>
  <si>
    <t>Czekster R.M., Fernandes P., Prikladnicki R., Sales A., Santos A.R., Webber T.</t>
  </si>
  <si>
    <t>Proceedings - 2011 6th IEEE International Conference on Global Software Engineering Workshops, ICGSE Workshops 2011</t>
  </si>
  <si>
    <t>https://www.scopus.com/inward/record.uri?eid=2-s2.0-82855169636&amp;doi=10.1109%2fICGSE-W.2011.26&amp;partnerID=40&amp;md5=f524566dbdaa07a196b864a047cce7a7</t>
  </si>
  <si>
    <t>Czekster, R.M., Pontifícia Universidade Católica Do Rio Grande Do Sul, Av. Ipiranga, 6681 - Prédio 32, 90619-900 - Porto Alegre, Brazil; Fernandes, P., Pontifícia Universidade Católica Do Rio Grande Do Sul, Av. Ipiranga, 6681 - Prédio 32, 90619-900 - Porto Alegre, Brazil; Prikladnicki, R., Pontifícia Universidade Católica Do Rio Grande Do Sul, Av. Ipiranga, 6681 - Prédio 32, 90619-900 - Porto Alegre, Brazil; Sales, A., Pontifícia Universidade Católica Do Rio Grande Do Sul, Av. Ipiranga, 6681 - Prédio 32, 90619-900 - Porto Alegre, Brazil; Santos, A.R., Pontifícia Universidade Católica Do Rio Grande Do Sul, Av. Ipiranga, 6681 - Prédio 32, 90619-900 - Porto Alegre, Brazil; Webber, T., Pontifícia Universidade Católica Do Rio Grande Do Sul, Av. Ipiranga, 6681 - Prédio 32, 90619-900 - Porto Alegre, Brazil</t>
  </si>
  <si>
    <t>Czekster, R.M.; Pontifícia Universidade Católica Do Rio Grande Do Sul, Av. Ipiranga, 6681 - Prédio 32, 90619-900 - Porto Alegre, Brazil; email: ricardo.czekster@pucrs.br</t>
  </si>
  <si>
    <t>Fostering brand–consumer interactions in social media: the role of social media uses and gratifications</t>
  </si>
  <si>
    <t>10.1108/JRIM-08-2019-0138</t>
  </si>
  <si>
    <t>57218714936;</t>
  </si>
  <si>
    <t>Purpose: An increasing number of brands are using algorithms to embed brand-related content to targeted consumers’ social media pages. This paper aims to analyze how do consumers’ motives of using social media in general influence their potential brand–consumer interactions and the following branding outcomes. To examine this, this study selected Facebook as the social media platform and Nike as the brand to conduct an online survey experiment to examine the effects of social media usage motives on consumers’ interactions with the brand in social media. Design/methodology/approach: An online survey experiment using Nike’s Facebook page as the stimuli was conducted to analyze the interactions between consumers and a specific brand’s social media page in a natural setting. Data were collected in the USA via Amazon’s Mechanical Turk (MTurk). Findings: This study demonstrated that brand–consumer interactions, both content-consumption and content-contribution intentions, can be fostered by certain motives of using social media: information-seeking and self-identity. This study also suggested that content-consumption behavior has significant associations with consumers’ positive attitudes toward the brand’s social media pages, while content-contribution behavior does not show significant effects. Originality/value: This study provides new insights about how consumers’ general motives of social media usage influence their intentions to interact with the brand in social media from two levels (i.e. content-consumption and content-contribution). © 2020, Emerald Publishing Limited.</t>
  </si>
  <si>
    <t>Qin Y.S.</t>
  </si>
  <si>
    <t>Journal of Research in Interactive Marketing</t>
  </si>
  <si>
    <t>https://www.scopus.com/inward/record.uri?eid=2-s2.0-85090141329&amp;doi=10.1108%2fJRIM-08-2019-0138&amp;partnerID=40&amp;md5=4c1173067519466dfaeb64cc8a29cf85</t>
  </si>
  <si>
    <t>Department of Public Relations, College of Journalism and Communications, University of Florida, Gainesville, FL, United States</t>
  </si>
  <si>
    <t>Qin, Y.S., Department of Public Relations, College of Journalism and Communications, University of Florida, Gainesville, FL, United States</t>
  </si>
  <si>
    <t>Qin, Y.S.; Department of Public Relations, United States; email: qinyf1995@ufl.edu</t>
  </si>
  <si>
    <t>Framework for conducting tasks requiring human assessment</t>
  </si>
  <si>
    <t>10.21437/Interspeech.2019-8009</t>
  </si>
  <si>
    <t>36602658800;56352141400;8698330200;</t>
  </si>
  <si>
    <t>This paper presents a web-based framework that improves and simplifies the design and the deployment of tasks that require human input. These tasks may include speech, text or image transcription, annotation and evaluation. The focus is on listening tests for the purpose of a speech synthesis quality assessment. The framework is quite flexible, i.e. many different types of tasks can be prepared and presented to participants. The participants can then work on the tasks via a user-friendly GUI and their responses are recorded in a database. The framework is ready to be integrated as an external task for Amazon Mechanical Turk but it can also be used as a stand-alone platform. Copyright © 2019 ISCA</t>
  </si>
  <si>
    <t>Grůber M., Chýlek A., Matoušek J.</t>
  </si>
  <si>
    <t>Proceedings of the Annual Conference of the International Speech Communication Association, INTERSPEECH</t>
  </si>
  <si>
    <t>https://www.scopus.com/inward/record.uri?eid=2-s2.0-85074722239&amp;doi=10.21437%2fInterspeech.2019-8009&amp;partnerID=40&amp;md5=b9f7590cd57c5e72278810df09a2402b</t>
  </si>
  <si>
    <t>New Technologies for the Information Society (NTIS), Faculty of Applied Sciences, University of West Bohemia, Czech Republic</t>
  </si>
  <si>
    <t>Grůber, M., New Technologies for the Information Society (NTIS), Faculty of Applied Sciences, University of West Bohemia, Czech Republic; Chýlek, A., New Technologies for the Information Society (NTIS), Faculty of Applied Sciences, University of West Bohemia, Czech Republic; Matoušek, J., New Technologies for the Information Society (NTIS), Faculty of Applied Sciences, University of West Bohemia, Czech Republic</t>
  </si>
  <si>
    <t>Framework supporting team and project activities in Global Software Development (GSD)</t>
  </si>
  <si>
    <t>10.1109/ICET.2012.6375435</t>
  </si>
  <si>
    <t>57212911614;57188994143;</t>
  </si>
  <si>
    <t>Today software's are developed globally due to reasons like costs, availability of expertise etc. Global software development (GSD) besides its advantages, involves many problems that development teams face, which affects software quality. The problems mainly come in coordination, communication, and project planning and project management for geographically dispersed teams. We surveyed the technological issues involved in detail from literature and proposed solution in the form of framework that will help to mitigate the problems. © 2012 IEEE.</t>
  </si>
  <si>
    <t>Tariq A., Khan A.A.</t>
  </si>
  <si>
    <t>Proceedings - 2012 International Conference on Emerging Technologies, ICET 2012</t>
  </si>
  <si>
    <t>https://www.scopus.com/inward/record.uri?eid=2-s2.0-84871943885&amp;doi=10.1109%2fICET.2012.6375435&amp;partnerID=40&amp;md5=f5c54a34adbd755781034cf62ad2d527</t>
  </si>
  <si>
    <t>Department of Software Engineering, Mirpur University of Science and Technology, Mirpur AJK, Pakistan; Department of Software Engineering, Fatima Jinnah Women University, Rawalpindi, Pakistan</t>
  </si>
  <si>
    <t>Tariq, A., Department of Software Engineering, Mirpur University of Science and Technology, Mirpur AJK, Pakistan; Khan, A.A., Department of Software Engineering, Fatima Jinnah Women University, Rawalpindi, Pakistan</t>
  </si>
  <si>
    <t>Tariq, A.; Department of Software Engineering, , Mirpur AJK, Pakistan; email: anum_tariq11@hotmail.com</t>
  </si>
  <si>
    <t>Framing of summary risk/safety information and app selection</t>
  </si>
  <si>
    <t>10.1177/1541931214581305</t>
  </si>
  <si>
    <t>55287036300;36185425600;7101687932;16401839500;</t>
  </si>
  <si>
    <t>Participants recruited on Amazon's Mechanical Turk performed a series of tasks in which they chose two Android apps from a list of six. Summary risk/safety information for each app was displayed in the form of one to five filled circles: The number of filled circles specified increasing risk for half of the participants and increasing safety for the other half. This summary information influenced the participants' decisions, particularly when the app had high user ratings and when the decision was framed in terms of safety rather than risk. Participants indicated that they attended more to the risk/safety information when it was conveyed as amount of safety, and they showed better comprehension of what the index was conveying for safety as opposed to risk. The results imply that development of a valid risk/safety index for apps will improve users' app-selection decisions, particularly if that information is displayed as amount of safety. Copyright 2014 Human Factors and Ergonomics Society.</t>
  </si>
  <si>
    <t>Chen J., Gates C.S., Proctor R.W., Li N.</t>
  </si>
  <si>
    <t>Proceedings of the Human Factors and Ergonomics Society</t>
  </si>
  <si>
    <t>https://www.scopus.com/inward/record.uri?eid=2-s2.0-84928160291&amp;doi=10.1177%2f1541931214581305&amp;partnerID=40&amp;md5=5591ca5e4597cdce056d8b33d92fb5b4</t>
  </si>
  <si>
    <t>Purdue University, United States</t>
  </si>
  <si>
    <t>Chen, J., Purdue University, United States; Gates, C.S., Purdue University, United States; Proctor, R.W., Purdue University, United States; Li, N., Purdue University, United States</t>
  </si>
  <si>
    <t>Frenzy: A platform for friendsourcing</t>
  </si>
  <si>
    <t>35174165400;56135199100;7003334103;7004487828;</t>
  </si>
  <si>
    <t>Although micro-task crowdwork was popularized by the Mechanical Turk (MTurk) labor-market platform, it is useful in many other contexts and communities as well. Unfortunately, several MTurk design choices, such as worker anonymity and isolation, are problematic in other environments. This paper introduces Frenzy, a platform for friendsourcing. Frenzy helps people who are closely connected in a community complete crowdsourcing tasks on a platform that affords more user control and freedom than traditional crowdsourcing platforms. Our evaluation of Frenzy shows that friendworkers can find meaningful work to do, effectively use discussion to reduce uncertainty, and finish the task. Most importantly, they are happy with the quality of the output and indicate a desire to use Frenzy for their own tasks such as: creating wedding albums, coding social science data, and creating sessions of accepted conference papers. Copyright © 2013, Association for the Advancement of Artificial Intelligence. All rights reserved.</t>
  </si>
  <si>
    <t>Chilton L.B., Cordeiro F., Weld D.S., Landay J.A.</t>
  </si>
  <si>
    <t>https://www.scopus.com/inward/record.uri?eid=2-s2.0-84899498255&amp;partnerID=40&amp;md5=8cb89f76fffac9ec2cf0805ebf533ab9</t>
  </si>
  <si>
    <t>Chilton, L.B., University of Washington, United States; Cordeiro, F., University of Washington, United States; Weld, D.S., University of Washington, United States; Landay, J.A., University of Washington, United States</t>
  </si>
  <si>
    <t>From local to global – path towards multicultural software engineering</t>
  </si>
  <si>
    <t>10.1504/IJKL.2011.043888</t>
  </si>
  <si>
    <t>6701815202;24724087600;35179887900;</t>
  </si>
  <si>
    <t>One of the trends in software engineering is globalisation. Software development is expert work made in closely collaborating teams. The most natural way to do this kind of work is to implement it in local teams. Distribution of expert work increases the grade of difficulty; an additional grade of difficulty appears if the organisational parts represent different cultural backgrounds. The organisations that are distributed and multicultural must be adaptive. Adaptation can be done in two ways: either to adapt the people to the organisation or to adapt the processes of the organisation to take into account the differences. There is also a lot of knowledge available concerning the differences between cultures. The aim of this paper is to analyse multicultural information and communication technology (ICT) companies. The viewpoints discussed cover the global organisation as an adaptive and learning network and the maturity of the global organisation. © 2011 Inderscience Enterprises Ltd.</t>
  </si>
  <si>
    <t>Jaakkola H., Henno J., Linna P.</t>
  </si>
  <si>
    <t>International Journal of Knowledge and Learning</t>
  </si>
  <si>
    <t>https://www.scopus.com/inward/record.uri?eid=2-s2.0-84922491357&amp;doi=10.1504%2fIJKL.2011.043888&amp;partnerID=40&amp;md5=11869aa2c98e6828c86568f6b6056c14</t>
  </si>
  <si>
    <t>Tampere University of Technology (Pori), P.O. Box 300, Pori, FI-28101, Finland</t>
  </si>
  <si>
    <t>Jaakkola, H., Tampere University of Technology (Pori), P.O. Box 300, Pori, FI-28101, Finland; Henno, J., Tampere University of Technology (Pori), P.O. Box 300, Pori, FI-28101, Finland; Linna, P., Tampere University of Technology (Pori), P.O. Box 300, Pori, FI-28101, Finland</t>
  </si>
  <si>
    <t>Jaakkola, H.; Tampere University of Technology (Pori), P.O. Box 300, Pori, FI-28101, Finland</t>
  </si>
  <si>
    <t>From RUP to Scrum in global software development: A case study</t>
  </si>
  <si>
    <t>10.1109/ICGSE.2012.11</t>
  </si>
  <si>
    <t>55513615200;51663653100;57193896682;</t>
  </si>
  <si>
    <t>In this paper we present the results of a case study at two offshore projects that recently adopted the agile way of working. We analyze their multi-site governance activities adopted and adjusted based on the Scrum methodology. Furthermore, we identify those changes that the Scrum adoption brought, in comparison with the previous governance structure of the Rational Unified Process (RUP). We find that a transition from RUP to Scrum brings a positive effect in requirements engineering, communication, cost management and cross-functionality of the distributed teams. We also observe a negative change with regard to the development pace and delivery time. Overall, we add to the body of knowledge in the field of distributed agile, with an additional field study where we describe and compare the migration from RUP to Scrum, and the implications of this transition. © 2012 IEEE.</t>
  </si>
  <si>
    <t>Noordeloos R., Manteli C., Van Vliet H.</t>
  </si>
  <si>
    <t>https://www.scopus.com/inward/record.uri?eid=2-s2.0-84870669352&amp;doi=10.1109%2fICGSE.2012.11&amp;partnerID=40&amp;md5=3dbd25c48700fde44d7d385b67aacf48</t>
  </si>
  <si>
    <t>Dept. of Computer Science, VU University Amsterdam, Amsterdam, Netherlands</t>
  </si>
  <si>
    <t>Noordeloos, R., Dept. of Computer Science, VU University Amsterdam, Amsterdam, Netherlands; Manteli, C., Dept. of Computer Science, VU University Amsterdam, Amsterdam, Netherlands; Van Vliet, H., Dept. of Computer Science, VU University Amsterdam, Amsterdam, Netherlands</t>
  </si>
  <si>
    <t>Noordeloos, R.; Dept. of Computer Science, , Amsterdam, Netherlands; email: ramon.noordeloos@gmail.com</t>
  </si>
  <si>
    <t>G2I: Géographie, informatique et internet</t>
  </si>
  <si>
    <t>10.3166/ISI.22.5.127-143</t>
  </si>
  <si>
    <t>57190805004;</t>
  </si>
  <si>
    <t>Based on a concrete experience in Douala (Cameroon), this paper presents the transposition of the stages of a research into a course intended for students in geography. The context of the work presented, the road map guiding the progression of learning proposes a succession of tasks. The problem concerns the sharing of urban space in the city of Douala between formal and informal activities. To address this issue, data are collected step by step, geocoded, geolocated, qualified, spatially analyzed, historicized and ultimately modeled. At each step, a new file is produced that leads to geovisualizations of the data shared online. The "G2I" progression towards the solution to the geographical problem posed (Geography) requires the progress of skills in the use of geomatic tools (Informatics) and the remote digital work environment (Internet). © 2017 Lavoisier</t>
  </si>
  <si>
    <t>Gazel H.</t>
  </si>
  <si>
    <t>Ingenierie des Systemes d'Information</t>
  </si>
  <si>
    <t>https://www.scopus.com/inward/record.uri?eid=2-s2.0-85056113331&amp;doi=10.3166%2fISI.22.5.127-143&amp;partnerID=40&amp;md5=880d6da88fa158533aa96c377de58359</t>
  </si>
  <si>
    <t>Université Lyon 3 Jean Moulin, UMR EVS (CRGA), Labex IMU, 18 rue Chevreul, Lyon Cedex 07, 69362, France</t>
  </si>
  <si>
    <t>Gazel, H., Université Lyon 3 Jean Moulin, UMR EVS (CRGA), Labex IMU, 18 rue Chevreul, Lyon Cedex 07, 69362, France</t>
  </si>
  <si>
    <t>Gazel, H.; Université Lyon 3 Jean Moulin, 18 rue Chevreul, France; email: herve.gazel@univ-lyon3.fr</t>
  </si>
  <si>
    <t>Gaming-contingent self-worth, gaming motivation, and Internet Gaming Disorder</t>
  </si>
  <si>
    <t>10.1016/j.chb.2016.03.046</t>
  </si>
  <si>
    <t>57002541700;55370860700;</t>
  </si>
  <si>
    <t>The relationship between problematic gaming behavior and self-esteem is well-documented (King &amp; Delfabbro, 2014). Moreover, the basic needs component of Self-Determination Theory has also been proposed as an organizing framework to understand gaming motivation (Lafrenière, Verner-Filion, &amp; Vallerand, 2012; Ryan, Rigby, &amp; Przybylski, 2006). Building on these ideas, the current study describes the development of a measure of contingent self-worth (Crocker, Luhtanen, Cooper, &amp; Bouvrette, 2003; Crocker &amp; Wolfe, 2001) specific to gaming experiences within Massively-Multiplayer Online Role Playing Games (MMORPGs), and explores the association between Gaming-Contingent Self-Worth (GCSW) and symptoms of Internet Gaming Disorder (IGD). A sample of MMORPG players was recruited through Amazon's Mechanical Turk (n = 600) to evaluate the reliability and validity of a GCSW scale. Exploratory and confirmatory factor analysis was used to identify a 29-item measure comprised of four components, including validation seeking, reward orientation, competition focus, and detachment. Additional analyses supported the hypothesis that GCSW is a strong predictor of IGD symptoms, beyond the contribution of motivation based on behavioral activities within the game. © 2016 Elsevier Ltd. All rights reserved.</t>
  </si>
  <si>
    <t>Beard C.L., Wickham R.E.</t>
  </si>
  <si>
    <t>https://www.scopus.com/inward/record.uri?eid=2-s2.0-84961603840&amp;doi=10.1016%2fj.chb.2016.03.046&amp;partnerID=40&amp;md5=3209fa9fa9e9a795ba842681a8263a91</t>
  </si>
  <si>
    <t>Palo Alto University, United States</t>
  </si>
  <si>
    <t>Beard, C.L., Palo Alto University, United States; Wickham, R.E., Palo Alto University, United States</t>
  </si>
  <si>
    <t>Beard, C.L.; Palo Alto UniversityUnited States; email: cbeard@paloaltou.edu</t>
  </si>
  <si>
    <t>Gender and credibility in branded storytelling</t>
  </si>
  <si>
    <t>10.1108/GM-02-2019-0015</t>
  </si>
  <si>
    <t>35217714600;36447487400;57208558761;</t>
  </si>
  <si>
    <t>Purpose: This paper aims to explore gender differences regarding how men and women perceive the story of a CEO and a customer of different genders in audio advertising. Design/methodology/approach: A Web-based three-way factorial experiment was designed with three storyteller types (founder’s story, customer’s story vs informational ad), story teller’s gender (male voice vs female voice) and research participants’ gender (men vs women). In total, 549 participants were recruited through Amazon’s Mechanical Turk. Findings: Researchers found gender-based differences in how audiences evaluated messages from the founder versus the customer of a company. There was a relationship between a male speaker’s perceived authoritativeness and audiences’ favorability to the ad, but no such relationship when the speaker was a woman. Practical implications: A female voice elicited more favorable attitudes toward the non-story informational ad. In the customer’s story ad, relatability between the speaker and the audience mattered. Participants perceived the ad as more credible and convincing when the gender of the customer in the ad was the same as their gender. Social implications: Women showed more favorable attitudes toward the male founder’s story compared to the female founder’s story. In evaluating the credibility of the female founder, audiences cared about her character (likability) rather than authoritativeness (expertise). Originality/value: This study enriches the gender-related advertising-effect literature based on role congruity theory. The research contributes to the understanding of how gender bias still shapes the audiences’ evaluation of storyteller credibility. © 2019, Emerald Publishing Limited.</t>
  </si>
  <si>
    <t>Kang J.-A., Hubbard G.T., Hong S.</t>
  </si>
  <si>
    <t>https://www.scopus.com/inward/record.uri?eid=2-s2.0-85074393417&amp;doi=10.1108%2fGM-02-2019-0015&amp;partnerID=40&amp;md5=76700199d414aa5eff561fce78ef45c3</t>
  </si>
  <si>
    <t>School of Communication, East Carolina University, Greenville, NC, United States; Department of Media and Advertising, Hansei University, Gunpo, South Korea</t>
  </si>
  <si>
    <t>Kang, J.-A., School of Communication, East Carolina University, Greenville, NC, United States; Hubbard, G.T., School of Communication, East Carolina University, Greenville, NC, United States; Hong, S., Department of Media and Advertising, Hansei University, Gunpo, South Korea</t>
  </si>
  <si>
    <t>Hong, S.; Department of Media and Advertising, South Korea; email: paris2@hansei.ac.kr</t>
  </si>
  <si>
    <t>Gender wage gap in online gig economy and gender differences in job preferences</t>
  </si>
  <si>
    <t>10.2139/ssrn.3266249</t>
  </si>
  <si>
    <t>57194243606;37048817200;7201864428;57199828417;</t>
  </si>
  <si>
    <t>We explore whether there exists gender wage gap in the gig economy and examine to what degree gender differences in job application strategy could account for the gap. With a large-scale dataset from a leading online labor market, we show that females only earn around 81.4% of the hourly wage of their male counterparts. We further investigate three main aspects of job application strategy, namely bid timing, job selection, and avoidance of monitoring. After matching males with females using the propensity score matching method, we find that females tend to bid later and prefer jobs with a lower budget. In particular, the observed gender difference in bid timing can explain 7.6% of the difference in hourly wage, which could account for 41% of the gender wage gap (i.e. 18.6%) observed by us. Moreover, taking advantage of a natural experiment wherein the platform rolled out the monitoring system, we find that females are less willing to bid for monitored jobs than males. To further quantify the economic value of the gender difference in avoidance of monitoring, we run a field experiment on Amazon Mechanical Turk (AMT), which suggests that females tend to have a higher willingness to pay (WTP) for the avoidance of monitoring. The gender difference in WTP for the avoidance of monitoring can explain 8.1% of the difference in hourly wage, namely, 44% of the observed gender wage gap. Overall, our study reveals the important role of job application strategies in the persistent gender wage gap. © International Conference on Information Systems 2018, ICIS 2018.All rights reserved.</t>
  </si>
  <si>
    <t>Liang C., Hong Y., Gu B., Peng J.</t>
  </si>
  <si>
    <t>International Conference on Information Systems 2018, ICIS 2018</t>
  </si>
  <si>
    <t>https://www.scopus.com/inward/record.uri?eid=2-s2.0-85086688786&amp;doi=10.2139%2fssrn.3266249&amp;partnerID=40&amp;md5=11d30164d7dee4d20bea2b941c8d7e5c</t>
  </si>
  <si>
    <t>Arizona State University, Tempe, AZ, United States; University of Connecticut, Storrs, CT, United States</t>
  </si>
  <si>
    <t>Liang, C., Arizona State University, Tempe, AZ, United States; Hong, Y., Arizona State University, Tempe, AZ, United States; Gu, B., Arizona State University, Tempe, AZ, United States; Peng, J., University of Connecticut, Storrs, CT, United States</t>
  </si>
  <si>
    <t>Generating ground truth for music mood classification using mechanical turk</t>
  </si>
  <si>
    <t>10.1145/2232817.2232842</t>
  </si>
  <si>
    <t>16028477900;55496358400;</t>
  </si>
  <si>
    <t>Mood is an important access point in music digital libraries and online music repositories, but generating ground truth for evaluating various music mood classification algorithms is a challenging problem. This is because collecting enough human judgments is time-consuming and costly due to the subjectivity of music mood. In this study, we explore the viability of crowdsourcing music mood classification judgments using Amazon Mechanical Turk (MTurk). Specifically, we compare the mood classification judgments collected for the annual Music Information Retrieval Evaluation eXchange (MIREX) with judgments collected using MTurk. Our data show that the overall distribution of mood clusters and agreement rates from MIREX and MTurk were comparable. However, Turkers tended to agree less with the pre-labeled mood clusters than MIREX evaluators. The system evaluation results generated using both sets of data were mostly the same except for detecting one statistically significant pair using Friedman's test. We conclude that MTurk can potentially serve as a viable alternative for ground truth collection, with some reservation with regards to particular mood clusters. © 2012 ACM.</t>
  </si>
  <si>
    <t>Lee J.H., Hu X.</t>
  </si>
  <si>
    <t>Proceedings of the ACM/IEEE Joint Conference on Digital Libraries</t>
  </si>
  <si>
    <t>https://www.scopus.com/inward/record.uri?eid=2-s2.0-84863549107&amp;doi=10.1145%2f2232817.2232842&amp;partnerID=40&amp;md5=a3764d045eb2ee8f5c29186c3bcefbd7</t>
  </si>
  <si>
    <t>University of Washington, Mary Gates Hall, Seattle, WA 98195, United States; University of Denver, 1999 E. Evans Ave., Denver, CO 80208, United States</t>
  </si>
  <si>
    <t>Lee, J.H., University of Washington, Mary Gates Hall, Seattle, WA 98195, United States; Hu, X., University of Denver, 1999 E. Evans Ave., Denver, CO 80208, United States</t>
  </si>
  <si>
    <t>Lee, J.H.; University of Washington, , Seattle, WA 98195, United States; email: jinhalee@uw.edu</t>
  </si>
  <si>
    <t>Get a grip on your distributed software development with application lifecycle management</t>
  </si>
  <si>
    <t>10.1504/IJCAT.2011.039139</t>
  </si>
  <si>
    <t>23966551000;22635957000;</t>
  </si>
  <si>
    <t>In this paper, we present empirical research where the applicability of Application Lifecycle Management (ALM) for the management of distributed software development projects was studied in the context of the automation industry. The research analyses the ALM solutions of the case company against the ALM framework and, further, considers how the solutions meet the functions of the 3C-model. According to our results, ALM can support a distributed project by facilitating communication, cooperation and coordination. In our case, a central ALM database with common processes and tools enabled central orchestration for the software projects that operated in a global development environment. Copyright © 2011 Inderscience Enterprises Ltd.</t>
  </si>
  <si>
    <t>Kääriäinen J., Välimäki A.</t>
  </si>
  <si>
    <t>https://www.scopus.com/inward/record.uri?eid=2-s2.0-79952939672&amp;doi=10.1504%2fIJCAT.2011.039139&amp;partnerID=40&amp;md5=5978207c04fedd64b4d8b96384200956</t>
  </si>
  <si>
    <t>VTT, Technical Research Centre of Finland, P.O. Box 1100, FI-90571, Oulu, Finland; Metso Automation Inc, P.O. Box 237, FIN-33101, Tampere, Finland</t>
  </si>
  <si>
    <t>Kääriäinen, J., VTT, Technical Research Centre of Finland, P.O. Box 1100, FI-90571, Oulu, Finland; Välimäki, A., Metso Automation Inc, P.O. Box 237, FIN-33101, Tampere, Finland</t>
  </si>
  <si>
    <t>Kääriäinen, J.; VTT, P.O. Box 1100, FI-90571, Oulu, Finland; email: jukka.kaariainen@vtt.fi</t>
  </si>
  <si>
    <t>Get another label? Improving data quality and data mining using multiple, noisy labelers</t>
  </si>
  <si>
    <t>10.1145/1401890.1401965</t>
  </si>
  <si>
    <t>14049181900;7004026629;6603236863;</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</si>
  <si>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</si>
  <si>
    <t>Sheng V.S., Provost F., Ipeirotis P.G.</t>
  </si>
  <si>
    <t>https://www.scopus.com/inward/record.uri?eid=2-s2.0-65449144451&amp;doi=10.1145%2f1401890.1401965&amp;partnerID=40&amp;md5=539038e4599491f20b10b303986610b2</t>
  </si>
  <si>
    <t>Department of Information, Operations, and Management Sciences, Leonard N. Stern School of Business, New York University, United States</t>
  </si>
  <si>
    <t>Sheng, V.S., Department of Information, Operations, and Management Sciences, Leonard N. Stern School of Business, New York University, United States; Provost, F., Department of Information, Operations, and Management Sciences, Leonard N. Stern School of Business, New York University, United States; Ipeirotis, P.G., Department of Information, Operations, and Management Sciences, Leonard N. Stern School of Business, New York University, United States</t>
  </si>
  <si>
    <t>Sheng, V. S.; Department of Information, Operations, and Management Sciences, United States; email: ssheng@stern.nyu.edu</t>
  </si>
  <si>
    <t>Global budgets for local recommendations</t>
  </si>
  <si>
    <t>10.1145/1864708.1864715</t>
  </si>
  <si>
    <t>57203083791;36461941300;22033710200;7006353402;</t>
  </si>
  <si>
    <t>We present the design, implementation and evaluation of a new geotagging service, Gloe, that makes it easy to find, rate and recommend arbitrary on-line content in a mobile setting. The service automates the content search process by taking advantage of geographic and social context, while using crowdsourced expertise to present a personalized feed of targeted information ranked by a novel geo-aware rating and incentive mechanism. Users rate the relevance of recommendations for particular locations using a limited, global voting budget. This budget is, in turn, increased by accurately predicting local content popularity. One of the key goals of our mechanism is to encourage ratings, and in an evaluation of the live system we found that the rating to click ratio was 107 times higher than the ratio for videos on YouTube, 34 times higher than the ratio for applications on the Android Market, and 3 times higher than the ratio for Web pages on Digg. To investigate whether our mechanism also had qualitative effects on the ratings we conducted a number of experiments on Amazon Mechanical Turk, with 500 users, comparing our mechanism to the de-facto 5-star ratings commonly in use on the Web. Our results show that budgets improved the ranking and incentives improved the aggregate rating of a series of location-dependent Web pages. Copyright 2010 ACM.</t>
  </si>
  <si>
    <t>Sandholm T., Ung H., Aperjis C., Huberman B.A.</t>
  </si>
  <si>
    <t>RecSys'10 - Proceedings of the 4th ACM Conference on Recommender Systems</t>
  </si>
  <si>
    <t>https://www.scopus.com/inward/record.uri?eid=2-s2.0-78649938002&amp;doi=10.1145%2f1864708.1864715&amp;partnerID=40&amp;md5=35d115cbd2abc800fecc94aacdfd7e5e</t>
  </si>
  <si>
    <t>Social Computing Lab., HP Labs., Palo Alto, CA 94304, United States</t>
  </si>
  <si>
    <t>Sandholm, T., Social Computing Lab., HP Labs., Palo Alto, CA 94304, United States; Ung, H., Social Computing Lab., HP Labs., Palo Alto, CA 94304, United States; Aperjis, C., Social Computing Lab., HP Labs., Palo Alto, CA 94304, United States; Huberman, B.A., Social Computing Lab., HP Labs., Palo Alto, CA 94304, United States</t>
  </si>
  <si>
    <t>Sandholm, T.; Social Computing Lab., , Palo Alto, CA 94304, United States; email: thomas.e.sandholm@hp.com</t>
  </si>
  <si>
    <t>Global software development and delay: Does distance still matter?</t>
  </si>
  <si>
    <t>10.1109/ICGSE.2008.39</t>
  </si>
  <si>
    <t>57211179834;16040981900;57192297254;</t>
  </si>
  <si>
    <t>Nowadays, distributed development is common in software development. Besides many advantages, research in the last decade has consistently found that distribution has a negative impact on collaboration in general, and communication and task completion time in particular. Adapted processes, practices and tools are demanded to overcome these challenges. We report on an empirical study of communication structures and delay, as well as task completion times in IBM's™distributed development project Jazz™. The Jazz project explicitly focuses on distributed collaboration and has adapted processes and tools to overcome known challenges. We explored the effect of distance on communication and task completion time and use social network analysis to obtain insights about the collaboration in the Jazz, project. We discuss our findings in the light of existing literature on distributed collaboration and delays. © 2008 IEEE.</t>
  </si>
  <si>
    <t>Nguyen T., Wolf T., Damian D.</t>
  </si>
  <si>
    <t>https://www.scopus.com/inward/record.uri?eid=2-s2.0-56349089729&amp;doi=10.1109%2fICGSE.2008.39&amp;partnerID=40&amp;md5=c8ac257592f807c96693af4ac6049c6f</t>
  </si>
  <si>
    <t>Department of Computer Science, University of Victoria, Canada; Software Engineering InterAction Lab. (SEGAL)</t>
  </si>
  <si>
    <t>Nguyen, T., Department of Computer Science, University of Victoria, Canada, Software Engineering InterAction Lab. (SEGAL); Wolf, T., Department of Computer Science, University of Victoria, Canada, Software Engineering InterAction Lab. (SEGAL); Damian, D., Department of Computer Science, University of Victoria, Canada, Software Engineering InterAction Lab. (SEGAL)</t>
  </si>
  <si>
    <t>Nguyen, T.; Department of Computer Science, Canada; email: duythanh@uvic.ca</t>
  </si>
  <si>
    <t>Global software development: Standardization of the developing phase based on the MSF framework in a global CMM level 3 context</t>
  </si>
  <si>
    <t>25650452600;13612977400;6701628401;</t>
  </si>
  <si>
    <t>The developing phase is a fundamental step in the software development lifecycle. In global development environments, this step becomes more critical due to the characteristics of the distributeness (physical distance, cultural differences, trust, communication and other factors). The paper's objective is to propose a set of standard activities applied for the Microsoft Solutions Framework developing phase, lined by the CMM level 3. The results are based on a case study carried on a multinational organization that has offshore software development centers in Brazil. India and United States. The organization is running a global project to achieve the CMM level 3 worldwide, and is using the MSF as I he standard framework for software development. The results found suggest the implementation and institutionalization of a global development standardization lo facilitate the communication between the stakeholders and to minimize technical problems involving distributed people, software life cycle, software configuration and requirement engineering. !t was analyzed 3 different projects that showed some improvements in the development productivity.</t>
  </si>
  <si>
    <t>2005</t>
  </si>
  <si>
    <t>Pilatti L., Prikladnicki R., Audy J.</t>
  </si>
  <si>
    <t>17th International Conference on Software Engineering and Knowledge Engineering, SEKE 2005</t>
  </si>
  <si>
    <t>https://www.scopus.com/inward/record.uri?eid=2-s2.0-84886877713&amp;partnerID=40&amp;md5=242e4533d4385cf5acd4902caa2a6b66</t>
  </si>
  <si>
    <t>School of Computer Science, Pontifical University Catholic, Rio Grande do Sul, Brazil</t>
  </si>
  <si>
    <t>Pilatti, L., School of Computer Science, Pontifical University Catholic, Rio Grande do Sul, Brazil; Prikladnicki, R., School of Computer Science, Pontifical University Catholic, Rio Grande do Sul, Brazil; Audy, J., School of Computer Science, Pontifical University Catholic, Rio Grande do Sul, Brazil</t>
  </si>
  <si>
    <t>School of Computer Science, , Rio Grande do Sul, Brazil</t>
  </si>
  <si>
    <t>Global-software development lifecycle: An exploratory study</t>
  </si>
  <si>
    <t>7006663989;</t>
  </si>
  <si>
    <t>This study was conducted to explore the efficacy of the global-software development lifecycle (global-SDLC), which comprises design, implementation and usability evaluation phase. A spreadsheet was adapted using the global-SDLC process to accomodate a number of cultures. The design and implementation phases were efficacious. However, in the usability evaluation phase, the usability evaluation techniques were only efficacious when participants, who were experienced computer users and participants who were familiar with the experimenter, were employed. Explanations, from cultural literature such as Hofstede, are presented and implications of these findings on the usability evaluation phase and the global-SDLC are also described.</t>
  </si>
  <si>
    <t>Yeo A.W.</t>
  </si>
  <si>
    <t>https://www.scopus.com/inward/record.uri?eid=2-s2.0-0035041821&amp;partnerID=40&amp;md5=330d484a6dcd06b4629bc4aed1774441</t>
  </si>
  <si>
    <t>Faculty of Information Technology, Universiti Malaysia Sarawak, 94300 Kota Samarahan, Sarawak, Malaysia</t>
  </si>
  <si>
    <t>Yeo, A.W., Faculty of Information Technology, Universiti Malaysia Sarawak, 94300 Kota Samarahan, Sarawak, Malaysia</t>
  </si>
  <si>
    <t>Yeo, A.W.; Faculty of Information Technology, , 94300 Kota Samarahan, Sarawak, Malaysia; email: alvin@fit.unimas.my</t>
  </si>
  <si>
    <t>Going the Distance: Health in Long-Distance Versus Proximal Relationships</t>
  </si>
  <si>
    <t>10.1177/1066480715616580</t>
  </si>
  <si>
    <t>35995392100;55665120900;56983070500;56982988400;56897246900;56982150200;</t>
  </si>
  <si>
    <t>Healthy romantic relationships are beneficial to an individual's physical and mental health. The prevalence of long-distance relationships (LDRs) is increasing; yet, no research has assessed whether the marriage–health association applies to individuals in LDRs. The present study investigated the marriage–health association in LDRs by comparing PR and LDR individuals on various health and relationship indices. Using both Qualtrics and Amazon's Mechanical Turk, we designed an online survey (N = 296 married, 21 years or older, English speakers). Health measures included the patient-reported outcomes measurement information system (PROMIS-29); Perceived Stress Scale; and substance use, diet, and exercise surveys. Relationship variables assessed included satisfaction, maintenance, relationship stress, and sex. Overall, results were mixed, with no clear relationship arrangement relating to better health or relationship variable ratings. Relationship satisfaction did not differ across groups; however, individuals in PRs reported better maintenance, higher sexual frequency, and lower relationship stress. In terms of health, LDR individuals reported better health on several indices: overall scores; lower anxiety, depression, and fatigue subscale scores; and better diet/exercise behaviors. PR individuals reported lower individual stress levels, better medication adherence, and higher physical functioning scores than their LDR counterparts. Regression analyses indicated being in a LDR predicted more individual and relationship stress but simultaneously better diet and exercise behaviors. This study challenges the popular notion that health and happiness in a relationship stem from partner proximity and provides potential points of intervention to improve relationship satisfaction and health for individuals in both PRs and LDRs. © 2015, SAGE Publications. All rights reserved.</t>
  </si>
  <si>
    <t>du Bois S.N., Sher T.G., Grotkowski K., Aizenman T., Slesinger N., Cohen M.</t>
  </si>
  <si>
    <t>The Family Journal</t>
  </si>
  <si>
    <t>https://www.scopus.com/inward/record.uri?eid=2-s2.0-84948686423&amp;doi=10.1177%2f1066480715616580&amp;partnerID=40&amp;md5=6147bf2464260537e33256cdd700fdc4</t>
  </si>
  <si>
    <t>Psychology Department, Adler University, Chicago, IL, United States; The Family Institute at Northwestern University, Chicago, IL, United States; Massachusetts General Hospital, Boston, MA, United States</t>
  </si>
  <si>
    <t>du Bois, S.N., Psychology Department, Adler University, Chicago, IL, United States; Sher, T.G., The Family Institute at Northwestern University, Chicago, IL, United States; Grotkowski, K., The Family Institute at Northwestern University, Chicago, IL, United States; Aizenman, T., The Family Institute at Northwestern University, Chicago, IL, United States; Slesinger, N., The Family Institute at Northwestern University, Chicago, IL, United States; Cohen, M., Massachusetts General Hospital, Boston, MA, United States</t>
  </si>
  <si>
    <t>Graph clustering with missing data: Convex algorithms and analysis</t>
  </si>
  <si>
    <t>56304014900;36715288000;7006111389;</t>
  </si>
  <si>
    <t>We consider the problem of finding clusters in an unweighted graph, when the graph is partially observed. We analyze two programs, one which works for dense graphs and one which works for both sparse and dense graphs, but requires some a priori knowledge of the total cluster size, that are based on the convex optimization approach for low-rank matrix recovery using nuclear norm minimization. For the commonly used Stochastic Block Model, we obtain explicit bounds on the parameters of the problem (size and sparsity of clusters, the amount of observed data) and the regularization parameter characterize the success and failure of the programs. We corroborate our theoretical findings through extensive simulations. We also run our algorithm on a real data set obtained from crowdsourcing an image classification task on the Amazon Mechanical Turk, and observe significant performance improvement over traditional methods such as k-means.</t>
  </si>
  <si>
    <t>Vinayak R.K., Oymak S., Hassibi B.</t>
  </si>
  <si>
    <t>Advances in Neural Information Processing Systems</t>
  </si>
  <si>
    <t>https://www.scopus.com/inward/record.uri?eid=2-s2.0-84937908958&amp;partnerID=40&amp;md5=116bb43418da6166635de1a9a673dc06</t>
  </si>
  <si>
    <t>Department of Electrical Engineering, California Institute of Technology, Pasadena, CA  91125, United States</t>
  </si>
  <si>
    <t>Vinayak, R.K., Department of Electrical Engineering, California Institute of Technology, Pasadena, CA  91125, United States; Oymak, S., Department of Electrical Engineering, California Institute of Technology, Pasadena, CA  91125, United States; Hassibi, B., Department of Electrical Engineering, California Institute of Technology, Pasadena, CA  91125, United States</t>
  </si>
  <si>
    <t>Green light for grey literature? Orphan works, web-archiving and other digitization initiatives - Recent developments in U.S. copyright law and policy</t>
  </si>
  <si>
    <t>6603663810;</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</si>
  <si>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 issues related to the preservation and use of various grey literatures. Policy failures as well as successes in the United States can assist policy makers in other countries when contemplating copyrighat issues related to preservation and use of grey literature.</t>
  </si>
  <si>
    <t>Lipinski T.A.</t>
  </si>
  <si>
    <t>GL-Conference Series: Conference Proceedings</t>
  </si>
  <si>
    <t>https://www.scopus.com/inward/record.uri?eid=2-s2.0-84924291423&amp;partnerID=40&amp;md5=d2e95403ebe4102e2687cc87ae12cc9b</t>
  </si>
  <si>
    <t>School of Information Studies, University of Wisconsin, United States</t>
  </si>
  <si>
    <t>Lipinski, T.A., School of Information Studies, University of Wisconsin, United States</t>
  </si>
  <si>
    <t>Lipinski, T.A.; School of Information Studies, University of WisconsinUnited States</t>
  </si>
  <si>
    <t>Green light for grey literature? Orphan works, web-archiving and other digitization initiatives: Recent developments in U.S. copyright law and policy</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</si>
  <si>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copyright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copyright issues related to the preservation and use of various grey literatures. Policy failures as well as successes in the United States can assist policy makers in other countries when contemplating copyright issues related to preservation and use of grey literature.</t>
  </si>
  <si>
    <t>Grey Journal</t>
  </si>
  <si>
    <t>https://www.scopus.com/inward/record.uri?eid=2-s2.0-64349119516&amp;partnerID=40&amp;md5=e8bfdcef8cc88e383a43bc41ddce9773</t>
  </si>
  <si>
    <t>Lipinski, T.A.</t>
  </si>
  <si>
    <t>Lipinski, T. A.United States</t>
  </si>
  <si>
    <t>Group recommendation: Semantics and efficiency</t>
  </si>
  <si>
    <t>10.14778/1687627.1687713</t>
  </si>
  <si>
    <t>6603379512;36179359200;36179478800;55423914800;35222733100;</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</si>
  <si>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travel destination for a family to spend a holiday break, and a good restaurant for colleagues to have a working lunch. Intuitively, items that are ideal for recommendation to a group may be quite different from those for individual members. In this paper, we analyze the desiderata of group recommendation and propose a formal semantics that accounts for both item relevance to a group and disagreements among group members. We design and implement algorithms for efficiently computing group recommendations. We evaluate our group recommendation method through a comprehensive user study conducted on Amazon Mechanical Turk and demonstrate that incorporating disagreements is critical to the effectiveness of group recommendation. We further evaluate the efficiency and scalability of our algorithms on the MovieLens data set with 10M ratings. © 2009 VLDB Endowment.</t>
  </si>
  <si>
    <t>Amer-Yahia S., Roy S.B., Chawla A., Das G., Yu C.</t>
  </si>
  <si>
    <t>https://www.scopus.com/inward/record.uri?eid=2-s2.0-77954782513&amp;doi=10.14778%2f1687627.1687713&amp;partnerID=40&amp;md5=5caaa40669954903d6d323102200f98a</t>
  </si>
  <si>
    <t>Yahoo Labs, United States; Univ. of Texas at Arlington, United States</t>
  </si>
  <si>
    <t>Amer-Yahia, S., Yahoo Labs, United States; Roy, S.B., Univ. of Texas at Arlington, United States; Chawla, A., Yahoo Labs, United States, Univ. of Texas at Arlington, United States; Das, G., Univ. of Texas at Arlington, United States; Yu, C., Yahoo Labs, United States</t>
  </si>
  <si>
    <t>Amer-Yahia, S.; Univ. of Texas at ArlingtonUnited States; email: sihem@yahoo-inc.com</t>
  </si>
  <si>
    <t>Guest editor's introduction: Renewing the software project management life cycle</t>
  </si>
  <si>
    <t>10.1109/MS.2010.9</t>
  </si>
  <si>
    <t>55939136600;</t>
  </si>
  <si>
    <t>The software project management body of knowledge is gradually being renewed across the entire lifecycle. In the conception phase, the focus is on fostering innovation through new approaches such as business analysis and crowdsourcing techniques. In the construction phase, the rise of global software development has shrunk the world and led to new approaches to risk management that take into account factors such as cultural diversity. In the project conclusion phase, new approaches to the evaluation of project success are being introduced, such as project retrospectives and intellectual capital reporting. Conversely, long accepted approaches to measurement and evaluation such as those promoted in the Chaos reports of the Standish Group are being called into question. © 2010 IEEE.</t>
  </si>
  <si>
    <t>Favaro J.</t>
  </si>
  <si>
    <t>https://www.scopus.com/inward/record.uri?eid=2-s2.0-75149180503&amp;doi=10.1109%2fMS.2010.9&amp;partnerID=40&amp;md5=77cb21245e4958038cf1a97847bb56de</t>
  </si>
  <si>
    <t>Informatica e Tecnologia Del Software Spa, Pisa, Italy</t>
  </si>
  <si>
    <t>Favaro, J., Informatica e Tecnologia Del Software Spa, Pisa, Italy</t>
  </si>
  <si>
    <t>Favaro, J.; Informatica e Tecnologia Del Software Spa, Pisa, Italy; email: john@favaro.net</t>
  </si>
  <si>
    <t>Purwandari, B.; Faculty of Computer Science, Indonesia; email: bettyp@cs.ui.ac.id</t>
  </si>
  <si>
    <t>Pecchenino, R.A.; Department of Economics, Ireland; email: rowena.pecchenino@mu.ie</t>
  </si>
  <si>
    <t>Heterogeneity in the Co-occurrence of Substance Use and Posttraumatic Stress Disorder: A Latent Class Analysis Approach</t>
  </si>
  <si>
    <t>10.1080/15504263.2019.1572258</t>
  </si>
  <si>
    <t>54392860100;43762132500;57202224140;24480651200;</t>
  </si>
  <si>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 © 2019, © 2019 Taylor &amp; Francis Group, LLC.</t>
  </si>
  <si>
    <t>Contractor A.A., Weiss N.H., Dixon-Gordon K.L., Blumenthal H.</t>
  </si>
  <si>
    <t>Journal of Dual Diagnosis</t>
  </si>
  <si>
    <t>https://www.scopus.com/inward/record.uri?eid=2-s2.0-85062533130&amp;doi=10.1080%2f15504263.2019.1572258&amp;partnerID=40&amp;md5=3ccfb06f3c4779a4faf3dd8f18a7f5ad</t>
  </si>
  <si>
    <t>Department of Psychology, University of North Texas, Denton, TX, United States; Department of Psychology, University of Rhode Island, Kingston, RI, United States; Department of Psychological and Brain Sciences, University of Massachusetts Amherst, Amherst, MA, United States</t>
  </si>
  <si>
    <t>Contractor, A.A., Department of Psychology, University of North Texas, Denton, TX, United States; Weiss, N.H., Department of Psychology, University of Rhode Island, Kingston, RI, United States; Dixon-Gordon, K.L., Department of Psychological and Brain Sciences, University of Massachusetts Amherst, Amherst, MA, United States; Blumenthal, H., Department of Psychology, University of North Texas, Denton, TX, United States</t>
  </si>
  <si>
    <t>Higher education system in India: Challenges and opportunities</t>
  </si>
  <si>
    <t>35175197500;57200841161;</t>
  </si>
  <si>
    <t>In the last three decades, the higher education system in India has grown incredibly and contributed towards nation building. As the country is likely to become the world‘s largest workforce, there is a deep level of nervousness within India to sustain its growth due to the rise of gig economy and technology disruption. The expectation of capturing a high share of global knowledge workforce will be fulfilled only if there is a focused quality higher education benchmarked at international standards. The sound knowledge of predictable forecast with a dynamic swift of strategic planning is necessary to address the multiple challenges. Mere drafts with past success may not be helpful. The higher education must evolve with balanced skill and knowledge to surge ahead of the curve of ever rising domestic and global demand. The study analyzed the present higher education scenario of the country, the way forward with the perspective of global employment. © IJSTR 2019.</t>
  </si>
  <si>
    <t>Srimathi H., Krishnamoorthy A.</t>
  </si>
  <si>
    <t>International Journal of Scientific and Technology Research</t>
  </si>
  <si>
    <t>https://www.scopus.com/inward/record.uri?eid=2-s2.0-85077052392&amp;partnerID=40&amp;md5=f5e82d2ab530166feda2d6b67f3ca6f4</t>
  </si>
  <si>
    <t>SRM Institute of Science and Technology, Chennai, India; Department of Electronics and Instrumentation Engineering, SASTRA Deemed University, Thanjavur, India</t>
  </si>
  <si>
    <t>Srimathi, H., SRM Institute of Science and Technology, Chennai, India; Krishnamoorthy, A., Department of Electronics and Instrumentation Engineering, SASTRA Deemed University, Thanjavur, India</t>
  </si>
  <si>
    <t>High-Tech Heimat: Mountains and Mediation in Literature, Film, and Digital Art</t>
  </si>
  <si>
    <t>10.1111/gequ.12101</t>
  </si>
  <si>
    <t>57204999892;</t>
  </si>
  <si>
    <t>The ideal of an alpine Heimat is frequently taken to exclude mediation in favor of direct, un-mediated experience. Yet works of Heimatliteratur and Heimatfilm are often concerned with questions of mediation. The works discussed in this essay pay special attention to the role of mediation in the destruction or reconstruction of the integral, traditional forms of community or geographical identity associated with this notion of Heimat. The first section considers short stories by the Swiss writer Regina Ullmann in which media prove an inadequate substitute for immediate human contact. The second analyzes the 1957 film Hoch droben auf dem Berg as an argument for the productive function of television in reconstituting traditional community. The third turns to digital works by the Swiss artists Monica Studer and Christoph van den Berg that frame alpine idylls as highly mediated constructions. Unlike Ullmann's stories, these more recent works reveal mediation as essential to the construction of Heimat. © 2019, American Association of Teachers of German</t>
  </si>
  <si>
    <t>Beals K.</t>
  </si>
  <si>
    <t>German Quarterly</t>
  </si>
  <si>
    <t>https://www.scopus.com/inward/record.uri?eid=2-s2.0-85064837648&amp;doi=10.1111%2fgequ.12101&amp;partnerID=40&amp;md5=734275c04f603f031d5c517c91133c23</t>
  </si>
  <si>
    <t>Washington University in St. Louis, United States</t>
  </si>
  <si>
    <t>Beals, K., Washington University in St. Louis, United States</t>
  </si>
  <si>
    <t>Beals, K.; Washington University in St. LouisUnited States</t>
  </si>
  <si>
    <t>Home bias in hiring: Evidence from an online labor market</t>
  </si>
  <si>
    <t>57194243606;37048817200;7201864428;</t>
  </si>
  <si>
    <t>We study the nature of home bias in online employment, wherein the employers prefer workers from their own home countries. Using a unique large-scale dataset from a major online labor market containing employers' consideration set of workers and their ultimate selection of workers, we first estimate employers' home bias in their online employment decisions. Moreover, we find that employers from countries with high traditional values, lower diversity, and smaller user base (or population size), tend to have a stronger home bias. Further, we disentangle two types of home bias, i.e., statistical and taste-based, using a quasi-natural experiment wherein the platform introduces a monitoring system to facilitate employers to easily observe workers' progress in time-based projects. After matching comparable fixed-price projects as a control group using coarsened exact matching, our difference-in-difference estimations show that the home bias in online employment is primarily driven by statistical discrimination. © PACIS 2018.</t>
  </si>
  <si>
    <t>Liang C., Hong Y., Gu B.</t>
  </si>
  <si>
    <t>Proceedings of the 22nd Pacific Asia Conference on Information Systems - Opportunities and Challenges for the Digitized Society: Are We Ready?, PACIS 2018</t>
  </si>
  <si>
    <t>https://www.scopus.com/inward/record.uri?eid=2-s2.0-85082307987&amp;partnerID=40&amp;md5=63199d047c4fad2580b1d89d95dad8d7</t>
  </si>
  <si>
    <t>Arizona State University, Tempe, AZ, United States</t>
  </si>
  <si>
    <t>Liang, C., Arizona State University, Tempe, AZ, United States; Hong, Y., Arizona State University, Tempe, AZ, United States; Gu, B., Arizona State University, Tempe, AZ, United States</t>
  </si>
  <si>
    <t>Hospice nursing home contracts and reimbursement</t>
  </si>
  <si>
    <t>10.1177/1084822302238113</t>
  </si>
  <si>
    <t>12239007000;</t>
  </si>
  <si>
    <t>When the government reviews an organization, one of the primary areas of focus is on the intent of the organization. An analysis and evaluation of services with resultant actions taken when appropriate serves the organization well in presenting its case. Take time today to review contracts in place with independent contractors and facilities to identify potential antikickback concerns or quality of care issues. Then, after the review, make certain that you follow up with actions taken relative to the findings. The information relative to the Office of the Inspector General's Advisory Opinions is available online for organizations to review. It is a good idea for the corporate compliance officer to routinely access this location on the OIG Web site. The Internet/Web site address is: http://oig.hhs.gov/advop. This is followed by the year that you are seeking to access, that is, for these opinions released in 2001, the complete address is: http://oig.hhs.gov/advop/2001. © 2002 Sage Publications.</t>
  </si>
  <si>
    <t>2002</t>
  </si>
  <si>
    <t>Gingerich B.S.</t>
  </si>
  <si>
    <t>Home Health Care Management and Practice</t>
  </si>
  <si>
    <t>https://www.scopus.com/inward/record.uri?eid=2-s2.0-52649152396&amp;doi=10.1177%2f1084822302238113&amp;partnerID=40&amp;md5=614a4707a622dd1ed73b45e5429c92cf</t>
  </si>
  <si>
    <t>Advantage Consultants, Inc., York, PA, United States</t>
  </si>
  <si>
    <t>Gingerich, B.S., Advantage Consultants, Inc., York, PA, United States</t>
  </si>
  <si>
    <t>Gingerich, B.S.; Advantage Consultants, , York, PA, United States; email: advantagehcmr@suscom.net</t>
  </si>
  <si>
    <t>How globally distributed software teams can improve their collaboration effectiveness?</t>
  </si>
  <si>
    <t>10.1109/ICGSE.2011.30</t>
  </si>
  <si>
    <t>57674841500;35931794800;</t>
  </si>
  <si>
    <t>While advanced collaboration tools are available in the market, feedback from organizations suggests a sub-optimal use and insufficient value leveraged from these tools. Our research focuses on identifying patterns of collaboration among distributed team members by mapping the interaction scenarios and associated goals, task contexts, success factors and constraints of collaboration with the choice of mechanisms used. Based on this analysis and utilizing a Goal Oriented Collaboration Strategy Framework, we analyze the effectiveness of collaboration mechanisms in specific scenarios involving a multi-geo, multi-cultural and multi-organization software development project. We recommend a planning based approach that identifies a basket of collaboration practices and tool features that distributed teams should use to enhance their collaboration effectiveness. We believe this research will not only help distributed software teams to improve their effectiveness but will also provide insights to tool vendors for appropriate tool design. © 2011 IEEE.</t>
  </si>
  <si>
    <t>Gupta M., Fernandez J.</t>
  </si>
  <si>
    <t>https://www.scopus.com/inward/record.uri?eid=2-s2.0-81255138633&amp;doi=10.1109%2fICGSE.2011.30&amp;partnerID=40&amp;md5=14e07f4e6deb06c316e3c4931e86ef05</t>
  </si>
  <si>
    <t>SETLabs., Infosys Technologies Limited, Bangalore, India</t>
  </si>
  <si>
    <t>Gupta, M., SETLabs., Infosys Technologies Limited, Bangalore, India; Fernandez, J., SETLabs., Infosys Technologies Limited, Bangalore, India</t>
  </si>
  <si>
    <t>Gupta, M.; SETLabs., , Bangalore, India; email: mayank_gupta@infosys.com</t>
  </si>
  <si>
    <t>How good are humans at solving CAPTCHAs? A large scale evaluation</t>
  </si>
  <si>
    <t>10.1109/SP.2010.31</t>
  </si>
  <si>
    <t>23466423300;23092920400;8328842700;7406514710;6602872553;</t>
  </si>
  <si>
    <t>Captchas are designed to be easy for humans but hard for machines. However, most recent research has focused only on making them hard for machines. In this paper, we present what is to the best of our knowledge the first large scale evaluation of captchas from the human perspective, with the goal of assessing how much friction captchas present to the average user. For the purpose of this study we have asked workers from Amazon's Mechanical Turk and an underground captchabreaking service to solve more than 318 000 captchas issued from the 21 most popular captcha schemes (13 images schemes and 8 audio scheme). Analysis of the resulting data reveals that captchas are often difficult for humans, with audio captchas being particularly problematic. We also find some demographic trends indicating, for example, that non-native speakers of English are slower in general and less accurate on English-centric captcha schemes. Evidence from a week's worth of eBay captchas (14,000,000 samples) suggests that the solving accuracies found in our study are close to real-world values, and that improving audio captchas should become a priority, as nearly 1% of all captchas are delivered as audio rather than images. Finally our study also reveals that it is more effective for an attacker to use Mechanical Turk to solve captchas than an underground service. © 2010 IEEE.</t>
  </si>
  <si>
    <t>Bursztein E., Bethard S., Fabry C., Mitchell J.C., Jurafsky D.</t>
  </si>
  <si>
    <t>Proceedings - IEEE Symposium on Security and Privacy</t>
  </si>
  <si>
    <t>https://www.scopus.com/inward/record.uri?eid=2-s2.0-77955194191&amp;doi=10.1109%2fSP.2010.31&amp;partnerID=40&amp;md5=1cd1aec751b1a31848bc6847ada8f229</t>
  </si>
  <si>
    <t>Stanford University, United States</t>
  </si>
  <si>
    <t>Bursztein, E., Stanford University, United States; Bethard, S., Stanford University, United States; Fabry, C., Stanford University, United States; Mitchell, J.C., Stanford University, United States; Jurafsky, D., Stanford University, United States</t>
  </si>
  <si>
    <t>Bursztein, E.; Stanford UniversityUnited States; email: elie@cs.stanford.edu</t>
  </si>
  <si>
    <t>How hierarchical topics evolve in large text corpora</t>
  </si>
  <si>
    <t>10.1109/TVCG.2014.2346433</t>
  </si>
  <si>
    <t>24587013600;55724718300;56410148800;55272419300;</t>
  </si>
  <si>
    <t>(Graph Presented) 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 © 2014 IEEE.</t>
  </si>
  <si>
    <t>Cui W., Liu S., Wu Z., Wei H.</t>
  </si>
  <si>
    <t>IEEE Transactions on Visualization and Computer Graphics</t>
  </si>
  <si>
    <t>https://www.scopus.com/inward/record.uri?eid=2-s2.0-84909635750&amp;doi=10.1109%2fTVCG.2014.2346433&amp;partnerID=40&amp;md5=00247aa0fbfd6409ab64bd837f446f42</t>
  </si>
  <si>
    <t>Microsoft Research, China; Nankai University, China; Zhejiang University, China</t>
  </si>
  <si>
    <t>Cui, W., Microsoft Research, China; Liu, S., Microsoft Research, China; Wu, Z., Nankai University, China; Wei, H., Zhejiang University, China</t>
  </si>
  <si>
    <t>Liu, S.; Microsoft ResearchChina</t>
  </si>
  <si>
    <t>How one small text change in a study document can impact recruitment rates and follow-up completions</t>
  </si>
  <si>
    <t>10.1016/j.invent.2019.100284</t>
  </si>
  <si>
    <t>57006486200;57203245216;7402342187;</t>
  </si>
  <si>
    <t>Background: The validity and reliability of longitudinal research is highly dependent on the recruitment and retention of representative samples. Various strategies have been developed and tested for improving recruitment and follow-up rates into health-behavioural research, but few have examined the role of linguistic choices and study document readability on participation rates. This study examined the impact of one small text change, assigning an inappropriate or grade-8 reading level password for intervention access, on participation rates and attrition in an online alcohol intervention trial. Methods: Participants were recruited into an online alcohol intervention study using Amazon's Mechanical Turk via a multi-step recruitment process which required participants to log into a study portal using a pre-assigned password. Passwords were qualitatively coded as grade-8 and/or inappropriate for use within a professional setting. Separate logistic regressions examined which demographic, clinical characteristics, and password categorizations were most strongly associated with recruitment rates and follow-up completions. Results: Inappropriate passwords were a barrier for recruitment among participants with post-secondary education as compared to those with less education (p = 0.044), while grade-8 passwords appeared to significantly facilitate the completion of 6-month follow-ups (p = 0.005). Conclusions: Altogether, these findings suggest that some linguistic choices may play an important role in recruitment, while others, such as readability, may have longer-term effects on follow-up rates and attrition. Possible explanations for the findings, as well as, sample selection biases during recruitment and follow-up are discussed. Limitations of the study are stated and recommendations for researchers are provided. Trial registration: ClinicalTrials.gov NCT02977026. Registered 27 Nov 2016. © 2019 The Authors</t>
  </si>
  <si>
    <t>Godinho A., Schell C., Cunningham J.A.</t>
  </si>
  <si>
    <t>Internet Interventions</t>
  </si>
  <si>
    <t>https://www.scopus.com/inward/record.uri?eid=2-s2.0-85074533539&amp;doi=10.1016%2fj.invent.2019.100284&amp;partnerID=40&amp;md5=20c1712f1cec94055151edf154b05270</t>
  </si>
  <si>
    <t>Institute of Mental Health and Policy Research, Centre for Addiction and Mental Health, Toronto, Canada; Department of Psychiatry, University of Toronto, Toronto, Canada; Australian National University, Canberra, Australia</t>
  </si>
  <si>
    <t>Godinho, A., Institute of Mental Health and Policy Research, Centre for Addiction and Mental Health, Toronto, Canada; Schell, C.,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Australian National University, Canberra, Australia</t>
  </si>
  <si>
    <t>Cunningham, J.A.; Centre for Addiction and Mental Health, 33 Russell St., Canada; email: john.cunningham@camh.ca</t>
  </si>
  <si>
    <t>How online self-customization creates identification: Antecedents and consequences of consumer-customized product identification and the role of product involvement</t>
  </si>
  <si>
    <t>10.1016/j.chb.2017.04.051</t>
  </si>
  <si>
    <t>36450797300;36707497500;56818812900;</t>
  </si>
  <si>
    <t>Online self-customization (OSC) enables customers to design a product tailored to their preferences and needs via the online platform. This study mainly argues that a successful OSC experience goes beyond simply increasing a consumer's preference fit; it provides an opportunity to develop a meaningful relationship with customers by allowing them to embed their sense of self into the customized products and thus identify themselves with the products. Consumer-customized product identification (C-C identification) was proposed as central to our understanding of why and under what conditions OSC processes enable consumers articulate their identities. This study is theoretically based on internal motivations from social identity theory and identification literature to develop a model. The model was tested using a scenario-based survey with respondents collected from Amazon's Mechanical Turk. Structural equation modeling analyses showed that value congruence and distinctiveness of the customized products positively influenced C-C identification, which in turn positively influenced attitudinal responses. The results further showed that the relative impact of two antecedents on C-C identification varies with a consumer's product involvement. A similar pattern of results was obtained in two product categories. Theoretical and managerial implications for OSC marketers are also discussed. © 2017 Elsevier Ltd</t>
  </si>
  <si>
    <t>Kwon S., Ha S., Kowal C.</t>
  </si>
  <si>
    <t>https://www.scopus.com/inward/record.uri?eid=2-s2.0-85018319079&amp;doi=10.1016%2fj.chb.2017.04.051&amp;partnerID=40&amp;md5=8e6a67ce44bd97543ad8e5ce094c8b4e</t>
  </si>
  <si>
    <t>Department of Management Information System, College of Business and Economics, Korea University, 2511 Sejong-ro, Sejong, 30019, South Korea; Department of Retail, Hospitality and Tourism Management, College of Education, Health, and Human Sciences, University of Tennessee, 1215 W. Cumberland Ave., Knoxville, TN  37996, United States; Department of Communication Studies, College of Arts &amp; Sciences, University of Michigan-Flint, 303 E. Kearsley St., Flint, MI  48502, United States</t>
  </si>
  <si>
    <t>Kwon, S., Department of Management Information System, College of Business and Economics, Korea University, 2511 Sejong-ro, Sejong, 30019, South Korea; Ha, S., Department of Retail, Hospitality and Tourism Management, College of Education, Health, and Human Sciences, University of Tennessee, 1215 W. Cumberland Ave., Knoxville, TN  37996, United States; Kowal, C., Department of Communication Studies, College of Arts &amp; Sciences, University of Michigan-Flint, 303 E. Kearsley St., Flint, MI  48502, United States</t>
  </si>
  <si>
    <t>Kwon, S.; Department of Management Information System, 2511 Sejong-ro, South Korea; email: miskwon@korea.ac.kr</t>
  </si>
  <si>
    <t>How social software supports cooperative practices in a globally distributed software project</t>
  </si>
  <si>
    <t>10.1145/2593702.2593716</t>
  </si>
  <si>
    <t>54392899600;14324633700;</t>
  </si>
  <si>
    <t>In Global Software Development (GSD), the lack of faceto-face communication is a major challenge and effective computer-mediated practices are necessary. This paper analyzes cooperative practices supported by Social Software (SoSo) in a GSD student project. The empirical results show that the role of SoSo is to support informal communication, enabling social talks and metawork, both necessary for establishing and for maintaining effective coordination mechanisms, thus successful cooperation. Copyright 2014 ACM.</t>
  </si>
  <si>
    <t>Giuffrida R., Dittrich Y.</t>
  </si>
  <si>
    <t>8th International Workshop on Cooperative and Human Aspects of Software Engineering, CHASE 2014 - Proceedings</t>
  </si>
  <si>
    <t>https://www.scopus.com/inward/record.uri?eid=2-s2.0-84949539043&amp;doi=10.1145%2f2593702.2593716&amp;partnerID=40&amp;md5=5990c948027b139935e19ac9e6e764a1</t>
  </si>
  <si>
    <t>IT University of Copenhagen, Software and System Section, Copenhagen, Denmark</t>
  </si>
  <si>
    <t>Giuffrida, R., IT University of Copenhagen, Software and System Section, Copenhagen, Denmark; Dittrich, Y., IT University of Copenhagen, Software and System Section, Copenhagen, Denmark</t>
  </si>
  <si>
    <t>How the Dark Triad traits predict relationship choices</t>
  </si>
  <si>
    <t>10.1016/j.paid.2012.03.007</t>
  </si>
  <si>
    <t>14045335500;39461668900;42461069800;</t>
  </si>
  <si>
    <t>While previous studies have correlated the Dark Triad traits (i.e., narcissism, psychopathy, and Machiavellianism) with a preference for short-term relationships, little research has addressed possible correlations with short-term relationship sub-types. In this online study using Amazon's Mechanical Turk system (N= 210) we investigated the manner in which scores on the Dark Triad relate to the selection of different mating environments using a budget-allocation task. Overall, the Dark Triad were positively correlated with preferences for short-term relationships and negatively correlated with preferences for a long-term relationship. Specifically, narcissism was uniquely correlated with preferences for one-night stands and friends-with-benefits and psychopathy was uniquely correlated with preferences for booty-call relationships. Both narcissism and psychopathy were negatively correlated with preferences for serious romantic relationships. In mediation analyses, psychopathy partially mediated the sex difference in preferences for booty-call relationships and narcissism partially mediated the sex difference in preferences for one-night stands. In addition, the sex difference in preference for serious romantic relationships was partially mediated by both narcissism and psychopathy. It appears the Dark Triad traits facilitate the adoption of specific mating environments providing fit with people's personality traits. © 2012 Elsevier Ltd.</t>
  </si>
  <si>
    <t>Jonason P.K., Luevano V.X., Adams H.M.</t>
  </si>
  <si>
    <t>https://www.scopus.com/inward/record.uri?eid=2-s2.0-84861659775&amp;doi=10.1016%2fj.paid.2012.03.007&amp;partnerID=40&amp;md5=8256895a3bf400af93dc6dea2e491b0f</t>
  </si>
  <si>
    <t>School of Psychology, University of Western Sydney, NSW, Australia; Department of Psychology, California State University, Stanislaus, United States</t>
  </si>
  <si>
    <t>Jonason, P.K., School of Psychology, University of Western Sydney, NSW, Australia; Luevano, V.X., Department of Psychology, California State University, Stanislaus, United States; Adams, H.M., Department of Psychology, California State University, Stanislaus, United States</t>
  </si>
  <si>
    <t>Jonason, P.K.; School of Psychology, 2 Bullecourt Ave, Milperra, NSW 2214, Australia; email: peterkarljonason@yahoo.com</t>
  </si>
  <si>
    <t>Human Computation and Crowdsourcing: Works in Progress and Demonstration Abstracts - An Adjunct to the Proceedings of the 1st AAAI Conference on Human Computation and Crowdsourcing, Technical Report</t>
  </si>
  <si>
    <t>The proceedings contain 51 papers. The topics discussed include: a human-centered framework for ensuring reliability on crowdsourced labeling tasks; making crowdwork work: issues in crowdsourcing for organizations; using crowdsourcing to generate an evaluation dataset for name matching technologies; statistical quality estimation for general crowdsourcing tasks; crowdsourcing translation by leveraging tournament selection and lattice-based string alignment; lottery-based payment mechanism for microtasks; using human and machine processing in recommendation systems; a ground truth inference model for ordinal crowd-sourced labels using hard assignment expectation maximization; frequency and duration of self-initiated task-switching in an online investigation of interrupted performance; human stigmergy in augmented environments; reducing error in context-sensitive crowdsourced tasks; transcribing and annotating speech corpora for speech recognition: a three-step crowdsourcing approach with quality control.</t>
  </si>
  <si>
    <t>https://www.scopus.com/inward/record.uri?eid=2-s2.0-84899543705&amp;partnerID=40&amp;md5=a9581fede63c03e92c575b4978d2e036</t>
  </si>
  <si>
    <t>Human-powered sorts and joins</t>
  </si>
  <si>
    <t>10.14778/2047485.2047487</t>
  </si>
  <si>
    <t>55613231286;36083426700;7007021839;7007132780;57216196948;</t>
  </si>
  <si>
    <t>Crowdsourcing markets like Amazon's Mechanical Turk (MTurk) make it possible to task people with small jobs, such as labeling images or looking up phone numbers, via a programmatic interface. MTurk tasks for processing datasets with humans are currently designed with significant reimplementation of common workflows and ad-hoc selection of parameters such as price to pay per task. We describe how we have integrated crowds into a declarative workflow engine called Qurk to reduce the burden on workflow designers. In this paper, we focus on how to use humans to compare items for sorting and joining data, two of the most common operations in DBMSs. We describe our basic query interface and the user interface of the tasks we post to MTurk. We also propose a number of optimizations, including task batching, replacing pairwise comparisons with numerical ratings, and pre-filtering tables before joining them, which dramatically reduce the overall cost of running sorts and joins on the crowd. In an experiment joining two sets of images, we reduce the overall cost from $67 in a naive implementation to about $3, without substantially affecting accuracy or latency. In an end-to-end experiment, we reduced cost by a factor of 14:5. © 2011 VLDB Endowment.</t>
  </si>
  <si>
    <t>Marcus A., Wu E., Karger D., Madden S., Miller R.</t>
  </si>
  <si>
    <t>https://www.scopus.com/inward/record.uri?eid=2-s2.0-84860851183&amp;doi=10.14778%2f2047485.2047487&amp;partnerID=40&amp;md5=6e169350d7ad9e925a44b1a3d1d98187</t>
  </si>
  <si>
    <t>Marcus, A., MIT CSAIL, United States; Wu, E., MIT CSAIL, United States; Karger, D., MIT CSAIL, United States; Madden, S., MIT CSAIL, United States; Miller, R., MIT CSAIL, United States</t>
  </si>
  <si>
    <t>Hybrid regression testing technique: Based on requirement priorities, fault and modification history</t>
  </si>
  <si>
    <t>10.1504/IJCAT.2015.070497</t>
  </si>
  <si>
    <t>57218835356;55746702600;36871512100;</t>
  </si>
  <si>
    <t>Context: The main challenge in incremental delivery of software is the testing of the increment with minimal number of test cases in such a manner that effect of execution of the subset is equivalent to the execution of whole test suite (regression testing). The execution of test suite subset must guarantee the capability of revealing all faults at the earliest. Objective: This paper aims to perform regression testing with minimal number of test cases that are capable of locating large percentage of faults. Method: The hybrid regression testing algorithm proposed in this paper is based on the clustering by employing three parameters: a) requirement priorities; b) fault detection history; c) module modification history. Results: The proposed technique was applied on live project of "Tool for automatic analysis and comparison of different release planning methods". The total of 14 requirements are considered for evaluation of proposed testing technique (three were added after the first review, leading to the process of reprioritisation). Conclusion: The evaluation of technique on real software revealed that the proposal resulted in better faults localisation with minimal number of test cases although its evaluation on a mature software system is kept as future work. © 2015 Inderscience Enterprises Ltd.</t>
  </si>
  <si>
    <t>Gupta V., Chauhan D.S., Dutta K.</t>
  </si>
  <si>
    <t>https://www.scopus.com/inward/record.uri?eid=2-s2.0-84949633182&amp;doi=10.1504%2fIJCAT.2015.070497&amp;partnerID=40&amp;md5=e6e3372aad58d0c39b4b713914a7933c</t>
  </si>
  <si>
    <t>Department of Computer Science and Engineering, Jawaharlal Nehru Govt. Engineering College, Sundernagar, Himachal Pradesh  175018, India; Uttarakhand Technical University, Dehradun, Uttarakhand  248007, India; Department of CSE, National Institute of Technology, Hamirpur, 177005, India</t>
  </si>
  <si>
    <t>Gupta, V., Department of Computer Science and Engineering, Jawaharlal Nehru Govt. Engineering College, Sundernagar, Himachal Pradesh  175018, India; Chauhan, D.S., Uttarakhand Technical University, Dehradun, Uttarakhand  248007, India; Dutta, K., Department of CSE, National Institute of Technology, Hamirpur, 177005, India</t>
  </si>
  <si>
    <t>Gupta, V.; Department of Computer Science and Engineering, India; email: varun13_cse@yahoo.co.in</t>
  </si>
  <si>
    <t>Identification of Nonconsensual Sexual Experiences and the Sexual Self-Schemas of Women: Implications for Sexual Functioning</t>
  </si>
  <si>
    <t>10.1007/s10508-018-1229-0</t>
  </si>
  <si>
    <t>57191651528;37560905500;56684507800;7004697119;</t>
  </si>
  <si>
    <t>Many individuals who experience nonconsensual sexual experiences (NSEs) do not identify their experiences with common sexual violence labels (e.g., sexual assault, rape, or abuse), and cognitive mechanisms of identification have yet to be examined. Identification may involve the integration of the experience into sexual self-schemas, which would have implications for sexual well-being. Women were recruited through Amazon’s Mechanical Turk (N = 818) to take part in an anonymous online study of sexual experiences. The current study assessed the relationship between textually derived sexual self-schemas and sexual function (measured by the Female Sexual Function Index) in women (M = 35.37 years, SD = 11.27) with NSEs who both did (identifiers, n = 305) and did not (non-identifiers, n = 176) identify with common sexual violence labels, in comparison with those with no NSEs (n = 337). Text analyses revealed nine sexual self-schema themes in participants’ essays: Virginity, Openness, Erotophilia, NSEs, Romantic, Sexual Activity, Warmth, Relationships, and Reflection. Analyses demonstrated that identifiers reported significantly poorer sexual functioning and less use of both the Warmth and Openness themes than those with no NSEs. Identifiers also invoked the NSE theme more frequently than both those with no NSE histories and non-identifiers. While greater prominence of the Warmth theme was predictive of greater sexual functioning for both non-identifiers and those with no NSEs, this was not true for identifiers. Instead, the NSE theme was significantly predictive of lower sexual functioning in identifiers. The results suggest that NSE identification may result in greater internalization of the NSE into one’s sexual self-schema and, in turn, predict decrements in sexual functioning. The results are discussed in relation to identification interpretation and clinical intervention. © 2018, Springer Science+Business Media, LLC, part of Springer Nature.</t>
  </si>
  <si>
    <t>Kilimnik C.D., Boyd R.L., Stanton A.M., Meston C.M.</t>
  </si>
  <si>
    <t>Archives of Sexual Behavior</t>
  </si>
  <si>
    <t>https://www.scopus.com/inward/record.uri?eid=2-s2.0-85047661548&amp;doi=10.1007%2fs10508-018-1229-0&amp;partnerID=40&amp;md5=0bad5df91781ab38a580bf5e4ebe972e</t>
  </si>
  <si>
    <t>Psychology Department, The University of Texas at Austin, SEA Building, 108 E. Dean Keeton St., A8000, Austin, TX  78712, United States</t>
  </si>
  <si>
    <t>Kilimnik, C.D., Psychology Department, The University of Texas at Austin, SEA Building, 108 E. Dean Keeton St., A8000, Austin, TX  78712, United States; Boyd, R.L., Psychology Department, The University of Texas at Austin, SEA Building, 108 E. Dean Keeton St., A8000, Austin, TX  78712, United States; Stanton, A.M., Psychology Department, The University of Texas at Austin, SEA Building, 108 E. Dean Keeton St., A8000, Austin, TX  78712, United States; Meston, C.M., Psychology Department, The University of Texas at Austin, SEA Building, 108 E. Dean Keeton St., A8000, Austin, TX  78712, United States</t>
  </si>
  <si>
    <t>Meston, C.M.; Psychology Department, SEA Building, 108 E. Dean Keeton St., A8000, United States; email: meston@psy.utexas.edu</t>
  </si>
  <si>
    <t>Identifying factors that influence trust in automated cars and medical diagnosis systems</t>
  </si>
  <si>
    <t>57215751538;10242820600;7005034205;56763504000;6601994484;</t>
  </si>
  <si>
    <t>Our research goals are to understand and model the factors that affect trust in automation across a variety of application domains. For the initial surveys described in this paper, we selected two domains: automotive and medical. Specifically, we focused on driverless cars (e.g., Google Cars) and automated medical diagnoses (e.g., IBM's Watson). There were two dimensions for each survey: the safety criticality of the situation in which the system was being used and name-brand recognizability. We designed the surveys and administered them electronically, using Survey Monkey and Amazon's Mechanical Turk. We then performed statistical analyses of the survey results to discover common factors across the domains, domain-specific factors, and implications of safety criticality and brand recognizability on trust factors. We found commonalities as well as dissimilarities in factors between the two domains, suggesting the possibility of creating a core model of trust that could be modified for individual domains. The results of our research will allow for the creation of design guidelines for autonomous systems that will be better accepted and used by target populations. Copyright © 2013, Association for the Advancement of Artificial Intelligence. All rights reserved.</t>
  </si>
  <si>
    <t>Carlson M.S., Desai M., Drury J.L., Kwak H., Yanco H.A.</t>
  </si>
  <si>
    <t>https://www.scopus.com/inward/record.uri?eid=2-s2.0-84904890048&amp;partnerID=40&amp;md5=ec13203105fe8d02c0145d90f9070512</t>
  </si>
  <si>
    <t>MITRE Corporation, 202 Burlington Road, Bedford, MA 01730, United States; Google Inc., 1600 Amphitheater Parkway, Mountain View, CA 94043, United States; United States Military Academy, West Point, NY 10997, United States</t>
  </si>
  <si>
    <t>Carlson, M.S., MITRE Corporation, 202 Burlington Road, Bedford, MA 01730, United States; Desai, M., Google Inc., 1600 Amphitheater Parkway, Mountain View, CA 94043, United States; Drury, J.L., MITRE Corporation, 202 Burlington Road, Bedford, MA 01730, United States; Kwak, H., United States Military Academy, West Point, NY 10997, United States; Yanco, H.A., MITRE Corporation, 202 Burlington Road, Bedford, MA 01730, United States</t>
  </si>
  <si>
    <t>ILO pioneering on domestic workers - Migrant women issues</t>
  </si>
  <si>
    <t>10.1556/2052.2018.59.4.6</t>
  </si>
  <si>
    <t>35193907100;</t>
  </si>
  <si>
    <t>This paper focuses on domestic workers, with particular attention paid to migrant women and their social protection. The ILO Convention concerning Decent Work for Domestic Workers is discussed and its possibilities and limits are highlighted. The response of EU legislation to the phenomenon of domestic work is also analysed. In conclusion, domestic work is labelled as a possible source of inspiration for future regulation of another, in many aspects, similar phenomenon - collaborative economy. © 2018 Akadémiai Kiadó, Budapest.</t>
  </si>
  <si>
    <t>Koldinská K.</t>
  </si>
  <si>
    <t>Hungarian Journal of Legal Studies</t>
  </si>
  <si>
    <t>https://www.scopus.com/inward/record.uri?eid=2-s2.0-85076181501&amp;doi=10.1556%2f2052.2018.59.4.6&amp;partnerID=40&amp;md5=958d2048e964f9a2d9b1e8bb3f6efa67</t>
  </si>
  <si>
    <t>Faculty of Law, Charles University, Prague, Czech Republic</t>
  </si>
  <si>
    <t>Koldinská, K., Faculty of Law, Charles University, Prague, Czech Republic</t>
  </si>
  <si>
    <t>Koldinská, K.; Faculty of Law, Czech Republic; email: koldinsk@prf.cuni.cz</t>
  </si>
  <si>
    <t>Impact of social media content on consumer engagement on Facebook: Application of large-scale content coding</t>
  </si>
  <si>
    <t>56134228900;6506753323;21743406700;</t>
  </si>
  <si>
    <t>Using Facebook Pages data, in which companies can post messages to consumers directly on Facebook, we investigate the impact of content on consumer engagement, by assessing its effect on the number of Likes and Comments received by firms' posts to users on the social networking website. We utilize a crowd-sourcing platform, Amazon's Mechanical Turk, combined with Natural Language Processing to content-code nearly 100,000 unique messages across 800 different companies engaging with Facebook users. Combining the content-coded data and information on engagement, our main results highlight the importance of optimizing social media content to achieve desired levels of engagement in social media platforms. In addition, the customized methodology used in this study to content code the messages can be adapted to analyze different textual data for different research purposes. More importantly, we show that simple ensemble learning method can dramatically increase the performance of customized natural language processing algorithm. © Thirty Fourth International Conference on Information Systems, Milan 2013.</t>
  </si>
  <si>
    <t>Lee D., Hosanagar K., Nair H.</t>
  </si>
  <si>
    <t>WITS 2013 - 23rd Workshop on Information Technology and Systems: Leveraging Big Data Analytics for Societal Benefits</t>
  </si>
  <si>
    <t>https://www.scopus.com/inward/record.uri?eid=2-s2.0-84907387197&amp;partnerID=40&amp;md5=dbc057a67d25f5313812046c1bbdeff1</t>
  </si>
  <si>
    <t>University of Pennsylvania, United States; Stanford GSB, United States</t>
  </si>
  <si>
    <t>Lee, D., University of Pennsylvania, United States; Hosanagar, K., University of Pennsylvania, United States; Nair, H., Stanford GSB, United States</t>
  </si>
  <si>
    <t>Impact of the gig economy (Uber and AirBnB) in South Africa</t>
  </si>
  <si>
    <t>57195509034;24923234300;</t>
  </si>
  <si>
    <t>The purpose of the study was to determine the impact of the Gig (or On-Demand) Economy (focussing specifically on Uber and Airbnb), on the Western Cape province of South Africa. Research has been conducted on the impact of the Gig Economy on the taxi and hospitality industries, but there has been a lack of studies focussing on the Gig (or On-Demand) Economy from a South African perspective, particularly the Western Cape. The use of On-demand services, such as Uber, have been increasing globally as well as in the Western Cape. Companies in the On-demand Economy have altered traditional business models and have started to sell the use of a product and not the product itself. On-Demand services have disrupted traditional industries and have provided consumers with more convenient, technology driven services. A qualitative approach (semi-structured interviews) was adopted to allow for better understanding of a participants reasoning and motivations. Data was analysed using thematic analysis. The impact of the On-demand Economy was determined by interviewing participants from the taxi and hospitality industries, people that make use of Ondemand services, people that work for Uber and Airbnb, and people that have traditional jobs. The main finding of the study was that the taxi industry has been disrupted by Uber, but the hospitality industry has not yet been disrupted. Consumers prefer to use Uber rather than traditional taxis but are impartial to the use of Airbnb. The findings show that the Western Cape has been impacted by the On-demand Economy, more specifically by Uber.</t>
  </si>
  <si>
    <t>Haripershad S., Johnston K.</t>
  </si>
  <si>
    <t>Proceedings of the 4th European Conference on Social Media, ECSM 2017</t>
  </si>
  <si>
    <t>https://www.scopus.com/inward/record.uri?eid=2-s2.0-85028570695&amp;partnerID=40&amp;md5=1ff49673c788e18364ad4f5c149249d6</t>
  </si>
  <si>
    <t>University of Cape Town, Cape Town, South Africa</t>
  </si>
  <si>
    <t>Haripershad, S., University of Cape Town, Cape Town, South Africa; Johnston, K., University of Cape Town, Cape Town, South Africa</t>
  </si>
  <si>
    <t>Implementation of an emergency department information system: A qualitative study of nurses' attitudes and experience</t>
  </si>
  <si>
    <t>10.1097/NXN.0b013e3182573b04</t>
  </si>
  <si>
    <t>56113454000;7005728665;6603698117;</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</si>
  <si>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 © 2012 Lippincott Williams &amp; Wilkins.</t>
  </si>
  <si>
    <t>Vezyridis P., Timmons S., Wharrad H.J.</t>
  </si>
  <si>
    <t>CIN - Computers Informatics Nursing</t>
  </si>
  <si>
    <t>https://www.scopus.com/inward/record.uri?eid=2-s2.0-84868358884&amp;doi=10.1097%2fNXN.0b013e3182573b04&amp;partnerID=40&amp;md5=9ca10a331b3ea68207db9b0016061bae</t>
  </si>
  <si>
    <t>Department of Nursing, Frederick University, 7 Y. Frederickou, Pallouriotissa, Nicosia 1036, Cyprus; School of Nursing, Midwifery and Physiotherapy, Division of Nursing, University of Nottingham, United Kingdom</t>
  </si>
  <si>
    <t>Vezyridis, P., Department of Nursing, Frederick University, 7 Y. Frederickou, Pallouriotissa, Nicosia 1036, Cyprus; Timmons, S., School of Nursing, Midwifery and Physiotherapy, Division of Nursing, University of Nottingham, United Kingdom; Wharrad, H.J., School of Nursing, Midwifery and Physiotherapy, Division of Nursing, University of Nottingham, United Kingdom</t>
  </si>
  <si>
    <t>Vezyridis, P.; Department of Nursing, 7 Y. Frederickou, Pallouriotissa, Nicosia 1036, Cyprus; email: hsc.vp@frederick.ac.cy</t>
  </si>
  <si>
    <t>Implementing use of ICT in teacher education: How to add quality to teaching and learning with the help of a Learning Resource Centre</t>
  </si>
  <si>
    <t>10.1007/978-0-387-34731-8_49</t>
  </si>
  <si>
    <t>15078495500;</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</si>
  <si>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 © 2006 International Federation for Information Processing.</t>
  </si>
  <si>
    <t>Olsson L.</t>
  </si>
  <si>
    <t>IFIP International Federation for Information Processing</t>
  </si>
  <si>
    <t>https://www.scopus.com/inward/record.uri?eid=2-s2.0-33749995530&amp;doi=10.1007%2f978-0-387-34731-8_49&amp;partnerID=40&amp;md5=ee79941999f2cbbe3e54ba3ec7380076</t>
  </si>
  <si>
    <t>Stockholm Institute of Education, Sweden, P.O. 34103, S-100 26 Stockholm, Sweden</t>
  </si>
  <si>
    <t>Olsson, L., Stockholm Institute of Education, Sweden, P.O. 34103, S-100 26 Stockholm, Sweden</t>
  </si>
  <si>
    <t>Olsson, L.; Stockholm Institute of Education, Sweden, P.O. 34103, S-100 26 Stockholm, Sweden; email: lena.olsson@lhs.se</t>
  </si>
  <si>
    <t>Improved concept-based query expansion using Wikipedia</t>
  </si>
  <si>
    <t>10.1504/IJCNDS.2013.054833</t>
  </si>
  <si>
    <t>57189299650;15057900500;8273684400;</t>
  </si>
  <si>
    <t>The query formulation has always been a challenge for the users. In this paper, we propose a novel interactive query expansion methodology that identifies and presents the potential directions (generalised concepts) for the given query enabling the user to explore the interested topic further. The methodology proposed is concept-based direction (CoD) finder which relies on the external knowledge repository for finding the directions. Wikipedia, the most important non-profit crowdsourcing project, is considered as the external knowledge repository for CoD finder methodology. CoD finder identifies the concepts for the given query and derives the generalised direction for each of the concepts, based on the content of the Wikipedia article and the categories it belongs to. The CoD finder methodology has been evaluated in the crowdsourcing marketplace - Amazon's Mechanical Turk for measuring the quality of the identified potential directions. The evaluation result shows that the potential directions identified by the CoD finder methodology produces better precision and recall for the given queries. Copyright © 2013 Inderscience Enterprises Ltd.</t>
  </si>
  <si>
    <t>Yuvarani M., Iyengar N.Ch.S.N., Kannan A.</t>
  </si>
  <si>
    <t>International Journal of Communication Networks and Distributed Systems</t>
  </si>
  <si>
    <t>https://www.scopus.com/inward/record.uri?eid=2-s2.0-84880110392&amp;doi=10.1504%2fIJCNDS.2013.054833&amp;partnerID=40&amp;md5=63eb1b9d0a9e35067b69041814cd7d6c</t>
  </si>
  <si>
    <t>Lead, Education and Research, Infosys Limited, Bangalore 560 100 Karnataka, India; School of Computing Science and Engineering, VIT University, Vellore 632 014, Tamil Nadu, India; Department of Information Science and Technology, Anna University, Chennai 600025 Tamil Nadu, India</t>
  </si>
  <si>
    <t>Yuvarani, M., Lead, Education and Research, Infosys Limited, Bangalore 560 100 Karnataka, India; Iyengar, N.Ch.S.N., School of Computing Science and Engineering, VIT University, Vellore 632 014, Tamil Nadu, India; Kannan, A., Department of Information Science and Technology, Anna University, Chennai 600025 Tamil Nadu, India</t>
  </si>
  <si>
    <t>Yuvarani, M.; Lead, , Bangalore 560 100 Karnataka, India; email: myuvarani@gmail.com</t>
  </si>
  <si>
    <t>Manoj Ray, D.; Department of Computer Science, India; email: manojray@yahoo.com</t>
  </si>
  <si>
    <t>Inclusion in sharing-based services (I-SBS): An analytical tool</t>
  </si>
  <si>
    <t>10.1007/978-3-319-60597-5_19</t>
  </si>
  <si>
    <t>57195219483;15055504500;55189712500;15051221400;</t>
  </si>
  <si>
    <t>The collaborative economy involves many different fields and it is difficult to define what activities are comprised. General impact evidence is inconclusive. However, some of them address problems about indirect discriminations, labour security and inequalities, the lack of regulation. Considerations about ‘inclusion’ and ‘exclusion’ states are needed for services involved in shared consumption. The authors propose the ‘Sharing-Based Services’ (SBS) conceptual framework to study and analyse a set of services. In particular, this paper describes an analytical tool (I-SBS) comprising an approach and the activities to consider the aspects of the ‘inclusion’ and ‘exclusion’ in SBS. The series of design workshops to evaluate the tool has been described in detail. The analytical tool, the design results, and the process of design workshops are presented as the main results. © Springer International Publishing AG 2018.</t>
  </si>
  <si>
    <t>Busciantella Ricci D., Dong H., Rinaldi A., Tosi F.</t>
  </si>
  <si>
    <t>https://www.scopus.com/inward/record.uri?eid=2-s2.0-85026290915&amp;doi=10.1007%2f978-3-319-60597-5_19&amp;partnerID=40&amp;md5=ce2c236bdad4c9546bd2f4edea7e9bc5</t>
  </si>
  <si>
    <t>Laboratory of Ergonomics and Design, Department of Architecture, University of Florence, Via Sandro Pertini 93, Calenzano, Firenze  50041, Italy; Inclusive Design Research Center, College of Design and Innovation, Tongji University, 1239 Siping Road, Shanghai, 200092, China</t>
  </si>
  <si>
    <t>Busciantella Ricci, D., Laboratory of Ergonomics and Design, Department of Architecture, University of Florence, Via Sandro Pertini 93, Calenzano, Firenze  50041, Italy; Dong, H., Inclusive Design Research Center, College of Design and Innovation, Tongji University, 1239 Siping Road, Shanghai, 200092, China; Rinaldi, A., Laboratory of Ergonomics and Design, Department of Architecture, University of Florence, Via Sandro Pertini 93, Calenzano, Firenze  50041, Italy; Tosi, F., Laboratory of Ergonomics and Design, Department of Architecture, University of Florence, Via Sandro Pertini 93, Calenzano, Firenze  50041, Italy</t>
  </si>
  <si>
    <t>Busciantella Ricci, D.; Laboratory of Ergonomics and Design, Via Sandro Pertini 93, Italy; email: daniele.busciantellaricci@unifi.it</t>
  </si>
  <si>
    <t>Independent contractors versus employees: Determining when the line has been crossed</t>
  </si>
  <si>
    <t>10.1177/1084822302239306</t>
  </si>
  <si>
    <t>25027743700;</t>
  </si>
  <si>
    <t>Letizia J.M.</t>
  </si>
  <si>
    <t>https://www.scopus.com/inward/record.uri?eid=2-s2.0-55449098458&amp;doi=10.1177%2f1084822302239306&amp;partnerID=40&amp;md5=346c3fa043c3186da8fa5a84de38937e</t>
  </si>
  <si>
    <t>Low Firms of Letizia, Ambrose and Falls, P.C.</t>
  </si>
  <si>
    <t>Letizia, J.M., Low Firms of Letizia, Ambrose and Falls, P.C.</t>
  </si>
  <si>
    <t>Independent contractors versus employees: the costs and benefits for your practice.</t>
  </si>
  <si>
    <t>36179393700;36128063800;</t>
  </si>
  <si>
    <t>Every business is interested in reducing costs. Payroll and employee benefit costs can be reduced through the use of independent contractors, because they are not employees to whom training, overtime wages, and benefits must be provided. Using the services of an independent contractor presents some disadvantages, however, as an independent contractor cannot be controlled and disciplined in the same fashion as an employee. There are a variety of tests applied under various statutes to determine whether an individual is an employee or an independent contractor, and it is important to carefully analyze all of the facts of a given situation in light of these tests before entering into an independent contractor relationship. If you engage an individual as an independent contractor, and that individual is found to actually be an employee, your business may be subject to significant financial penalties.</t>
  </si>
  <si>
    <t>Buzogany W.A., Mueller M.J.</t>
  </si>
  <si>
    <t>The Journal of medical practice management : MPM</t>
  </si>
  <si>
    <t>https://www.scopus.com/inward/record.uri?eid=2-s2.0-77954792642&amp;partnerID=40&amp;md5=88202f69a5a442548fde22146c497aa1</t>
  </si>
  <si>
    <t>Mueller LLC, Buzogany Marks &amp;amp, 225 West Washington Street, Chicago, IL  60606, United States</t>
  </si>
  <si>
    <t>Buzogany, W.A., Mueller LLC, Buzogany Marks &amp;amp, 225 West Washington Street, Chicago, IL  60606, United States; Mueller, M.J.</t>
  </si>
  <si>
    <t>Buzogany, W.A.email: wbuzogany@bmm-law.com</t>
  </si>
  <si>
    <t>Individual differences in trust in code: The moderating effects of personality on the trustworthiness-trust relationship</t>
  </si>
  <si>
    <t>10.1007/978-3-319-92270-6_53</t>
  </si>
  <si>
    <t>57195674754;57089831300;35101277300;56267147700;57194107331;55155617300;</t>
  </si>
  <si>
    <t>The daily use of technology has made people ever more reliant on software. It is important these software systems are produced in a manner that is both efficient and secure. In this context, psychological trust of software is a pertinent aspect of research. The present study explored the relationship of trustworthiness ratings, propensity to trust, and trait suspicion on software reuse. In addition, we explored personality as a moderator of the trustworthiness-reuse relationship, as hypothesized in the interpersonal trust literature [1]. We recruited participants from Amazon’s Mechanical Turk and requested they assess classes of Java code. Analyses revealed trait suspicion influenced decisions to reuse code and moderated the trustworthiness-trust relationship. A dual-process model of information processing was adopted for interpretation of these effects. Implications include contributions to research and theory on psychological trust, as well as practical implications for personnel selection with regard to software production. © 2018, Springer Verlag. All rights reserved.</t>
  </si>
  <si>
    <t>Ryan T.J., Walter C., Alarcon G.M., Gamble R.F., Jessup S.A., Capiola A.A.</t>
  </si>
  <si>
    <t>https://www.scopus.com/inward/record.uri?eid=2-s2.0-85061535619&amp;doi=10.1007%2f978-3-319-92270-6_53&amp;partnerID=40&amp;md5=b9179acab2adc3f9de3e6816b7e19207</t>
  </si>
  <si>
    <t>SRA International, Inc., A CSRA Company, Dayton, OH  45431, United States; University of Tulsa, Tulsa, OK  74104, United States; U.S. Air Force Research Laboratory, 711th HPW RHXS, WPAFB, Dayton, OH, United States; Lancaster, OH, United States</t>
  </si>
  <si>
    <t>Ryan, T.J., SRA International, Inc., A CSRA Company, Dayton, OH  45431, United States; Walter, C., University of Tulsa, Tulsa, OK  74104, United States; Alarcon, G.M., U.S. Air Force Research Laboratory, 711th HPW RHXS, WPAFB, Dayton, OH, United States; Gamble, R.F., University of Tulsa, Tulsa, OK  74104, United States; Jessup, S.A., U.S. Air Force Research Laboratory, 711th HPW RHXS, WPAFB, Dayton, OH, United States; Capiola, A.A., Lancaster, OH, United States</t>
  </si>
  <si>
    <t>Alarcon, G.M.; U.S. Air Force Research Laboratory, WPAFB, United States; email: gene.alarcon.1@us.af.mil</t>
  </si>
  <si>
    <t>Inflexitext: A program assessing psychological inflexibility in unstructured verbal data</t>
  </si>
  <si>
    <t>10.1016/j.jcbs.2020.09.002</t>
  </si>
  <si>
    <t>40461135600;55923508700;57218905443;</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</si>
  <si>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 © 2020 Association for Contextual Behavioral Science</t>
  </si>
  <si>
    <t>Berkout O.V., Cathey A.J., Berkout D.V.</t>
  </si>
  <si>
    <t>https://www.scopus.com/inward/record.uri?eid=2-s2.0-85090750143&amp;doi=10.1016%2fj.jcbs.2020.09.002&amp;partnerID=40&amp;md5=40ee4b367e68a438b069f1999a9c6534</t>
  </si>
  <si>
    <t>Department of Psychology, Texas A&amp;M Corpus Christi, United States; ENSO Group, Behavioral Science in the 21st Century, Dallas, TX, United States; DevCo Consulting, Frederick, MD, United States</t>
  </si>
  <si>
    <t>Berkout, O.V., Department of Psychology, Texas A&amp;M Corpus Christi, United States; Cathey, A.J., ENSO Group, Behavioral Science in the 21st Century, Dallas, TX, United States; Berkout, D.V., DevCo Consulting, Frederick, MD, United States</t>
  </si>
  <si>
    <t>Berkout, O.V.6300 Ocean Drive, United States; email: oberkout@gmail.com</t>
  </si>
  <si>
    <t>Information extraction and manipulation threats in crowd-powered systems</t>
  </si>
  <si>
    <t>10.1145/2531602.2531733</t>
  </si>
  <si>
    <t>54383728900;57207527470;23009039400;</t>
  </si>
  <si>
    <t>Crowd-powered systems have become a popular way to augment the capabilities of automated systems in real-world settings. Many of these systems rely on human workers to process potentially sensitive data or make important decisions. This puts these systems at risk of unintentionally releasing sensitive data or having their outcomes maliciously manipulated. While almost all crowd-powered approaches account for errors made by individual workers, few factor in active attacks on the system. In this paper, we analyze different forms of threats from individuals and groups of workers extracting information from crowd-powered systems or manipulating these systems' outcomes. Via a set of studies performed on Amazon's Mechanical Turk platform and involving 1,140 unique workers, we demonstrate the viability of these threats. We show that the current system is vulnerable to coordinated attacks on a task based on the requests of another task and that a significant portion of Mechanical Turk workers are willing to contribute to an attack. We propose several possible approaches to mitigating these threats, including leveraging workers who are willing to go above and beyond to help, automatically flagging sensitive content, and using workflows that conceal information from each individual, while still allowing the group to complete a task. Our findings enable the crowd to continue to play an important part in automated systems, even as the data they use and the decisions they support become increasingly important. Copyright © 2014 ACM.</t>
  </si>
  <si>
    <t>Lasecki W.S., Teevan J., Kamar E.</t>
  </si>
  <si>
    <t>https://www.scopus.com/inward/record.uri?eid=2-s2.0-84898987373&amp;doi=10.1145%2f2531602.2531733&amp;partnerID=40&amp;md5=a534ad8d599d940332b62709aec43e4d</t>
  </si>
  <si>
    <t>Computer Science Department, University of Rochester, United States; CLUES Group, Microsoft Research, United States; ASI Group, Microsoft Research, United States</t>
  </si>
  <si>
    <t>Lasecki, W.S., Computer Science Department, University of Rochester, United States; Teevan, J., CLUES Group, Microsoft Research, United States; Kamar, E., ASI Group, Microsoft Research, United States</t>
  </si>
  <si>
    <t>Information systems research on digital platforms for knowledge work: A scoping review</t>
  </si>
  <si>
    <t>57189003821;57207955832;</t>
  </si>
  <si>
    <t>Digital platforms for knowledge work, such as Upwork, Freelancer.com and Amazon Mechanical Turk connect clients with millions of workers for a range of tasks, including software development, virtual assistance, and micro-tasks. Information systems research on this emergent phenomenon has gained traction in recent years regarding publication volume and research diversity. To identify relevant papers, to distinguish them from related types of digital platforms, and to guide future research, we conducted a scoping review, focusing on the information systems literature. Results are structured according to a theoretical framework of the knowledge work process, covering three phases: Worker-client matching, committing for future action, and executing commitments. While the first phase has been analyzed extensively, we contend that the main phases of the knowledge work process have received scant attention. In this emergent stage of extant research, our review identifies promising research directions to guide prospective studies. © 40th International Conference on Information Systems, ICIS 2019. All rights reserved.</t>
  </si>
  <si>
    <t>Wagner G., Prester J.</t>
  </si>
  <si>
    <t>40th International Conference on Information Systems, ICIS 2019</t>
  </si>
  <si>
    <t>https://www.scopus.com/inward/record.uri?eid=2-s2.0-85114902174&amp;partnerID=40&amp;md5=c000adf3eb8980c20e58d08ef7efc53f</t>
  </si>
  <si>
    <t>Universität Regensburg, Germany; UNSW Business School, Sydney, Australia</t>
  </si>
  <si>
    <t>Wagner, G., Universität Regensburg, Germany; Prester, J., UNSW Business School, Sydney, Australia</t>
  </si>
  <si>
    <t>Initial validation of the Nine Item Avoidant/Restrictive Food Intake disorder screen (NIAS): A measure of three restrictive eating patterns</t>
  </si>
  <si>
    <t>10.1016/j.appet.2017.11.111</t>
  </si>
  <si>
    <t>56117537600;56995518100;</t>
  </si>
  <si>
    <t>Avoidant/Restrictive Food Intake Disorder (ARFID) is an eating or feeding disorder characterized by inadequate nutritional or caloric intake leading to weight loss, nutritional deficiency, supplement dependence, and/or significant psychosocial impairment. DSM-5 lists three different eating patterns that can lead to symptoms of ARFID: avoidance of foods due to their sensory properties (e.g., picky eating), poor appetite or limited interest in eating, or fear of negative consequences from eating. Research on the prevalence and psychopathology of ARFID is limited by the lack of validated instruments to measure these eating behaviors. The present study describes the development and validation of the nine-item ARFID screen (NIAS), a brief multidimensional instrument to measure ARFID-associated eating behaviors. Participants were 455 adults recruited on Amazon's Mechanical Turk, 505 adults recruited from a nationally-representative subject pool, and 311 undergraduates participating in research for course credit. Exploratory and confirmatory factor analyses provided evidence for three factors. The NIAS subscales demonstrated high internal consistency, test-retest reliability, invariant item loadings between two samples, and convergent/discriminant validity with other measures of picky eating, appetite, fear of negative consequences, and psychopathology. The scales were also correlated with measures of ARFID-like symptoms (e.g., low BMI, low fruit/vegetable variety and intake, and eating-related psychosocial interference/distress), although the picky eating, appetite, and fear scales had distinct independent relationships with these constructs. The NIAS is a brief, reliable instrument that may be used to further investigate ARFID-related eating behaviors. © 2017 Elsevier Ltd</t>
  </si>
  <si>
    <t>Zickgraf H.F., Ellis J.M.</t>
  </si>
  <si>
    <t>https://www.scopus.com/inward/record.uri?eid=2-s2.0-85037335956&amp;doi=10.1016%2fj.appet.2017.11.111&amp;partnerID=40&amp;md5=063a3a4e5fd68666aaa8134b3bfc114b</t>
  </si>
  <si>
    <t>University of Pennsylvania, Department of Psychology, 425 S. University Drive, Philadelphia, PA  19104, United States; East Carolina University, Psychology Department, East 5th Street, 104 Rawl Building, Greenville, NC  27858, United States</t>
  </si>
  <si>
    <t>Zickgraf, H.F., University of Pennsylvania, Department of Psychology, 425 S. University Drive, Philadelphia, PA  19104, United States; Ellis, J.M., East Carolina University, Psychology Department, East 5th Street, 104 Rawl Building, Greenville, NC  27858, United States</t>
  </si>
  <si>
    <t>Zickgraf, H.F.; University of Pennsylvania, 425 S. University Drive, United States; email: zickgraf@sas.upenn.edu</t>
  </si>
  <si>
    <t>Instrumentalization process analysis on the appropriation of a digital work environment in target language by turks learners in FFL</t>
  </si>
  <si>
    <t>57103647000;56522848600;</t>
  </si>
  <si>
    <t>This study aims to analyse the strategies implemented by Turkish learners in French as a foreign language to appropriate a digital work environment in french. During the course taught in 3rd year of FFL license entitled “Integration of ICT in Education” in Uludag University, analysis of the activity will be based on the theory of instrumental genesis that will highlight the process of appropriation of digital tools by learners. The study will highlight the birth of new knowledge on the lexical level generated during the instrumentalisation process. Semi - structured interviews will list the stategies developed by learners and statistical analysis will measure lexical aquisitions. © The Turkish Online Journal of Educational Technology.</t>
  </si>
  <si>
    <t>Atan N., Jonathan B.</t>
  </si>
  <si>
    <t>Turkish Online Journal of Educational Technology</t>
  </si>
  <si>
    <t>https://www.scopus.com/inward/record.uri?eid=2-s2.0-84957587777&amp;partnerID=40&amp;md5=53228642ffb792fdee6d0f45afe5f054</t>
  </si>
  <si>
    <t>Uludağ University, Turkey</t>
  </si>
  <si>
    <t>Atan, N., Uludağ University, Turkey; Jonathan, B., Uludağ University, Turkey</t>
  </si>
  <si>
    <t>Integration starts on day one in global software development projects</t>
  </si>
  <si>
    <t>10.1109/ICGSE.2008.10</t>
  </si>
  <si>
    <t>35579350900;23393343800;23393700000;24802673300;</t>
  </si>
  <si>
    <t>Since 2005, Pace University, Delhi University and the Institute of Technology of Cambodia have been partnering to offer students the opportunity to work on globally distributed software development projects. The innovative collaborative model has evolved towards an emphasis on technology mashups for development and communication, mentoring and auditing for assuring quality, and team and software integration for right-sourcing. This paper describes a project where students working in sub-teams were required to integrate their sub-components as a single system for a Cambodian environment. Furthermore, a well-defined design sub-component was subject to a competitive bidding process in an attempt to enhance quality though design diversity. The paper reports on our findings and summarizes the dos and don'ts associated with integration. Both team and software integration needs careful attention from day one on a project, a finding that has repercussions for educational and industrial practice. © 2008 IEEE.</t>
  </si>
  <si>
    <t>Gotel O., Kulkarni V., Scharff C., Neak L.</t>
  </si>
  <si>
    <t>https://www.scopus.com/inward/record.uri?eid=2-s2.0-56349154610&amp;doi=10.1109%2fICGSE.2008.10&amp;partnerID=40&amp;md5=21392e912e72de3f1a26a2885e12c83e</t>
  </si>
  <si>
    <t>Pace University, New York, NY, United States; University of Delhi, Delhi, India; Institute of Technology of Cambodia, Phnom Penh, Cameroon</t>
  </si>
  <si>
    <t>Gotel, O., Pace University, New York, NY, United States; Kulkarni, V., University of Delhi, Delhi, India; Scharff, C., Pace University, New York, NY, United States; Neak, L., Institute of Technology of Cambodia, Phnom Penh, Cameroon</t>
  </si>
  <si>
    <t>Gotel, O.; Pace University, New York, NY, United States; email: ogotel@pace.edu</t>
  </si>
  <si>
    <t>International Conference on Information Systems, ICIS 2012, Volume 1</t>
  </si>
  <si>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</si>
  <si>
    <t>https://www.scopus.com/inward/record.uri?eid=2-s2.0-84886536369&amp;partnerID=40&amp;md5=9ad75527585a4798835d4fbb73864ebf</t>
  </si>
  <si>
    <t>International Conference on Information Systems, ICIS 2012, Volume 2</t>
  </si>
  <si>
    <t>https://www.scopus.com/inward/record.uri?eid=2-s2.0-84886483941&amp;partnerID=40&amp;md5=6cd9bfdd6a2af8d9c158ec51172c5a42</t>
  </si>
  <si>
    <t>International Conference on Information Systems, ICIS 2012, Volume 3</t>
  </si>
  <si>
    <t>https://www.scopus.com/inward/record.uri?eid=2-s2.0-84886470101&amp;partnerID=40&amp;md5=7f51e14982a32277bb87f17300c42c60</t>
  </si>
  <si>
    <t>International Conference on Information Systems, ICIS 2012, Volume 4</t>
  </si>
  <si>
    <t>https://www.scopus.com/inward/record.uri?eid=2-s2.0-84886483021&amp;partnerID=40&amp;md5=70b50ba9af00fc697b1ff4ef4921fad6</t>
  </si>
  <si>
    <t>International Conference on Information Systems, ICIS 2012, Volume 5</t>
  </si>
  <si>
    <t>https://www.scopus.com/inward/record.uri?eid=2-s2.0-84886550717&amp;partnerID=40&amp;md5=2441a03d215ae7a1b04bc5151531cada</t>
  </si>
  <si>
    <t>INTERSPEECH 2011 - 12th Annual Conference of the International Speech Communication Association</t>
  </si>
  <si>
    <t>The proceedings contain 846 papers. The topics discussed include: reliability-weighted acoustic model adaptation using crowd sourced transcriptions; crowdsourcing for word recognition in noise; crowdsourcing preference tests, and how to detect cheating; growing a spoken language interface on amazon mechanical turk; real user evaluation of spoken dialogue systems using amazon mechanical turk; quality assessment of crowdsourcing transcriptions for african languages; using crowdsourcing to provide prosodic annotations for non-native speech; PodCastle: recent advances of a spoken document retrieval service improved by anonymous user contributions; language-independent socio-emotional role recognition in the AMI meetings corpus; and measuring acoustic-prosodic entrainment with respect to multiple levels and dimensions.</t>
  </si>
  <si>
    <t>https://www.scopus.com/inward/record.uri?eid=2-s2.0-84865721921&amp;partnerID=40&amp;md5=4ab7c9710acd93a5a7256827402bc729</t>
  </si>
  <si>
    <t>Introducing ema (editor for manual work activities) - A new tool for enhancing accuracy and efficiency of human simulations in digital production planning</t>
  </si>
  <si>
    <t>10.1007/978-3-642-21799-9_31</t>
  </si>
  <si>
    <t>36486233700;42961743900;42961845800;57189303871;57191255295;42962027000;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</si>
  <si>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2011 Springer-Verlag.</t>
  </si>
  <si>
    <t>Fritzsche L., Jendrusch R., Leidholdt W., Bauer S., Jäckel T., Pirger A.</t>
  </si>
  <si>
    <t>https://www.scopus.com/inward/record.uri?eid=2-s2.0-79960312353&amp;doi=10.1007%2f978-3-642-21799-9_31&amp;partnerID=40&amp;md5=2e66791c38b0861c361683024b613dc2</t>
  </si>
  <si>
    <t>imk Automotive, Inc., 5 Research Drive, Greenville, SC 29607, United States; imk Automotive, GmbH, Annaberger Str. 73, 09111 Chemnitz, Germany</t>
  </si>
  <si>
    <t>Fritzsche, L., imk Automotive, Inc., 5 Research Drive, Greenville, SC 29607, United States; Jendrusch, R., imk Automotive, GmbH, Annaberger Str. 73, 09111 Chemnitz, Germany; Leidholdt, W., imk Automotive, GmbH, Annaberger Str. 73, 09111 Chemnitz, Germany; Bauer, S., imk Automotive, GmbH, Annaberger Str. 73, 09111 Chemnitz, Germany; Jäckel, T., imk Automotive, GmbH, Annaberger Str. 73, 09111 Chemnitz, Germany; Pirger, A., imk Automotive, Inc., 5 Research Drive, Greenville, SC 29607, United States</t>
  </si>
  <si>
    <t>Fritzsche, L.; imk Automotive, Inc., 5 Research Drive, Greenville, SC 29607, United States; email: info@imk-automotive.com</t>
  </si>
  <si>
    <t>Investigating crowdsourcing to generate distractors for multiple-choice assessments</t>
  </si>
  <si>
    <t>10.1007/978-3-030-31239-8_15</t>
  </si>
  <si>
    <t>57192559662;57208101376;25921416900;57205696603;57192541791;36802461300;8210005000;</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</si>
  <si>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building on talk-aloud interviews with subjects to uncover their misconceptions. Our results are significant because generating effective distractors is one of the most difficult steps in creating multiple-choice assessments. © Springer Nature Switzerland AG 2020.</t>
  </si>
  <si>
    <t>Scheponik T., Golaszewski E., Herman G., Offenberger S., Oliva L., Peterson P.A.H., Sherman A.T.</t>
  </si>
  <si>
    <t>https://www.scopus.com/inward/record.uri?eid=2-s2.0-85076089777&amp;doi=10.1007%2f978-3-030-31239-8_15&amp;partnerID=40&amp;md5=47e499eb69a80d65fdc99a88740a223a</t>
  </si>
  <si>
    <t>Cyber Defense Lab, Department of Computer Science and Electrical Engineering, University of Maryland, Baltimore County (UMBC), Baltimore, United States; Department of Computer Science, University of Illinois at Urbana-Champaign, Urbana, United States; Department of Education, UMBC, Baltimore, United States; Department of Computer Science, University of Minnesota Duluth, Duluth, United States</t>
  </si>
  <si>
    <t>Scheponik, T., Cyber Defense Lab, Department of Computer Science and Electrical Engineering, University of Maryland, Baltimore County (UMBC), Baltimore, United States; Golaszewski, E., Cyber Defense Lab, Department of Computer Science and Electrical Engineering, University of Maryland, Baltimore County (UMBC), Baltimore, United States; Herman, G., Department of Computer Science, University of Illinois at Urbana-Champaign, Urbana, United States; Offenberger, S., Department of Computer Science, University of Illinois at Urbana-Champaign, Urbana, United States; Oliva, L., Department of Education, UMBC, Baltimore, United States; Peterson, P.A.H., Department of Computer Science, University of Minnesota Duluth, Duluth, United States; Sherman, A.T., Cyber Defense Lab, Department of Computer Science and Electrical Engineering, University of Maryland, Baltimore County (UMBC), Baltimore, United States</t>
  </si>
  <si>
    <t>Scheponik, T.; Cyber Defense Lab, United States; email: tschep1@umbc.edu</t>
  </si>
  <si>
    <t>Investigating the factor structure of the K10 and identifying cutoff scores denoting nonspecific psychological distress and need for treatment</t>
  </si>
  <si>
    <t>10.1016/j.mhp.2019.01.008</t>
  </si>
  <si>
    <t>57192654870;57201253759;57200960551;57201728665;57192014249;57205512840;7004251032;</t>
  </si>
  <si>
    <t>While widely used in epidemiological research, studies of the Kessler Psychological Distress Scale (K10) have supported profoundly mixed results regarding its latent factor structure and optimal cutoff scores to identify clinically significant psychological distress. The present study sought to investigate the K10 and identify cutoff scores denoting clinically significant nonspecific psychological distress and need for treatment in a sample of American adults recruited online. Four hundred thirty-four (434) adults (M age = 37.86) participated via Amazon Mechanical Turk (MTurk) as part of a larger study and completed the International Personality Item Pool Representation of the NEO PI-R, 120-item version (IPIP-NEO-120), K10, and demographic information. Factor analyses revealed that a two-factor solution (Depression and Anxiety) fit K10 items statistically significantly better than a unidimensional model. Good convergent validity emerged between IPIP-NEO-120 Depression and Anxiety facets and K10 and its subscales (all correlation coefficients ≥ 0.63). Optimal cutoff scores denoting clinically significant nonspecific psychological distress and need for treatment were identified as: K10 (12), K10-Dep (7), and K10-Anx (3/4). The findings of the present study support the multidimensionality of the K10 in a representative sample of Americans and were the first to identify clinically validated cutoff scores for the K10’s depression and anxiety subscales. © 2019</t>
  </si>
  <si>
    <t>Lace J.W., Greif T.R., McGrath A., Grant A.F., Merz Z.C., Teague C.L., Handal P.J.</t>
  </si>
  <si>
    <t>Mental Health and Prevention</t>
  </si>
  <si>
    <t>https://www.scopus.com/inward/record.uri?eid=2-s2.0-85060344702&amp;doi=10.1016%2fj.mhp.2019.01.008&amp;partnerID=40&amp;md5=0cc43dbb94b568dec5dbd3986eb7996c</t>
  </si>
  <si>
    <t>Saint Louis University, Department of Psychology, United States; University of North Carolina at Chapel Hill, Department of Physical Medicine and Rehabilitation, United States</t>
  </si>
  <si>
    <t>Lace, J.W., Saint Louis University, Department of Psychology, United States; Greif, T.R., Saint Louis University, Department of Psychology, United States; McGrath, A., Saint Louis University, Department of Psychology, United States; Grant, A.F., Saint Louis University, Department of Psychology, United States; Merz, Z.C., University of North Carolina at Chapel Hill, Department of Physical Medicine and Rehabilitation, United States; Teague, C.L., Saint Louis University, Department of Psychology, United States; Handal, P.J., Saint Louis University, Department of Psychology, United States</t>
  </si>
  <si>
    <t>Lace, J.W.3700 Lindell Blvd, United States; email: lacejw@slu.edu</t>
  </si>
  <si>
    <t>Is Amazon's Mechanical Turk (MTurk) a Comparable Recruitment Source for Trauma Studies?</t>
  </si>
  <si>
    <t>10.1037/tra0000502</t>
  </si>
  <si>
    <t>57210359261;57210355960;26436415000;</t>
  </si>
  <si>
    <t>Objective: Trauma researchers have recently begun using Amazon's Mechanical Turk (MTurk) as a data collection platform that is both time- and cost-efficient. Research is needed to determine the utility, generalizability, and validity of MTurk as a recruitment source for trauma-exposed samples. Method: Data were collected from 266 trauma-exposed MTurk participants on several clinical and psychological constructs relevant to trauma research. The mean scores, prevalence rates, and correlation strengths of the MTurk sample were compared to those reported in previously published studies of undergraduate, community, and treatment-seeking samples. Results: Findings indicated that prevalence rates of posttraumatic stress disorder (PTSD) and depression were not significantly different from comparison samples, but prevalence rates of generalized anxiety were significantly higher than that of a community sample. The MTurk sample showed significantly lower mean scores of PTSD, depression, and generalized anxiety symptoms than all comparison samples. Correlations were examined to determine whether established relationships between common trauma-related constructs were correlated for MTurk participants as they were in other samples. Correlations between PTSD symptom severity, posttraumatic cognitions (PTCs), and trauma coping self-efficacy (CSE-T) in the MTurk sample were not significantly different from the correlations observed in all comparison samples. Finally, MTurk participants who met criteria for probable PTSD scored significantly higher on measures of depression, generalized anxiety, and PTCs, and lower on CSE-T, than those without probable PTSD. Conclusions: Future trauma researchers utilizing MTurk should consider potential similarities and differences between MTurk samples and community, clinical, and undergraduate samples when interpreting the generalizability of findings. © 2019 American Psychological Association.</t>
  </si>
  <si>
    <t>Engle K., Talbot M., Samuelson K.W.</t>
  </si>
  <si>
    <t>https://www.scopus.com/inward/record.uri?eid=2-s2.0-85070465587&amp;doi=10.1037%2ftra0000502&amp;partnerID=40&amp;md5=5c4e8ec3bd051be3bfa174b62cad22a6</t>
  </si>
  <si>
    <t>Engle, K.; Talbot, M.; Samuelson, K.W.</t>
  </si>
  <si>
    <t>Engle, K.</t>
  </si>
  <si>
    <t>Is it what you say or how you say it? The impact of aid effectiveness information and its framing on donation behavior</t>
  </si>
  <si>
    <t>10.1016/j.socec.2019.101461</t>
  </si>
  <si>
    <t>35520039400;15061377000;</t>
  </si>
  <si>
    <t>In an online experiment on Amazon's Mechanical Turk, we analyze the effect of framing information about aid effectiveness on donation behavior. We find that combing a loss frame with an identified victim narrative to convey information about a development project's impact raises larger donations than a gain-framed narrative or a factual text. Also, donation calls that only state the development problem the project is addressing result in larger donations than donation calls providing additional information on the project's impact. Analyzing the mechanisms behind these results, the data shows that, regardless of the framing, providing information about a project's impact increases individuals’ knowledge and perception of effectiveness. But, while higher perceived effectiveness results in larger donations, increased knowledge lowers them - resulting in a zero net effect of additional information on donations. It seems that only appealing to individuals’ emotions through an identified victim narrative significantly increases donations. © 2019 Elsevier Inc.</t>
  </si>
  <si>
    <t>Metzger L., Günther I.</t>
  </si>
  <si>
    <t xml:space="preserve">Journal of Behavioral and Experimental Economics </t>
  </si>
  <si>
    <t>https://www.scopus.com/inward/record.uri?eid=2-s2.0-85072281187&amp;doi=10.1016%2fj.socec.2019.101461&amp;partnerID=40&amp;md5=f22649e396fd9534608dc66272d26e0e</t>
  </si>
  <si>
    <t>John F. Kennedy School of Government, Harvard University, 79 John F. Kennedy Street, Cambridge, MA  02138, United States; Development Economics Group &amp; Center for Development and Cooperation (NADEL), ETH Zurich, Clausiusstrasse 37, Zurich, 8092, Switzerland</t>
  </si>
  <si>
    <t>Metzger, L., John F. Kennedy School of Government, Harvard University, 79 John F. Kennedy Street, Cambridge, MA  02138, United States; Günther, I., Development Economics Group &amp; Center for Development and Cooperation (NADEL), ETH Zurich, Clausiusstrasse 37, Zurich, 8092, Switzerland</t>
  </si>
  <si>
    <t>Metzger, L.; John F. Kennedy School of Government, 79 John F. Kennedy Street, United States; email: laura_metzger@hks.harvard.edu</t>
  </si>
  <si>
    <t>Is platform capitalism sustainable? Digital business models, on-demand labor, and economic growth</t>
  </si>
  <si>
    <t>10.22381/JSME7120195</t>
  </si>
  <si>
    <t>57208692712;</t>
  </si>
  <si>
    <t>I use a substantial body of theoretical and empirical research on the sustainability of platform capitalism, and building my argument by drawing on data collected from BloombergOpinion, Bureau of Labor Statistics, Edelman Intelligence, Gallup, MBO Partners, SAP SE, Upwork, and U.S. Census Bureau, I performed analyses and made estimates regarding percentage of U.S. workers in alternative work arrangements, the last time individuals participated in skill-related education or training, number and growth of businesses without paid employees (by industry), number of workers who freelance, the divide between independent and contingent gig workers, the split of organizational spend across employees, nonpayroll workers, and service providers, percentage of freelancers who say independent work is more secure than a traditional job, and the gig economy as a percentage of civilian employment. © 2019, Addleton Academic Publishers. All rights reserved.</t>
  </si>
  <si>
    <t>Culkin B.</t>
  </si>
  <si>
    <t>https://www.scopus.com/inward/record.uri?eid=2-s2.0-85065512956&amp;doi=10.22381%2fJSME7120195&amp;partnerID=40&amp;md5=0d268861f130e18ebb509d9ca29f566c</t>
  </si>
  <si>
    <t>The Center for Labor Research and Education, CLI, Montreal, Canada</t>
  </si>
  <si>
    <t>Culkin, B., The Center for Labor Research and Education, CLI, Montreal, Canada</t>
  </si>
  <si>
    <t>Culkin, B.; The Center for Labor Research and Education, Canada; email: culkin@aa-er.org</t>
  </si>
  <si>
    <t>Is that a jaguar? Segmenting ancient Maya glyphs via crowdsourcing</t>
  </si>
  <si>
    <t>10.1145/2660114.2660117</t>
  </si>
  <si>
    <t>43260988600;57203103085;6602722700;</t>
  </si>
  <si>
    <t>Crowdsourcing is popular in multimedia research to obtain image annotation and segmentation data at scale. In the context of analysis of cultural heritage materials, we propose a novel crowdsourced task, namely the segmentation of ancient Maya hieroglyph-blocks by non-experts. This is a task that is highly perceptual and thus potentially feasible even though the crowd is not likely to have prior specialized knowledge about hieroglyphics. Based on a new data set of glyph-block line drawings for which ground-truth segmentation exists, we study how non-experts perceive glyph blocks (e.g. whether they see closed contours as a separate glyph, or how they combine visual components under plausible hypotheses of the number of glyphs present in a block.) Using Amazon Mechanical Turk as platform, we perform blockbased and worker-based objective analyses to assess the difculty of glyph blocks and the performance of workers. The results suggest that a crowdsourced approach is promising for glyph-blocks of moderate degrees of complexity. © 2014 ACM.</t>
  </si>
  <si>
    <t>Can G., Odobez J.-M., Gatica-Perez D.</t>
  </si>
  <si>
    <t>CrowdMM 2014 - Proceedings of the International Workshop on Crowdsourcing for Multimedia, Workshop of MM 2014</t>
  </si>
  <si>
    <t>https://www.scopus.com/inward/record.uri?eid=2-s2.0-84915751237&amp;doi=10.1145%2f2660114.2660117&amp;partnerID=40&amp;md5=96ec7df39bdf60bcfccba56667196413</t>
  </si>
  <si>
    <t>Idiap Research Institute, ÉCole Polytechnique Fédérale, de Lausanne, Switzerland</t>
  </si>
  <si>
    <t>Can, G., Idiap Research Institute, ÉCole Polytechnique Fédérale, de Lausanne, Switzerland; Odobez, J.-M., Idiap Research Institute, ÉCole Polytechnique Fédérale, de Lausanne, Switzerland; Gatica-Perez, D., Idiap Research Institute, ÉCole Polytechnique Fédérale, de Lausanne, Switzerland</t>
  </si>
  <si>
    <t>Is the grass greener on the other side: An independent contractor case study</t>
  </si>
  <si>
    <t>36118123200;36117528600;</t>
  </si>
  <si>
    <t>CASE DESCRIPTION: The principle focus of this case is the analysis of economic opportunity and work rule differences of individuals who work for firms as employees and those who work as independent contractors. Legalities, personal preferences, and job characteristics are analyzed in relations to the pros and cons of both categories. Job condition scenarios are investigated to determine which choice is better for the individual worker. Special consideration is given to specific personal situations and how the advantages and disadvantages of both options will likely affect the quality of life for our specific character. The areas to consider include: tax liabilities, freedom to choose the hours and methods of work completion, work-related equipment issues (i.e., transportation and office equipment), benefits options, and the impact of immediate supervision. This case is given a difficulty evaluation appropriate for higher management: level four. CASE SYNOPSIS: This case deals with an individual as he tries to make his way through the maze of today's work place in route to becoming a self-sufficient and productive citizen. Specifically, the case involves a person choosing a worker category, employee or independent contractor, in relation to one's own self interest. While not every job is suited to the flexibility associated with the status of independent contractor, neither is each individual. As our character comes to life, we will see how he appraises this option as it relates to career choices and the work-life balance in his life. Jimmy is a skilled tradesman currently working as an employee of long standing with a reputable company but has become interested in an opportunity with a competitive firm as an independent contractor. Students find themselves personally involved in sorting through the pros and cons of either choice. And, like Jimmy, they are asked to make decisions.</t>
  </si>
  <si>
    <t>Newton S., Borstorff P.C.</t>
  </si>
  <si>
    <t>Journal of the International Academy for Case Studies</t>
  </si>
  <si>
    <t>https://www.scopus.com/inward/record.uri?eid=2-s2.0-84874002236&amp;partnerID=40&amp;md5=210550f02733539feb1ed0240727f3ac</t>
  </si>
  <si>
    <t>Jacksonville State University, United States</t>
  </si>
  <si>
    <t>Newton, S., Jacksonville State University, United States; Borstorff, P.C., Jacksonville State University, United States</t>
  </si>
  <si>
    <t>Newton, S.; Jacksonville State UniversityUnited States</t>
  </si>
  <si>
    <t>Dumitriu, F.; Faculty of Economics and Business Administration, 22, Bvd. Carol I, Iasi, Romania; email: fdumi@uaic.ro</t>
  </si>
  <si>
    <t>It’s “the Joneses”: the influence of objective and subjective socioeconomic status on subjective perceptions of aging</t>
  </si>
  <si>
    <t>10.1007/s10433-018-0475-2</t>
  </si>
  <si>
    <t>57202014031;57194715641;55188401800;</t>
  </si>
  <si>
    <t>Positive subjective perceptions of aging predict various well-being, physical health, mental health, and longevity outcomes. Thus, it is important to consider what factors contribute to their formation. Socioeconomic status (SES) has been hypothesized to be one such factor, but past research has been mixed. We propose that subjective assessments of SES may better predict subjective perceptions of aging than traditional objective measures (e.g., income and education). The purpose of this study was to examine the effects of objective and subjective indicators of SES on subjective perceptions of aging. Participants (n = 296) from the Mindfulness and Anticipatory Coping Everyday study were recruited with a Human Intelligence Task on Amazon’s Mechanical Turk. Participants reported on their SES (i.e., income, education, and subjective social status) and subjective perceptions of aging (i.e., attitudes toward own aging, subjective age, and awareness of age-related gains and losses). Data were analyzed via hierarchical multiple regression with demographic and health variables entered first, followed by income and education, then subjective social status. Results demonstrated that although objective measures of SES did not contribute to predicting subjective perceptions of aging, those who rated themselves subjectively higher in their community social standing were more likely to possess positive aging attitudes, younger subjective ages, more awareness of age-related gains, and fewer awareness of age-related losses. These findings suggest that perceptions of doing better than one’s neighbors (i.e., “the Joneses”) may matter more for understanding subjective perceptions of aging than objective indicators of social status. © 2018, Springer-Verlag GmbH Germany, part of Springer Nature.</t>
  </si>
  <si>
    <t>English A.N., Bellingtier J.A., Neupert S.D.</t>
  </si>
  <si>
    <t>European Journal of Ageing</t>
  </si>
  <si>
    <t>https://www.scopus.com/inward/record.uri?eid=2-s2.0-85046760107&amp;doi=10.1007%2fs10433-018-0475-2&amp;partnerID=40&amp;md5=bc061ecf784f3c87ee43d2b4c39ef590</t>
  </si>
  <si>
    <t>Department of Psychology, North Carolina State University, Raleigh, United States; Department of Developmental Psychology, Friedrich Schiller University, Am Steiger 3/1, Jena, 07743, Germany</t>
  </si>
  <si>
    <t>English, A.N., Department of Psychology, North Carolina State University, Raleigh, United States; Bellingtier, J.A., Department of Psychology, North Carolina State University, Raleigh, United States, Department of Developmental Psychology, Friedrich Schiller University, Am Steiger 3/1, Jena, 07743, Germany; Neupert, S.D., Department of Psychology, North Carolina State University, Raleigh, United States</t>
  </si>
  <si>
    <t>Bellingtier, J.A.; Department of Developmental Psychology, Am Steiger 3/1, Germany; email: jennifer.bellingtier@uni-jena.de</t>
  </si>
  <si>
    <t>ITest: Testing software with mobile crowdsourcing</t>
  </si>
  <si>
    <t>10.1145/2666539.2666569</t>
  </si>
  <si>
    <t>55513513600;35243585400;24478022500;</t>
  </si>
  <si>
    <t>In recent years, a lot of crowdsourcing systems have emerged and lead to many successful crowdsourcing systems like Wiki-pedia, Amazon Mechanical Turk and Waze. In the field of software engineering, crowdtesting has acquired increased interest and adoption, especially among personal developers and smaller companies. In this paper, we present iTest which combines mobile crowdsourcing and software testing together to support the testing of mobile application and we- b services. iTest is a framework for software developers to submit their software and conveniently get the test results from the crowd testers. Firstly, we analyze the key problems need to be solved in a mobile crowdtesting platform; Secondly, we present the architecture of iTest framework; Thirdly, we introduce the workflow of testing web service in iTest and propose an algorithm for solving the tester selection problem mentioned in Section 2; Then the development kit to support testing mobile application is explained; Finally, we perform two experiments to illustrate that both the way to access network and tester's location influence the performance of web service. Copyright 2014 ACM.</t>
  </si>
  <si>
    <t>Yan M., Sun H., Liu X.</t>
  </si>
  <si>
    <t>1st International Workshop on Crowd-Based Software Development Methods and Technologies, CrowdSoft 2014 - Proceedings</t>
  </si>
  <si>
    <t>https://www.scopus.com/inward/record.uri?eid=2-s2.0-84945320992&amp;doi=10.1145%2f2666539.2666569&amp;partnerID=40&amp;md5=d56af3c44db962d822e8e9d1e02b0568</t>
  </si>
  <si>
    <t>School of Computer Science and Engineering, Beihang University, Beijing, China</t>
  </si>
  <si>
    <t>Yan, M., School of Computer Science and Engineering, Beihang University, Beijing, China; Sun, H., School of Computer Science and Engineering, Beihang University, Beijing, China; Liu, X., School of Computer Science and Engineering, Beihang University, Beijing, China</t>
  </si>
  <si>
    <t>Know yourself and beyond: A students' global software development project experience with Agile methodology</t>
  </si>
  <si>
    <t>10.1109/ICCSE.2010.5593595</t>
  </si>
  <si>
    <t>36643016400;23393700000;</t>
  </si>
  <si>
    <t>This paper describes a global software development project undertaken in an educational setting with students from Senegal, India and the US. Similar initiatives have been carried out for five years at Pace University, but it was the first time that it adopted Agile Methodologies and Scrum for the development of a mobile application. Another novel aspect was that developers were distributed across three locations. The experience was considered as an inspiring self-knowing process by all the student participants. This paper presents the perspective of one of students involved in the project. It gathers observations and analyzes the educational value of "Knowing Yourself and Beyond" based on the accomplished collaborative work and interviews with student developers and professors. The relevant lessons learned from this project are summarized and recommendations for students are provided. ©2010 IEEE.</t>
  </si>
  <si>
    <t>Su S.H., Scharff C.</t>
  </si>
  <si>
    <t>ICCSE 2010 - 5th International Conference on Computer Science and Education, Final Program and Book of Abstracts</t>
  </si>
  <si>
    <t>https://www.scopus.com/inward/record.uri?eid=2-s2.0-78649392659&amp;doi=10.1109%2fICCSE.2010.5593595&amp;partnerID=40&amp;md5=f5b56cabb2bad35b2ea9bbafcc6b3f32</t>
  </si>
  <si>
    <t>Seidenberg School of Computer Science and Information Systems, Pace University, New York, NY, United States</t>
  </si>
  <si>
    <t>Su, S.H., Seidenberg School of Computer Science and Information Systems, Pace University, New York, NY, United States; Scharff, C., Seidenberg School of Computer Science and Information Systems, Pace University, New York, NY, United States</t>
  </si>
  <si>
    <t>Su, S. H.; Seidenberg School of Computer Science and Information Systems, , New York, NY, United States; email: serenesou666@gmail.com</t>
  </si>
  <si>
    <t>Large Crowdcollected Facial Anti-Spoofing Dataset</t>
  </si>
  <si>
    <t>10.1109/CSITechnol.2019.8895208</t>
  </si>
  <si>
    <t>56406475300;23092291100;57215363516;57215365715;56404532900;</t>
  </si>
  <si>
    <t>The study about the vulnerabilities of biometric systems against spoofing has been a very active field of research in recent years. In this particular research we are focusing on one of the most difficult types of attack - video replay. We have noticed that currently most of face replay anti-spoofing databases focus on data with little variations of the devices used for replay and record. This fact may limit the generalization performance of trained models since potential attacks in the real world are probably more complex. In this review we present a face anti-spoofing database, which covers a huge range of different devices used for recording and for the video playback. The database contains 1942 genuine images, and 16885 fake faces are made from high quality records of the genuine faces. The database was collected using Amazon Mechanical Turk and Yandex Toloka services. The database was manually checked and the test protocol was provided. Some methods are also provided to be used as a baseline for future research. We hope that database as such can serve as an evaluation platform for the future studies in the literature. © 2019 IEEE.</t>
  </si>
  <si>
    <t>Timoshenko D., Simonchik K., Shutov V., Zhelezneva P., Grishkin V.</t>
  </si>
  <si>
    <t>12th International Conference on Computer Science and Information Technologies, CSIT 2019</t>
  </si>
  <si>
    <t>https://www.scopus.com/inward/record.uri?eid=2-s2.0-85075635335&amp;doi=10.1109%2fCSITechnol.2019.8895208&amp;partnerID=40&amp;md5=1f661f772800c7a56dc0b5a9a67ceaed</t>
  </si>
  <si>
    <t>ID RandD Inc., New York, United States; Saint Petersburg State University, Computer Modelling and Multiprocessor Systems, Saint Petersburg, Russian Federation</t>
  </si>
  <si>
    <t>Timoshenko, D., ID RandD Inc., New York, United States; Simonchik, K., ID RandD Inc., New York, United States; Shutov, V., ID RandD Inc., New York, United States; Zhelezneva, P., ID RandD Inc., New York, United States; Grishkin, V., Saint Petersburg State University, Computer Modelling and Multiprocessor Systems, Saint Petersburg, Russian Federation</t>
  </si>
  <si>
    <t>Latent profile analysis of PTSD and dissociation, and relations with anger</t>
  </si>
  <si>
    <t>10.1007/s12144-020-00693-5</t>
  </si>
  <si>
    <t>55917214600;56709621500;7003678279;57218666473;</t>
  </si>
  <si>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 2020, Springer Science+Business Media, LLC, part of Springer Nature.</t>
  </si>
  <si>
    <t>Durham T.A., Byllesby B.M., Elhai J.D., Wang L.</t>
  </si>
  <si>
    <t>https://www.scopus.com/inward/record.uri?eid=2-s2.0-85082800151&amp;doi=10.1007%2fs12144-020-00693-5&amp;partnerID=40&amp;md5=634335b69633f603fd09c4dd4ed63643</t>
  </si>
  <si>
    <t>Center of Excellence in Substance Abuse Treatment and Education, VA Puget Sound Health Care System, Seattle Division, Seattle, WA, United States; Summa Health Traumatic Stress Center, Akron, OH, United States;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t>
  </si>
  <si>
    <t>Durham, T.A., Center of Excellence in Substance Abuse Treatment and Education, VA Puget Sound Health Care System, Seattle Division, Seattle, WA, United States; Byllesby, B.M., Summa Health Traumatic Stress Center, Akron, OH, United States; Elhai, J.D.,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 Wang, L., Laboratory for Traumatic Stress Studies, CAS Key Laboratory of Mental Health, Institute of Psychology, Chinese Academy of Sciences, Beijing, China</t>
  </si>
  <si>
    <t>Elhai, J.D.; Department of Psychology, Mail Stop #948, 2801 W. Bancroft St, United States; email: contact@jon-elhai.com</t>
  </si>
  <si>
    <t>Lay Understanding of Forensic Statistics: Evaluation of Random Match Probabilities, Likelihood Ratios, and Verbal Equivalents</t>
  </si>
  <si>
    <t>10.1037/lhb0000134</t>
  </si>
  <si>
    <t>57207903058;35243568000;</t>
  </si>
  <si>
    <t>Forensic scientists have come under increasing pressure to quantify the strength of their evidence, but it is not clear which of several possible formats for presenting quantitative conclusions will be easiest for lay people, such as jurors, to understand. This experiment examined the way that people recruited from Amazon's Mechanical Turk (n = 541) responded to 2 types of forensic evidence-a DNA comparison and a shoeprint comparison-when an expert explained the strength of this evidence 3 different ways: using random match probabilities (RMPs), likelihood ratios (LRs), or verbal equivalents of likelihood ratios (VEs). We found that verdicts were sensitive to the strength of DNA evidence regardless of how the expert explained it, but verdicts were sensitive to the strength of shoeprint evidence only when the expert used RMPs. The weight given to DNA evidence was consistent with the predictions of a Bayesian network model that incorporated the perceived risk of a false match from 3 causes (coincidence, a laboratory error, and a frame-up), but shoeprint evidence was undervalued relative to the same Bayesian model. Fallacious interpretations of the expert's testimony (consistent with the source probability error and the defense attorney's fallacy) were common and were associated with the weight given to the evidence and verdicts. The findings indicate that perceptions of forensic science evidence are shaped by prior beliefs and expectations as well as expert testimony and consequently that the best way to characterize and explain forensic evidence may vary across forensic disciplines. © 2015 American Psychological Association.</t>
  </si>
  <si>
    <t>Thompson W.C., Newman E.J.</t>
  </si>
  <si>
    <t>Law and Human Behavior</t>
  </si>
  <si>
    <t>https://www.scopus.com/inward/record.uri?eid=2-s2.0-84937073376&amp;doi=10.1037%2flhb0000134&amp;partnerID=40&amp;md5=49500f9f6e56dda41b2faeee4476f97b</t>
  </si>
  <si>
    <t>Department of Criminology, Law, and Society, University of California, Irvine, CA  92697, United States</t>
  </si>
  <si>
    <t>Thompson, W.C., Department of Criminology, Law, and Society, University of California, Irvine, CA  92697, United States; Newman, E.J., Department of Criminology, Law, and Society, University of California, Irvine, CA  92697, United States</t>
  </si>
  <si>
    <t>Thompson, W.C.; Department of Criminology, United States; email: william.thompson@uci.edu</t>
  </si>
  <si>
    <t>Leader Arrogance and Subordinate Outcomes: the Role of Feedback Processes</t>
  </si>
  <si>
    <t>10.1007/s10869-017-9501-1</t>
  </si>
  <si>
    <t>55497607800;7202556604;8452029300;</t>
  </si>
  <si>
    <t>Purpose: The purpose of this study was to investigate the association between leader arrogance on subordinate outcomes of feedback seeking, morale, and burnout through its relationships with subordinate feedback environment perceptions. Additionally, perceived organizational support and subordinate feedback orientation are examined as moderators that influence the degree to which leader arrogance exerts its effects on these outcomes. Design/Methodology/Approach: Survey data were obtained from 302 participants on Amazon’s Mechanical Turk website and analyzed using Hayes’ (2013) PROCESS in SPSS. Findings: Subordinates with more arrogant supervisors reported less favorable feedback environment perceptions, and subsequently, lower levels of feedback seeking, morale, and higher levels of burnout. Perceived organizational support and feedback orientation were identified as significant moderators in these relationships. Subordinates were less vulnerable to the negative outcomes of leader arrogance when they experienced higher levels of perceived organizational support. Finally, subordinates with favorable feedback orientations exhibited lower levels of feedback seeking in the face of the unfavorable feedback environments associated with arrogant leaders. Implications: Given these findings, leader arrogance should be of great concern to organizations, as subordinates exposed to arrogant leaders are likely to experience adverse outcomes. Supplementing perceptions of organizational support may help alleviate some of these effects. Additionally, subordinates with favorable feedback orientations may be particularly vulnerable to the effects of leader arrogance on outcomes of feedback seeking and morale. Originality/Value: This study is the first to demonstrate the interpersonal implications of leader arrogance for subordinates, as well as explore mediators that play a role in these relationships. © 2017, Springer Science+Business Media New York.</t>
  </si>
  <si>
    <t>Borden L., Levy P.E., Silverman S.B.</t>
  </si>
  <si>
    <t>Journal of Business and Psychology</t>
  </si>
  <si>
    <t>https://www.scopus.com/inward/record.uri?eid=2-s2.0-85021129213&amp;doi=10.1007%2fs10869-017-9501-1&amp;partnerID=40&amp;md5=86bbeb8ec0eb401352ecbfb51ef6235e</t>
  </si>
  <si>
    <t>Department of Psychology, The University of Akron, Akron, OH  44325-4301, United States</t>
  </si>
  <si>
    <t>Borden, L., Department of Psychology, The University of Akron, Akron, OH  44325-4301, United States; Levy, P.E., Department of Psychology, The University of Akron, Akron, OH  44325-4301, United States; Silverman, S.B., Department of Psychology, The University of Akron, Akron, OH  44325-4301, United States</t>
  </si>
  <si>
    <t>Levy, P.E.; Department of Psychology, United States; email: pelevy@uakron.edu</t>
  </si>
  <si>
    <t>Learning a lexical simplifier using Wikipedia</t>
  </si>
  <si>
    <t>10.3115/v1/p14-2075</t>
  </si>
  <si>
    <t>56349715700;55397812700;12140512500;</t>
  </si>
  <si>
    <t>In this paper we introduce a new lexical simplification approach. We extract over 30K candidate lexical simplifications by identifying aligned words in a sentence-aligned corpus of English Wikipedia with Simple English Wikipedia. To apply these rules, we learn a feature-based ranker using SVM rank trained on a set of labeled simplifications collected using Amazon's Mechanical Turk. Using human simplifications for evaluation, we achieve a precision of 76% with changes in 86% of the examples. © 2014 Association for Computational Linguistics.</t>
  </si>
  <si>
    <t>Horn C., Manduca C., Kauchak D.</t>
  </si>
  <si>
    <t>52nd Annual Meeting of the Association for Computational Linguistics, ACL 2014 - Proceedings of the Conference</t>
  </si>
  <si>
    <t>https://www.scopus.com/inward/record.uri?eid=2-s2.0-84906932883&amp;doi=10.3115%2fv1%2fp14-2075&amp;partnerID=40&amp;md5=60ca107d3ba4f3f44b6a0de037bfb973</t>
  </si>
  <si>
    <t>Computer Science Department, Middlebury College, United States</t>
  </si>
  <si>
    <t>Horn, C., Computer Science Department, Middlebury College, United States; Manduca, C., Computer Science Department, Middlebury College, United States; Kauchak, D., Computer Science Department, Middlebury College, United States</t>
  </si>
  <si>
    <t>Learning community-based preferences via Dirichlet Process mixtures of Gaussian Processes</t>
  </si>
  <si>
    <t>55214098500;25825706800;14822072200;6602232581;</t>
  </si>
  <si>
    <t>Bayesian approaches to preference learning using Gaussian Processes (GPs) are attractive due to their ability to explicitly model uncertainty in users' latent utility functions; unfortunately existing techniques have cubic time complexity in the number of users, which renders this approach intractable for collaborative preference learning over a large user base. Exploiting the observation that user populations often decompose into communities of shared preferences, we model user preferences as an infinite Dirichlet Process (DP) mixture of communities and learn (a) the expected number of preference communities represented in the data, (b) a GPbased preference model over items tailored to each community, and (c) the mixture weights representing each user's fraction of community membership. This results in a learning and inference process that scales linearly in the number of users rather than cubicly and additionally provides the ability to analyze individual community preferences and their associated members. We evaluate our approach on a variety of preference data sources including Amazon Mechanical Turk showing that our method is more scalable and as accurate as previous GP-based preference learning work.</t>
  </si>
  <si>
    <t>Abbasnejad E., Sanner S., Bonilla E.V., Poupart P.</t>
  </si>
  <si>
    <t>IJCAI International Joint Conference on Artificial Intelligence</t>
  </si>
  <si>
    <t>https://www.scopus.com/inward/record.uri?eid=2-s2.0-84896062028&amp;partnerID=40&amp;md5=55a446cdb1f234d4263b2d3914e9e057</t>
  </si>
  <si>
    <t>NICTA, Australian National University, Australia; University of Waterloo, Canada</t>
  </si>
  <si>
    <t>Abbasnejad, E., NICTA, Australian National University, Australia; Sanner, S., NICTA, Australian National University, Australia; Bonilla, E.V., NICTA, Australian National University, Australia; Poupart, P., University of Waterloo, Canada</t>
  </si>
  <si>
    <t>NICTA, Australia</t>
  </si>
  <si>
    <t>Legal implications of novel taxi assignment strategies</t>
  </si>
  <si>
    <t>10.1007/978-3-030-51999-5_30</t>
  </si>
  <si>
    <t>56651099300;56246824500;56004857800;57211575489;49861964200;57202587602;</t>
  </si>
  <si>
    <t>In the last years, many novel applications have appeared that promote the provision of services or activities in a collaborative way. Examples of such proposals are collaborative transportation services (uber, glovo, amazon flex, etc.), crowdsourcing, exchange help services among citizens, and others. The intrinsic idea behind such systems is to take advantage of existing “capacities” for providing new services or incrementing the efficiency of daily tasks of people at a low cost. Also, many researchers have focused and are analysing novel ideas and approaches in this direction. The concept of Smart Cities is a clear representation of this hype and provides a playground for novel approaches where the aim is to provide a high level of services to citizens in an optimized and thus, more efficient way. As a result of this research effort, many proposals have been and are suggested that could be deployed in the real world. However, such proposals also bring up multiple non-technical issues that need to be tackled before they can be actually implemented in practice. In this sense, in this paper we analyse legal implications of a proposal for collaborative service provision. In particular, we analyse the legal issues related to a recent work on taxi assignments with compensation from the standpoint of the Spanish legislation. From this exercise, we extract a set of topics and requirements, which need to be addressed so as to pave the way for the potential real-world deployment of such a system in a future. © Springer Nature Switzerland AG 2020.</t>
  </si>
  <si>
    <t>Billhardt H., Santos J.-A., Fernández A., Moreno-Rebato M., Ossowski S., Rodríguez-García J.A.</t>
  </si>
  <si>
    <t>https://www.scopus.com/inward/record.uri?eid=2-s2.0-85088527844&amp;doi=10.1007%2f978-3-030-51999-5_30&amp;partnerID=40&amp;md5=6885186a9497efcc1d25bf5f0e3f5352</t>
  </si>
  <si>
    <t>Universidad Rey Juan Carlos, Madrid, Spain</t>
  </si>
  <si>
    <t>Billhardt, H., Universidad Rey Juan Carlos, Madrid, Spain; Santos, J.-A., Universidad Rey Juan Carlos, Madrid, Spain; Fernández, A., Universidad Rey Juan Carlos, Madrid, Spain; Moreno-Rebato, M., Universidad Rey Juan Carlos, Madrid, Spain; Ossowski, S., Universidad Rey Juan Carlos, Madrid, Spain; Rodríguez-García, J.A., Universidad Rey Juan Carlos, Madrid, Spain</t>
  </si>
  <si>
    <t>Fernández, A.; Universidad Rey Juan CarlosSpain; email: alberto.fernandez@urjc.es</t>
  </si>
  <si>
    <t>Lessons learned from the design and evaluation of visual information-seeking systems</t>
  </si>
  <si>
    <t>10.1007/s00799-009-0052-6</t>
  </si>
  <si>
    <t>13006353900;25824999100;6603080259;25825363700;25824915700;13005961400;23398200600;</t>
  </si>
  <si>
    <t>Designing information-seeking systems has become an increasingly complex task as today's information spaces are rapidly growing in quantity, heterogeneity, and dimensionality. The challenge is to provide user interfaces that have a satisfying usability and user experience even for novice users. Although information visualization and interaction design offer solutions, many information-seeking systems such as online catalogs for libraries or web search engines continue to use outdated user-interface concepts developed decades ago. In this paper, we will present four principles that we identified as crucial for the successful design of a modern visual information-seeking system. These are (1) to support various ways of formulating an information need, (2) to integrate analytical and browsing-oriented ways of exploration, (3) to provide views on different dimensions of the information space, and (4) to make search a pleasurable experience. These design principles are based on our experience over a long period in the user-centered design and evaluation of visual information-seeking systems. Accordingly, we will showcase individual designs from our own work of the past 10 years to illustrate each principle and hence narrow the gap between the scientific discussion and the designing practitioner that has often hindered research ideas from becoming reality. However, most of the times search is only one part of a higher level user activity (e. g. writing a paper). Thus future research should focus on the challenges when regarding search in such a broader context. We will use the final two chapters to point out some of these challenges and outline our vision of an integrated and consistent digital work environment named Zoomable Object-oriented Information Landscape. © Springer-Verlag 2009.</t>
  </si>
  <si>
    <t>Gerken J., Heilig M., Jetter H.-C., Rexhausen S., Demarmels M., König W.A., Reiterer H.</t>
  </si>
  <si>
    <t>International Journal on Digital Libraries</t>
  </si>
  <si>
    <t>https://www.scopus.com/inward/record.uri?eid=2-s2.0-71149104073&amp;doi=10.1007%2fs00799-009-0052-6&amp;partnerID=40&amp;md5=8a929891d931235987deef3fc96f3d44</t>
  </si>
  <si>
    <t>University of Konstanz, Human-Computer Interaction Group, Box D-73, Konstanz, Germany</t>
  </si>
  <si>
    <t>Gerken, J., University of Konstanz, Human-Computer Interaction Group, Box D-73, Konstanz, Germany; Heilig, M., University of Konstanz, Human-Computer Interaction Group, Box D-73, Konstanz, Germany; Jetter, H.-C., University of Konstanz, Human-Computer Interaction Group, Box D-73, Konstanz, Germany; Rexhausen, S., University of Konstanz, Human-Computer Interaction Group, Box D-73, Konstanz, Germany; Demarmels, M., University of Konstanz, Human-Computer Interaction Group, Box D-73, Konstanz, Germany; König, W.A., University of Konstanz, Human-Computer Interaction Group, Box D-73, Konstanz, Germany; Reiterer, H., University of Konstanz, Human-Computer Interaction Group, Box D-73, Konstanz, Germany</t>
  </si>
  <si>
    <t>Reiterer, H.; University of Konstanz, Box D-73, Konstanz, Germany; email: Harald.Reiterer@uni-konstanz.de</t>
  </si>
  <si>
    <t>Leveraging Arabic-English bilingual corpora with crowd sourcing-based annotation for Arabic-Hebrew SMT</t>
  </si>
  <si>
    <t>10.1007/978-3-642-37256-8_25</t>
  </si>
  <si>
    <t>34881637000;47061998800;57199658679;35607445600;16068045200;6507112233;</t>
  </si>
  <si>
    <t>Recent studies in Statistical Machine Translation (SMT) paradigm have been focused on developing foreign language to English translation systems. However as SMT systems have matured, there is a lot of demand to translate from one foreign language to another language. Unfortunately, the availability of parallel training corpora for a pair of morphologically complex foreign languages like Arabic and Hebrew is very scarce. This paper uses active learning based data selection and crowd sourcing technique like Amazon Mechanical Turk to create Arabic-Hebrew parallel corpora. It then explores two different techniques to build Arabic-Hebrew SMT system. The first one involves the traditional cascading of two SMT systems using English as a pivot language. The second approach is training a direct Arabic-Hebrew SMT system using sentence pivoting. Finally, we use a phrase generalization approach to further improve our performance. © 2013 Springer-Verlag.</t>
  </si>
  <si>
    <t>Gaurav M., Saikumar G., Srivastava A., Natarajan P., Ananthakrishnan S., Matsoukas S.</t>
  </si>
  <si>
    <t>https://www.scopus.com/inward/record.uri?eid=2-s2.0-84875525254&amp;doi=10.1007%2f978-3-642-37256-8_25&amp;partnerID=40&amp;md5=e0bf519e6b27eb81c769c0467086c77d</t>
  </si>
  <si>
    <t>Raytheon BBN Technologies, 10 Moulton Street, Cambridge, MA 02138, United States</t>
  </si>
  <si>
    <t>Gaurav, M., Raytheon BBN Technologies, 10 Moulton Street, Cambridge, MA 02138, United States; Saikumar, G., Raytheon BBN Technologies, 10 Moulton Street, Cambridge, MA 02138, United States; Srivastava, A., Raytheon BBN Technologies, 10 Moulton Street, Cambridge, MA 02138, United States; Natarajan, P., Raytheon BBN Technologies, 10 Moulton Street, Cambridge, MA 02138, United States; Ananthakrishnan, S., Raytheon BBN Technologies, 10 Moulton Street, Cambridge, MA 02138, United States; Matsoukas, S., Raytheon BBN Technologies, 10 Moulton Street, Cambridge, MA 02138, United States</t>
  </si>
  <si>
    <t>Gaurav, M.; Raytheon BBN Technologies, 10 Moulton Street, Cambridge, MA 02138, United States; email: mgaurav@bbn.com</t>
  </si>
  <si>
    <t>Longitudinal evaluation of anhedonia as a mediator of fear of positive evaluation and other depressive symptoms</t>
  </si>
  <si>
    <t>10.1080/02699931.2017.1289895</t>
  </si>
  <si>
    <t>57193524907;56236378600;56125338500;57193525249;</t>
  </si>
  <si>
    <t>Fear of positive evaluation (FPE) is experiencing dread during real or potential praise. FPE is associated with social anxiety, but its relation to depressive symptoms is unclear. Anhedonia is a core symptom of depression related to symptoms of anxiety in cross-sectional research. The current study investigated the indirect effect of FPE on depressive symptoms via anhedonia over time. One-hundred ninety-six participants completed three waves of questionnaires over a total timespan of approximately four months via Amazon’s Mechanical Turk, including measures of FPE, depressive symptoms, and anticipatory and consummatory anhedonia. Findings indicated that anticipatory anhedonia at Time 2 mediated the relationship between FPE at Time 1 and depressive symptoms at Time 3. Consummatory anhedonia, however, did not. Each model was contextualised by accounting for prospective covarying relationships, such as depressive symptoms predicting the same symptoms at later waves. The constellation of findings is considered within a reward devaluation framework. © 2017, © 2017 Informa UK Limited, trading as Taylor &amp; Francis Group.</t>
  </si>
  <si>
    <t>Jordan D.G., Winer E.S., Salem T., Kilgore J.</t>
  </si>
  <si>
    <t>Cognition and Emotion</t>
  </si>
  <si>
    <t>https://www.scopus.com/inward/record.uri?eid=2-s2.0-85014563981&amp;doi=10.1080%2f02699931.2017.1289895&amp;partnerID=40&amp;md5=63a7c43c525acf0489bf4fe2f8078fe8</t>
  </si>
  <si>
    <t>Department of Psychology, Mississippi State University, Starkville, MS, United States</t>
  </si>
  <si>
    <t>Jordan, D.G., Department of Psychology, Mississippi State University, Starkville, MS, United States; Winer, E.S., Department of Psychology, Mississippi State University, Starkville, MS, United States; Salem, T., Department of Psychology, Mississippi State University, Starkville, MS, United States; Kilgore, J., Department of Psychology, Mississippi State University, Starkville, MS, United States</t>
  </si>
  <si>
    <t>Jordan, D.G.; Department of Psychology, United States; email: dgj44@msstate.edu</t>
  </si>
  <si>
    <t>Looking at cities in Mexico with crowds</t>
  </si>
  <si>
    <t>10.1145/2830629.2830638</t>
  </si>
  <si>
    <t>55354610900;6508337683;6602722700;</t>
  </si>
  <si>
    <t>Mobile and social technologies are providing new opportunities to document, characterize, and gather impressions of urban environments. In this paper, we present a study that examines urban perceptions of three cities in central Mexico (Guanajuato, Leon and Silao), which integrates a mobile crowdsourcing framework to collect geo-localized images of urban environments by a local youth community, and an online crowdsourcing platform (Amazon Mechanical Turk) to gather impressions of urban environments along twelve physical and psychological dimensions. Our study resulted in a collection of 7,000 geo-localized images containing outdoor scenes and views of each city's built environment, including touristic, historical, and residential neighbourhoods; and 156,000 individual judgments from MTurk. Statistical analyses show that outdoor environments can be reliably assessed with respect to most urban dimensions by the observers of crowdsourced images. Furthermore, a cross-city statistical analysis shows that outdoor urban places in Guanajuato (a touristic, cultural heritage site) are perceived as more quiet, picturesque and interesting compared to places in Leon and Silao, which are commercial and industrial hubs, respectively. In contrast Silao, is perceived to have lower accessibility than Leon. Finally, we investigate whether the perceptions of urban environments vary across different times of the day and found that places in the evening are perceived as less happy, pleasant and preserved, when compared to the same place in the morning. Through the use of collective action, participatory sensing and mobile crowdsourcing, our study engages citizens to understand socio-urban problems in their communities. Copyright is held by the owner/author(s). © 2015 ACM.</t>
  </si>
  <si>
    <t>Santani D., Ruiz-Correa S., Gatica-Perez D.</t>
  </si>
  <si>
    <t>ACM DEV-6 2015 - Proceedings of the 2015 Annual Symposium on Computing for Development</t>
  </si>
  <si>
    <t>https://www.scopus.com/inward/record.uri?eid=2-s2.0-84964067814&amp;doi=10.1145%2f2830629.2830638&amp;partnerID=40&amp;md5=4422214892db61818078d64cc9c8cdfc</t>
  </si>
  <si>
    <t>Idiap Research Institute, EPFL, Lausanne, Switzerland; Center for Mobile Life, CNS, IPICYT, Mexico</t>
  </si>
  <si>
    <t>Santani, D., Idiap Research Institute, EPFL, Lausanne, Switzerland; Ruiz-Correa, S., Center for Mobile Life, CNS, IPICYT, Mexico; Gatica-Perez, D., Idiap Research Institute, EPFL, Lausanne, Switzerland</t>
  </si>
  <si>
    <t>Machine-learning for spammer detection in crowd-sourcing</t>
  </si>
  <si>
    <t>22833954000;23011314300;</t>
  </si>
  <si>
    <t>Over a series of evaluation experiments conducted using naive judges recruited and managed via Amazon's Mechanical Turk facility using a task from information retrieval (IR), we show that a SVM shows itself to have a very high accuracy when the machine-learner is trained and tested on a single task and that the method was portable from more complex tasks to simpler tasks, but not vice versa. Copyright © 2012, Association for the Advancement of Artificial Intelligence. All rights reserved.</t>
  </si>
  <si>
    <t>Halpin H., Blanco R.</t>
  </si>
  <si>
    <t>https://www.scopus.com/inward/record.uri?eid=2-s2.0-84875704610&amp;partnerID=40&amp;md5=ae2df59e4877c1de129927b650f9b1be</t>
  </si>
  <si>
    <t>World Wide Web Consortium, MIT, Boston, United States; Yahoo Research, Barcelona, Spain</t>
  </si>
  <si>
    <t>Halpin, H., World Wide Web Consortium, MIT, Boston, United States; Blanco, R., Yahoo Research, Barcelona, Spain</t>
  </si>
  <si>
    <t>Halpin, H.; World Wide Web Consortium, , Boston, United States; email: hhalpin@w3.org</t>
  </si>
  <si>
    <t>Major Tribunal Decisions in 2001</t>
  </si>
  <si>
    <t>10.1111/1472-9296.00046</t>
  </si>
  <si>
    <t>24176532400;57191761839;</t>
  </si>
  <si>
    <t>In their review of the major tribunal decisions, the authors review the significant cases of the previous year. These decisions touch upon newly contested terrains of industrial conflict such as employee entitlements and the ongoing use of the provisions of the Workplace Relations Act to thwart outsourcing strategies. To that end, the authors first analyse the Federal Court decisions arising from the controversial Manusafe employee entitlements trust fund and the Greater Dandenong City Council’s decision to outsource home care services. Secondly, the authors proceed to provide a considered review of the High Court’s assessment of the elusive distinction between employee and independent contractors. Thirdly, the authors reflect upon an interesting decision of the Australian Industrial Relations Commission which specifically exposed the interconnectedness of the Air New Zealand and Ansett Group of companies. The authors comment that the decisions reviewed are symptomatic of the evolving nature of industrial relations and industrial conflict. © 2002, SAGE Publications. All rights reserved.</t>
  </si>
  <si>
    <t>Catanzariti J., Shariff Y.</t>
  </si>
  <si>
    <t>Journal of Industrial Relations</t>
  </si>
  <si>
    <t>https://www.scopus.com/inward/record.uri?eid=2-s2.0-84992885924&amp;doi=10.1111%2f1472-9296.00046&amp;partnerID=40&amp;md5=625db0f89cfb2d80bca327f5e6b9c414</t>
  </si>
  <si>
    <t>National law firm Clayton Utz., Australia</t>
  </si>
  <si>
    <t>Catanzariti, J., National law firm Clayton Utz., Australia; Shariff, Y., National law firm Clayton Utz., Australia</t>
  </si>
  <si>
    <t>Making Decisions in Collaborative Consumption: Digital Trust and Reputation Systems in the Sharing Economy</t>
  </si>
  <si>
    <t>10.22381/JSME7120191</t>
  </si>
  <si>
    <t>35759104700;57194573509;</t>
  </si>
  <si>
    <t>This article reviews and advances existing literature concerning digital trust and reputation systems in the sharing economy. Building our argument by drawing on data collected from Edelman Intelligence, EY, Morning Consult, RSA/Ipsos MORI, Upwork, and YouGov Omnibus, we performed analyses and made estimates regarding how gig workers view their jobs, the level of satisfaction with different aspects of gig economy, proportion of satisfied with work-related benefits by type of gig economy activity, what motivates gig workers, attitudes towards contingent workers, and top reasons for freelancing. © 2019, Addleton Academic Publishers. All rights reserved.</t>
  </si>
  <si>
    <t>Popescu G.H., Cristian Ciurlău F.</t>
  </si>
  <si>
    <t>https://www.scopus.com/inward/record.uri?eid=2-s2.0-85065594565&amp;doi=10.22381%2fJSME7120191&amp;partnerID=40&amp;md5=4d4e38ad91093dd2c6270b2d8358dc88</t>
  </si>
  <si>
    <t>Center for Applied Macroeconomic Analysis, AAER, New York, United States; Dimitrie Cantemir Christian University, Bucharest, Romania</t>
  </si>
  <si>
    <t>Popescu, G.H., Center for Applied Macroeconomic Analysis, AAER, New York, United States, Dimitrie Cantemir Christian University, Bucharest, Romania; Cristian Ciurlău, F., Dimitrie Cantemir Christian University, Bucharest, Romania</t>
  </si>
  <si>
    <t>Making the copyright law work</t>
  </si>
  <si>
    <t>10.1109/MSECP.2003.1219075</t>
  </si>
  <si>
    <t>36783269400;</t>
  </si>
  <si>
    <t>Various aspects of simple and effective copyright law are discussed. The information vendors perceive the law as unworkable and resort to complex technological protection and restrictive user contracts. The consumers new rights and protection and second hand market in digital works are also analyzed. It is found that the copyright law infringements do not involve the file sharing.</t>
  </si>
  <si>
    <t>Lesk M.</t>
  </si>
  <si>
    <t>IEEE Security and Privacy</t>
  </si>
  <si>
    <t>https://www.scopus.com/inward/record.uri?eid=2-s2.0-3042823611&amp;doi=10.1109%2fMSECP.2003.1219075&amp;partnerID=40&amp;md5=729a759c257294632e7dd30ab93483c5</t>
  </si>
  <si>
    <t>Internet Archive, United States</t>
  </si>
  <si>
    <t>Lesk, M., Internet Archive, United States</t>
  </si>
  <si>
    <t>Internet ArchiveUnited States; email: lesk@acm.org</t>
  </si>
  <si>
    <t>Management of globally distributed software development projects in multiple-vendor constellations</t>
  </si>
  <si>
    <t>10.1007/978-3-642-15417-1_5</t>
  </si>
  <si>
    <t>36549495000;7403182380;7402331878;</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</si>
  <si>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 © 2010 Springer-Verlag Berlin Heidelberg.</t>
  </si>
  <si>
    <t>Schott K., Beck R., Gregory R.W.</t>
  </si>
  <si>
    <t>https://www.scopus.com/inward/record.uri?eid=2-s2.0-77957032143&amp;doi=10.1007%2f978-3-642-15417-1_5&amp;partnerID=40&amp;md5=34846190603a356efa6caa306d9ec7e7</t>
  </si>
  <si>
    <t>E-Finance Lab, Institute of Information Systems, Johann Wolfgang Goethe University, Frankfurt am Main, Germany</t>
  </si>
  <si>
    <t>Schott, K., E-Finance Lab, Institute of Information Systems, Johann Wolfgang Goethe University, Frankfurt am Main, Germany; Beck, R., E-Finance Lab, Institute of Information Systems, Johann Wolfgang Goethe University, Frankfurt am Main, Germany; Gregory, R.W., E-Finance Lab, Institute of Information Systems, Johann Wolfgang Goethe University, Frankfurt am Main, Germany</t>
  </si>
  <si>
    <t>Schott, K.; E-Finance Lab, Institute of Information Systems, Johann Wolfgang Goethe University, Frankfurt am Main, Germany</t>
  </si>
  <si>
    <t>Managing expectations: How stress, social support, and aging attitudes affect awareness of age-related changes</t>
  </si>
  <si>
    <t>10.1177/0265407519883009</t>
  </si>
  <si>
    <t>57194705860;57016664500;</t>
  </si>
  <si>
    <t>The degree to which social support (SS) moderates the effects of stress on self-perceptions of aging may depend on individual differences in general aging attitudes. We examined how stress, different types of SS, and general expectations regarding aging (ERA) affect awareness of age-related changes (AARCs). The sample included 137 adults (21–76 years; 56.2% women) who took an online survey on Amazon’s Mechanical Turk. Regression analyses showed differential moderation of stress effects due to ERA and the SS measure (perceived and received) and function (emotional and instrumental). Received emotional SS was only associated with AARC losses, whereas perceived support—both emotional and instrumental—was associated with AARC gains and losses. Findings may help guide future work aimed at promoting health and well-being in adulthood. © The Author(s) 2019.</t>
  </si>
  <si>
    <t>O’Brien E.L., Sharifian N.</t>
  </si>
  <si>
    <t>Journal of Social and Personal Relationships</t>
  </si>
  <si>
    <t>https://www.scopus.com/inward/record.uri?eid=2-s2.0-85074835073&amp;doi=10.1177%2f0265407519883009&amp;partnerID=40&amp;md5=767cc2d5aabed320dd35f2ab03a02276</t>
  </si>
  <si>
    <t>North Carolina State University, United States; The Pennsylvania State University, United States; University of Michigan, United States</t>
  </si>
  <si>
    <t>O’Brien, E.L., North Carolina State University, United States, The Pennsylvania State University, United States; Sharifian, N., University of Michigan, United States</t>
  </si>
  <si>
    <t>O’Brien, E.L.; North Carolina State UniversityUnited States; email: eml5781@psu.edu</t>
  </si>
  <si>
    <t>Masculine discrepancy stress, substance use, assault and injury in a survey of US men</t>
  </si>
  <si>
    <t>10.1136/injuryprev-2015-041599</t>
  </si>
  <si>
    <t>22235648300;55611790000;26431927700;7005860121;</t>
  </si>
  <si>
    <t>To understand and ultimately prevent injury and behavioural health outcomes associated with masculinity, we assessed the influence of masculine discrepancy stress (stress that occurs when men perceive themselves as falling short of the traditional gender norms) on the propensity to engage in stereotypically masculine behaviours (eg, substance use, risk taking and violence) as a means of demonstrating masculinity. Six-hundred men from the USA were recruited via Amazon’s Mechanical Turk (MTurk) online data collection site to complete surveys assessing self-perceptions of gender role discrepancy and consequent discrepancy stress, substance use/abuse, driving while intoxicated (DWI) and violent assaults. Negative binomial regression analyses indicated significant interactive effects wherein men high on gender role discrepancy and attendant discrepancy stress reported significantly more assaults with a weapon (B=1.01; SE=0.63; IRR=2.74; p=0.05) and assaults causing injury (B=1.01; SE=0.51; IRR=2.74; p&lt;0.05). There was no association of discrepancy stress to substance abuse, but there was a protective effect of gender role discrepancy for DWI among men low on discrepancy stress (B=−1.19, SE=0.48; IRR=0.30; p=0.01). These findings suggest that gender role discrepancy and associated discrepancy stress, in particular, represent important injury risk factors and that prevention of discrepancy stress may prevent acts of violence with the greatest consequences and costs to the victim, offender and society. © 2016, BMJ Publishing Group. All rights reserved.</t>
  </si>
  <si>
    <t>Reidy D.E., Berke D.S., Gentile B., Zeichner A.</t>
  </si>
  <si>
    <t>Injury Prevention</t>
  </si>
  <si>
    <t>https://www.scopus.com/inward/record.uri?eid=2-s2.0-84940100223&amp;doi=10.1136%2finjuryprev-2015-041599&amp;partnerID=40&amp;md5=8c6adad87a3d23a5058a27d60b0a5f47</t>
  </si>
  <si>
    <t>Division of Violence Prevention, Centers for Disease Control and Prevention, Atlanta, GA, United States; Department of Psychology, University of Georgia, Athens, GA, United States</t>
  </si>
  <si>
    <t>Reidy, D.E., Division of Violence Prevention, Centers for Disease Control and Prevention, Atlanta, GA, United States; Berke, D.S., Department of Psychology, University of Georgia, Athens, GA, United States; Gentile, B., Department of Psychology, University of Georgia, Athens, GA, United States; Zeichner, A., Department of Psychology, University of Georgia, Athens, GA, United States</t>
  </si>
  <si>
    <t>Reidy, D.E.; Division of Violence Prevention, United States; email: dreidy@cdc.gov</t>
  </si>
  <si>
    <t>57188858053;36147542500;35769469400;7202341166;36195134500;57216184005;</t>
  </si>
  <si>
    <t>Mechanical Turk as an ontology engineer? Using microtasks as a component of an ontology-engineering workflow</t>
  </si>
  <si>
    <t>10.1145/2464464.2464482</t>
  </si>
  <si>
    <t>57207499057;55805664400;36719997000;7005635736;</t>
  </si>
  <si>
    <t>Ontology evaluation has proven to be one of the more difficult problems in ontology engineering. Researchers proposed numerous methods to evaluate logical correctness of an ontology, its structure, or coverage of a domain represented by a corpus. However, evaluating whether or not ontology assertions correspond to the real world remains a manual and time-consuming task. In this paper, we explore the feasibility of using microtask crowd-sourcing through Amazon Mechanical Turk to evaluate ontologies. Specifically, we look at the task of verifying the subclass-superclass hierarchy in ontologies. We demonstrate that the performance of Amazon Mechanical Turk workers (turkers) on this task is comparable to the performance of undergraduate students in a formal study. We explore the effects of the type of the ontology on the performance of turkers and demonstrate that turkers can achieve accuracy as high as 90% on verifying hierarchy statements form common-sense ontologies such as WordNet. Finally, we compare the performance of turkers to the performance of domain experts on verifying statements from an ontology in the biomedical domain. We report on lessons learned about designing ontology-evaluation experiments on Amazon Mechanical Turk. Our results demonstrate that microtask crowd-sourcing can become a scalable and efficient component in ontology-engineering workflows.</t>
  </si>
  <si>
    <t>Noy N.F., Mortensen J., Alexander P.R., Musen M.A.</t>
  </si>
  <si>
    <t>https://www.scopus.com/inward/record.uri?eid=2-s2.0-84883102297&amp;doi=10.1145%2f2464464.2464482&amp;partnerID=40&amp;md5=1f0489b7c7b54cc47ab3f9807bbb0580</t>
  </si>
  <si>
    <t>Stanford University, Stanford, CA 94305, United States</t>
  </si>
  <si>
    <t>Noy, N.F., Stanford University, Stanford, CA 94305, United States; Mortensen, J., Stanford University, Stanford, CA 94305, United States; Alexander, P.R., Stanford University, Stanford, CA 94305, United States; Musen, M.A., Stanford University, Stanford, CA 94305, United States</t>
  </si>
  <si>
    <t>Media Diet Homogeneity in a Fragmented Media Landscape</t>
  </si>
  <si>
    <t>10.1080/15456870.2017.1251434</t>
  </si>
  <si>
    <t>14024977500;56465300600;</t>
  </si>
  <si>
    <t>This study assesses the nature of selective exposure and avoidance behaviors among political liberals and conservatives using a survey of 351 American citizens obtained through Amazon’s Mechanical Turk. Analyses of a new “homogeneity of media diet” measure suggest that although liberals and conservatives consume a comparable total number of media sources, the homogeneity of those media sources is higher among liberals than it is among conservatives. In the sample examined here, liberals were significantly more likely than conservatives to selectively attend to ideologically onsonant media sources and were significantly more likely than conservatives to selectively avoid ideologically discrepant media sources. Analyses include a validity test of the self-reported selective exposure used by Pew and others, as well as an examination of partisan perceptions of the ideological leanings of various media sources. Results indicate that conservatives are more likely than liberals to rate neutral media sources (e.g., CNN, USA Today, and network news broadcasts) as ideologically biased. Meanwhile, liberals are more likely than conservatives to perceive the bias in their ideologically consonant media sources. Implications for future studies of selective exposure and avoidance—and democratic theory in general—are discussed. © 2017 Taylor &amp; Francis.</t>
  </si>
  <si>
    <t>Young D.G., Anderson K.</t>
  </si>
  <si>
    <t>Atlantic Journal of Communication</t>
  </si>
  <si>
    <t>https://www.scopus.com/inward/record.uri?eid=2-s2.0-85011356916&amp;doi=10.1080%2f15456870.2017.1251434&amp;partnerID=40&amp;md5=31b7001380b24abe5ed989e159f15787</t>
  </si>
  <si>
    <t>Department of Communication, University of Delaware, United States</t>
  </si>
  <si>
    <t>Young, D.G., Department of Communication, University of Delaware, United States; Anderson, K., Department of Communication, University of Delaware, United States</t>
  </si>
  <si>
    <t>Young, D.G.; University of Delaware, 250 Pearson Hall, United States; email: dgyoung@udel.edu</t>
  </si>
  <si>
    <t>Mental models of online privacy: Structural properties with cognitive maps</t>
  </si>
  <si>
    <t>10.14236/ewic/hci2014.46</t>
  </si>
  <si>
    <t>56245566800;57203083176;</t>
  </si>
  <si>
    <t>Individuals usually build small-scale representation of reality to help them navigate their environment. Although mental models have been used in HCI before, they mostly occur as analogies and metaphor within the privacy and security research space. The meaning for users, the values associated and reasoning over online privacy have not been investigated before. In our research we explore and depict users' mental models of online privacy through the content, properties and structure of privacy mental models. We believe mental models provide a framework for understanding user cognitive processing and reasoning and consequently privacy decison-making. In this paper we present an on-going study that use Amazon's Mechanical Turk and cognitive mapping technique to elicit and illustrate mental models. We compare the cognitive maps generated for two different questions and analyse their structural properties. We find that while a list of concrete privacy evaluations populate the cognitive maps when asked directly about privacy, the examples are generally scarce if not absent when queried about personal importance of the online environment. We also find that the degree of vertices complemented with the source and sink vertices can help to identify key concepts, triggering links and clusters within the maps. © The Authors.</t>
  </si>
  <si>
    <t>Coopamootoo K.P.L., Groß T.</t>
  </si>
  <si>
    <t>Proceedings of the 28th International BCS Human Computer Interaction Conference: Sand, Sea and Sky - Holiday HCI, HCI 2014</t>
  </si>
  <si>
    <t>https://www.scopus.com/inward/record.uri?eid=2-s2.0-84961315781&amp;doi=10.14236%2fewic%2fhci2014.46&amp;partnerID=40&amp;md5=1f3e8fadf69ba7c61b82ba490cd3b09a</t>
  </si>
  <si>
    <t>School of Computing Science, Newcastle University, Newcastle Upon Tyne, NE1 7RU, United Kingdom</t>
  </si>
  <si>
    <t>Coopamootoo, K.P.L., School of Computing Science, Newcastle University, Newcastle Upon Tyne, NE1 7RU, United Kingdom; Groß, T., School of Computing Science, Newcastle University, Newcastle Upon Tyne, NE1 7RU, United Kingdom</t>
  </si>
  <si>
    <t>Microtask crowdsourcing for disease mention annotation in pubmed abstracts</t>
  </si>
  <si>
    <t>15834553900;55303831900;21735573700;7005096701;</t>
  </si>
  <si>
    <t>Identifying concepts and relationships in biomedical text enables knowledge to be applied in computational analyses. Many biological natural language processing (BioNLP) projects attempt to address this challenge, but the state of the art still leaves much room for improvement. Progress in BioNLP research depends on large, annotated corpora for evaluating information extraction systems and training machine learning models. Traditionally, such corpora are created by small numbers of expert annotators often working over extended periods of time. Recent studies have shown that workers on microtask crowdsourcing platforms such as Amazon's Mechanical Turk (AMT) can, in aggregate, generate high-quality annotations of biomedical text. Here, we investigated the use of the AMT in capturing disease mentions in PubMed abstracts. We used the NCBI Disease corpus as a gold standard for refining and benchmarking our crowdsourcing protocol. After several iterations, we arrived at a protocol that reproduced the annotations of the 593 documents in the 'training set' of this gold standard with an overall F measure of 0.872 (precision 0.862, recall 0.883). The output can also be tuned to optimize for precision (max = 0.984 when recall = 0.269) or recall (max = 0.980 when precision = 0.436). Each document was completed by 15 workers, and their annotations were merged based on a simple voting method. In total 145 workers combined to complete all 593 documents in the span of 9 days at a cost of $.066 per abstract per worker. The quality of the annotations, as judged with the F measure, increases with the number of workers assigned to each task; however minimal performance gains were observed beyond 8 workers per task. These results add further evidence that microtask crowdsourcing can be a valuable tool for generating well-annotated corpora in BioNLP. Data produced for this analysis are available at http://figshare.com/articles/Disease-Mention-Annotation-with-Mechanical-Turk/1126402.</t>
  </si>
  <si>
    <t>Good B.M., Nanis M., Wu C., Su A.I.</t>
  </si>
  <si>
    <t>Pacific Symposium on Biocomputing</t>
  </si>
  <si>
    <t>https://www.scopus.com/inward/record.uri?eid=2-s2.0-84971246378&amp;partnerID=40&amp;md5=b4782d82e98615752282d4b2a36cb82a</t>
  </si>
  <si>
    <t>Molecular and Experimental Medicine, Scripps Research Institute, 10550 N. Torrey Pines Rd., San Diego, CA  92037, United States</t>
  </si>
  <si>
    <t>Good, B.M., Molecular and Experimental Medicine, Scripps Research Institute, 10550 N. Torrey Pines Rd., San Diego, CA  92037, United States; Nanis, M., Molecular and Experimental Medicine, Scripps Research Institute, 10550 N. Torrey Pines Rd., San Diego, CA  92037, United States; Wu, C., Molecular and Experimental Medicine, Scripps Research Institute, 10550 N. Torrey Pines Rd., San Diego, CA  92037, United States; Su, A.I., Molecular and Experimental Medicine, Scripps Research Institute, 10550 N. Torrey Pines Rd., San Diego, CA  92037, United States</t>
  </si>
  <si>
    <t>Good, B.M.; Molecular and Experimental Medicine, 10550 N. Torrey Pines Rd., United States; email: bgood@scripps.edu</t>
  </si>
  <si>
    <t>MicroTrails: Comparing hypotheses about task selection on a crowdsourcing platform</t>
  </si>
  <si>
    <t>10.1145/2809563.2809608</t>
  </si>
  <si>
    <t>57204399798;55887953000;35302321000;57127840300;8227931000;7003867855;</t>
  </si>
  <si>
    <t>To optimize the workflow on commercial crowdsourcing platforms like Amazon Mechanical Turk or Microworkers, it is important to understand how users choose their tasks. Current work usually explores the underlying processes by employing user studies based on surveys with a limited set of participants. In contrast, we formulate hypotheses based on the different findings in these studies and, instead of verifying them based on user feedback, we compare them directly on data from a commercial crowdsourcing platform. For evaluation, we use a Bayesian approach called HypTrails which allows us to give a relative ranking of the corresponding hypotheses. The hypotheses considered, are for example based on task categories, monetary incentives or semantic similarity of task descriptions. We find that, in our scenario, hypotheses based on employers as well the the task descriptions work best. Overall, we objectively compare different factors influencing users when choosing their tasks. Our approach enables crowdsourcing companies to better understand their users in order to optimize their platforms, e.g., by incorparting the gained knowledge about these factors into task recommentation systems. © 2015 ACM.</t>
  </si>
  <si>
    <t>Becker M., Borchert K., Hirth M., Mewes H., Hotho A., Tran-Gia P.</t>
  </si>
  <si>
    <t>https://www.scopus.com/inward/record.uri?eid=2-s2.0-84958690479&amp;doi=10.1145%2f2809563.2809608&amp;partnerID=40&amp;md5=6b8d1017acc664fd85f89c3a39e7969b</t>
  </si>
  <si>
    <t>University of Würzburg, Germany; University of Würzburg, L3S Research Center, Germany</t>
  </si>
  <si>
    <t>Becker, M., University of Würzburg, Germany; Borchert, K., University of Würzburg, Germany; Hirth, M., University of Würzburg, Germany; Mewes, H., University of Würzburg, Germany; Hotho, A., University of Würzburg, L3S Research Center, Germany; Tran-Gia, P., University of Würzburg, Germany</t>
  </si>
  <si>
    <t>Modeling carbon tax policy impacts on U.S. commercial airlines by using agent-based modeling and crowdsourced data</t>
  </si>
  <si>
    <t>10.2514/6.2016-4302</t>
  </si>
  <si>
    <t>55806403800;57188754149;56611317300;57191033497;</t>
  </si>
  <si>
    <t>The complexity of interactions between commercial airlines and the traveling public in the U.S. Air Transportation System (ATS) makes the evaluation of proposed ATS-related policy changes a challenging task. Proposed policies, such as a carbon tax, involve a continuous interplay of feedback and response between an airline’s operational and pricing decisions and customer purchasing decisions. A key component for modeling customer-based interaction outcomes is the ability to capture representative willingness-to-pay (WTP) perceptions of customers in the system. Insights for realistically parameterizing a modeling construct of customer WTP is especially challenging in the absence of relevant data, a common occurrence when the policy of interest is novel, untested, and/or has no implementation precedent in the context of the research question. To address this challenge, we present as a case study a notional industry-wide carbon tax that is implemented in an agent-based model of the ATS. To approximate the customer adaptive response—because no data exist within a U.S. implementation context—we use the online crowdsourcing platform Amazon Mechanical Turk to field a contingent valuation study that is then used to parametrize our model. The WTP curves of our customer agents are adjusted to represent the captured survey-based response to modeled airfare increases associated with implementation of the proposed carbon tax policy scenarios. Simulation results track with industry expert opinion on higher operational costs from a carbon tax being passed on to the customer through higher airfares, but despite the pricing increase, enplanements (ticket purchases) are generally maintained or increase over time given the adaptation of the traveling public to the pricing norm shift. © 2016 by Brant M. Horio, Logistics Management Institute.</t>
  </si>
  <si>
    <t>Horio B.M., Kumar V., Levin D.J., Sung P.E.</t>
  </si>
  <si>
    <t>AIAA Modeling and Simulation Technologies Conference, 2016</t>
  </si>
  <si>
    <t>https://www.scopus.com/inward/record.uri?eid=2-s2.0-84985995222&amp;doi=10.2514%2f6.2016-4302&amp;partnerID=40&amp;md5=44d0de34181f877c3248b407433a80e4</t>
  </si>
  <si>
    <t>Operations &amp; Financial Management, LMI, 7940 Jones Branch Drive, Tysons, VA  22102, United States; Performance Accountability &amp; Resource Management, LMI, 7940 Jones Branch Drive, Tysons, VA  22102, United States</t>
  </si>
  <si>
    <t>Horio, B.M., Operations &amp; Financial Management, LMI, 7940 Jones Branch Drive, Tysons, VA  22102, United States; Kumar, V., Operations &amp; Financial Management, LMI, 7940 Jones Branch Drive, Tysons, VA  22102, United States; Levin, D.J., Operations &amp; Financial Management, LMI, 7940 Jones Branch Drive, Tysons, VA  22102, United States; Sung, P.E., Performance Accountability &amp; Resource Management, LMI, 7940 Jones Branch Drive, Tysons, VA  22102, United States</t>
  </si>
  <si>
    <t>More than money: Correlation among worker demographics, motivations, and participation in online labor market</t>
  </si>
  <si>
    <t>57204953164;8568011500;56338714900;</t>
  </si>
  <si>
    <t>Most prior research about online labor markets examines the dynamics of a single work platform and either worker demographics or motivations associated with that site. How demographics and motives correlate with each other, and with engagement across multiple platforms, remains understudied. To bridge this gap, we analyze survey responses from 1700 people working across four different online labor platforms to understand: What motivates people to participate in online labor markets and how do individual motives correspond to larger demographic patterns and structural dynamics that more broadly shape traditional employment opportunities? Our results show that age, gender, education, and number of income sources help explain who does on-demand work, when they do it, and why. Even more striking, these broader social dimensions of work correlate with when and why individuals work across multiple on-demand platform companies. Together, these factors structure on-demand labor markets more than individual choice or the presumed “flexibility” of on-demand work alone. Copyright © 2019, Association for the Advancement of Artificial Intelligence (www.aaai.org). All rights reserved.</t>
  </si>
  <si>
    <t>Chen W.-C., Suri S., Gray M.L.</t>
  </si>
  <si>
    <t>Proceedings of the 13th International Conference on Web and Social Media, ICWSM 2019</t>
  </si>
  <si>
    <t>https://www.scopus.com/inward/record.uri?eid=2-s2.0-85070365178&amp;partnerID=40&amp;md5=469143ad23ead9e9796b67e83cadc021</t>
  </si>
  <si>
    <t>Indiana University Bloomington, United States; Microsoft Research, United States</t>
  </si>
  <si>
    <t>Chen, W.-C., Indiana University Bloomington, United States; Suri, S., Microsoft Research, United States; Gray, M.L., Microsoft Research, United States</t>
  </si>
  <si>
    <t>Non-employment work arrangements in digital labor marketplaces: Who’s fooling who?</t>
  </si>
  <si>
    <t>10.22381/JSME6320185</t>
  </si>
  <si>
    <t>57204013237;</t>
  </si>
  <si>
    <t>I follow recent research showing that labor markets are undergoing an impressive metamorphosis, where standard employment is gradually accompanied or replaced by impermanent gig work facilitated by online platforms. Using data from JPMorgan Chase Institute, I performed analyses and made estimates regarding reliance on, and active participation in, capital platforms, percent of participants who drop out within 12 months, percent of active participants that are new entrants to the online platform economy, percent of adults participating on platforms by employment status, and three-month rolling average of monthly platform earnings. Empirical and secondary data are used to support the claim that labor platforms increase the access to work regulated via the market. © 2018, Addleton Academic Publishers. All rights reserved.</t>
  </si>
  <si>
    <t>Drugău-Constantin A.</t>
  </si>
  <si>
    <t>https://www.scopus.com/inward/record.uri?eid=2-s2.0-85057239782&amp;doi=10.22381%2fJSME6320185&amp;partnerID=40&amp;md5=c08bb9091dd00a4464ab1b257988c762</t>
  </si>
  <si>
    <t>The Bucharest University of Economic Studies, Romania</t>
  </si>
  <si>
    <t>Drugău-Constantin, A., The Bucharest University of Economic Studies, Romania</t>
  </si>
  <si>
    <t>Drugău-Constantin, A.; The Bucharest University of Economic StudiesRomania; email: andreeadrugau@gmail.com</t>
  </si>
  <si>
    <t>Nonstandard work and economic Crisis: What changes should we expect?</t>
  </si>
  <si>
    <t>10.1080/10875540903272785</t>
  </si>
  <si>
    <t>6508284753;</t>
  </si>
  <si>
    <t>Many workers experience nonstandard work arrangements, such as being part time, an independent contractor, or working nondaytime hours. This article reviews existing literature and presents primary data on the United States' nonstandard workforce to make predictions about its possible growth during the current economic crisis. Analyses suggest substantial but temporary growth in the involuntary part-time workforce, as well as continued long-term growth of part-time primary earners. There will likely be a cyclical decline in temporary-help employment, contrasted with continued long-term growth of independent contractors. Existing research does not suggest growth in the prevalence of nonstandard schedules. © Taylor &amp; Francis Group, LLC.</t>
  </si>
  <si>
    <t>Shaefer H.L.</t>
  </si>
  <si>
    <t>Journal of Poverty</t>
  </si>
  <si>
    <t>https://www.scopus.com/inward/record.uri?eid=2-s2.0-75949112136&amp;doi=10.1080%2f10875540903272785&amp;partnerID=40&amp;md5=cecbb83f34416a6a3d1f168c23d19f5d</t>
  </si>
  <si>
    <t>School of Social Work, University of Michigan, Ann Arbor, MI 48109, United States</t>
  </si>
  <si>
    <t>Shaefer, H.L., School of Social Work, University of Michigan, Ann Arbor, MI 48109, United States</t>
  </si>
  <si>
    <t>Shaefer, H. L.; School of Social Work, , Ann Arbor, MI 48109, United States; email: shaefer@umich.edu</t>
  </si>
  <si>
    <t>Offshore insourcing: A case study on software quality alignment</t>
  </si>
  <si>
    <t>10.1109/ICGSE.2011.13</t>
  </si>
  <si>
    <t>18036900900;35547332200;36629991200;6602528674;</t>
  </si>
  <si>
    <t>Background: Software quality issues are commonly reported when off shoring software development. Value-based software engineering addresses this by ensuring key stakeholders have a common understanding of quality. Aim: This work seeks to understand the levels of alignment between key stakeholders on aspects of software quality for two products developed as part of an offshore in sourcing arrangement. The study further aims to explain the levels of alignment identified. Method: Representatives of key stakeholder groups for both products ranked aspects of software quality. The results were discussed with the groups to gain a deeper understanding. Results: Low levels of alignment were found between the groups studied. This is associated with insufficiently defined quality requirements, a culture that does not question management and conflicting temporal reflections on the product's quality. Conclusion: The work emphasizes the need for greater support to align success-critical stakeholder groups in their understanding of quality when off shoring software development. © 2011 IEEE.</t>
  </si>
  <si>
    <t>Barney S., Wohlin C., Chatzipetrou P., Angelis L.</t>
  </si>
  <si>
    <t>https://www.scopus.com/inward/record.uri?eid=2-s2.0-81255150863&amp;doi=10.1109%2fICGSE.2011.13&amp;partnerID=40&amp;md5=e938836f537b80fd2fc62fb8e9a5be4c</t>
  </si>
  <si>
    <t>Blekinge Institute of Technology, Sweden; Aristotle University of Thessaloniki, Greece</t>
  </si>
  <si>
    <t>Barney, S., Blekinge Institute of Technology, Sweden; Wohlin, C., Blekinge Institute of Technology, Sweden; Chatzipetrou, P., Aristotle University of Thessaloniki, Greece; Angelis, L., Aristotle University of Thessaloniki, Greece</t>
  </si>
  <si>
    <t>Barney, S.; Blekinge Institute of TechnologySweden; email: sebastian.barney@bth.se</t>
  </si>
  <si>
    <t>One step at a time: Physical activity is linked to positive interpretations of ambiguity</t>
  </si>
  <si>
    <t>10.1371/journal.pone.0225106</t>
  </si>
  <si>
    <t>14039375600;57211800977;57200595780;56104217000;57218929270;</t>
  </si>
  <si>
    <t>Background Extensive research has established a clear positive relationship between physical activity (PA), even in small amounts, and psychological well-being, including benefits for emotional and mental health (e.g., decreased depression). However, little research has examined the relationship between PA and decision-making within emotionally ambiguous contexts. The purpose of the present cross-sectional study was to examine the relationship between reported amount and intensity of PA and interpretations of emotional ambiguity. Methods Adults (n = 611) recruited through Amazon’s Mechanical Turk were assessed on their interpretations of ambiguous and clear (unambiguous) emotional stimuli and reported habitual PA and exercise. Results More positive ratings of ambiguity were associated with greater amount of vigorous activity (p = .002), but not with moderate activity (p = .826) or walking (p = .673). Subsequent analyses demonstrated that this relationship between vigorous PA and positive interpretations of ambiguity was most pronounced when comparing individuals who reported any amount of vigorous PA to those who reported no vigorous activity at all. Conclusions Our findings suggest that higher amounts of vigorous, but not moderate, PA are associated with more positive interpretations of ambiguity, and that even small amounts of PA seem to be sufficient to promote this more positive valence bias when compared to individuals conducting no vigorous PA at all. Future work should examine the longitudinal effects of PA among individuals participating in structured activity programs. © 2019 Neta et al. This is an open access article distributed under the terms of the Creative Commons Attribution License, which permits unrestricted use, distribution, and reproduction in any medium, provided the original author and source are credited.</t>
  </si>
  <si>
    <t>Neta M., Harp N.R., Henley D.J., Beckford S.E., Koehler K.</t>
  </si>
  <si>
    <t>https://www.scopus.com/inward/record.uri?eid=2-s2.0-85075041286&amp;doi=10.1371%2fjournal.pone.0225106&amp;partnerID=40&amp;md5=56bfa4714e213f1b6f2a41b0b51d0e1f</t>
  </si>
  <si>
    <t>Department of Psychology, University of Nebraska-Lincoln, Lincoln, NE, United States; Center for Brain, Biology and Behavior, University of Nebraska-Lincoln, Lincoln, NE, United States; Department of Advertising and Public Relations, Michigan State University, East Lansing, MI, United States; Department of Nutrition and Health Sciences, University of Nebraska-Lincoln, Lincoln, NE, United States; Department of Sport and Health Sciences, Technical University of Munich, Munich, Germany</t>
  </si>
  <si>
    <t>Neta, M., Department of Psychology, University of Nebraska-Lincoln, Lincoln, NE, United States, Center for Brain, Biology and Behavior, University of Nebraska-Lincoln, Lincoln, NE, United States; Harp, N.R., Department of Psychology, University of Nebraska-Lincoln, Lincoln, NE, United States, Center for Brain, Biology and Behavior, University of Nebraska-Lincoln, Lincoln, NE, United States; Henley, D.J., Department of Psychology, University of Nebraska-Lincoln, Lincoln, NE, United States, Center for Brain, Biology and Behavior, University of Nebraska-Lincoln, Lincoln, NE, United States, Department of Advertising and Public Relations, Michigan State University, East Lansing, MI, United States; Beckford, S.E., Department of Nutrition and Health Sciences, University of Nebraska-Lincoln, Lincoln, NE, United States; Koehler, K., Center for Brain, Biology and Behavior, University of Nebraska-Lincoln, Lincoln, NE, United States, Department of Nutrition and Health Sciences, University of Nebraska-Lincoln, Lincoln, NE, United States, Department of Sport and Health Sciences, Technical University of Munich, Munich, Germany</t>
  </si>
  <si>
    <t>Harp, N.R.; Department of Psychology, United States; email: nharp@huskers.unl.edu</t>
  </si>
  <si>
    <t>Online recruitment and testing of infants with Mechanical Turk</t>
  </si>
  <si>
    <t>10.1016/j.jecp.2016.12.003</t>
  </si>
  <si>
    <t>57192920463;57192914201;57210513596;7005681420;</t>
  </si>
  <si>
    <t>Testing infants in the laboratory is expensive in time and money; consequently, many studies are underpowered, reducing their reproducibility. We investigated whether the online platform, Amazon Mechanical Turk (MTurk), could be used as a resource to more easily recruit and measure the behavior of infant populations. Using a looking time paradigm, with users’ webcams we recorded how long infants aged 5 to 8 months attended while viewing children's television programs. We found that infants (N = 57) were more reliably engaged by some movies than by others and that the most engaging movies could maintain attention for approximately 70% of a 10- to 13-min period. We then identified the cinematic features within the movies. Faces, singing-and-rhyming, and camera zooms were found to increase infant attention. Together, we established that MTurk can be used as a rapid tool for effectively recruiting and testing infants. © 2016 The Authors</t>
  </si>
  <si>
    <t>Tran M., Cabral L., Patel R., Cusack R.</t>
  </si>
  <si>
    <t>Journal of Experimental Child Psychology</t>
  </si>
  <si>
    <t>https://www.scopus.com/inward/record.uri?eid=2-s2.0-85009115315&amp;doi=10.1016%2fj.jecp.2016.12.003&amp;partnerID=40&amp;md5=f7edb01c46b9907c749f21a2f39a8621</t>
  </si>
  <si>
    <t>Brain and Mind Institute, Western University, London, Ontario  N6A 5B7, Canada</t>
  </si>
  <si>
    <t>Tran, M., Brain and Mind Institute, Western University, London, Ontario  N6A 5B7, Canada; Cabral, L., Brain and Mind Institute, Western University, London, Ontario  N6A 5B7, Canada; Patel, R., Brain and Mind Institute, Western University, London, Ontario  N6A 5B7, Canada; Cusack, R., Brain and Mind Institute, Western University, London, Ontario  N6A 5B7, Canada</t>
  </si>
  <si>
    <t>Cusack, R.; Brain and Mind Institute, Canada; email: rhodri@cusacklab.org</t>
  </si>
  <si>
    <t>Online reporting for malaria surveillance using micro-monetary incentives, in urban India 2010-2011</t>
  </si>
  <si>
    <t>10.1186/1475-2875-11-43</t>
  </si>
  <si>
    <t>23092771500;23995204300;54967549200;35849129900;35764314800;23570607100;8872411400;</t>
  </si>
  <si>
    <t>Background: The objective of this study was to investigate the use of novel surveillance tools in a malaria endemic region where prevalence information is limited. Specifically, online reporting for participatory epidemiology was used to gather information about malaria spread directly from the public. Individuals in India were incentivized to self-report their recent experience with malaria by micro-monetary payments. Methods. Self-reports about malaria diagnosis status and related information were solicited online via Amazon's Mechanical Turk. Responders were paid $0.02 to answer survey questions regarding their recent experience with malaria. Timing of the peak volume of weekly self-reported malaria diagnosis in 2010 was compared to other available metrics such as the volume over time of and information about the epidemic from media sources. Distribution of Plasmodium species reports were compared with values from the literature. The study was conducted in summer 2010 during a malaria outbreak in Mumbai and expanded to other cities during summer 2011, and prevalence from self-reports in 2010 and 2011 was contrasted. Results: Distribution of Plasmodium species diagnosis through self-report in 2010 revealed 59% for Plasmodium vivax, which is comparable to literature reports of the burden of P. vivax in India (between 50 and 69%). Self-reported Plasmodium falciparum diagnosis was 19% and during the 2010 outbreak and the estimated burden was between 10 and 15%. Prevalence between 2010 and 2011 via self-reports decreased significantly from 36.9% to 19.54% in Mumbai (p = 0.001), and official reports also confirmed a prevalence decrease in 2011. Conclusions: With careful study design, micro-monetary incentives and online reporting are a rapid way to solicit malaria, and potentially other public health information. This methodology provides a cost-effective way of executing a field study that can act as a complement to traditional public health surveillance methods, offering an opportunity to obtain information about malaria activity, temporal progression, demographics affected or Plasmodium-specific diagnosis at a finer resolution than official reports can provide. The recent adoption of technologies, such as the Internet supports self-reporting mediums, and self-reporting should continue to be studied as it can foster preventative health behaviours. © 2012 Chunara et al; BioMed Central Ltd.</t>
  </si>
  <si>
    <t>Chunara R., Chhaya V., Bane S., Mekaru S.R., Chan E.H., Freifeld C.C., Brownstein J.S.</t>
  </si>
  <si>
    <t>Malaria Journal</t>
  </si>
  <si>
    <t>https://www.scopus.com/inward/record.uri?eid=2-s2.0-84856799141&amp;doi=10.1186%2f1475-2875-11-43&amp;partnerID=40&amp;md5=9c8f1b1229238c9a5b80e0b0317d996b</t>
  </si>
  <si>
    <t>Department of Pediatrics, Harvard Medical School, Boston, MA, United States; Children's Hospital Informatics Program, Division of Emergency Medicine, Children's Hospital, Boston, MA, United States; ASPH/CDC Allan Rosenfield Global Health Fellowship Program, Washington, DC, United States; Department of Epidemiology, Boston University School of Public Health, Boston, United States; Department of Biomedical Engineering, Boston University College of Engineering, Boston, MA, United States; Department of Epidemiology, Biostatistics and Occupational Health, McGill University, Montreal, QC, Canada</t>
  </si>
  <si>
    <t>Chunara, R., Department of Pediatrics, Harvard Medical School, Boston, MA, United States, Children's Hospital Informatics Program, Division of Emergency Medicine, Children's Hospital, Boston, MA, United States; Chhaya, V., ASPH/CDC Allan Rosenfield Global Health Fellowship Program, Washington, DC, United States; Bane, S., Children's Hospital Informatics Program, Division of Emergency Medicine, Children's Hospital, Boston, MA, United States; Mekaru, S.R., Children's Hospital Informatics Program, Division of Emergency Medicine, Children's Hospital, Boston, MA, United States, Department of Epidemiology, Boston University School of Public Health, Boston, United States; Chan, E.H., Children's Hospital Informatics Program, Division of Emergency Medicine, Children's Hospital, Boston, MA, United States; Freifeld, C.C., Children's Hospital Informatics Program, Division of Emergency Medicine, Children's Hospital, Boston, MA, United States, Department of Biomedical Engineering, Boston University College of Engineering, Boston, MA, United States; Brownstein, J.S., Department of Pediatrics, Harvard Medical School, Boston, MA, United States, Children's Hospital Informatics Program, Division of Emergency Medicine, Children's Hospital, Boston, MA, United States, Department of Epidemiology, Biostatistics and Occupational Health, McGill University, Montreal, QC, Canada</t>
  </si>
  <si>
    <t>Chunara, R.; Department of Pediatrics, , Boston, MA, United States; email: rumi@alum.mit.edu</t>
  </si>
  <si>
    <t>Optimal data quality in project management for global software developments</t>
  </si>
  <si>
    <t>10.1109/COINFO.2009.49</t>
  </si>
  <si>
    <t>15123936800;7003393897;7004203473;</t>
  </si>
  <si>
    <t>Nowadays, globalization of markets is a wellconsolidated and an ever increasing growing fact. Within ICT field, one of the areas experiencing a faster growth is Global Software Development (GSD). GSD evolves the participation of multi-skilled people and the use of different managerial and technological resources, globally distributed, in order to obtain software with the greatest quality level as possible, but at the both minimum cost and developing time. Optimizing the use of such as resources, it would possible to optimize the overall performance of the GSD Process. We posit that this optimization could be done by enhancing the levels of data quality of the artifacts generated and used within this process. To achieve this goal, we need a research strategy. At the core of the GSD processes, the GSD Project Management Process is located. Its main aims are planning, executing, controlling and managing, and closing the project. Focusing our efforts on this specific process as a research strategy, we think that a good approach could be done. In addition, in order to facilitate the technological transfer to most of companies, we assume that our efforts might be aligned to CMMI, which for the area of our interest, is well complemented by PMBOK. The main aim of this investigation is to improve the levels of the data/information quality within the GSD Project Management Process. To drive the research, we are going to use IQMF, a CMMIbased framework for the assessment and improvement of the data/information quality. By means of this framework we are going to highlight several Researching Questions, which will guide our investigation. © 2009 IEEE.</t>
  </si>
  <si>
    <t>Caballero I., Vizcaíno A., Piattini M.</t>
  </si>
  <si>
    <t>4th International Conference on Cooperation and Promotion of Information Resources in Science and Technology, COINFO 2009</t>
  </si>
  <si>
    <t>https://www.scopus.com/inward/record.uri?eid=2-s2.0-77951430564&amp;doi=10.1109%2fCOINFO.2009.49&amp;partnerID=40&amp;md5=296f676d71e5a4a2f51af995014a3d07</t>
  </si>
  <si>
    <t>Information and Technology Systems Department, Escuela Superior de Informática - UCLM, Paseo de la Universidad 4, 13071, Ciudad Real, Spain</t>
  </si>
  <si>
    <t>Caballero, I., Information and Technology Systems Department, Escuela Superior de Informática - UCLM, Paseo de la Universidad 4, 13071, Ciudad Real, Spain; Vizcaíno, A., Information and Technology Systems Department, Escuela Superior de Informática - UCLM, Paseo de la Universidad 4, 13071, Ciudad Real, Spain; Piattini, M., Information and Technology Systems Department, Escuela Superior de Informática - UCLM, Paseo de la Universidad 4, 13071, Ciudad Real, Spain</t>
  </si>
  <si>
    <t>Caballero, I.; Information and Technology Systems Department, , 13071, Ciudad Real, Spain; email: Ismael.Caballero@uclm.es</t>
  </si>
  <si>
    <t>Paragraph acquisition and selection for list question using Amazon's mechanical turk</t>
  </si>
  <si>
    <t>57199054481;23392812900;</t>
  </si>
  <si>
    <t>Creating more fine-grained annotated data than previously relevent document sets is important for evaluating individual components in automatic question answering systems. In this paper, we describe using the Amazon's Mechanical Turk (AMT) to judge whether paragraphs in relevant documents answer corresponding list questions in TREC QA track 2004. Based on AMT results, we build a collection of 1300 gold-standard supporting paragraphs for list questions. Our online experiments suggested that recruiting more people per task assures better annotation quality. In order to learning true labels from AMT annotations, we investigated the influence of annotation accuracy and number of labels per HIT on the performance of those approaches. Experimental studies show that the Naive Bayesian model and EM-based GLAD model can generate results highly agreeing with gold-standard annotations, and dominate significantly over the majority voting method for true label learning. We also suggested setting higher HIT approval rate to assure better online annotation quality, which leads to better performance of learning methods.</t>
  </si>
  <si>
    <t>Xu F., Klakow D.</t>
  </si>
  <si>
    <t>Proceedings of the 7th International Conference on Language Resources and Evaluation, LREC 2010</t>
  </si>
  <si>
    <t>https://www.scopus.com/inward/record.uri?eid=2-s2.0-84905836221&amp;partnerID=40&amp;md5=627ad85e4ced05511e1d71617ecad603</t>
  </si>
  <si>
    <t>Spoken Language Systems, Saarland University, Saarbrücken, D-66123, Germany</t>
  </si>
  <si>
    <t>Xu, F., Spoken Language Systems, Saarland University, Saarbrücken, D-66123, Germany; Klakow, D., Spoken Language Systems, Saarland University, Saarbrücken, D-66123, Germany</t>
  </si>
  <si>
    <t>Paraphrase acquisition via crowdsourcing and machine learning</t>
  </si>
  <si>
    <t>15922118400;23012600600;23013265500;</t>
  </si>
  <si>
    <t>To paraphrase means to rewrite content while preserving the original meaning. Paraphrasing is important in fields such as text reuse in journalism, anonymizing work, and improving the quality of customer-written reviews. This article contributes to paraphrase acquisition and focuses on two aspects that are not addressed by current research: (1) acquisition via crowdsourcing, and (2) acquisition of passage-level samples. The challenge of the first aspect is automatic quality assurance; without such a means the crowdsourcing paradigm is not effective, and without crowdsourcing the creation of test corpora is unacceptably expensive for realistic order of magnitudes. The second aspect addresses the deficit that most of the previous work in generating and evaluating paraphrases has been conducted using sentence-level paraphrases or shorter; these short-sample analyses are limited in terms of application to plagiarism detection, for example. We present the Webis Crowd Paraphrase Corpus 2011 (Webis-CPC-11), which recently formed part of the PAN 2010 international plagiarism detection competition. This corpus comprises passage-level paraphrases with 4067 positive samples and 3792 negative samples that failed our criteria, using Amazon's Mechanical Turk for crowdsourcing. In this article, we review the lessons learned at PAN 2010, and explain in detail the method used to construct the corpus. The empirical contributions include machine learning experiments to explore if passage-level paraphrases can be identified in a two-class classification problem using paraphrase similarity features, and we find that a k-nearest-neighbor classifier can correctly distinguish between paraphrased and nonparaphrased samples with 0.980 precision at 0.523 recall. This result implies that just under half of our samples must be discarded (remaining 0.477 fraction), but our cost analysis shows that the automation we introduce results in a 18% financial saving and over 100 hours of time returned to the researchers when repeating a similar corpus design. On the other hand, when building an unrelated corpus requiring, say, 25% training data for the automated component, we show that the financial outcome is cost neutral, while still returning over 70 hours of time to the researchers. The work presented here is the first to join the paraphrasing and plagiarism communities. © 2013 ACM.</t>
  </si>
  <si>
    <t>Burrows S., Potthast M., Stein B.</t>
  </si>
  <si>
    <t>Computer Communication Review</t>
  </si>
  <si>
    <t>https://www.scopus.com/inward/record.uri?eid=2-s2.0-84880446657&amp;partnerID=40&amp;md5=f51e784617877269a09824d37866803e</t>
  </si>
  <si>
    <t>Web Technology and Information Systems, Bauhaus-Universität Weimar, Germany</t>
  </si>
  <si>
    <t>Burrows, S., Web Technology and Information Systems, Bauhaus-Universität Weimar, Germany; Potthast, M., Web Technology and Information Systems, Bauhaus-Universität Weimar, Germany; Stein, B., Web Technology and Information Systems, Bauhaus-Universität Weimar, Germany</t>
  </si>
  <si>
    <t>Burrows, S.; Web Technology and Information Systems, Germany; email: steven.burrows@uni-weimar.de</t>
  </si>
  <si>
    <t>Parental Preferences for Vesicoureteral Reflux Treatment: A Crowd-sourced, Best-worst Scaling Study</t>
  </si>
  <si>
    <t>10.1016/j.urology.2019.01.045</t>
  </si>
  <si>
    <t>Objective: To quantitatively evaluate parental preferences for the various treatments for vesicoureteral reflux using crowd-sourced best-worst scaling, a novel technique in urologic preference estimation. Methods: Preference data were collected from a community sample of parents via 2 best-worst scaling survey instruments published to Amazon's Mechanical Turk online community. Attributes and attribute levels were selected following extensive review of the reflux literature. Respondents completed an object case best-worst scaling exercise to prioritize general aspects of reflux treatments and multiprofile case best-worst scaling to elicit their preferences for the specific differences in reflux treatments. Data were analyzed using multinomial logistic regression. Results from the object-case provided probability scaled values (PSV) that reflected the order of importance of attributes. Results: We analyzed data for 248 and 228 respondents for object and multiprofile case BWS, respectively. When prioritizing general aspects of reflux treatment, effectiveness (PSV = 20.37), risk of future urinary tract infection (PSV = 14.85), and complication rate (PSV = 14.55) were most important to parents. Societal cost (PSV = 1.41), length of hospitalization (PSV = 1.09), and cosmesis (PSV = 0.91) were least important. Parents perceived no difference in preference for the cosmetic outcome of open vs minimally invasive surgery (P = .791). Bundling attribute preference weights, parents in our study would choose open surgery 74.9% of the time. Conclusion: High treatment effectiveness was the most important and preferred attribute to parents. Alternatively, cost and cosmesis were among the least important. Our findings serve to inform shared parent-physician decision-making for vesicoureteral reflux. © 2019 Elsevier Inc.</t>
  </si>
  <si>
    <t>Dionise Z.R., Gonzalez J.M., Garcia-Roig M.L., Kirsch A.J., Scales C.D., Jr, Wiener J.S., Purves J.T., Routh J.C.</t>
  </si>
  <si>
    <t>https://www.scopus.com/inward/record.uri?eid=2-s2.0-85063994625&amp;doi=10.1016%2fj.urology.2019.01.045&amp;partnerID=40&amp;md5=02ba0d571822eed53c9d635615f99969</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</si>
  <si>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</si>
  <si>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Routh, J.C.; Division of Urologic Surgery, DUMC Box 3831, United States; email: jonathan.routh@duke.edu</t>
  </si>
  <si>
    <t>Parlai: A dialog research software platform</t>
  </si>
  <si>
    <t>10.18653/v1/d17-2014</t>
  </si>
  <si>
    <t>57210582956;57200626643;57200331317;57189660763;24764919500;18933923000;22234699400;8865128200;</t>
  </si>
  <si>
    <t>We introduce ParlAI (pronounced “par-lay”), an open-source software platform for dialog research implemented in Python, available at http://parl.ai. Its goal is to provide a unified framework for sharing, training and testing dialog models; integration of Amazon Mechanical Turk for data collection, human evaluation, and online/reinforcement learning; and a repository of machine learning models for comparing with others’ models, and improving upon existing architectures. Over 20 tasks are supported in the first release, including popular datasets such as SQuAD, bAbI tasks, MCTest, WikiQA, QACNN, QADailyMail, CBT, bAbI Dialog, Ubuntu, OpenSubtitles and VQA. Several models are integrated, including neural models such as memory networks, seq2seq and attentive LSTMs. © 2017 Association for Computational Linguistics.</t>
  </si>
  <si>
    <t>Miller A.H., Feng W., Fisch A., Lu J., Batra D., Bordes A., Parikh D., Weston J.</t>
  </si>
  <si>
    <t>EMNLP 2017 - Conference on Empirical Methods in Natural Language Processing: System Demonstrations, Proceedings</t>
  </si>
  <si>
    <t>https://www.scopus.com/inward/record.uri?eid=2-s2.0-85055714428&amp;doi=10.18653%2fv1%2fd17-2014&amp;partnerID=40&amp;md5=acb0a4fcf5daf95ceca17707b7f82c9b</t>
  </si>
  <si>
    <t>Facebook AI Research, United States</t>
  </si>
  <si>
    <t>Miller, A.H., Facebook AI Research, United States; Feng, W., Facebook AI Research, United States; Fisch, A., Facebook AI Research, United States; Lu, J., Facebook AI Research, United States; Batra, D., Facebook AI Research, United States; Bordes, A., Facebook AI Research, United States; Parikh, D., Facebook AI Research, United States; Weston, J., Facebook AI Research, United States</t>
  </si>
  <si>
    <t>Passion for Work and Well-Being of Working Adults</t>
  </si>
  <si>
    <t>10.1177/0894845320946398</t>
  </si>
  <si>
    <t>56974277300;57193521433;</t>
  </si>
  <si>
    <t>The purpose of the present study was to extend a study by Yukhymenko-Lescroart and Sharma (2019,“The Relationship Between Faculty Members’ Passion for Work and Well-Being”) to test the relationship between passion for work and well-being using a completely independent and much more heterogeneous sample of full-time working adults representing a wide variety of professions. Participants, who were recruited through the Amazon’s Mechanical Turk website, completed several scales (N = 297, 55.2% female, median age = 34 years), and the data were analyzed using structural equation modeling. In line with our hypotheses, results showed that harmonious passion for work contributed positively to life satisfaction, subjective happiness, awareness of purpose, altruistic purpose, and awakening to the purpose. Additionally, obsessive passion for work contributed positively to altruistic purpose and awakening to the purpose. However, the results did not support the hypothesis that obsessive passion for work contributed to the awareness of purpose. © Curators of the University of Missouri 2020.</t>
  </si>
  <si>
    <t>Yukhymenko-Lescroart M.A., Sharma G.</t>
  </si>
  <si>
    <t>Journal of Career Development</t>
  </si>
  <si>
    <t>https://www.scopus.com/inward/record.uri?eid=2-s2.0-85088975801&amp;doi=10.1177%2f0894845320946398&amp;partnerID=40&amp;md5=aaac56fabde5411546466230a4458a74</t>
  </si>
  <si>
    <t>Department of Curriculum and Instruction, California State University, Fresno, CA, United States; Department of Counselor Education and Rehabilitation, California State University, Fresno, CA, United States</t>
  </si>
  <si>
    <t>Yukhymenko-Lescroart, M.A., Department of Curriculum and Instruction, California State University, Fresno, CA, United States; Sharma, G., Department of Counselor Education and Rehabilitation, California State University, Fresno, CA, United States</t>
  </si>
  <si>
    <t>Yukhymenko-Lescroart, M.A.; Department of Curriculum and Instruction, United States; email: mariyay@mail.fresnostate.edu</t>
  </si>
  <si>
    <t>Pavement structures damage caused by Hurricane Katrina flooding</t>
  </si>
  <si>
    <t>10.1061/(ASCE)1090-0241(2008)134:5(633)</t>
  </si>
  <si>
    <t>35489822900;8440337100;7404593368;57204111116;</t>
  </si>
  <si>
    <t>In September of 2005, Hurricane Katrina devastated New Orleans and caused sustained flooding. Limited pre- and postflooding tests indicated that the pavement structures tested were adversely impacted by the flood water. Consequently, the Louisiana Dept. of Transportation and Development hired an independent contractor to structurally test approximately 383 km (238mi) of the region's federally aided urban highway system both inside and outside of the flooding area. Falling weight deflectometer (FWD) tests were performed every 161 m (0.1mi) over each selected roadway, along with other field tests. The FWD data were imported into a geographical information system and plotted against a USGS geo-referenced map. Comparative analyses were made possible through the use of extensive flood maps made available through NOAA and FEMA. This arrangement made it possible to classify spatially and graphically all test points on the basis of flooding versus nonflooding, short flooding duration versus longer flooding duration, shallow flooding versus deep flooding, and thin pavements versus thick pavements. Three pavement types, asphaltic concrete, Portland cement concrete, and composite, were considered in this analysis. The statistical inference about the difference in the means of compared data groups was conducted with 95% confidence. © 2008 ASCE.</t>
  </si>
  <si>
    <t>Zhang Z., Wu Z., Martinez M., Gaspard K.</t>
  </si>
  <si>
    <t>Journal of Geotechnical and Geoenvironmental Engineering</t>
  </si>
  <si>
    <t>https://www.scopus.com/inward/record.uri?eid=2-s2.0-42549142786&amp;doi=10.1061%2f%28ASCE%291090-0241%282008%29134%3a5%28633%29&amp;partnerID=40&amp;md5=2761d76c615683ea6939b8b281f26494</t>
  </si>
  <si>
    <t>Louisiana Transportation Research Center (LTRC), 4101 Gourrier Ave., Baton Rouge, LA 70808, United States</t>
  </si>
  <si>
    <t>Zhang, Z., Louisiana Transportation Research Center (LTRC), 4101 Gourrier Ave., Baton Rouge, LA 70808, United States; Wu, Z., Louisiana Transportation Research Center (LTRC), 4101 Gourrier Ave., Baton Rouge, LA 70808, United States; Martinez, M., Louisiana Transportation Research Center (LTRC), 4101 Gourrier Ave., Baton Rouge, LA 70808, United States; Gaspard, K., Louisiana Transportation Research Center (LTRC), 4101 Gourrier Ave., Baton Rouge, LA 70808, United States</t>
  </si>
  <si>
    <t>Martinez, M.; Louisiana Transportation Research Center (LTRC), 4101 Gourrier Ave., Baton Rouge, LA 70808, United States; email: markmartinez@dotd.la.gov</t>
  </si>
  <si>
    <t>Perceptions for genetically modified organisms: An empirical investigation</t>
  </si>
  <si>
    <t>10.2316/P.2015.829-026</t>
  </si>
  <si>
    <t>57515732600;45961059100;57189589605;7003780714;</t>
  </si>
  <si>
    <t>Understanding of the perceptions of consumers toward food products is a highly challenging task. The presence of biotechnology in food products, such as genetic modifications, gives rise to differing views on its benefits and risks. We report analyses of survey data aimed at carefully understanding the risk perceptions of consumers toward food products that involve genetically modified organisms (GMOs). We report results from an empirical study that investigates the changes in consumer perceptions when exposed to informative material concerning GMOs in food products. A survey instrument was designed using Qualtrics API to formulate a set of questions regarding GMOs (including both the pre and post study questionnaire) and all the participants were recruited via Amazon Mechanical Turk API. The responses were collected and thoroughly analyzed by creating relevant mind maps using Network Overview Discovery and Exploration for Excel (NodeXL) plugin. The analyzed results were further validated by conducting appropriate statistical analyses using Statistical Analysis System (SAS).</t>
  </si>
  <si>
    <t>Dass P., Chowdhury Md., Lampl D., Nygard K.E.</t>
  </si>
  <si>
    <t>Proceedings of the IASTED International Symposium on Software Engineering and Applications, SEA 2015</t>
  </si>
  <si>
    <t>https://www.scopus.com/inward/record.uri?eid=2-s2.0-85015617414&amp;doi=10.2316%2fP.2015.829-026&amp;partnerID=40&amp;md5=dcfaf1f27fc9b66e8db964979e22f509</t>
  </si>
  <si>
    <t>Department of Computer Science, North Dakota State University, Fargo, ND  58108, United States</t>
  </si>
  <si>
    <t>Dass, P., Department of Computer Science, North Dakota State University, Fargo, ND  58108, United States; Chowdhury, Md., Department of Computer Science, North Dakota State University, Fargo, ND  58108, United States; Lampl, D., Department of Computer Science, North Dakota State University, Fargo, ND  58108, United States; Nygard, K.E., Department of Computer Science, North Dakota State University, Fargo, ND  58108, United States</t>
  </si>
  <si>
    <t>Perceptions of firearms and suicide: The role of misinformation in storage practices and openness to means safety measures</t>
  </si>
  <si>
    <t>10.1016/j.jad.2017.11.057</t>
  </si>
  <si>
    <t>15821688600;57194024181;56835690600;</t>
  </si>
  <si>
    <t>Background Firearm ownership and unsafe storage increase risk for suicide. Little is known regarding factors that influence storage practices and willingness to engage in means safety. Methods Utilizing Amazon's Mechanical Turk program, we recruited an online sample of 300 adults living in the US who own at least one firearm. Firearm storage practices and openness to means safety measures were assessed using items designed for this study. Data were collected and analyzed in 2017. Results Firearms stored in non-secure locations and without a locking device were associated with lower beliefs in the relationship between firearm storage and suicide risk. Fearlessness about death moderated the association between current secure versus non-secure storage and beliefs regarding firearm storage and suicide risk, in that storage practices and beliefs were more strongly related at higher levels of fearlessness about death. For both secure and locked storage of a firearm, there was a significant indirect effect of current storage practices on willingness to engage in means safety in the future through current beliefs regarding the relationship between firearm storage and suicide risk. Unsafe storage practices were largely associated with an unwillingness to store firearms more safely or to allow a trusted peer to temporarily store the firearm outside the home in order to prevent their own or someone else's suicide. Limitations Self-report and cross-sectional data were used. Results may not generalize to non-firearm owners. Conclusions Firearm owners are prone to inaccurate beliefs about the relationship between firearms and suicide. These beliefs may influence both current firearm storage practices and the willingness to engage in means safety. © 2017 Elsevier B.V.</t>
  </si>
  <si>
    <t>Anestis M.D., Butterworth S.E., Houtsma C.</t>
  </si>
  <si>
    <t>https://www.scopus.com/inward/record.uri?eid=2-s2.0-85034643998&amp;doi=10.1016%2fj.jad.2017.11.057&amp;partnerID=40&amp;md5=90db66cf9ec113ea0df6bd05f9e29e22</t>
  </si>
  <si>
    <t>University of Southern Mississippi, United States</t>
  </si>
  <si>
    <t>Anestis, M.D., University of Southern Mississippi, United States; Butterworth, S.E., University of Southern Mississippi, United States; Houtsma, C., University of Southern Mississippi, United States</t>
  </si>
  <si>
    <t>Anestis, M.D.; Department of Psychology, 118 College Drive, Box #5025, United States; email: michael.anestis@usm.edu</t>
  </si>
  <si>
    <t>Perceptions of the students’ learning and evaluation process in an e-learning course in Food Preservation Technology: a study case in a Food Consumption MSc</t>
  </si>
  <si>
    <t>10.1007/s10798-020-09611-z</t>
  </si>
  <si>
    <t>24449123500;7004474824;</t>
  </si>
  <si>
    <t>Food Preservation Technology is a main module within a course integrated in a Master of Science program in Food Consumption at Universidade Aberta, Portugal. The pedagogical model adopted at Universidade Aberta encourages open practices such as teamwork and participation at the forums for learning exchange. E-learning and b-learning tools are increasingly used in the actual global world, providing the students with a great opportunity to study from distance and submit their digital works or assignments for evaluation. However, in this case the distinctive evaluation of each student and classification with the respective grade may seem to be a significant problem for the teachers. During this module for each assignment topic, every student chose a different subject related to their professional or academic interests. This gives the student a chance to improve scientific knowledge within each topic and to further explore the proposed subject. Herein we have analysed how the different assignments that students completed within this module can reflect students’ commitment to study and actively seek for their own knowledge. Besides, the following points were also taken into consideration: (1) the difficulties that a teacher might have when evaluating students’ submitted assignments; (2) the tools that the teacher has to differentiate the quality of different assignments; as well as (3) the description of how grades can be differentiated between the students. The assignments were both teamwork and individual work that resulted from previous learning activities. In this paper, we have thus tried to understand the main limitations that students have to overcome while working on the evaluation assignments. The analytical data retrieved from the assignment’s forums reveal that only a very small part of information exchanged has a constructive nature and adds value to the work to be done. From the analysed data of the works presented by the students, it is evident that they did not use an accurate bibliographical state-of-the-art list. We also debate the teamwork evaluation process within the e-learning system and its relationship with the contemporary state-of-the-art of each discussed theme, namely Drying and water activity control, Chemical preservation, Curing, Pickling, Smoking, Fermentation, Modified atmosphere, High pressure processing, Ohmic heating, Irradiation, Membrane processing, Pulsed electric fields, and Microwave processing. © 2020, Springer Nature B.V.</t>
  </si>
  <si>
    <t>Fernandes T.A., Caetano F.J.P.</t>
  </si>
  <si>
    <t>International Journal of Technology and Design Education</t>
  </si>
  <si>
    <t>https://www.scopus.com/inward/record.uri?eid=2-s2.0-85087632886&amp;doi=10.1007%2fs10798-020-09611-z&amp;partnerID=40&amp;md5=55ba4280b4c6bb1146341cb1c9b63f6c</t>
  </si>
  <si>
    <t>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</si>
  <si>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 Caetano, F.J.P.,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</si>
  <si>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Campo Grande, Portugal; email: tiago.a.fernandes@tecnico.ulisboa.pt</t>
  </si>
  <si>
    <t>Performance - Based logistics and contractor support methods</t>
  </si>
  <si>
    <t>10.1109/AUTEST.2006.283684</t>
  </si>
  <si>
    <t>24179379600;</t>
  </si>
  <si>
    <t>This paper describes the approaches that can be applied to solving selected government Performance-Based Logistics (PBL) CASS issues and will be the basis for examples of how to address the various points covered in the GAO audit. [1] Problems between the government and the PBL contractors will be identified. Department of Defense (DOD) expects an increasing number of weapon systems and components to be maintained for military services by private sector companies under long-term, fixed-price, performance-based contracts. The use of a performance-based logistics strategy is mandated according to recent DOD guidance. Recommendations are made in this paper to assist government program offices in conducting business case analyses currently adopting the PBL approach. Several recommendations are made on how contractor support can assist the government in accomplishing their PBL goals. Contractor support is described along with PBL implementation strategies of PBL contracts. Government program offices need independent contractor support working with the Defense Contract Management Agency (DCMA) to update their business case analysis, to validate the assumptions used based on actual cost and performance data and to support future weapon systems plans. © 2006 IEEE.</t>
  </si>
  <si>
    <t>Beanum R.L.</t>
  </si>
  <si>
    <t>AUTOTESTCON (Proceedings)</t>
  </si>
  <si>
    <t>https://www.scopus.com/inward/record.uri?eid=2-s2.0-43549102476&amp;doi=10.1109%2fAUTEST.2006.283684&amp;partnerID=40&amp;md5=5b770d874cf9bc41b9fe7c19b68742f0</t>
  </si>
  <si>
    <t>Stanley Associates, Inc., 3101 Wilson Boulevard, Arlington, VA 22201, United States</t>
  </si>
  <si>
    <t>Beanum, R.L., Stanley Associates, Inc., 3101 Wilson Boulevard, Arlington, VA 22201, United States</t>
  </si>
  <si>
    <t>Beanum, R. L.; Stanley Associates, 3101 Wilson Boulevard, Arlington, VA 22201, United States; email: roland.beanum.ctr@navy.mil</t>
  </si>
  <si>
    <t>Performance Evaluation of Software Development Teams: A Practical Case Study</t>
  </si>
  <si>
    <t>10.1016/j.entcs.2011.09.006</t>
  </si>
  <si>
    <t>7102795205;8944846500;57199742377;57193088183;</t>
  </si>
  <si>
    <t>Software development projects have become a challenge for both industry and academia regarding the performance evaluation of teams. Recently, a Stochastic Automata Networks (SAN) model was proposed as theoretical representation for performance prediction of software development teams. In this paper, we present an exercise of such SAN analytical modeling for a practical case study from an Information Technology company that has multiple sites and different participants' roles and expertises. We present the matching of our model predictions with the actual project observations. Then, we focus our attention on the central entity varying its availability and the level of provided support in order to observe the impact on the participants' performance. We summarize our study with further discussions of numerical results and possible model extensions. © 2011 Elsevier B.V.</t>
  </si>
  <si>
    <t>Fernandes P., Sales A., Santos A.R., Webber T.</t>
  </si>
  <si>
    <t>Electronic Notes in Theoretical Computer Science</t>
  </si>
  <si>
    <t>https://www.scopus.com/inward/record.uri?eid=2-s2.0-80055024264&amp;doi=10.1016%2fj.entcs.2011.09.006&amp;partnerID=40&amp;md5=71c1f6ada725bb91ed4f3f9029b5ab38</t>
  </si>
  <si>
    <t>Pontifícia Universidade Católica Do Rio Grande Do sul, Avenida Ipiranga 6681 - Prédio 32, 90619-900 - Porto Alegre - RS, Brazil</t>
  </si>
  <si>
    <t>Fernandes, P., Pontifícia Universidade Católica Do Rio Grande Do sul, Avenida Ipiranga 6681 - Prédio 32, 90619-900 - Porto Alegre - RS, Brazil; Sales, A., Pontifícia Universidade Católica Do Rio Grande Do sul, Avenida Ipiranga 6681 - Prédio 32, 90619-900 - Porto Alegre - RS, Brazil; Santos, A.R., Pontifícia Universidade Católica Do Rio Grande Do sul, Avenida Ipiranga 6681 - Prédio 32, 90619-900 - Porto Alegre - RS, Brazil; Webber, T., Pontifícia Universidade Católica Do Rio Grande Do sul, Avenida Ipiranga 6681 - Prédio 32, 90619-900 - Porto Alegre - RS, Brazil</t>
  </si>
  <si>
    <t>Fernandes, P.; Pontifícia Universidade Católica Do Rio Grande Do sul, Avenida Ipiranga 6681 - Prédio 32, 90619-900 - Porto Alegre - RS, Brazil; email: paulo.fernandes@pucrs.br</t>
  </si>
  <si>
    <t>Physician contract checklist: recruitment, employment, and independent contractors.</t>
  </si>
  <si>
    <t>14016812000;</t>
  </si>
  <si>
    <t>Wade R.A.</t>
  </si>
  <si>
    <t>Journal of health law.</t>
  </si>
  <si>
    <t>https://www.scopus.com/inward/record.uri?eid=2-s2.0-33745137853&amp;partnerID=40&amp;md5=d0a1fe3aee4537a79bf3d16b7f78e1aa</t>
  </si>
  <si>
    <t>Wade, R.A.</t>
  </si>
  <si>
    <t>Pilot randomized controlled trial of an online intervention for problem gamblers</t>
  </si>
  <si>
    <t>10.1016/j.abrep.2019.100175</t>
  </si>
  <si>
    <t>7402342187;57006486200;7006685175;</t>
  </si>
  <si>
    <t>Introduction: This pilot randomized controlled trial sought to evaluate whether an online intervention for problem gambling could lead to improved gambling outcomes compared to a no intervention control. Participants were recruited through a crowdsourcing platform. Methods: Participants were recruited to complete an online survey about their gambling through the Mechanical Turk platform. Those who scored 5 or more on the Problem Gambling Severity Index and were thinking about quitting or reducing their gambling were invited to complete 6-week and 6-month follow-ups. Each potential participant who agreed was sent a unique password. Participants who used their password to log onto the study portal were randomized to either access an online intervention for gambling or to a no intervention control. Results: A total of 321 participants were recruited, of which 87% and 88% were followed-up at 6 weeks and 6 months, respectively. Outcome analyses revealed that, while there were reductions in gambling from baseline to follow-ups, there was no significant observable impact of the online gambling intervention, as compared to a no intervention control condition. Conclusions: While the current trial observed no impact of the intervention, replication is merited with a larger sample size, and with participants who are not recruited through a crowdsourcing platform. Trial registration: ClinicalTrials.gov NCT03124589 © 2019 The Authors</t>
  </si>
  <si>
    <t>Cunningham J.A., Godinho A., Hodgins D.C.</t>
  </si>
  <si>
    <t>Addictive Behaviors Reports</t>
  </si>
  <si>
    <t>https://www.scopus.com/inward/record.uri?eid=2-s2.0-85062599380&amp;doi=10.1016%2fj.abrep.2019.100175&amp;partnerID=40&amp;md5=888fdbdc3dd6485d23e43301c1595782</t>
  </si>
  <si>
    <t>Centre for Addiction and Mental Health, Toronto, Canada; University of Toronto, Toronto, Canada; Australian National University, Canberra, Australia; University of Calgary, Calgary, Canada</t>
  </si>
  <si>
    <t>Cunningham, J.A., Centre for Addiction and Mental Health, Toronto, Canada, University of Toronto, Toronto, Canada, Australian National University, Canberra, Australia; Godinho, A., Centre for Addiction and Mental Health, Toronto, Canada; Hodgins, D.C., University of Calgary, Calgary, Canada</t>
  </si>
  <si>
    <t>PlateMate: Crowdsourcing nutrition analysis from food photographs</t>
  </si>
  <si>
    <t>10.1145/2047196.2047198</t>
  </si>
  <si>
    <t>54383851000;54383403500;25926802000;8375653300;</t>
  </si>
  <si>
    <t>We introduce PlateMate, a system that allows users to take photos of their meals and receive estimates of food intake and composition. Accurate awareness of this information can help people monitor their progress towards dieting goals, but current methods for food logging via self-reporting, expert observation, or algorithmic analysis are time-consuming, expensive, or inaccurate. PlateMate crowdsources nutritional analysis from photographs using Amazon Mechanical Turk, automatically coordinating untrained workers to estimate a meal's calories, fat, carbohydrates, and protein. We present the Management framework for crowdsourcing complex tasks, which supports PlateMate's nutrition analysis workflow. Results of our evaluations show that PlateMate is nearly as accurate as a trained dietitian and easier to use for most users than traditional self-reporting. © 2011 ACM.</t>
  </si>
  <si>
    <t>Noronha J., Hysen E., Zhang H., Gajos K.Z.</t>
  </si>
  <si>
    <t>UIST'11 - Proceedings of the 24th Annual ACM Symposium on User Interface Software and Technology</t>
  </si>
  <si>
    <t>https://www.scopus.com/inward/record.uri?eid=2-s2.0-80755187853&amp;doi=10.1145%2f2047196.2047198&amp;partnerID=40&amp;md5=c5a4da36b15d950d61d2bef0d4ac2c5e</t>
  </si>
  <si>
    <t>Harvard School of Engineering and Applied Sciences, 33 Oxford St., Cambridge, MA 02138, United States</t>
  </si>
  <si>
    <t>Noronha, J., Harvard School of Engineering and Applied Sciences, 33 Oxford St., Cambridge, MA 02138, United States; Hysen, E., Harvard School of Engineering and Applied Sciences, 33 Oxford St., Cambridge, MA 02138, United States; Zhang, H., Harvard School of Engineering and Applied Sciences, 33 Oxford St., Cambridge, MA 02138, United States; Gajos, K.Z., Harvard School of Engineering and Applied Sciences, 33 Oxford St., Cambridge, MA 02138, United States</t>
  </si>
  <si>
    <t>Noronha, J.; Harvard School of Engineering and Applied Sciences, 33 Oxford St., Cambridge, MA 02138, United States; email: noronha@seas.harvard.edu</t>
  </si>
  <si>
    <t>Platform economy and crowdworking as challenges for the german model of industrial relations [Plattformökonomie und Crowdworking als Herausforderungen für das deutsche Modell der Arbeitsbeziehungen]</t>
  </si>
  <si>
    <t>10.3224/indbez.v27i2.06</t>
  </si>
  <si>
    <t>55339835500;24923759600;55338467500;</t>
  </si>
  <si>
    <t>With the processes of digitalization in economy and society new constellations of work arise. Digital platforms that mediate service and work activities contribute to this. These forms of work ‒ known under the term crowdwork ‒ are accompanied by problems in the regulation of work. This article discusses the challenges of the platform economy for the stable and robust system of industrial relations in Germany. To this end, the characteristics of the triangular relationship on digital platforms for the mediation of work, the heterogeneity of platforms and the divergent forms of crowdworking are systematized. Even if their long-term relevance is often still uncertain, platform-mediated work confronts the established actors and institutions of industrial relations with new challenges. These challenges at the micro, meso and macro levels are identified and analysed in this article. Subsequently, the regulatory options are reconstructed from the divergent views of the various actors (crowdworkers, trade unions, state). Also, their scope and relevance for co-determination and collective bargaining autonomy are discussed. © 2020, Verlag Barbara Budrich. All rights reserved.</t>
  </si>
  <si>
    <t>Greef S., Schroeder W., Sperling H.J.</t>
  </si>
  <si>
    <t>https://www.scopus.com/inward/record.uri?eid=2-s2.0-85084842907&amp;doi=10.3224%2findbez.v27i2.06&amp;partnerID=40&amp;md5=65630282ab87773e5ae40f779985fcc8</t>
  </si>
  <si>
    <t>Universität Kassel, Fachbereich 05 Gesellschaftswissenschaften, Nora-Platiel-Str. 1, Kassel, D-34109, Germany; Kooperierendes Mitglied des Soziologischen Forschungsinstituts Göttingen (SOFI), Georg-August-Universität, Friedländer Weg 31, Göttingen, D-37085, Germany</t>
  </si>
  <si>
    <t>Greef, S., Universität Kassel, Fachbereich 05 Gesellschaftswissenschaften, Nora-Platiel-Str. 1, Kassel, D-34109, Germany; Schroeder, W., Universität Kassel, Fachbereich 05 Gesellschaftswissenschaften, Nora-Platiel-Str. 1, Kassel, D-34109, Germany; Sperling, H.J., Kooperierendes Mitglied des Soziologischen Forschungsinstituts Göttingen (SOFI), Georg-August-Universität, Friedländer Weg 31, Göttingen, D-37085, Germany</t>
  </si>
  <si>
    <t>Sperling, H.J.; Kooperierendes Mitglied des Soziologischen Forschungsinstituts Göttingen (SOFI), Friedländer Weg 31, Germany; email: hsperli@gwdg.de</t>
  </si>
  <si>
    <t>Positives outweighing negatives: The experiences of Indian crowdsourced workers</t>
  </si>
  <si>
    <t>10.13169/workorgalaboglob.10.1.0044</t>
  </si>
  <si>
    <t>6507712852;14034638200;</t>
  </si>
  <si>
    <t>This article reports on an empirical study of Indian freelancers working via Elance-oDesk (now renamed Upwork). In a qualitative approach, data were gathered from 24 freelancers across India through in-depth telephone interviews and analysed thematically. The core finding that 'the positives outweigh the negatives' highlighted the fact that the challenges were eclipsed by what these freelancers gained, in terms of employment opportunities, income, skill utilisation and enhancement, career progression, emphasis on merit, international exposure, flexibility and platform-based protection of worker interests. Participants' favourable experiences are explained by the nature of the Indian labour market. The study extends insights into crowdsourcing for paid work which has so far been largely researched in the West and has focused disproportionally on the Amazon Mechanical Turk platform. © 2018 Pluto Journals. All rights reserved.</t>
  </si>
  <si>
    <t>D'Cruz P., Noronha E.</t>
  </si>
  <si>
    <t>https://www.scopus.com/inward/record.uri?eid=2-s2.0-85020114503&amp;doi=10.13169%2fworkorgalaboglob.10.1.0044&amp;partnerID=40&amp;md5=329b1a59bbf13a3bcad257add61efcd9</t>
  </si>
  <si>
    <t>Indian Institute of Management, Ahmedabad, India</t>
  </si>
  <si>
    <t>D'Cruz, P., Indian Institute of Management, Ahmedabad, India; Noronha, E., Indian Institute of Management, Ahmedabad, India</t>
  </si>
  <si>
    <t>PPLib: Toward the automated generation of Crowd computing programs using process recombination and auto-experimentation</t>
  </si>
  <si>
    <t>10.1145/2897367</t>
  </si>
  <si>
    <t>57189388152;57212626682;</t>
  </si>
  <si>
    <t>Crowdsourcing is increasingly being adopted to solve simple tasks such as image labeling and object tagging, as well as more complex tasks, where crowd workers collaborate in processes with interdependent steps. For the whole range of complexity, research has yielded numerous patterns for coordinating crowd workers in order to optimize crowd accuracy, efficiency, and cost. Process designers, however, often don't know which pattern to apply to a problem at hand when designing new applications for crowdsourcing. In this article, we propose to solve this problem by systematically exploring the design space of complex crowdsourced tasks via automated recombination and auto-experimentation for an issue at hand. Specifically, we propose an approach to finding the optimal process for a given problem by defining the deep structure of the problem in terms of its abstract operators, generating all possible alternatives via the (re)combination of the abstract deep structure with concrete implementations from a Process Repository, and then establishing the best alternative via auto-experimentation. To evaluate our approach, we implemented PPLib (pronounced "People Lib"), a program library that allows for the automated recombination of known processes stored in an easily extensible Process Repository. We evaluated our work by generating and running a plethora of process candidates in two scenarios on Amazon's Mechanical Turk followed by a meta-evaluation, where we looked at the differences between the two evaluations. Our first scenario addressed the problem of text translation, where our automatic recombination produced multiple processes whose performance almost matched the benchmark established by an expert translation. In our second evaluation, we focused on text shortening; we automatically generated 41 crowd process candidates, among them variations of the well-established Find-Fix-Verify process. While Find-Fix-Verify performed well in this setting, our recombination engine produced five processes that repeatedly yielded better results. We close the article by comparing the two settings where the Recombinator was used, and empirically show that the individual processes performed differently in the two settings, which led us to contend that there is no unifying formula, hence emphasizing the necessity for recombination. © 2016 ACM.</t>
  </si>
  <si>
    <t>De Boer P.M., Bernstein A.</t>
  </si>
  <si>
    <t>ACM Transactions on Intelligent Systems and Technology</t>
  </si>
  <si>
    <t>https://www.scopus.com/inward/record.uri?eid=2-s2.0-84969945191&amp;doi=10.1145%2f2897367&amp;partnerID=40&amp;md5=e07e0bad6f4f57ff7a2ad53b62e10cf6</t>
  </si>
  <si>
    <t>Department of Informatics, University of Zurich, Binzmühlestrasse 14, Zürich, CH-8050, Switzerland</t>
  </si>
  <si>
    <t>De Boer, P.M., Department of Informatics, University of Zurich, Binzmühlestrasse 14, Zürich, CH-8050, Switzerland; Bernstein, A., Department of Informatics, University of Zurich, Binzmühlestrasse 14, Zürich, CH-8050, Switzerland</t>
  </si>
  <si>
    <t>Practical evaluation of human and synthesized speech for virtual human dialogue systems</t>
  </si>
  <si>
    <t>14017952500;7201755443;57205391672;6603622906;</t>
  </si>
  <si>
    <t>The current practice in virtual human dialogue systems is to use professional human recordings or limited-domain speech synthesis. Both approaches lead to good performance but at a high cost. To determine the best trade-off between performance and cost, we perform a systematic evaluation of human and synthesized voices with regard to naturalness, conversational aspect, and likability. We also vary the type (in-domain vs. out-of-domain), length, and content of utterances, and take into account the age and native language of raters as well as their familiarity with speech synthesis. We present detailed results from two studies, a pilot one and one run on Amazon's Mechanical Turk. Our results suggest that a professional human voice can supersede both an amateur human voice and synthesized voices. Also, a high-quality general-purpose voice or a good limited-domain voice can perform better than amateur human recordings. We do not find any significant differences between the performance of a high-quality general-purpose voice and a limited-domain voice, both trained with speech recorded by actors. As expected, in most cases, the high-quality general-purpose voice is rated higher than the limited-domain voice for out-of-domain sentences and lower for in-domain sentences. There is also a not statistically significant trend for long or negative-content utterances to receive lower ratings.</t>
  </si>
  <si>
    <t>Georgila K., Black A.W., Sagae K., Traum D.</t>
  </si>
  <si>
    <t>https://www.scopus.com/inward/record.uri?eid=2-s2.0-84997221138&amp;partnerID=40&amp;md5=1de900cb73a927d1ec55ef121db8243f</t>
  </si>
  <si>
    <t>Institute for Creative Technologies, University of Southern California, United States; Language Technologies Institute, Carnegie Mellon University, United States</t>
  </si>
  <si>
    <t>Georgila, K., Institute for Creative Technologies, University of Southern California, United States; Black, A.W., Language Technologies Institute, Carnegie Mellon University, United States; Sagae, K., Institute for Creative Technologies, University of Southern California, United States; Traum, D., Institute for Creative Technologies, University of Southern California, United States</t>
  </si>
  <si>
    <t>Predictors of Prescription Stimulant Misuse in U.S. College Graduates</t>
  </si>
  <si>
    <t>10.1080/10826084.2019.1692867</t>
  </si>
  <si>
    <t>26867843100;57212111341;</t>
  </si>
  <si>
    <t>Background: Research has shown that prescription stimulant misuse (PSM) is prevalent among college students and that full-time college attendance is associated with PSM following graduation. Few studies, however, have examined predictors of PSM in college graduates. Objectives: We examined constructs from the Theory of Triadic Influence (TTI) to determine predictors of PSM in this population. Methods: We utilized Amazon’s Mechanical Turk and snowball sampling in 2018–2019 to anonymously survey 219 adults in the United States (56% male, Mage = 32.5) with a college degree and history of college PSM. We assessed sensation seeking, ADHD symptoms, negative affect, social norms, workload, positive beliefs and perceived safety, other substance use, PSM motivations, and source(s) of prescription stimulants. Measures were administered online. Results: Over half (55%) of participants reported PSM after college; 36% used in the previous year. Ordinal logistic regressions for each domain of the TTI (i.e. intrapersonal, social/normative, cultural/attitudinal) showed that college graduates engaging in PSM in the previous year were younger and reported higher sensation seeking, more friends/coworkers who engaged in PSM, a heavier workload, and more positive beliefs about PSM. Chi-square analyses showed that college graduates engaging in PSM in the previous year also were more likely to use other substances (e.g. prescription opioids, tobacco/nicotine, cocaine) and to have misused stimulants in college to socialize or to get high. Conclusions: Preventive interventions could target college students and recent graduates who engage in PSM and who demonstrate the aforementioned risk factors, with the goal of curbing PSM and possibly other substance use. © 2019, © 2019 Taylor &amp; Francis Group, LLC.</t>
  </si>
  <si>
    <t>Holt L.J., McCarthy M.D.</t>
  </si>
  <si>
    <t>Substance Use and Misuse</t>
  </si>
  <si>
    <t>https://www.scopus.com/inward/record.uri?eid=2-s2.0-85075921636&amp;doi=10.1080%2f10826084.2019.1692867&amp;partnerID=40&amp;md5=4e9698a5ef6d7c2c823586febbf33297</t>
  </si>
  <si>
    <t>Department of Psychology, Trinity College, Hartford, CT, United States</t>
  </si>
  <si>
    <t>Holt, L.J., Department of Psychology, Trinity College, Hartford, CT, United States; McCarthy, M.D., Department of Psychology, Trinity College, Hartford, CT, United States</t>
  </si>
  <si>
    <t>Holt, L.J.; Department of Psychology, 300 Summit Street, United States; email: Laura.Holt@trincoll.edu</t>
  </si>
  <si>
    <t>Proceedings - 2009 4th IEEE International Conference on Global Software Engineering, ICGSE 2009</t>
  </si>
  <si>
    <t>The proceedings contain 52 papers. The topics discussed include: knowledge management in distributed software development terms - does culture matter?; a coordination risk analysis method for multi-site projects: experience report; a survey on the state of the practice in distributed software development: criteria for task allocation; investigating decision making processes in distributed development teams: findings of a comparative empirical study; exploring collaboration patterns among global software development teams; a framework for supporting the software architecture evaluation process in global software development; descriptive analysis of fear and distrust in early phases of GSD projects; how technological support can enable advantages of agile software development in GSE setting; and factors affecting audio and text-based communication media global software development projects.</t>
  </si>
  <si>
    <t>https://www.scopus.com/inward/record.uri?eid=2-s2.0-70449364051&amp;partnerID=40&amp;md5=2780345d9b19aa853e419d7408877be6</t>
  </si>
  <si>
    <t>The proceedings contain 37 papers. The topics discussed include: from offshore outsourcing to offshore insourcing: three stories; activity theory applied to global software engineering: theoretical foundations and implications for tool builders; from RUP to scrum in global software development: a case study; an exploratory study of software evolution and quality: before, during and after a transfer; configuration management stories from the distributed software development trenches; FTSProc: a process to alleviate the challenges of projects that use the follow-the-sun strategy; an industrial evaluation of technological support for overhearing conversations in global software engineering; supporting acceptance testing in distributed software projects with integrated feedback systems: experiences and requirements; and a tool framework for deriving the application architecture for global software development projects.</t>
  </si>
  <si>
    <t>https://www.scopus.com/inward/record.uri?eid=2-s2.0-84870702173&amp;partnerID=40&amp;md5=6b2227ce8ec821a4b30bf1de50f591d7</t>
  </si>
  <si>
    <t>Proceedings - 2017 IEEE 19th Conference on Business Informatics, CBI 2017</t>
  </si>
  <si>
    <t>The proceedings contain 66 papers. The topics discussed include: forecasting monthly sales retail time series: a case study; forecasting stock prices from the limit order book using convolutional neural networks; recommendation and configuration of value-added services for repurposing electric vehicle batteries: a vertical software prototype; design and development of an event-driven in-memory business process engine; coordinating business processes using semantic relationships; attribute-based security verification of business process models; modeling trans-device content experience and knowledge development for detection of TV audiences; how risks and innovativeness influence the selection of partner in NPD alliances; using enterprise architecture to assist business continuity planning in large public organizations; modelling the evolution of enterprise architectures using ontologies; locating and visualizing the most valuable business processes states in large control policy graphs produced by POMDP; the evolution of cyber-physical systems as a driving force behind digital transformation; QoS metrics measurement in long range IoT networks; efficient large-scale medical data (ehealth big data) analytics in internet of things; fuzzy model for assessment of causality of factors in collaborative economy; creating intelligent business systems by utilising big data and semantics; big data analysis on demographic characteristics of Chinese mobile banking users; difficult business models of digital business platforms for health data: a framework for evaluation of the ecosystem viability; and the conjoint modeling of value networks and regulations of smart grid platforms: a Luxembourg case study.</t>
  </si>
  <si>
    <t>https://www.scopus.com/inward/record.uri?eid=2-s2.0-85029449980&amp;partnerID=40&amp;md5=d9d161652e1a8384a5e04d6e6ffae306</t>
  </si>
  <si>
    <t>The proceedings contain 27 papers. The topics discussed include: towards artifact models as process interfaces in distributed software projects; an ontology for task allocation to teams in distributed software development; revisiting the factors that engender trust of global systems engineers; what distributed software teams need to know and when: an empirical study; negotiating common ground in distributed agile development: a case study perspective; version control in distributed software development: a systematic mapping; a preliminary user evaluation of an infrastructure to support activity-based computing in global software development (ABC4GSD); sustaining high performance in an offshore team in globally distributed development: a success story; doing scrum rather than being agile: a case study on actual nearshoring practices; and towards integrated variant management in global software engineering: an experience report.</t>
  </si>
  <si>
    <t>https://www.scopus.com/inward/record.uri?eid=2-s2.0-84897368283&amp;partnerID=40&amp;md5=cf623faf3ed26633782f155ec3b18c7d</t>
  </si>
  <si>
    <t>Proceedings of the 2nd India Software Engineering Conference, ISEC 2009</t>
  </si>
  <si>
    <t>The proceedings contain 26 papers. The topics discussed include: instant multi-tier web applications without tears; extending AOP with models; configurability in SaaS (software as a service) applications; using spreadsheets for finite state modeling; automated review of natural language requirements documents: generating useful warnings with user-extensible glossaries driving a simple state machine; event strictness for components with complex bindings; challenges in execution of outsourcing contracts; design and implementation of micro caching; defect prevention with orthogonal defect classification; performance optimization of SOA based AJAX application; on the evaluation of reference models for software engineering practice; Evolving an Infrastructure for student global software development projects: lessons for industry; and integrated specification and quality assurance for large business information systems.</t>
  </si>
  <si>
    <t>https://www.scopus.com/inward/record.uri?eid=2-s2.0-75449083653&amp;partnerID=40&amp;md5=bd70381e55470b2132ef767cd60abf33</t>
  </si>
  <si>
    <t>Process support for requirements engineering activities in global software development: A literature based evaluation</t>
  </si>
  <si>
    <t>10.1109/CISE.2010.5676833</t>
  </si>
  <si>
    <t>36975474000;36976111900;</t>
  </si>
  <si>
    <t>Requirements Engineering (RE) is the first activity of Software Development Life Cycle (SDLC) which plays a vital role in success or failure of any project. RE is difficult enough when done in collocated setting but the difficulty exacerbates when done in distributed settings due to of Global Software Development (GSD) inherent and induced problems which includes communication issues, strategic issues, cultural issues, knowledge management, technical issues and time zone difference. For this, a proper and well defined RE process model for GSD setting is required. This paper reports the GSD based RE process models found in literature. Further, on the basis of coverage of RE activities and GSD issues, an evaluation of these GSD based RE process models is done. Finally, the results of the evaluation are analyzed to highlight the gaps and deficiencies in the current GSD based RE process models and to emphasize the importance of the role of a well defined RE process model in GSD that covers majority if not all of the GSD issues. ©2010 IEEE.</t>
  </si>
  <si>
    <t>Javed B., Minhas S.S.</t>
  </si>
  <si>
    <t>2010 International Conference on Computational Intelligence and Software Engineering, CiSE 2010</t>
  </si>
  <si>
    <t>https://www.scopus.com/inward/record.uri?eid=2-s2.0-79951629471&amp;doi=10.1109%2fCISE.2010.5676833&amp;partnerID=40&amp;md5=1ca30ad32c2cb1f7db654c693485d30e</t>
  </si>
  <si>
    <t>Department of Software Engineering, Fatima Jinnah Women University, Rawalpindi, Pakistan</t>
  </si>
  <si>
    <t>Javed, B., Department of Software Engineering, Fatima Jinnah Women University, Rawalpindi, Pakistan; Minhas, S.S., Department of Software Engineering, Fatima Jinnah Women University, Rawalpindi, Pakistan</t>
  </si>
  <si>
    <t>Javed, B.; Department of Software Engineering, , Rawalpindi, Pakistan; email: barkha.javed@gmail.com</t>
  </si>
  <si>
    <t>Professional misconduct: the case of the Medical Board of Australia v Tausif (occupational discipline)</t>
  </si>
  <si>
    <t>56193647000;</t>
  </si>
  <si>
    <t>In 2014, the Australian Capital Territory Civil and Administrative Appeals Tribunal (ACAT) made a finding of professional misconduct against a Canberra general practitioner working in two bulk-billing medical practices established by a corporate medical practice service company, Primary Health Care Limited (Medical Board of Australia v Tausif (Occupational Discipline) [2015] ACAT 4). This column analyses that case, particularly in relation to the ACAT finding that the practitioner's professional misconduct was substantially contributed to by an unsafe system of care, specifically, the failure of Primary Health Care to provide supervision and mentoring for clinicians working at its medical centres. The case highlights the professional pressures carried by general practitioners who practise medicine within the framework of corporate bulk-billing business models. The column also examines the related issue of general practitioner co-payments in Australia and their impact on business models built around doctors purportedly characterised as independent contractors, bulk-billing large numbers of patients each day for short consultations.</t>
  </si>
  <si>
    <t>Colton C.</t>
  </si>
  <si>
    <t>Journal of law and medicine</t>
  </si>
  <si>
    <t>https://www.scopus.com/inward/record.uri?eid=2-s2.0-84930705098&amp;partnerID=40&amp;md5=28dc9a1478ac92ffc0cede21ed659163</t>
  </si>
  <si>
    <t>Colton, C.</t>
  </si>
  <si>
    <t>Project management model: Proposal for performance in a physically distributed software development environment</t>
  </si>
  <si>
    <t>10.1080/10429247.2004.11415246</t>
  </si>
  <si>
    <t>7005637231;6701628401;</t>
  </si>
  <si>
    <t>The objective of this study is to propose a project management model that includes the Unified Process and UML language, for e-business software development in a physically distributed environment. The research is a qualitative study, aiming to develop new methods and models. The main research method is the case study. The proposed model includes the spiral lifecycle type, the development process of object-oriented systems and the incorporation of the procedural approach proposed by the PMBOK® Guide, expanding the management areas. The model is divided into six phases: requirement definition, project exploration and definition, production processes, evaluation, transition, and integration. In the future, the intention is to develop a support software for the model and apply this software into the environment in study. © 2004 Taylor &amp; Francis.</t>
  </si>
  <si>
    <t>Zanoni R., Audy J.L.N.</t>
  </si>
  <si>
    <t>EMJ - Engineering Management Journal</t>
  </si>
  <si>
    <t>https://www.scopus.com/inward/record.uri?eid=2-s2.0-3242880452&amp;doi=10.1080%2f10429247.2004.11415246&amp;partnerID=40&amp;md5=647224cbd9d2901304bd3384cefd74b9</t>
  </si>
  <si>
    <t>Computer Science School and University of Passo Fundo, Brazil; Pontifical Catholic University of Rio Grande do Sul, Brazil</t>
  </si>
  <si>
    <t>Zanoni, R., Computer Science School and University of Passo Fundo, Brazil; Audy, J.L.N., Pontifical Catholic University of Rio Grande do Sul, Brazil</t>
  </si>
  <si>
    <t>Zanoni, R.; UPF-Computer Science School and MSc, , Passo Fundo, Brazil; email: zanoni@upf.br</t>
  </si>
  <si>
    <t>Monasor, M.J.; Alarcos Research Group, Paseo de la Universidad 4, Ciudad Real 13071, Spain; email: MiguelJ.Monasor@gmail.com</t>
  </si>
  <si>
    <t>Psychometric Properties of ADHD Symptoms in Toddlers</t>
  </si>
  <si>
    <t>10.1080/15374416.2018.1485105</t>
  </si>
  <si>
    <t>57191578489;16315516700;</t>
  </si>
  <si>
    <t>The purpose of this study is to examine the psychometric properties of the 18 Diagnostic and Statistical Manual of Mental Disorders (DSM) symptoms of attention deficit/hyperactivity disorder (ADHD) in 2-year-old children. ADHD is typically diagnosed in elementary school, but research suggests that many children with ADHD first show symptoms during the toddler years. An important first step in identifying toddlers who are at high risk for developing ADHD is to better understand the properties of DSM symptoms of ADHD in young children. Parents of 2-year-old children (N = 434; 240 boys, 194 girls; M = 29.07 months, SD = 3.42) across the United States were recruited online through Amazon’s Mechanical Turk to complete surveys about their children’s ADHD symptoms and temperament. Confirmatory factor analysis showed that 2- and 3-factor models fit well. All but one verbal hyperactive/impulsive symptom loaded highly on their respective factors. Relations between ADHD symptoms and temperament traits provided some support for convergent and divergent validity of the symptoms. Finally, item response theory analyses showed that items showed moderate to high levels of discrimination between toddlers with high and low levels of ADHD symptoms. Psychometric properties in 2-year-old children were generally comparable to those in older children, with similar factor structure, good reliability and validity, and good though somewhat lower discrimination, particularly for verbal symptoms. The study provides support for conducting prospective studies to determine whether these symptoms have utility for identifying at-risk toddlers. ©, Copyright © Society of Clinical Child &amp; Adolescent Psychology.</t>
  </si>
  <si>
    <t>Brown H.R., Harvey E.A.</t>
  </si>
  <si>
    <t>Journal of Clinical Child and Adolescent Psychology</t>
  </si>
  <si>
    <t>https://www.scopus.com/inward/record.uri?eid=2-s2.0-85050342183&amp;doi=10.1080%2f15374416.2018.1485105&amp;partnerID=40&amp;md5=47ef2ceec8361a7b66d989bce6b94dcd</t>
  </si>
  <si>
    <t>Department of Psychological and Brain Sciences, University of Massachusetts, Amherst, United States</t>
  </si>
  <si>
    <t>Brown, H.R., Department of Psychological and Brain Sciences, University of Massachusetts, Amherst, United States; Harvey, E.A., Department of Psychological and Brain Sciences, University of Massachusetts, Amherst, United States</t>
  </si>
  <si>
    <t>Brown, H.R.; University of Massachusetts Amherst, Tobin Hall, 135 Hicks Way, United States; email: eharvey@psych.umass.edu</t>
  </si>
  <si>
    <t>PTSD's relation with problematic smartphone use: Mediating role of impulsivity</t>
  </si>
  <si>
    <t>10.1016/j.chb.2017.05.018</t>
  </si>
  <si>
    <t>54392860100;43762132500;6603851453;7003678279;</t>
  </si>
  <si>
    <t>Posttraumatic stress disorder (PTSD) frequently co-occurs with addictive behaviors. Recently, the addictive behavior of excessive smartphone use is being widely researched. Impulsivity commonly relates to PTSD severity and problematic smartphone use. However, unexamined is the mediating role of impulsivity facets (lack of premeditation, negative urgency, sensation seeking, and lack of perseverance) in the PTSD-problematic smartphone use relationship; this was the purpose of the current study. We used data collected from 346 participants recruited through Amazon's Mechanical Turk (MTurk) platform. PTSD severity, impulsivity facets, and problematic smartphone use were assessed using the PTSD Checklist for DSM-5 (PCL-5), the UPPS Impulsive Behavior Scale, and the Smartphone Addiction Scale-Short Version (SAS-SV), respectively. Negative urgency and lack of perseverance had significant positive correlations with both PTSD severity and problematic smartphone use. Results of mediation analyses indicated that negative urgency significantly mediated the relationship between PTSD severity and problematic smartphone use. Findings support the underlying role of negative urgency in the relation between PTSD severity and problematic smartphone use. Thus, treatments targeting negative urgency may potentially serve to reduce problematic smartphone use among individuals experiencing PTSD symptoms. © 2017 Elsevier Ltd</t>
  </si>
  <si>
    <t>Contractor A.A., Weiss N.H., Tull M.T., Elhai J.D.</t>
  </si>
  <si>
    <t>https://www.scopus.com/inward/record.uri?eid=2-s2.0-85019238433&amp;doi=10.1016%2fj.chb.2017.05.018&amp;partnerID=40&amp;md5=d747d2b182a2a4d9f36bf5789e8e3e6f</t>
  </si>
  <si>
    <t>Department of Psychology, University of North Texas, Denton, TX, United States; Department of Psychiatry, Yale University School of Medicine, New Haven, CT, United States;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</si>
  <si>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Department of Psychology, University of North Texas, Denton, TX, United States; Weiss, N.H., Department of Psychiatry, Yale University School of Medicine, New Haven, CT, United States; Tull, M.T., Department of Psychology, University of Toledo, Toledo, OH, United States; Elhai, J.D.,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</si>
  <si>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University of North Texas, 369 Terrill Hall, United States; email: ateka.c@gmail.com</t>
  </si>
  <si>
    <t>Publication and evaluation challenges in games &amp; interactive media</t>
  </si>
  <si>
    <t>10.1145/3337722.3341873</t>
  </si>
  <si>
    <t>8608867700;</t>
  </si>
  <si>
    <t>Faculty in the fields of games and interactive media face significant challenges in publishing and documenting their scholarly work for evaluation in the tenure and promotion process. These challenges include selecting appropriate publication venues and assigning authorship for works spanning multiple disciplines; archiving and accurately citing collaborative digital projects; and redefining "peer review," impact, and dissemination in the context of creative digital works. In this paper I describe many of these challenges, and suggest several potential solutions. © 2019 ACM.</t>
  </si>
  <si>
    <t>Lawley E.L.</t>
  </si>
  <si>
    <t>https://www.scopus.com/inward/record.uri?eid=2-s2.0-85072845158&amp;doi=10.1145%2f3337722.3341873&amp;partnerID=40&amp;md5=b916feeece1279de74d199abffda07c9</t>
  </si>
  <si>
    <t>School of Interactive Games and Media, Rochester Institute of Technology, Rochester, NY, United States</t>
  </si>
  <si>
    <t>Lawley, E.L., School of Interactive Games and Media, Rochester Institute of Technology, Rochester, NY, United States</t>
  </si>
  <si>
    <t>Lawley, E.L.; School of Interactive Games and Media, United States; email: Elizabeth.Lawley@rit.edu</t>
  </si>
  <si>
    <t>PulaCloud: Using human computation to enable development at the bottom of the economic ladder</t>
  </si>
  <si>
    <t>53980280700;55934914000;7003974477;</t>
  </si>
  <si>
    <t>This research aims to explore how Human Computation can be used to aid economic development in communities experiencing extreme poverty throughout the world. Work is ongoing with a community in rural Kenya to connect them to employment opportunities through a Human Computation system. A feasibility study has been conducted in the community using the 3D protein folding game Foldit and Amazon's Mechanical Turk. Feasibility has been confirmed and obstacles identified. Current work includes a pilot study doing image analysis for two research projects and developing a GUI that is usable by workers with little computer literacy. Future work includes developing effective incentive systems that operate both at the individual level and the group level and integrating worker accuracy evaluation, worker compensation, and result-credibility evaluation. Copyright © 2011, Association for the Advancement of Artificial Intelligence. All rights reserved.</t>
  </si>
  <si>
    <t>Schriner A.W., Oerther D.B., Uber J.G.</t>
  </si>
  <si>
    <t>https://www.scopus.com/inward/record.uri?eid=2-s2.0-80055061477&amp;partnerID=40&amp;md5=38887c8914e305f5ffd3c2969ca3e6a9</t>
  </si>
  <si>
    <t>University of Cincinnati, Environmental Engineering and Science Program, Cincinnati, OH 45221, United States; Missouri University of Science and Technology, Department of Civil, Architectural, and Environmental Engineering, Rolla, MO 5409, United States</t>
  </si>
  <si>
    <t>Schriner, A.W., University of Cincinnati, Environmental Engineering and Science Program, Cincinnati, OH 45221, United States; Oerther, D.B., Missouri University of Science and Technology, Department of Civil, Architectural, and Environmental Engineering, Rolla, MO 5409, United States; Uber, J.G., University of Cincinnati, Environmental Engineering and Science Program, Cincinnati, OH 45221, United States</t>
  </si>
  <si>
    <t>Schriner, A.W.; University of Cincinnati, , Cincinnati, OH 45221, United States; email: schrinaw@mail.uc.edu</t>
  </si>
  <si>
    <t>Quality expectation-variance tradeoffs in crowdsourcing contests</t>
  </si>
  <si>
    <t>35483735500;15130847200;7005471821;6601966753;</t>
  </si>
  <si>
    <t>We examine designs for crowdsourcing contests, where participants compete for rewards given to superior solutions of a task. We theoretically analyze tradeoffs between the expectation and variance of the principal's utility (i.e. the best solution's quality), and empirically test our theoretical predictions using a controlled experiment on Amazon Mechanical Turk. Our evaluation method is also crowdsourcing based and relies on the peer prediction mechanism. Our theoretical analysis shows an expectation-variance tradeoff of the principal's utility in such contests through a Pareto efficient frontier. In particular, we show that the simple contest with 2 authors and the 2-pair contest have good theoretical properties. In contrast, our empirical results show that the 2-pair contest is the superior design among all designs tested, achieving the highest expectation and lowest variance of the principal's utility. Copyright © 2012, Association for the Advancement of Artificial Intelligence. All rights reserved.</t>
  </si>
  <si>
    <t>Gao X.A., Bachrach Y., Key P., Graepel T.</t>
  </si>
  <si>
    <t>Proceedings of the National Conference on Artificial Intelligence</t>
  </si>
  <si>
    <t>https://www.scopus.com/inward/record.uri?eid=2-s2.0-84868295850&amp;partnerID=40&amp;md5=e0f0d197cfed43c254d85dd33f75524d</t>
  </si>
  <si>
    <t>Harvard SEAS, United States; Microsoft Research, United States</t>
  </si>
  <si>
    <t>Gao, X.A., Harvard SEAS, United States; Bachrach, Y., Microsoft Research, United States; Key, P., Microsoft Research, United States; Graepel, T., Microsoft Research, United States</t>
  </si>
  <si>
    <t>Gao, X.A.; Harvard SEASUnited States; email: xagao@seas.harvard.edu</t>
  </si>
  <si>
    <t>Quality in global software development projects: A closer look at the role of distribution</t>
  </si>
  <si>
    <t>10.1109/ICGSE.2009.24</t>
  </si>
  <si>
    <t>17344957800;35194346400;</t>
  </si>
  <si>
    <t>The impact of distribution on global software development project is well established. Most of the empirical work has focused of a single dimension of distribution such as geographical distance or difference in time zones across locations, leaving other important dimensions of distribution unexplored. In this paper, we take a multi-dimensional view of distribution. In particular, we examined the impact of the nature of the distribution of development teams as well as the nature of the distribution of work on project quality using data from 189 distributed software development projects. Our analysis revealed that projects with uneven distributions of developers across locations were more likely to exhibit higher levels of defects than those projects with balanced distributions. Similarly, projects with uneven distributions of development effort across locations were more likely to exhibit higher levels of defects than those projects with balanced distributions. global software development, distributed software development, software quality, geographical dispersion. © 2009 IEEE.</t>
  </si>
  <si>
    <t>Cataldo M., Nambiar S.</t>
  </si>
  <si>
    <t>https://www.scopus.com/inward/record.uri?eid=2-s2.0-71049155462&amp;doi=10.1109%2fICGSE.2009.24&amp;partnerID=40&amp;md5=905f2447e2ddf74d82237cc8e01405b9</t>
  </si>
  <si>
    <t>Bosch Corporate Research, Pittsburgh, PA, United States; Robert Bosch Engineering and Business Solutions Ltd., Bangalore, India</t>
  </si>
  <si>
    <t>Cataldo, M., Bosch Corporate Research, Pittsburgh, PA, United States; Nambiar, S., Robert Bosch Engineering and Business Solutions Ltd., Bangalore, India</t>
  </si>
  <si>
    <t>Cataldo, M.; Bosch Corporate Research, Pittsburgh, PA, United States; email: marcelo.cataldo@us.bosch.com</t>
  </si>
  <si>
    <t>Quality-driven competition: Uniting undergraduates, graduates and professionals on global software development projects</t>
  </si>
  <si>
    <t>10.1109/CSEETW.2008.4</t>
  </si>
  <si>
    <t>35579350900;23393343800;24833473600;23393700000;24832071800;24833835500;24833093300;</t>
  </si>
  <si>
    <t>This short paper describes an innovative project-based learning experience for Software Engineering Education and Training. A global software development project is currently underway to unite students from across the globe, with widely different backgrounds and learning objectives, in distinct project roles that are designed to leverage skill sets and foster overall quality and success. The background to this project is summarized in this paper, along with the motivation, set-up and governance model. A number of achievements from three years of sustained collaboration across the institutions make this educational model possible, and these are described together with the on-going challenges we are facing. © 2008 IEEE.</t>
  </si>
  <si>
    <t>Gotel O., Kulkarni V., Say M., Scharff C., Sunetnanta T., Touch S., Des P.</t>
  </si>
  <si>
    <t>2008 21st IEEE-CS Conference on Software Engineering Education and Training Workshop, CSEETW'08</t>
  </si>
  <si>
    <t>https://www.scopus.com/inward/record.uri?eid=2-s2.0-52249095784&amp;doi=10.1109%2fCSEETW.2008.4&amp;partnerID=40&amp;md5=1f09ed65cbd7e38a68499ce4d3d81bee</t>
  </si>
  <si>
    <t>Pace University, New York, NY, United States; University of Delhi, Delhi, India; Institute of Technology of Cambodia, Phnom Penh, Cambodia; Mahidol University, Bangkok, Thailand; Royal University of Phnom Penh, Phnom Penh, Cambodia</t>
  </si>
  <si>
    <t>Gotel, O., Pace University, New York, NY, United States; Kulkarni, V., University of Delhi, Delhi, India; Say, M., Institute of Technology of Cambodia, Phnom Penh, Cambodia; Scharff, C., Pace University, New York, NY, United States; Sunetnanta, T., Mahidol University, Bangkok, Thailand; Touch, S., Institute of Technology of Cambodia, Phnom Penh, Cambodia; Des, P., Royal University of Phnom Penh, Phnom Penh, Cambodia</t>
  </si>
  <si>
    <t>Quantification of perceptual design attributes using a crowd</t>
  </si>
  <si>
    <t>53880459200;56056759400;7005457530;</t>
  </si>
  <si>
    <t>Crowdsourcing processes can be used for design concept creation and evaluation. They also provide opportunities to study and model quantitatively how humans deal with design problems. This paper explores the use of crowdsourcing to evaluate a perceptual design attribute and to create new design concepts using this attribute. As an example, we study how perceived automobile car safety can be modeled with respect to exterior car shape design using an efficient statistical learning algorithm. Experiments with subjects using Amazon's Mechanical Turk uncover several practical issues that must be addressed when applying machine learning methods to create safe-looking car designs using crowdsourced input.</t>
  </si>
  <si>
    <t>Ren Y., Burnap A., Papalambros P.</t>
  </si>
  <si>
    <t>Proceedings of the International Conference on Engineering Design, ICED</t>
  </si>
  <si>
    <t>https://www.scopus.com/inward/record.uri?eid=2-s2.0-84897630564&amp;partnerID=40&amp;md5=e56bd946440cf6653a404fdb8ed4228b</t>
  </si>
  <si>
    <t>University of Michigan, Mechanical Engineering, Ann Arbor 48104, United States</t>
  </si>
  <si>
    <t>Ren, Y., University of Michigan, Mechanical Engineering, Ann Arbor 48104, United States; Burnap, A., University of Michigan, Mechanical Engineering, Ann Arbor 48104, United States; Papalambros, P., University of Michigan, Mechanical Engineering, Ann Arbor 48104, United States</t>
  </si>
  <si>
    <t>Ren, Y.; University of Michigan, , Ann Arbor 48104, United States; email: yiren@umich.edu</t>
  </si>
  <si>
    <t>Quantitative methods in syntax/semantics research: A response to Sprouse and Almeida (2013)</t>
  </si>
  <si>
    <t>10.1080/01690965.2012.704385</t>
  </si>
  <si>
    <t>7103129379;16146718300;12806018500;</t>
  </si>
  <si>
    <t>Sprouse and Almeida (S&amp;A) present quantitative results that suggest that intuitive judgments utilised in syntax research are generally correct in two-condition comparisons: the sentence type that is presented as "good/grammatical" is usually rated better than the sentence type that is presented as "bad/ungrammatical" in controlled experiments. Although these evaluations of intuitive relative judgments are valuable, they do not justify the use of nonquantitative linguistic methods. We argue that objectivity is a universal value in science that should be adopted by linguistics. In addition, the reliability measures that S&amp;A report are not sufficient for developing sophisticated linguistic theories. Furthermore, quantitative methods yield two additional benefits: consistency of judgments across many pairs of judgments; and an understanding of the relative effect sizes across sets of judgments. We illustrate these points with an experiment that demonstrates five clear levels of acceptability. Finally, we observe that S&amp;A's experiments-where only two authors evaluated 10 years' worth of journal articles and one standard textbook within a few months-further emphasise one of our critical original points: conducting behavioural experiments is in many respects easy and fast with the advent of online research tools like Amazon's Mechanical Turk. Given the current ease of performing quantitative experiments (using a platform like Mechanical Turk) and the clear limitations of not doing so, linguistic hypotheses should be evaluated quantitatively whenever it is feasible. © 2013 Copyright Taylor and Francis Group, LLC.</t>
  </si>
  <si>
    <t>Gibson E., Piantadosi S.T., Fedorenko E.</t>
  </si>
  <si>
    <t>Language and Cognitive Processes</t>
  </si>
  <si>
    <t>https://www.scopus.com/inward/record.uri?eid=2-s2.0-84875834086&amp;doi=10.1080%2f01690965.2012.704385&amp;partnerID=40&amp;md5=e5f89a1aa92eb84be1cc7d88f95f18fc</t>
  </si>
  <si>
    <t>Brain and Cognitive Sciences Department, Massachusetts Institute of Technology, Cambridge, MA, United States; Department of Linguistics and Philosophy, Massachusetts Institute of Technology, Cambridge, MA, United States; Brain and Cognitive Sciences Department, University of Rochester, Rochester, NY, United States</t>
  </si>
  <si>
    <t>Gibson, E., Brain and Cognitive Sciences Department, Massachusetts Institute of Technology, Cambridge, MA, United States, Department of Linguistics and Philosophy, Massachusetts Institute of Technology, Cambridge, MA, United States; Piantadosi, S.T., Brain and Cognitive Sciences Department, University of Rochester, Rochester, NY, United States; Fedorenko, E., Brain and Cognitive Sciences Department, Massachusetts Institute of Technology, Cambridge, MA, United States</t>
  </si>
  <si>
    <t>Gibson, E.; Massachusetts Institute of Technology, 46-3035, Cambridge, MA 02139, United States; email: egibson@mit.edu</t>
  </si>
  <si>
    <t>Query-focused opinion summarization for user-generated content</t>
  </si>
  <si>
    <t>36642672900;6506868615;57203110663;7005324678;</t>
  </si>
  <si>
    <t>We present a submodular function-based framework for query-focused opinion summarization. Within our framework, relevance ordering produced by a statistical ranker, and information coverage with respect to topic distribution and diverse viewpoints are both encoded as submodular functions. Dispersion functions are utilized to minimize the redundancy. We are the first to evaluate different metrics of text similarity for submodularity-based summarization methods. By experimenting on community QA and blog summarization, we show that our system outperforms state-of-the-art approaches in both automatic evaluation and human evaluation. A human evaluation task is conducted on Amazon Mechanical Turk with scale, and shows that our systems are able to generate summaries of high overall quality and information diversity.</t>
  </si>
  <si>
    <t>Wang L., Raghavan H., Cardie C., Castelli V.</t>
  </si>
  <si>
    <t>COLING 2014 - 25th International Conference on Computational Linguistics, Proceedings of COLING 2014: Technical Papers</t>
  </si>
  <si>
    <t>https://www.scopus.com/inward/record.uri?eid=2-s2.0-84944029456&amp;partnerID=40&amp;md5=44daa0dee47184090f544c8af0b6f598</t>
  </si>
  <si>
    <t>Department of Computer Science, Cornell University, Ithaca, NY  14853, United States; LinkedInCA, United States; IBM T. J. Watson Research Center, Yorktown Heights, NY  10598, United States</t>
  </si>
  <si>
    <t>Wang, L., Department of Computer Science, Cornell University, Ithaca, NY  14853, United States; Raghavan, H., LinkedInCA, United States; Cardie, C., Department of Computer Science, Cornell University, Ithaca, NY  14853, United States; Castelli, V., IBM T. J. Watson Research Center, Yorktown Heights, NY  10598, United States</t>
  </si>
  <si>
    <t>Quick Answer for Big Data in Sharing Economy: Innovative Computer Architecture Design Facilitating Optimal Service-Demand Matching</t>
  </si>
  <si>
    <t>10.1109/TASE.2018.2838340</t>
  </si>
  <si>
    <t>57208156960;36069914200;23989139500;56709128700;56963289800;</t>
  </si>
  <si>
    <t>In sharing economy, people offer idle social resources to others in a sharing manner. Through community-based online platforms, the people offering services can earn commission while others can enjoy a better life via renting social resources. Consequently, the value-in-use of services is expectedly strengthened within the unit time, although the total amount of social resources remains constant. Influenced by sharing economy, some famous companies have developed intelligent systems to analyze the most appropriate coincidence between citizens' idle supply and renting demand from numerous data sets. However, the big data analysis of the optimal service-demand matching usually runs on the traditional multiprocessors equipped in intelligent systems, so-called 'system-on-chip.' In this paper, we design a novel computer architecture - the accelerator based on optical network-on-chip (ONoC) - to further speed up the matching between citizens' offer and demand in sharing economy. Our ONoC-based accelerator is able to quickly calculate the optimal service-demand matching by processing computation tasks on parallel cores, i.e., task-core mapping. In addition, to improve the accelerator reliability, the assorted task-core mapping algorithm is also designed. The extensive simulation results based on real trace file demonstrate the effectiveness of our system and algorithm. Note to Practitioners - Sharing economy is of great importance for realizing green consumption and sustainable development in our human society. Sharing economy enterprise calls for intelligent system design for service-demand matching in the current big data era. In this paper, we design the accelerator based on ONoC to further speed up the matching between citizens' offer and demand in sharing economy. By processing computation tasks on parallel cores using our algorithm, the task-core mapping can be performed with high speed and reliability. The simulation results - based on the trace file of Amazon Mechanical Turk - can well guide the practitioners to design a more clever and reliable product by quickly calculating the optimal service-demand matching. © 2004-2012 IEEE.</t>
  </si>
  <si>
    <t>Guo L., Ning Z., Hou W., Hu B., Guo P.</t>
  </si>
  <si>
    <t>IEEE Transactions on Automation Science and Engineering</t>
  </si>
  <si>
    <t>https://www.scopus.com/inward/record.uri?eid=2-s2.0-85048156343&amp;doi=10.1109%2fTASE.2018.2838340&amp;partnerID=40&amp;md5=05f2688f0c43323bd8814030aa822d61</t>
  </si>
  <si>
    <t>Smart Systems Lab, School of Computer Science and Engineering, Northeastern University, Shenyang, 110819, China; Key Laboratory for Ubiquitous Network and Service Software of Liaoning Province, School of Software, Dalian University of Technology, Dalian, 116023, China; School of Information Science and Engineering, Lanzhou University, Lanzhou, 730000, China</t>
  </si>
  <si>
    <t>Guo, L., Smart Systems Lab, School of Computer Science and Engineering, Northeastern University, Shenyang, 110819, China; Ning, Z., Key Laboratory for Ubiquitous Network and Service Software of Liaoning Province, School of Software, Dalian University of Technology, Dalian, 116023, China; Hou, W., Smart Systems Lab, School of Computer Science and Engineering, Northeastern University, Shenyang, 110819, China; Hu, B., School of Information Science and Engineering, Lanzhou University, Lanzhou, 730000, China; Guo, P., Smart Systems Lab, School of Computer Science and Engineering, Northeastern University, Shenyang, 110819, China</t>
  </si>
  <si>
    <t>Hou, W.; Smart Systems Lab, China; email: houweigang@cse.neu.edu.cn</t>
  </si>
  <si>
    <t>Quiklite, a framework for quick literacy evaluation in medicine: Development and validation</t>
  </si>
  <si>
    <t>10.2196/12525</t>
  </si>
  <si>
    <t>55476518600;35785447400;</t>
  </si>
  <si>
    <t>Background: A plethora of health literacy instruments was developed over the decades. They usually start with experts curating passages of text or word lists, followed by psychometric validation and revision based on test results obtained from a sample population. This process is costly and it is difficult to customize for new usage scenarios. Objective: This study aimed to develop and evaluate a framework for dynamically creating test instruments that can provide a focused assessment of patients’ health literacy. Methods: A health literacy framework and scoring method were extended from the vocabulary knowledge test to accommodate a wide range of item difficulties and various degrees of uncertainty in the participant’s answer. Web-based tests from Amazon Mechanical Turk users were used to assess reliability and validity. Results: Parallel forms of our tests showed high reliability (correlation=.78; 95% CI 0.69-0.85). Validity measured as correlation with an electronic health record comprehension instrument was higher (.47-.61 among 3 groups) than 2 existing tools (Short Assessment of Health Literacy-English, .38-.43; Short Test of Functional Health Literacy in Adults, .34-.46). Our framework is able to distinguish higher literacy levels that are often not measured by other instruments. It is also flexible, allowing customizations to the test the designer’s focus on a particular interest in a subject matter or domain. The framework is among the fastest health literacy instrument to administer. Conclusions: We proposed a valid and highly reliable framework to dynamically create health literacy instruments, alleviating the need to repeat a time-consuming process when a new use scenario arises. This framework can be customized to a specific need on demand and can measure skills beyond the basic level. ©Jiaping Zheng, Hong Yu.</t>
  </si>
  <si>
    <t>Zheng J., Yu H.</t>
  </si>
  <si>
    <t>https://www.scopus.com/inward/record.uri?eid=2-s2.0-85061972813&amp;doi=10.2196%2f12525&amp;partnerID=40&amp;md5=1f3fa1e1df50ba3bca650d8999de500f</t>
  </si>
  <si>
    <t>College of Information and Computer Sciences, University of Massachusetts Amherst, Amherst, MA, United States; Center for Healthcare Organization and Implementation Research, Bedford Veterans Affairs Medical Center, Bedford, MA, United States; Department of Computer Science, University of Massachusetts Lowell, One University Avenue, Lowell, MA  01854, United States</t>
  </si>
  <si>
    <t>Zheng, J., College of Information and Computer Sciences, University of Massachusetts Amherst, Amherst, MA, United States; Yu, H., Center for Healthcare Organization and Implementation Research, Bedford Veterans Affairs Medical Center, Bedford, MA, United States, Department of Computer Science, University of Massachusetts Lowell, One University Avenue, Lowell, MA  01854, United States</t>
  </si>
  <si>
    <t>Yu, H.; Department of Computer Science, United States; email: yu_hong@uml.edu</t>
  </si>
  <si>
    <t>Ratings of the effectiveness of warnings on consumer paint stripper products: Evaluation by university students and MTurk workers of FHSA- and ANSI Z535.4-formatted warning labels</t>
  </si>
  <si>
    <t>10.1177/1541931213601109</t>
  </si>
  <si>
    <t>6602500249;</t>
  </si>
  <si>
    <t>Accidental inhalation of vapors from paint stripper products containing methylene chloride has resulted in injuries and deaths. Warnings on paint stripper products may play a role in reducing the number and severity of injuries resulting from using them. Warning labels consistent with Federal Hazardous Substances Act (FHSA) and American National Standards Institute (ANSI) Z535.4 formatting were evaluated by 159 university students and by 173 Amazon Mechanical Turk (MTurk) workers. Results indicated that both groups rated the ANSI-formatted warnings as more effective (more likely to be noticed, read, understood, and followed) than the FHSA-formatted warnings, providing support for both use of crowdsourcing as a reliable and valid source for study participants to evaluate warnings, as well as for updating FHSA labeling requirements to include evidence-based guidelines on warning effectiveness. Implications for future research are discussed. Copyright 2016 by Human Factors and Ergonomics Society.</t>
  </si>
  <si>
    <t>Nemire K.</t>
  </si>
  <si>
    <t>https://www.scopus.com/inward/record.uri?eid=2-s2.0-85018190586&amp;doi=10.1177%2f1541931213601109&amp;partnerID=40&amp;md5=b7901d0793c6e48802e6c6403711e96c</t>
  </si>
  <si>
    <t>HFE Consulting LLC, Campbell, CA, United States</t>
  </si>
  <si>
    <t>Nemire, K., HFE Consulting LLC, Campbell, CA, United States</t>
  </si>
  <si>
    <t>Nemire, K.; HFE Consulting LLCUnited States; email: knemire@HFEconsulting.com</t>
  </si>
  <si>
    <t>Real-time control mediation in agile distributed software development</t>
  </si>
  <si>
    <t>30967585800;56206033500;6603755299;</t>
  </si>
  <si>
    <t>Agile distributed environments pose particular challenges related to control of quality and collaboration in software development. Moreover, while face-to-face interaction is fundamental in agile development, distributed environments must rely extensively on mediated interactions. On this backdrop, we report from an in-depth case study of an agile distributed software project. Applying Kirsch's elements of control framework, we analyze how actors in this context used different elements of control. We offer a description of the general management context and provide a detailed analysis of how control was mediated over distance by technology through real-time exchanges. Contrary to previous research, the analysis suggests that both formal and informal elements of real-time mediated control were used; that evolving goals and adjustment of expectations were two of the main issues in real-time mediated control exchanges; and, that the actors, despite distances in space and culture, developed a clan-like pattern mediated by technology to help control quality and collaboration in software development.</t>
  </si>
  <si>
    <t>Persson J.S., Aaen I., Mathiassen L.</t>
  </si>
  <si>
    <t>14th Americas Conference on Information Systems, AMCIS 2008</t>
  </si>
  <si>
    <t>https://www.scopus.com/inward/record.uri?eid=2-s2.0-84870332324&amp;partnerID=40&amp;md5=e2f1c45207bddc1dafb566e4e5a526f7</t>
  </si>
  <si>
    <t>Department of Computer Science, Aalborg University, Denmark; Center for Process Innovation, J. Mack Robinson College of Business, Georgia State University, United States</t>
  </si>
  <si>
    <t>Persson, J.S., Department of Computer Science, Aalborg University, Denmark; Aaen, I., Department of Computer Science, Aalborg University, Denmark; Mathiassen, L., Center for Process Innovation, J. Mack Robinson College of Business, Georgia State University, United States</t>
  </si>
  <si>
    <t>Persson, J. S.; Department of Computer Science, Denmark; email: john@cs.aau.dk</t>
  </si>
  <si>
    <t>Rebalancing at resale: Redigi, royalties, and the digital secondary market</t>
  </si>
  <si>
    <t>55957244900;</t>
  </si>
  <si>
    <t>This Note explores the various legal and policy considerations underlying resale of digital works against the backdrop of the ReDigi litigation. It considers the history and evolution of the first sale exception, the provision of copyright law that traditionally permits owners of lawfully acquired copies to resell them without first seeking the copyright holder's permission. This Note analyzes the conflicting conclusions drawn by courts and commentators with respect to digital resale. The ReDigi court, for example, held squarely that digital resale is impermissible, in part because the first sale exception is inapplicable to digital works. Some scholars, on the other hand, insist that digital resale is decidedly permissible as a matter of public policy and common law precedent. Finding both viewpoints inadequate, this Note concludes that the secondary markets enabled by the first sale exception continue to serve important purposes in the digital world and they must be preserved. To do so, Congress must rebalance the interests of copyright holders and consumers -that is to say, the public - by amending the Copyright Act to incorporate a resale royalty. The digital environment presents unique risks to copyright holders. A resale royalty can offset those risks and compensate copyright holders for the continued exploitation of their digital works. This Note then proposes a model for such a resale royalty scheme, looking both to proposed and existing resale royalties in the visual art context and to current royalties assessed and collected for digital performances of sound recordings. It concludes that a digital resale royalty, as part of a larger goal of preserving secondary markets and broadening the first sale exception to encompass digital works, effectively and fairly balances the novel and legitimate concerns of copyright holders with the traditional and important consumer ability to dispense with unwanted property, albeit digital.</t>
  </si>
  <si>
    <t>Serra T.</t>
  </si>
  <si>
    <t>Boston University Law Review</t>
  </si>
  <si>
    <t>https://www.scopus.com/inward/record.uri?eid=2-s2.0-84889846187&amp;partnerID=40&amp;md5=869b6a29231afe3f4ccd50a85c0ce913</t>
  </si>
  <si>
    <t>Boston University School of Law, United States</t>
  </si>
  <si>
    <t>Serra, T., Boston University School of Law, United States</t>
  </si>
  <si>
    <t>Serra, T.; Boston University School of LawUnited States</t>
  </si>
  <si>
    <t>Rebalancing interests and power structures on crowdworking platforms</t>
  </si>
  <si>
    <t>10.14763/2016.2.415</t>
  </si>
  <si>
    <t>57220365632;57210704916;</t>
  </si>
  <si>
    <t>Crowdwork on virtual platforms is developing into a recognisable employment and business model on the internet. Despite their many differences, the platforms that have emerged over the last few years have one thing in common: A crowd of individual producers and capabilities is mobilised-in the form of labour, accommodation or durable goods-onto the market in cooperation and competition with firms from traditional industries. This study analyses the factors crowdworkers consider relevant in their work and the measures they view as helpful in improving their working relationship with platforms. It is apparent that, in the best tradition of the peer economy, this new type of worker still considers learning and fun important factors for his or her engagement. Despite these effectively intrinsic factors, workers are quite aware of their situation, which does not put them on equal terms with the platform’s algorithms and customer focus. This awareness of power disparities does not lead them, however, to reconsider their effectiveness when it comes to renegotiating terms with the platform: When specifically asked about the role of unions, the majority of crowdworkers did not expect help in self-organisation from these institutions. Considering the difficulties in regulating the market for platforms, (self-) organisation of crowdworkers, however, is an important prerequisite in rebalancing the power structure dominated by platform owners and their customers. Selforganisation is something digital natives are quite familiar with and we have to assume that crowdworkers are perhaps overconfident in their abilities. And due to the novelty of this industry, this confidence has not been shaken yet by labour disputes or even by growing dissatisfaction with platforms. © 2016, Alexander von Humboldt Institute for Internet and Society. All rights reserved.</t>
  </si>
  <si>
    <t>Al-Ani A., Stumpp S.</t>
  </si>
  <si>
    <t>Internet Policy Review</t>
  </si>
  <si>
    <t>https://www.scopus.com/inward/record.uri?eid=2-s2.0-85060154639&amp;doi=10.14763%2f2016.2.415&amp;partnerID=40&amp;md5=34421c47bd4ec087aadd504efdc27e8f</t>
  </si>
  <si>
    <t>Humboldt Institute for Internet and Society (HIIG), Berlin, Germany</t>
  </si>
  <si>
    <t>Al-Ani, A., Humboldt Institute for Internet and Society (HIIG), Berlin, Germany; Stumpp, S., Humboldt Institute for Internet and Society (HIIG), Berlin, Germany</t>
  </si>
  <si>
    <t>57204016216;56607130200;7006111233;18433696900;</t>
  </si>
  <si>
    <t>Reflecting the choice and usage of communication tools in GSD projects with media synchronicity theory</t>
  </si>
  <si>
    <t>10.1109/ICGSE.2010.11</t>
  </si>
  <si>
    <t>25822538000;25822565700;55896933900;8240063900;</t>
  </si>
  <si>
    <t>Global software development projects use a variety of communication media, such as teleconferences, email and instant messaging to overcome the challenges caused by the distances. Each communication media has different properties and capabilities to mediate the communication on different software engineering tasks. The use of different tools imply different communication practices. In this paper, we report our findings on communication in twelve distributed software projects: which communication tools were used, how they were used, and how communication tool use was related to different tasks in the project studied. We analyze the tool use and articulated rationale for choosing the communication tools for various tasks in distributed software development based on communicative processes and medium properties. We found evidence supporting applicability of media synchronicity theory in selecting communication tools for GSD projects. © 2010 IEEE.</t>
  </si>
  <si>
    <t>Niinimäki T., Piri A., Lassenius C., Paasivaara M.</t>
  </si>
  <si>
    <t>https://www.scopus.com/inward/record.uri?eid=2-s2.0-78149342134&amp;doi=10.1109%2fICGSE.2010.11&amp;partnerID=40&amp;md5=6d3cdb86cd4bdac01d297a4d8fa97f56</t>
  </si>
  <si>
    <t>Aalto University School of Science and Technology, Software Business and Engineering Institute, P.O.Box 19210, FIN-00076 AALTO, Finland</t>
  </si>
  <si>
    <t>Niinimäki, T., Aalto University School of Science and Technology, Software Business and Engineering Institute, P.O.Box 19210, FIN-00076 AALTO, Finland; Piri, A., Aalto University School of Science and Technology, Software Business and Engineering Institute, P.O.Box 19210, FIN-00076 AALTO, Finland; Lassenius, C., Aalto University School of Science and Technology, Software Business and Engineering Institute, P.O.Box 19210, FIN-00076 AALTO, Finland; Paasivaara, M., Aalto University School of Science and Technology, Software Business and Engineering Institute, P.O.Box 19210, FIN-00076 AALTO, Finland</t>
  </si>
  <si>
    <t>Niinimäki, T.; Aalto University School of Science and Technology, P.O.Box 19210, FIN-00076 AALTO, Finland; email: tuomas.niinimaki@tkk.fi</t>
  </si>
  <si>
    <t>Relations between PTSD and depression symptom clusters in samples differentiated by PTSD diagnostic status</t>
  </si>
  <si>
    <t>10.1016/j.janxdis.2018.08.004</t>
  </si>
  <si>
    <t>54392860100;18434223400;57190379600;7003678279;</t>
  </si>
  <si>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 © 2018 Elsevier Ltd</t>
  </si>
  <si>
    <t>Contractor A.A., Greene T., Dolan M., Elhai J.D.</t>
  </si>
  <si>
    <t>Journal of Anxiety Disorders</t>
  </si>
  <si>
    <t>https://www.scopus.com/inward/record.uri?eid=2-s2.0-85051782356&amp;doi=10.1016%2fj.janxdis.2018.08.004&amp;partnerID=40&amp;md5=3413f3768ef4236d4e236ba200a2992a</t>
  </si>
  <si>
    <t>Department of Psychology, University of North Texas, Denton, TX, United States; Department of Community Mental Health, University of Haifa, Israel; Department of Psychology and Department of Psychiatry, University of Toledo, Toledo, OH, United States</t>
  </si>
  <si>
    <t>Contractor, A.A., Department of Psychology, University of North Texas, Denton, TX, United States; Greene, T., Department of Community Mental Health, University of Haifa, Israel; Dolan, M., Department of Psychology, University of North Texas, Denton, TX, United States; Elhai, J.D., Department of Psychology and Department of Psychiatry, University of Toledo, Toledo, OH, United States</t>
  </si>
  <si>
    <t>Contractor, A.A.; University of North Texas, 369 Terrill Hall, United States; email: ateka.contractor@unt.edu</t>
  </si>
  <si>
    <t>Relationship between work-related attitudes, performance and capacities according to the ICF in patients with mental disorders</t>
  </si>
  <si>
    <t>10.1159/000315125</t>
  </si>
  <si>
    <t>7202047542;8528509600;24462377200;</t>
  </si>
  <si>
    <t>Background: The International Classification of Functioning Disability and Health (ICF) differentiates between functions, activities/capacities, contextual factors and participation. Dysfunctions can result in impaired capacities, which in turn can lead to problems with participation depending on the context. Motivational and volitional deficits are intervening factors. The question is to what degree work performance (i.e. participation), motivational factors, and the inability to perform activities (i.e. dysfunctions) interact. Method: Incapacities were measured in 213 patients (70% women) admitted to the Department of Behavioral Medicine using the Mini-ICF-Rating for Mental Disorders (Mini-ICF-APP), work performance was measured with the Endicott Work Productivity Scale (EWPS), and volitional and motivational problems in regard to work were assessed with the Arbeitsbezogenes Verhaltens- und Erlebensmuster (AVEM). Sick leave prior to admission and work-related problems were assessed in a special clinical interview. Results: The mean global score of the Mini-ICF-APP across all patients was 0.84 ± 0.56 (SD), corresponding to 'mild disability'. The highest disabilities in this patient population were found for 'flexibility' (item 3, 1.64 ± 0.94); the lowest disabilities were found for 'self maintenance' (item 11, 0.19 ± 0.44) and 'mobility' (item 12, 0.43 ± 0.85). Partial correlations between the Mini-ICF-APP, AVEM and EWPS showed highly significant correlations between the Mini-ICF-APP and EWPS and no or weak correlations between the AVEM and the Mini-ICF-APP or EWPS. Conclusion: Work performance is primarily related to the inability to perform activities and incapacities, and only due to attitudes or volitional/motivational factors to a much lesser degree. Therefore, capacity and motivation can and must be separated. Copyright © 2010 S. Karger AG.</t>
  </si>
  <si>
    <t>Linden M., Baron S., Muschalla B.</t>
  </si>
  <si>
    <t>Psychopathology</t>
  </si>
  <si>
    <t>https://www.scopus.com/inward/record.uri?eid=2-s2.0-77952801375&amp;doi=10.1159%2f000315125&amp;partnerID=40&amp;md5=06b711118eb8a3fe813644e5de6dc4bc</t>
  </si>
  <si>
    <t>Research Group Psychosomatic Rehabilitation at the Charité University Medicine Berlin, Department of Behavioral Medicine, Rehabilitation Centre Seehof, Teltow/Berlin, Germany; Rehabilitation Centre, Seehof Lichterfelder Allee 55, DE-14513 Teltow, Germany</t>
  </si>
  <si>
    <t>Linden, M., Research Group Psychosomatic Rehabilitation at the Charité University Medicine Berlin, Department of Behavioral Medicine, Rehabilitation Centre Seehof, Teltow/Berlin, Germany, Rehabilitation Centre, Seehof Lichterfelder Allee 55, DE-14513 Teltow, Germany; Baron, S., Research Group Psychosomatic Rehabilitation at the Charité University Medicine Berlin, Department of Behavioral Medicine, Rehabilitation Centre Seehof, Teltow/Berlin, Germany; Muschalla, B., Research Group Psychosomatic Rehabilitation at the Charité University Medicine Berlin, Department of Behavioral Medicine, Rehabilitation Centre Seehof, Teltow/Berlin, Germany</t>
  </si>
  <si>
    <t>Linden, M.; Research Group Psychosomatic Rehabilitation at the Charité University Medicine Berlin, , Teltow/Berlin, Germany; email: michael.linden@charite.de</t>
  </si>
  <si>
    <t>Relative importance of attribute preferences for radial vs. femoral arterial access: A crowdsourcing study of healthy online-recruited volunteers</t>
  </si>
  <si>
    <t>10.1002/ccd.27941</t>
  </si>
  <si>
    <t>57204358617;7004320786;</t>
  </si>
  <si>
    <t>Introduction: Percutaneous coronary intervention (PCI) is typically performed with vascular access provided by the radial or femoral artery. However, little is known about how patients value aspects of these different vascular access approaches. Methods: Conjoint analysis is a survey-based statistical technique used in market research that helps determine how individuals value different attributes that make up a particular product or services. We utilized conjoint analysis to assess the relative importance of four attributes associated with PCI: access site, risk of bleeding, hospital stay, and radiation exposure. Participants were healthy individuals recruited by Amazon Mechanical Turk (MTURK). After completing a conjoint analysis survey, the software Conjoint.ly was used to calculate the relative importance for these four different attributes of PCI. Results: The relative importance of hospital stay, radiation exposure, bleeding risk, and procedure site was 32.7% (95% CI 29.5–35.8), 27.3% (95% CI 24.8–29.8), 24.4% (95% CI 22.3–26.5), and 15.7% (95% CI 13.6–17.8), respectively. The difference between these groups was statistically significant (P-value &lt; 0.00001). The difference between duration of hospital stay and radiation exposure was statistically significant (P-value &lt; 0.00433). Conclusion: Patients undergoing PCI place largest relative value on duration of hospital stay. Access site appears the least valued attribute. These findings carry implications to guide further research on access site choices and the consent process in the context of shared decision-making. © 2018 Wiley Periodicals, Inc.</t>
  </si>
  <si>
    <t>Ross J., Vidovich M.I.</t>
  </si>
  <si>
    <t>Catheterization and Cardiovascular Interventions</t>
  </si>
  <si>
    <t>https://www.scopus.com/inward/record.uri?eid=2-s2.0-85055268827&amp;doi=10.1002%2fccd.27941&amp;partnerID=40&amp;md5=6e997a40c3b2c69fe0eb845e59559340</t>
  </si>
  <si>
    <t>Division of Cardiology, University of Illinois at Chicago, Chicago, IL, United States</t>
  </si>
  <si>
    <t>Ross, J., Division of Cardiology, University of Illinois at Chicago, Chicago, IL, United States; Vidovich, M.I., Division of Cardiology, University of Illinois at Chicago, Chicago, IL, United States</t>
  </si>
  <si>
    <t>Vidovich, M.I.; Division of Cardiology, United States; email: miv@uic.edu</t>
  </si>
  <si>
    <t>Reliability and validity of the Brief DSM-5 Alcohol Use Disorder Diagnostic Assessment: A systematic replication in a crowdsourced sample</t>
  </si>
  <si>
    <t>10.1016/j.addbeh.2019.01.007</t>
  </si>
  <si>
    <t>57205387165;55585838700;</t>
  </si>
  <si>
    <t>Effectively and efficiently identifying alcohol use disorder (AUD) is an essential goal for researchers and clinicians alike. To date, there are a limited number of self-reported tools specifically designed for evaluating DSM-5 criteria for AUD. The Brief DSM-5 AUD Diagnostic Assessment is a recently created participant self-reported measure with demonstrated reliability and validity in college student populations. The purpose of this study was to replicate and extend these findings by evaluating the psychometric properties of the Brief DSM-5 AUD Diagnostic Assessment in a geographically diverse adult sample with varying alcohol use history. Participants (N = 1986) were sampled from the crowdsourcing website Amazon Mechanical Turk (mTurk). The Brief DSM-5 AUD Diagnostic Assessment was completed to evaluate scale reliability and validity. A subset of individuals with answers indicative of AUD (N = 448) also completed a battery of standardized alcohol use questionnaires for additional validity assessments. High internal consistency reliability was observed (α = 0.92) along with strong item-total correlations. Convergent validity was supported by significant positive relationships between diagnostic category and measures of alcohol use consumption and severity. Modest relationships that were generally not statistically significant were observed with soda use measures supporting discriminant validity. AUD severity remained a significant predictor of alcohol use measures after accounting for AUDIT scores, thereby establishing incremental validity. These findings collectively support the Brief DSM-5 AUD Diagnostic Assessment as a reliable, valid, and rapid self-report tool for evaluating DSM-5 AUD in diverse research and clinical settings. © 2019</t>
  </si>
  <si>
    <t>Campbell E.M., Strickland J.C.</t>
  </si>
  <si>
    <t>https://www.scopus.com/inward/record.uri?eid=2-s2.0-85059845725&amp;doi=10.1016%2fj.addbeh.2019.01.007&amp;partnerID=40&amp;md5=4d3ffd1cbc190beff8fb0d9f97440321</t>
  </si>
  <si>
    <t>Department of Behavioral Science, University of Kentucky College of Medicine, 1100 Veterans Drive, Medical Behavioral Science Building Room 140, Lexington, KY  40536, United States; Department of Psychology, University of Kentucky College of Arts and Sciences, 110 Kastle Hall LexingtonKY  40506, United States</t>
  </si>
  <si>
    <t>Campbell, E.M., Department of Behavioral Science, University of Kentucky College of Medicine, 1100 Veterans Drive, Medical Behavioral Science Building Room 140, Lexington, KY  40536, United States; Strickland, J.C., Department of Psychology, University of Kentucky College of Arts and Sciences, 110 Kastle Hall LexingtonKY  40506, United States</t>
  </si>
  <si>
    <t>Strickland, J.C.171 Funkhouser Drive, United States; email: justrickland@uky.edu</t>
  </si>
  <si>
    <t>Religious crisis as an independent causal predictor of psychological distress: Understanding the unique role of the numinous for intrapsychic functioning</t>
  </si>
  <si>
    <t>10.3390/rel11070329</t>
  </si>
  <si>
    <t>56652916800;7004147724;</t>
  </si>
  <si>
    <t>Religious and spiritual (R/S) struggles are tensions or conflicts one experiences in relationship to what is considered sacred or transcendent. In this study, we tested competing causal models of psychological distress as it relates to personality and R/S struggle using structural equation modeling. The study sample consisted of 226 (72.0%) females and 88 (28.0%) males (n = 314) drawn from the Amazon’s Mechanical Turk (MTurk) worker population. We found that though the five-factor model (FFM) of personality was a robust predictor of psychological distress, the R/S struggle added significant, incremental predictiveness. SEM analyses supported our contention that R/S struggle may represent a new, causal pathway of psychological distress that is independent from the FFM. Our findings are taken as evidence that R/S struggles require unique ways of conceptualizing their causal impact on clinical impairment and that psychological interventions need to systematically address numinous constructs in order to ensure that all aspects of emotional dysphoria are considered and their influences treated. © 2020 by the authors. Licensee MDPI, Basel, Switzerland.</t>
  </si>
  <si>
    <t>Fox J., Piedmont R.L.</t>
  </si>
  <si>
    <t>Religions</t>
  </si>
  <si>
    <t>https://www.scopus.com/inward/record.uri?eid=2-s2.0-85087414177&amp;doi=10.3390%2frel11070329&amp;partnerID=40&amp;md5=14f9c6398080c2ce16fbc81c15b56744</t>
  </si>
  <si>
    <t>Department of Counselor Education, Stetson University, DeLand, FL  32723, United States; Center for Professional Studies, Timonium, MD  21093-9998, United States</t>
  </si>
  <si>
    <t>Fox, J., Department of Counselor Education, Stetson University, DeLand, FL  32723, United States; Piedmont, R.L., Center for Professional Studies, Timonium, MD  21093-9998, United States</t>
  </si>
  <si>
    <t>Fox, J.; Department of Counselor Education, United States; email: jfox2@stetson.edu</t>
  </si>
  <si>
    <t>Repeated labeling using multiple noisy labelers</t>
  </si>
  <si>
    <t>10.1007/s10618-013-0306-1</t>
  </si>
  <si>
    <t>6603236863;7004026629;14049181900;55904635600;</t>
  </si>
  <si>
    <t>This paper addresses the repeated acquisition of labels for data items when the labeling is imperfect. We examine the improvement (or lack thereof) in data quality via repeated labeling, and focus especially on the improvement of training labels for supervised induction of predictive models. With the outsourcing of small tasks becoming easier, for example via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set of robust techniques that combine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 © 2013 The Author(s).</t>
  </si>
  <si>
    <t>Ipeirotis P.G., Provost F., Sheng V.S., Wang J.</t>
  </si>
  <si>
    <t>Data Mining and Knowledge Discovery</t>
  </si>
  <si>
    <t>https://www.scopus.com/inward/record.uri?eid=2-s2.0-84893707563&amp;doi=10.1007%2fs10618-013-0306-1&amp;partnerID=40&amp;md5=5f39114e89e3c8051e67a7ef8f50d187</t>
  </si>
  <si>
    <t>Department of Information, Operations, and Management Sciences, Leonard N. Stern School of Business, New York University, New York, NY, United States; Department of Computer Science, University of Central Arkansas, Conway, United States</t>
  </si>
  <si>
    <t>Ipeirotis, P.G., Department of Information, Operations, and Management Sciences, Leonard N. Stern School of Business, New York University, New York, NY, United States; Provost, F., Department of Information, Operations, and Management Sciences, Leonard N. Stern School of Business, New York University, New York, NY, United States; Sheng, V.S., Department of Computer Science, University of Central Arkansas, Conway, United States; Wang, J., Department of Information, Operations, and Management Sciences, Leonard N. Stern School of Business, New York University, New York, NY, United States</t>
  </si>
  <si>
    <t>Ipeirotis, P.G.; Department of Information, Operations, and Management Sciences, , New York, NY, United States; email: panos@stern.nyu.edu</t>
  </si>
  <si>
    <t>Reproducing the location-based context-specific proportion congruent effect for frequency unbiased items: A reply to Hutcheon and Spieler (2016)</t>
  </si>
  <si>
    <t>10.1080/17470218.2016.1206130</t>
  </si>
  <si>
    <t>14622302600;56654400600;57205866984;</t>
  </si>
  <si>
    <t>Stroop effects can be modulated by context-specific cues associated with different levels of proportion congruent, even for items that appear equally frequently in each context. This result has important theoretical implications, because it rules out frequency-driven learning explanations of context-specific proportion congruent (CSPC) effects and leaves open the possibility that a cue-driven retrieval process can reinstate attentional control settings in a rapid online fashion. The purpose of the present work was to address reproducibility concerns that have been raised about this finding. We conducted several reproductions and novel extensions using Amazon’s mechanical Turk in both Stroop and flanker tasks. We successfully replicated the central finding that CSPC effects can be observed for frequency-unbiased items. We also provide new Monte Carlo simulation analyses to estimate reproducibility of the phenomena that show important limitations on these designs for measuring contextual control. © 2016 The Experimental Psychology Society.</t>
  </si>
  <si>
    <t>Crump M.J.C., Brosowsky N.P., Milliken B.</t>
  </si>
  <si>
    <t>Quarterly Journal of Experimental Psychology</t>
  </si>
  <si>
    <t>https://www.scopus.com/inward/record.uri?eid=2-s2.0-84978129466&amp;doi=10.1080%2f17470218.2016.1206130&amp;partnerID=40&amp;md5=ae3a7ccd7e1a3b4b438b66ed3db65d3f</t>
  </si>
  <si>
    <t>Department of Psychology, Brooklyn College and the Graduate Center of the City University of New York, Brooklyn, NY, United States; Department of Psychology, Graduate Center of the City University of New York, Brooklyn, NY, United States; Department of Psychology, Neuroscience &amp; Behaviour, McMaster University, Hamilton, ON, Canada</t>
  </si>
  <si>
    <t>Crump, M.J.C., Department of Psychology, Brooklyn College and the Graduate Center of the City University of New York, Brooklyn, NY, United States; Brosowsky, N.P., Department of Psychology, Graduate Center of the City University of New York, Brooklyn, NY, United States; Milliken, B., Department of Psychology, Neuroscience &amp; Behaviour, McMaster University, Hamilton, ON, Canada</t>
  </si>
  <si>
    <t>Crump, M.J.C.; Department of Psychology, 2900 Bedford Avenue, United States; email: mcrump@brooklyn.cuny.edu</t>
  </si>
  <si>
    <t>Requirements for an infrastructure to support activity-based computing in global software development</t>
  </si>
  <si>
    <t>10.1109/ICGSE-W.2011.30</t>
  </si>
  <si>
    <t>36969458900;6602842620;</t>
  </si>
  <si>
    <t>Global Software Development (GSD) has become an established paradigm of developing software. One of the most important prerequisites of successfully supporting GSD projects is the provision of appropriate tooling support. Researchers and practitioners have developed several dozens of tools to support the GSD paradigm. However, there has been an increased realization that the most commonly used desktop metaphor underpinning existing tools has several limitations in terms of supporting communication, coordination, collaboration and awareness among distributed team members. We propose to leverage the Activity-Based Computing (ABC) paradigm that has been successfully applied to support collaboration and mobility in healthcare environments. We are exploring the viability of leveraging the ABC paradigm for addressing many of the limitations of the existing GSD tools. This paper identifies the requirements that an ABC based infrastructure needs to fulfill to support GSD practitioners. We have extensively reviewed the literature reporting requirements for designing GSD tools and have categorized them in two distinct groups: system quality requirements and system requirements for computer-mediated teamwork. We have analyzed the identified requirements with respect to the ABC principles using a scenario to demonstrate how the requirements reported in the literature and the ABC principles can provide a synergistic foundation for guiding the development of an infrastructure enabling GSD tools to take advantage of the ABC paradigm. We expect these requirements to be used not only by us to develop an infrastructure but also by others to develop or modify GSD tools. © 2011 IEEE.</t>
  </si>
  <si>
    <t>Tell P., Babar M.A.</t>
  </si>
  <si>
    <t>https://www.scopus.com/inward/record.uri?eid=2-s2.0-82855169637&amp;doi=10.1109%2fICGSE-W.2011.30&amp;partnerID=40&amp;md5=651546e15b41efc47fd261b96220b9cc</t>
  </si>
  <si>
    <t>Software Development Group, IT University of Copenhagen, Denmark</t>
  </si>
  <si>
    <t>Tell, P., Software Development Group, IT University of Copenhagen, Denmark; Babar, M.A., Software Development Group, IT University of Copenhagen, Denmark</t>
  </si>
  <si>
    <t>Tell, P.; Software Development Group, Denmark; email: pate@itu.dk</t>
  </si>
  <si>
    <t>Requirements for platform-based startup survival: A qualitative exploratory study</t>
  </si>
  <si>
    <t>10.1109/ICACSIS.2018.8618231</t>
  </si>
  <si>
    <t>57211039635;6507465058;56119154900;57188979780;</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</si>
  <si>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 © 2018 IEEE.</t>
  </si>
  <si>
    <t>Maulana A., Sucahyo Y.G., Ruldeviyani Y., Gandhi A.</t>
  </si>
  <si>
    <t>2018 International Conference on Advanced Computer Science and Information Systems, ICACSIS 2018</t>
  </si>
  <si>
    <t>https://www.scopus.com/inward/record.uri?eid=2-s2.0-85062394495&amp;doi=10.1109%2fICACSIS.2018.8618231&amp;partnerID=40&amp;md5=cbb86b322d3032a9fb43b15e3686ddc8</t>
  </si>
  <si>
    <t>Maulana, A., Faculty of Computer Science, Universitas Indonesia, Depok, Indonesia; Sucahyo, Y.G., Faculty of Computer Science, Universitas Indonesia, Depok, Indonesia; Ruldeviyani, Y., Faculty of Computer Science, Universitas Indonesia, Depok, Indonesia; Gandhi, A., Faculty of Computer Science, Universitas Indonesia, Depok, Indonesia</t>
  </si>
  <si>
    <t>Research and application of the overall solutions to integrated technology in manufacturing enterprise</t>
  </si>
  <si>
    <t>10.1109/ICCASM.2010.5622739</t>
  </si>
  <si>
    <t>35299270000;7404524591;57056651200;36677772500;36677142100;</t>
  </si>
  <si>
    <t>Based on the unified management platform of product information, we researched the integrated technology of CAD, PDM and ERP system. Besides, by means of some application cases, we analyzed and illustrated the importance of implementing information integration in manufacturing enterprise and some specific implementing methods for it. To some extent, the overall solutions to integrated technology in manufacturing enterprise we have offered set the style of the early realization of Digital Work for discrete mechanical manufacturing enterprises. © 2010 IEEE.</t>
  </si>
  <si>
    <t>Ji W., Yi C., Zhou H., Liang S., Dai D.</t>
  </si>
  <si>
    <t>ICCASM 2010 - 2010 International Conference on Computer Application and System Modeling, Proceedings</t>
  </si>
  <si>
    <t>https://www.scopus.com/inward/record.uri?eid=2-s2.0-78649560857&amp;doi=10.1109%2fICCASM.2010.5622739&amp;partnerID=40&amp;md5=f98f8c7d9e02f8bcb501ad9c25eec5dd</t>
  </si>
  <si>
    <t>School of Mechanical Engineering, Jiangnan University, 1800 Lihu Avenue, Wuxi, Jiangsu Province, 214122, China</t>
  </si>
  <si>
    <t>Ji, W., School of Mechanical Engineering, Jiangnan University, 1800 Lihu Avenue, Wuxi, Jiangsu Province, 214122, China; Yi, C., School of Mechanical Engineering, Jiangnan University, 1800 Lihu Avenue, Wuxi, Jiangsu Province, 214122, China; Zhou, H., School of Mechanical Engineering, Jiangnan University, 1800 Lihu Avenue, Wuxi, Jiangsu Province, 214122, China; Liang, S., School of Mechanical Engineering, Jiangnan University, 1800 Lihu Avenue, Wuxi, Jiangsu Province, 214122, China; Dai, D., School of Mechanical Engineering, Jiangnan University, 1800 Lihu Avenue, Wuxi, Jiangsu Province, 214122, China</t>
  </si>
  <si>
    <t>Ji, W.; School of Mechanical Engineering, 1800 Lihu Avenue, Wuxi, Jiangsu Province, 214122, China; email: ji_weixi@126.com</t>
  </si>
  <si>
    <t>Researching indistinguishability of the polymorphism time stamp watermarking</t>
  </si>
  <si>
    <t>10.14257/ijsia.2015.9.7.27</t>
  </si>
  <si>
    <t>23037687800;56605781100;57006084400;</t>
  </si>
  <si>
    <t>With the rapid development of computer network, digital watermarking, which is an effective digital products copyright protection technology, was widely applied in the security forensic. Those were analyzed that are the defects of existing time stamp scheme of digital watermarking and the characteristics of the pseudo-random sequence. The new scheme based on time stamp and pseudo-random sequence was proposed. Indistinguishability and scalability of watermark were analyzed from the experimental results. And other two aspects were obviously improved in the new scheme, which were in improving protocol's security and reducing the quantity of data embedded in digital works. © 2015 SERSC.</t>
  </si>
  <si>
    <t>Yin Y., Wen H., Fan K.</t>
  </si>
  <si>
    <t>International Journal of Security and its Applications</t>
  </si>
  <si>
    <t>https://www.scopus.com/inward/record.uri?eid=2-s2.0-84950123857&amp;doi=10.14257%2fijsia.2015.9.7.27&amp;partnerID=40&amp;md5=5c8953b9e29ce0aa293433723b880e72</t>
  </si>
  <si>
    <t>School of Computer and Communication Engineering, Zhengzhou University of Light Industry, Zhengzhou, 450002, China</t>
  </si>
  <si>
    <t>Yin, Y., School of Computer and Communication Engineering, Zhengzhou University of Light Industry, Zhengzhou, 450002, China; Wen, H., School of Computer and Communication Engineering, Zhengzhou University of Light Industry, Zhengzhou, 450002, China; Fan, K., School of Computer and Communication Engineering, Zhengzhou University of Light Industry, Zhengzhou, 450002, China</t>
  </si>
  <si>
    <t>Yin, Y.; School of Computer and Communication Engineering, China; email: yinyifeng@zzuli.edu.cn</t>
  </si>
  <si>
    <t>Resolving Workplace Conflicts through Litigation: Evidence, Analysis, and Implications</t>
  </si>
  <si>
    <t>10.1108/S0742-618620160000022003</t>
  </si>
  <si>
    <t>7102374522;</t>
  </si>
  <si>
    <t>Purpose-Industrial relations, organizational behavior, and human resource management scholars have studied numerous aspects of internal workplace conflict resolution, ranging from the design of conflict resolution systems to the processes used for resolving conflicts to the outcomes of the systems. Scholars from these specialties, however, have paid considerably less attention to external workplace conflict resolution through litigation. This chapter analyzes certain areas of such litigation, focusing specifically on workplace conflicts involving issues of managerial and employee misclassification, independent contractor versus employee status, no-poaching agreements, and executive compensation. Methodology/approach-Leading recent cases involving these issues are examined, with particular attention given to the question of whether the conflicts reflected therein could have been resolved internally or through alternative dispute resolution (ADR) methods rather than through litigation. Practical implications-Implications of this analysis are drawn for workplace conflict resolution theory and practice. In doing so, I conclude that misclassification disputes could likely be resolved internally or through ADR rather than through litigation, but that no-poaching and executive compensation disputes could very likely not be resolved internally or through ADR. Originality/value-The chapter draws on and offers an integrated analysis of particular types of workplace conflict that are typically treated separately by scholars and practitioners. These include misclassification conflicts, no poaching and labor market competition conflicts, and executive compensation conflicts. The originality and value of this chapter are to show that despite their different contexts and particular issues, the attempted resolution through litigation of these types of workplace conflicts has certain common, systematic characteristics. Copyright © 2016 by Emerald Group Publishing Limited .</t>
  </si>
  <si>
    <t>Lewin D.</t>
  </si>
  <si>
    <t>Advances in Industrial and Labor Relations</t>
  </si>
  <si>
    <t>https://www.scopus.com/inward/record.uri?eid=2-s2.0-84979266790&amp;doi=10.1108%2fS0742-618620160000022003&amp;partnerID=40&amp;md5=1dd1352753bfc6258434221ee8ceace3</t>
  </si>
  <si>
    <t>UCLA Anderson School of Management, Los Angeles, CA, United States</t>
  </si>
  <si>
    <t>Lewin, D., UCLA Anderson School of Management, Los Angeles, CA, United States</t>
  </si>
  <si>
    <t>Lewin, D.; UCLA Anderson School of ManagementUnited States</t>
  </si>
  <si>
    <t>Risk assessment on distributed software projects</t>
  </si>
  <si>
    <t>10.1145/1810295.1810387</t>
  </si>
  <si>
    <t>56402533800;</t>
  </si>
  <si>
    <t>Risk Assessment is a growing discipline on the context of distributed software projects. The complexity to develop software and the related knowledge require automated support for project managers in order to analyze actions to reduce the project's risks and measure the impact of such actions. My thesis aims to investigate an approach for the assessment of risks in globally distributed software projects. This research proposes to apply stochastic simulation technique to analyze project data and identify factors that are likely to impact team productivity and that could affect the team's ability to meet its schedule objective. We aim this thesis to be applied by project management groups to perform risk assessment early in the software development process and to help decision-making process. © 2010 ACM.</t>
  </si>
  <si>
    <t>Lima A.M.</t>
  </si>
  <si>
    <t>https://www.scopus.com/inward/record.uri?eid=2-s2.0-77954725518&amp;doi=10.1145%2f1810295.1810387&amp;partnerID=40&amp;md5=c10b9155d6ad4b34c15a1e473b27b719</t>
  </si>
  <si>
    <t>Software Engineering Laboratory (LABES), Federal University of Pará (UFPA), Belém, Pará, Brazil</t>
  </si>
  <si>
    <t>Lima, A.M., Software Engineering Laboratory (LABES), Federal University of Pará (UFPA), Belém, Pará, Brazil</t>
  </si>
  <si>
    <t>Lima, A. M.; Software Engineering Laboratory (LABES), , Belém, Pará, Brazil; email: adailton@ufpa.br</t>
  </si>
  <si>
    <t>Risk Tolerance, Legitimacy, and Perspective: Navigating Biases in Social Enterprise Evaluations</t>
  </si>
  <si>
    <t>10.1515/erj-2017-0093</t>
  </si>
  <si>
    <t>7401685004;23493774900;54968338000;8561055000;12779568100;</t>
  </si>
  <si>
    <t>Social enterprises viewed as viable from societal perspectives are often regarded differently from traditional business perspectives. To examine this difference, we undertook two empirical studies of risk tolerance and legitimacy perceptions among observers of social enterprise and for-profit ventures. In Study 1, participants (n = 115) drawn randomly from Amazon's Mechanical Turk, an online crowdsourcing marketplace for human intelligence tasks, examined two hypothetical cases and completed the risk tolerance scale of the Jackson Personality Inventory. Results show that social enterprises were seen as having lower industry legitimacy, especially by individuals with lower risk tolerance. Here, industry legitimacy mediated the effect of venture purpose on cognitive legitimacy. In Study 2, practicing entrepreneurs (n = 23) narratively interpreted Study 1 results from social enterprise and traditional business perspectives. Both studies demonstrate that social enterprise legitimacy evaluations vary based on risk tolerance and the type of legitimacy in question. Overall findings show that explicit observations of risk tolerance effects, and multidimensional conceptualizations of legitimacy, are important to accurate evaluations of social enterprises. © 2019 Walter de Gruyter GmbH, Berlin/Boston 2019.</t>
  </si>
  <si>
    <t>Murphy P.J., Pollack J., Nagy B., Rutherford M., Coombes S.</t>
  </si>
  <si>
    <t>Entrepreneurship Research Journal</t>
  </si>
  <si>
    <t>https://www.scopus.com/inward/record.uri?eid=2-s2.0-85062241308&amp;doi=10.1515%2ferj-2017-0093&amp;partnerID=40&amp;md5=11bd060c87ee8f7db808c66bdf62ee31</t>
  </si>
  <si>
    <t>Collat School of Business, University of Alabama, Birmingham, AL, United States; Management, Innovation, and Entrepreneurship, North Carolina State University, Raleigh, NC  27695, United States; Decision Sciences and Management Department, Tennessee Technological University, Cookeville, TN, United States; Oklahoma State University, Oklahoma City Business Administration DivisionOK, United States; Department of Management, Virginia Commonwealth University, Richmond, VA, United States</t>
  </si>
  <si>
    <t>Murphy, P.J., Collat School of Business, University of Alabama, Birmingham, AL, United States; Pollack, J., Management, Innovation, and Entrepreneurship, North Carolina State University, Raleigh, NC  27695, United States; Nagy, B., Decision Sciences and Management Department, Tennessee Technological University, Cookeville, TN, United States; Rutherford, M., Oklahoma State University, Oklahoma City Business Administration DivisionOK, United States; Coombes, S., Department of Management, Virginia Commonwealth University, Richmond, VA, United States</t>
  </si>
  <si>
    <t>Murphy, P.J.; Collat School of Business, United States; email: pjmurphy@uab.edu</t>
  </si>
  <si>
    <t>Risks factors identification and assessment in virtual projects of software industry: A survey study</t>
  </si>
  <si>
    <t>55933696700;55901599200;56397649900;</t>
  </si>
  <si>
    <t>The technological advanced global environment has originated multi-cultural virtual teams. It is quite novel conception to practitioners. The growth of virtual teams, virtual work groups, and virtual companies has been expedited with the arrival of internet technology that provides low-cost telecommunication and emails facilities. Different companies in all over the world and in Pakistan are rapidly adopting the concept of virtual teams also. The system by which these virtual teams interact and work together to achieve a specific goal in a predetermined time span, is called virtual project management. Managing virtual teams is a multifaceted task. The literature reports different risks factors like, cultural differences, trust, time zone, communication etc. That are involved in global software development. The purpose of this research that is based on a survey is to analyze these factors in Pakistan software industry. The major risks identified by this study are; (1) communication risk, (2) schedule risk and (3) cultural risk. The significances of this generalization are used as alleviation for virtual project team manager in virtual projects. This survey study provides fundamental indication that foremost project risk is different in a virtual environment, still there is need to develop an understanding and explore the virtual project risks. Apart from the major risk factor, i.e. Communication risk, the other risk areas also needs in depth. It has been concluded that there is a great need to improve painstaking understanding of the critical risks acknowledged here interrelates with one another and in-depth study needs to be carried out on how well a project manager can forestall, accomplish and alleviate the risks. © 2013 The Science and Information Organization.</t>
  </si>
  <si>
    <t>Basharat I., Nafees T., Abbas M.</t>
  </si>
  <si>
    <t>Proceedings of 2013 Science and Information Conference, SAI 2013</t>
  </si>
  <si>
    <t>https://www.scopus.com/inward/record.uri?eid=2-s2.0-84892547757&amp;partnerID=40&amp;md5=a3f02d6945ea35efdeb2fbccc8b9264c</t>
  </si>
  <si>
    <t>Department of Computer Software Engineering, National University of Sciences and Technology, H-12, Islamabad, Pakistan</t>
  </si>
  <si>
    <t>Basharat, I., Department of Computer Software Engineering, National University of Sciences and Technology, H-12, Islamabad, Pakistan; Nafees, T., Department of Computer Software Engineering, National University of Sciences and Technology, H-12, Islamabad, Pakistan; Abbas, M., Department of Computer Software Engineering, National University of Sciences and Technology, H-12, Islamabad, Pakistan</t>
  </si>
  <si>
    <t>Department of Computer Software Engineering, , H-12, Islamabad, Pakistan</t>
  </si>
  <si>
    <t>Safety priming and subsequent app selection behaviors</t>
  </si>
  <si>
    <t>57200816582;57191955049;7101687932;16401839500;</t>
  </si>
  <si>
    <t>The current Android app store requires users to search for information on the permissions requested by mobile apps. The present study sought to determine if safety priming, a manipulation shown to be effective in promoting safer app selections, would push users to look for safety-related information in the form of safety rankings when it was not readily available. We recruited participants from Amazon's Mechanical Turk to complete an app selection task examining the effects of priming when a summary score was hidden by default, but could be show n if users selected to view it. Findings suggest that priming did not encourage users to seek out this information if it was not readily available. Further, it is concluded that safety priming is only effective if safety-related information is readily accessible. These results highlight the need to present all safety information as early as possible to ensure that it is taken into account. © 2018 Human Factors an Ergonomics Society Inc.. All rights reserved.</t>
  </si>
  <si>
    <t>Chong I., Ge H., Proctor R.W., Li N.</t>
  </si>
  <si>
    <t>https://www.scopus.com/inward/record.uri?eid=2-s2.0-85072735318&amp;partnerID=40&amp;md5=56727730dc6d2dce10046729f08f627d</t>
  </si>
  <si>
    <t>Chong, I., Purdue University, United States; Ge, H., Purdue University, United States; Proctor, R.W., Purdue University, United States; Li, N., Purdue University, United States</t>
  </si>
  <si>
    <t>SAVA at MediaEval 2015: Search and anchoring in video archives</t>
  </si>
  <si>
    <t>36720377900;23392199700;14018462300;56411938600;57191420541;9133183900;</t>
  </si>
  <si>
    <t>The Search and Anchoring in Video Archives (SAVA) task at MediaEval 2015 consists of two sub-tasks: (i) search for multimedia content within a video archive using multimodal queries referring to information contained in the audio and visual streams/content, and (ii) automatic selection of video segments within a list of videos that can be used as anchors for further hyperlinking within the archive. The task used a collection of roughly 2700 hours of the BBC broadcast TV material for the former sub-task, and about 70 files taken from this collection for the latter sub-task. The search subtask is based on an ad-hoc retrieval scenario, and is evaluated using a pooling procedure across participants submissions with crowdsourcing relevance assessment using Amazon Mechanical Turk (MTurk). The evaluation used metrics that are variations of MAP adjusted for this task. For the anchor selection sub-task overlapping regions of interest across participants submissions were assessed using MTurk workers, and mean reciprocal rank (MRR), precision and recall were calculated for evaluation.</t>
  </si>
  <si>
    <t>Eskevich M., Aly R., Ordelman R., Racca D.N., Chen S., Jones G.J.F.</t>
  </si>
  <si>
    <t>https://www.scopus.com/inward/record.uri?eid=2-s2.0-84989861045&amp;partnerID=40&amp;md5=ae73e2e8fd7d148fe0e86a43068b2fb9</t>
  </si>
  <si>
    <t>EURECOM, Sophia Antipolis, France; University of Twente, Netherlands; ADAPT Centre, School of Computing, Dublin City University, Ireland</t>
  </si>
  <si>
    <t>Eskevich, M., EURECOM, Sophia Antipolis, France; Aly, R., University of Twente, Netherlands; Ordelman, R., University of Twente, Netherlands; Racca, D.N., ADAPT Centre, School of Computing, Dublin City University, Ireland; Chen, S., ADAPT Centre, School of Computing, Dublin City University, Ireland; Jones, G.J.F., ADAPT Centre, School of Computing, Dublin City University, Ireland</t>
  </si>
  <si>
    <t>Scrum practice mitigation of global software development coordination challenges: A distinctive advantage?</t>
  </si>
  <si>
    <t>10.1109/HICSS.2012.512</t>
  </si>
  <si>
    <t>19639855300;25821676000;7102699659;</t>
  </si>
  <si>
    <t>Global software development is a major trend in software engineering. Practitioners are increasingly trying Agile methods in distributed projects to tap into the benefits experienced by co-located teams. This paper considers the issue by examining whether Scrum practices, used in four global software development projects to leverage the benefits of Agile methods over traditional software engineering methods, provided any distinctive advantage in mitigating coordination challenges. Four temporal, geographical and sociocultural distance-based coordination challenges and seven scrum practices are identified from the literature. The cases are analyzed for evidence of use of the Scrum practices to mitigate each challenge and whether the mitigation mechanisms employed relate to any distinctive characteristics of the Scrum method. While some mechanisms used were common to other/ traditional methods, it was found that Scrum offers a distinctive advantage in mitigating geographical and socio-cultural but not temporal distance-based GSD coordination challenges. Implications are discussed. © 2012 IEEE.</t>
  </si>
  <si>
    <t>Bannerman P.L., Hossain E., Jeffery R.</t>
  </si>
  <si>
    <t>https://www.scopus.com/inward/record.uri?eid=2-s2.0-84857938565&amp;doi=10.1109%2fHICSS.2012.512&amp;partnerID=40&amp;md5=661044434b092090a81adc06cb267a35</t>
  </si>
  <si>
    <t>NICTA, UNSW, Australia</t>
  </si>
  <si>
    <t>Bannerman, P.L., NICTA, UNSW, Australia; Hossain, E., NICTA, UNSW, Australia; Jeffery, R., NICTA, UNSW, Australia</t>
  </si>
  <si>
    <t>Bannerman, P.L.; NICTA, Australia; email: paul.bannerman@nicta.com.au</t>
  </si>
  <si>
    <t>57204397537;57204393475;57224970103;57195195220;</t>
  </si>
  <si>
    <t>Seaweed: A web application for designing economic games</t>
  </si>
  <si>
    <t>10.1145/1600150.1600162</t>
  </si>
  <si>
    <t>35174165400;57198183150;25821803000;16643068200;57216196948;</t>
  </si>
  <si>
    <t>Seaweed is a web application for experimental economists with no programming background to design two-player symmetric games in a visual-oriented interface. Games are automatically published to the web where players can play against each other remotely and game play is logged so that the game's designer can analyze the data. The design and implementation challenge in Seaweed is to provide an end user programming environment that creates games responsive to events and controlled by logic without the designer understanding programming concepts such as events and synchronization, or being burdened by specifying low-level programming detail. Seaweed achieves this by providing high-level visual representations for variables, control flow, and logic, and by automating behaviors for event handling, synchronization, and function evaluation. Seaweed's evaluation demonstrates that Amazon's Mechanical Turk (MTurk) is a viable platform for forming partnerships between people and paying them to perform cooperative tasks in real-time, cheaply and with high throughput. Copyright 2009 ACM.</t>
  </si>
  <si>
    <t>Chilton L.B., Sims C.T., Goldman M., Little G., Miller R.C.</t>
  </si>
  <si>
    <t>Proceedings of the ACM SIGKDD Workshop on Human Computation, HCOMP '09</t>
  </si>
  <si>
    <t>https://www.scopus.com/inward/record.uri?eid=2-s2.0-70449643148&amp;doi=10.1145%2f1600150.1600162&amp;partnerID=40&amp;md5=285b45d62ef2d8c697ec3a34d6c0bee3</t>
  </si>
  <si>
    <t>MIT CSAIL, 32 Vassar St, Cambridge, MA 02139, United States</t>
  </si>
  <si>
    <t>Chilton, L.B., MIT CSAIL, 32 Vassar St, Cambridge, MA 02139, United States; Sims, C.T., MIT CSAIL, 32 Vassar St, Cambridge, MA 02139, United States; Goldman, M., MIT CSAIL, 32 Vassar St, Cambridge, MA 02139, United States; Little, G., MIT CSAIL, 32 Vassar St, Cambridge, MA 02139, United States; Miller, R.C., MIT CSAIL, 32 Vassar St, Cambridge, MA 02139, United States</t>
  </si>
  <si>
    <t>Chilton, L. B.; MIT CSAIL, 32 Vassar St, Cambridge, MA 02139, United States; email: hmslydia@mit.edu</t>
  </si>
  <si>
    <t>Secure scheme of digital fingerprint based piracy tracking</t>
  </si>
  <si>
    <t>10.1109/CISE.2009.5365005</t>
  </si>
  <si>
    <t>56703735000;35757157000;35218315200;</t>
  </si>
  <si>
    <t>The piracy tracking is a important task in copyright protection system for the digital work. The traditional copyright protection system could not prevent the badness customer copying and reselling the digital work and could not prevent the badness author replacing the customer's fingerprint. In this paper, a novel secure scheme is proposed for the piracy tracking. In this scheme, a secure copyright protection authority and the fingerprints of the author and the customer are used. After described the architecture of the copyright protection authority, the secure author fingerprint protocol and the secure customer fingerprint protocol are discussed. Based on the copyright protection authority and the fingerprint protocols, the pirate root identification protocols for the abstract and the finished product of the digital work are proposed. After tested in the IPTV system and analyzed in the aspect of security, the proposed scheme and protocols are high performance and secure. ©2009 IEEE.</t>
  </si>
  <si>
    <t>Yang C., Zhang L., Tian J.</t>
  </si>
  <si>
    <t>Proceedings - 2009 International Conference on Computational Intelligence and Software Engineering, CiSE 2009</t>
  </si>
  <si>
    <t>https://www.scopus.com/inward/record.uri?eid=2-s2.0-77949727732&amp;doi=10.1109%2fCISE.2009.5365005&amp;partnerID=40&amp;md5=75b0674e20c82479075e8840ac3bb46d</t>
  </si>
  <si>
    <t>Information Engineering School, Communication University of China, Beijing, China; School of Electronic and Information Engineering, Dalian University of Technology, Dalian, China</t>
  </si>
  <si>
    <t>Yang, C., Information Engineering School, Communication University of China, Beijing, China; Zhang, L., School of Electronic and Information Engineering, Dalian University of Technology, Dalian, China; Tian, J., Information Engineering School, Communication University of China, Beijing, China</t>
  </si>
  <si>
    <t>Yang, C.; Information Engineering School, , Beijing, China; email: cafeeyang@gmail.com</t>
  </si>
  <si>
    <t>Self-reported Health Status Differs for Amazon's Mechanical Turk Respondents Compared with Nationally Representative Surveys</t>
  </si>
  <si>
    <t>10.1097/MLR.0000000000000871</t>
  </si>
  <si>
    <t>25224857700;57201373355;7202594997;57095338700;</t>
  </si>
  <si>
    <t>Background: Amazon's Mechanical Turk (MTurk) platform has become a data source for peer-reviewed academic research publications, with over 24,000 Google Scholar search results. Although well-developed and supportive in other disciplines, the literature in health and medicine comparing results from samples generated on MTurk to gold standard, nationally representative health and medical surveys is beginning to emerge. Objective: To compare the demographic, socioeconomic, and self-reported health status variables in an MTurk sample to those from 2 prominent national probability surveys, including the Medical Expenditure Panel Survey (MEPS) and the Behavioral Risk Factor Surveillance System (BRFSS). Research Design: We analyze weighted and unweighted tabulations of the MTurk, MEPS, and BRFSS. Wald tests identify statistical significance. Measures: Demographic, socioeconomic, and health status variables in an adult MTurk sample collected in 2016 (n=1916), the 2015 MEPS household survey component (n=21,210), and the 2015 BRFSS (n=283,502). Results: Our findings indicate statistically significant differences in the demographic, socioeconomic, and self-perceived health status tabulations in the MTurk sample relative to the unweighted and weighted MEPS and BRFSS. The MTurk sample is more likely to be female (65.8% in MTurk, 50.9% in MEPS, 50.2% in BRFSS), white (80.1% in MTurk, 76.9% in MEPS, and 73.9% in BRFSS), non-Hispanic (91.1%, 82.4%, and 81.4%, respectively), younger, and less likely to report excellent health status (6.8% in MTurk, 28.3% in MEPS, and 20.2% in BRFSS). Conclusions: We find significant differences across variables that warrant hesitation in using MTurk data as a replacement for the gold standard datasets in health services research. © 2018 Wolters Kluwer Health, Inc. All rights reserved.</t>
  </si>
  <si>
    <t>Mortensen K., Alcalá M.G., French M.T., Hu T.</t>
  </si>
  <si>
    <t>Medical Care</t>
  </si>
  <si>
    <t>https://www.scopus.com/inward/record.uri?eid=2-s2.0-85044525725&amp;doi=10.1097%2fMLR.0000000000000871&amp;partnerID=40&amp;md5=9d93b25318e63fa6ac5d231b56d357af</t>
  </si>
  <si>
    <t>Department of Health Sector Management and Policy, University of Miami, School of Business Administration, 417L Jenkins Building, Coral Gables, FL  33146, United States; Department of Economics, University of Pennsylvania, Philadelphia, PA, United States; Department of Health Sector Management and Policy and Sociology, University of Miami, Coral Gables, United States; Department of Health Policy and Management, Florida International University, Miami, FL, United States</t>
  </si>
  <si>
    <t>Mortensen, K., Department of Health Sector Management and Policy, University of Miami, School of Business Administration, 417L Jenkins Building, Coral Gables, FL  33146, United States; Alcalá, M.G., Department of Economics, University of Pennsylvania, Philadelphia, PA, United States; French, M.T., Department of Health Sector Management and Policy and Sociology, University of Miami, Coral Gables, United States; Hu, T., Department of Health Policy and Management, Florida International University, Miami, FL, United States</t>
  </si>
  <si>
    <t>Mortensen, K.; Department of Health Sector Management and Policy, United States; email: kmortensen@bus.miami.edu</t>
  </si>
  <si>
    <t>Semantic Similarities in Natural Language Requirements</t>
  </si>
  <si>
    <t>10.1007/978-3-030-35510-4_6</t>
  </si>
  <si>
    <t>53879806300;57214219261;55319855300;</t>
  </si>
  <si>
    <t>Semantic similarity information supports requirements tracing and helps to reveal important requirements quality defects such as redundancies and inconsistencies. Previous work has applied semantic similarity algorithms to requirements, however, we do not know enough about the performance of machine learning and deep learning models in that context. Therefore, in this work we create the largest dataset for analyzing the similarity of requirements so far through the use of Amazon Mechanical Turk, a crowd-sourcing marketplace for micro-tasks. Based on this dataset, we investigate and compare different types of algorithms for estimating semantic similarities of requirements, covering both relatively simple bag-of-words and machine learning models. In our experiments, a model which relies on averaging trained word and character embeddings as well as an approach based on character sequence occurrences and overlaps achieve the best performances on our requirements dataset. © Springer Nature Switzerland AG 2020.</t>
  </si>
  <si>
    <t>Femmer H., Müller A., Eder S.</t>
  </si>
  <si>
    <t>https://www.scopus.com/inward/record.uri?eid=2-s2.0-85078479877&amp;doi=10.1007%2f978-3-030-35510-4_6&amp;partnerID=40&amp;md5=7b2e0f3fff33af183287893b6d01bf74</t>
  </si>
  <si>
    <t>Qualicen GmbH, Lichtenbergstr. 8, Garching, 85748, Germany</t>
  </si>
  <si>
    <t>Femmer, H., Qualicen GmbH, Lichtenbergstr. 8, Garching, 85748, Germany; Müller, A., Qualicen GmbH, Lichtenbergstr. 8, Garching, 85748, Germany; Eder, S., Qualicen GmbH, Lichtenbergstr. 8, Garching, 85748, Germany</t>
  </si>
  <si>
    <t>Femmer, H.; Qualicen GmbH, Lichtenbergstr. 8, Germany; email: henning.femmer@qualicen.de</t>
  </si>
  <si>
    <t>Semantically Enriched Task and Workflow Automation in Crowdsourcing for Linked Data Management</t>
  </si>
  <si>
    <t>10.1142/S1793351X14400133</t>
  </si>
  <si>
    <t>57203224683;6507184033;26421053700;56319639500;6603078975;6603501593;</t>
  </si>
  <si>
    <t>Crowdsourcing is one of the new emerging paradigms to exploit the notion of human-computation for harvesting and processing complex heterogenous data to produce insight and actionable knowledge. Crowdsourcing is task-oriented, and hence specification and management of not only tasks, but also workflows should play a critical role. Crowdsourcing research can still be considered in its infancy. Significant need is felt for crowdsourcing applications to be equipped with well defined task and workflow specifications ranging from simple human-intelligent tasks to more sophisticated and cooperative tasks to handle data and control-flow among these tasks. Addressing this need, we have attempted to devise a generic, flexible and extensible task specification and workflow management mechanism in crowdsourcing. We have contextualized this problem to linked data management as our domain of interest. More specifically, we develop CrowdLink, which utilizes an architecture for automated task specification, generation, publishing and reviewing to engage crowdworkers for verification and creation of triples in the Linked Open Data (LOD) cloud. The LOD incorporates various core data sets in the semantic web, yet is not in full conformance with the guidelines for publishing high quality linked data on the web. Our approach is not only useful in efficiently processing the LOD management tasks, it can also help in enriching and improving quality of mission-critical links in the LOD. We demonstrate usefulness of our approach through various link creation and verification tasks, and workflows using Amazon Mechanical Turk. Experimental evaluation demonstrates promising results not only in terms of ease of task generation, publishing and reviewing, but also in terms of accuracy of the links created, and verified by the crowdworkers. © 2014 World Scientific Publishing Company.</t>
  </si>
  <si>
    <t>Basharat A., Arpinar I.B., Dastgheib S., Kursuncu U., Kochut K., Dogdu E.</t>
  </si>
  <si>
    <t>International Journal of Semantic Computing</t>
  </si>
  <si>
    <t>https://www.scopus.com/inward/record.uri?eid=2-s2.0-84978974010&amp;doi=10.1142%2fS1793351X14400133&amp;partnerID=40&amp;md5=22dc295381ea595786586948d6538183</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</si>
  <si>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</si>
  <si>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</si>
  <si>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SemEval-2012 Task 6: A pilot on semantic textual similarity</t>
  </si>
  <si>
    <t>6603053697;14017606400;36834996500;57189661319;</t>
  </si>
  <si>
    <t>Semantic Textual Similarity (STS) measures the degree of semantic equivalence between two texts. This paper presents the results of the STS pilot task in Semeval. The training data contained 2000 sentence pairs from previously existing paraphrase datasets and machine translation evaluation resources. The test data also comprised 2000 sentences pairs for those datasets, plus two surprise datasets with 400 pairs from a different machine translation evaluation corpus and 750 pairs from a lexical resource mapping exercise. The similarity of pairs of sentences was rated on a 0-5 scale (low to high similarity) by human judges using Amazon Mechanical Turk, with high Pearson correlation scores, around 90%. 35 teams participated in the task, submitting 88 runs. The best results scored a Pearson correlation &gt;80%, well above a simple lexical baseline that only scored a 31% correlation. This pilot task opens an exciting way ahead, although there are still open issues, specially the evaluation metric. © 2012 Association for Computational Linguistics.</t>
  </si>
  <si>
    <t>Agirre E., Cer D., Diab M., Gonzalez-Agirre A.</t>
  </si>
  <si>
    <t>*SEM 2012 - 1st Joint Conference on Lexical and Computational Semantics</t>
  </si>
  <si>
    <t>https://www.scopus.com/inward/record.uri?eid=2-s2.0-84994136218&amp;partnerID=40&amp;md5=2bb74ef131a4c254f7d5792da977f740</t>
  </si>
  <si>
    <t>University of the Basque Country, Donostia Basque Country, 20018, Spain; Stanford University, Stanford, CA  94305, United States; Center for Computational Learning Systems, Columbia University, United States; University of the Basque Country, Donostia, Basque Country, 20018, Spain</t>
  </si>
  <si>
    <t>Agirre, E., University of the Basque Country, Donostia Basque Country, 20018, Spain; Cer, D., Stanford University, Stanford, CA  94305, United States; Diab, M., Center for Computational Learning Systems, Columbia University, United States; Gonzalez-Agirre, A., University of the Basque Country, Donostia, Basque Country, 20018, Spain</t>
  </si>
  <si>
    <t>SemEval-2013 task 2: Sentiment analysis in Twitter</t>
  </si>
  <si>
    <t>15043153900;8921219900;34880667100;56266449200;12446558000;55510852800;</t>
  </si>
  <si>
    <t>In recent years, sentiment analysis in social media has attracted a lot of research interest and has been used for a number of applications. Unfortunately, research has been hindered by the lack of suitable datasets, complicating the comparison between approaches. To address this issue, we have proposed SemEval-2013 Task 2: Sentiment Analysis in Twitter, which included two subtasks: A, an expression-level subtask, and B, a message-level subtask. We used crowdsourcing on Amazon Mechanical Turk to label a large Twitter training dataset along with additional test sets of Twitter and SMS messages for both subtasks. All datasets used in the evaluation are released to the research community. The task attracted significant interest and a total of 149 submissions from 44 teams. The best-performing team achieved an F1 of 88.9% and 69% for subtasks A and B, respectively. c 2013 Association for Computational Linguistics</t>
  </si>
  <si>
    <t>Nakov P., Kozareva Z., Ritter A., Rosenthal S., Stoyanov V., Wilson T.</t>
  </si>
  <si>
    <t>*SEM 2013 - 2nd Joint Conference on Lexical and Computational Semantics</t>
  </si>
  <si>
    <t>https://www.scopus.com/inward/record.uri?eid=2-s2.0-85035757758&amp;partnerID=40&amp;md5=edaa1176214b9ea1ff9d16c33166ba93</t>
  </si>
  <si>
    <t>QCRI, Qatar Foundation, Qatar; USC, Information Sciences Institute, United States; University of Washington, United States; Columbia University, United States; JHU HLTCOE, United States; JHU HLTCOE, United States</t>
  </si>
  <si>
    <t>Nakov, P., QCRI, Qatar Foundation, Qatar; Kozareva, Z., USC, Information Sciences Institute, United States; Ritter, A., University of Washington, United States; Rosenthal, S., Columbia University, United States; Stoyanov, V., JHU HLTCOE, United States; Wilson, T., JHU HLTCOE, United States</t>
  </si>
  <si>
    <t>SemEval-2013 task 4: Free paraphrases of noun compounds</t>
  </si>
  <si>
    <t>23091086500;15043153900;6701668280;8921219900;50562197900;15081595800;</t>
  </si>
  <si>
    <t>In this paper, we describe SemEval-2013 Task 4: the definition, the data, the evaluation and the results. The task is to capture some of the meaning of English noun compounds via paraphrasing. Given a two-word noun compound, the participating system is asked to produce an explicitly ranked list of its free-form paraphrases. The list is automatically compared and evaluated against a similarly ranked list of paraphrases proposed by human annotators, recruited and managed through Amazon’s Mechanical Turk. The comparison of raw paraphrases is sensitive to syntactic and morphological variation. The “gold” ranking is based on the relative popularity of paraphrases among annotators. To make the ranking more reliable, highly similar paraphrases are grouped, so as to downplay superficial differences in syntax and morphology. Three systems participated in the task. They all beat a simple baseline on one of the two evaluation measures, but not on both measures. This shows that the task is difficult. c 2013 Association for Computational Linguistics</t>
  </si>
  <si>
    <t>Hendrickx I., Nakov P., Szpakowicz S., Kozareva Z., Séaghdha D.Ó., Veale T.</t>
  </si>
  <si>
    <t>https://www.scopus.com/inward/record.uri?eid=2-s2.0-85040535595&amp;partnerID=40&amp;md5=1f19be8d36b934549b1e69b8341a27d3</t>
  </si>
  <si>
    <t>Radboud University Nijmegen, Universidade de Lisboa, Portugal; QCRI, Qatar Foundation, Qatar; University of Ottawa, Polish Academy of Sciences, Canada; University of Southern California, United States; University of Cambridge, United Kingdom; University College Dublin, Ireland</t>
  </si>
  <si>
    <t>Hendrickx, I., Radboud University Nijmegen, Universidade de Lisboa, Portugal; Nakov, P., QCRI, Qatar Foundation, Qatar; Szpakowicz, S., University of Ottawa, Polish Academy of Sciences, Canada; Kozareva, Z., University of Southern California, United States; Séaghdha, D.Ó., University of Cambridge, United Kingdom; Veale, T., University College Dublin, Ireland</t>
  </si>
  <si>
    <t>Sentence-level attachment prediction</t>
  </si>
  <si>
    <t>10.1007/978-3-642-13084-7_2</t>
  </si>
  <si>
    <t>36164985900;6603505459;7202091033;</t>
  </si>
  <si>
    <t>Attachment prediction is the task of automatically identifying email messages that should contain an attachment. This can be useful to tackle the problem of sending out emails but forgetting to include the relevant attachment (something that happens all too often). A common Information Retrieval (IR) approach in analyzing documents such as emails is to treat the entire document as a bag of words. Here we propose a finer-grained analysis to address the problem. We aim at identifying individual sentences within an email that refer to an attachment. If we detect any such sentence, we predict that the email should have an attachment. Using part of the Enron corpus for evaluation we find that our finer-grained approach outperforms previously reported document-level attachment prediction in similar evaluation settings. A second contribution this paper makes is to give another successful example of the 'wisdom of the crowd' when collecting annotations needed to train the attachment prediction algorithm. The aggregated non-expert judgements collected on Amazon's Mechanical Turk can be used as a substitute for much more costly expert judgements. © 2010 Springer-Verlag.</t>
  </si>
  <si>
    <t>Albakour M.-D., Kruschwitz U., Lucas S.</t>
  </si>
  <si>
    <t>https://www.scopus.com/inward/record.uri?eid=2-s2.0-77954440420&amp;doi=10.1007%2f978-3-642-13084-7_2&amp;partnerID=40&amp;md5=b4b7f90cc5bccdaa170842455a37d303</t>
  </si>
  <si>
    <t>School of Computer Science and Electronic Engineering, University of Essex, Wivenhoe Park, Colchester, CO4 3SQ, United Kingdom; Active Web Solutions Ltd., Broomvale Business Centre, Bramford Road, Ipswich, IP8 4JU, United Kingdom</t>
  </si>
  <si>
    <t>Albakour, M.-D., School of Computer Science and Electronic Engineering, University of Essex, Wivenhoe Park, Colchester, CO4 3SQ, United Kingdom, Active Web Solutions Ltd., Broomvale Business Centre, Bramford Road, Ipswich, IP8 4JU, United Kingdom; Kruschwitz, U., School of Computer Science and Electronic Engineering, University of Essex, Wivenhoe Park, Colchester, CO4 3SQ, United Kingdom; Lucas, S., School of Computer Science and Electronic Engineering, University of Essex, Wivenhoe Park, Colchester, CO4 3SQ, United Kingdom</t>
  </si>
  <si>
    <t>Albakour, M.-D.; School of Computer Science and Electronic Engineering, Wivenhoe Park, Colchester, CO4 3SQ, United Kingdom; email: malbak@essex.ac.uk</t>
  </si>
  <si>
    <t>Signs and apparatus in digital poetry: The example of Jean-Marie Dutey's le mange-texte</t>
  </si>
  <si>
    <t>10.1093/llc/fqs026</t>
  </si>
  <si>
    <t>35386207800;</t>
  </si>
  <si>
    <t>This essay proposes a methodology for the analysis of poetic digital works, based on the procedural model. This methodology is here applied to Jean-Marie Dutey's le mange-texte. The article will provide a reminder of the definition of some concepts and highlight the various effects on the work of the changes in technical contexts of execution. The program is also being studied in a rhetorical dimension. This paper demonstrates that a reading of the screen is not enough to reach all the aesthetic representations of the work and aims to complete it with an operation of meta-reading. We will then analyze the rhetorical level induced by the execution and show why the obsolescence of the work does not mean the death of the work. © The Author 2012. Published by Oxford University Press on behalf of ALLC. All rights reserved.</t>
  </si>
  <si>
    <t>Bootz P.</t>
  </si>
  <si>
    <t>Literary and Linguistic Computing</t>
  </si>
  <si>
    <t>https://www.scopus.com/inward/record.uri?eid=2-s2.0-84867135669&amp;doi=10.1093%2fllc%2ffqs026&amp;partnerID=40&amp;md5=9c988aa57e23565a0adaddf17a61b04f</t>
  </si>
  <si>
    <t>Laboratoire Paragraphe, 2 rue de la Liberté, 93526 Saint-Denis Cedex 02, France</t>
  </si>
  <si>
    <t>Bootz, P., Laboratoire Paragraphe, 2 rue de la Liberté, 93526 Saint-Denis Cedex 02, France</t>
  </si>
  <si>
    <t>Bootz, P.; Laboratoire Paragraphe, 2 rue de la Liberté, 93526 Saint-Denis Cedex 02, France; email: philippe.bootz@univ-paris8.fr</t>
  </si>
  <si>
    <t>Simulation experiments on (the absence of) ratings bias in reputation systems</t>
  </si>
  <si>
    <t>10.1145/3134736</t>
  </si>
  <si>
    <t>57188821780;55386812200;55456992200;35302036800;24824723600;6603886193;7003985614;</t>
  </si>
  <si>
    <t>As the gig economy continues to grow and freelance work moves online, five-star reputation systems are becoming more and more common. At the same time, there are increasing accounts of race and gender bias in evaluations of gig workers, with negative impacts for those workers. We report on a series of four Mechanical Turk-based studies in which participants who rated simulated gig work did not show race- or gender bias, while manipulation checks showed they reliably distinguished between low- and high-quality work. Given prior research, this was a striking result. To explore further, we used a Bayesian approach to verify absence of ratings bias (as opposed to merely not detecting bias). This Bayesian test let us identify an upperbound: if any bias did exist in our studies, it was below an average of 0.2 stars on a five-star scale. We discuss possible interpretations of our results and outline future work to better understand the results. © 2017 Association for Computing Machinery.</t>
  </si>
  <si>
    <t>Thebault-Spieker J., Kluver D., Klein M., Halfaker A., Hecht B., Terveen L., Konstan J.</t>
  </si>
  <si>
    <t>https://www.scopus.com/inward/record.uri?eid=2-s2.0-85066422244&amp;doi=10.1145%2f3134736&amp;partnerID=40&amp;md5=9b7042bcaf2570f692e82face2267dbd</t>
  </si>
  <si>
    <t>GroupLens Research, University of Minnesota, United States; Wikimedia Research, United States; Northwestern University, United States</t>
  </si>
  <si>
    <t>Thebault-Spieker, J., GroupLens Research, University of Minnesota, United States; Kluver, D., GroupLens Research, University of Minnesota, United States; Klein, M., GroupLens Research, University of Minnesota, United States; Halfaker, A., Wikimedia Research, United States; Hecht, B., Northwestern University, United States; Terveen, L., GroupLens Research, University of Minnesota, United States; Konstan, J., GroupLens Research, University of Minnesota, United States</t>
  </si>
  <si>
    <t>Simulation of consensus based approaches to mitigate the challenges in crowdsourcing</t>
  </si>
  <si>
    <t>16232325400;57119931700;55252606100;</t>
  </si>
  <si>
    <t>Crowdsourcing is an emerging area and has evolved as a powerful practice to leverage the collective intelligence of the crowd. It has been applied in various domains ranging from creative resolution of a problem to improving the business process using several platforms such as CrowdFlower, Freelancer and Amazon Mechanical Turk. Crowd is a creative workforce that has niche abilities to solve complex business challenges across various domains. It can be seen as an alternate workforce by participating in all phases of software development life cycle. However the common problem seen in crowdsourcing is the quality of the work performed by the crowd mostly due to the anonymity of the crowd member. In this work, we evaluated consensus based approach to assess the quality of the work done by the crowd through a simulation of crowd behavior. We also investigated the performance of these techniques for evaluating crowd members. © 2015 for the individual papers by the papers' authors.</t>
  </si>
  <si>
    <t>Kumar A., Shrikanth N.C., Dwarakanath A.</t>
  </si>
  <si>
    <t>https://www.scopus.com/inward/record.uri?eid=2-s2.0-84962544429&amp;partnerID=40&amp;md5=1f767cb3168a0bf15a1c70e87795b519</t>
  </si>
  <si>
    <t>IIIT Delhi, New Delhi, India; Accenture Technology Labs, Bangalore, India</t>
  </si>
  <si>
    <t>Kumar, A., IIIT Delhi, New Delhi, India; Shrikanth, N.C., Accenture Technology Labs, Bangalore, India; Dwarakanath, A., Accenture Technology Labs, Bangalore, India</t>
  </si>
  <si>
    <t>Sinners and Saints: The Role of Social Standing Evidence in Capital Sentencing</t>
  </si>
  <si>
    <t>10.1080/15564886.2016.1246394</t>
  </si>
  <si>
    <t>24071935500;35320977100;</t>
  </si>
  <si>
    <t>The authors’ purpose was to examine how the social standing of victims and defendants impacted capital sentencing decision making. Participants were 305 death-qualified community members recruited through Amazon’s Mechanical Turk workforce who acted as mock jurors in the sentencing phase of a capital trial. This experiment was a 3 Victim Impact Statement Social Standing (none, low, high) × 3 Execution Impact Evidence Social Standing (none, low, high) fully crossed, between-groups factorial design. Social standing of the victim did not directly or indirectly impact sentencing decisions, but the introduction of any form of execution impact evidence resulted in more positive evaluations of the defendant and fewer death sentences. These effects were moderated by pro-death penalty attitudes. Our findings have implications for how prosecutors and defense attorneys use character evidence to humanize victims and defendants. © 2016, © 2017 Taylor &amp; Francis Group, LLC.</t>
  </si>
  <si>
    <t>Tallon J.A., Daftary-Kapur T.</t>
  </si>
  <si>
    <t>Victims and Offenders</t>
  </si>
  <si>
    <t>https://www.scopus.com/inward/record.uri?eid=2-s2.0-84999666548&amp;doi=10.1080%2f15564886.2016.1246394&amp;partnerID=40&amp;md5=61552b2c7f8be6a2acd714cf3aa81c75</t>
  </si>
  <si>
    <t>Center for Court Innovation, New York, NY, United States; School of Criminal Justice, Political Science, and International Studies, Fairleigh Dickinson University, Teaneck, NJ, United States</t>
  </si>
  <si>
    <t>Tallon, J.A., Center for Court Innovation, New York, NY, United States; Daftary-Kapur, T., School of Criminal Justice, Political Science, and International Studies, Fairleigh Dickinson University, Teaneck, NJ, United States</t>
  </si>
  <si>
    <t>Tallon, J.A.; Center for Court Innovation, 520 8th Avenue, 18th Floor, United States; email: tallonj@courtinnovation.org</t>
  </si>
  <si>
    <t>Smart cities and digital workplace culture in the global European context: Amsterdam, London and Paris</t>
  </si>
  <si>
    <t>10.1016/j.ccs.2017.10.001</t>
  </si>
  <si>
    <t>57196411129;</t>
  </si>
  <si>
    <t>Until recently, knowledge-intensive work activities have predominantly taken place in office buildings as a specialized form of economic infrastructure. New digital technologies together with an economic and organizational transition from closed firms to open platforms has changed the pattern of work within the modern metropolis. The office building is no longer the sole workplace typology and work activity has intensified in other urban locations. The questions then are: “How might smart cities reinterpret workplace culture at the urban scale outside the framework of office buildings typology?” and “Which tools and methodologies can be used to make digital workplace culture visible at the urban scale?” In order to answer these questions, workplaces are observed not as private architectural spaces but as compositions of “subjective urban experiences”. A Twitter data analysis provides evidence of workplace spatial culture within the innovative global cities of Amsterdam, London and Paris, interpreted as behavior settings. This analysis shows that office pattern locations are generally distributed independently to knowledge intensive business services and workplace demand, as expressed through social media analyses. In addition to office buildings, transit hubs, urban amenities and new digital services play a key role in reframing workplace location. Moving beyond generic visions for digital work in outer spaces, big data therefore provides specific insights and incentives for considering workplace design at the urban scale. © 2017 Elsevier Ltd</t>
  </si>
  <si>
    <t>Vallicelli M.</t>
  </si>
  <si>
    <t>City, Culture and Society</t>
  </si>
  <si>
    <t>https://www.scopus.com/inward/record.uri?eid=2-s2.0-85032995001&amp;doi=10.1016%2fj.ccs.2017.10.001&amp;partnerID=40&amp;md5=bc83bb0d56deae4c53353d4c3a53a7c4</t>
  </si>
  <si>
    <t>Roma Tre University - Architecture Department, Largo G. Marzi 10, Roma, Italy</t>
  </si>
  <si>
    <t>Vallicelli, M., Roma Tre University - Architecture Department, Largo G. Marzi 10, Roma, Italy</t>
  </si>
  <si>
    <t>56593302500;6602789810;7401657472;6504105559;22982044800;</t>
  </si>
  <si>
    <t>Software ecosystems: Trends and impacts on software engineering</t>
  </si>
  <si>
    <t>10.1109/SBES.2012.24</t>
  </si>
  <si>
    <t>35145584800;7201754422;55515580700;24477033800;</t>
  </si>
  <si>
    <t>Economic and social issues are pointed out as Software Engineering (SE) challenges for the next years, since the field needs to treat issues beyond the technical side. These challenges require analyzing the field of SE from another perspective. In this sense, the study of software ecosystems (SECOs) is an emerging discipline that investigates the relationships among companies in the software industry. Companies work cooperatively and competitively in order to achieve their strategic objectives. They must engage in a new perspective, now also including third parties motivations and movements in the ecosystem, besides their own business viewpoint. Inspired on properties of natural and business ecosystems, SECO covers technical and business aspects of software development as well as partnership among companies. In this paper, we undertake a review on SECOs status as an emerging research topic in SE community. We map what is currently known about SECOs and also analyze them in a three-dimensional perspective in SE, i.e., technical, business and social. We observed that SECOs research is concentrated in eight main areas in which the most relevant ones are open source software, ecosystem modeling, and business issues. This paper also contributes to summarize the body of knowledge and presents a research agenda in SECOs. © 2012 IEEE.</t>
  </si>
  <si>
    <t>Santos R., Werner C., Barbosa O., Alves C.</t>
  </si>
  <si>
    <t>Proceedings - 2012 Brazilian Symposium on Software Engineering, SBES 2012</t>
  </si>
  <si>
    <t>https://www.scopus.com/inward/record.uri?eid=2-s2.0-84870783976&amp;doi=10.1109%2fSBES.2012.24&amp;partnerID=40&amp;md5=1c6423efd7e598525aa74a12e84d933c</t>
  </si>
  <si>
    <t>Computer Science and System Engineering Department, COPPE - Federal University of Rio de Janeiro, Rio de Janeiro, Brazil; Center of Informatics, CIn - Federal University of Pernambuco, Recife, Brazil</t>
  </si>
  <si>
    <t>Santos, R., Computer Science and System Engineering Department, COPPE - Federal University of Rio de Janeiro, Rio de Janeiro, Brazil; Werner, C., Computer Science and System Engineering Department, COPPE - Federal University of Rio de Janeiro, Rio de Janeiro, Brazil; Barbosa, O., Center of Informatics, CIn - Federal University of Pernambuco, Recife, Brazil; Alves, C., Center of Informatics, CIn - Federal University of Pernambuco, Recife, Brazil</t>
  </si>
  <si>
    <t>Santos, R.; Computer Science and System Engineering Department, , Rio de Janeiro, Brazil; email: rps@cos.ufrj.br</t>
  </si>
  <si>
    <t>Software quality management improvement through mentoring: An exploratory study from GSD projects</t>
  </si>
  <si>
    <t>10.1007/978-3-642-25126-9_29</t>
  </si>
  <si>
    <t>25653963200;16069494100;7201441575;57207533415;</t>
  </si>
  <si>
    <t>Software Quality Management (SQM) is a set of processes and procedures designed to assure the quality of software artifacts along with their development process. In an environment in which software development is evolving to a globalization, SQM is seen as one of its challenges. Global Software Development is a way to develop software across nations, continents, cultures and time zones. The aim of this paper is to detect if mentoring, one of the lead personnel development tools, can improve SQM of projects developed under GSD. The results obtained in the study reveal that the influence of mentoring on SQM is just temperate. © 2011 Springer-Verlag.</t>
  </si>
  <si>
    <t>Colomo-Palacios R., Soto-Acosta P., Mishra A., García-Crespo Á.</t>
  </si>
  <si>
    <t>https://www.scopus.com/inward/record.uri?eid=2-s2.0-81255163332&amp;doi=10.1007%2f978-3-642-25126-9_29&amp;partnerID=40&amp;md5=037d39831da59b6ffc99eae8f43aba87</t>
  </si>
  <si>
    <t>Computer Science Science Department, Universidad Carlos III de Madrid, Av. Universidad 30, Leganés, 28911, Madrid, Spain; Universidad de Murcia, Campus de Espinardo, 30100 Espinardo, Murcia, Spain; Department of Software Engineering, Atilim University, Incek, 06836, Ankara, Turkey</t>
  </si>
  <si>
    <t>Colomo-Palacios, R., Computer Science Science Department, Universidad Carlos III de Madrid, Av. Universidad 30, Leganés, 28911, Madrid, Spain; Soto-Acosta, P., Universidad de Murcia, Campus de Espinardo, 30100 Espinardo, Murcia, Spain; Mishra, A., Department of Software Engineering, Atilim University, Incek, 06836, Ankara, Turkey; García-Crespo, Á., Computer Science Science Department, Universidad Carlos III de Madrid, Av. Universidad 30, Leganés, 28911, Madrid, Spain</t>
  </si>
  <si>
    <t>Colomo-Palacios, R.; Computer Science Science Department, Av. Universidad 30, Leganés, 28911, Madrid, Spain; email: ricardo.colomo@uc3m.es</t>
  </si>
  <si>
    <t>SRbench - A benchmark for soundtrack recommendation systems</t>
  </si>
  <si>
    <t>10.1145/2505515.2505658</t>
  </si>
  <si>
    <t>48762185800;24832051100;</t>
  </si>
  <si>
    <t>In this work, a benchmark to evaluate the retrieval performance of soundtrack recommendation systems is proposed. Such systems aim at finding songs that are played as background music for a given set of images. The proposed benchmark is based on preference judgments, where relevance is considered a continuous ordinal variable and judgments are collected for pairs of songs with respect to a query (i.e., set of images). To capture a wide variety of songs and images, we use a large space of possible music genres, different emotions expressed through music, and various query-image themes. The benchmark consists of two types of relevance assessments: (i) judgments obtained from a user study, that serve as a "gold standard" for (ii) relevance judgments gathered through Amazon's Mechanical Turk. We report on the performance of two state-of-the-art soundtrack recommendation systems using the proposed benchmark. Copyright 2013 ACM.</t>
  </si>
  <si>
    <t>Stupar A., Michel S.</t>
  </si>
  <si>
    <t>https://www.scopus.com/inward/record.uri?eid=2-s2.0-84889575496&amp;doi=10.1145%2f2505515.2505658&amp;partnerID=40&amp;md5=4204bf11cb233e893673533242c19947</t>
  </si>
  <si>
    <t>Saarland University, Saarbrücken, Germany</t>
  </si>
  <si>
    <t>Stupar, A., Saarland University, Saarbrücken, Germany; Michel, S., Saarland University, Saarbrücken, Germany</t>
  </si>
  <si>
    <t>Stability of spin torque oscillators for MAMR: Perspectives of materials and design</t>
  </si>
  <si>
    <t>10.1109/APMRC.2018.8601055</t>
  </si>
  <si>
    <t>7402989483;55039205900;57207408483;57204677414;</t>
  </si>
  <si>
    <t>We live in a world with exponentially increased data volumes created by various things, which demands innovations on new technologies for data storage to meet the high data volume increasing. Currently, the main data storage technology is still magnetic recording, which needs to maintain a high density growth rate for exponentially increased data volume. The conventional ways to keep a high density growth rate is realized by scaling down both the grain size and the number of grains per bit. However this is limited by the superparamagnetic effect [1]. To solve this issue, the recording media should have increasingly higher anisotropy energy that in turn demands stronger head fields in order to write desired information into recording media. While the strongest writing field is limited by the available materials, being about 2.4 Tesla. New configurations of magnetic recording have to be implemented to enhance the write-ability. Heat-Assisted Magnetic Recording (HAMR) and Microwave Assisted Magnetic Recording (MAMR) are the two main technologies that were put forward to enhance the write-ability [2], [3]. At this moment, HAMR is mainly pursued by Seagate Technology, while Western Digital works on MAMR. It is believe that the MAMR has similar recording potential as HAMR. Furthermore, MAMR consumes less energy (no or negligible heating), and is easier to integrate with the current recording system with slightly modifications on the head [4], [5]. The centre part of MAMR is the use of spin torque oscillator (STO) for the generation of localized ac magnetic field in the microwave frequency regime of 20-40 GHz for effectively assisted writing on high anisotropy recording media [6]. Therefore the development of STO is one of the key enabling technologies that take MAMR drives to the market. However, the close proximity of STO to the writing head, together with ultralow flying height of 2-3 nm, puts STO in a very complex magnetic environment, which inevitably disturbs the STO behavior, leading to its instability. This is one of the key concerns for MAMR to take off. In this paper, we will present the materials selection, layer stack and geometry optimization for STO to enhance its stability against stray field for microwave assisted magnetic recording. Our recent experimental work on STO materials will be presented as well. © 2018 IEEE.</t>
  </si>
  <si>
    <t>Zhou T., Yu C., Luo Y., Qian Z.</t>
  </si>
  <si>
    <t>2018 Asia-Pacific Magnetic Recording Conference, APMRC 2018</t>
  </si>
  <si>
    <t>https://www.scopus.com/inward/record.uri?eid=2-s2.0-85061842697&amp;doi=10.1109%2fAPMRC.2018.8601055&amp;partnerID=40&amp;md5=4423c7283501368f28b240f773d2d54b</t>
  </si>
  <si>
    <t>College of Information Engineering, Hangzhou Dianzi University, Hangzhou, 310018, China</t>
  </si>
  <si>
    <t>Zhou, T., College of Information Engineering, Hangzhou Dianzi University, Hangzhou, 310018, China; Yu, C., College of Information Engineering, Hangzhou Dianzi University, Hangzhou, 310018, China; Luo, Y., College of Information Engineering, Hangzhou Dianzi University, Hangzhou, 310018, China; Qian, Z., College of Information Engineering, Hangzhou Dianzi University, Hangzhou, 310018, China</t>
  </si>
  <si>
    <t>Stigmatization of opioid addiction based on prescription, sex and age</t>
  </si>
  <si>
    <t>10.1016/j.addbeh.2020.106469</t>
  </si>
  <si>
    <t>57216851512;6505902304;</t>
  </si>
  <si>
    <t>With opioid abuse becoming a nationwide epidemic, it is important to understand what is contributing to societal views of opioid dependence. Difference in stigmatization of drug users may exist between sexes, ages and type of drugs being used. Social perceptions may impact drug use and recovery. To assess which opioid users are stigmatized most, we administered an experimenter-created vignette that experimentally manipulated the type of opioid (Prescribed Vicodin vs. Non-prescribed Vicodin vs. heroin) as well as the sex of the opioid user (Male vs. Female) and the age of the user (23 years-old vs. 53 years-old) to 4300 people on Amazon's Mechanical Turk (a survey hosting website). Participants were told in a vignette that the target person they were reviewing was “addicted”. Results confirmed that the stigmatization of drug use is dependent on a series of items, including type of opioid, as well as the age and sex of the participant. Specifically, prescribed opioids were least stigmatized, while heroin was most stigmatized. Also, there was a significant difference between heroin, non-prescribed Vicodin and prescribed Vicodin use and whether or not participants stigmatized the opioid user as an “addict”. More specifically, participants were more likely to identify heroin and non-prescribed Vicodin users as having an opioid addiction. Lastly, young male opioid users were stigmatized more than any other group. Results are discussed. © 2020 Elsevier Ltd</t>
  </si>
  <si>
    <t>Weeks C., Stenstrom D.M.</t>
  </si>
  <si>
    <t>https://www.scopus.com/inward/record.uri?eid=2-s2.0-85085046404&amp;doi=10.1016%2fj.addbeh.2020.106469&amp;partnerID=40&amp;md5=011afbb4c8c86c81d94ca2348b93a2a2</t>
  </si>
  <si>
    <t>California State University Los Angeles, 5151 State University Dr., Los Angeles, CA  90032, United States</t>
  </si>
  <si>
    <t>Weeks, C., California State University Los Angeles, 5151 State University Dr., Los Angeles, CA  90032, United States; Stenstrom, D.M., California State University Los Angeles, 5151 State University Dr., Los Angeles, CA  90032, United States</t>
  </si>
  <si>
    <t>Weeks, C.222 Walnut St Apt 5, United States; email: weeksc2@montclair.edu</t>
  </si>
  <si>
    <t>Students as partners and students as mentors: An educational model for quality assurance in global software development</t>
  </si>
  <si>
    <t>10.1007/978-3-642-01856-5_7</t>
  </si>
  <si>
    <t>Since 2005, Pace University in New York City has been collaborating with the Institute of Technology of Cambodia and the University of Delhi in India to bring students together to work on globally distributed software development projects. Over this period, we have been exploring models through which graduates and undergraduates from the three countries can work together, with pedagogical value to all sides. In 2007, we converged on using Software Quality Assurance as a focal point around which to establish a partnering and mentoring relationship. We included seven graduate students, as internal mentors and external auditors, to help assure the quality of what was to be a single distributed project involving twenty-seven students from across the three global locations. To focus further on quality, requirements and testing activities were emphasized. The motivation, logistics and experiences from this project are reported in this paper, and lessons of wider applicability are provided. © 2009 Springer-Verlag Berlin Heidelberg.</t>
  </si>
  <si>
    <t>https://www.scopus.com/inward/record.uri?eid=2-s2.0-84876220555&amp;doi=10.1007%2f978-3-642-01856-5_7&amp;partnerID=40&amp;md5=f1f607dd291fefa9210438f25c9d9ff8</t>
  </si>
  <si>
    <t>Pace University, Seidenberg School of Computer Science and Information Systems, New York, NY, United States; University of Delhi, Computer Science Department, Delhi, India; Institute of Technology of Cambodia, Computer Science Department, Phnom Penh, Cambodia</t>
  </si>
  <si>
    <t>Gotel, O., Pace University, Seidenberg School of Computer Science and Information Systems, New York, NY, United States; Kulkarni, V., University of Delhi, Computer Science Department, Delhi, India; Scharff, C., Pace University, Seidenberg School of Computer Science and Information Systems, New York, NY, United States; Neak, L., Institute of Technology of Cambodia, Computer Science Department, Phnom Penh, Cambodia</t>
  </si>
  <si>
    <t>Gotel, O.; Pace University, Seidenberg School of Computer Science and Information Systems, New York, NY, United States; email: ogotel@pace.edu</t>
  </si>
  <si>
    <t>Supervised topical key phrase extraction of news stories using crowdsourcing, light filtering and co-reference normalization</t>
  </si>
  <si>
    <t>55038529400;56279059600;35609950300;7006610694;35608543000;</t>
  </si>
  <si>
    <t>Fast and effective automated indexing is critical for search and personalized services. Key phrases that consist of one or more words and represent the main concepts of the document are often used for the purpose of indexing. In this paper, we investigate the use of additional semantic features and pre-processing steps to improve automatic key phrase extraction. These features include the use of signal words and freebase categories. Some of these features lead to significant improvements in the accuracy of the results. We also experimented with 2 forms of document pre-processing that we call light filtering and co-reference normalization. Light filtering removes sentences from the document, which are judged peripheral to its main content. Co-reference normalization unifies several written forms of the same named entity into a unique form. We also needed a "Gold Standard" - a set of labeled documents for training and evaluation. While the subjective nature of key phrase selection precludes a true "Gold Standard", we used Amazon's Mechanical Turk service to obtain a useful approximation. Our data indicates that the biggest improvements in performance were due to shallow semantic features, news categories, and rhetorical signals (nDCG 78.47% vs. 68.93%). The inclusion of deeper semantic features such as Freebase sub-categories was not beneficial by itself, but in combination with pre-processing, did cause slight improvements in the nDCG scores.</t>
  </si>
  <si>
    <t>Marujo L., Gershman A., Carbonell J., Frederking R., Neto J.P.</t>
  </si>
  <si>
    <t>https://www.scopus.com/inward/record.uri?eid=2-s2.0-84921529660&amp;partnerID=40&amp;md5=a2a17ef607d0a6c5cf22d289077df682</t>
  </si>
  <si>
    <t>LTI/CMU, United States; INESC-IST, Portugal</t>
  </si>
  <si>
    <t>Marujo, L., LTI/CMU, United States, INESC-IST, Portugal; Gershman, A., LTI/CMU, United States; Carbonell, J., LTI/CMU, United States; Frederking, R., LTI/CMU, United States; Neto, J.P., INESC-IST, Portugal</t>
  </si>
  <si>
    <t>Supplementary laboratory in digital circuit and logic design course for pre-service vocational teacher in Thailand</t>
  </si>
  <si>
    <t>10.1109/EduCon.2013.6530169</t>
  </si>
  <si>
    <t>8237386300;</t>
  </si>
  <si>
    <t>This paper provides an evaluation of a teaching method using a supplementary laboratory, that utilizes 3 types of laboratory setups to increase the understanding and hands-on skill in a digital circuit and logic design class for pre-service vocational teacher in Thailand. The laboratories include building a digital circuit using logic blocks, doing a computer simulation, and using a programmable logic device (PLD). The effectiveness of the teaching method is evaluated based on students' feedbacks, backgrounds, opinions, and scores. The tools, used in this research, are a set of lab sheets, a computer simulation program called 'Digital Works', and a portable equipment box. After two consecutive years of teaching and using the supplementary laboratory in the digital circuit and logic design class, the students have the same opinions that the laboratory helps them to understand the theories, they will be able to apply the knowledge to the related advance courses, and they agree that all 3 parts of the laboratory are necessary and encourage them to have more hands-on skill. In addition, students' scores show that the students have better grades in average by using the supplementary laboratory. © 2013 IEEE.</t>
  </si>
  <si>
    <t>Chayratsami P.</t>
  </si>
  <si>
    <t>https://www.scopus.com/inward/record.uri?eid=2-s2.0-84881007574&amp;doi=10.1109%2fEduCon.2013.6530169&amp;partnerID=40&amp;md5=94395254cfca959edd270386291a115f</t>
  </si>
  <si>
    <t>Department of Engineering Education, Faculty of Industrial Education, King Mongkut Institute of Technology Ladkrabang, Bangkok, 10520, Thailand</t>
  </si>
  <si>
    <t>Chayratsami, P., Department of Engineering Education, Faculty of Industrial Education, King Mongkut Institute of Technology Ladkrabang, Bangkok, 10520, Thailand</t>
  </si>
  <si>
    <t>Chayratsami, P.; Department of Engineering Education, , Bangkok, 10520, Thailand; email: kcpornpi@kmitl.ac.th</t>
  </si>
  <si>
    <t>Surgical Scar Location Preference for Pediatric Kidney and Pelvic Surgery: A Crowdsourced Survey</t>
  </si>
  <si>
    <t>10.1016/j.juro.2016.11.033</t>
  </si>
  <si>
    <t>36186806300;56814618100;17835427900;6602612085;56567536300;7103318936;</t>
  </si>
  <si>
    <t>Purpose The benefits of minimally invasive surgery in pediatric urology, such as reduced length of hospital stay and postoperative pain, are less predictable compared to findings in the adult literature. We evaluated the choices that adult patients make for themselves and their children regarding scar location. Materials and Methods We surveyed the preference for scar location/size based on surgery for bladder and kidney procedures with additional questions assessing the impact of a hidden incision, length of hospital stay and pain. The survey was posted to Amazon® Mechanical Turk®. Results We analyzed a total of 954 completed surveys. Surgical history was reported in 660 surveys (69%) with scar bother reported in 357 (54.2%). For pelvic surgery the initial choice was a Pfannenstiel incision for 434 respondents (45.5%), laparoscopy port incisions for 392 (41.1%) and no preference for incision location for 126 (13.2%). When incisions were illustrated relative to undergarments, 718 respondents (75.3%) chose Pfannenstiel. For kidney surgery 567 respondents (59.4%) initially chose the dorsal lumbotomy incision, 170 (17.8%) chose a flank incision, 105 (11.0%) chose laparoscopy ports and 110 (11.5%) had no preference. Respondents were told that minimally invasive surgery might result in less pain/length of hospital stay and were asked to restate the incision choice. For pelvic surgery 232 of 434 respondents (53.5%) who had chosen Pfannenstiel and 282 of 394 (71.6%) who had chosen laparoscopy remained consistent (p &lt;0.001). For kidney surgery 96 respondents (56.5%) who chose a flank incision, 322 (56.8%) who chose dorsal lumbotomy and 68 (64.2%) who chose laparoscopy remained consistent (p = 0.349). Agreement between the incision choice by respondent as a child and for a child was 82% (κ = 0.69) for pelvic surgery and 84.6% (κ = 0.75) for kidney surgery. Conclusions The smallest incision is not always the patient preferred incision, particularly in childhood when pain, length of hospital stay and blood loss may be equivocal among approaches. Discussion of surgical treatment options should include scar length, location and relationship to undergarments. © 2017 American Urological Association Education and Research, Inc.</t>
  </si>
  <si>
    <t>Garcia-Roig M.L., Travers C., McCracken C., Cerwinka W., Kirsch J.M., Kirsch A.J.</t>
  </si>
  <si>
    <t>Journal of Urology</t>
  </si>
  <si>
    <t>https://www.scopus.com/inward/record.uri?eid=2-s2.0-85010297115&amp;doi=10.1016%2fj.juro.2016.11.033&amp;partnerID=40&amp;md5=795738d7f57355e1ef432bd578a80672</t>
  </si>
  <si>
    <t>Department of Pediatric Urology, Emory University and Children's Healthcare of Atlanta and Biostatistics Core, Atlanta, Georgia; Department of Pediatrics, Emory University, Atlanta, Georgia</t>
  </si>
  <si>
    <t>Garcia-Roig, M.L., Department of Pediatric Urology, Emory University and Children's Healthcare of Atlanta and Biostatistics Core, Atlanta, Georgia, Department of Pediatrics, Emory University, Atlanta, Georgia; Travers, C., Department of Pediatric Urology, Emory University and Children's Healthcare of Atlanta and Biostatistics Core, Atlanta, Georgia, Department of Pediatrics, Emory University, Atlanta, Georgia; McCracken, C., Department of Pediatric Urology, Emory University and Children's Healthcare of Atlanta and Biostatistics Core, Atlanta, Georgia, Department of Pediatrics, Emory University, Atlanta, Georgia; Cerwinka, W., Department of Pediatric Urology, Emory University and Children's Healthcare of Atlanta and Biostatistics Core, Atlanta, Georgia, Department of Pediatrics, Emory University, Atlanta, Georgia; Kirsch, J.M., Department of Pediatric Urology, Emory University and Children's Healthcare of Atlanta and Biostatistics Core, Atlanta, Georgia, Department of Pediatrics, Emory University, Atlanta, Georgia; Kirsch, A.J., Department of Pediatric Urology, Emory University and Children's Healthcare of Atlanta and Biostatistics Core, Atlanta, Georgia, Department of Pediatrics, Emory University, Atlanta, Georgia</t>
  </si>
  <si>
    <t>Kirsch, A.J.; Department of Pediatric Urology, 5730 Glen Ridge Dr., Suite 200, Georgia; email: akirschmd@gmail.com</t>
  </si>
  <si>
    <t>SURVEYMAN: Programming and automatically debugging surveys</t>
  </si>
  <si>
    <t>10.1145/2660193.2660206</t>
  </si>
  <si>
    <t>50761375100;7202374093;</t>
  </si>
  <si>
    <t>Surveys can be viewed as programs, complete with logic, control flow, and bugs. Word choice or the order in which questions are asked can unintentionally bias responses. Vague, confusing, or intrusive questions can cause respondents to abandon a survey. Surveys can also have runtime errors: inattentive respondents can taint results. This effect is especially problematic when deploying surveys in uncontrolled settings, such as on the web or via crowdsourcing platforms. Because the results of surveys drive business decisions and inform scientific conclusions, it is crucial to make sure they are correct. We present SURVEYMAN, a system for designing, deploying, and automatically debugging surveys. Survey authors write their surveys in a lightweight domain-specific language aimed at end users. SURVEYMAN statically analyzes the survey to provide feedback to survey authors before deployment. It then compiles the survey into JavaScript and deploys it either to the web or a crowdsourcing platform. SURVEYMAN's dynamic analyses automatically find survey bugs, and control for the quality of responses. We evaluate SURVEYMAN's algorithms analytically and empirically, demonstrating its effectiveness with case studies of social science surveys conducted via Amazon's Mechanical Turk. Copyright 2014 ACM.</t>
  </si>
  <si>
    <t>Tosch E., Berger E.D.</t>
  </si>
  <si>
    <t>https://www.scopus.com/inward/record.uri?eid=2-s2.0-84920852603&amp;doi=10.1145%2f2660193.2660206&amp;partnerID=40&amp;md5=74166d94ef2479177d0a76b2d04bfa7d</t>
  </si>
  <si>
    <t>School of Computer Science, University of Massachusetts, Amherst, Amherst, MA  01003, United States</t>
  </si>
  <si>
    <t>Tosch, E., School of Computer Science, University of Massachusetts, Amherst, Amherst, MA  01003, United States; Berger, E.D., School of Computer Science, University of Massachusetts, Amherst, Amherst, MA  01003, United States</t>
  </si>
  <si>
    <t>Swiping me off my feet: Explicating relationship initiation on Tinder</t>
  </si>
  <si>
    <t>10.1177/0265407517706419</t>
  </si>
  <si>
    <t>55391420500;</t>
  </si>
  <si>
    <t>Tinder, a mobile dating application (app), facilitates the initiation of new, potentially romantic relationships and promotes itself as a social discovery platform dominating the U.S. with 1.4 billion swipes per day. This exploratory study investigates how people engage in relationship initiation behaviors through Tinder and highlights how interpersonal relationship initiation, selection processes, and strategic pre-interaction behaviors are evolving through contemporary-mediated dating culture. Participants (N = 395) were recruited from Amazon’s Mechanical Turk to complete an online survey about their Tinder usage. The study employed descriptive statistics and thematic analysis to analyze reasons for selecting and deleting Tinder, pre-interaction processes, swiping strategies, and Tinder hookup culture. The prevalent view that Tinder is a sex, or hookup app, remains salient among users; although, many users utilize Tinder for creating other interpersonal communication connections and relationships, both romantic and platonic. Initially, Tinder users gather information to identify their preferences. Their strategies show clear implications for explicating the relationship development model and associated information pursuing strategies. Overall, this study argues that new emergent technologies are changing how interpersonal relationship initiation functions; the traditional face-to-face relationship development models and initiation conceptualizations should be modified to include the introduction of the pre-interaction processes apparent in mobile dating applications such as Tinder. © The Author(s) 2017.</t>
  </si>
  <si>
    <t>LeFebvre L.E.</t>
  </si>
  <si>
    <t>https://www.scopus.com/inward/record.uri?eid=2-s2.0-85051559291&amp;doi=10.1177%2f0265407517706419&amp;partnerID=40&amp;md5=7ddf3250af8cea67f5b515014578aa86</t>
  </si>
  <si>
    <t>University of Wyoming, United States</t>
  </si>
  <si>
    <t>LeFebvre, L.E., University of Wyoming, United States</t>
  </si>
  <si>
    <t>LeFebvre, L.E.; Department of Communication and Journalism, 1000 E. University Avenue, Dept. 3904, United States; email: leahlefebvre@gmail.com</t>
  </si>
  <si>
    <t>Systematic Comparison of Professional and Crowdsourced Reference Translations for Machine Translation</t>
  </si>
  <si>
    <t>6507259855;55329400800;6507112233;7404170783;7007128199;</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</si>
  <si>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 © 2013 Association for Computational Linguistics</t>
  </si>
  <si>
    <t>Zbib R., Markiewicz G., Matsoukas S., Schwartz R., Makhoul J.</t>
  </si>
  <si>
    <t>Proceedings of the 2nd Workshop on Computational Linguistics for Literature, CLfL 2013 at the 2013 Conference of the North American Chapter of the Association for Computational Linguistics: Human Language Technologies, NAACL-HLT 2013</t>
  </si>
  <si>
    <t>https://www.scopus.com/inward/record.uri?eid=2-s2.0-85121699871&amp;partnerID=40&amp;md5=f123b8e0f3ac94ec858d0eaf4cc30b0f</t>
  </si>
  <si>
    <t>Raytheon BBN Technologies, Cambridge, MA  02138, United States</t>
  </si>
  <si>
    <t>Zbib, R., Raytheon BBN Technologies, Cambridge, MA  02138, United States; Markiewicz, G., Raytheon BBN Technologies, Cambridge, MA  02138, United States; Matsoukas, S., Raytheon BBN Technologies, Cambridge, MA  02138, United States; Schwartz, R., Raytheon BBN Technologies, Cambridge, MA  02138, United States; Makhoul, J., Raytheon BBN Technologies, Cambridge, MA  02138, United States</t>
  </si>
  <si>
    <t>Taking rejection personally: An ethical analysis of work rejection on Amazon Mechanical Turk</t>
  </si>
  <si>
    <t>7103106016;7102419445;6507980548;</t>
  </si>
  <si>
    <t>Amazon Mechanical Turk (AMT) is a popular microtasking platform connecting those who need work done with those willing to do it. However AMT has come under increasing scrutiny for the way workers are treated on its platform. This paper examines one particular component of AMT's microtasking process by conducting a formal ethical analysis, using Tavani's Comprehensive Cyberethics Methodology, on the way work submitted for evaluation is assessed and either accepted or rejected. The study finds that the system is skewed in favour of those evaluating the work, with little recourse for workers, and an apparent disinterest from AMT. This paper contributes to the continuing debate over the governance of, and responsibilities for, those engaged in digital work through such platforms. © 26th European Conference on Information Systems: Beyond Digitization - Facets of Socio-Technical Change, ECIS 2018. All Rights Reserved.</t>
  </si>
  <si>
    <t>Johnstone D., Tate M., Fielt E.</t>
  </si>
  <si>
    <t>26th European Conference on Information Systems: Beyond Digitization - Facets of Socio-Technical Change, ECIS 2018</t>
  </si>
  <si>
    <t>https://www.scopus.com/inward/record.uri?eid=2-s2.0-85061317834&amp;partnerID=40&amp;md5=984448dc77e1d6521aa552bb2731ce2a</t>
  </si>
  <si>
    <t>Victoria University of Wellington, New Zealand; Queensland University of Technology, Australia</t>
  </si>
  <si>
    <t>Johnstone, D., Victoria University of Wellington, New Zealand; Tate, M., Queensland University of Technology, Australia; Fielt, E., Queensland University of Technology, Australia</t>
  </si>
  <si>
    <t>TAMRI: A tool for supporting task distribution in global software development projects</t>
  </si>
  <si>
    <t>10.1109/ICGSE.2009.50</t>
  </si>
  <si>
    <t>6505467826;7102005186;</t>
  </si>
  <si>
    <t>The distribution of tasks to sites is one central activity in global software development project planning. Due to the large number of assignment possibilities, tool support seems to be adequate for supporting the evaluation and selection of task assignments. We present TAMRI, a planning tool for identifying task assignments based on multiple criteria and weighted project goals. Its implementation combines a distributed systems approach with Bayesian networks. The tool can be adapted to specific organizational environments by exchanging the underlying Bayesian network. The article presents an overview of task distribution approaches, gives three application scenarios for the tool, and shows the implementation of the tool as well as its application in the scenarios. © 2009 IEEE.</t>
  </si>
  <si>
    <t>Lamersdorf A., Münch J.</t>
  </si>
  <si>
    <t>https://www.scopus.com/inward/record.uri?eid=2-s2.0-71049118205&amp;doi=10.1109%2fICGSE.2009.50&amp;partnerID=40&amp;md5=7304901e56872dae5a52613ddb497f12</t>
  </si>
  <si>
    <t>University of Kaiserslautern, Germany; Fraunhofer IESE, Germany</t>
  </si>
  <si>
    <t>Lamersdorf, A., University of Kaiserslautern, Germany; Münch, J., Fraunhofer IESE, Germany</t>
  </si>
  <si>
    <t>Lamersdorf, A.; University of KaiserslauternGermany; email: a_lamers@informatik.uni-kl.de</t>
  </si>
  <si>
    <t>Targeting our blind spot: A metacognitive intervention ameliorates negative feelings, evaluations, and stereotypes towards conservatives in a liberal sample</t>
  </si>
  <si>
    <t>10.5964/jspp.v8i2.1227</t>
  </si>
  <si>
    <t>57190848766;56057621900;57218871038;57196168469;7005488974;</t>
  </si>
  <si>
    <t>Political polarization between conservatives and liberals threatens democratic societies. Ameliorating liberal research participants’ negative feelings, evaluations, and stereotypes towards conservatives might be one step into the direction of a political depolarization. In a sample of U.S.-American liberal research participants recruited via Amazon’s Mechanical Turk (N = 271), we randomly assigned participants in a pre-post-design either to a clinical-psychological, metacognitive-intervention (MCT), an educational, or a no-treatment-no-pre-measurement-control-condition. In the MCT-condition, participants were first asked seemingly simple questions that frequently elicited incorrect responses, followed by corrective information. In the educational condition, information was conveyed in a simple narrative form. MCT was significantly more effective in ameliorating liberal participants’ negative feelings, evaluations, and stereotypes towards conservatives compared to the other two control-conditions. Further, MCT-participants significantly reduced their negative feelings, negative evaluations, and perceptions of threat from pre-to post-measurement, significantly more than participants in the educational condition. The results of our preliminary study and its implications are discussed, and recommendations for further research are made. © 2020, PsychOpen. All rights reserved.</t>
  </si>
  <si>
    <t>Reininger K.M., Krott N.R., Hoenisch M., Scheunemann J., Moritz S.</t>
  </si>
  <si>
    <t>Journal of Social and Political Psychology</t>
  </si>
  <si>
    <t>https://www.scopus.com/inward/record.uri?eid=2-s2.0-85090532019&amp;doi=10.5964%2fjspp.v8i2.1227&amp;partnerID=40&amp;md5=5da2fa03525518d889d319540601a5ed</t>
  </si>
  <si>
    <t>Department of Psychiatry and Psychotherapy, University Medical Center Hamburg-Eppendorf, Hamburg, Germany; Tolerance Research Unit Kiel, Department of Social and Political Psychology, Institute of Psychology, Kiel University, Kiel, Germany; Institute for Interdisciplinary Research on Conflict and Violence, University of Bielefeld, Bielefeld, Germany</t>
  </si>
  <si>
    <t>Reininger, K.M., Department of Psychiatry and Psychotherapy, University Medical Center Hamburg-Eppendorf, Hamburg, Germany, Tolerance Research Unit Kiel, Department of Social and Political Psychology, Institute of Psychology, Kiel University, Kiel, Germany; Krott, N.R., Institute for Interdisciplinary Research on Conflict and Violence, University of Bielefeld, Bielefeld, Germany; Hoenisch, M., Tolerance Research Unit Kiel, Department of Social and Political Psychology, Institute of Psychology, Kiel University, Kiel, Germany; Scheunemann, J., Department of Psychiatry and Psychotherapy, University Medical Center Hamburg-Eppendorf, Hamburg, Germany; Moritz, S., Department of Psychiatry and Psychotherapy, University Medical Center Hamburg-Eppendorf, Hamburg, Germany</t>
  </si>
  <si>
    <t>Reininger, K.M.; Department of Psychiatry and Psychotherapy, Germany; email: m.reininger@uke.uni-hamburg.de</t>
  </si>
  <si>
    <t>Task search in a human computation market</t>
  </si>
  <si>
    <t>10.1145/1837885.1837889</t>
  </si>
  <si>
    <t>35174165400;57216196948;36175909200;36456834700;</t>
  </si>
  <si>
    <t>In order to understand how a labor market for human computation functions, it is important to know how workers search for tasks. This paper uses two complementary methods to gain insight into how workers search for tasks on Mechanical Turk. First, we perform a high frequency scrape of 36 pages of search results and analyze it by looking at the rate of disappearance of tasks across key ways Mechanical Turk allows workers to sort tasks. Second, we present the results of a survey in which we paid workers for self-reported information about how they search for tasks. Our main findings are that on a large scale, workers sort by which tasks are most recently posted and which have the largest number of tasks available. Furthermore, we find that workers look mostly at the first page of the most recently posted tasks and the first two pages of the tasks with the most available instances but in both categories the position on the result page is unimportant to workers. We observe that at least some employers try to manipulate the position of their task in the search results to exploit the tendency to search for recently posted tasks. On an individual level, we observed workers searching by almost all the possible categories and looking more than 10 pages deep. For a task we posted to Mechanical Turk, we confirmed that a favorable position in the search results do matter: our task with favorable positioning was completed 30 times faster and for less money than when its position was unfavorable. © 2010 ACM.</t>
  </si>
  <si>
    <t>Chilton L.B., Miller R.C., Horton J.J., Azenkot S.</t>
  </si>
  <si>
    <t>Workshop Proceedings - Human Computation Workshop 2010, HCOMP2010</t>
  </si>
  <si>
    <t>https://www.scopus.com/inward/record.uri?eid=2-s2.0-77956240720&amp;doi=10.1145%2f1837885.1837889&amp;partnerID=40&amp;md5=1617c498a90094e2734c3eb041077bce</t>
  </si>
  <si>
    <t>University of Washington, United States; MIT CSAIL, United States; Harvard University, United States</t>
  </si>
  <si>
    <t>Chilton, L.B., University of Washington, United States; Miller, R.C., MIT CSAIL, United States; Horton, J.J., Harvard University, United States; Azenkot, S., University of Washington, United States</t>
  </si>
  <si>
    <t>Chilton, L. B.; University of WashingtonUnited States; email: hmslydia@cs.washington.edu</t>
  </si>
  <si>
    <t>Temperament in the prediction of proximal versus distal expectancies: An acquired preparedness model</t>
  </si>
  <si>
    <t>10.1037/pha0000283</t>
  </si>
  <si>
    <t>56710917600;7202348653;6506516936;7202855463;</t>
  </si>
  <si>
    <t>In the acquired preparedness model of risk, alcohol expectancies mediate the association between personality and alcohol problems. In the current study, we tested the associations between temperament (i.e., effortful control and reactivity) and temperament-congruent expectancies of distal and proximal effects. It was hypothesized that effortful control would be inversely associated with drinking and problems and that these effects would be mediated through consequence expectancies. Alternatively, it was hypothesized that reactivity would be positively associated with drinking and problems and that these effects would be mediated by expectancies of immediate stimulation and attenuated sedation. This article presents data from a multiple group analyses with 483 young adults (76% female) from a university in the Midwest (n = 209) and Amazon's Mechanical Turk (n = 274). The hypotheses were partially supported. Reactivity was associated with expectancies of stimulation, which were associated with increased weekly drinking and problems. Reactivity was associated with increased weekly drinking and problems and this association was partially indirect through stimulating expectancies. Reactivity did not significantly predict sedating expectancies. The indirect effects from effortful control through consequence expectancies were not significant. There were curvilinear effects from consequence expectancies to drinking and problems. Specifically, the effect from consequence expectancies to drinking and problems was positive at low levels of expectancies, but became negative and significant at mean levels and above. Results of the invariance testing indicated that the model manifested similarly across university and MTurk respondents. These implications are discussed. © 2019 American Psychological Association.</t>
  </si>
  <si>
    <t>Marks R.M., Simons J.S., Simons R.M., Freeman H.</t>
  </si>
  <si>
    <t>https://www.scopus.com/inward/record.uri?eid=2-s2.0-85064533576&amp;doi=10.1037%2fpha0000283&amp;partnerID=40&amp;md5=a3368405e459be65f810eee407e93767</t>
  </si>
  <si>
    <t>Department of Psychology, University of South Dakota, Vermillion, SD, United States; Department of Counseling and Psychology in Education, University of South Dakota, Vermillion, SD, United States</t>
  </si>
  <si>
    <t>Marks, R.M., Department of Psychology, University of South Dakota, Vermillion, SD, United States; Simons, J.S., Department of Psychology, University of South Dakota, Vermillion, SD, United States; Simons, R.M., Department of Psychology, University of South Dakota, Vermillion, SD, United States; Freeman, H., Department of Counseling and Psychology in Education, University of South Dakota, Vermillion, SD, United States</t>
  </si>
  <si>
    <t>Marks, R.M.; Department of Psychology, 440 East Clark Street, United States; email: Russ.Marks@coyotes.usd.edu</t>
  </si>
  <si>
    <t>Temporary agency work as a means of achieving flexicurity?</t>
  </si>
  <si>
    <t>10.19154/njwls.v2i4.2309</t>
  </si>
  <si>
    <t>55190322300;55189871900;55943564500;</t>
  </si>
  <si>
    <t>After decades of debate about flexibility, flexicurity has become a new buzzword in working life. Flexicurity refers to both the employer's demand for flexibility and the employee's demand for security. Thus, the idea is to solve the flexibility-security trade-off. There is also a discussion that mentions temporary agency work as one way of creating a flexicurity system. The flexibility potential is not called into question-numerical flexibility is a quite common motive for using temporary agency workers. However, the security dimension has to be scrutinized. The aim of this article is to analyze the temporary work agency industry's potential for providing the security dimensions of the flexicurity model in a Swedish context. The study is based on a survey of whitecollar temporary agency workers in Sweden (n = 533). Overall, the vast majority do not perceive security. Our most important result is that both the work agency and the user firm have a dual impact on the agency workers' perception of security. © Roskilde University.</t>
  </si>
  <si>
    <t>Håkansson K., Isidorsson T., Kantelius H.</t>
  </si>
  <si>
    <t>https://www.scopus.com/inward/record.uri?eid=2-s2.0-84958903787&amp;doi=10.19154%2fnjwls.v2i4.2309&amp;partnerID=40&amp;md5=7ef84ffcdb6e6ef77c3c0a2fe027f7a5</t>
  </si>
  <si>
    <t>Department of Sociology and Work Science, University of Gothenburg, Sweden; Department of Sociology and Work Science, University of Gothenburg, Sweden</t>
  </si>
  <si>
    <t>Håkansson, K., Department of Sociology and Work Science, University of Gothenburg, Sweden; Isidorsson, T., Department of Sociology and Work Science, University of Gothenburg, Sweden; Kantelius, H., Department of Sociology and Work Science, University of Gothenburg, Sweden</t>
  </si>
  <si>
    <t>That's so OCD: The effects of disease trivialization via social media on user perceptions and impression formation</t>
  </si>
  <si>
    <t>10.1016/j.chb.2015.02.061</t>
  </si>
  <si>
    <t>56565277300;55654015400;</t>
  </si>
  <si>
    <t>Informal discussions of mental illness take place every day in social media. In the case of obsessive-compulsive disorder (OCD), in particular, widespread use of the hashtag "#OCD" indicates that social media users often trivialize the disease. The present study used a 3 × 2 × 2 between-subjects fully factorial online experiment (N = 574, recruited from Amazon's Mechanical Turk platform) to test the impact of trivialized framing of this disease on perceptions of social media users who employ such language, as well as on perceptions of people with OCD as a group. Additionally, this study tested the effects of the gender of the Twitter avatar and self-identification in the avatar biography as an individual with OCD on these perceptions. Three-way analyses of covariance (ANCOVA) assessed the impact of the manipulations (i.e., content frame, gender of the avatar, self-identification with OCD). Results indicate that language use, gender, and self-identification influence impression formation in a social media environment. © 2015 Elsevier Ltd. All rights reserved.</t>
  </si>
  <si>
    <t>Pavelko R.L., Myrick J.G.</t>
  </si>
  <si>
    <t>https://www.scopus.com/inward/record.uri?eid=2-s2.0-84925296702&amp;doi=10.1016%2fj.chb.2015.02.061&amp;partnerID=40&amp;md5=db97350171a01bf71122b9d137ca259d</t>
  </si>
  <si>
    <t>Indiana University, Media School, Ernie Pyle Hall 200, 940 E Seventh St, Bloomington, IN  47405, United States</t>
  </si>
  <si>
    <t>Pavelko, R.L., Indiana University, Media School, Ernie Pyle Hall 200, 940 E Seventh St, Bloomington, IN  47405, United States; Myrick, J.G., Indiana University, Media School, Ernie Pyle Hall 200, 940 E Seventh St, Bloomington, IN  47405, United States</t>
  </si>
  <si>
    <t>Pavelko, R.L.; Indiana University, Media School, Ernie Pyle Hall 200, 940 E Seventh St, United States</t>
  </si>
  <si>
    <t>The abbreviated psychopathy measure-2: Associations with normal-range and maladaptive personality traits</t>
  </si>
  <si>
    <t>10.5114/cipp.2019.85554</t>
  </si>
  <si>
    <t>56592989700;</t>
  </si>
  <si>
    <t>Background: The aim of the study was to validate an updated form of the Abbreviated Psychopathy Measure which is based on the triarchic model of psychopathy. Revisions were made to improve indexing of the triarchic scales. The study focused on examining the relationships between the APM-2 scales with lower-order personality traits associated with psychopathy, as well as with antisocial intent, a correlate of antisocial behavior. Participants and Procedure: A convenience sample of participants (N = 190) was recruited from Amazon's Mechanical Turk (MTurk). Construct validity of the APM-2 scales was examined using Pearson's r correlation and multiple regression analyses to determine the relationships between APM-2 scales and criterion measures. Results: The APM-2 Total score was associated at moderate to high levels with core personality features associated with psychopathy. APM-2 Boldness was associated with both positive adjustment (social potency, emotional stability), and negative adjustment (both dangerous and calculated sensation seeking). APM-2 Meanness was associated with measures of callousness, hostile aggression, and manipulativeness, as well as with a measure of antisocial intent. APM-2 Disinhibition was associated with measures of impulsive, norm violating behavior, negative emotional disposition, and antisocial intent. Conclusions: The associations between APM-2 scales and personality traits replicated certain key findings reported in the literature regarding psychopathy-relevant traits indexed by the Triarchic Psychopathy Measure (TriPM). Thus, this study provides a preliminary indication, albeit with a limited range of personality and antisocial behavior variables, that the nomological networks of the APM-2 scales may parallel the nomological networks of the TriPM scales. © 2019 Current Issues in Personality Psychology. All Rights Reserved.</t>
  </si>
  <si>
    <t>Semel R.A.</t>
  </si>
  <si>
    <t>Current Issues in Personality Psychology</t>
  </si>
  <si>
    <t>https://www.scopus.com/inward/record.uri?eid=2-s2.0-85083798486&amp;doi=10.5114%2fcipp.2019.85554&amp;partnerID=40&amp;md5=0479b0fd587ba84f0f50eb585b5cd2f1</t>
  </si>
  <si>
    <t>1242 E. 70th Street, Brooklyn, NY  11234, United States</t>
  </si>
  <si>
    <t>Semel, R.A., 1242 E. 70th Street, Brooklyn, NY  11234, United States</t>
  </si>
  <si>
    <t>Semel, R.A.1242 E. 70th Street, United States; email: robertsemelpsyd@gmail.com</t>
  </si>
  <si>
    <t>The agency search: The meaning of work for app drivers</t>
  </si>
  <si>
    <t>10.1590/1678-6971/eRAMG180080</t>
  </si>
  <si>
    <t>57205617562;57205615840;</t>
  </si>
  <si>
    <t>Purpose: This study aims to investigate how app drivers are giving meaning to their work, taking as a theoretical assumption the model proposed by Rosso, Dekas, &amp; Wrzesniewski (2010). Originality/value: Internationally, the volume of empirical research involving digital labor markets is considered to be low. Nationally, research in the context of Sharing Economy rarely focuses on the labor perspective. Despite being a growing phenomenon, no studies were found on the production of meanings and meaningfulness of work by app drivers. Design/methodology/approach: This qualitative and exploratory research was carried out with 37 app drivers between May and September 2017, in Porto Alegre (RS, Brazil). Randomly selected, respondents were called to a work route by the transport application. The interviews' content was categorized and analyzed according to the framework of Rosso et al. (2010). Findings: Elements that refer to all the model quadrants were found: “self-connection”, “individuation”, “contribution”, and “unification”. The predominant meaning, however, is desire, seeking and valuing by the agency, in the mechanisms of self-efficacy and self-management, especially in the financial, autonomy and flexibility perspectives. This research contributes to the intersection of the study of the labor world transformations and the construction of meanings and meaningfulness, using a framework little used in Brazilian research. It also collaborates to broaden the understanding of digital labor markets, especially their impact on workers. © 2018 Mackenzie Presbyterian University. All rights reserved.</t>
  </si>
  <si>
    <t>Vaclavik M.C., Pithan L.H.</t>
  </si>
  <si>
    <t>Revista de Administracao Mackenzie</t>
  </si>
  <si>
    <t>https://www.scopus.com/inward/record.uri?eid=2-s2.0-85060830992&amp;doi=10.1590%2f1678-6971%2feRAMG180080&amp;partnerID=40&amp;md5=c20cb89755ad7d7d127e27b1c92a8b89</t>
  </si>
  <si>
    <t>Programa de Pós-graduação em Administração, Universidade Federal do Rio Grande do Sul (UFGRS), Washington Luiz Street, 855, Centro Histórico, Porto Alegre, Rio Grande do Sul, CEP 90010-460, Brazil; Escola de Comércio, Comunicação e Artes, Pontifícia Universidade Católica do Rio Grande do Sul (PUCRS), Porto Alegre, RS, Brazil</t>
  </si>
  <si>
    <t>Vaclavik, M.C., Programa de Pós-graduação em Administração, Universidade Federal do Rio Grande do Sul (UFGRS), Washington Luiz Street, 855, Centro Histórico, Porto Alegre, Rio Grande do Sul, CEP 90010-460, Brazil; Pithan, L.H., Escola de Comércio, Comunicação e Artes, Pontifícia Universidade Católica do Rio Grande do Sul (PUCRS), Porto Alegre, RS, Brazil</t>
  </si>
  <si>
    <t>The association between specific types of childhood adversity and attenuated psychotic symptoms in a community sample</t>
  </si>
  <si>
    <t>10.1111/eip.12478</t>
  </si>
  <si>
    <t>57194283156;20434587900;24066993000;57194269159;57331661200;</t>
  </si>
  <si>
    <t>Aim: This study aimed to examine the relationship between types of childhood adversity and attenuated psychotic symptoms in a general population sample, and to determine the predictive role of other psychosocial factors such as resilience, coping style and social support. Methods: An online survey was conducted with a US-based general population sample of 748 participants (aged 18 to 35 years) using Amazon's Mechanical Turk (an online crowd-sourcing service). Participants completed the Adverse Childhood Experiences Questionnaire (ACE-Q), the Prodromal Questionnaire (PQ-16), the Brief COPE Scale, the Brief Resilience Scale (BRS), the Multidimensional Scale of Perceived Social Support and the Neighbourhood Cohesion Scale. A series of backwards stepwise hierarchical regression analyses was employed to determine the predictors of PQ-16 score. Results: Participants reported an average of 2.99 attenuated psychotic symptoms (from a total of 16), and an average of 2.77 childhood adversities (from a total of 10). In the final model, the specific types of childhood adversity which significantly predicted PQ-16 score were verbal abuse, sexual abuse and physical neglect. Resilience, as well as the coping styles of self-distraction, denial, substance use, emotional support, venting, religion and self-blame, were significant predictors; perceived social support and neighbourhood cohesion were not. This model predicted 33% of the variance in PQ-16 score. Conclusions: The results of this study support the association between childhood adversity and attenuated psychotic symptoms in the general population. Resilience and coping styles were also important predictive factors. These data suggest potential strategies on which to focus for early intervention and prevention. © 2017 John Wiley &amp; Sons Australia, Ltd</t>
  </si>
  <si>
    <t>Mongan D., Shannon C., Hanna D., Boyd A., Mulholland C.</t>
  </si>
  <si>
    <t>https://www.scopus.com/inward/record.uri?eid=2-s2.0-85030327310&amp;doi=10.1111%2feip.12478&amp;partnerID=40&amp;md5=691a2ea62a8a490770c8e77080ca2237</t>
  </si>
  <si>
    <t>Clinical Psychology, Queen's University Belfast, Belfast, United Kingdom; Holywell Hospital, Northern Health and Social Care Trust, Antrim, United Kingdom</t>
  </si>
  <si>
    <t>Mongan, D., Clinical Psychology, Queen's University Belfast, Belfast, United Kingdom, Holywell Hospital, Northern Health and Social Care Trust, Antrim, United Kingdom; Shannon, C., Clinical Psychology, Queen's University Belfast, Belfast, United Kingdom, Holywell Hospital, Northern Health and Social Care Trust, Antrim, United Kingdom; Hanna, D., Clinical Psychology, Queen's University Belfast, Belfast, United Kingdom; Boyd, A., Holywell Hospital, Northern Health and Social Care Trust, Antrim, United Kingdom; Mulholland, C., Clinical Psychology, Queen's University Belfast, Belfast, United Kingdom, Holywell Hospital, Northern Health and Social Care Trust, Antrim, United Kingdom</t>
  </si>
  <si>
    <t>Mongan, D.; Clinical Psychology, United Kingdom; email: dmongan01@qub.ac.uk</t>
  </si>
  <si>
    <t>The CL-AFF happiness shared task: Results and key insights</t>
  </si>
  <si>
    <t>36245175400;57207941818;42761192000;57201020481;</t>
  </si>
  <si>
    <t>This overview describes the official results of the CL-Aff Shared Task 2019 - in Pursuit of Happiness. The dataset comprised a semi-supervised classification task and an open-ended knowledge modeling task on a dataset of over 80,000 brief autobiographical accounts of happy moments, crowdsourced from Amazon Mechanical Turk. The Shared Task was organized as a part of the 2nd Workshop on Affective Content Analysis @ AAAAI-19, held in Honolulu, USA on January 27, 2019. This paper compares the participating systems in terms of their accuracy and F-1 scores at predicting two facets of happiness. The complete annotated dataset is available on Harvard Dataverse at https: //goo.gl/3rcZqf. The annotation instructions and the scripts used for evaluation are available at the Git repository at https://github.com/ kj2013/claff-happydb. © 2019 CEUR-WS. All rights reserved.</t>
  </si>
  <si>
    <t>Jaidka K., Mumick S., Chhaya N., Ungar L.</t>
  </si>
  <si>
    <t>https://www.scopus.com/inward/record.uri?eid=2-s2.0-85063281328&amp;partnerID=40&amp;md5=be3241dd1196d2f85cf7fb3d89fc6f08</t>
  </si>
  <si>
    <t>Nanyang Technological University, Singapore; University of Pennsylvania, United States; Megagon Labs, United States; Adobe Research, India</t>
  </si>
  <si>
    <t>Jaidka, K., Nanyang Technological University, Singapore, University of Pennsylvania, United States; Mumick, S., University of Pennsylvania, United States, Megagon Labs, United States; Chhaya, N., Adobe Research, India; Ungar, L., University of Pennsylvania, United States</t>
  </si>
  <si>
    <t>The collaborative economy of biotechnology: Alliances, outsourcing and R&amp;D</t>
  </si>
  <si>
    <t>10.1504/ijbt.2003.004104</t>
  </si>
  <si>
    <t>6603777601;6506772323;</t>
  </si>
  <si>
    <t>Collaboration is playing a major role in the development of biotechnology. Most biotech enterprises in existence today might not have survived without the support provided by the many collaborative arrangements that have developed in this sector. However, the question of whether collaboration provides stronger support for biotech innovation and research is still an open one. This contribution provides significant empirical evidence on the effect of the most important collaborative modes on biotech research and development (R&amp;D) and on its association with major enterprise characteristics, such as employment, costs, revenue and assets. The context of collaboration in biotechnology is considered first, along with the need to sustain continuous innovation. The two most important modes of collaboration, alliances and outsourcing, are then discussed and related to their potential support for biotech R&amp;D. Extensive statistical analyses, utilising a unique database of biotech establishments from three 4-digit SIC categories, provide insights on the effects of alliances and outsourcing on biotech R&amp;D. Establishments in alliances with pharmaceutical firms are differentiated, along with those that subcontract out and are subcontracted for both R&amp;D and other (non-R&amp;D) activities. In general, collaboration was found to be strongly supportive of biotech R&amp;D, particularly when it occurred through alliances. Alliances with pharmaceutical firms were found to be most supportive of R&amp;D. Outsourcing was also found to be supportive, except when establishments subcontracted out their own R&amp;D.</t>
  </si>
  <si>
    <t>Suarez-Villa L., Walrod W.</t>
  </si>
  <si>
    <t>International Journal of Biotechnology</t>
  </si>
  <si>
    <t>https://www.scopus.com/inward/record.uri?eid=2-s2.0-1842429545&amp;doi=10.1504%2fijbt.2003.004104&amp;partnerID=40&amp;md5=42bb97f07ad380100bef244f48970a02</t>
  </si>
  <si>
    <t>School of Social Ecology, University of California, Irvine, CA 92697-7075, United States; Dept. Soc. Ecol./Plan., Plcy./Des., University of California, Irvine, CA, United States; Res./Commun. Orange Co. Bus. Cncl., Irvine, CA, United States; University of California, Irvine, CA, United States</t>
  </si>
  <si>
    <t>Suarez-Villa, L., School of Social Ecology, University of California, Irvine, CA 92697-7075, United States, Dept. Soc. Ecol./Plan., Plcy./Des., University of California, Irvine, CA, United States; Walrod, W., School of Social Ecology, University of California, Irvine, CA 92697-7075, United States, Res./Commun. Orange Co. Bus. Cncl., Irvine, CA, United States, University of California, Irvine, CA, United States</t>
  </si>
  <si>
    <t>Suarez-Villa, L.; School of Social Ecology, , Irvine, CA 92697-7075, United States; email: LSUAREZ@uci.edu</t>
  </si>
  <si>
    <t>The cost of search and evaluation in online problem-solving social networks with financial and non-financial incentives</t>
  </si>
  <si>
    <t>10.5210/fm.v21i8.6751</t>
  </si>
  <si>
    <t>15135581100;10045847500;8318360600;</t>
  </si>
  <si>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 © First Monday, 1995-2016.</t>
  </si>
  <si>
    <t>Farenzena D.S., da Cunha Lamb L., Araújo R.M.</t>
  </si>
  <si>
    <t>First Monday</t>
  </si>
  <si>
    <t>https://www.scopus.com/inward/record.uri?eid=2-s2.0-84982994988&amp;doi=10.5210%2ffm.v21i8.6751&amp;partnerID=40&amp;md5=09ed508d46c80efcf34049d1fce9ac31</t>
  </si>
  <si>
    <t>Aurea, United States; Institute of Informatics, Federal University of Rio Grande do Sul, Porto Alegre, Brazil; Center for Technological Advancement, Federal University of Pelotas (UFPel), Brazil</t>
  </si>
  <si>
    <t>Farenzena, D.S., Aurea, United States; da Cunha Lamb, L., Institute of Informatics, Federal University of Rio Grande do Sul, Porto Alegre, Brazil; Araújo, R.M., Center for Technological Advancement, Federal University of Pelotas (UFPel), Brazil</t>
  </si>
  <si>
    <t>The dangers of misclassifying "employees": Microsoft litigation emphasizes distinctions between employees and nontraditional workers</t>
  </si>
  <si>
    <t>10.1023/A:1014919018563</t>
  </si>
  <si>
    <t>6506925364;11440756300;6602097066;</t>
  </si>
  <si>
    <t>In the past decade, businesses, for reasons such as greater flexibility and lower total costs, have increased their use of nontraditional workers such as independent contractors and temporary agency employees. The Internal Revenue Service's crackdown on misclassifying "employees" slowed this growth. Additionally, recent lawsuits by nontraditional workers against employers such as Microsoft Corporation have resulted in some client employers being forced to pay more benefits to nontraditional employees because of employment misclassification and coemployment rulings. Such rulings might reduce or even eliminate the use of some types of nontraditional employees. This paper analyzes the vast array of types of workers that have evolved into the nontraditional workforce and the difficulty of defining "employee" with respect to entitlement to employer benefits. Possible recommendations for employers include auditing present use of nontraditional workers, accurately classifying employees, and taking proper actions to minimize problems in the future. © 2002 Plenum Publishing Corporation.</t>
  </si>
  <si>
    <t>Kondrasuk J.N., Reed L.J., Jurinski J.J.</t>
  </si>
  <si>
    <t>Employee Responsibilities and Rights Journal</t>
  </si>
  <si>
    <t>https://www.scopus.com/inward/record.uri?eid=2-s2.0-33744522962&amp;doi=10.1023%2fA%3a1014919018563&amp;partnerID=40&amp;md5=1044d7ee04527e24c6c6fdfe35fdd8fe</t>
  </si>
  <si>
    <t>Dr. Robert B. Pamplin, Jr., School of Business Administration, University of Portland, Portland, OR, United States; Dr. Robert B. Pamplin, Jr., School of Business Administration, University of Portland, 5000 N. Willamette Boulevard, Portland, OR 97203, United States</t>
  </si>
  <si>
    <t>Kondrasuk, J.N., Dr. Robert B. Pamplin, Jr., School of Business Administration, University of Portland, Portland, OR, United States, Dr. Robert B. Pamplin, Jr., School of Business Administration, University of Portland, 5000 N. Willamette Boulevard, Portland, OR 97203, United States; Reed, L.J., Dr. Robert B. Pamplin, Jr., School of Business Administration, University of Portland, Portland, OR, United States; Jurinski, J.J., Dr. Robert B. Pamplin, Jr., School of Business Administration, University of Portland, Portland, OR, United States</t>
  </si>
  <si>
    <t>Kondrasuk, J.N.; Dr. Robert B. Pamplin, 5000 N. Willamette Boulevard, Portland, OR 97203, United States; email: kondrasu@up.edu</t>
  </si>
  <si>
    <t>The dark cube: Dark and light character profiles</t>
  </si>
  <si>
    <t>10.7717/peerj.1675</t>
  </si>
  <si>
    <t>7202747958;36184745700;</t>
  </si>
  <si>
    <t>Background. Research addressing distinctions and similarities between people's malevolent character traits (i.e., the Dark Triad: Machiavellianism, narcissism, and psychopathy) has detected inconsistent linear associations to temperament traits. Additionally, these dark traits seem to have a common core expressed as uncooperativeness. Hence, some researchers suggest that the dark traits are best represented as one global construct (i.e., the unification argument) rather than as ternary construct (i.e., the uniqueness argument). We put forward the dark cube (cf. Cloninger's character cube) comprising eight dark profiles that can be used to compare individuals who differ in one dark character trait while holding the other two constant. Our aim was to investigate in which circumstances individuals who are high in each one of the dark character traits differ in Cloninger's "light" character traits: Self-directedness, cooperativeness, and self-transcendence. We also investigated if people's dark character profiles were associated to their light character profiles. Method. A total of 997 participants recruited from Amazon's Mechanical Turk (MTurk) responded to the Short Dark Triad and the Short Character Inventory. Participants were allocated to eight different dark profiles and eight light profiles based on their scores in each of the traits and any possible combination of high and low scores. We used three-way interaction regression analyses and t-tests to investigate differences in light character traits between individuals with different dark profiles. As a second step, we compared the individuals' dark profile with her/his character profile using an exact cell-wise analysis conducted in the ROPstat software (http://www.ropstat.com). Results. Individuals who expressed high levels of Machiavellianism and those who expressed high levels of psychopathy also expressed low self-directedness and low cooperativeness. Individuals with high levels of narcissism, in contrast, scored high in self-directedness. Moreover, individuals with a profile low in the dark traits were more likely to end up with a profile high in cooperativeness. The opposite was true for those individuals with a profile high in the dark traits. The rest of the cross-comparisons revealed some of the characteristics of human personality as a non-linear complex dynamic system. Conclusions. Our study suggests that individuals who are high in Machiavellianism and psychopathy share a unified non-agentic and uncooperative character (i.e., irresponsible, low in self-control, unempathetic, unhelpful, untolerant), while individuals high in narcissism have a more unique character configuration expressed as high agency and, when the other dark traits are high, highly spiritual but uncooperative. In other words, based on differences in their associations to the light side of character, the Dark Triad seems to be a dyad rather than a triad. © 2016 Garcia and Rosenberg.</t>
  </si>
  <si>
    <t>Garcia D., Rosenberg P.</t>
  </si>
  <si>
    <t>https://www.scopus.com/inward/record.uri?eid=2-s2.0-84963944079&amp;doi=10.7717%2fpeerj.1675&amp;partnerID=40&amp;md5=9cd7fee1b61640042d191a34d37aec5f</t>
  </si>
  <si>
    <t>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t>
  </si>
  <si>
    <t>Garcia, D., 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 Rosenberg, P., Blekinge Center for Competence, Blekinge County Council, Karlskrona, Sweden, Network for Empowerment and Well-Being, University of Gothenburg, Lyckeby, Sweden</t>
  </si>
  <si>
    <t>Garcia, D.; Blekinge Center for Competence, Sweden; email: danilo.garcia@icloud.com</t>
  </si>
  <si>
    <t>The designing expressions of the special visual effect film in the digital technology</t>
  </si>
  <si>
    <t>10.1007/978-3-642-39226-9_30</t>
  </si>
  <si>
    <t>55807428500;55807858000;</t>
  </si>
  <si>
    <t>From 1950 when computer technology began to undertake the creation of computer art, the creation of these "digital works" became a new tool and medium for artistic expression. This also had a major impact on visual artistic expression. This paper takes science fiction movies as the textual source of its research and analyzes the commercial messaging and artistic expression of thematic images within the cinematic arts. © 2013 Springer-Verlag Berlin Heidelberg.</t>
  </si>
  <si>
    <t>Yao T.-H., Sun C.-Y.</t>
  </si>
  <si>
    <t>https://www.scopus.com/inward/record.uri?eid=2-s2.0-84880872924&amp;doi=10.1007%2f978-3-642-39226-9_30&amp;partnerID=40&amp;md5=37e890b4a3b793cd48d5ee5c18bdc1db</t>
  </si>
  <si>
    <t>Department of Visual Design, National Kaohsiung Normal University, Taiwan; Graduate School of Applied Design, Department of Animation and Game Design, Shu Te University of Science and Technology, Taiwan</t>
  </si>
  <si>
    <t>Yao, T.-H., Department of Visual Design, National Kaohsiung Normal University, Taiwan; Sun, C.-Y., Graduate School of Applied Design, Department of Animation and Game Design, Shu Te University of Science and Technology, Taiwan</t>
  </si>
  <si>
    <t>Department of Visual Design, Taiwan</t>
  </si>
  <si>
    <t>The dimensionality of trust-relevant constructs in four institutional domains: Results from confirmatory factor analyses</t>
  </si>
  <si>
    <t>10.1080/21515581.2016.1151359</t>
  </si>
  <si>
    <t>23976702000;55373008100;55813271100;36954919800;25640076500;56492781500;7103063276;7006031613;</t>
  </si>
  <si>
    <t>Using confirmatory factor analyses and multiple indicators per construct, we examined a number of theoretically derived factor structures pertaining to numerous trust-relevant constructs (from 9 to 12) across four institutional contexts (police, local governance, natural resources, state governance) and multiple participant-types (college students via an online survey, community residents as part of a city’s budget engagement activity, a random sample of rural landowners, and a national sample of adult Americans via an Amazon Mechanical Turk study). Across studies, a number of common findings emerged. First, the best fitting models in each study maintained separate factors for each trust-relevant construct. Furthermore, post hoc analyses involving addition of higher-order factors tended to fit better than collapsing of factors. Second, dispositional trust was easily distinguishable from the other trust-related constructs, and positive and negative constructs were often distinguishable. However, the items reflecting positive trust attitude constructs or positive trustworthiness perceptions showed low discriminant validity. Differences in findings between studies raise questions warranting further investigation in future research, including differences in correlations among latent constructs varying from very high (e.g. 12 inter-factor correlations above.9 in Study 2) to more moderate (e.g. only three correlations above.8 in Study 4). Further, the results from one study (Study 4) suggested that legitimacy, fairness, and voice were especially highly correlated and may form a single higher-order factor, but the other studies did not. Future research is needed to determine when and why different higher-order factor structures may emerge in different institutional contexts or with different samples. © 2016 Peter Ping Li.</t>
  </si>
  <si>
    <t>Pytlikzillig L.M., Hamm J.A., Shockley E., Herian M.N., Neal T.M.S., Kimbrough C.D., Tomkins A.J., Bornstein B.H.</t>
  </si>
  <si>
    <t>Journal of Trust Research</t>
  </si>
  <si>
    <t>https://www.scopus.com/inward/record.uri?eid=2-s2.0-85017592612&amp;doi=10.1080%2f21515581.2016.1151359&amp;partnerID=40&amp;md5=f8ee62699f1e611fc9fa9b74d77126c0</t>
  </si>
  <si>
    <t>Public Policy Center, University of Nebraska, Lincoln, NE, United States; School of Criminal Justice &amp; Environmental Science and Policy, Michigan State University, East Lansing, MI, United States; Bismarck State College, Bismarck, ND, United States; New College of Interdisciplinary Arts &amp; Sciences – SBS, Arizona State University, Glendale, AZ, United States; Department of Psychology, University of Nebraska–Lincoln, Lincoln, NE, United States</t>
  </si>
  <si>
    <t>Pytlikzillig, L.M., Public Policy Center, University of Nebraska, Lincoln, NE, United States; Hamm, J.A., School of Criminal Justice &amp; Environmental Science and Policy, Michigan State University, East Lansing, MI, United States; Shockley, E., Bismarck State College, Bismarck, ND, United States; Herian, M.N., Public Policy Center, University of Nebraska, Lincoln, NE, United States; Neal, T.M.S., New College of Interdisciplinary Arts &amp; Sciences – SBS, Arizona State University, Glendale, AZ, United States; Kimbrough, C.D., Department of Psychology, University of Nebraska–Lincoln, Lincoln, NE, United States; Tomkins, A.J., Public Policy Center, University of Nebraska, Lincoln, NE, United States; Bornstein, B.H., Department of Psychology, University of Nebraska–Lincoln, Lincoln, NE, United States</t>
  </si>
  <si>
    <t>Pytlikzillig, L.M.; Public Policy Center, United States; email: lpytlikz@nebraska.edu</t>
  </si>
  <si>
    <t>The distributed open source software development model: Observations on communication, coordination and control</t>
  </si>
  <si>
    <t>7004530817;6602251812;7801582709;55254995900;</t>
  </si>
  <si>
    <t>There are many reasons why an organisation should consider adopting distributed development of software systems and applications, including access to a larger labour pool and a broader skills base, cost advantages, and round the clock working. However, distributed development presents many challenges stemming from the complexity of maintaining good communication, coordination and control when teams are dispersed in time (e.g. across time zones) and space, as well as socio-culturally. The open source software (OSS) development model is distributed by nature, and many OSS developments are considered success stories. The question therefore arises of whether traditional distributed development models can be improved by transfer of successful practice from OSS development models. In this paper we compare OSS with traditional distributed development models using a framework-based analysis of the extant literature. From our analysis we find that the advantages of temporal and geographical distance dominate in OSS, rather than their associated problems. Further, socio-cultural distance is lowered by active developer selection. However, there is a challenge to satisfying project goals when personal goals dominate.</t>
  </si>
  <si>
    <t>Lundell B., Lings B., Ågerfalk P.J., Fitzgerald B.</t>
  </si>
  <si>
    <t>Proceedings of the 14th European Conference on Information Systems, ECIS 2006</t>
  </si>
  <si>
    <t>https://www.scopus.com/inward/record.uri?eid=2-s2.0-84870648015&amp;partnerID=40&amp;md5=6f9cc71041c963c435664b6d042b4a3b</t>
  </si>
  <si>
    <t>University of Skövde, P.O. Box 408, SE-541 28 Skövde, Sweden; University of Limerick, Limerick, Ireland</t>
  </si>
  <si>
    <t>Lundell, B., University of Skövde, P.O. Box 408, SE-541 28 Skövde, Sweden; Lings, B., University of Skövde, P.O. Box 408, SE-541 28 Skövde, Sweden; Ågerfalk, P.J., University of Limerick, Limerick, Ireland; Fitzgerald, B., University of Limerick, Limerick, Ireland</t>
  </si>
  <si>
    <t>Lundell, B.; University of Skövde, P.O. Box 408, SE-541 28 Skövde, Sweden; email: bjorn.lundell@his.se</t>
  </si>
  <si>
    <t>The effect of assessor errors on IR system evaluation</t>
  </si>
  <si>
    <t>10.1145/1835449.1835540</t>
  </si>
  <si>
    <t>6507636450;6603599566;</t>
  </si>
  <si>
    <t>Recent efforts in test collection building have focused on scaling back the number of necessary relevance judgments and then scaling up the number of search topics. Since the largest source of variation in a Cranfield-style experiment comes from the topics, this is a reasonable approach. However, as topic set sizes grow, and researchers look to crowd-sourcing and Amazon's Mechanical Turk to collect relevance judgments, we are faced with issues of quality control. This paper examines the robustness of the TREC Million Query track methods when some assessors make significant and systematic errors. We find that while averages are robust, assessor errors can have a large effect on system rankings. © 2010 ACM.</t>
  </si>
  <si>
    <t>Carterette B., Soboroff I.</t>
  </si>
  <si>
    <t>https://www.scopus.com/inward/record.uri?eid=2-s2.0-77956024152&amp;doi=10.1145%2f1835449.1835540&amp;partnerID=40&amp;md5=bd74baf12976b7acabbcd3c4382112e3</t>
  </si>
  <si>
    <t>Dept. of Computer and Information Sciences, University of Delaware, Newark, DE 19716, United States; National Institute of Standards and Technology, Gaithersburg, MD 20899, United States</t>
  </si>
  <si>
    <t>Carterette, B., Dept. of Computer and Information Sciences, University of Delaware, Newark, DE 19716, United States; Soboroff, I., National Institute of Standards and Technology, Gaithersburg, MD 20899, United States</t>
  </si>
  <si>
    <t>Carterette, B.; Dept. of Computer and Information Sciences, , Newark, DE 19716, United States; email: carteret@cis.udel.edu</t>
  </si>
  <si>
    <t>The effect of time separation on coordination costs in global software teams: A dyad model</t>
  </si>
  <si>
    <t>10.1109/hicss.2004.1265158</t>
  </si>
  <si>
    <t>56497240600;6602090563;</t>
  </si>
  <si>
    <t>Research to date has not addressed the difficulties of coordinating across time zones in global software development. We present a preliminary collaboration model to help us understand the consequences of time separation on coordination costs. The model is for a team composed of dyads and each dyad consists of a task requestor and a task producer - who have a sequential workflow dependency. The model is constructed with formulas for: production, coordination, and vulnerability costs for a number of: (1) collaboration modes; (2) time overlap conditions; (3) asynchronous and synchronous communications mechanisms, each of different quality and cost; and (4) production and delay cost rates. We describe the model and evaluate it with regression analysis using randomly generated observations. Our evaluation shows that the model adequately represents time-separated work and that time-separation effects are: (1) different and more complex than distance-separation effects; (2) asymmetric, depending on whether work time overlap between the two actors occurs at the beginning or end of an actor's day; and (3) dependent on the amount of this overlap.</t>
  </si>
  <si>
    <t>Espinosa J.A., Carmel E.</t>
  </si>
  <si>
    <t>Proceedings of the Hawaii International Conference on System Sciences</t>
  </si>
  <si>
    <t>https://www.scopus.com/inward/record.uri?eid=2-s2.0-12344279026&amp;doi=10.1109%2fhicss.2004.1265158&amp;partnerID=40&amp;md5=498a732691ba9b6b31febf56528024b9</t>
  </si>
  <si>
    <t>American University, Kogod School of Business, Washington, DC, United States</t>
  </si>
  <si>
    <t>Espinosa, J.A., American University, Kogod School of Business, Washington, DC, United States; Carmel, E., American University, Kogod School of Business, Washington, DC, United States</t>
  </si>
  <si>
    <t>Espinosa, J.A.; American University, , Washington, DC, United States; email: alberto@american.edu</t>
  </si>
  <si>
    <t>The effect of time zone difference on asynchronous communications in global software development</t>
  </si>
  <si>
    <t>10.1504/IJCAT.2016.075523</t>
  </si>
  <si>
    <t>7404164055;7202542260;35615141600;</t>
  </si>
  <si>
    <t>Working collaboratively across time zone differences is an important issue for distributed software development projects. In such work, computer mediated communications, especially mailing lists, have been widely used for global software development. It is commonly agreed on that time zone differences have a negative impact on real time communications, such as instant messaging and video conferences. However, research results are unclear on whether time zone differences can cause excessive delays in asynchronous communication mediums, such as emails and discussion boards. This paper studies the effect of time zone differences through mining and investigating the Linux kernel mailing list archive. We extract time zone differences and message communication delays between developers. Statistical tests are used to analyse and identify correlations. Our study shows that within the Linux project, time zone differences between developers have a significant effect on short-term email communication delays of 24 hours or less. Copyright © 2016 Inderscience Enterprises Ltd.</t>
  </si>
  <si>
    <t>Yu L., Guan Z., Ramaswamy S.</t>
  </si>
  <si>
    <t>https://www.scopus.com/inward/record.uri?eid=2-s2.0-84962076533&amp;doi=10.1504%2fIJCAT.2016.075523&amp;partnerID=40&amp;md5=90934c2e77854d309c0306ad4ab0e124</t>
  </si>
  <si>
    <t>Department of Computer Science and Informatics, Indiana University South Bend, South Bend, IN, United States; Department of Mathematical Science, Indiana University South Bend, South Bend, IN, United States; Industrial Software Systems, ABB Corporate Research Center, Bangalore, Karnataka, India</t>
  </si>
  <si>
    <t>Yu, L., Department of Computer Science and Informatics, Indiana University South Bend, South Bend, IN, United States; Guan, Z., Department of Mathematical Science, Indiana University South Bend, South Bend, IN, United States; Ramaswamy, S., Industrial Software Systems, ABB Corporate Research Center, Bangalore, Karnataka, India</t>
  </si>
  <si>
    <t>Yu, L.; Department of Computer Science and Informatics, United States; email: ligyu@iusb.edu</t>
  </si>
  <si>
    <t>The EU digital single market from a consumer standpoint: How do promises meet means?</t>
  </si>
  <si>
    <t>10.22381/CRLSJ9220179</t>
  </si>
  <si>
    <t>55189500700;</t>
  </si>
  <si>
    <t>This article discusses the EU Digital Single Market Strategy, focusing on implications for consumers. The emphasis is on the position of consumers in terms of consumer protection and competition issues. The study analyses the goals set for the Digital Single Market, and how consumer-related aims are discussed in official documents, and mirrors the expressed aims as well as concerns with concrete legislative proposals and action taken, in particular, by the European Commission. The main methods used are based on theoretical legal dogmatics and philosophy of law. The analysis illustrates that some of the highlighted concerns and measures appear overemphasized in terms of their practical significance. Moreover, the measures contemplated and taken do not seem to fully remedy the problems underlined by Digital Single Market materials, or remedying is only beginning. Even though the rhetoric emphasizes how much the Digital Single Market Strategy benefits consumers, the goals related to the position of consumers, and steps for achieving these goals, appear at points vague in official documents. For instance, boosting "consumer confidence" or "trust" is underlined as a goal but not fully mirrored by concrete action or analysis.</t>
  </si>
  <si>
    <t>Havu K.</t>
  </si>
  <si>
    <t>https://www.scopus.com/inward/record.uri?eid=2-s2.0-85036509689&amp;doi=10.22381%2fCRLSJ9220179&amp;partnerID=40&amp;md5=2f6d0500c405581dbfeaafcd1d1ece2a</t>
  </si>
  <si>
    <t>Faculty of Law, University of Helsinki, Finland</t>
  </si>
  <si>
    <t>Havu, K., Faculty of Law, University of Helsinki, Finland</t>
  </si>
  <si>
    <t>Havu, K.; Faculty of Law, Finland; email: katri.havu@helsinki.fi</t>
  </si>
  <si>
    <t>The expansion of digitally mediated labor: Platform-based economy, technology-driven shifts in employment, and the novel modes of service work</t>
  </si>
  <si>
    <t>10.22381/JSME6420181</t>
  </si>
  <si>
    <t>57205700044;</t>
  </si>
  <si>
    <t>Recent empirical research (e.g. de Reuver, Sørensen, and Basole, 2018; Drahokoupil and Jepsen, 2017; Frenken, 2017; Körfer and Röthig, 2017) shows that effective platforms have rearranged industries that had already built upon some type of self-employment. Using data from JPMorgan Chase Institute, U.S. Labor Department, and The Wall Street Journal, I performed analyses and made estimates regarding cumulative percent of adults who have ever participated in the online platform economy, percent of total income coming from online platforms in active months, share of active participants employed in a non-platform job and the official unemployment rate, year-over-year growth in total earnings in the online platform economy each month, and the rise of app-based companies. © 2018, Addleton Academic Publishers. All rights reserved.</t>
  </si>
  <si>
    <t>Mitea D.R.E.</t>
  </si>
  <si>
    <t>https://www.scopus.com/inward/record.uri?eid=2-s2.0-85061181253&amp;doi=10.22381%2fJSME6420181&amp;partnerID=40&amp;md5=51a00bee5b89723f621924c712981cf4</t>
  </si>
  <si>
    <t>Mitea, D.R.E., The Bucharest University of Economic Studies, Romania</t>
  </si>
  <si>
    <t>Mitea, D.R.E.; The Bucharest University of Economic StudiesRomania; email: dana.mitea@gmail.com</t>
  </si>
  <si>
    <t>The future of digital work - Use cases for augmented reality glasses</t>
  </si>
  <si>
    <t>57217048062;57196221108;56946747700;57220728632;</t>
  </si>
  <si>
    <t>Microsoft's HoloLens enables true augmented reality (AR) by placing virtual objects within the real world. This paper aims at presenting trades (based on ISIC) that can benefit from AR as well as possible use cases. Firstly, the authors conducted a systematic literature search to identify relevant papers. Six databases (including EBSCOhost, ScienceDirect and SpringerLink) were scanned for the term “HoloLens”. Out of 680 results, two researchers identified 150 articles as thematically relevant. Secondly, these papers were analysed utilising qualitative content analysis. Findings reveal 26 trades where AR glasses are in use for practice or research purposes. The most frequent are human health, education and research. In addition, we provide a catalogue of 7 main use cases, such as Process Guidance or Data Access and Visualisation as well as 27 sub use cases addressing corresponding functionalities in more detail. The results of this paper are trades and application scenarios for AR glasses. Thus, this article contributes to research in the field of service systems design, especially AR glasses-based service systems, and provide evidence for the future of digital work. © 27th European Conference on Information Systems - Information Systems for a Sharing Society, ECIS 2019. All rights reserved.</t>
  </si>
  <si>
    <t>Kortekamp S.-S., Werning S., Ickerott I., Thomas O.</t>
  </si>
  <si>
    <t>27th European Conference on Information Systems - Information Systems for a Sharing Society, ECIS 2019</t>
  </si>
  <si>
    <t>https://www.scopus.com/inward/record.uri?eid=2-s2.0-85087110168&amp;partnerID=40&amp;md5=1bd40502623554cef55d46a85afbb679</t>
  </si>
  <si>
    <t>Osnabrück University of Applied Sciences, Osnabrück, Germany; Osnabrück University, Osnabrück, Germany</t>
  </si>
  <si>
    <t>Kortekamp, S.-S., Osnabrück University of Applied Sciences, Osnabrück, Germany; Werning, S., Osnabrück University of Applied Sciences, Osnabrück, Germany; Ickerott, I., Osnabrück University of Applied Sciences, Osnabrück, Germany; Thomas, O., Osnabrück University, Osnabrück, Germany</t>
  </si>
  <si>
    <t>The Generalizability of Survey Experiments</t>
  </si>
  <si>
    <t>10.1017/XPS.2015.19</t>
  </si>
  <si>
    <t>37063497400;54998513300;6603696960;7006638289;</t>
  </si>
  <si>
    <t>Survey experiments have become a central methodology across the social sciences. Researchers can combine experiments' causal power with the generalizability of population-based samples. Yet, due to the expense of population-based samples, much research relies on convenience samples (e.g. students, online opt-in samples). The emergence of affordable, but non-representative online samples has reinvigorated debates about the external validity of experiments. We conduct two studies of how experimental treatment effects obtained from convenience samples compare to effects produced by population samples. In Study 1, we compare effect estimates from four different types of convenience samples and a population-based sample. In Study 2, we analyze treatment effects obtained from 20 experiments implemented on a population-based sample and Amazon's Mechanical Turk (MTurk). The results reveal considerable similarity between many treatment effects obtained from convenience and nationally representative population-based samples. While the results thus bolster confidence in the utility of convenience samples, we conclude with guidance for the use of a multitude of samples for advancing scientific knowledge. Copyright © The Experimental Research Section of the American Political Science Association 2016.</t>
  </si>
  <si>
    <t>Mullinix K.J., Leeper T.J., Druckman J.N., Freese J.</t>
  </si>
  <si>
    <t>Journal of Experimental Political Science</t>
  </si>
  <si>
    <t>https://www.scopus.com/inward/record.uri?eid=2-s2.0-85012122035&amp;doi=10.1017%2fXPS.2015.19&amp;partnerID=40&amp;md5=f6659e54913233c24f7162f3230b6116</t>
  </si>
  <si>
    <t>Department of Government and Justice Studies, Appalachian State University, Boone, NC  28608, United States; Department of Government, London School of Economics and Political Science, London, United Kingdom; Department of Political Science, Northwestern University, Scott Hall 601 University Place, Evanston, IL  60218, United States; Department of Sociology, Northwestern University, 1810 Chicago Avenue, Evanston, IL  60208, United States</t>
  </si>
  <si>
    <t>Mullinix, K.J., Department of Government and Justice Studies, Appalachian State University, Boone, NC  28608, United States; Leeper, T.J., Department of Government, London School of Economics and Political Science, London, United Kingdom; Druckman, J.N., Department of Political Science, Northwestern University, Scott Hall 601 University Place, Evanston, IL  60218, United States; Freese, J., Department of Sociology, Northwestern University, 1810 Chicago Avenue, Evanston, IL  60208, United States</t>
  </si>
  <si>
    <t>The Golden Age of Silver Workers?: The Role of Age in the Perception of Increasing Digital Work Environments</t>
  </si>
  <si>
    <t>10.1007/978-3-030-22015-0_40</t>
  </si>
  <si>
    <t>55803547500;57002639100;6602475572;</t>
  </si>
  <si>
    <t>Digitization is progressing intensively, in particular in the world of work. Thereby, intelligent systems, mobile devices, cloud computing, and social media change the development of work and employment by (in parts) replacing employees or changing ways of production. In line with demographic change and in order to face economic, societal, and demographic challenges of a future labor market, it is necessary to consider the integration of aging employees. Therefore, this paper investigates the perception of motivational factors and stress factors triggered by technology in the working context. In addition, factors influencing the individual perception of strains are analyzed. For this purpose, an online survey was conducted (N = 507) asking for agreement to motivational and stressing factors in the context of increasing digital working environments. The results show that the overall motivational factors received a similar evaluation pattern for younger and older participants. However, the younger employees showed stronger agreements to all motivational aspects. Additionally, the results show that the perception of techno-stress factors was significant lower in the older aged group compared to the younger aged group. The study’s findings highlight the importance of user diversity for a successful and healthy transformation to a digital work environment putting employees needs and requirements into the center. © 2019, Springer Nature Switzerland AG.</t>
  </si>
  <si>
    <t>Kluge J., Hildebrandt J., Ziefle M.</t>
  </si>
  <si>
    <t>https://www.scopus.com/inward/record.uri?eid=2-s2.0-85069863989&amp;doi=10.1007%2f978-3-030-22015-0_40&amp;partnerID=40&amp;md5=f3d41e286077b42b19df405051e3f67f</t>
  </si>
  <si>
    <t>Chair of Communication Science, Human Computer Interaction Center, RWTH Aachen, Campus-Boulevard 57, Aachen, 52074, Germany</t>
  </si>
  <si>
    <t>Kluge, J., Chair of Communication Science, Human Computer Interaction Center, RWTH Aachen, Campus-Boulevard 57, Aachen, 52074, Germany; Hildebrandt, J., Chair of Communication Science, Human Computer Interaction Center, RWTH Aachen, Campus-Boulevard 57, Aachen, 52074, Germany; Ziefle, M., Chair of Communication Science, Human Computer Interaction Center, RWTH Aachen, Campus-Boulevard 57, Aachen, 52074, Germany</t>
  </si>
  <si>
    <t>Kluge, J.; Chair of Communication Science, Campus-Boulevard 57, Germany; email: kluge@comm.rwth-aachen.de</t>
  </si>
  <si>
    <t>The Impact of Diagnosis and Religious Orientation on Mental Illness Stigma</t>
  </si>
  <si>
    <t>10.1037/rel0000384</t>
  </si>
  <si>
    <t>57191837021;36466981400;6603848413;</t>
  </si>
  <si>
    <t>An important, but unexamined, predictor of mental illness stigma is an extrinsic religious orientation, or a motivation to participate in religion for social reasons. High extrinsic religious orientation correlates positively with other types of prejudice. The purpose of this study was to examine the relationships between diagnosis, religious orientation, and stigma. Participants (n = 334) were recruited via Amazon Mechanical Turk, randomized to read one of three vignettes about a person with a mental illness (schizophrenia, anorexia nervosa, or depression), and completed measures of mental illness stigma and religious orientation. Using multiple regression analyses, researchers assessed the impact of diagnosis, extrinsic-personal, extrinsic-social, and intrinsic religiosity on specific aspects of stigma as measured by the Attribution Questionnare-27 subscales (i.e., blame, anger, pity, danger, fear, help, avoidance, segregation, and coercion). Analyses suggested that diagnosis was a key predictor of stigma, and that schizophrenia was the most stigmatized. Multiple regression analyses revealed that extrinsic religiosity was also an important predictor of stigma; extrinsic religiosity was associated with increased stigma in several domains and moderated the relationship between diagnosis and overall stigma. High extrinsic religiosity was associated with increased stigma, with both simple and moderating effects. Simple effects may be related to increased social conformity among religious people. As a moderator, extrinsic religiosity may weaken the link between diagnosis and stigma; high extrinsic religiosity was associated with greater stigma for diagnoses perceived as more "controllable" (i.e., anorexia nervosa, depression) such that levels were similar to schizophrenia. © 2020 American Psychological Association.</t>
  </si>
  <si>
    <t>Johnson-Kwochka A.V., Stull L.G., Salyers M.P.</t>
  </si>
  <si>
    <t>Psychology of Religion and Spirituality</t>
  </si>
  <si>
    <t>https://www.scopus.com/inward/record.uri?eid=2-s2.0-85090305943&amp;doi=10.1037%2frel0000384&amp;partnerID=40&amp;md5=36504e00d26963c7bd4fe4825b7ebb54</t>
  </si>
  <si>
    <t>Johnson-Kwochka, A.V.; Stull, L.G.; Salyers, M.P.</t>
  </si>
  <si>
    <t>Johnson-Kwochka, A.V.</t>
  </si>
  <si>
    <t>The impact of geographic distribution and the nature of technical coupling on the quality of global software development projects</t>
  </si>
  <si>
    <t>10.1002/smr.477</t>
  </si>
  <si>
    <t>Geographically dispersed work is a fundamental trend that has shaped software development in the past few decades. Although researchers have shown that such a trend has its costs in terms of product quality, the past empirical work has neglected to consider the multidimensional nature of geographic dispersion and limited attention has been given to the nature of technical coupling in the context of distributed development. The work reported in this paper seeks to achieve a better understanding of how the quality of systems produced by distributed development projects is impacted by the various dimensions of geographic dispersion and by the forms of technical coupling. We examined 189 software projects from a multinational development organization and our results revealed the various dimensions of distribution that had an independent and complementary impact on the software quality. In particular, we found that projects with uneven distributions of developers across locations were more likely to exhibit higher levels of defects than projects with balanced distributions. Our results also showed that logical dependencies among architectural components are significantly more important for projects than syntactic dependencies. Moreover, considering technical coupling as conditional on project boundaries revealed that internal and external dependencies have a significant and independent impact on the software quality. © 2010 John Wiley &amp; Sons, Ltd.</t>
  </si>
  <si>
    <t>https://www.scopus.com/inward/record.uri?eid=2-s2.0-84863304932&amp;doi=10.1002%2fsmr.477&amp;partnerID=40&amp;md5=575d782dfa929371f18d370a85b24db0</t>
  </si>
  <si>
    <t>Institute for Software Research, Carnegie Mellon University, 5000 Forbes Ave., Pittsburgh, PA 15213, United States; Robert Bosch Engineering and Business Solutions Ltd, 123 Industrial Layout, Hosur Road, Koramangala, Bangalore, India</t>
  </si>
  <si>
    <t>Cataldo, M., Institute for Software Research, Carnegie Mellon University, 5000 Forbes Ave., Pittsburgh, PA 15213, United States; Nambiar, S., Robert Bosch Engineering and Business Solutions Ltd, 123 Industrial Layout, Hosur Road, Koramangala, Bangalore, India</t>
  </si>
  <si>
    <t>Cataldo, M.; Institute for Software Research, 5000 Forbes Ave., Pittsburgh, PA 15213, United States; email: mcataldo@cs.cmu.edu</t>
  </si>
  <si>
    <t>Nguyen-Duc, A.; Department of Computer and Information Science (IDI), Sem Saelands vei 7-9, Norway</t>
  </si>
  <si>
    <t>The impact of mating motives on anti-transgender prejudice</t>
  </si>
  <si>
    <t>36625022900;57197781907;</t>
  </si>
  <si>
    <t>The sociofunctional threat approach to prejudice suggests that negative attitudes toward members of stigmatized groups arise in response to specific social threats that they are perceived to pose. The salience of such threats can be influenced through proximate cues, such as the activation of functional motives related to the threat. This study applies the sociofunctional threat approach to examine anti-transgender prejudice as a possible response to perceived threats to social motives related to mating. Participants included 182 heterosexual men and women who were recruited from Amazon Mechanical Turk. The study used an experimental design, in which participants were first randomly assigned to either a mating motives or control prime condition, and then asked to read and respond to a hypothetical scenario that involved evaluating three fictitious job candidates. The first two candidates were male and female, and the final candidate was randomly assigned to be either a transgender man or woman. Though evaluations of the male and female candidates did not differ by condition, multivariate analyses revealed a significant three-way interaction between participant gender (male vs. female), prime condition (mating vs. control), and candidate gender (transgender male vs. transgender female). Follow-up analyses indicated that the mating manipulation had the greatest negative impact on male participants' evaluations of the transgender woman. These results suggest that transgender people may pose similar kinds of social threats to heterosexual men and women as lesbian, gay, and bisexual individuals. © NAJP.</t>
  </si>
  <si>
    <t>Buck D.M., Nedvin M.A.</t>
  </si>
  <si>
    <t>https://www.scopus.com/inward/record.uri?eid=2-s2.0-85034754190&amp;partnerID=40&amp;md5=fbf1b5edfa6bc23898cc8f25e65255de</t>
  </si>
  <si>
    <t>Department of Psychology, Elon University, Elon, NC  27244, United States</t>
  </si>
  <si>
    <t>Buck, D.M., Department of Psychology, Elon University, Elon, NC  27244, United States; Nedvin, M.A., Department of Psychology, Elon University, Elon, NC  27244, United States</t>
  </si>
  <si>
    <t>Buck, D.M.; Department of Psychology, United States; email: dbuck3@elon.edu</t>
  </si>
  <si>
    <t>The impact of national culture on software engineering practices</t>
  </si>
  <si>
    <t>10.1504/IJTPM.2008.016182</t>
  </si>
  <si>
    <t>23134405500;55485336400;</t>
  </si>
  <si>
    <t>Trends that have contributed to the globalisation of the software engineering industry include virtual collaborative teams, off-shore outsourcing, and international migration of IT professionals. These three trends and the international spread of software engineering standards and methodologies are explored with specific examples from the Australian software engineering industry. Results from a Europe/Australia study about adoption of software best practice conducted in 16 countries are then summarised and analysed using Hofstede's cultural dimensions. The discussion considers the efficacy of the concept 'national culture' in light of the analysis and concludes that software engineering researchers need to reconsider the concept and measurement of national culture. Implications of the globalisation of software engineering standards and methodologies on various stakeholders are discussed. Copyright © 2008 Inderscience Enterprises Ltd.</t>
  </si>
  <si>
    <t>Cater-Steel A., Toleman M.</t>
  </si>
  <si>
    <t>International Journal of Technology, Policy and Management</t>
  </si>
  <si>
    <t>https://www.scopus.com/inward/record.uri?eid=2-s2.0-37848999863&amp;doi=10.1504%2fIJTPM.2008.016182&amp;partnerID=40&amp;md5=6b151c63e9c6af258f9b12ec1d85ffe5</t>
  </si>
  <si>
    <t>Faculty of Business, School of Information Systems, University of Southern Queensland, Toowoomba 4350, Australia; University of Southern Queensland (USQ) Australia; School of Information Systems, University of Southern Queensland</t>
  </si>
  <si>
    <t>Cater-Steel, A., Faculty of Business, School of Information Systems, University of Southern Queensland, Toowoomba 4350, Australia, University of Southern Queensland (USQ) Australia; Toleman, M., Faculty of Business, School of Information Systems, University of Southern Queensland, Toowoomba 4350, Australia, School of Information Systems, University of Southern Queensland</t>
  </si>
  <si>
    <t>Cater-Steel, A.; Faculty of Business, , Toowoomba 4350, Australia; email: Aileen.Cater-Steel@usq.edu.au</t>
  </si>
  <si>
    <t>The impact of overtly listing eligibility requirements on MTurk: An investigation involving organ donation, recruitment scripts, and feelings of elevation</t>
  </si>
  <si>
    <t>10.1016/j.socscimed.2015.08.020</t>
  </si>
  <si>
    <t>8690478100;56091576800;55561676100;</t>
  </si>
  <si>
    <t>Rationale: Investigations conducted through Amazon's Mechanical Turk (MTurk) sometimes explicitly note eligibility requirements when recruiting participants; however, the impact of this practice on data integrity is relatively unexplored within the MTurk context. Objective: Contextualized in the organ donor registration domain, the current study assessed whether overtly listing eligibility requirements impairs the accuracy of data collected on MTurk. Methods: On day 1, the first and third round of data collection did not list eligibility requirements; the second and fourth round overtly listed a qualification requirement: status as a non-registered organ donor. On day 2, the approach was identical, except the order was reversed-the first and third round overtly listed the study qualifications, while the second and fourth did not. These procedures provided eight different waves of data. In addition, all participants were randomly assigned to read an elevating (i.e., morally inspiring) story or a story not intended to elicit any emotion. Regardless of recruitment approach, only participants who were not registered as donors were included in the analysis. Results: Results indicated that the recruitment script that explicitly requested non-registered donors resulted in the collection of participants with higher mean intentions scores than the script that did not overtly list the eligibility requirements. Further, even though the elevation induction increased intentions to register as a donor, there was not a significant interaction between recruitment approach and the influence of the elevation manipulation on registration intentions. Conclusion: Explicitly listing eligibility requirements can influence the accuracy of estimates derived from data collected through MTurk. © 2015 Elsevier Ltd.</t>
  </si>
  <si>
    <t>Siegel J.T., Navarro M.A., Thomson A.L.</t>
  </si>
  <si>
    <t>https://www.scopus.com/inward/record.uri?eid=2-s2.0-84940398534&amp;doi=10.1016%2fj.socscimed.2015.08.020&amp;partnerID=40&amp;md5=0db67988f4200a2fc7123a717f80dc46</t>
  </si>
  <si>
    <t>Claremont Graduate University, United States</t>
  </si>
  <si>
    <t>Siegel, J.T., Claremont Graduate University, United States; Navarro, M.A., Claremont Graduate University, United States; Thomson, A.L., Claremont Graduate University, United States</t>
  </si>
  <si>
    <t>Siegel, J.T.; Claremont Graduate University, 123 E 8th Street, United States</t>
  </si>
  <si>
    <t>The impact of search engine selection and sorting criteria on vaccination beliefs and attitudes:Two experiments manipulating google output</t>
  </si>
  <si>
    <t>10.2196/jmir.2642</t>
  </si>
  <si>
    <t>57190840199;15065886000;15832192200;</t>
  </si>
  <si>
    <t>During the past 2 decades, the Internet has evolved to become a necessity in our daily lives. The selection and sorting algorithms of search engines exert tremendous influence over the global spread of information and other communication processes. Objective: This study is concerned with demonstrating the influence of selection and sorting/ranking criteria operating in search engines on users' knowledge, beliefs, and attitudes of websites about vaccination. In particular, it is to compare the effects of search engines that deliver websites emphasizing on the pro side of vaccination with those focusing on the con side and with normal Google as a control group. Method: We conducted 2 online experiments using manipulated search engines. A pilot study was to verify the existence of dangerous health literacy in connection with searching and using health information on the Internet by exploring the effect of 2 manipulated search engines that yielded either pro or con vaccination sites only, with a group receiving normal Google as control. A pre-post test design was used; participants were American marketing students enrolled in a study-abroad program in Lugano, Switzerland. The second experiment manipulated the search engine by applying different ratios of con versus pro vaccination webpages displayed in the search results. Participants were recruited from Amazon's Mechanical Turk platform where it was published as a human intelligence task (HIT). Results: Both experiments showed knowledge highest in the group offered only pro vaccination sites (Z=-2.088, P=.03; Kruskal-Wallis H test [H5]=11.30, P=.04). They acknowledged the importance/benefits (Z=-2.326, P=.02; H5=11.34, P=.04) and effectiveness (Z=-2.230, P=.03) of vaccination more, whereas groups offered antivaccination sites only showed increased concern about effects (Z=-2.582, P=.01; H5=16.88, P=.005) and harmful health outcomes (Z=-2.200, P=.02) of vaccination. Normal Google users perceived information quality to be positive despite a small effect on knowledge and a negative effect on their beliefs and attitudes toward vaccination and willingness to recommend the information (?2 5=14.1, P=.01). More exposure to antivaccination websites lowered participants' knowledge (J=4783.5, z=-2.142, P=.03) increased their fear of side effects (J=6496, z=2.724, P=.006), and lowered their acknowledgment of benefits (J=4805, z=-2.067, P=.03). Conclusion: The selection and sorting/ranking criteria of search engines play a vital role in online health information seeking. Search engines delivering websites containing credible and evidence-based medical information impact positively Internet users seeking health information. Whereas sites retrieved by biased search engines create some opinion change in users. These effects are apparently independent of users' site credibility and evaluation judgments. Users are affected beneficially or detrimentally but are unaware, suggesting they are not consciously perceptive of indicators that steer them toward the credible sources or away from the dangerous ones. In this sense, the online health information seeker is flying blind. © Ahmed Allam, Peter Johannes Schulz, Kent Nakamoto.</t>
  </si>
  <si>
    <t>Allam A., Schulz P.J., Nakamoto K.</t>
  </si>
  <si>
    <t>https://www.scopus.com/inward/record.uri?eid=2-s2.0-84901466254&amp;doi=10.2196%2fjmir.2642&amp;partnerID=40&amp;md5=b4d36bfa20cb7e6da1ada53352b24227</t>
  </si>
  <si>
    <t>Institute of Communication and Health, Faculty of Communication Sciences, University of Lugano (Università della Svizzera Italiana), 13 G Buffi street, Lugano, 6900, Switzerland; Marketing Department, Pamplin College of Business, Virginia Tech, Blacksburg, VA, United States</t>
  </si>
  <si>
    <t>Allam, A., Institute of Communication and Health, Faculty of Communication Sciences, University of Lugano (Università della Svizzera Italiana), 13 G Buffi street, Lugano, 6900, Switzerland; Schulz, P.J., Institute of Communication and Health, Faculty of Communication Sciences, University of Lugano (Università della Svizzera Italiana), 13 G Buffi street, Lugano, 6900, Switzerland; Nakamoto, K., Marketing Department, Pamplin College of Business, Virginia Tech, Blacksburg, VA, United States</t>
  </si>
  <si>
    <t>Allam, A.; Institute of Communication and Health, 13 G Buffi street, Lugano, 6900, Switzerland; email: ahmed.allam@usi.ch</t>
  </si>
  <si>
    <t>The importance of document ranking and user-generated content for faceted search and book suggestions</t>
  </si>
  <si>
    <t>10.1007/978-3-642-35734-3_2</t>
  </si>
  <si>
    <t>14035038500;7006392783;14035869400;</t>
  </si>
  <si>
    <t>In this paper we describe our participation in INEX 2011 in the Books and Social Search Track and the Data Centric Track. For the Books and Social Search Track we focus on the impact of different document representations of book metadata for book search, using either professional metadata, user-generated content or both. We evaluate the retrieval results against ground truths derived from the recommendations in the LibraryThing discussion groups and from relevance judgements obtained from Amazon Mechanical Turk. Our findings show that standard retrieval models perform better on user-generated metadata than on professional metadata. For the Data Centric Track we focus on the selection of a restricted set of facets and facet values that would optimally guide the user toward relevant information in the Internet Movie Database (IMDb). We explore different methods for effective result summarisation by means of weighted aggregation. These weighted aggregations are used to achieve maximal coverage of search results, while at the same time penalising overlap between sets of documents that are summarised by different facet values. We found that weighted result aggregation combined with redundancy avoidance results in a compact summary of available relevant information. © Springer-Verlag 2012.</t>
  </si>
  <si>
    <t>Adriaans F., Kamps J., Koolen M.</t>
  </si>
  <si>
    <t>https://www.scopus.com/inward/record.uri?eid=2-s2.0-84871561884&amp;doi=10.1007%2f978-3-642-35734-3_2&amp;partnerID=40&amp;md5=f9240308e04a6376119ecb5c78967e47</t>
  </si>
  <si>
    <t>Archives and Information Studies, Faculty of Humanities, University of Amsterdam, Netherlands; Department of Psychology, University of Pennsylvania, United States; ISLA, Faculty of Science, University of Amsterdam, Netherlands</t>
  </si>
  <si>
    <t>Adriaans, F., Archives and Information Studies, Faculty of Humanities, University of Amsterdam, Netherlands, Department of Psychology, University of Pennsylvania, United States; Kamps, J., Archives and Information Studies, Faculty of Humanities, University of Amsterdam, Netherlands, ISLA, Faculty of Science, University of Amsterdam, Netherlands; Koolen, M., Archives and Information Studies, Faculty of Humanities, University of Amsterdam, Netherlands</t>
  </si>
  <si>
    <t>Adriaans, F.; Archives and Information Studies, Netherlands</t>
  </si>
  <si>
    <t>The importance of face-to-face contact and reciprocal relationships and their associations with depressive symptoms and life satisfaction</t>
  </si>
  <si>
    <t>10.1007/s11136-019-02232-7</t>
  </si>
  <si>
    <t>57189710527;23097925700;7003660045;</t>
  </si>
  <si>
    <t>Objective: The current study aimed to examine how patterns of interpersonal relational contexts (e.g., face-to-face or technology-based) and processes (e.g., initiated or accepted) relate to depressive symptomology and life satisfaction. Methods: Participants were recruited through Amazon’s Mechanical Turk (n = 962 adults [52.1% female; aged 18–78; 16.4% Non-White]). Quota sampling was used to closely match the sample demographics to that of the United States Census data. Latent class analyses (LCA) identified classes of interpersonal relations using the Multidimensional Interpersonal Relations Scale. Next, participants’ responses on the Beck Depression Inventory and Satisfaction With Life Scale were examined to evaluate differences in depressive symptoms and life satisfaction across classes. Results: LCA results supported a 4-class model, in which classes were characterized by patterns of relational contexts and processes: Class 1 (50.6%) engagement across all contexts (e.g., face-to-face) and processes (e.g., initiated); Class 2 (12.7%) engagement across all contexts and processes except Facebook; Class 3 (24.0%) engagement in all contexts and only passive processes; and Class 4 (12.7%) engagement in only technology-based contexts and passive processes. Membership in Classes 1 and 2 was associated with lower depressive symptomology and higher life satisfaction as compared to Classes 3 and 4. Conclusion: The findings suggest that patterns of relations differentially relate to depressive symptoms and life satisfaction. The findings suggest that multicontextual (e.g., face-to-face and technology-based) and reciprocal relationships with friends (e.g., initiating and accepting connections) may play an important role in the association between interpersonal relations with life satisfaction and depressive symptoms. © 2019, Springer Nature Switzerland AG.</t>
  </si>
  <si>
    <t>Simone M., Geiser C., Lockhart G.</t>
  </si>
  <si>
    <t>Quality of Life Research</t>
  </si>
  <si>
    <t>https://www.scopus.com/inward/record.uri?eid=2-s2.0-85068039869&amp;doi=10.1007%2fs11136-019-02232-7&amp;partnerID=40&amp;md5=a183524cbf40cd4067c754c1a203bb63</t>
  </si>
  <si>
    <t>Department of Psychology, Utah State University, 2810 Old Main Hill, Logan, UT  84322, United States; Department of Psychiatry and Behavioral Sciences, University of Minnesota, 2450 Riverside Ave, F227, Minneapolis, MN  55454, United States</t>
  </si>
  <si>
    <t>Simone, M., Department of Psychology, Utah State University, 2810 Old Main Hill, Logan, UT  84322, United States, Department of Psychiatry and Behavioral Sciences, University of Minnesota, 2450 Riverside Ave, F227, Minneapolis, MN  55454, United States; Geiser, C., Department of Psychology, Utah State University, 2810 Old Main Hill, Logan, UT  84322, United States; Lockhart, G., Department of Psychology, Utah State University, 2810 Old Main Hill, Logan, UT  84322, United States</t>
  </si>
  <si>
    <t>Simone, M.; Department of Psychiatry and Behavioral Sciences, 2450 Riverside Ave, F227, United States; email: Simon996@umn.edu</t>
  </si>
  <si>
    <t>The MediaEval 2013 brave new task: Emotion in music</t>
  </si>
  <si>
    <t>57188866370;55926558500;36053813000;55218558400;</t>
  </si>
  <si>
    <t>Music is composed to be emotionally expressive. Emotional associations of music thus provide an especially natural feature for music indexing and recommendation. Emotion in Music Task is a brave new task addressing emotional characterization of music. In addressing the difficulties of emotion annotation we have turned to crowdsourcing, using Amazon Mechanical Turk. The dataset consists entirely of Creative Commons music from the Free Music Archive, which as the name suggests, can be shared freely without restrictions. In this paper, the dataset collection, annotations, and evaluation criteria as well as the two required and optional runs are described.</t>
  </si>
  <si>
    <t>Soleymani M., Caro M.N., Schmidt E.M., Yang Y.-H.</t>
  </si>
  <si>
    <t>https://www.scopus.com/inward/record.uri?eid=2-s2.0-84924769195&amp;partnerID=40&amp;md5=2f3fe0f1323d081b89295787f0845ac0</t>
  </si>
  <si>
    <t>Department of Computing, Imperial College London, United Kingdom; Drexel University, United States; Academia Sinica, Taiwan</t>
  </si>
  <si>
    <t>Soleymani, M., Department of Computing, Imperial College London, United Kingdom; Caro, M.N., Drexel University, United States; Schmidt, E.M., Drexel University, United States; Yang, Y.-H., Academia Sinica, Taiwan</t>
  </si>
  <si>
    <t>The mediating effect of rumination between posttraumatic stress disorder symptoms and anger reactions</t>
  </si>
  <si>
    <t>10.1037/tra0000579</t>
  </si>
  <si>
    <t>57213170616;54392860100;55974010800;7003678279;</t>
  </si>
  <si>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 © 2020 American Psychological Association.</t>
  </si>
  <si>
    <t>Christ N.M., Contractor A.A., Wang X., Elhai J.D.</t>
  </si>
  <si>
    <t>https://www.scopus.com/inward/record.uri?eid=2-s2.0-85084639882&amp;doi=10.1037%2ftra0000579&amp;partnerID=40&amp;md5=5184135eda1bb5547dd3f8d0889a64a6</t>
  </si>
  <si>
    <t>Department of Psychology, University of Toledo, United States; Department of Psychology, University of North Texas, United States; Department of Psychology and Department of Psychiatry, University of Toledo, United States</t>
  </si>
  <si>
    <t>Christ, N.M., Department of Psychology, University of Toledo, United States; Contractor, A.A., Department of Psychology, University of North Texas, United States; Wang, X., Department of Psychology, University of Toledo, United States; Elhai, J.D., Department of Psychology and Department of Psychiatry, University of Toledo, United States</t>
  </si>
  <si>
    <t>Elhai, J.D.; Department of Psychology and Department of Psychiatry, 2801 West Bancroft Street, United States; email: contact@jon-elhai.com</t>
  </si>
  <si>
    <t>The mental illness microaggressions scale-perpetrator version (MIMS-P): Reliability and validity</t>
  </si>
  <si>
    <t>10.1016/j.psychres.2015.07.061</t>
  </si>
  <si>
    <t>55270108200;55565102800;55901785200;6602091510;</t>
  </si>
  <si>
    <t>The study objective was to develop a new measure for use in the empirical measurement of microaggression behaviors perpetrated towards persons with mental illness and examine its psychometric properties. Following development of an initial item pool, 505 participants (students at a large college in New York City and community members recruited through Amazon's Mechanical Turk program) completed an online survey including a 20-item measure of microaggression behaviors. Exploratory factor analysis revealed three subscales: Assumption of Inferiority (. α=0.81), Patronization (. α=0.78), and Fear of Mental Illness (. α=0.63). Additional analyses supported convergent validity of the measure with two widely used measures of mental illness stigma. The MIMS-P is the first instrument to measure microaggressions endorsed by perpetrators against a socially marginalized group and demonstrates strong psychometric properties. Inclusion of this scale in future research can help facilitate understanding of perpetrator perspectives and assist with intervention development. © 2015 Elsevier Ireland Ltd.</t>
  </si>
  <si>
    <t>Gonzales L., Davidoff K.C., DeLuca J.S., Yanos P.T.</t>
  </si>
  <si>
    <t>https://www.scopus.com/inward/record.uri?eid=2-s2.0-84939472208&amp;doi=10.1016%2fj.psychres.2015.07.061&amp;partnerID=40&amp;md5=d549d0bac372f9fac111512a7b538de1</t>
  </si>
  <si>
    <t>Psychology Department, John Jay College of Criminal Justice, City University of New York, 524W 59th StNY  10019, United States</t>
  </si>
  <si>
    <t>Gonzales, L., Psychology Department, John Jay College of Criminal Justice, City University of New York, 524W 59th StNY  10019, United States; Davidoff, K.C., Psychology Department, John Jay College of Criminal Justice, City University of New York, 524W 59th StNY  10019, United States; DeLuca, J.S., Psychology Department, John Jay College of Criminal Justice, City University of New York, 524W 59th StNY  10019, United States; Yanos, P.T., Psychology Department, John Jay College of Criminal Justice, City University of New York, 524W 59th StNY  10019, United States</t>
  </si>
  <si>
    <t>Gonzales, L.; Psychology Department, 524W 59th St, United States; email: lgonzales@jjay.cuny.edu</t>
  </si>
  <si>
    <t>The Multidimensional Assessment of Parenting Scale (MAPS): Development and Psychometric Properties</t>
  </si>
  <si>
    <t>10.1007/s10826-017-0741-5</t>
  </si>
  <si>
    <t>36613525500;7102147882;</t>
  </si>
  <si>
    <t>The aim of the current study was to create a new measure of parenting practices, constituted by items from already established measures, to advance the measurement of parenting practices in clinical and research settings. Five stages were utilized to select optimal parenting items, establish a factor structure consisting of positive and negative dimensions of parenting, meaningfully consider child developmental stage, and ensure strong psychometric properties (reliability and validity) of the final measure. A total of 1790 parents (44% fathers) were recruited online through Amazon’s Mechanical Turk for three cohorts: Stages 1 (N = 611), 2 (N = 615), and 3 (N = 564). Each sample was equally divided by child developmental stage: Young childhood (3 to 7 years old), middle childhood (8 to 12 years old), and adolescence (13 to 17 years old). Through the five-stage empirical approach, the Multidimensional Assessment of Parenting Scale (MAPS) was developed, successfully achieving all aims. The MAPS factor structure included both positive and negative dimensions of warmth/hostility and behavioral control that were appropriate for parents of children across the developmental span. The MAPS demonstrated strong reliability and longitudinal analyses provided initial support for the validity of MAPS subscales. © 2017, Springer Science+Business Media New York.</t>
  </si>
  <si>
    <t>Parent J., Forehand R.</t>
  </si>
  <si>
    <t>Journal of Child and Family Studies</t>
  </si>
  <si>
    <t>https://www.scopus.com/inward/record.uri?eid=2-s2.0-85019054320&amp;doi=10.1007%2fs10826-017-0741-5&amp;partnerID=40&amp;md5=46b9a44bf6606f42a366d9dc0666c25e</t>
  </si>
  <si>
    <t>Department of Psychological Science, University of Vermont, Burlington, VT  05405, United States; Department of Psychiatry &amp; Human Behavior, Alpert Medical School of Brown University, Providence, RI  02903, United States</t>
  </si>
  <si>
    <t>Parent, J., Department of Psychological Science, University of Vermont, Burlington, VT  05405, United States, Department of Psychiatry &amp; Human Behavior, Alpert Medical School of Brown University, Providence, RI  02903, United States; Forehand, R., Department of Psychological Science, University of Vermont, Burlington, VT  05405, United States</t>
  </si>
  <si>
    <t>Parent, J.; Department of Psychological Science, United States; email: Justin_parent@brown.edu</t>
  </si>
  <si>
    <t>The Opportunities and Limitations of Using Mechanical Turk (MTURK) in Public Administration and Management Scholarship</t>
  </si>
  <si>
    <t>10.1080/10967494.2016.1276493</t>
  </si>
  <si>
    <t>55372042500;56734108300;56652056200;</t>
  </si>
  <si>
    <t>Other social science fields are increasingly conducting research using Amazon’s Mechanical Turk (MTurk)—an online crowdsourcing platform—but how might MTurk be useful to public administration and management research? This article provides an introduction of the platform and considers both the opportunities and limitations for using MTurk in public administration and management scholarship. We find that MTurk might be relevant for examining particular types of research questions. We identify five areas where MTurk data may complement and enhance public administration and management research: (1) exploratory analyses and survey construction; (2) measurement refinement of latent constructs; (3) experiments; (4) longitudinal research and data collection; and (5) collection of data from citizens. The article emphasizes how a key requisite conditions both the applicability of MTurk data and the validity of MTurk-based findings: the researcher must understand the boundaries and potential of the platform, since the issues related to representativeness, participation, and data quality are non-trivial. Copyright © 2017 Taylor &amp; Francis Group, LLC.</t>
  </si>
  <si>
    <t>Stritch J.M., Pedersen M.J., Taggart G.</t>
  </si>
  <si>
    <t>International Public Management Journal</t>
  </si>
  <si>
    <t>https://www.scopus.com/inward/record.uri?eid=2-s2.0-85015159484&amp;doi=10.1080%2f10967494.2016.1276493&amp;partnerID=40&amp;md5=956b649b17684c2cccd8331d2250bd62</t>
  </si>
  <si>
    <t>ARIZONA STATE UNIVERSITY, United States; SFI–THE DANISH NATIONAL CENTRE FOR SOCIAL RESEARCH AND AARHUS UNIVERSITY, Denmark</t>
  </si>
  <si>
    <t>Stritch, J.M., ARIZONA STATE UNIVERSITY, United States; Pedersen, M.J., SFI–THE DANISH NATIONAL CENTRE FOR SOCIAL RESEARCH AND AARHUS UNIVERSITY, Denmark; Taggart, G., ARIZONA STATE UNIVERSITY, United States</t>
  </si>
  <si>
    <t>Mitlacher, L.W.; BASF AG, HR Policies, C 100, D-67056 Ludwigshafen, Germany; email: lars.mitlacher@basf.com</t>
  </si>
  <si>
    <t>The principles and limits of algorithm-in-the-loop decision making</t>
  </si>
  <si>
    <t>10.1145/3359152</t>
  </si>
  <si>
    <t>The rise of machine learning has fundamentally altered decision making: rather than being made solely by people, many important decisions are now made through an “algorithm-in-the-loop” process where machine learning models inform people. Yet insufficient research has considered how the interactions between people and models actually influence human decisions. Society lacks both clear normative principles regarding how people should collaborate with algorithms as well as robust empirical evidence about how people do collaborate with algorithms. Given research suggesting that people struggle to interpret machine learning models and to incorporate them into their decisions—sometimes leading these models to produce unexpected outcomes—it is essential to consider how different ways of presenting models and structuring human-algorithm interactions affect the quality and type of decisions made. This paper contributes to such research in two ways. First, we posited three principles as essential to ethical and responsible algorithm-in-the-loop decision making. Second, through a controlled experimental study on Amazon Mechanical Turk, we evaluated whether people satisfy these principles when making predictions with the aid of a risk assessment. We studied human predictions in two contexts (pretrial release and financial lending) and under several conditions for risk assessment presentation and structure. Although these conditions did influence participant behaviors and in some cases improved performance, only one desideratum was consistently satisfied. Under all conditions, our study participants 1) were unable to effectively evaluate the accuracy of their own or the risk assessment’s predictions, 2) did not calibrate their reliance on the risk assessment based on the risk assessment’s performance, and 3) exhibited bias in their interactions with the risk assessment. These results highlight the urgent need to expand our analyses of algorithmic decision making aids beyond evaluating the models themselves to investigating the full sociotechnical contexts in which people and algorithms interact. © 2019 Copyright held by the owner/author(s). Publication rights licensed to ACM.</t>
  </si>
  <si>
    <t>https://www.scopus.com/inward/record.uri?eid=2-s2.0-85075059554&amp;doi=10.1145%2f3359152&amp;partnerID=40&amp;md5=4f93a08d7b6e20a6482d2ff6c637549e</t>
  </si>
  <si>
    <t>The relationship between continuous identity disturbances, negative mood, and suicidal ideation</t>
  </si>
  <si>
    <t>10.4088/PCC.15m01824</t>
  </si>
  <si>
    <t>57151160000;57151439000;</t>
  </si>
  <si>
    <t>Objective: To examine the relationship between continuous identity and a measure of depression, anxiety, and stress as well as suicidal ideation using 2 validated measures of continuous identity. Method: A total of 246 subjects recruited from the Amazon Mechanical Turk subject pool who completed a full survey in November 2014 were included in the analyses. Stress, anxiety, and depression severity were measured using the Depression, Anxiety, and Stress Scale. Continuous identity was measured with the Venn continuous identity task and the me/not me continuous identity task. Results: Multiple regression analyses revealed continuous identity disturbances were significantly associated with depressed mood (R2 = 0.37, P &lt;.01). Continuous identity also predicted suicide severity, even after controlling for demographic factors, negative life events, and depressed mood. Additionally, predictive discriminant analysis revealed continuous identity, depression severity, and negative life events correctly classified 74.1% of participants into high and low suicide risk groups. Conclusion: Lack of continuous identity predicted both depression and suicidality severity. Integration of perceived identities may be a worthwhile goal for behavioral interventions aimed at reducing depressed mood and suicidality. © 2016 Physicians Postgraduate Press, Inc.</t>
  </si>
  <si>
    <t>Sokol Y., Eisenheim E.</t>
  </si>
  <si>
    <t>Primary Care Companion to the Journal of Clinical Psychiatry</t>
  </si>
  <si>
    <t>https://www.scopus.com/inward/record.uri?eid=2-s2.0-84959471545&amp;doi=10.4088%2fPCC.15m01824&amp;partnerID=40&amp;md5=4176c75916ce7481816cb7ff6dfa6362</t>
  </si>
  <si>
    <t>Department of Psychology, Hofstra University, Hempstead, NY, United States; Department of Psychiatry, Mount Sinai School of Medicine, New York, NY, United States</t>
  </si>
  <si>
    <t>Sokol, Y., Department of Psychology, Hofstra University, Hempstead, NY, United States; Eisenheim, E., Department of Psychology, Hofstra University, Hempstead, NY, United States, Department of Psychiatry, Mount Sinai School of Medicine, New York, NY, United States</t>
  </si>
  <si>
    <t>Eisenheim, E.; Department of Psychology, 222 Hauser Hall, United States; email: edouardeisenheim@gmail.com</t>
  </si>
  <si>
    <t>The role of cultural differences when using different classifications: An experiment design for design technique selection</t>
  </si>
  <si>
    <t>57194243805;56548720300;57207457968;</t>
  </si>
  <si>
    <t>In order to deliver software which is enjoyable and easy to use, design experts are embedded in the global software development. Yet, the software industry witnesses a shortage in design experts. Design novices need to be trained to select appropriate design techniques for various task scenarios. Here, classifications of design techniques can support this selection. We suggest that the presence of classifications can lead to better task performance, whereas different types of classifications may lead to different task performances of novices. Furthermore, we suggest that cognitive styles can moderate the relationship between classification types and task performances. In order to test the hypotheses, we present the design of an online experiment. The experiment process is explained, and a prototype used in the online experiment and for collecting data is introduced. We expect to extend the theoretical understanding of the role of cultural differences in information systems research. © International Conference on Information Systems 2018, ICIS 2018.All rights reserved.</t>
  </si>
  <si>
    <t>Liu X., Werder K., Zhao Q.</t>
  </si>
  <si>
    <t>https://www.scopus.com/inward/record.uri?eid=2-s2.0-85062552976&amp;partnerID=40&amp;md5=c82a172e8349444f10771e23c403dc51</t>
  </si>
  <si>
    <t>Karlsruhe Institute of Technology, Fritz-Erler-Str. 23, Karlsruhe, 76133, Germany; University of Cologne, Albertus-Magnus-Platz, Cologne, 50923, Germany</t>
  </si>
  <si>
    <t>Liu, X., Karlsruhe Institute of Technology, Fritz-Erler-Str. 23, Karlsruhe, 76133, Germany; Werder, K., University of Cologne, Albertus-Magnus-Platz, Cologne, 50923, Germany; Zhao, Q., Karlsruhe Institute of Technology, Fritz-Erler-Str. 23, Karlsruhe, 76133, Germany</t>
  </si>
  <si>
    <t>The salient motives for Malaysia aviation industry sustainability: An explorative study on business, management and technology components in aviation management program in Malaysia</t>
  </si>
  <si>
    <t>57194176781;57194173728;57201120354;57217869414;57210982560;</t>
  </si>
  <si>
    <t>The purpose of this research is to develop a comprehensive evaluation framework of three important elements, namely business, management and technology embedded in the newly developed Master of Science program in aviation management. Focus group interview has been adopted in this study with the involvement of aviation management faculty members and also panel members from the Board of Studies (BOS). Two prominent aviation practitioners and two leading academicians with aviation background were called for a focus group discussion and the meeting held for six (6) hours. Alignments of the course offered need to be formed to link with aviation industry 4.0 and aviation industry 5.0. This study reveals the critical needs and issue at industry perspective and drives new area for an academician to focus on the syllabus and research. This study bridges the gap between industry and academician by keeping scholars and practitioners abreast of the timeliest industry-academician framework. It elevated the current thinking necessary for better performance of the industry, as well as the quality of the new proposed master program. This study clearly shows both academic and industry players related needs to establish a new program by consolidating both theoretical development and industry career. Recommendation to all academicians, practitioners and policymaker are also highlighted in this study. © ExcelingTech Pub.</t>
  </si>
  <si>
    <t>Rahman N.A.A., Mohammad M.F., Ghafar N.H., Moin M.I.A., Ali A.</t>
  </si>
  <si>
    <t>https://www.scopus.com/inward/record.uri?eid=2-s2.0-85087761213&amp;partnerID=40&amp;md5=13463165675cf62cd27b2ee41130e3fd</t>
  </si>
  <si>
    <t>Universiti Kuala Lumpur, Malaysian Institute of Aviation Technology (UniKL MIAT), Persiaran A, Off Jalan Lapangan Terbang Subang, Subang, Selangor, 47200, Malaysia</t>
  </si>
  <si>
    <t>Rahman, N.A.A., Universiti Kuala Lumpur, Malaysian Institute of Aviation Technology (UniKL MIAT), Persiaran A, Off Jalan Lapangan Terbang Subang, Subang, Selangor, 47200, Malaysia; Mohammad, M.F., Universiti Kuala Lumpur, Malaysian Institute of Aviation Technology (UniKL MIAT), Persiaran A, Off Jalan Lapangan Terbang Subang, Subang, Selangor, 47200, Malaysia; Ghafar, N.H., Universiti Kuala Lumpur, Malaysian Institute of Aviation Technology (UniKL MIAT), Persiaran A, Off Jalan Lapangan Terbang Subang, Subang, Selangor, 47200, Malaysia; Moin, M.I.A., Universiti Kuala Lumpur, Malaysian Institute of Aviation Technology (UniKL MIAT), Persiaran A, Off Jalan Lapangan Terbang Subang, Subang, Selangor, 47200, Malaysia; Ali, A., Universiti Kuala Lumpur, Malaysian Institute of Aviation Technology (UniKL MIAT), Persiaran A, Off Jalan Lapangan Terbang Subang, Subang, Selangor, 47200, Malaysia</t>
  </si>
  <si>
    <t>Rahman, N.A.A.; Universiti Kuala Lumpur, Persiaran A, Off Jalan Lapangan Terbang Subang, Malaysia; email: noraida@unikl.edu.my</t>
  </si>
  <si>
    <t>The Self-perception of Text-message Dependency Scale (STDS): Psychometric update based on a United States sample</t>
  </si>
  <si>
    <t>10.1080/00952990.2018.1465572</t>
  </si>
  <si>
    <t>57519711600;55780697300;7004200283;14627885100;57127177700;55189634600;</t>
  </si>
  <si>
    <t>Background: Some have suggested that text messaging is an addictive behavior. However, this characterization is uncertain, partly due to lack of well-validated measures of text messaging attitudes and behaviors. One standard instrument for measuring text messaging attitudes and behaviors is the Self-perception of Text-message Dependency Scale (STDS), though the psychometric properties of this scale have only been examined with a sample of Japanese youth. Objectives: The primary objective of this study was to evaluate the STDS in the United States to determine its utility as a measure of text messaging dependence. We were interested in examining the factor structure and determining the extent to which this scale would correlate with two important outcome measures: motor vehicle accidents (MVAs) and moving violations. Methods: We analyzed data from 468 adults (age 18–74; 274 women) recruited via Amazon’s Mechanical Turk (mTurk) service. Participants completed the STDS and provided information about their driving-related incidents in the past year. Results: First we performed a confirmatory factor analysis, which supported the instrument’s original factor structure. Then we tested the relationship between scores on the STDS and two important variables, MVAs and moving violations. We found that the STDS significantly correlated with both MVAs and moving violations. Conclusion: The present study confirms that the STDS is a potentially useful instrument for studying texting dependence in the United States and with adults of all ages. The instrument may be particularly useful in predicting motor vehicle outcomes. © 2018, © 2018 Taylor &amp; Francis Group, LLC.</t>
  </si>
  <si>
    <t>Liese B.S., Benau E.M., Atchley P., Reed D., Becirevic A., Kaplan B.</t>
  </si>
  <si>
    <t>https://www.scopus.com/inward/record.uri?eid=2-s2.0-85061820554&amp;doi=10.1080%2f00952990.2018.1465572&amp;partnerID=40&amp;md5=20e5b23dfb7157c2fa1fd90102493bd9</t>
  </si>
  <si>
    <t>Department of Psychology, University of Kansas, Lawrence, KS, United States; Department of Applied Behavioral Science, University of Kansas, Lawrence, KS, United States</t>
  </si>
  <si>
    <t>Liese, B.S., Department of Psychology, University of Kansas, Lawrence, KS, United States; Benau, E.M., Department of Psychology, University of Kansas, Lawrence, KS, United States; Atchley, P., Department of Psychology, University of Kansas, Lawrence, KS, United States; Reed, D., Department of Applied Behavioral Science, University of Kansas, Lawrence, KS, United States; Becirevic, A., Department of Applied Behavioral Science, University of Kansas, Lawrence, KS, United States; Kaplan, B., Department of Applied Behavioral Science, University of Kansas, Lawrence, KS, United States</t>
  </si>
  <si>
    <t>Liese, B.S.; Family Medicine, 3901 Rainbow Blvd.–Mailstop 4010, United States; email: bliese@kumc.edu</t>
  </si>
  <si>
    <t>The shape of and solutions to the MTurk quality crisis</t>
  </si>
  <si>
    <t>10.1017/psrm.2020.6</t>
  </si>
  <si>
    <t>35111336500;56487218300;55559812700;57194181226;57202574803;12795685400;</t>
  </si>
  <si>
    <t>Amazon's Mechanical Turk is widely used for data collection; however, data quality may be declining due to the use of virtual private servers to fraudulently gain access to studies. Unfortunately, we know little about the scale and consequence of this fraud, and tools for social scientists to detect and prevent this fraud are underdeveloped. We first analyze 38 studies and show that this fraud is not new, but has increased recently. We then show that these fraudulent respondents provide particularly low-quality data and can weaken treatment effects. Finally, we provide two solutions: an easy-to-use application for identifying fraud in the existing datasets and a method for blocking fraudulent respondents in Qualtrics surveys. Copyright © The European Political Science Association 2020.</t>
  </si>
  <si>
    <t>Kennedy R., Clifford S., Burleigh T., Waggoner P.D., Jewell R., Winter N.J.G.</t>
  </si>
  <si>
    <t>Political Science Research and Methods</t>
  </si>
  <si>
    <t>https://www.scopus.com/inward/record.uri?eid=2-s2.0-85084214545&amp;doi=10.1017%2fpsrm.2020.6&amp;partnerID=40&amp;md5=8a496d9a3ac3e3cf103fac001f318ba0</t>
  </si>
  <si>
    <t>Department of Political Science, University of Houston, Houston, TX, United States; Clover Health, Jersey City, NJ, United States; Computational Social Science, University of Chicago, Chicago, United States; Department of Politics, University of Virginia, Charlottesville, VA, United States</t>
  </si>
  <si>
    <t>Kennedy, R., Department of Political Science, University of Houston, Houston, TX, United States; Clifford, S., Department of Political Science, University of Houston, Houston, TX, United States; Burleigh, T., Clover Health, Jersey City, NJ, United States; Waggoner, P.D., Computational Social Science, University of Chicago, Chicago, United States; Jewell, R., Department of Political Science, University of Houston, Houston, TX, United States; Winter, N.J.G., Department of Politics, University of Virginia, Charlottesville, VA, United States</t>
  </si>
  <si>
    <t>Clifford, S.; Department of Political Science, United States; email: sclifford@uh.edu</t>
  </si>
  <si>
    <t>The shape of things to come: The On-Demand Economy and the Normative Stakes of Regulating 21st-Century Capitalism</t>
  </si>
  <si>
    <t>10.1017/s1867299x00010096</t>
  </si>
  <si>
    <t>57191849766;</t>
  </si>
  <si>
    <t>The "sharing economy" represents a growing challenge to regulatory policy. In this article, I argue that these debates about the sharing economy are better understood as a broader normative and policy problemof updating our regulatory tools for the new dynamics of 21st century capitalism. The new "on-demand" economy reflectsmore widespread trends in the structure of business organization, driven by new developments in finance and technology. I argue that we should analyze these changes through the normative lens of the balance of economic power: what is especially troubling about the on-demand economy is the way in which it outstrips the modes of accountability and countervailing power enabled by 20th century labor, safety net, and economic regulations. The article then suggests key frontiers for regulatory innovation, in particular: (1) expanding regulatory oversight of concentrated market and economic power among on-demand platforms; (2) expanding the relative power of workers to counteract the concentrated power of platforms in the on-demand economy (for example by expanding safety net protections and the ability to organize collectively); and (3) by reinventing systems of collective urban planning processes in the face of the on-demand economy. All three of these focus areas for regulation would entail a variety of specific interventions, but share a common premise of rebalancing economic power in this new economy. The payoffs of these shifts would be more than an expansion of welfare or efficiency, but rather the creation of a policy regime that enables a richer form of economic freedom that achieves more genuine economic independence from domination of various kinds.</t>
  </si>
  <si>
    <t>Rahman K.S.</t>
  </si>
  <si>
    <t>European Journal of Risk Regulation</t>
  </si>
  <si>
    <t>https://www.scopus.com/inward/record.uri?eid=2-s2.0-85011026185&amp;doi=10.1017%2fs1867299x00010096&amp;partnerID=40&amp;md5=1cc7b59aae4cf1d17202c8af601e9cb0</t>
  </si>
  <si>
    <t>Brooklyn Law School, United States; Roosevelt Institute, United States</t>
  </si>
  <si>
    <t>Rahman, K.S., Brooklyn Law School, United States, Roosevelt Institute, United States</t>
  </si>
  <si>
    <t>Rahman, K.S.; Brooklyn Law SchoolUnited States</t>
  </si>
  <si>
    <t>The tools of management: Adapting historical union tactics to platform-mediated labor</t>
  </si>
  <si>
    <t>10.1145/3359310</t>
  </si>
  <si>
    <t>55735583600;55247553800;35734782600;22836146000;</t>
  </si>
  <si>
    <t>At the same time that workers’ rights are generally declining in the United States (US), workplace computing systems gather more data about workers and their activities than ever before. The rise of large scale labor analytics raises questions about how and whether workers could use such data to advocate for their own goals. Here, we analyze the historical development of workplace technology design methods in CSCW to show how mid-20th century labor responses to scientific management can inform directions in contemporary digital labor advocacy. First, we demonstrate how specific methodological tendencies from industrial scientific management were adapted to work in CSCW, and then subsequently altered in crowd work and social computing research to more closely resemble industrial approaches. Next, we show how three tactics used by labor unions to strategically engage with industrial scientific management in the mid-20th century can inform data-driven worker advocacy in platform-mediated work. Finally, we discuss how this history shapes our understanding of worker participation and the implications of using worker data for contemporary advocacy goals. © 2019 Copyright held by the owner/author(s). Publication rights licensed to ACM.</t>
  </si>
  <si>
    <t>Khovanskaya V., Dombrowski L., Rzeszotarski J., Sengers P.</t>
  </si>
  <si>
    <t>https://www.scopus.com/inward/record.uri?eid=2-s2.0-85075075657&amp;doi=10.1145%2f3359310&amp;partnerID=40&amp;md5=504082f6b90106f38d28cc85b89c5891</t>
  </si>
  <si>
    <t>Cornell University, Information Science, 107 Hoy Rd, Ithaca, NY  14850, United States; Indiana University, IUPUI, 535 W Michigan St, Indianapolis, IN  46202, United States</t>
  </si>
  <si>
    <t>Khovanskaya, V., Cornell University, Information Science, 107 Hoy Rd, Ithaca, NY  14850, United States; Dombrowski, L., Indiana University, IUPUI, 535 W Michigan St, Indianapolis, IN  46202, United States; Rzeszotarski, J., Cornell University, Information Science, 107 Hoy Rd, Ithaca, NY  14850, United States; Sengers, P., Cornell University, Information Science, 107 Hoy Rd, Ithaca, NY  14850, United States</t>
  </si>
  <si>
    <t>The Turker Blues: Hidden Factors Behind Increased Depression Rates Among Amazon’s Mechanical Turkers</t>
  </si>
  <si>
    <t>10.1177/2167702619865973</t>
  </si>
  <si>
    <t>56107854500;57211607392;21833723000;57210204320;51665948700;</t>
  </si>
  <si>
    <t>Data collection from online platforms, such as Amazon’s Mechanical Turk (MTurk), has become popular in clinical research. However, there are also concerns about the representativeness and the quality of these data for clinical studies. The present work explores these issues in the specific case of major depression. Analyses of two large data sets gathered from MTurk (Sample 1: N = 2,692; Sample 2: N = 2,354) revealed two major findings: First, failing to screen for inattentive and fake respondents inflates the rates of major depression artificially and significantly (by 18.5%–27.5%). Second, after cleaning the data sets, depression in MTurk is still 1.6 to 3.6 times higher than general population estimates. Approximately half of this difference can be attributed to differences in the composition of MTurk samples and the general population (i.e., sociodemographics, health, and physical activity lifestyle). Several explanations for the other half are proposed, and practical data-quality tools are provided. © The Author(s) 2019.</t>
  </si>
  <si>
    <t>Ophir Y., Sisso I., Asterhan C.S.C., Tikochinski R., Reichart R.</t>
  </si>
  <si>
    <t>Clinical Psychological Science</t>
  </si>
  <si>
    <t>https://www.scopus.com/inward/record.uri?eid=2-s2.0-85074608412&amp;doi=10.1177%2f2167702619865973&amp;partnerID=40&amp;md5=1059b96b4e144054476ce5ecd746b176</t>
  </si>
  <si>
    <t>School of Education, The Hebrew University of Jerusalem, Israel; Industrial Engineering and Management, Technion–Israel Institute of Technology, Israel; Cognitive Science, The Hebrew University of Jerusalem, Israel</t>
  </si>
  <si>
    <t>Ophir, Y., School of Education, The Hebrew University of Jerusalem, Israel, Industrial Engineering and Management, Technion–Israel Institute of Technology, Israel; Sisso, I., Cognitive Science, The Hebrew University of Jerusalem, Israel; Asterhan, C.S.C., School of Education, The Hebrew University of Jerusalem, Israel; Tikochinski, R., School of Education, The Hebrew University of Jerusalem, Israel; Reichart, R., Industrial Engineering and Management, Technion–Israel Institute of Technology, Israel</t>
  </si>
  <si>
    <t>Ophir, Y.; School of Education, Israel; email: yaakov.ophir@mail.huji.ac.il</t>
  </si>
  <si>
    <t>The web portfolios of independent technical communicators... and the documents of their clients</t>
  </si>
  <si>
    <t>6602270687;</t>
  </si>
  <si>
    <t>Purpose: This empirical study examines whether independent technical communicators' Web portfolios are worthwhile and how technical communicators manage to post work for clients on their own Web sites. Method: The study surveyed 240 independent contractors, consultants, and principals of small businesses that maintain Web sites to market their technical communication services, briefly interviewed half of them, and analyzed posted samples of their work. Results: Results reveal the extent to which posted work samples are useful in marketing technical communication services, and how the numbers of such samples are associated with their overall usefulness. Results also reveal how independent technical communicators overcome such challenges as clients' concerns about proprietary information, confidentiality, and intellectual property in order to post their work. Conclusion: These results carry implications not only for how independent technical communicators disseminate a portfolio of their work but also for how any technical communicators would develop portfolios of their work for employment, academic credentials, or professional certification.</t>
  </si>
  <si>
    <t>Killoran J.B.</t>
  </si>
  <si>
    <t>Technical Communication</t>
  </si>
  <si>
    <t>https://www.scopus.com/inward/record.uri?eid=2-s2.0-80053531541&amp;partnerID=40&amp;md5=828ef3a5c9cecb8d623d10f1fb0d1eb0</t>
  </si>
  <si>
    <t>English Department of Long Island University, United States</t>
  </si>
  <si>
    <t>Killoran, J.B., English Department of Long Island University, United States</t>
  </si>
  <si>
    <t>Killoran, J. B.; English Department of Long Island UniversityUnited States; email: killoran@liu.edu</t>
  </si>
  <si>
    <t>This malware looks familiar: Laymen identify malware run-time similarity with chernoff faces and stick figures</t>
  </si>
  <si>
    <t>10.4108/eai.22-3-2017.152417</t>
  </si>
  <si>
    <t>57190280814;56243350900;57196843159;55831771000;57214547504;56041257900;57094665300;56583246100;55272094200;35609950300;</t>
  </si>
  <si>
    <t>Classifying unknown malicious binaries into malware families provides valuable information to security professionals. The task of recognizing a malicious binary (i.e., atributing it to a previously observed atack patern) is widely considered a difficult task requiring extensive domain expertise. In this work, we offer a new approach which focuses on transforming the the recognition problem domain from system traces to Chernoff faces, thereby engaging the facial recognition aptitude of laymen. To do so we (i) curated a expert tagged dataset of malware variants, (ii) instrumented behavior trace monitors for each variant, (iii) constructed a simple, graph based feature set from the runtime behavior, and (iv) visualized low-dimensional representations of these system call graphs with stick figures and Chernoff faces. We then selected the three families with the largest variation and asked non-experts on Amazon Mechanical Turk to classify binaries between these three families using the generated visual representations, a task that would otherwise be delegated to experts. We found that non-experts completed the task with between 63% and 86% accuracy, and when aggregated, these non-expert labels successfully trained a classifier to a similar level of performance as the ground truth labels. Although simple, the experiments conducted provide a novel evaluation of the inherent difficulty of malware recognition tasks. Additionally new operational possibilities for effective human in the loop malware recognition are indicated and discussed as future work within the research prospectus. Copyright © 2017 ACM.</t>
  </si>
  <si>
    <t>VanHoudnos N., Casey W., French D., Lindauer B., Kanal E., Wright E., Woods B., Moon S., Jansen P., Carbonell J.</t>
  </si>
  <si>
    <t>EAI International Conference on Bio-inspired Information and Communications Technologies (BICT)</t>
  </si>
  <si>
    <t>https://www.scopus.com/inward/record.uri?eid=2-s2.0-85028667155&amp;doi=10.4108%2feai.22-3-2017.152417&amp;partnerID=40&amp;md5=a73e6353e0b837a9eb9acccbc4cc315b</t>
  </si>
  <si>
    <t>Software Engineering Institute, Carnegie Mellon University, United States; Anomali Inc., United States; Turnitin, United States; Language Technologies Institute, Carnegie Mellon University, United States; CMU Software Engineering Institute, United States</t>
  </si>
  <si>
    <t>VanHoudnos, N., Software Engineering Institute, Carnegie Mellon University, United States; Casey, W., Software Engineering Institute, Carnegie Mellon University, United States; French, D., Software Engineering Institute, Carnegie Mellon University, United States; Lindauer, B., Software Engineering Institute, Carnegie Mellon University, United States; Kanal, E., Software Engineering Institute, Carnegie Mellon University, United States; Wright, E., Anomali Inc., United States, CMU Software Engineering Institute, United States; Woods, B., Turnitin, United States, CMU Software Engineering Institute, United States; Moon, S., Language Technologies Institute, Carnegie Mellon University, United States; Jansen, P., Language Technologies Institute, Carnegie Mellon University, United States; Carbonell, J., Language Technologies Institute, Carnegie Mellon University, United States</t>
  </si>
  <si>
    <t>Title: 5th European Conference on Research and Advanced Technology for Digital Libraries, ECDL 2001</t>
  </si>
  <si>
    <t>The proceedings contain 41 papers. The special focus in this conference is on Research and advanced technology for digital libraries. The topics include: Evaluating electronic textbooks; search behavior in a research-oriented digital library; a combined phrase and thesaurus browser for large document collections; customizable retrieval functions based on user tasks in the cultural heritage domain; digital watermark; document classification and interpretation through the inference of logic-based models; steps to a customizable and interlinked on-line electronic variorum edition supporting scholarship; fusion approaches for mappings between heterogeneous ontologies; enhancing digital library documents by a posteriori cross linking using XSLT; using copy-detection and text comparison algorithms for cross-referencing multiple editions of literary works; an architecture for automatic reference linking; disambiguating geographic names in a historical digital library; a platform for distributed digital library applications; linking information with distributed objects; a review of recent developments; flexible interoperability for federated digital libraries; a generic classification and evaluation scheme; a deposit for digital collections; digital libraries in a clinical setting: friend or foe?; interactive, domain-independent identification and summarization of topically related news articles; digital work environment (DWE); learning spaces in digital libraries; ethnography, evaluation, and design as integrated strategies; dynamic models of expert groups to recommend web documents; enhancing information retrieval in federated bibliographic data sources using author network based stratagems and architecture for event-based retrieval from data streams in digital libraries.</t>
  </si>
  <si>
    <t>https://www.scopus.com/inward/record.uri?eid=2-s2.0-84931864069&amp;partnerID=40&amp;md5=ed6774c35cc0d9649e35e865b9de0ffb</t>
  </si>
  <si>
    <t>To thine own self, be true: Examining change in self-reported alcohol measures over time as related to socially desirable responding bias among people with unhealthy alcohol use</t>
  </si>
  <si>
    <t>10.1080/08897077.2019.1697998</t>
  </si>
  <si>
    <t>57203245216;57006486200;7402342187;</t>
  </si>
  <si>
    <t>Background: Due to a conscious or unconscious desire to be perceived favorably by others, some participants may under or overexaggerate when reporting sensitive behaviors or attitudes, including those related to addictions. This socially desirable responding bias should be considered when using self-reports in predictive models since it introduces error. Methods: A total of 1711 participants were recruited using Amazon’s Mechanical Turk crowdsourcing platform for two randomized controlled trials investigating the effectiveness of brief online interventions for hazardous alcohol use. At baseline, participants completed the Balanced Inventory of Desirable Responding (BIDR). Four measures of alcohol use were collected at baseline and follow-up: number of drinks consumed in a typical week, on one occasion, consequences experienced, and amount of perceived risk of injury or illness from alcohol use. Results: As expected, individuals scoring high on the BIDR subscales reported less alcohol use and related behaviors (p &lt; 0.05); however, repeating the analyses for each gender showed no difference for females asked direct questions about the frequency of their alcohol use. Mixed-effects models investigating the interaction of socially desirable responding bias over time on alcohol-related measures showed some significant differences in the amount of change reported depending on BIDR scores. Participants with higher self-deceptive enhancement scores reported less change over time in their ratings of risk of illness or injury (p = 0.001) compared to lower-scoring participants. Likewise, high-scoring participants reported less change in the number of consequences experienced due to alcohol use over time on both BIDR subscales. Neither direct measure of alcohol use seemed affected by BIDR scores over time. A different pattern was found in males and females analyzed separately. Conclusions: These findings suggest that researchers should consider including measures of socially desirable responding bias in longitudinal studies involving self-reported alcohol use, particularly when modeling alcohol-related measures using rating scales across time. In addition, separate gender analyses may be appropriate. Trial registration: ClinicalTrials.gov NCT03008928. Registered 30 December 2016; ClinicalTrials.gov NCT03060135. Registered 17 February 2017. © 2020 Taylor &amp; Francis Group, LLC.</t>
  </si>
  <si>
    <t>Schell C., Godinho A., Cunningham J.A.</t>
  </si>
  <si>
    <t>Substance Abuse</t>
  </si>
  <si>
    <t>https://www.scopus.com/inward/record.uri?eid=2-s2.0-85079402166&amp;doi=10.1080%2f08897077.2019.1697998&amp;partnerID=40&amp;md5=f4d8712f75704fa1e2f52b5047262bcc</t>
  </si>
  <si>
    <t>Institute of Mental Health and Policy Research, Centre for Addiction and Mental Health, Toronto, Canada; Department of Psychiatry, University of Toronto, Toronto, Canada; ANU College of Health and Medicine, Australian National University, Canberra, Australia</t>
  </si>
  <si>
    <t>Schell, C., Institute of Mental Health and Policy Research, Centre for Addiction and Mental Health, Toronto, Canada; Godinho, A.,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ANU College of Health and Medicine, Australian National University, Canberra, Australia</t>
  </si>
  <si>
    <t>Cunningham, J.A.; Institute of Mental Health and Policy Research, 33 Russell St., Canada</t>
  </si>
  <si>
    <t>Too Good to Be True? A Comment on Hall and Krueger’s Analysis of the Labor Market for Uber’s Driver-Partners</t>
  </si>
  <si>
    <t>10.1177/0019793918798593</t>
  </si>
  <si>
    <t>11639481000;57202024268;</t>
  </si>
  <si>
    <t>In their comment on the article on Uber driver-partners by Jonathan Hall and Alan Krueger, the authors analyze the article’s methodological problems, including sample bias, leading questions, selective reporting of findings, and an overestimation of driver earnings, which do not account for the full range of job-related expenses and is based on outdated data. The authors also argue that Hall and Krueger make unsubstantiated claims that extend beyond the scope of their research and ignore a rapidly growing literature that is critical of the Uber model as well as the broader for-hire vehicle industry in which Uber operates. As policymakers grapple with how to respond to transport network companies, the authors argue that a fuller understanding of the costs and benefits of services such as Uber is critical for making informed policies. © The Author(s) 2018.</t>
  </si>
  <si>
    <t>Berg J., Johnston H.</t>
  </si>
  <si>
    <t>ILR Review</t>
  </si>
  <si>
    <t>https://www.scopus.com/inward/record.uri?eid=2-s2.0-85058139273&amp;doi=10.1177%2f0019793918798593&amp;partnerID=40&amp;md5=7dfbec06192f12bff3159f134ffb435e</t>
  </si>
  <si>
    <t>International Labour Office (ILO), Geneva, Switzerland; Department of Geography and Planning, Queen’s University, Kingston, ON, Canada</t>
  </si>
  <si>
    <t>Berg, J.; Johnston, H., International Labour Office (ILO), Geneva, Switzerland, Department of Geography and Planning, Queen’s University, Kingston, ON, Canada</t>
  </si>
  <si>
    <t>Berg, J.email: 8hesj@queensu.ca</t>
  </si>
  <si>
    <t>Tools and techniques for multi-site software development</t>
  </si>
  <si>
    <t>10.1007/978-3-540-30555-2_28</t>
  </si>
  <si>
    <t>55729867300;</t>
  </si>
  <si>
    <t>Business reasons are increasingly causing software development projects to be distributed across the globe. However, software development tools and techniques in use today largely ignore the needs of distributed software development. At IBM India Research Lab, we have been looking at global software development practices to understand problem areas and propose solutions that could be of help. In the first part of this talk, I will chalk out a broad agenda for research in software engineering in aid of multi-site software development. The areas that we will consider are requirements management, application knowledge management, project dashboarding, and software quality assurance. I will touch upon various research efforts at IBM Research and elsewhere in these areas. In the second part of the talk, I will describe our recent work in multi-site requirements management. Among the many challenges that arise in multi-site development, precise communication and management of requirements appears to be of immense importance. This particular challenge arises in the need for collaboration between the analysts and the systems engineers in mapping business requirements to system requirements, for communication between systems engineers and testers to create test cases for requirements, for coordination between the customer, analyst, developers and testers during requirement changes, and so on. Remoteness and time-zone differences strain each part of this scenario, leading to excessive re-work, delays and cost escalations. We are building a tool for multi-site requirements management. The salient features of this tool include views into the requirements and traceability information, synchronous as well as asynchronous communication facilities integrated in the views to enable in context communication; assisted change management; search on persisted communication and change logs; and visual clues to provide a heightened sense of awareness, indicating which stakeholders are online, which artifacts have pending notifications, current discussions etc. This talk is based on joint work with Bikram Sengupta and Vibha S. Sinha of IBM India Research Lab. © Springer-Verlag Berlin Heidelberg 2004.</t>
  </si>
  <si>
    <t>Chandra S.</t>
  </si>
  <si>
    <t>https://www.scopus.com/inward/record.uri?eid=2-s2.0-85029747835&amp;doi=10.1007%2f978-3-540-30555-2_28&amp;partnerID=40&amp;md5=2fec5404f1878f1b58b61e6b6a378773</t>
  </si>
  <si>
    <t>IBM India Research Lab, New Delhi, India</t>
  </si>
  <si>
    <t>Chandra, S., IBM India Research Lab, New Delhi, India</t>
  </si>
  <si>
    <t>Chandra, S.; IBM India Research LabIndia; email: satishchandra@in.ibm.com</t>
  </si>
  <si>
    <t>Topic identification based extrinsic evaluation of summarization techniques applied to conversational speech</t>
  </si>
  <si>
    <t>10.1109/ICASSP.2012.6289061</t>
  </si>
  <si>
    <t>55414597000;7006945150;</t>
  </si>
  <si>
    <t>Document summarization algorithms are most commonly evaluated according to the intrinsic quality of the summaries they produce. An alternate approach is to examine the extrinsic utility of a summary, measured by the ability of the summary to aid a human in the completion of a specific task. In this paper, we use topic identification as a proxy for relevancy determination in the context of an information retrieval task, and a summary is deemed effective if it enables a user to determine the topical content of a retrieved document. We utilize Amazon's Mechanical Turk service to perform a large-scale human study contrasting four different summarization systems applied to conversational speech from the Fisher Corpus. We show that these results appear to be correlated with the performance of an automated topic identification system, and argue that this automated system can act as a low-cost proxy for a human evaluation during the development stages of a summarization system. © 2012 IEEE.</t>
  </si>
  <si>
    <t>Harwath D., Hazen T.J.</t>
  </si>
  <si>
    <t>https://www.scopus.com/inward/record.uri?eid=2-s2.0-84867599541&amp;doi=10.1109%2fICASSP.2012.6289061&amp;partnerID=40&amp;md5=7056528ce4c5e30c8224cae808e9c56e</t>
  </si>
  <si>
    <t>MIT Lincoln Laboratory, Lexington, MA, United States</t>
  </si>
  <si>
    <t>Harwath, D., MIT Lincoln Laboratory, Lexington, MA, United States; Hazen, T.J., MIT Lincoln Laboratory, Lexington, MA, United States</t>
  </si>
  <si>
    <t>Harwath, D.; MIT Lincoln Laboratory, Lexington, MA, United States</t>
  </si>
  <si>
    <t>Tourism and the collaborative economy: The case of free walking tours in Barcelona [Turismo y economía colaborativa: El caso de los recorridos gratuitos a pie en Barcelona]</t>
  </si>
  <si>
    <t>10.6018/turismo.41.327051</t>
  </si>
  <si>
    <t>57195480184;7101954358;</t>
  </si>
  <si>
    <t>Tourism has undergone a deep change closely linked to the accelerated use of the Internet and social media. In this context, the concept of free walking tours free of charge are becoming increasingly popular throughout Europe. This article analyzes from an exploratory approach and based on the principles of evolutionary economic geography, the free walking tours as part of the collaborative economy in Barcelona. This approach allows us to understand this emerging collaborative market and how it impacts the relationship between businesses, the tourists and the destination. © 2018 Universidad de Murcia. All rights reserved.</t>
  </si>
  <si>
    <t>Londoño M.D.P.L., Xavier Medina F.</t>
  </si>
  <si>
    <t>Cuadernos de Turismo</t>
  </si>
  <si>
    <t>https://www.scopus.com/inward/record.uri?eid=2-s2.0-85046965336&amp;doi=10.6018%2fturismo.41.327051&amp;partnerID=40&amp;md5=ab26c4446ee527c334a459d2196307be</t>
  </si>
  <si>
    <t>Ostelea, School of Tourism and Hospitality, C/ Aragó, 28, Barcelona, 08015, Spain; Universitat Oberta de Catalunya, Av. Tibidabo, 39-43, Barcelona, 08035, Spain</t>
  </si>
  <si>
    <t>Londoño, M.D.P.L., Ostelea, School of Tourism and Hospitality, C/ Aragó, 28, Barcelona, 08015, Spain; Xavier Medina, F., Universitat Oberta de Catalunya, Av. Tibidabo, 39-43, Barcelona, 08035, Spain</t>
  </si>
  <si>
    <t>Toward the optimized crowdsourcing strategy for OCR post-correction</t>
  </si>
  <si>
    <t>10.1108/AJIM-07-2019-0189</t>
  </si>
  <si>
    <t>57213151397;55753219100;25825790600;</t>
  </si>
  <si>
    <t>Purpose: Digitization of historical documents is a challenging task in many digital humanities projects. A popular approach for digitization is to scan the documents into images, and then convert images into text using optical character recognition (OCR) algorithms. However, the outcome of OCR processing of historical documents is usually inaccurate and requires post-processing error correction. The purpose of this paper is to investigate how crowdsourcing can be utilized to correct OCR errors in historical text collections, and which crowdsourcing methodology is the most effective in different scenarios and for various research objectives. Design/methodology/approach: A series of experiments with different micro-task’s structures and text lengths were conducted with 753 workers on the Amazon’s Mechanical Turk platform. The workers had to fix OCR errors in a selected historical text. To analyze the results, new accuracy and efficiency measures were devised. Findings: The analysis suggests that in terms of accuracy, the optimal text length is medium (paragraph-size) and the optimal structure of the experiment is two phase with a scanned image. In terms of efficiency, the best results were obtained when using longer text in the single-stage structure with no image. Practical implications: The study provides practical recommendations to researchers on how to build the optimal crowdsourcing task for OCR post-correction. The developed methodology can also be utilized to create golden standard historical texts for automatic OCR post-correction. Originality/value: This is the first attempt to systematically investigate the influence of various factors on crowdsourcing-based OCR post-correction and propose an optimal strategy for this process. © 2019, Emerald Publishing Limited.</t>
  </si>
  <si>
    <t>Suissa O., Elmalech A., Zhitomirsky-Geffet M.</t>
  </si>
  <si>
    <t>https://www.scopus.com/inward/record.uri?eid=2-s2.0-85077616260&amp;doi=10.1108%2fAJIM-07-2019-0189&amp;partnerID=40&amp;md5=b0767f70cb89c9c2f5eb83ae1248f640</t>
  </si>
  <si>
    <t>Bar-Ilan University, Ramat Gan, Israel</t>
  </si>
  <si>
    <t>Suissa, O., Bar-Ilan University, Ramat Gan, Israel; Elmalech, A., Bar-Ilan University, Ramat Gan, Israel; Zhitomirsky-Geffet, M., Bar-Ilan University, Ramat Gan, Israel</t>
  </si>
  <si>
    <t>Suissa, O.; Bar-Ilan UniversityIsrael; email: omrivm@gmail.com</t>
  </si>
  <si>
    <t>Towards an application lifecycle management framework</t>
  </si>
  <si>
    <t>54412428000;</t>
  </si>
  <si>
    <t>One recent effort to support the development and management of products is the concept of Lifecycle Management. Lifecycle Management approaches promise more systematic and efficient ways to support the development and management of complex products. Product Lifecycle Management (PLM) means the activity of managing a company's products across their lifecycles in the most effective way. The concept of Application Lifecycle Management (ALM), on the other hand, indicates the coordination of activities and the management of artefacts (e.g., requirements, source code, test cases) during the software (SW) product's lifecycle. The definition and understanding of both these concepts have been driven by tool vendors. This thesis focuses on ALM and, especially, the development phase of the SW lifecycle. There are surprisingly few scientific efforts to define what ALM constitutes and scientifically reported experiences of the practical development and deployment of ALM solutions in an industrial context. ALM solutions tend to be complex, integrating different tools and practices that are used to produce and manage artefacts during the SW development lifecycle, and there is therefore an apparent need to support the development of such complex solutions for industrial contexts. This thesis presents an effort towards an ALM framework that can be used to document and analyse an organisation's ALM solution and find improvement ideas for it. This effort began in 2006 and iteratively constructed and demonstrated a proposal for an ALM framework during a series of case studies. The current version of the ALM framework contains six principal elements of ALM, a description of the relations between the elements and an ALM element mapping to the Global Software Development (GSD) patterns in order to reveal how ALM may support GSD. The evolving framework has been demonstrated in four industrial case studies and gradually refined based on the experiences gained from the studies. First, three case studies were carried out in the automation industry and a fourth case study in the telecommunications industry. This thesis presents the four case studies to the reader and explains the whole research process from the initial literature study, via four phases of constructing and demonstrating the evolving ALM framework, to a proposal for an ALM framework. Furthermore, the series of case studies revealed several experiences related to the application and improvement of an ALM solution in an industrial context. These experiences are also presented and discussed in this thesis. © VTT 2011.</t>
  </si>
  <si>
    <t>Kääridäinen J.</t>
  </si>
  <si>
    <t>VTT Publications</t>
  </si>
  <si>
    <t>https://www.scopus.com/inward/record.uri?eid=2-s2.0-80054954244&amp;partnerID=40&amp;md5=f10c349ac6553f31db9646b9fd5bf395</t>
  </si>
  <si>
    <t>Faculty of Science, University of Oulu, Finland</t>
  </si>
  <si>
    <t>Kääridäinen, J., Faculty of Science, University of Oulu, Finland</t>
  </si>
  <si>
    <t>Kääridäinen, J.; Faculty of Science, Finland</t>
  </si>
  <si>
    <t>Towards best practices for crowdsourcing ontology alignment benchmarks</t>
  </si>
  <si>
    <t>56982672500;13806682500;57148204500;56878713400;</t>
  </si>
  <si>
    <t>Ontology alignment systems establish the links between ontologies that enable knowledge from various sources and domains to be used by applications in many different ways. Unfortunately, these systems are not perfect. Currently the results of even the best-performing alignment systems need to be manually verified in order to be fully trusted. Ontology alignment researchers have turned to crowdsourcing platforms such as Amazon's Mechanical Turk to accomplish this. However, there has been little systematic analysis of the accuracy of crowdsourcing for alignment verification and the establishment of best practices. In this work, we analyze the impact of the presentation of the context of potential matches and the way in which the question is presented to workers on the accuracy of crowdsourcing for alignment verification. © 2016, CEUR-WS. All rights reserved.</t>
  </si>
  <si>
    <t>Amini R., Cheatham M., Grzebala P., McCurdy H.B.</t>
  </si>
  <si>
    <t>https://www.scopus.com/inward/record.uri?eid=2-s2.0-85009484070&amp;partnerID=40&amp;md5=0cbdd538f166d12ee8e67fbfef2f9f83</t>
  </si>
  <si>
    <t>Data Semantics Laboratory, Wright State University, Dayton, OH, United States</t>
  </si>
  <si>
    <t>Amini, R., Data Semantics Laboratory, Wright State University, Dayton, OH, United States; Cheatham, M., Data Semantics Laboratory, Wright State University, Dayton, OH, United States; Grzebala, P., Data Semantics Laboratory, Wright State University, Dayton, OH, United States; McCurdy, H.B., Data Semantics Laboratory, Wright State University, Dayton, OH, United States</t>
  </si>
  <si>
    <t>Towards Controlling False Alarm-Miss Trade-Off in Perceptual Speaker Comparison via Non-Neutral Listening Task Framing</t>
  </si>
  <si>
    <t>10.1109/ASRU46091.2019.9003978</t>
  </si>
  <si>
    <t>56331086500;23135344600;</t>
  </si>
  <si>
    <t>Speaker comparison by listening is a valuable resource, for instance, in human voice discrimination studies, and voice conversion (VC) systems evaluations. Usually, listeners are provided with application-neutral guidelines that encourage retaining overall high speaker discrimination accuracy. Nonetheless, listeners are subject to misses (declaring same-speaker trial as different-speaker) and false alarms (vice versa) with possibly non-symmetric outcomes. In automatic speaker verification (ASV) applications, the consequences of a miss and a false alarm are rarely equal, and decision making policy is adjusted towards a given application with a desired miss/false alarm trade-off. We study whether listener decisions could similarly be controlled to provoke more accept (or reject) decisions, by framing the voice comparison task in different ways. Our neutral, forensic, user-convenient bank and secure bank scenarios are played by disjoint panels (through Amazon's Mechanical Turk), all judging the same speaker trials originated from RedDots and 2018 Voice Conversion Challenge (VCC 2018) data. Our results indicate that listener decisions can be influenced by modifying the task framing. As a subjective task, the challenge is how to drive the panel decisions to the desired direction (to reduce miss or false alarm rate). Our preliminary results suggest potential for novel, application-directed speaker discrimination designs. © 2019 IEEE.</t>
  </si>
  <si>
    <t>Hautamaki R.G., Kinnunen T.H.</t>
  </si>
  <si>
    <t>2019 IEEE Automatic Speech Recognition and Understanding Workshop, ASRU 2019 - Proceedings</t>
  </si>
  <si>
    <t>https://www.scopus.com/inward/record.uri?eid=2-s2.0-85081581370&amp;doi=10.1109%2fASRU46091.2019.9003978&amp;partnerID=40&amp;md5=ad52cc5ae6921fd308221fb11f648623</t>
  </si>
  <si>
    <t>Computational Speech Group, School of Computing, University of Eastern Finland, Joensuu, 80110, Finland</t>
  </si>
  <si>
    <t>Hautamaki, R.G., Computational Speech Group, School of Computing, University of Eastern Finland, Joensuu, 80110, Finland; Kinnunen, T.H., Computational Speech Group, School of Computing, University of Eastern Finland, Joensuu, 80110, Finland</t>
  </si>
  <si>
    <t>Towards developing collaborative experience based factory model for software development process in cloud computing environment</t>
  </si>
  <si>
    <t>10.15866/irecos.v10i3.5763</t>
  </si>
  <si>
    <t>23392333400;24483156100;57210313353;39861316500;</t>
  </si>
  <si>
    <t>Knowledge and experience are important assets for software organizations. In today’s global software development trends, development teams are no longer located in single premise; they are spreading across national and geographic boundaries. As a software project progresses, more and more activities are involved which results with the accumulation of knowledge and experiences. Maintaining and reusing of past experiences are vital; and it is even more crucial for distributed teams. In order to sustain in today’s competitive advantages, organizations should prepare a well collaborative solution for managing software development knowledge and experiences to maximize sharing and future reuse. Numerous attempts have been invested by researchers to overcome the issues on knowledge management in software development; however, the emphasis on the actual experiences collected throughout the development phases is limited. Furthermore, there are not many solutions offering comprehensive collaborative solution for managing software development experiences. In this paper, we propose a model for managing software development experiences including its tacit and explicit knowledge based on experience factory approach. The model is adapted for cloud computing environment with the goal to provide efficient and effective collaborative solution for knowledge access, sharing and reuse by capitalizing the cloud’s resources and infrastructure. A systematic literature review has been conducted to investigate the current issues of knowledge management in software development and to analyze available approaches and solutions. The findings are quantitatively and qualitatively evaluated to support the model formulation. © 2015 Praise Worthy Prize S.r.l. - All rights reserved.</t>
  </si>
  <si>
    <t>Hanafiah M., Abdullah R., Murad M.A.A., Din J.</t>
  </si>
  <si>
    <t>https://www.scopus.com/inward/record.uri?eid=2-s2.0-84937845393&amp;doi=10.15866%2firecos.v10i3.5763&amp;partnerID=40&amp;md5=71fb1cc900ecb773718ad57fd09b8514</t>
  </si>
  <si>
    <t>TSS Asia Mercedes-Benz, Malaysia; University Putra Malaysia, Malaysia</t>
  </si>
  <si>
    <t>Hanafiah, M., TSS Asia Mercedes-Benz, Malaysia; Abdullah, R., University Putra Malaysia, Malaysia; Murad, M.A.A., University Putra Malaysia, Malaysia; Din, J., University Putra Malaysia, Malaysia</t>
  </si>
  <si>
    <t>Towards specification patterns for global software development projects experiences from the industry</t>
  </si>
  <si>
    <t>10.1109/QUATIC.2010.12</t>
  </si>
  <si>
    <t>7801419975;36809620100;7004530938;</t>
  </si>
  <si>
    <t>The quality of a software requirements specification (SRS) is critical to project success, especially in global software development (GSD). Devising a high quality SRS however is difficult. Moreover, companies have compiled their own specification method, and find it impossible to rewrite rolled-out methods so profoundly that they address GSD specific challenges. We describe how Capgemini sd&amp;m addressed this problem by augmenting its specification method by a set of 'specification patterns' for GSD projects. These patterns concisely describe practices that analysts have to keep in mind when writing a SRS for an offshore development team. The patterns are agnostic to concrete life cycle models, and can thus be employed in various GSD project settings. We explain how applying the patterns help to melt client, onshore and offshore developers into 'one team'. A real world case study shows how the patterns have been applied in a GSD project at Capgemini sd&amp;m. © 2010 IEEE.</t>
  </si>
  <si>
    <t>Salger F., Englert J., Engels G.</t>
  </si>
  <si>
    <t>Proceedings - 7th International Conference on the Quality of Information and Communications Technology, QUATIC 2010</t>
  </si>
  <si>
    <t>https://www.scopus.com/inward/record.uri?eid=2-s2.0-78751491812&amp;doi=10.1109%2fQUATIC.2010.12&amp;partnerID=40&amp;md5=a690bca16031cb2c9c1e87113a007b08</t>
  </si>
  <si>
    <t>Capgemini sdandm, Carl-Wery-Strabe 42, 81739 Munich, Germany; University of Paderborn, Warburger Strabe 100, 33098 Paderborn, Germany</t>
  </si>
  <si>
    <t>Salger, F., Capgemini sdandm, Carl-Wery-Strabe 42, 81739 Munich, Germany; Englert, J., Capgemini sdandm, Carl-Wery-Strabe 42, 81739 Munich, Germany; Engels, G., University of Paderborn, Warburger Strabe 100, 33098 Paderborn, Germany</t>
  </si>
  <si>
    <t>Salger, F.; Capgemini sdandm, Carl-Wery-Strabe 42, 81739 Munich, Germany; email: frank.salger@capgemini-sdm.com</t>
  </si>
  <si>
    <t>Towards task recommendation in micro-task markets</t>
  </si>
  <si>
    <t>14008509500;10238824700;35609950300;</t>
  </si>
  <si>
    <t>As researchers embrace micro-task markets for eliciting human input, the nature of the posted tasks moves from those requiring simple mechanical labor to requiring specific cognitive skills. On the other hand, increase is seen in the number of such tasks and the user population in micro-task market places requiring better search interfaces for productive user participation. In this paper we posit that understanding user skill sets and presenting them with suitable tasks not only maximizes the over quality of the output, but also attempts to maximize the benefit to the user in terms of more successfully completed tasks. We also implement a recommendation engine for suggesting tasks to users based on implicit modeling of skills and interests. We present results from a preliminary evaluation of our system using publicly available data gathered from a variety of human computation experiments recently conducted on Amazon's Mechanical Turk. Copyright © 2011, Association for the Advancement of Artificial Intelligence. All rights reserved.</t>
  </si>
  <si>
    <t>Ambati V., Vogel S., Carbonell J.</t>
  </si>
  <si>
    <t>https://www.scopus.com/inward/record.uri?eid=2-s2.0-80055049926&amp;partnerID=40&amp;md5=6212dfc0d1c825e5a4202c13d6f86453</t>
  </si>
  <si>
    <t>Language Technologies Institute, Carnegie Mellon University, 5000 Forbes Avenue, Pittsburgh, PA 15213, United States</t>
  </si>
  <si>
    <t>Ambati, V., Language Technologies Institute, Carnegie Mellon University, 5000 Forbes Avenue, Pittsburgh, PA 15213, United States; Vogel, S., Language Technologies Institute, Carnegie Mellon University, 5000 Forbes Avenue, Pittsburgh, PA 15213, United States; Carbonell, J., Language Technologies Institute, Carnegie Mellon University, 5000 Forbes Avenue, Pittsburgh, PA 15213, United States</t>
  </si>
  <si>
    <t>Ambati, V.; Language Technologies Institute, 5000 Forbes Avenue, Pittsburgh, PA 15213, United States</t>
  </si>
  <si>
    <t>Training Less Threatening Interpretations Over the Internet: Impact of Priming Anxious Imagery and Using a Neutral Control Condition</t>
  </si>
  <si>
    <t>10.1007/s10608-018-9922-9</t>
  </si>
  <si>
    <t>57202265250;36949271600;57189037257;6602263693;</t>
  </si>
  <si>
    <t>Cognitive Bias Modification to reduce threat interpretations (CBM-I) is a computer-based paradigm designed to train a less negative interpretation bias that has shown some success in the lab, but results for web-based CBM-I are often mixed. To test possible explanations for the poorer results online, participants high in social anxiety (N = 379) were recruited from Amazon’s Mechanical Turk to complete a single-session, proof-of-principle study to investigate: (1) whether web-based CBM-I can shift interpretations of social situations to be less negative and reduce anticipatory social anxiety, (2) whether a common “control” condition used in CBM-I studies is in fact inert by incorporating an alternate control condition, and (2) whether priming anxious imagery prior to training moderates CBM-I’s effects. Participants were randomly assigned to one of three training conditions: all positive, half positive/half negative, or neutral unemotional scenarios. Participants also received an anxious or neutral imagery prime before training. Although results were somewhat mixed across outcome measures, findings generally suggested that participants exhibited less negative interpretations of ambiguous social scenarios following positive training with an anxious imagery prime. There was also some evidence that the neutral training condition was associated with less negative interpretations, and evidence that the half positive/half negative training condition led to the least anticipatory anxiety, especially when paired with anxious imagery. Findings are discussed in light of different training effects for near- and far-transfer outcomes. © 2018, Springer Science+Business Media, LLC, part of Springer Nature.</t>
  </si>
  <si>
    <t>Edwards C.B., Portnow S., Namaky N., Teachman B.A.</t>
  </si>
  <si>
    <t>Cognitive Therapy and Research</t>
  </si>
  <si>
    <t>https://www.scopus.com/inward/record.uri?eid=2-s2.0-85047664832&amp;doi=10.1007%2fs10608-018-9922-9&amp;partnerID=40&amp;md5=c25394355f26555a594442b4704844e4</t>
  </si>
  <si>
    <t>University of Virginia, Charlottesville, VA, United States; West Virginia University, Morgantown, WV, United States</t>
  </si>
  <si>
    <t>Edwards, C.B., University of Virginia, Charlottesville, VA, United States, West Virginia University, Morgantown, WV, United States; Portnow, S., University of Virginia, Charlottesville, VA, United States; Namaky, N., University of Virginia, Charlottesville, VA, United States; Teachman, B.A., University of Virginia, Charlottesville, VA, United States</t>
  </si>
  <si>
    <t>Edwards, C.B.; University of VirginiaUnited States; email: cgbrooks@mix.wvu.edu</t>
  </si>
  <si>
    <t>Kluge, J.; Human Computer Interaction Center, Campus-Boulevard 57, Germany; email: kluge@comm.rwth-aachen.de</t>
  </si>
  <si>
    <t>Transformation of the paradigm of the economic entities development in digital economy</t>
  </si>
  <si>
    <t>10.37394/232015.2020.16.41</t>
  </si>
  <si>
    <t>36069871100;56912277800;57216947716;57210597185;</t>
  </si>
  <si>
    <t>Global digitization forces modern enterprises to respond to the rapid changes in the external environment and adapt to it. As a result, existing business models are being transformed in the areas of production, promotion, communication, calculations, interaction with partners and consumers. In this context, there is growing scientific interest in exploring theoretical and practical aspects of the economy digitization and its impact on the peculiarities of the economic entities functioning. Features of functioning of classical and digital economic entities on the basis of criterion approach have been investigated, using the following criteria: factors of production, form of business organization, location of workplace, production outcome, economic processes, connection with on-demand economy, methods of payment, relations with other enterprises, professions enhancing the image of the enterprise, communication method between employees, saving and processing of information, company promotion tools and consumer communication. The main statistical indicators of the digitalization impact on the activity of enterprises in the world and in Ukraine in 2018 have been analyzed. The feasibility of using digital economy tools has been outlined. Advantages and disadvantages of the impact of digital transformation space on the enterprise have been identified. © 2020, World Scientific and Engineering Academy and Society. All rights reserved.</t>
  </si>
  <si>
    <t>Shkarlet S., Dubyna M., Shtyrkhun K., Verbivska L.</t>
  </si>
  <si>
    <t>WSEAS Transactions on Environment and Development</t>
  </si>
  <si>
    <t>https://www.scopus.com/inward/record.uri?eid=2-s2.0-85085500760&amp;doi=10.37394%2f232015.2020.16.41&amp;partnerID=40&amp;md5=f726a24929341643b4892cd65a30c71c</t>
  </si>
  <si>
    <t>National University "Chernihiv Polytechnic", Chernihiv, 14035, Ukraine; Department of Finance, Banking and Insurance, National University "Chernihiv Polytechnic", Chernihiv, 14035, Ukraine; Department of Business, Trade and Stock Exchange Operations, Yuriy Fedkovych Chernivtsi National University, Chernivtsi, 58012, Ukraine</t>
  </si>
  <si>
    <t>Shkarlet, S., National University "Chernihiv Polytechnic", Chernihiv, 14035, Ukraine; Dubyna, M., Department of Finance, Banking and Insurance, National University "Chernihiv Polytechnic", Chernihiv, 14035, Ukraine; Shtyrkhun, K., Department of Finance, Banking and Insurance, National University "Chernihiv Polytechnic", Chernihiv, 14035, Ukraine; Verbivska, L., Department of Business, Trade and Stock Exchange Operations, Yuriy Fedkovych Chernivtsi National University, Chernivtsi, 58012, Ukraine</t>
  </si>
  <si>
    <t>Understanding the turnover intention of crowd workers of microtask crowdsourcing platform</t>
  </si>
  <si>
    <t>57211534179;54384966900;7202743106;</t>
  </si>
  <si>
    <t>Microtask crowdsourcing is a relatively new work form enabled by information technologies. For both practitioners and academics, understanding the turnover intention of the users, requesters and crowd workers respectively, of microtask crowdsourcing is very important. However, compared with the relatively large literature on requester, studies focusing on worker crowd workers are limited. Therefore, in this study, we investigate the crowd workers’ intentions to leave the microtask crowdsourcing. The research goal is to analyze the motivations of crowd workers systematically and identify those factors that influenced their turnover intention. Based on perceived value and justice perspectives, a research model is developed. The proposed hypotheses will be tested using data from Amazon Mechanical Turk. © 2019 International Consortium for Electronic Business. All rights reserved.</t>
  </si>
  <si>
    <t>Lei Y., Cui X., Cheung W.</t>
  </si>
  <si>
    <t>https://www.scopus.com/inward/record.uri?eid=2-s2.0-85082610287&amp;partnerID=40&amp;md5=5ce2600ae77be2b9bc1591e4dfa55143</t>
  </si>
  <si>
    <t>Southern University of Science and Technology, China; Hong Kong Shue Yan University, Hong Kong; Chinese University of Hong Kong, Hong Kong</t>
  </si>
  <si>
    <t>Lei, Y., Southern University of Science and Technology, China; Cui, X., Hong Kong Shue Yan University, Hong Kong; Cheung, W., Chinese University of Hong Kong, Hong Kong</t>
  </si>
  <si>
    <t>Lei, Y.; Southern University of Science and TechnologyChina; email: leiy@sustech.edu.cn</t>
  </si>
  <si>
    <t>Understanding user participation from the perspective of psychological ownership: The moderating role of social distance</t>
  </si>
  <si>
    <t>10.1016/j.chb.2019.106207</t>
  </si>
  <si>
    <t>36450797300;</t>
  </si>
  <si>
    <t>This research provides a new perspective to understand user participation in social media by focusing on the user-platform relationship. By drawing on the theory of psychological ownership, this study argues that the key to promoting user participation is to create feelings of ownership toward social media, as this signifies a strong psychological bond between users and the platform. The model was tested using a web-based survey with respondents that were recruited from Amazon's Mechanical Turk. Structural equation modeling analyses demonstrated that self-investment and perceived control positively influenced users' psychological ownership toward social media, which in turn increased user participation. However, unlike previous literature on psychological ownership, this study found a negative association between intimate knowledge, that is, the degree of acquaintance as well as the number of experiences with social media, and users' psychological ownership. The results further showed that the paths toward achieving a sense of psychological ownership varied according to the extent to which users interact with others whom they perceive to be psychologically close to themselves, which is referred to as social distance. The theoretical and managerial implications for social media practitioners are also discussed. © 2019 Elsevier Ltd</t>
  </si>
  <si>
    <t>Kwon S.</t>
  </si>
  <si>
    <t>https://www.scopus.com/inward/record.uri?eid=2-s2.0-85075551836&amp;doi=10.1016%2fj.chb.2019.106207&amp;partnerID=40&amp;md5=641d813a7d4ba088bb74d5a973e2ab85</t>
  </si>
  <si>
    <t>Division of Digital Business, College of Global Business, Korea University, 2511 Sejong-ro, Sejong, 30019, South Korea</t>
  </si>
  <si>
    <t>Kwon, S., Division of Digital Business, College of Global Business, Korea University, 2511 Sejong-ro, Sejong, 30019, South Korea</t>
  </si>
  <si>
    <t>Unschoolers of the world, unwork! Grassroots lessons and strategies against 21st century capitalism</t>
  </si>
  <si>
    <t>25631029000;55176829100;</t>
  </si>
  <si>
    <t>This conversation explores unschooling through theory and personal experience of Astra Taylor, who examines deschooling alongside the continua of Freedom / Oppression, Personal Control / Personal Autonomy, Solitude / Boredom, Privilege / Social Reproduction, Socialisation / Democracy. Taylor reveals complex relationships between the main strands of her work: film-making and activism. She analyses the dual nature of the contemporary university, and defines it as a place of oppression and freedom. Taylor explains own preference for activism over academic work, talks about her involvement in Occupy Wall Street Movement, and describes her experience as one of the founders of the Rolling Jubilee campaign. Taylor moves on to argue that there is a need to augment traditional trade unions in the US, and introduces an alternative organization called the Debt Collective. In her analyses Taylor pays particular attention to digital media, which serve as important vehicles for her activism. It is here that she develops a sophisticated theory of cultural work in the digital context, the rising tensions between amateurs and professionals, market-oriented platforms for social networking, and political economy of digital work including but not limited to personal branding. Finally, Taylor shows that contemporary social movements have a lot to learn from their historical counterparts, links the past and the present of activism, and asserts that the contemporary left is going to have to refight some old battles on the new networked terrain. © 2016, Institute for Education Policy Studies. All Right Reserved.</t>
  </si>
  <si>
    <t>Jandrić P., Taylor A.</t>
  </si>
  <si>
    <t>Journal for Critical Education Policy Studies</t>
  </si>
  <si>
    <t>https://www.scopus.com/inward/record.uri?eid=2-s2.0-85007340491&amp;partnerID=40&amp;md5=396b06631d1c0242060905fca015bdad</t>
  </si>
  <si>
    <t>University of Applied Sciences, Zagreb, Croatia; United States</t>
  </si>
  <si>
    <t>Jandrić, P., University of Applied Sciences, Zagreb, Croatia; Taylor, A., United States</t>
  </si>
  <si>
    <t>Urban transformations as an indicator of unsustainability in the P2P mass tourism phenomenon: The Airbnb Case in Spain through three case studies</t>
  </si>
  <si>
    <t>10.3390/su10082933</t>
  </si>
  <si>
    <t>55746604000;</t>
  </si>
  <si>
    <t>Globalization and the development of the so-called "collaborative economies" has coincided with an important transformation of mass tourism in the last decades. This phenomenon has been accentuated enormously in many European cities in recent years, generating a new P2P tourist model. The situation is having a strong social impact on the urban transformation of cities, and its characteristics are closely related to real estate speculative movements. In this sense, the analysis of urban transformation can offer interesting conclusions about the sustainability of these new tourist models in large touristic cities. In this article, we will analyse the effect associated with of so-called phenomena of "tourist flats" from the Airbnb portal in the cities of Madrid, Barcelona, and Palma de Mallorca. Through the use of GIS indicators and geostatistic analysis of spatial correlation, the current incidence of this phenomenon in these cities, and possible future scenarios of maintaining the current trend, will be evaluated and discussed. The results obtained show worrying indicators in relation to the economic and social sustainability of the current urban-tourist model created in the city which are linked to gentrification processes. © 2018 by the authors.</t>
  </si>
  <si>
    <t>Garcia-Ayllon S.</t>
  </si>
  <si>
    <t>https://www.scopus.com/inward/record.uri?eid=2-s2.0-85051713280&amp;doi=10.3390%2fsu10082933&amp;partnerID=40&amp;md5=16580b77e6821b04f460d6220b828213</t>
  </si>
  <si>
    <t>Department of Civil Engineering, Technical University of Cartagena, Cartagena, 30202, Spain</t>
  </si>
  <si>
    <t>Garcia-Ayllon, S., Department of Civil Engineering, Technical University of Cartagena, Cartagena, 30202, Spain</t>
  </si>
  <si>
    <t>Garcia-Ayllon, S.; Department of Civil Engineering, Spain; email: salvador.ayllon@upct.es</t>
  </si>
  <si>
    <t>Usability evaluation and investigation of subjective satisfaction of the online publishing software interface</t>
  </si>
  <si>
    <t>15033567700;54795338500;</t>
  </si>
  <si>
    <t>Digital publishing is one of the national key programs. Different from traditional digital publishing models, consumers could create personal digital publications with the editing program provided by businesses and combine it with web-to-print to output solid publications as well as share digital works. Nevertheless, the usability of online publishing software is related to consumers' acceptance or intention of product purchase. In this case, Focus Group is utilized to screen representative online publishing software (including TinTint, Photobook, and Hypo) for evaluating interface usability, investigating users' Subjective Satisfaction, and further proposing suggestions for interface modification. Learnability and Number of user errors are set as the evaluation indicators of usability. Within the evaluation indicators in Learnability, results show that nine typical tasks, except Storing, appear significant difference between various online publishing softwar. Typical tasks of Basic information of works, Appending pictures, Adjusting pictures, Changing type version, and Changing pages in Number of user errors reveal significant difference on distinct online publishing software. Regarding the evaluation of overall Subjective Satisfaction with interface, TinTint and Hypo outperform Photobook, and no significant difference appears between TinTint and Hypo. It is expected that the research model could be the application reference of interface development and evaluation in digital content industries. © 2014 Taylor &amp; Francis Group.</t>
  </si>
  <si>
    <t>Lee Y.-J., Lin C.-J.</t>
  </si>
  <si>
    <t>Innovation, Communication and Engineering - Proceedings of the 2nd International Conference on Innovation, Communication and Engineering, ICICE 2013</t>
  </si>
  <si>
    <t>https://www.scopus.com/inward/record.uri?eid=2-s2.0-84896685241&amp;partnerID=40&amp;md5=fa32c1e9e117333a5ad3956c71e4db0a</t>
  </si>
  <si>
    <t>Department of Cultural and Creative Industries, National Kaohsiung University of Applied Sciences, Kaohsiung, Taiwan</t>
  </si>
  <si>
    <t>Lee, Y.-J., Department of Cultural and Creative Industries, National Kaohsiung University of Applied Sciences, Kaohsiung, Taiwan; Lin, C.-J., Department of Cultural and Creative Industries, National Kaohsiung University of Applied Sciences, Kaohsiung, Taiwan</t>
  </si>
  <si>
    <t>User evaluation of the effects of a text simplification algorithm using term familiarity on perception, understanding, learning, and information retention</t>
  </si>
  <si>
    <t>10.2196/jmir.2569</t>
  </si>
  <si>
    <t>7102314927;54083056600;12140512500;55634494900;7101650455;</t>
  </si>
  <si>
    <t>Background: Adequate health literacy is important for people to maintain good health and manage diseases and injuries. Educational text, either retrieved from the Internet or provided by a doctor's office, is a popular method to communicate health-related information. Unfortunately, it is difficult to write text that is easy to understand, and existing approaches, mostly the application of readability formulas, have not convincingly been shown to reduce the difficulty of text. Objective: To develop an evidence-based writer support tool to improve perceived and actual text difficulty. To this end, we are developing and testing algorithms that automatically identify difficult sections in text and provide appropriate, easier alternatives; algorithms that effectively reduce text difficulty will be included in the support tool. This work describes the user evaluation with an independent writer of an automated simplification algorithm using term familiarity. Methods: Term familiarity indicates how easy words are for readers and is estimated using term frequencies in the Google Web Corpus. Unfamiliar words are algorithmically identified and tagged for potential replacement. Easier alternatives consisting of synonyms, hypernyms, definitions, and semantic types are extracted from WordNet, the Unified Medical Language System (UMLS), and Wiktionary and ranked for a writer to choose from to simplify the text. We conducted a controlled user study with a representative writer who used our simplification algorithm to simplify texts. We tested the impact with representative consumers. The key independent variable of our study is lexical simplification, and we measured its effect on both perceived and actual text difficulty. Participants were recruited from Amazon's Mechanical Turk website. Perceived difficulty was measured with 1 metric, a 5-point Likert scale. Actual difficulty was measured with 3 metrics: 5 multiple-choice questions alongside each text to measure understanding, 7 multiple-choice questions without the text for learning, and 2 free recall questions for information retention. Results: Ninety-nine participants completed the study. We found strong beneficial effects on both perceived and actual difficulty. After simplification, the text was perceived as simpler (P&lt;.001) with simplified text scoring 2.3 and original text 3.2 on the 5-point Likert scale (score 1: easiest). It also led to better understanding of the text (P&lt;.001) with 11% more correct answers with simplified text (63% correct) compared to the original (52% correct). There was more learning with 18% more correct answers after reading simplified text compared to 9% more correct answers after reading the original text (P=.003). There was no significant effect on free recall. Conclusions: Term familiarity is a valuable feature in simplifying text. Although the topic of the text influences the effect size, the results were convincing and consistent. © Gondy Leroy, James E Endicott, David Kauchak, Obay Mouradi, Melissa Just.</t>
  </si>
  <si>
    <t>Leroy G., Endicott J.E., Kauchak D., Mouradi O., Just M.</t>
  </si>
  <si>
    <t>https://www.scopus.com/inward/record.uri?eid=2-s2.0-84883422193&amp;doi=10.2196%2fjmir.2569&amp;partnerID=40&amp;md5=b2bf32886a2ff4050ff01146445b85cf</t>
  </si>
  <si>
    <t>Information Systems and Technology, Claremont Graduate University, ACB 225, 130 E Ninth Street, Claremont, CA, 91711, United States; Eller College of Management, Department of Management Information System, University of Arizona, Tucson, AZ, United States; Science Department, Middlebury College, Middlebury, VT, United States; Rutgers University Libraries, Rutgers, the State University of New Jersey, New Brunswick, NJ, United States</t>
  </si>
  <si>
    <t>Leroy, G., Information Systems and Technology, Claremont Graduate University, ACB 225, 130 E Ninth Street, Claremont, CA, 91711, United States, Eller College of Management, Department of Management Information System, University of Arizona, Tucson, AZ, United States; Endicott, J.E., Information Systems and Technology, Claremont Graduate University, ACB 225, 130 E Ninth Street, Claremont, CA, 91711, United States; Kauchak, D., Science Department, Middlebury College, Middlebury, VT, United States; Mouradi, O., Information Systems and Technology, Claremont Graduate University, ACB 225, 130 E Ninth Street, Claremont, CA, 91711, United States; Just, M., Rutgers University Libraries, Rutgers, the State University of New Jersey, New Brunswick, NJ, United States</t>
  </si>
  <si>
    <t>Leroy, G.; Information Systems and Technology, 130 E Ninth Street, Claremont, CA, 91711, United States; email: gondy.leroy@cgu.edu</t>
  </si>
  <si>
    <t>Using Amazon's Mechanical Turk website to measure accuracy of body size estimation and body dissatisfaction</t>
  </si>
  <si>
    <t>10.1016/j.bodyim.2012.06.006</t>
  </si>
  <si>
    <t>7401523779;34970874900;6701576908;</t>
  </si>
  <si>
    <t>This study investigated Amazon.com's website Mechanical Turk (MTurk) as a research tool for measuring body size estimation and dissatisfaction. 160 U.S. participants completed the BIAS-BD figural drawing scale and demographic questions posted on the MTurk website. The BIAS-BD consists of 17 drawings of various male and female body sizes based on anthropometric data corresponding to a range of 60% below to 140% above the average U.S. adult. Respondents selected a drawing that best reflected their current size and ideal size. Results revealed that respondents overestimated their body size by 6% and desired an ideal size 9.2% smaller than their perceived size. Findings are compared with three previous studies using the BIAS-BD scale. A general correspondence in findings between the four studies was found. We conclude that the MTurk can serve as a viable method for collecting data on the perceptual and attitudinal aspects of body image quickly and inexpensively. © 2012 Elsevier Ltd.</t>
  </si>
  <si>
    <t>Gardner R.M., Brown D.L., Boice R.</t>
  </si>
  <si>
    <t>Body Image</t>
  </si>
  <si>
    <t>https://www.scopus.com/inward/record.uri?eid=2-s2.0-84866884714&amp;doi=10.1016%2fj.bodyim.2012.06.006&amp;partnerID=40&amp;md5=b8d0ed555ddb3a2c402b95368104505c</t>
  </si>
  <si>
    <t>Department of Psychology, University of Colorado Denver, Denver, CO 80217-3364, United States; Department of Mathematics, University of Colorado Denver, Denver, CO 80217-3364, United States</t>
  </si>
  <si>
    <t>Gardner, R.M., Department of Psychology, University of Colorado Denver, Denver, CO 80217-3364, United States; Brown, D.L., Department of Psychology, University of Colorado Denver, Denver, CO 80217-3364, United States; Boice, R., Department of Mathematics, University of Colorado Denver, Denver, CO 80217-3364, United States</t>
  </si>
  <si>
    <t>Gardner, R.M.; University of Colorado Denver, Denver, CO 80217-3364, United States; email: rick.gardner@ucdenver.edu</t>
  </si>
  <si>
    <t>Using Conjoint Analysis to Predict Teachers’ Preferences for Intervention Intensity</t>
  </si>
  <si>
    <t>10.1007/s12310-020-09385-8</t>
  </si>
  <si>
    <t>57218393628;25655600600;57211407671;56553274400;</t>
  </si>
  <si>
    <t>Teachers play an important role in improving the emotional and behavioral problems of students. Intervention characteristics (e.g., frequency of student intervention) and teacher characteristics (e.g., mental health literacy) may influence teacher preferences for an intervention and impact service uptake. Conjoint analysis, a trade-off technique borrowed from marketing research, can authentically assess preferences by quantifying the compromises respondents make when selecting a product or a service and has been used to measure service preferences in the mental health field. A conjoint analysis technique called a “discrete choice experiment” was used to systematically arrange intervention components and subcomponents to assess teachers’ preferences for the intensity of three common intervention attributes (i.e., frequency of student intervention, frequency of teacher consultation, and level of parental involvement). The sample consisted of 229 elementary school teachers recruited from Amazon’s Mechanical Turk. Simulation analyses estimated teachers’ preferences for a low-intensity intervention, medium-intensity intervention, high-intensity intervention or none of these. Differences in teacher characteristics (i.e., beliefs, mental health literacy, stress) were examined between teachers preferring each type of intensity. Results indicated that preferences for intervention intensity varied, with more teachers preferring a medium-intensity intervention than any other intervention. Mental health literacy was significantly greater among teachers preferring a medium-intensity intervention than teachers preferring no intervention. Interventions consisting of weekly options for teacher consultation and parental involvement may appeal to teachers with strong mental health literacy. © 2020, Springer Science+Business Media, LLC, part of Springer Nature.</t>
  </si>
  <si>
    <t>Delgadillo A.A., Wymbs F.A., Margherio S.M., Egan T.E.</t>
  </si>
  <si>
    <t>School Mental Health</t>
  </si>
  <si>
    <t>https://www.scopus.com/inward/record.uri?eid=2-s2.0-85089066963&amp;doi=10.1007%2fs12310-020-09385-8&amp;partnerID=40&amp;md5=89d1239c979983a802e9be75c5a77221</t>
  </si>
  <si>
    <t>Fort Collins, United States; Department of Family Medicine, Ohio University, 347 Grosvenor Hall, Athens, OH  45701, United States; Department of Psychology, Ohio University, Athens, OH, United States</t>
  </si>
  <si>
    <t>Delgadillo, A.A., Fort Collins, United States; Wymbs, F.A., Department of Family Medicine, Ohio University, 347 Grosvenor Hall, Athens, OH  45701, United States; Margherio, S.M., Department of Psychology, Ohio University, Athens, OH, United States; Egan, T.E., Department of Psychology, Ohio University, Athens, OH, United States</t>
  </si>
  <si>
    <t>Wymbs, F.A.; Department of Family Medicine, 347 Grosvenor Hall, United States; email: wymbsf@ohio.edu</t>
  </si>
  <si>
    <t>Using crowdsourcing to compare document recommendation strategies for conversations</t>
  </si>
  <si>
    <t>55406762500;6507864905;</t>
  </si>
  <si>
    <t>This paper explores a crowdsourcing approach to the evalua- Tion of a document recommender system intended for use in meetings. The system uses words from the conversation to perform just-in-time document retrieval. We compare sev- eral versions of the system, including the use of keywords, retrieval using semantic similarity, and the possibility for user initiative. The system's results are submitted for com- parative evaluations to workers recruited via a crowdsour- cing platform, Amazon's Mechanical Turk. We introduce a new method, Pearson Correlation Coeficient-Information Entropy (PCC-H), to abstract over the quality of the work- ers' judgments and produce system-level scores. We measure the workers' reliability by the inter-rater agreement of each of them against the others, and use entropy to weight the difficulty of each comparison task. The proposed evaluation method is shown to be reliable, and the results show that adding user initiative improves the relevance of recommen- dations.</t>
  </si>
  <si>
    <t>Habibi M., Popescu-Belis A.</t>
  </si>
  <si>
    <t>https://www.scopus.com/inward/record.uri?eid=2-s2.0-84891937633&amp;partnerID=40&amp;md5=3a14c485c722073272d5716b43cee4c8</t>
  </si>
  <si>
    <t>Idiap Research Institute, EPFL, Rue Marconi 19, CP 592 1920 Martigny, Switzerland</t>
  </si>
  <si>
    <t>Habibi, M., Idiap Research Institute, EPFL, Rue Marconi 19, CP 592 1920 Martigny, Switzerland; Popescu-Belis, A., Idiap Research Institute, EPFL, Rue Marconi 19, CP 592 1920 Martigny, Switzerland</t>
  </si>
  <si>
    <t>Idiap Research Institute, Rue Marconi 19, CP 592 1920 Martigny, Switzerland</t>
  </si>
  <si>
    <t>Using crowdsourcing to evaluate published scientific literature: Methods and example</t>
  </si>
  <si>
    <t>10.1371/journal.pone.0100647</t>
  </si>
  <si>
    <t>10139916400;7202902345;</t>
  </si>
  <si>
    <t>Systematically evaluating scientific literature is a time consuming endeavor that requires hours of coding and rating. Here, we describe a method to distribute these tasks across a large group through online crowdsourcing. Using Amazon's Mechanical Turk, crowdsourced workers (microworkers) completed four groups of tasks to evaluate the question, "Do nutrition-obesity studies with conclusions concordant with popular opinion receive more attention in the scientific community than do those that are discordant?" 1) Microworkers who passed a qualification test (19% passed) evaluated abstracts to determine if they were about human studies investigating nutrition and obesity. Agreement between the first two raters' conclusions was moderate (κ = 0.586), with consensus being reached in 96% of abstracts. 2) Microworkers iteratively synthesized free-text answers describing the studied foods into one coherent term. Approximately 84% of foods were agreed upon, with only 4 and 8% of ratings failing manual review in different steps. 3) Microworkers were asked to rate the perceived obesogenicity of the synthesized food terms. Over 99% of responses were complete and usable, and opinions of the microworkers qualitatively matched the authors' expert expectations (e.g., sugar-sweetened beverages were thought to cause obesity and fruits and vegetables were thought to prevent obesity). 4) Microworkers extracted citation counts for each paper through Google Scholar. Microworkers reached consensus or unanimous agreement for all successful searches. To answer the example question, data were aggregated and analyzed, and showed no significant association between popular opinion and attention the paper received as measured by Scimago Journal Rank and citation counts. Direct microworker costs totaled $221.75, (estimated cost at minimum wage: $312.61). We discuss important points to consider to ensure good quality control and appropriate pay for microworkers. With good reliability and low cost, crowdsourcing has potential to evaluate published literature in a cost-effective, quick, and reliable manner using existing, easily accessible resources. © 2014 Brown, Allison.</t>
  </si>
  <si>
    <t>Brown A.W., Allison D.B.</t>
  </si>
  <si>
    <t>https://www.scopus.com/inward/record.uri?eid=2-s2.0-84903790824&amp;doi=10.1371%2fjournal.pone.0100647&amp;partnerID=40&amp;md5=bfec7ee39d11280c6a7eb47802ee5b0b</t>
  </si>
  <si>
    <t>Nutrition Obesity Research Center, School of Public Health, University of Alabama at Birmingham, Birmingham, AL, United States</t>
  </si>
  <si>
    <t>Brown, A.W., Nutrition Obesity Research Center, School of Public Health, University of Alabama at Birmingham, Birmingham, AL, United States; Allison, D.B., Nutrition Obesity Research Center, School of Public Health, University of Alabama at Birmingham, Birmingham, AL, United States</t>
  </si>
  <si>
    <t>Using crowdsourcing to examine behavioral economic measures of alcohol value and proportionate alcohol reinforcement</t>
  </si>
  <si>
    <t>10.1037/pha0000130</t>
  </si>
  <si>
    <t>57194712511;36454491400;55189634600;14627885100;57190375170;57220345635;</t>
  </si>
  <si>
    <t>Online crowdsourcing websites such as Amazon's Mechanical Turk (MTurk) are increasingly being used in addictions research. However, there is a relative paucity of such research examining the validity of administering behavioral economic alcohol-related measures, via an online crowdsourcing platform. This study sought to validate an alcohol purchase task (APT) for assessing demand and a questionnaire measure of proportionate alcohol reinforcement, using an online sample of participants recruited via MTurk. Participants (N = 865, 59% female) were recruited via MTurk to complete the APT, proportionate alcohol reinforcement questionnaire, Alcohol Use Disorders Identification Test (AUDIT), and demographics. Responses on the APT were highly systematic (&amp;lt;3% nonsystematic data) and conformed to prototypical demand curves. Correlation analyses revealed significant associations among AUDIT total scores with a majority of the alcohol demand indices (r values .08 -53, p values &amp;lt; .05) as well as proportionate alcohol reinforcement, r = .43, p &amp;lt; .001. Regression analyses controlling for relevant covariates indicated that intensity, BP, Omax, elasticity, and reinforcement ratio predicted significant variance in AUDIT scores. This study further supports the use of online crowdsourcing websites for investigating behavioral economic determinants of alcohol misuse. © 2017 American Psychological Association.</t>
  </si>
  <si>
    <t>Morris V., Amlung M., Kaplan B.A., Reed D.D., Petker T., MacKillop J.</t>
  </si>
  <si>
    <t>https://www.scopus.com/inward/record.uri?eid=2-s2.0-85021695975&amp;doi=10.1037%2fpha0000130&amp;partnerID=40&amp;md5=9f202d4052c89c067cce6286a88ca083</t>
  </si>
  <si>
    <t>Peter Boris Centre for Addictions Research, Department of Psychiatry and Behavioural Neurosciences, McMaster University, Canada; Virginia Tech Carilion Research Institute, Virginia Institute of Technology, United States; Department of Applied Behavioral Science, University of Kansas, United States; Peter Boris Centre for Addictions Research, Department of Psychiatry and Behavioural Neurosciences, McMaster University, Canada; Homewood Research Institute, Guelph, Canada</t>
  </si>
  <si>
    <t>Morris, V., Peter Boris Centre for Addictions Research, Department of Psychiatry and Behavioural Neurosciences, McMaster University, Canada; Amlung, M., Peter Boris Centre for Addictions Research, Department of Psychiatry and Behavioural Neurosciences, McMaster University, Canada; Kaplan, B.A., Virginia Tech Carilion Research Institute, Virginia Institute of Technology, United States; Reed, D.D., Department of Applied Behavioral Science, University of Kansas, United States; Petker, T., Peter Boris Centre for Addictions Research, Department of Psychiatry and Behavioural Neurosciences, McMaster University, Canada; MacKillop, J., Peter Boris Centre for Addictions Research, Department of Psychiatry and Behavioural Neurosciences, McMaster University, Canada, Homewood Research Institute, Guelph, Canada</t>
  </si>
  <si>
    <t>Amlung, M.; Peter Boris Centre for Addictions Research, 100 West 5th Street, Canada; email: amlungm@mcmaster.ca</t>
  </si>
  <si>
    <t>Using experimental gaming simulations to elicit risk mitigation behavioral strategies for agricultural disease management</t>
  </si>
  <si>
    <t>10.1371/journal.pone.0228983</t>
  </si>
  <si>
    <t>56530121500;23028387200;57209780573;9743834700;55838037900;57215087900;57201030690;10040358800;57223446194;56171347300;</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</si>
  <si>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</si>
  <si>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Clark E.M., Merrill S.C., Trinity L., Bucini G., Cheney N., Langle-Chimal O., Shrum T., Koliba C., Zia A., Smith J.M.</t>
  </si>
  <si>
    <t>https://www.scopus.com/inward/record.uri?eid=2-s2.0-85081910971&amp;doi=10.1371%2fjournal.pone.0228983&amp;partnerID=40&amp;md5=b7de780262665e603d4a563e9bd8d319</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</si>
  <si>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</si>
  <si>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Clark, E.M., SEGS Lab, University of Vermont, Burlington, VT, United States, Department of Plant and Soil Science, University of Vermont, Burlington, VT, United States; Merrill, S.C., SEGS Lab, University of Vermont, Burlington, VT, United States, Department of Plant and Soil Science, University of Vermont, Burlington, VT, United States, Gund Institute for Environment, University of Vermont, Burlington, VT, United States; Trinity, L., SEGS Lab, University of Vermont, Burlington, VT, United States, Complex Systems Center, University of Vermont, Burlington, VT, United States; Bucini, G., SEGS Lab, University of Vermont, Burlington, VT, United States, Department of Plant and Soil Science, University of Vermont, Burlington, VT, United States; Cheney, N., SEGS Lab, University of Vermont, Burlington, VT, United States, Department of Computer Science, University of Vermont, Burlington, VT, United States; Langle-Chimal, O., SEGS Lab, University of Vermont, Burlington, VT, United States, Complex Systems Center, University of Vermont, Burlington, VT, United States; Shrum, T., SEGS Lab, University of Vermont, Burlington, VT, United States, Department of Community Development and Applied Economics, University of Vermont, Burlington, VT, United States; Koliba, C., SEGS Lab, University of Vermont, Burlington, VT, United States, Gund Institute for Environment, University of Vermont, Burlington, VT, United States, Department of Community Development and Applied Economics, University of Vermont, Burlington, VT, United States; Zia, A., SEGS Lab, University of Vermont, Burlington, VT, United States, Gund Institute for Environment, University of Vermont, Burlington, VT, United States, Department of Community Development and Applied Economics, University of Vermont, Burlington, VT, United States; Smith, J.M., SEGS Lab, University of Vermont, Burlington, VT, United States, Department of Animal and Veterinary Sciences, University of Vermont, Burlington, VT, United States</t>
  </si>
  <si>
    <t>Clark, E.M.; SEGS Lab, United States; email: eclark@uvm.edu</t>
  </si>
  <si>
    <t>Using IT-based solutions to improve logistic operations of a scrap collection system</t>
  </si>
  <si>
    <t>57209292887;57209291897;55366377200;</t>
  </si>
  <si>
    <t>The study takes place at a steel production company in Mexico, where the market has a deficit for its collection capabilities. This project focuses on the redesign of the logistics system in charge of the collection of raw material, which is done by the company owned fleet. The initial diagnostic phases had the purpose of identifying the root causes of the problem at hand. They involved collecting and analyzing data regarding the providers, processing factories, costs and the process involved with the collection system. The key action taken was to establish a new venture of collaborative economy as a mean for scaling the collection capabilities. In addition, a new planning and operations scheme was implemented using a software application for better routing. It includes a prioritized provider selection based on performance, fleet management, and data gathering with integrated analytics. The results after a pilot period were a decrease in the logistics costs by 14.48%, a decrease in the average kilometers driven per ton by 27.4%, and an increase in collection capacity by 8%. © IEOM Society International.</t>
  </si>
  <si>
    <t>Treviño C.P.S., Rubio L.E.O., Ramírez J.D.</t>
  </si>
  <si>
    <t>Proceedings of the International Conference on Industrial Engineering and Operations Management</t>
  </si>
  <si>
    <t>https://www.scopus.com/inward/record.uri?eid=2-s2.0-85067264192&amp;partnerID=40&amp;md5=d072e57c7028e18c54550772b20abed1</t>
  </si>
  <si>
    <t>Engineering and Technologies Department, University of Monterrey, San Pedro Garza García, NL, 66238, Mexico; Engineering and Technologies Department, University of Monterrey, Nuevo León, Mexico</t>
  </si>
  <si>
    <t>Treviño, C.P.S., Engineering and Technologies Department, University of Monterrey, San Pedro Garza García, NL, 66238, Mexico; Rubio, L.E.O., Engineering and Technologies Department, University of Monterrey, San Pedro Garza García, NL, 66238, Mexico; Ramírez, J.D., Engineering and Technologies Department, University of Monterrey, Nuevo León, Mexico</t>
  </si>
  <si>
    <t>Treviño, C.P.S.; Engineering and Technologies Department, Mexico; email: carlos.perezsandi@udem.edu</t>
  </si>
  <si>
    <t>Using Mechanical Turk for research on cancer survivors</t>
  </si>
  <si>
    <t>10.1002/pon.4173</t>
  </si>
  <si>
    <t>10140601500;57191755152;</t>
  </si>
  <si>
    <t>Objective: The successful recruitment and study of cancer survivors within psycho-oncology research can be challenging, time-consuming, and expensive, particularly for key subgroups such as young adult cancer survivors. Online crowdsourcing platforms offer a potential solution that has not yet been investigated with regard to cancer populations. The current study assessed the presence of cancer survivors on Amazon's Mechanical Turk (MTurk) and the feasibility of using MTurk as an efficient, cost-effective, and reliable psycho-oncology recruitment and research platform. Methods: During a &lt;4-month period, cancer survivors living in the United States were recruited on MTurk to complete two assessments, spaced 1 week apart, relating to psychosocial and cancer-related functioning. The reliability and validity of responses were investigated. Results: Within a &lt;4-month period, 464 self-identified cancer survivors on MTurk consented to and completed an online assessment. The vast majority (79.09%) provided reliable and valid study data according to multiple indices. The sample was highly diverse in terms of U.S. geography, socioeconomic status, and cancer type, and reflected a particularly strong presence of distressed and young adult cancer survivors (median age = 36 years). A majority of participants (58.19%) responded to a second survey sent one week later. Conclusions: Online crowdsourcing represents a feasible, efficient, and cost-effective recruitment and research platform for cancer survivors, particularly for young adult cancer survivors and those with significant distress. We discuss remaining challenges and future recommendations. Copyright © 2016 John Wiley &amp; Sons, Ltd. Copyright © 2016 John Wiley &amp; Sons, Ltd.</t>
  </si>
  <si>
    <t>Arch J.J., Carr A.L.</t>
  </si>
  <si>
    <t>Psycho-Oncology</t>
  </si>
  <si>
    <t>https://www.scopus.com/inward/record.uri?eid=2-s2.0-84992694606&amp;doi=10.1002%2fpon.4173&amp;partnerID=40&amp;md5=6d88812bb8c4ae83124197476a50dd7b</t>
  </si>
  <si>
    <t>Department of Psychology and Neuroscience, University of Colorado Boulder, Boulder, CO, United States</t>
  </si>
  <si>
    <t>Arch, J.J., Department of Psychology and Neuroscience, University of Colorado Boulder, Boulder, CO, United States; Carr, A.L., Department of Psychology and Neuroscience, University of Colorado Boulder, Boulder, CO, United States</t>
  </si>
  <si>
    <t>Arch, J.J.; Department of Psychology and Neuroscience, United States; email: Joanna.Arch@Colorado.edu</t>
  </si>
  <si>
    <t>Using Mechanical Turk to recruit participants for internet intervention research: Experience from recruitment for four trials targeting hazardous alcohol consumption</t>
  </si>
  <si>
    <t>10.1186/s12874-017-0440-3</t>
  </si>
  <si>
    <t>7402342187;57006486200;36154569100;</t>
  </si>
  <si>
    <t>Background: Mechanical Turk (MTurk) is an online portal operated by Amazon where 'requesters' (individuals or businesses) can submit jobs for 'workers.' MTurk is used extensively by academics as a quick and cheap means of collecting questionnaire data, including information on alcohol consumption, from a diverse sample of participants. We tested the feasibility of recruiting for alcohol Internet intervention trials through MTurk. Methods: Participants, 18 years or older, who drank at least weekly were recruited for four intervention trials (combined sample size, N = 11,107). The same basic recruitment strategy was employed for each trial - invite participants to complete a survey about alcohol consumption (less than 15 min in length, US$1.50 payment), identify eligible participants who drank in a hazardous fashion, invite those eligible to complete a follow-up survey ($10 payment), randomize participants to be sent or not sent information to access an online intervention for hazardous alcohol use. Procedures where put in place to optimize the chances that participants could only complete the baseline survey once. Results: There was a substantially slower rate of recruitment by the fourth trial compared to the earlier trials. Demographic characteristics also varied across trials (age, sex, employment and marital status). Patterns of alcohol consumption, while displaying some differences, did not appear to vary in a linear fashion between trials. Conclusions: It is possible to recruit large (but not inexhaustible) numbers of people who drink in a hazardous fashion. Issues for online intervention research when employing this sample are discussed. © 2017 The Author(s).</t>
  </si>
  <si>
    <t>Cunningham J.A., Godinho A., Kushnir V.</t>
  </si>
  <si>
    <t>BMC Medical Research Methodology</t>
  </si>
  <si>
    <t>https://www.scopus.com/inward/record.uri?eid=2-s2.0-85036660114&amp;doi=10.1186%2fs12874-017-0440-3&amp;partnerID=40&amp;md5=6468b46b2b687a12ece609a8b2c4972f</t>
  </si>
  <si>
    <t>Centre for Addiction and Mental Health, 33 Russell St., Toronto, ON  M5S 2S1, Canada; Department of Psychiatry, University of Toronto, Toronto, M5T 1R8, Canada; Dalla Lana School of Public Health, University of Toronto, Toronto, M5S 1A1, Canada; Leslie Dan Faculty of Pharmacy, University of Toronto, Toronto, M5S 3M2, Canada</t>
  </si>
  <si>
    <t>Cunningham, J.A., Centre for Addiction and Mental Health, 33 Russell St., Toronto, ON  M5S 2S1, Canada, Department of Psychiatry, University of Toronto, Toronto, M5T 1R8, Canada; Godinho, A., Centre for Addiction and Mental Health, 33 Russell St., Toronto, ON  M5S 2S1, Canada, Dalla Lana School of Public Health, University of Toronto, Toronto, M5S 1A1, Canada; Kushnir, V., Centre for Addiction and Mental Health, 33 Russell St., Toronto, ON  M5S 2S1, Canada, Leslie Dan Faculty of Pharmacy, University of Toronto, Toronto, M5S 3M2, Canada</t>
  </si>
  <si>
    <t>Using Twitter in crisis management for organizations bearing different country-of-origin perceptions</t>
  </si>
  <si>
    <t>10.1108/JCOM-06-2013-0050</t>
  </si>
  <si>
    <t>37125751300;56953673800;</t>
  </si>
  <si>
    <t>Purpose – The purpose of this paper is to investigate the effects of using Twitter on American stakeholders’ crisis appraisal for organizations originated from two foreign countries with distinctively different perceptions. Design/methodology/approach – This study uses a 2 (medium: Twitter vs news release)×2 (country-of-origin: China vs France) factorial experiment. The participants (n=393) are recruited through the Amazon Mechanical Turk system (Mturks). Findings – The findings suggest that using Twitter substantially mitigates participants’ negative evaluation of the organization undergoing a crisis. Country-of-origin affects how individuals perceive the organization after it has experienced a crisis. In addition, participants’ product involvement intensifies the reputational threat specifically for the organization with a less favorable country-of-origin perception. Originality/value – This study is one of the few empirically based studies in international public relations research, using an experiment to extrapolate the effects of social media and country-of-origin on consumers’ crisis appraisal. This investigation reinforces the need to consider social media not just at the individual level, but also as a form of communication that can have broader consequences at the organizational level. In addition, it is important for company leaders to understand that the organization’s home country image may exacerbate the negative management outcomes during a crisis. It is expected that this study yields theoretically indicative, empirically informative, and culturally relevant results. © 2015, Emerald Group Publishing Limited.</t>
  </si>
  <si>
    <t>Xu J., Wu Y.</t>
  </si>
  <si>
    <t>Journal of Communication Management</t>
  </si>
  <si>
    <t>https://www.scopus.com/inward/record.uri?eid=2-s2.0-84946728383&amp;doi=10.1108%2fJCOM-06-2013-0050&amp;partnerID=40&amp;md5=6618a1b70b7d494925a04581fa41f9ce</t>
  </si>
  <si>
    <t>Department of Communication, Villanova University, Villanova, PA, United States; First Quality Consumer Products, King of Prussia, PA, United States</t>
  </si>
  <si>
    <t>Xu, J., Department of Communication, Villanova University, Villanova, PA, United States; Wu, Y., First Quality Consumer Products, King of Prussia, PA, United States</t>
  </si>
  <si>
    <t>Xu, J.; Department of Communication, United States; email: jie.xu@villanova.edu</t>
  </si>
  <si>
    <t>Utilising mindfulness to analyse agile global software development</t>
  </si>
  <si>
    <t>24832439000;16230660500;6602559176;</t>
  </si>
  <si>
    <t>As Information Systems Development (ISD) organisations face increasing market demands, ISD strategies such as Agile development and Global Systems Development (GSD) have been employed to help address these demands. With anecdotal evidence pointing to substantially successful implementations, organisations are beginning to embrace the combination of these seemingly orthogonal strategies with beneficial results. However, with the two areas of research still maturing, the bulk of research is made up of anecdotal studies. Utilising mindfulness, a theoretical concept for understanding how organisations can achieve flexibility and reliability, this paper explores how to effectively integrate Agile and GSD methodologies. Incorporating a longitudinal case study, an operationalised mindfulness instrument is applied and triangulated with qualitative data. The findings depict an in-depth analysis of a GSD organisation and provide key contributions for practitioners. Furthermore, theoretical contributions of the paper include: (i) a comprehensive definition of mindfulness that incorporates shared understanding as a key component, and (ii) the development of relationships between the individual mindfulness components.</t>
  </si>
  <si>
    <t>Nagle T., McAvoy J., Sammon D.</t>
  </si>
  <si>
    <t>https://www.scopus.com/inward/record.uri?eid=2-s2.0-84870646582&amp;partnerID=40&amp;md5=3a39bb9ba456527ff40a6516b9a0a27f</t>
  </si>
  <si>
    <t>Business Information Systems, University College Cork, Cork, Ireland; Business Information Systems, University College, Cork, Ireland</t>
  </si>
  <si>
    <t>Nagle, T., Business Information Systems, University College Cork, Cork, Ireland; McAvoy, J., Business Information Systems, University College, Cork, Ireland; Sammon, D., Business Information Systems, University College Cork, Cork, Ireland</t>
  </si>
  <si>
    <t>Nagle, T.; Business Information Systems, , Cork, Ireland; email: t.nagle@ucc.ie</t>
  </si>
  <si>
    <t>Validating the demographic, political, psychological, and experimental results obtained from a new source of online survey respondents</t>
  </si>
  <si>
    <t>10.1177/2053168018822174</t>
  </si>
  <si>
    <t>56590030100;57205631074;</t>
  </si>
  <si>
    <t>Researchers have increasingly turned to online convenience samples as sources of survey responses that are easy and inexpensive to collect. As reliance on these sources has grown, so too have concerns about the use of convenience samples in general and Amazon’s Mechanical Turk in particular. We distinguish between “external validity” and theoretical relevance, with the latter being the more important justification for any data collection strategy. We explore an alternative source of online convenience samples, the Lucid Fulcrum Exchange, and assess its suitability for online survey experimental research. Our point of departure is the 2012 study by Berinsky, Huber, and Lenz that compares Amazon’s Mechanical Turk to US national probability samples in terms of respondent characteristics and treatment effect estimates. We replicate these same analyses using a large sample of survey responses on the Lucid platform. Our results indicate that demographic and experimental findings on Lucid track well with US national benchmarks, with the exception of experimental treatments that aim to dispel the “death panel” rumor regarding the Affordable Care Act. We conclude that subjects recruited from the Lucid platform constitute a sample that is suitable for evaluating many social scientific theories, and can serve as a drop-in replacement for many scholars currently conducting research on Mechanical Turk or other similar platforms. © The Author(s) 2019.</t>
  </si>
  <si>
    <t>Coppock A., McClellan O.A.</t>
  </si>
  <si>
    <t>https://www.scopus.com/inward/record.uri?eid=2-s2.0-85060859151&amp;doi=10.1177%2f2053168018822174&amp;partnerID=40&amp;md5=57a7a445991b7bf18055e202cfa25cdc</t>
  </si>
  <si>
    <t>Yale University, New Haven, United States; Columbia UniversityNY, United States</t>
  </si>
  <si>
    <t>Coppock, A., Yale University, New Haven, United States; McClellan, O.A., Columbia UniversityNY, United States</t>
  </si>
  <si>
    <t>Coppock, A.; Yale UniversityUnited States; email: alexander.coppock@yale.edu</t>
  </si>
  <si>
    <t>57212741765;8274220700;57210604435;</t>
  </si>
  <si>
    <t>Sundararajan, S.; Department of Computer Science and Engineering, Thalambur, India; email: sri-sun@hotmail.com</t>
  </si>
  <si>
    <t>Versus—A tool for evaluating visualizations and image quality using a 2AFC methodology</t>
  </si>
  <si>
    <t>10.1016/j.visinf.2018.12.003</t>
  </si>
  <si>
    <t>57190290808;55932692900;35181175300;57221346642;57034258700;35387537600;7004194584;</t>
  </si>
  <si>
    <t>Novel visualization methods and strategies are necessary to cope with the deluge of datasets present in any scientific field to make discoveries and find answers to previously unanswered questions. These methods and strategies should not only present scientific findings as images in a concise way but also need to be effective and expressive, which often remain untested. Here, we present Versus, a tool to enable easy image quality assessment and image ranking, utilizing a two-alternative forced choice methodology (2AFC)and an efficient ranking algorithm based on a binary search. The tool provides a systematic way of setting up evaluation experiments via the web without the necessity to install any additional software or require any programming skills. Furthermore, Versus can easily interface with crowdsourcing platforms, such as Amazon's Mechanical Turk, or can be used as a stand-alone system to carry out evaluations with experts. We demonstrate the use of Versus by means of an image evaluation study, aiming to determine if hue, saturation, brightness, and texture are good indicators of uncertainty in three-dimensional protein structures. Drawing from the power of crowdsourcing, we argue that there is demand and also great potential for this tool to become a standard for simple and fast image evaluations, with the aim to test the effectiveness and expressiveness of scientific visualizations. © 2019 Zhejiang University and Zhejiang University Press</t>
  </si>
  <si>
    <t>Vuong J., Kaur S., Heinrich J., Ho B.K., Hammang C.J., Baldi B.F., O'Donoghue S.I.</t>
  </si>
  <si>
    <t>Visual Informatics</t>
  </si>
  <si>
    <t>https://www.scopus.com/inward/record.uri?eid=2-s2.0-85066755023&amp;doi=10.1016%2fj.visinf.2018.12.003&amp;partnerID=40&amp;md5=20ec7ff05fefe8d9d197543905c7080f</t>
  </si>
  <si>
    <t>CSIRO, Data61, Australia; Garvan Institute of Medical Research, Australia; University of New South Wales, Australia; University of Tübingen, Germany; University of Sydney, Australia</t>
  </si>
  <si>
    <t>Vuong, J., CSIRO, Data61, Australia, Garvan Institute of Medical Research, Australia; Kaur, S., Garvan Institute of Medical Research, Australia, University of New South Wales, Australia; Heinrich, J., CSIRO, Data61, Australia, University of Tübingen, Germany; Ho, B.K., CSIRO, Data61, Australia; Hammang, C.J., University of Sydney, Australia; Baldi, B.F., CSIRO, Data61, Australia, Garvan Institute of Medical Research, Australia; O'Donoghue, S.I., CSIRO, Data61, Australia, Garvan Institute of Medical Research, Australia, University of New South Wales, Australia</t>
  </si>
  <si>
    <t>Vuong, J.; CSIRO, Data61, Australia; email: me@jennyvuong.net</t>
  </si>
  <si>
    <t>Virtual prosthodontic planning for oral rehabilitation: A pilot study</t>
  </si>
  <si>
    <t>36439327600;</t>
  </si>
  <si>
    <t>This report illustrates the application of digital work-up as a dental treatment planning tool for prosthodontic patients. A clinical case was selected according to the prosthodontic needs. The conventional work-up was performed in accordance with the traditional prosthodontic criteria. The digital work-up was com-prised of scanning of the pre-treatment models followed by restor-ing the deficient teeth and replacement of the missing teeth. The two diagnostic work-up models were compared in relation to the modified teeth, soft tissue and occlusal contacts. It appears that the digital work-up is a feasible option and allows quantitative and qualitative evaluation of the dental treatment impact.</t>
  </si>
  <si>
    <t>Abduo J.</t>
  </si>
  <si>
    <t>https://www.scopus.com/inward/record.uri?eid=2-s2.0-84893191109&amp;partnerID=40&amp;md5=14a6b4a9f36f8668080d1756779d9e1d</t>
  </si>
  <si>
    <t>School of Dentistry, University of Western Australia, 35 Stirling Highway, Crawley, WA 6009, Australia</t>
  </si>
  <si>
    <t>Abduo, J., School of Dentistry, University of Western Australia, 35 Stirling Highway, Crawley, WA 6009, Australia</t>
  </si>
  <si>
    <t>Abduo, J.; School of Dentistry, 35 Stirling Highway, Crawley, WA 6009, Australia; email: jaafar.abduo@uwa.edu.au</t>
  </si>
  <si>
    <t>Visual Cues in Estimation of Part-To-Whole Comparisons</t>
  </si>
  <si>
    <t>10.1109/VISUAL.2019.8933718</t>
  </si>
  <si>
    <t>57215335605;</t>
  </si>
  <si>
    <t>Pie charts were first published in 1801 by William Playfair and have caused some controversy since. Despite the suggestions of many experts against their use, several empirical studies have shown that pie charts are at least as good as alternatives. From Brinton to Few on one side and Eells to Kosara on the other, there appears to have been a hundred-year war waged on the humble pie. In this paper a set of experiments are reported that compare the performance of pie charts and horizontal bar charts with various visual cues. Amazon's Mechanical Turk service was employed to perform the tasks of estimating segments in various part-to-whole charts. The results lead to recommendations for data visualization professionals in developing dashboards. © 2019 IEEE.</t>
  </si>
  <si>
    <t>Redmond S.</t>
  </si>
  <si>
    <t>2019 IEEE Visualization Conference, VIS 2019</t>
  </si>
  <si>
    <t>https://www.scopus.com/inward/record.uri?eid=2-s2.0-85078014762&amp;doi=10.1109%2fVISUAL.2019.8933718&amp;partnerID=40&amp;md5=de461bd13f52c5b3add98e67b30c8a2c</t>
  </si>
  <si>
    <t>Accenture Plc, National College of Ireland, Ireland</t>
  </si>
  <si>
    <t>Redmond, S., Accenture Plc, National College of Ireland, Ireland</t>
  </si>
  <si>
    <t>Redmond, S.; Accenture Plc, Ireland; email: stephen.redmond@ncirl.ie</t>
  </si>
  <si>
    <t>Waiting for a baby: Navigating uncertainty in recollections of trying to conceive</t>
  </si>
  <si>
    <t>10.1016/j.socscimed.2015.07.031</t>
  </si>
  <si>
    <t>13905852000;55986170900;24338818200;36970068800;</t>
  </si>
  <si>
    <t>Objective: Guided by the uncertainty navigation model, this study examined experiences of uncertainty associated with trying to conceive and identified predictors of this experience using a multi-method approach. Method: 429 American adults from Amazon's Mechanical Turk who had a child under age three completed online questionnaires regarding their experiences trying to conceive, including recollections of psychological adjustment, use of coping strategies, and individual and situational variability. Then they provided open-ended reflections of their experience trying to conceive. Participants' descriptions were analyzed for word use using LIWC, a text-analysis software program, to obtain an unobtrusive and pseudo-observational measure of coping resources. Results: Consistent with the uncertainty navigation model, recollections of distress as individuals tried to conceive were associated with lower levels of dispositional optimism; intolerance of uncertainty; fewer social, emotional, and cognitive resources (reflected in word use); placing greater importance on conception; lower risk for infertility; and less searching for meaning in life. Conclusions: This study revealed many novel insights regarding the experience of trying to conceive, including protective factors and vulnerabilities that may buffer or heighten the distress associated with this experience. © 2015.</t>
  </si>
  <si>
    <t>Sweeny K., Andrews S.E., Nelson S.K., Robbins M.L.</t>
  </si>
  <si>
    <t>https://www.scopus.com/inward/record.uri?eid=2-s2.0-84939136544&amp;doi=10.1016%2fj.socscimed.2015.07.031&amp;partnerID=40&amp;md5=4ea2be121f118bd4b3f2d2fc8a014efb</t>
  </si>
  <si>
    <t>University of California, Riverside, United States; Sewanee: The University of the South, United States</t>
  </si>
  <si>
    <t>Sweeny, K., University of California, Riverside, United States; Andrews, S.E., University of California, Riverside, United States; Nelson, S.K., Sewanee: The University of the South, United States; Robbins, M.L., University of California, Riverside, United States</t>
  </si>
  <si>
    <t>Sweeny, K.; Department of Psychology, University of CaliforniaUnited States</t>
  </si>
  <si>
    <t>Walk before you run: Using heuristic evaluation to assess a training tool prototype</t>
  </si>
  <si>
    <t>10.1145/2601248.2601271</t>
  </si>
  <si>
    <t>36163107700;56257636100;7003393897;7004203473;6505937694;</t>
  </si>
  <si>
    <t>Context: One of the chief challenges of Global Software Development (GSD) is for globally, culturally and linguistically diverse team members to communicate effectively. Failing to meet this challenge can lead to misunderstandings that impede project success. To prepare practitioners for remote and diverse forms of communication we have developed VENTURE: a simulationbased training platform that aims to increase cultural awareness. Aim of study: Having developed a prototype training platform, we now assess whether VENTURE can deliver real learning and increase cultural awareness. Method: A survey was designed based on educational theory. Using a heuristic evaluation approach, a group of potential users trialed the system and completed a proof of learning survey before and after using the platform. Survey results, and VENTURE's own automated assessment scores, were analysed and compared. Results: Results indicate that the platform has the potential to provide useful and meaningful training for cultural awareness in GSD. A secondary result is that the assessment scheme proved useful in providing both evidence of learning and highlighting areas where VENTURE could be improved. Conclusion: Researchers and practitioners can gain an understanding of how to evaluate, train and measure soft skills, such as communication, important to all forms of software development. The methodology applied served to adapt the environment to the needs of potential users and the actual problems of GSD. Copyright 2014 ACM.</t>
  </si>
  <si>
    <t>Monasor M.J., Noll J., Vizcaíno A., Piattini M., Beecham S.</t>
  </si>
  <si>
    <t>https://www.scopus.com/inward/record.uri?eid=2-s2.0-84905483352&amp;doi=10.1145%2f2601248.2601271&amp;partnerID=40&amp;md5=d97250e01b345c1d4302afd6ca672ed5</t>
  </si>
  <si>
    <t>Lero, Irish Software Engineering Research Centre, University of Limerick, Ireland; Alarcos Research Group, University of Castilla-La Mancha, Spain</t>
  </si>
  <si>
    <t>Monasor, M.J., Lero, Irish Software Engineering Research Centre, University of Limerick, Ireland, Alarcos Research Group, University of Castilla-La Mancha, Spain; Noll, J., Lero, Irish Software Engineering Research Centre, University of Limerick, Ireland; Vizcaíno, A., Alarcos Research Group, University of Castilla-La Mancha, Spain; Piattini, M., Alarcos Research Group, University of Castilla-La Mancha, Spain; Beecham, S., Lero, Irish Software Engineering Research Centre, University of Limerick, Ireland</t>
  </si>
  <si>
    <t>What Happened Next? New Measures of Consequences of Bystander Actions to Prevent Interpersonal Violence</t>
  </si>
  <si>
    <t>10.1037/vio0000229</t>
  </si>
  <si>
    <t>57192659150;57192004855;6603834101;6701796924;</t>
  </si>
  <si>
    <t>Objective: Research on bystander behavior has focused on factors that influence bystanders' decision to take action. Less is known about what happens after bystanders intervene and, specifically, positive and negative outcomes they may experience as a result of their actions. There is a need for new measures of what happens after bystanders respond. This study presents the initial evaluation of the psychometric properties of five newly created self-report measures of consequences of bystander action; they encompass general and specific outcomes, including feelings about bystander action, reactions of the potential victim, reactions of the potential perpetrator, and responses from other bystanders. Method: Young adults (N = 1,391) were recruited from Amazon's Mechanical Turk and a university psychology subject pool and completed surveys. We examined the factor structure of these newly developed measures, their reliability, and gender differences in perceptions of bystander consequences. Results: Factor analyses of each scale produced factors representing positive and negative consequences, and a third type of consequence for bystander feelings and responses from others (uncertainty and apathy, respectively). Subscales demonstrated adequate internal consistency and preliminary evidence of validity. Conclusions: The current data capture a range of experiences that young adults report after taking action to prevent sexual assault or dating violence, and increase our understanding of the positive and negative impact of bystander action. The information is vital for improving bystander-focused prevention efforts to promote positive outcomes and mitigate negative outcomes. © 2019 American Psychological Association.</t>
  </si>
  <si>
    <t>Banyard V., Moschella E., Grych J., Jouriles E.</t>
  </si>
  <si>
    <t>Psychology of Violence</t>
  </si>
  <si>
    <t>https://www.scopus.com/inward/record.uri?eid=2-s2.0-85060905322&amp;doi=10.1037%2fvio0000229&amp;partnerID=40&amp;md5=634d5e0e3ef4def63cc36f5d8d45447c</t>
  </si>
  <si>
    <t>Banyard, V.; Moschella, E.; Grych, J.; Jouriles, E.</t>
  </si>
  <si>
    <t>Banyard, V.</t>
  </si>
  <si>
    <t>What information would you like to know about your co-worker? A case study</t>
  </si>
  <si>
    <t>10.1109/ICGSE.2010.24</t>
  </si>
  <si>
    <t>8907776100;7003393897;34267748800;7201919645;</t>
  </si>
  <si>
    <t>The lack of face-to-face interaction in Distributed Software Development (DSD) projects is a great obstacle for informal communication, which is the way in which we normally discover more about the co-workers along with building trust. Since we are attempting to reinforce the team spirit and improve trust between co-workers, we have analyzed what information software engineers consider to be important to know about their virtual colleagues. In this paper we describe the preliminary results obtained from this study and outline the features of a tool, called Trusting Social Network, with which to support DSD and help stakeholders to know each other better. © 2010 IEEE.</t>
  </si>
  <si>
    <t>Aranda G.N., Vizcaíno A., Palacio R.R., Morán A.L.</t>
  </si>
  <si>
    <t>https://www.scopus.com/inward/record.uri?eid=2-s2.0-78149341756&amp;doi=10.1109%2fICGSE.2010.24&amp;partnerID=40&amp;md5=49afcf14f69347795c24fde8289199c5</t>
  </si>
  <si>
    <t>GIISCo Research Group, Computing Sciences Department, Universidad Nacional del Comahue, Neuquén, Argentina; Information Systems and Technologies Department, UCLM-INDRA Research and Development Institute, Universidad de Castilla-La Mancha, Ciudad Real, Spain; Facultad de Ingeniería, Universidad Autónoma de Baja California, Ensenada, Mexico; Facultad de Ciencias, Universidad Autónoma de Baja California, Ensenada, Mexico</t>
  </si>
  <si>
    <t>Aranda, G.N., GIISCo Research Group, Computing Sciences Department, Universidad Nacional del Comahue, Neuquén, Argentina; Vizcaíno, A., Information Systems and Technologies Department, UCLM-INDRA Research and Development Institute, Universidad de Castilla-La Mancha, Ciudad Real, Spain; Palacio, R.R., Facultad de Ingeniería, Universidad Autónoma de Baja California, Ensenada, Mexico; Morán, A.L., Facultad de Ciencias, Universidad Autónoma de Baja California, Ensenada, Mexico</t>
  </si>
  <si>
    <t>Aranda, G. N.; GIISCo Research Group, , Neuquén, Argentina; email: garanda@uncoma.edu.ar</t>
  </si>
  <si>
    <t>What is needed to educate future digital librarians: A study of current practice and staffing patterns in academic and research libraries</t>
  </si>
  <si>
    <t>10.1045/september2006-choi</t>
  </si>
  <si>
    <t>23007579100;7102328873;</t>
  </si>
  <si>
    <t>Due to the changing nature of librarianship resulting from the increasing amount of information available in digital format, educating digital librarians has become an important agenda within library and information science schools. To design and offer appropriate courses and teaching approaches for training competent digital librarians, educators can benefit from feedback provided by current practitioners in order to accurately determine what skills and knowledge are really required for digital librarians to be effective in the digital work place. To that end, we surveyed current digital library professionals in academic libraries in the United States to identify their activities and skills and to detect any gaps in their training. We analyzed input from the survey responses to learn more about the nature of digital library work practices and to identify common and necessary attributes (knowledge and skills) required of "digital librarians." The findings from our study have implications for the design of digital library education that meets real workplace needs.</t>
  </si>
  <si>
    <t>Choi Y., Rasmussen E.</t>
  </si>
  <si>
    <t>D-Lib Magazine</t>
  </si>
  <si>
    <t>https://www.scopus.com/inward/record.uri?eid=2-s2.0-33748953687&amp;doi=10.1045%2fseptember2006-choi&amp;partnerID=40&amp;md5=e37f86f60fe7cd3abaae81e6b423a254</t>
  </si>
  <si>
    <t>School of Library and Information Science, Catholic University of America, Washington, DC, United States; School of Library, Archival and Information Studies, University of British Columbia, Canada</t>
  </si>
  <si>
    <t>Choi, Y., School of Library and Information Science, Catholic University of America, Washington, DC, United States; Rasmussen, E., School of Library, Archival and Information Studies, University of British Columbia, Canada</t>
  </si>
  <si>
    <t>Choi, Y.; School of Library and Information Science, , Washington, DC, United States; email: choiy@cua.edu</t>
  </si>
  <si>
    <t>What motivates software engineers working in global software development?</t>
  </si>
  <si>
    <t>10.1007/978-3-319-26844-6_14</t>
  </si>
  <si>
    <t>6505937694;56257636100;</t>
  </si>
  <si>
    <t>Context: Working in a distributed environment poses new challenges to software engineer motivation. Problem: Where should global project managers focus their efforts so that they have the best chance of motivating their teams, for higher staff retention, increased productivity and improved software quality? Method: We asked a group of software engineers attending a workshop on global collaboration to complete a survey on software engineer motivation. We then identified motivation themes in the responses. Finally, we mapped these themes to software engineer motivators identified in previous research. Results: Thirteen participants completed the survey. Analysis of the results yielded 27 motivation categories. The vast majority (23 of 27) were partially or wholly mapped to Intrinsic motivators. Implications: We conclude that Global Software Development projects that relegate some teams to performing routine tasks (such as maintenance or testing) will experience lower productivity and quality due to demotivation. Finally, we hypothesize that GSD introduces new motivators, such as opportunities to travel and interact with different cultures. © Springer International Publishing Switzerland 2015.</t>
  </si>
  <si>
    <t>Beecham S., Noll J.</t>
  </si>
  <si>
    <t>https://www.scopus.com/inward/record.uri?eid=2-s2.0-84952314109&amp;doi=10.1007%2f978-3-319-26844-6_14&amp;partnerID=40&amp;md5=b650a29e59927445be736a85fafe2f7a</t>
  </si>
  <si>
    <t>Lero, The Irish Software Research Centre, University of Limerick, Limerick, Ireland</t>
  </si>
  <si>
    <t>Beecham, S., Lero, The Irish Software Research Centre, University of Limerick, Limerick, Ireland; Noll, J., Lero, The Irish Software Research Centre, University of Limerick, Limerick, Ireland</t>
  </si>
  <si>
    <t>Beecham, S.; Lero, Ireland; email: Sarah.Beecham@lero.ie</t>
  </si>
  <si>
    <t>When do distributed student teams work?</t>
  </si>
  <si>
    <t>10.1109/ITHET.2012.6246042</t>
  </si>
  <si>
    <t>6701676240;57215572330;13410422400;6701519251;55507874700;</t>
  </si>
  <si>
    <t>The authors analyzed 2500 communication activities of student teams engaged in global software development projects during an 18 month period to determine the temporal behavior of students engaged in distributed group activities. The data revealed a number of daily, weekly, and project regularities, which provide insights into how distributed teams use their time. The results from this study show that students often work outside of the normal workday. Students' work habits are sometimes determined by where they live and what tasks they are performing. Moreover, students tend to work on group projects in cycles, which follow a start-middle-end pattern. Knowledge obtained from this study should provide insight into current empirical research on computer-supported collaborative learning by defining the different time variables that can be used to compare temporal patterns of online teams. © 2012 IEEE.</t>
  </si>
  <si>
    <t>Swigger K., Dafoulas G., Serce F.C., Alpaslan F.N., Lopez V.</t>
  </si>
  <si>
    <t>2012 International Conference on Information Technology Based Higher Education and Training, ITHET 2012</t>
  </si>
  <si>
    <t>https://www.scopus.com/inward/record.uri?eid=2-s2.0-84866607496&amp;doi=10.1109%2fITHET.2012.6246042&amp;partnerID=40&amp;md5=d66c915881a6ff30749749c217d56e15</t>
  </si>
  <si>
    <t>University of North Texas, Denton, TX, United States; Middlesex University, Middlesex, United Kingdom; Atilim University, Ankara, Turkey; Middle East Tech. University, Ankara, Turkey; Universidad Tecnológica de Panamá, Panamá City, Panama</t>
  </si>
  <si>
    <t>Swigger, K., University of North Texas, Denton, TX, United States; Dafoulas, G., Middlesex University, Middlesex, United Kingdom; Serce, F.C., Atilim University, Ankara, Turkey; Alpaslan, F.N., Middle East Tech. University, Ankara, Turkey; Lopez, V., Universidad Tecnológica de Panamá, Panamá City, Panama</t>
  </si>
  <si>
    <t>Swigger, K.; University of North Texas, Denton, TX, United States</t>
  </si>
  <si>
    <t>When Police Smile: A Two Sample Test of the Effects of Facial Expressions on Perceptions of Police</t>
  </si>
  <si>
    <t>10.1007/s11896-020-09386-y</t>
  </si>
  <si>
    <t>57193081269;</t>
  </si>
  <si>
    <t>Police officers exist at the center of much perceptual scrutiny. The present research contributes to the police perception literature by empirically evaluating the effects of facial expressions on perceptions of police officers. Using an experimental methodology, participants were exposed to images of police officers exhibiting either a neutral facial expression or a smile, and then asked to rate them on several important outcomes, including aggressiveness, approachability, friendliness, respectfulness, accountability (Study I; N = 92), and competency (Study II; N = 98). The analyses reveal that smiling unilaterally enhances perceptions of police officers: when exhibiting a smile, officers are perceived as less aggressive and more approachable, friendly, respectful, accountable, and competent. These results are strong and consistent across two samples of diverse participants from a public university and Amazon’s Mechanical Turk. The theoretical and practical implications of these results are discussed with respect to both perceptions of police and philosophies of police more broadly. © 2020, Society for Police and Criminal Psychology.</t>
  </si>
  <si>
    <t>Simpson R.</t>
  </si>
  <si>
    <t>Journal of Police and Criminal Psychology</t>
  </si>
  <si>
    <t>https://www.scopus.com/inward/record.uri?eid=2-s2.0-85085890837&amp;doi=10.1007%2fs11896-020-09386-y&amp;partnerID=40&amp;md5=cd9dfdc317007acc9f9cda88776378d0</t>
  </si>
  <si>
    <t>School of Criminology, Simon Fraser University, 8888 University Drive, Burnaby, BC  V5A 1S6, Canada</t>
  </si>
  <si>
    <t>Simpson, R., School of Criminology, Simon Fraser University, 8888 University Drive, Burnaby, BC  V5A 1S6, Canada</t>
  </si>
  <si>
    <t>Simpson, R.; School of Criminology, 8888 University Drive, Canada; email: rylan_simpson@sfu.ca</t>
  </si>
  <si>
    <t>When we seek and share information about mental illness: The impact of threat appraisal, negative emotions, and efficacy</t>
  </si>
  <si>
    <t>10.1080/03623319.2020.1727248</t>
  </si>
  <si>
    <t>57194387711;</t>
  </si>
  <si>
    <t>Mental illnesses (e.g., depression, stress, anxiety disorder) are prevalent in our everyday lives. It is important to explore how individuals cope with mental illness. Little is known, however, about the psychological mechanisms that motivate coping behaviors of mental illness. To address this gap, this study applied an extension of the extended parallel process model (E-EPPM) to examine how threat appraisals (e.g., severity and susceptibility), negative emotions (e.g., anxiety and fear), and coping appraisals (e.g., self-efficacy and response efficacy) show dynamic relationships on information seeking. Furthermore, the current study tests whether information seeking ultimately elicits intentions to spread information on social media. An online survey of adults aged over 18 years old (Mage = 32.40) recruited from Amazon Mechanical Turk (MTurk) was used for this study (N = 614). The structural equation modeling (SEM) results analyzed by AMOS statistical software indicated that anxiety was a strong predictor of coping appraisals and information seeking. Overall, anxiety increased information sharing intentions via self-efficacy and information seeking. Theoretical and practical ramifications are discussed. © 2020, © 2020 Western Social Science Association.</t>
  </si>
  <si>
    <t>Lee J.</t>
  </si>
  <si>
    <t>Social Science Journal</t>
  </si>
  <si>
    <t>https://www.scopus.com/inward/record.uri?eid=2-s2.0-85082434956&amp;doi=10.1080%2f03623319.2020.1727248&amp;partnerID=40&amp;md5=dbda1bf7cc849f69d1a6416d30543d2b</t>
  </si>
  <si>
    <t>Department of Journalism and Creative Media, The University of Alabama, Tuscaloosa, AL, United States</t>
  </si>
  <si>
    <t>Lee, J., Department of Journalism and Creative Media, The University of Alabama, Tuscaloosa, AL, United States</t>
  </si>
  <si>
    <t>Lee, J.; Department of Journalism and Creative Media, Reese Phifer Hall 430A, United States; email: jlee284@ua.edu</t>
  </si>
  <si>
    <t>Which groupware tool is the most suitable for this group?</t>
  </si>
  <si>
    <t>10.1109/ICGSE.2009.63</t>
  </si>
  <si>
    <t>8907776100;7003393897;7004203473;</t>
  </si>
  <si>
    <t>Improving communication and knowledge sharing are the main challenges in global software development projects. Since stakeholders in such environments must communicate by means of groupware tools, our research focuses on analyzing people's preferences, according to their cognitive characteristics, in order to discover behaviour patterns that will help us to define the best choice for them. In this paper we present a methodology for groupware selection for a given group of people, along with some preliminary results of a controlled experiment. © 2009 IEEE.</t>
  </si>
  <si>
    <t>Aranda G.N., Vizcaíno A., Piattini M.</t>
  </si>
  <si>
    <t>https://www.scopus.com/inward/record.uri?eid=2-s2.0-71049139008&amp;doi=10.1109%2fICGSE.2009.63&amp;partnerID=40&amp;md5=15cfcdd6b5116b004756924d9297a7c4</t>
  </si>
  <si>
    <t>GIISCo Research Group, Universidad Nacional Dei Comahue, Computing Sciences Department, Buenos Aires 1400 - 8300 Neuquén, Argentina; ALARCOS Research Group, Information Systems and Technologies Department, Universidad de Castilla-La Mancha, Paseo de la Universidad 4 - 13071 Ciudad Real, Spain</t>
  </si>
  <si>
    <t>Aranda, G.N., GIISCo Research Group, Universidad Nacional Dei Comahue, Computing Sciences Department, Buenos Aires 1400 - 8300 Neuquén, Argentina; Vizcaíno, A., ALARCOS Research Group, Information Systems and Technologies Department, Universidad de Castilla-La Mancha, Paseo de la Universidad 4 - 13071 Ciudad Real, Spain; Piattini, M., ALARCOS Research Group, Information Systems and Technologies Department, Universidad de Castilla-La Mancha, Paseo de la Universidad 4 - 13071 Ciudad Real, Spain</t>
  </si>
  <si>
    <t>Aranda, G. N.; GIISCo Research Group, , Buenos Aires 1400 - 8300 Neuquén, Argentina; email: garanda@uncoma.edu.ar</t>
  </si>
  <si>
    <t>Which vertical search engines are relevant?: Understanding vertical relevance assessments for web queries</t>
  </si>
  <si>
    <t>56567239100;10045138600;6603685753;7102211799;</t>
  </si>
  <si>
    <t>Aggregating search results from a variety of heterogeneous sources, so-called verticals, such as news, image and video, into a single interface is a popular paradigm in web search. Current approaches that evaluate the effectiveness of aggregated search systems are based on rewarding systems that return highly relevant verticals for a given query, where this relevance is assessed under different assumptions. It is difficult to evaluate or compare those systems without fully understanding the relationship between those underlying assumptions. To address this, we present a formal analysis and a set of extensive user studies to investigate the effects of various assumptions made for assessing query vertical relevance. A total of more than 20,000 assessments on 44 search tasks across 11 verticals are collected through Amazon Mechanical Turk and subsequently analysed. Our results provide insights into various aspects of query vertical relevance and allow us to explain in more depth as well as questioning the evaluation results published in the literature. Copyright is held by the International World Wide Web Conference Committee (IW3C2).</t>
  </si>
  <si>
    <t>Zhou K., Cummins R., Lalmas M., Jose J.M.</t>
  </si>
  <si>
    <t>WWW 2013 - Proceedings of the 22nd International Conference on World Wide Web</t>
  </si>
  <si>
    <t>https://www.scopus.com/inward/record.uri?eid=2-s2.0-84893065460&amp;partnerID=40&amp;md5=d8dd20bccbc46caa6d1121ac1504b372</t>
  </si>
  <si>
    <t>University of Glasgow, Glasgow, United Kingdom; University of Greenwich, London, United Kingdom; Yahoo Labs, Barcelona, Spain</t>
  </si>
  <si>
    <t>Zhou, K., University of Glasgow, Glasgow, United Kingdom; Cummins, R., University of Greenwich, London, United Kingdom; Lalmas, M., Yahoo Labs, Barcelona, Spain; Jose, J.M., University of Glasgow, Glasgow, United Kingdom</t>
  </si>
  <si>
    <t>University of Glasgow, Glasgow, United Kingdom</t>
  </si>
  <si>
    <t>Why and how did Japan finally change its ways? The politics of Japanese labour-market deregulation since the 1990s</t>
  </si>
  <si>
    <t>10.1080/09555803.2011.637636</t>
  </si>
  <si>
    <t>55009549200;</t>
  </si>
  <si>
    <t>This article analyses the politics of Japanese labour-market deregulation since the 1990s with reference to the cases of the 1999 and 2003 amendments to the Temporary Work Agency Law. It demonstrates that factors such as the loss of political power by labour unions vis-à-vis employers and the resulting significant changes in labour policy-making structures enabled the LDP government to implement 'extensive' labour-market deregulation policies related to 'non-regular' employment. The decline of the left by the 1980s and the economic stagnation after the collapse of the bubble economy against a background of globalisation led to the establishment of the Deregulation Committee, which represented business interests and exerted strong policy influence due to the Cabinet's adoption of its policy proposals. In addition, labour unions lost political power as a result of factors such as their inability to maintain common policy stances towards labour-market deregulation and the reduced influence of 'tripartite' policy-making among labour, employer and public representatives in the advisory councils of the Ministry of Labour. This article contributes to the literature on Japanese political economy by showing an 'exceptional' case of extensive economic reform in Japan and its political reasons. © 2012 Taylor and Francis Group, LLC.</t>
  </si>
  <si>
    <t>Watanabe H.R.</t>
  </si>
  <si>
    <t>Japan Forum</t>
  </si>
  <si>
    <t>https://www.scopus.com/inward/record.uri?eid=2-s2.0-84857274320&amp;doi=10.1080%2f09555803.2011.637636&amp;partnerID=40&amp;md5=4e9512590f4b5d39c785471ecb7ad395</t>
  </si>
  <si>
    <t>National Institute of Japanese Studies, The School of East Asian Studies, University of Sheffield, United Kingdom</t>
  </si>
  <si>
    <t>Watanabe, H.R., National Institute of Japanese Studies, The School of East Asian Studies, University of Sheffield, United Kingdom</t>
  </si>
  <si>
    <t>Watanabe, H. R.; National Institute of Japanese Studies, United Kingdom; email: h.watanabe@sheffield.ac.uk</t>
  </si>
  <si>
    <t>Wireless lighting control: A life cycle cost evaluation of multiple lighting control strategies</t>
  </si>
  <si>
    <t>10.1582/LEUKOS.2011.08.01.004</t>
  </si>
  <si>
    <t>53875242600;54888611300;</t>
  </si>
  <si>
    <t>This study evaluated the energy impacts and cost differences of multiple lighting control strategies for a controls-only retrofit of a theoretical 1970's or 1980's office building, analyzed in Boston and Los Angeles. The minimum control requirements of ASHRAE 90.1-2007 established an energy baseline, and six control systems were assessed. Life-cycle costs were evaluated using equipment and installation cost estimates, provided by an independent contractor, and commissioning cost estimates, provided by an independent commissioning agent. Results suggest that advanced systems can achieve nearly 50 percent energy savings compared to code-compliant controls, and that the approach to space-planning can significantly influence the lighting energy density. The cost analysis shows that wireless lighting controls required lower investment to achieve a high level of functionality for retrofit applications. The cost of commissioning was found to generally be offset by the utility rebates available in both locations. This all combines to illustrate that advanced networked lighting control systems can lead to a lower lifetime cost of ownership compared to more traditional systems. © 2011 The Illuminating Engineering Society of North America.</t>
  </si>
  <si>
    <t>Sanders D., Chinnis D.</t>
  </si>
  <si>
    <t>LEUKOS - Journal of Illuminating Engineering Society of North America</t>
  </si>
  <si>
    <t>https://www.scopus.com/inward/record.uri?eid=2-s2.0-84855530279&amp;doi=10.1582%2fLEUKOS.2011.08.01.004&amp;partnerID=40&amp;md5=e0d91581254112e6d9ef61f1432b942f</t>
  </si>
  <si>
    <t>Clanton and Association Inc., Boulder, CO, United States; University of Colorado, Boulder, CO, United States</t>
  </si>
  <si>
    <t>Sanders, D., Clanton and Association Inc., Boulder, CO, United States; Chinnis, D., University of Colorado, Boulder, CO, United States</t>
  </si>
  <si>
    <t>Sanders, D.; Clanton and Association Inc., Boulder, CO, United States; email: dane@clantonassociates.com</t>
  </si>
  <si>
    <t>Women (still) ask for less: Gender differences in hourly rate in an online labor marketplace</t>
  </si>
  <si>
    <t>10.1145/3274322</t>
  </si>
  <si>
    <t>57201448711;57202044868;24824723600;36084552700;</t>
  </si>
  <si>
    <t>In many traditional labor markets, women earn less on average compared to men. However, it is unclear whether this discrepancy persists in the online gig economy, which bears important differences from the traditional labor market (e.g., more flexible work arrangements, shorter-term engagements, reputation systems). In this study, we collected self-determined hourly bill rates from the public profiles of 48,019 workers in the United States (48.8% women) on Upwork, a popular gig work platform. The median female worker set hourly bill rates that were 74% of the median man’s hourly bill rates, a gap than cannot be entirely explained by online and offline work experience, education level, and job category. However, in some job categories, we found evidence of a more complex relationship between gender and earnings: Women earned more overall than men by working more hours, outpacing the effect of lower hourly bill rates. To better support equality in the rapidly growing gig economy, we encourage continual evaluation of the complex gender dynamics on these platforms and discuss whose responsibility it is to address inequalities. © 2018 Association for Computing Machinery.</t>
  </si>
  <si>
    <t>Foong E., Vincent N., Hecht B., Gerber E.M.</t>
  </si>
  <si>
    <t>https://www.scopus.com/inward/record.uri?eid=2-s2.0-85066420868&amp;doi=10.1145%2f3274322&amp;partnerID=40&amp;md5=80f512a3a94cec803a9b6b031f35e89b</t>
  </si>
  <si>
    <t>Northwestern University, United States</t>
  </si>
  <si>
    <t>Foong, E., Northwestern University, United States; Vincent, N., Northwestern University, United States; Hecht, B., Northwestern University, United States; Gerber, E.M., Northwestern University, United States</t>
  </si>
  <si>
    <t>Working on low-paid micro-Task crowdsourcing platforms: An existence, relatedness and growth view</t>
  </si>
  <si>
    <t>56104155300;6508051561;</t>
  </si>
  <si>
    <t>Low-paid micro-Task crowdsourcing sites present a new workplace that has been increasingly popular. Given recently reported crowd demographics and relevant literature we believe that the understanding of higher-level motivations for workers on these sites is still an under-explored area. Using a qualitative research methodology, we explore workers' motivations in their natural settings. We conduct interviews with Amazon Mechanical Turk workers and analyze the data through the lens of Alderfer's existence, relatedness, and growth theory. Our paper contributes new insights to the crowdsourcing literature, specifically that low-paid micro-Task crowdsourcing workers aim to satisfy relatedness (connectedness and societal impact), existence (income, basic rights and rewarding experience), and growth needs (impact on self and skill development). We also discuss three additional categories that emerge from our data: Sense of control and power, having fun and passing the time. Our findings provide new contributions that are of high relevance to both theory and practice.</t>
  </si>
  <si>
    <t>Moussawi S., Koufaris M.</t>
  </si>
  <si>
    <t>2015 International Conference on Information Systems: Exploring the Information Frontier, ICIS 2015</t>
  </si>
  <si>
    <t>https://www.scopus.com/inward/record.uri?eid=2-s2.0-85126596299&amp;partnerID=40&amp;md5=c6848d82225ec1c361d04c30568e369e</t>
  </si>
  <si>
    <t>Baruch College, City University of New York, 55 Lexington Avenue, New York, United States</t>
  </si>
  <si>
    <t>Moussawi, S., Baruch College, City University of New York, 55 Lexington Avenue, New York, United States; Koufaris, M., Baruch College, City University of New York, 55 Lexington Avenue, New York, United States</t>
  </si>
  <si>
    <t>Wrenching things awry: From "explication de texte" to cybertext in the college literature classroom</t>
  </si>
  <si>
    <t>10.18848/1835-9795/cgp/v01i03/40424</t>
  </si>
  <si>
    <t>56174007400;55646335100;55646181700;55646797000;55646347900;55646237600;57212283490;57206321950;55646998800;</t>
  </si>
  <si>
    <t>As literature instructors face classrooms full of digital natives (Prensky 2001), we must interrogate the methods used to teach traditional literary analysis and evaluate whether they may be enhanced or even supplanted by using digital technologies to supplement traditional print-based assignments. Our collaborative paper details an experiment in an upperdivision literature class to analyze and evaluate the strengths and weaknesses of the traditional literature class assignment to "explicate the meaning of a poem" by having students create parallel versions-one a traditional, print-based essay and the other a multimedia presentation using Microsoft PhotoStory 3. In this paper, the instructor (Koster) will delineate the purpose and requirement of the assignment; a majority of the students completing the assignment (Blumenschine, Folden, Hill, Mahan, Sigmon, Smith, Stone, Wasson) will contribute their analyses of composing in these different modalities; and Koster will draw preliminary conclusions based on the class's overall results in completing the assignment. We argue that while the traditional print-based text allows closer attention to literary language and form, multi-media texts allow students to examine the nuances of tone, diction, and imagery in richer and more imaginative ways by choosing visual and auditory reinforcement of their interpretative scripts. In addition, we argue that the addition of the students' own voices (as narrators) allows them to develop and portray an authorial ethos in ways the traditional "student writing to teacher" print essay does not. Thus, while both forms of the assignment have great value for students of literature, the multimodal text allows more opportunities to demonstrate synthetic skills and to facilitate deep learning (Marton &amp; Saljo 1976). We recommend that students in literary analysis classes be given the opportunity to explore the possibilities both kinds of assignments offer for learning. Materials from the assignment, including samples of student print and digital work, will be available for review at http://faculty.winthrop.edu/kosterj/scholarly/ubiquitous.htm. © Common Ground, Josephine Koster, Sara Jane Blumenschine, William M. Folden, Eric W. Hill, Randall H. Mahan, Jr., Samantha A. Sigmon, Christopher Smith, Kevin Stone, Megan Wasson, All Rights Reserved.</t>
  </si>
  <si>
    <t>Koster J., Blumenschine S.J., Folden W.M., Hill E.W., Mahan Jr. R.H., Sigmon S.A., Smith C., Stone K., Wasson M.</t>
  </si>
  <si>
    <t>Ubiquitous Learning</t>
  </si>
  <si>
    <t>https://www.scopus.com/inward/record.uri?eid=2-s2.0-84875997143&amp;doi=10.18848%2f1835-9795%2fcgp%2fv01i03%2f40424&amp;partnerID=40&amp;md5=9fa8792562f0fbc5d179dabf93829b1b</t>
  </si>
  <si>
    <t>Winthrop University, SC, United States</t>
  </si>
  <si>
    <t>Koster, J., Winthrop University, SC, United States; Blumenschine, S.J., Winthrop University, SC, United States; Folden, W.M., Winthrop University, SC, United States; Hill, E.W., Winthrop University, SC, United States; Mahan Jr., R.H., Winthrop University, SC, United States; Sigmon, S.A., Winthrop University, SC, United States; Smith, C., Winthrop University, SC, United States; Stone, K., Winthrop University, SC, United States; Wasson, M., Winthrop University, SC, United States</t>
  </si>
  <si>
    <t>You're fired - ROC</t>
  </si>
  <si>
    <t>6505987657;</t>
  </si>
  <si>
    <t>The common law in rest of Canada (ROC) renders different judgments in cases of master-servant relationship and independent contractor. The independent contractor dealing with the salesman may get the termination of the contract without any prior notice. The court does not take the statements of the written agreement as definitive of the real nature of the relationship for the independent contractor. It will, however, analyze the situation taking place between the parties to determine the independency of the salesman, when no written contract is available. The case of employee/employer relationship, on the other hand, needs a reasonable notice before the termination of the contract, according to the BC (British Colombia) Court of Appeal. The court verdict determines the requirement of notice by deciding where, upon the continuum, one is located and whether the relationship bears more conformity to the employer/employee or independent contractor status.</t>
  </si>
  <si>
    <t>Sanft A.</t>
  </si>
  <si>
    <t>Canadian Apparel</t>
  </si>
  <si>
    <t>https://www.scopus.com/inward/record.uri?eid=2-s2.0-38349147986&amp;partnerID=40&amp;md5=38b4083199fdff268b352283edda3b56</t>
  </si>
  <si>
    <t>Sanft, A.</t>
  </si>
  <si>
    <t>email: arthur.sanft@qc.aibn.com</t>
  </si>
  <si>
    <t>#workfromhome: how multi-level marketers enact and subvert federal language policy for profit</t>
  </si>
  <si>
    <t>10.1007/s10993-021-09589-x</t>
  </si>
  <si>
    <t>57225152878;9272316600;</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</si>
  <si>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 © 2021, The Author(s), under exclusive licence to Springer Nature B.V.</t>
  </si>
  <si>
    <t>Fluegel S., King K.</t>
  </si>
  <si>
    <t>Language Policy</t>
  </si>
  <si>
    <t>https://www.scopus.com/inward/record.uri?eid=2-s2.0-85109318071&amp;doi=10.1007%2fs10993-021-09589-x&amp;partnerID=40&amp;md5=b431b4eee19056752c33df12d7aa622b</t>
  </si>
  <si>
    <t>University of Minnesota, Minneapolis, United States</t>
  </si>
  <si>
    <t>Fluegel, S., University of Minnesota, Minneapolis, United States; King, K., University of Minnesota, Minneapolis, United States</t>
  </si>
  <si>
    <t>Fluegel, S.; University of MinnesotaUnited States; email: flueg042@umn.edu</t>
  </si>
  <si>
    <t>‘I get my income from sharing.’ Modelling satisfaction of peer service providers on capital and labour sharing economy platforms</t>
  </si>
  <si>
    <t>10.1016/j.jhtm.2022.05.002</t>
  </si>
  <si>
    <t>57204880071;36545324600;6504405453;</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</si>
  <si>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 © 2022 The Authors</t>
  </si>
  <si>
    <t>Akhmedova A., Mas-Machuca M., Marimon F.</t>
  </si>
  <si>
    <t>Journal of Hospitality and Tourism Management</t>
  </si>
  <si>
    <t>https://www.scopus.com/inward/record.uri?eid=2-s2.0-85129933732&amp;doi=10.1016%2fj.jhtm.2022.05.002&amp;partnerID=40&amp;md5=3f36163e0edd22d5f4772ac192ed60a8</t>
  </si>
  <si>
    <t>Department of Economy and Business Organization, Universitat Internacional de Catalunya, Barcelona, Spain</t>
  </si>
  <si>
    <t>Akhmedova, A., Department of Economy and Business Organization, Universitat Internacional de Catalunya, Barcelona, Spain; Mas-Machuca, M., Department of Economy and Business Organization, Universitat Internacional de Catalunya, Barcelona, Spain; Marimon, F., Department of Economy and Business Organization, Universitat Internacional de Catalunya, Barcelona, Spain</t>
  </si>
  <si>
    <t>Akhmedova, A.; Department of Economy and Business Organization, Spain; email: aakhmedova@iese.edu</t>
  </si>
  <si>
    <t>“Have you learned your lesson?” Communities of practice under algorithmic competition</t>
  </si>
  <si>
    <t>10.1177/14614448221099229</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</si>
  <si>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 © The Author(s) 2022.</t>
  </si>
  <si>
    <t>https://www.scopus.com/inward/record.uri?eid=2-s2.0-85133686990&amp;doi=10.1177%2f14614448221099229&amp;partnerID=40&amp;md5=06866cd6413dd5a0d0efa5f9295dcc54</t>
  </si>
  <si>
    <t>Princeton University Center for Information Technology Policy and Human-Computer Interaction Group, Princeton, NJ, United States</t>
  </si>
  <si>
    <t>Watkins, E.A., Princeton University Center for Information Technology Policy and Human-Computer Interaction Group, Princeton, NJ, United States</t>
  </si>
  <si>
    <t>Watkins, E.A.; Princeton University Center for Information Technology Policy and Human-Computer Interaction GroupUnited States; email: ew4582@princeton.edu</t>
  </si>
  <si>
    <t>A Comparison of Crowd Types: Idea Selection Performance of Students and Amazon Mechanical Turks</t>
  </si>
  <si>
    <t>10.1007/978-3-030-86800-0_30</t>
  </si>
  <si>
    <t>57209824754;</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</si>
  <si>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 © 2021, The Author(s), under exclusive license to Springer Nature Switzerland AG.</t>
  </si>
  <si>
    <t>Banken V.</t>
  </si>
  <si>
    <t>https://www.scopus.com/inward/record.uri?eid=2-s2.0-85119372282&amp;doi=10.1007%2f978-3-030-86800-0_30&amp;partnerID=40&amp;md5=9df87ec6656046e5d74b0611a2695c1c</t>
  </si>
  <si>
    <t>Department of Information Systems, Production and Logistics Management, University of Innsbruck, Innsbruck, Austria</t>
  </si>
  <si>
    <t>Banken, V., Department of Information Systems, Production and Logistics Management, University of Innsbruck, Innsbruck, Austria</t>
  </si>
  <si>
    <t>Banken, V.; Department of Information Systems, Austria; email: Victoria.Banken@uibk.ac.at</t>
  </si>
  <si>
    <t>A real-time platform for contextualized conspiracy theory analysis</t>
  </si>
  <si>
    <t>10.1109/ICDMW53433.2021.00021</t>
  </si>
  <si>
    <t>57468304400;57467840100;57202437205;57218222959;57217188213;26038500000;7005748408;</t>
  </si>
  <si>
    <t>As the U.S. Capitol riots of January 6, 2021 attest, conspiracy theories can lead to civil unrest. Many "netizens"of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 © 2021 IEEE.</t>
  </si>
  <si>
    <t>Chong D., Lee E., Fan M., Holur P., Shahsavari S., Tangherlini T., Roychowdhury V.</t>
  </si>
  <si>
    <t>IEEE International Conference on Data Mining Workshops, ICDMW</t>
  </si>
  <si>
    <t>https://www.scopus.com/inward/record.uri?eid=2-s2.0-85125293833&amp;doi=10.1109%2fICDMW53433.2021.00021&amp;partnerID=40&amp;md5=7da4ace45aaa795f891f34eb72755d0d</t>
  </si>
  <si>
    <t>University of California, Department of Electrical and Computer Engineering, Los Angeles, United States; University of California, Department of Scandinavian and Culture Analytics, Berkeley, United States</t>
  </si>
  <si>
    <t>Chong, D., University of California, Department of Electrical and Computer Engineering, Los Angeles, United States; Lee, E., University of California, Department of Electrical and Computer Engineering, Los Angeles, United States; Fan, M., University of California, Department of Electrical and Computer Engineering, Los Angeles, United States; Holur, P., University of California, Department of Electrical and Computer Engineering, Los Angeles, United States; Shahsavari, S., University of California, Department of Electrical and Computer Engineering, Los Angeles, United States; Tangherlini, T., University of California, Department of Scandinavian and Culture Analytics, Berkeley, United States; Roychowdhury, V., University of California, Department of Electrical and Computer Engineering, Los Angeles, United States</t>
  </si>
  <si>
    <t>Acceptance of Artificial Intelligence in Cars: A Survey Approach</t>
  </si>
  <si>
    <t>10.1007/978-3-030-90963-5_42</t>
  </si>
  <si>
    <t>57207780332;7004123569;</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</si>
  <si>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 © 2021, Springer Nature Switzerland AG.</t>
  </si>
  <si>
    <t>Strobel C., Dana J.</t>
  </si>
  <si>
    <t>https://www.scopus.com/inward/record.uri?eid=2-s2.0-85119893196&amp;doi=10.1007%2f978-3-030-90963-5_42&amp;partnerID=40&amp;md5=665ffa0f887e32530b8a19f85f973fc1</t>
  </si>
  <si>
    <t>Institute for Digital Economics, Hamburg University of Technology, Hamburg, 21079, Germany; School of Management, Yale University, New Haven, CT  06511, United States</t>
  </si>
  <si>
    <t>Strobel, C., Institute for Digital Economics, Hamburg University of Technology, Hamburg, 21079, Germany; Dana, J., School of Management, Yale University, New Haven, CT  06511, United States</t>
  </si>
  <si>
    <t>Strobel, C.; Institute for Digital Economics, Germany; email: christina.strobel@tuhh.de</t>
  </si>
  <si>
    <t>Action and Reaction: The Impact of Consequences of Intervening in Situations of Interpersonal Violence</t>
  </si>
  <si>
    <t>10.1177/0886260518782983</t>
  </si>
  <si>
    <t>57192004855;57192659150;</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</si>
  <si>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 © The Author(s) 2018.</t>
  </si>
  <si>
    <t>Moschella E.A., Banyard V.L.</t>
  </si>
  <si>
    <t>https://www.scopus.com/inward/record.uri?eid=2-s2.0-85049037640&amp;doi=10.1177%2f0886260518782983&amp;partnerID=40&amp;md5=64ea08d87f62080726f7468aa803630e</t>
  </si>
  <si>
    <t>University of New Hampshire, Durham, United States</t>
  </si>
  <si>
    <t>Moschella, E.A., University of New Hampshire, Durham, United States; Banyard, V.L., University of New Hampshire, Durham, United States</t>
  </si>
  <si>
    <t>Moschella, E.A.; University of New HampshireUnited States; email: Eam2004@wildcats.unh.edu</t>
  </si>
  <si>
    <t>American Adult Pornography Consumers’ Beliefs and Behaviors Related to Pornography Studios Mistreating Their Performers</t>
  </si>
  <si>
    <t>10.1007/s12119-021-09872-3</t>
  </si>
  <si>
    <t>35173548400;57200800418;</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</si>
  <si>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 © 2021, The Author(s), under exclusive licence to Springer Science+Business Media, LLC, part of Springer Nature.</t>
  </si>
  <si>
    <t>Tollini C., Diamond-Welch B.</t>
  </si>
  <si>
    <t>Sexuality and Culture</t>
  </si>
  <si>
    <t>https://www.scopus.com/inward/record.uri?eid=2-s2.0-85105957745&amp;doi=10.1007%2fs12119-021-09872-3&amp;partnerID=40&amp;md5=25b225973de44f2c654783c60f3b5abd</t>
  </si>
  <si>
    <t>Department of Sociology and Anthropology, Western Illinois University, Macomb, IL  61455, United States; Department of Family Medicine, University of South Dakota, Sioux Falls, SD, United States</t>
  </si>
  <si>
    <t>Tollini, C., Department of Sociology and Anthropology, Western Illinois University, Macomb, IL  61455, United States; Diamond-Welch, B., Department of Family Medicine, University of South Dakota, Sioux Falls, SD, United States</t>
  </si>
  <si>
    <t>Tollini, C.; Department of Sociology and Anthropology, United States; email: cd-tollini@wiu.edu</t>
  </si>
  <si>
    <t>An analysis of factors and conditions pertaining to the rise of the sharing economy</t>
  </si>
  <si>
    <t>10.1108/WJEMSD-06-2020-0054</t>
  </si>
  <si>
    <t>23487454600;</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</si>
  <si>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 © 2021, Emerald Publishing Limited.</t>
  </si>
  <si>
    <t>Yeganeh H.</t>
  </si>
  <si>
    <t>World Journal of Entrepreneurship, Management and Sustainable Development</t>
  </si>
  <si>
    <t>https://www.scopus.com/inward/record.uri?eid=2-s2.0-85103941217&amp;doi=10.1108%2fWJEMSD-06-2020-0054&amp;partnerID=40&amp;md5=a809acea2be592ef6dc5599e057e94f2</t>
  </si>
  <si>
    <t>Department of Business Admin, College of Business, Winona State University, Winona, MN, United States</t>
  </si>
  <si>
    <t>Yeganeh, H., Department of Business Admin, College of Business, Winona State University, Winona, MN, United States</t>
  </si>
  <si>
    <t>Yeganeh, H.; Department of Business Admin, United States; email: hyeganeh@winona.edu</t>
  </si>
  <si>
    <t>An Analysis of Information Types and Cognitive Activities Involved in Cross-session Search</t>
  </si>
  <si>
    <t>10.1145/3406522.3446044</t>
  </si>
  <si>
    <t>57203828282;57213264417;55093819600;</t>
  </si>
  <si>
    <t>Previous studies found that cross-session search tasks are often complex due to the uncertainty of task features, users' perception of the tasks, and the challenges (e.g., time limitation, interruptions) that users encounter during the process. Using Anderson and Krathwohl's taxonomy of learning,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 © 2021 ACM.</t>
  </si>
  <si>
    <t>Li Y., Ward A.R., Capra R.</t>
  </si>
  <si>
    <t>CHIIR 2021 - Proceedings of the 2021 Conference on Human Information Interaction and Retrieval</t>
  </si>
  <si>
    <t>https://www.scopus.com/inward/record.uri?eid=2-s2.0-85102736903&amp;doi=10.1145%2f3406522.3446044&amp;partnerID=40&amp;md5=2c9ec609403a05cf1d6e23a11b651c6d</t>
  </si>
  <si>
    <t>University of North Carolina at Chapel Hill, Chapel Hill, United States</t>
  </si>
  <si>
    <t>Li, Y., University of North Carolina at Chapel Hill, Chapel Hill, United States; Ward, A.R., University of North Carolina at Chapel Hill, Chapel Hill, United States; Capra, R., University of North Carolina at Chapel Hill, Chapel Hill, United States</t>
  </si>
  <si>
    <t>An Empirical Study of Task-Specific Limitations of the Overview+Detail Technique for Interactive Time Series Analysis</t>
  </si>
  <si>
    <t>10.1016/j.procs.2021.01.285</t>
  </si>
  <si>
    <t>57209060817;37040977500;57204582467;57195033260;56927937000;6603080259;</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</si>
  <si>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 © 2021 Elsevier B.V.. All rights reserved.</t>
  </si>
  <si>
    <t>Friedl J., Zimmer B., Perkhofer L., Zenisek J., Hofer P., Jetter H.-C.</t>
  </si>
  <si>
    <t>https://www.scopus.com/inward/record.uri?eid=2-s2.0-85101763626&amp;doi=10.1016%2fj.procs.2021.01.285&amp;partnerID=40&amp;md5=242861065624b19c11813528068435d7</t>
  </si>
  <si>
    <t>University of Applied Sciences Upper Austria, Hagenberg Campus, Softwarepark 11, Hagenberg, A-4232, Austria; University of Applied Sciences Upper Austria, Steyr Campus, Wehrgrabengasse 1, Steyr, A-4400, Austria; University of Lübeck, Ratzeburger Allee 160, Lübeck, D-23562, Germany</t>
  </si>
  <si>
    <t>Friedl, J., University of Applied Sciences Upper Austria, Hagenberg Campus, Softwarepark 11, Hagenberg, A-4232, Austria; Zimmer, B., University of Applied Sciences Upper Austria, Hagenberg Campus, Softwarepark 11, Hagenberg, A-4232, Austria; Perkhofer, L., University of Applied Sciences Upper Austria, Steyr Campus, Wehrgrabengasse 1, Steyr, A-4400, Austria; Zenisek, J., University of Applied Sciences Upper Austria, Hagenberg Campus, Softwarepark 11, Hagenberg, A-4232, Austria; Hofer, P., University of Applied Sciences Upper Austria, Steyr Campus, Wehrgrabengasse 1, Steyr, A-4400, Austria; Jetter, H.-C., University of Applied Sciences Upper Austria, Hagenberg Campus, Softwarepark 11, Hagenberg, A-4232, Austria, University of Lübeck, Ratzeburger Allee 160, Lübeck, D-23562, Germany</t>
  </si>
  <si>
    <t>Friedl, J.; University of Applied Sciences Upper Austria, Softwarepark 11, Austria; email: judith.friedl@fh-hagenberg.at</t>
  </si>
  <si>
    <t>An Experimental Analogue Evaluation of Asian and Asian Americans’ Immediate Reactions to Therapist Microaggressions</t>
  </si>
  <si>
    <t>10.1177/00110000211001368</t>
  </si>
  <si>
    <t>56461489900;57203108548;36524392100;</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</si>
  <si>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 © The Author(s) 2021.</t>
  </si>
  <si>
    <t>Kuo P.B., Imel Z.E., Tao K.W.</t>
  </si>
  <si>
    <t>Counseling Psychologist</t>
  </si>
  <si>
    <t>https://www.scopus.com/inward/record.uri?eid=2-s2.0-85105921939&amp;doi=10.1177%2f00110000211001368&amp;partnerID=40&amp;md5=2bcb1e296c2639610e4a5256119af1ff</t>
  </si>
  <si>
    <t>University of Utah, Salt Lake City, UT, United States</t>
  </si>
  <si>
    <t>Kuo, P.B., University of Utah, Salt Lake City, UT, United States; Imel, Z.E., University of Utah, Salt Lake City, UT, United States; Tao, K.W., University of Utah, Salt Lake City, UT, United States</t>
  </si>
  <si>
    <t>Kuo, P.B.; University of UtahUnited States; email: patty.kuo@utah.edu</t>
  </si>
  <si>
    <t>An informed approach to the development of primary care pediatric firearm safety messages</t>
  </si>
  <si>
    <t>10.1186/s12887-021-03101-4</t>
  </si>
  <si>
    <t>56469631000;56789636200;57212275473;24758786800;37661907400;7103306688;7005455265;</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</si>
  <si>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 © 2022, The Author(s).</t>
  </si>
  <si>
    <t>Fuzzell L.N., Dodd S., Hu S., Hinnant A., Lee S., Cameron G., Garbutt J.M.</t>
  </si>
  <si>
    <t>BMC Pediatrics</t>
  </si>
  <si>
    <t>https://www.scopus.com/inward/record.uri?eid=2-s2.0-85122403671&amp;doi=10.1186%2fs12887-021-03101-4&amp;partnerID=40&amp;md5=95b9c0f86f4db3a222b57be08b34f241</t>
  </si>
  <si>
    <t>Department of Surgery, Division of Public Health Sciences, Washington University School of Medicine in St. Louis, St. Louis, MO, United States; Department of Pediatrics, Washington University School of Medicine in St. Louis, Campus Box 8116, 660 S. Euclid Ave., St. Louis, MO  63110, United States; School of Journalism, University of Missouri, Columbia, MO, United States</t>
  </si>
  <si>
    <t>Fuzzell, L.N., Department of Surgery, Division of Public Health Sciences, Washington University School of Medicine in St. Louis, St. Louis, MO, United States; Dodd, S., Department of Pediatrics, Washington University School of Medicine in St. Louis, Campus Box 8116, 660 S. Euclid Ave., St. Louis, MO  63110, United States; Hu, S., School of Journalism, University of Missouri, Columbia, MO, United States; Hinnant, A., School of Journalism, University of Missouri, Columbia, MO, United States; Lee, S., School of Journalism, University of Missouri, Columbia, MO, United States; Cameron, G., School of Journalism, University of Missouri, Columbia, MO, United States; Garbutt, J.M., Department of Pediatrics, Washington University School of Medicine in St. Louis, Campus Box 8116, 660 S. Euclid Ave., St. Louis, MO  63110, United States</t>
  </si>
  <si>
    <t>Garbutt, J.M.; Department of Pediatrics, Campus Box 8116, 660 S. Euclid Ave., United States; email: jgarbutt@wustl.edu</t>
  </si>
  <si>
    <t>Analysis of price bundling and framing: the impact of availability and discount messaging</t>
  </si>
  <si>
    <t>10.1108/SBM-09-2020-0093</t>
  </si>
  <si>
    <t>57226081363;26422485600;</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</si>
  <si>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 © 2021, Emerald Publishing Limited.</t>
  </si>
  <si>
    <t>Won M., Shapiro S.L.</t>
  </si>
  <si>
    <t>Sport, Business and Management: An International Journal</t>
  </si>
  <si>
    <t>https://www.scopus.com/inward/record.uri?eid=2-s2.0-85110320552&amp;doi=10.1108%2fSBM-09-2020-0093&amp;partnerID=40&amp;md5=19c72c69cb0d143f58f766b3a630f3cf</t>
  </si>
  <si>
    <t>Department of Sport and Entertainment Management, University of South Carolina, Columbia, SC, United States; Department of Management, University of North Texas, Denton, TX, United States</t>
  </si>
  <si>
    <t>Won, M., Department of Sport and Entertainment Management, University of South Carolina, Columbia, SC, United States, Department of Management, University of North Texas, Denton, TX, United States; Shapiro, S.L., Department of Sport and Entertainment Management, University of South Carolina, Columbia, SC, United States</t>
  </si>
  <si>
    <t>Won, M.; Department of Sport and Entertainment Management, United States; email: Misun.Won@unt.edu</t>
  </si>
  <si>
    <t>Antecedents and consequences of user engagement in smartphone travel apps</t>
  </si>
  <si>
    <t>10.1108/JHTT-09-2020-0221</t>
  </si>
  <si>
    <t>56313904900;57222113803;56132808200;57222111328;57191901792;</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</si>
  <si>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 © 2021, Emerald Publishing Limited.</t>
  </si>
  <si>
    <t>Ali F., Terrah A., Wu C., Ali L., Wu H.</t>
  </si>
  <si>
    <t>Journal of Hospitality and Tourism Technology</t>
  </si>
  <si>
    <t>https://www.scopus.com/inward/record.uri?eid=2-s2.0-85101461860&amp;doi=10.1108%2fJHTT-09-2020-0221&amp;partnerID=40&amp;md5=7e6da64317e0e7759879e1b21a776c05</t>
  </si>
  <si>
    <t>School of Hospitality and Tourism Management, University of South Florida, Sarasota, FL, United States; University of International Business and Economics, Beijing, China; Faculty of Tourism, Eastern Mediterranean University, Gazimagusa, Turkey; College of Business Administration, Hunan University, Changsha, China</t>
  </si>
  <si>
    <t>Ali, F., School of Hospitality and Tourism Management, University of South Florida, Sarasota, FL, United States; Terrah, A., School of Hospitality and Tourism Management, University of South Florida, Sarasota, FL, United States; Wu, C., University of International Business and Economics, Beijing, China; Ali, L., Faculty of Tourism, Eastern Mediterranean University, Gazimagusa, Turkey; Wu, H., College of Business Administration, Hunan University, Changsha, China</t>
  </si>
  <si>
    <t>Ali, F.; School of Hospitality and Tourism Management, United States; email: wuhuish@163.com</t>
  </si>
  <si>
    <t>Antecedents of human-robot collaboration: theoretical extension of the technology acceptance model</t>
  </si>
  <si>
    <t>10.1108/JHTT-09-2021-0267</t>
  </si>
  <si>
    <t>57217167544;6507714573;29567588800;55698650600;57195973195;</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</si>
  <si>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 © 2022, Emerald Publishing Limited.</t>
  </si>
  <si>
    <t>Parvez M.O., Arasli H., Ozturen A., Lodhi R.N., Ongsakul V.</t>
  </si>
  <si>
    <t>https://www.scopus.com/inward/record.uri?eid=2-s2.0-85122969968&amp;doi=10.1108%2fJHTT-09-2021-0267&amp;partnerID=40&amp;md5=ef5df1735478eff0f10da4672ce190df</t>
  </si>
  <si>
    <t>Faculty of Tourism, Eastern Mediterranean University, Famagusta, Turkey; Norwegian School of Hotel Management, University of Stavanger, Stavanger, Norway; UCP Business School, University of Central Punjab, Lahore, Pakistan; NIDA Business School, National Institute of Development Administration, Bangkapi, Thailand</t>
  </si>
  <si>
    <t>Parvez, M.O., Faculty of Tourism, Eastern Mediterranean University, Famagusta, Turkey; Arasli, H., Norwegian School of Hotel Management, University of Stavanger, Stavanger, Norway; Ozturen, A., Faculty of Tourism, Eastern Mediterranean University, Famagusta, Turkey; Lodhi, R.N., UCP Business School, University of Central Punjab, Lahore, Pakistan; Ongsakul, V., NIDA Business School, National Institute of Development Administration, Bangkapi, Thailand</t>
  </si>
  <si>
    <t>Parvez, M.O.; Faculty of Tourism, Turkey; email: Parvezeu@gmail.com</t>
  </si>
  <si>
    <t>Applications of operant demand to treatment selection II: Covariance of evidence strength and treatment consumption</t>
  </si>
  <si>
    <t>10.1002/jeab.735</t>
  </si>
  <si>
    <t>55159556800;57209734657;</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</si>
  <si>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 © 2022 Society for the Experimental Analysis of Behavior.</t>
  </si>
  <si>
    <t>Gilroy S.P., Feck C.C.</t>
  </si>
  <si>
    <t>Journal of the Experimental Analysis of Behavior</t>
  </si>
  <si>
    <t>https://www.scopus.com/inward/record.uri?eid=2-s2.0-85122749076&amp;doi=10.1002%2fjeab.735&amp;partnerID=40&amp;md5=93c786267ef10886d14ebd94fedbd4f0</t>
  </si>
  <si>
    <t>Louisiana State University, United States</t>
  </si>
  <si>
    <t>Gilroy, S.P., Louisiana State University, United States; Feck, C.C., Louisiana State University, United States</t>
  </si>
  <si>
    <t>Gilroy, S.P.; Louisiana State UniversityUnited States; email: sgilroy1@lsu.edu</t>
  </si>
  <si>
    <t>Applications of operant demand to treatment selection III: Consumer behavior analysis of treatment choice</t>
  </si>
  <si>
    <t>10.1002/jeab.758</t>
  </si>
  <si>
    <t>55159556800;57678456400;</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</si>
  <si>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 © 2022 Society for the Experimental Analysis of Behavior.</t>
  </si>
  <si>
    <t>Gilroy S.P., Picardo R.</t>
  </si>
  <si>
    <t>https://www.scopus.com/inward/record.uri?eid=2-s2.0-85128088408&amp;doi=10.1002%2fjeab.758&amp;partnerID=40&amp;md5=b43735b2f773af4fe3939ae38b56c7d4</t>
  </si>
  <si>
    <t>Gilroy, S.P., Louisiana State University, United States; Picardo, R., Louisiana State University, United States</t>
  </si>
  <si>
    <t>Applying the Temporary Agency Work Directive to Platform Workers: Mission Impossible?</t>
  </si>
  <si>
    <t>57199149932;</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</si>
  <si>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(TAWD)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 © 2020 Kluwer Law International BV, The Netherlands</t>
  </si>
  <si>
    <t>Rosin A.</t>
  </si>
  <si>
    <t>International Journal of Comparative Labour Law and Industrial Relations</t>
  </si>
  <si>
    <t>https://www.scopus.com/inward/record.uri?eid=2-s2.0-85100389398&amp;partnerID=40&amp;md5=31307fa75066260984f2a2e763e5c744</t>
  </si>
  <si>
    <t>University of Turku, Finland</t>
  </si>
  <si>
    <t>Rosin, A., University of Turku, Finland</t>
  </si>
  <si>
    <t>Rosin, A.; University of TurkuFinland; email: annros@utu.fi</t>
  </si>
  <si>
    <t>Assessing social preferences in reimbursement negotiations for new Pharmaceuticals in Oncology: an experimental design to analyse willingness to pay and willingness to accept</t>
  </si>
  <si>
    <t>10.1186/s12913-021-06231-8</t>
  </si>
  <si>
    <t>57204511641;15025845800;</t>
  </si>
  <si>
    <t>Background: 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 Methods: An online experiment was conducted in two separate runs (n = 202, n = 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 Results: 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 Conclusions: 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 © 2021, The Author(s).</t>
  </si>
  <si>
    <t>Wettstein D.J., Boes S.</t>
  </si>
  <si>
    <t>BMC Health Services Research</t>
  </si>
  <si>
    <t>https://www.scopus.com/inward/record.uri?eid=2-s2.0-85102710238&amp;doi=10.1186%2fs12913-021-06231-8&amp;partnerID=40&amp;md5=b0c8bea01d6d727d40248de5b7fd04cd</t>
  </si>
  <si>
    <t>Department of Health Sciences and Medicine, University of Lucerne, Frohburgstrasse 3, P.O. Box 4466, Lucerne, CH-6002, Switzerland</t>
  </si>
  <si>
    <t>Wettstein, D.J., Department of Health Sciences and Medicine, University of Lucerne, Frohburgstrasse 3, P.O. Box 4466, Lucerne, CH-6002, Switzerland; Boes, S., Department of Health Sciences and Medicine, University of Lucerne, Frohburgstrasse 3, P.O. Box 4466, Lucerne, CH-6002, Switzerland</t>
  </si>
  <si>
    <t>Wettstein, D.J.; Department of Health Sciences and Medicine, Frohburgstrasse 3, P.O. Box 4466, Switzerland; email: dominik.wettstein@stud.unilu.ch</t>
  </si>
  <si>
    <t>Assessment of Burnout Levels Before and During COVID-19 Pandemic: A Web-Based Survey by the (Italian) Association of Medical Endocrinologists (AME)</t>
  </si>
  <si>
    <t>10.2174/1871530321666210720123336</t>
  </si>
  <si>
    <t>56527295600;51665460700;23566701700;7005499983;57203761410;57219991434;6701775432;7006012334;6603380071;</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</si>
  <si>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 © 2021 Bentham Science Publishers.</t>
  </si>
  <si>
    <t>Loscalzo Y., Marucci S., Garofalo P., Attanasio R., Lisco G., De Geronimo V., Guastamacchia E., Giannini M., Triggiani V.</t>
  </si>
  <si>
    <t>Endocrine, Metabolic and Immune Disorders - Drug Targets</t>
  </si>
  <si>
    <t>https://www.scopus.com/inward/record.uri?eid=2-s2.0-85123645633&amp;doi=10.2174%2f1871530321666210720123336&amp;partnerID=40&amp;md5=925b902769d849197b4472b2bee3f193</t>
  </si>
  <si>
    <t>Department of Health Sciences, School of Psychology, University of Florence, via di San Salvi, 12 – Padiglione 26, Florence, 50135, Italy; Scienze e Tecnologie per l'Uomo e l'ambiente, Università Campus Biomedico, Dip. Via Alvaro del Portillo 21, Roma, Italy; AOOR Villa Sofia-Cervello, Endocrinology Unit, Palermo, Italy; IRCCS Orthopedic Institute Galeazzi, Endocrine Unit, Via R, Galeazzi 4, Milan, 20161, Italy; Interdisciplinary Department of Medicine, Section of Internal Medicine, Geriatrics, Endocrinology and Rare Diseases, School of Medicine, University of Bari, Piazza, Giulio, Cesare 11, Policlinico of Bari, Apulia, Bari, Italy; Centro Clinico Diagnostico GB Morgagni, Ambulatorio di Endocrinologia, Catania, Italy</t>
  </si>
  <si>
    <t>Loscalzo, Y., Department of Health Sciences, School of Psychology, University of Florence, via di San Salvi, 12 – Padiglione 26, Florence, 50135, Italy; Marucci, S., Scienze e Tecnologie per l'Uomo e l'ambiente, Università Campus Biomedico, Dip. Via Alvaro del Portillo 21, Roma, Italy; Garofalo, P., AOOR Villa Sofia-Cervello, Endocrinology Unit, Palermo, Italy; Attanasio, R., IRCCS Orthopedic Institute Galeazzi, Endocrine Unit, Via R, Galeazzi 4, Milan, 20161, Italy; Lisco, G., Interdisciplinary Department of Medicine, Section of Internal Medicine, Geriatrics, Endocrinology and Rare Diseases, School of Medicine, University of Bari, Piazza, Giulio, Cesare 11, Policlinico of Bari, Apulia, Bari, Italy; De Geronimo, V., Centro Clinico Diagnostico GB Morgagni, Ambulatorio di Endocrinologia, Catania, Italy; Guastamacchia, E., Interdisciplinary Department of Medicine, Section of Internal Medicine, Geriatrics, Endocrinology and Rare Diseases, School of Medicine, University of Bari, Piazza, Giulio, Cesare 11, Policlinico of Bari, Apulia, Bari, Italy; Giannini, M., Department of Health Sciences, School of Psychology, University of Florence, via di San Salvi, 12 – Padiglione 26, Florence, 50135, Italy; Triggiani, V., Interdisciplinary Department of Medicine, Section of Internal Medicine, Geriatrics, Endocrinology and Rare Diseases, School of Medicine, University of Bari, Piazza, Giulio, Cesare 11, Policlinico of Bari, Apulia, Bari, Italy</t>
  </si>
  <si>
    <t>Loscalzo, Y.; Department of Health Sciences, via di San Salvi, 12 – Padiglione 26, Italy; email: yura.loscalzo@gmail.com</t>
  </si>
  <si>
    <t>Associations between mental health and job loss among middle- and low-income veterans and civilians during the COVID-19 pandemic: An exploratory study</t>
  </si>
  <si>
    <t>10.1002/smi.3099</t>
  </si>
  <si>
    <t>56486029800;57200254567;57266296100;57203069923;35590808700;</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</si>
  <si>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 © 2021 John Wiley &amp; Sons Ltd.</t>
  </si>
  <si>
    <t>Umucu E., Reyes A., Nay A., Elbogen E., Tsai J.</t>
  </si>
  <si>
    <t>Stress and Health</t>
  </si>
  <si>
    <t>https://www.scopus.com/inward/record.uri?eid=2-s2.0-85115294878&amp;doi=10.1002%2fsmi.3099&amp;partnerID=40&amp;md5=7d1fea5194cf6192ec2e8ae698648e92</t>
  </si>
  <si>
    <t>Department of Counseling, Educational Psychology &amp; Special Education, Michigan State University, East Lansing, MI, United States; Division of Special Education and Counseling, California State University, Los Angeles, CA, United States; U.S. Department of Veterans Affairs, National Center on Homelessness Among Veterans, Washington, DC, United States; Department of Psychiatry, Duke University School of Medicine, Durham, NC, United States; School of Public Health, University of Texas Health Science Center at Houston, Houston, TX, United States; Department of Psychiatry, Yale University, School of Medicine, New Haven, CT, United States</t>
  </si>
  <si>
    <t>Umucu, E., Department of Counseling, Educational Psychology &amp; Special Education, Michigan State University, East Lansing, MI, United States; Reyes, A., Division of Special Education and Counseling, California State University, Los Angeles, CA, United States; Nay, A., Department of Counseling, Educational Psychology &amp; Special Education, Michigan State University, East Lansing, MI, United States; Elbogen, E., U.S. Department of Veterans Affairs, National Center on Homelessness Among Veterans, Washington, DC, United States, Department of Psychiatry, Duke University School of Medicine, Durham, NC, United States; Tsai, J., U.S. Department of Veterans Affairs, National Center on Homelessness Among Veterans, Washington, DC, United States, School of Public Health, University of Texas Health Science Center at Houston, Houston, TX, United States, Department of Psychiatry, Yale University, School of Medicine, New Haven, CT, United States</t>
  </si>
  <si>
    <t>Umucu, E.; Department of Counseling, United States; email: Umucuemr@msu.edu</t>
  </si>
  <si>
    <t>At Least I’m My Own Boss! Explaining Consent, Coercion and Resistance in Platform Work</t>
  </si>
  <si>
    <t>10.1177/0950017020952661</t>
  </si>
  <si>
    <t>56538108600;7004945230;</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</si>
  <si>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 © The Author(s) 2020.</t>
  </si>
  <si>
    <t>Purcell C., Brook P.</t>
  </si>
  <si>
    <t>https://www.scopus.com/inward/record.uri?eid=2-s2.0-85130720927&amp;doi=10.1177%2f0950017020952661&amp;partnerID=40&amp;md5=9efea4bf59f7ed7f14b1a15b5cf9de6d</t>
  </si>
  <si>
    <t>Manchester Metropolitan University, United Kingdom; University of Leicester, United Kingdom</t>
  </si>
  <si>
    <t>Purcell, C., Manchester Metropolitan University, United Kingdom; Brook, P., University of Leicester, United Kingdom</t>
  </si>
  <si>
    <t>Purcell, C.; Manchester Metropolitan UniversityUnited Kingdom; email: c.purcell@mmu.ac.uk</t>
  </si>
  <si>
    <t>Attitudes Toward Organ Donation for Persons Who Have a Substance Use Disorder Relative to Other Health Conditions</t>
  </si>
  <si>
    <t>10.3389/fpsyt.2021.698645</t>
  </si>
  <si>
    <t>57359191800;56063554500;57035145100;7102057469;</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</si>
  <si>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 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 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 Results: Ratings for acceptability and priority for persons who had a SUD were generally lower than ratings for other conditions for both organ for transplant and resuscitation, though respondents reported less stigma toward resuscitation, F(8) = 22.35, p &amp;lt;0.001 overall. Respondents were least supportive of persons who smoked cigarettes receiving an organ, p's &amp;lt; 0.001. Priority rankings favored persons who were young or had a history of heart disease. Multivariable models determined that target health condition, F(8) = 33.64, p &amp;lt; 0.001, was a better and more consistent predictor of response than demographic variables that were examined. 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 Copyright © 2021 Grubb, Bergeria, Huhn and Dunn.</t>
  </si>
  <si>
    <t>Grubb C.J., Bergeria C.L., Huhn A.S., Dunn K.E.</t>
  </si>
  <si>
    <t>Frontiers in Psychiatry</t>
  </si>
  <si>
    <t>https://www.scopus.com/inward/record.uri?eid=2-s2.0-85120399448&amp;doi=10.3389%2ffpsyt.2021.698645&amp;partnerID=40&amp;md5=f2fe863faceda0e45fb1877b673aedbd</t>
  </si>
  <si>
    <t>Johns Hopkins University School of Medicine, Baltimore, MD, United States</t>
  </si>
  <si>
    <t>Grubb, C.J., Johns Hopkins University School of Medicine, Baltimore, MD, United States; Bergeria, C.L., Johns Hopkins University School of Medicine, Baltimore, MD, United States; Huhn, A.S., Johns Hopkins University School of Medicine, Baltimore, MD, United States; Dunn, K.E., Johns Hopkins University School of Medicine, Baltimore, MD, United States</t>
  </si>
  <si>
    <t>Dunn, K.E.; Johns Hopkins University School of MedicineUnited States; email: kdunn9@jhmi.edu</t>
  </si>
  <si>
    <t>Balanced, Unbalances, and One-Sided Distributed Teams - An Empirical View on Global Software Engineering Education</t>
  </si>
  <si>
    <t>10.1587/transinf.2021MPP0002</t>
  </si>
  <si>
    <t>26655857600;6603326773;35193467900;</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</si>
  <si>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 Copyright © 2022 The Institute of Electronics, Information and Communication Engineers.</t>
  </si>
  <si>
    <t>Marutschke D.M., Kryssanov V.V., Brockmann P.</t>
  </si>
  <si>
    <t>IEICE Transactions on Information and Systems</t>
  </si>
  <si>
    <t>https://www.scopus.com/inward/record.uri?eid=2-s2.0-85123426233&amp;doi=10.1587%2ftransinf.2021MPP0002&amp;partnerID=40&amp;md5=a2040c32c08811def2623909b0f3ffdc</t>
  </si>
  <si>
    <t>The Ritsumeikan University College of Global Liberal Arts, Ibaraki-shi567-8570, Japan; The Ritsumeikan University College of Information Science and Engineering, Kusatsu-shi, 525-8577, Japan; The Nuremberg Institute of Technology, Keßlerplatz 12, Nuremberg, 90489, Germany</t>
  </si>
  <si>
    <t>Marutschke, D.M., The Ritsumeikan University College of Global Liberal Arts, Ibaraki-shi567-8570, Japan; Kryssanov, V.V., The Ritsumeikan University College of Information Science and Engineering, Kusatsu-shi, 525-8577, Japan; Brockmann, P., The Nuremberg Institute of Technology, Keßlerplatz 12, Nuremberg, 90489, Germany</t>
  </si>
  <si>
    <t>Bibliometric Analysis of Gig Economy</t>
  </si>
  <si>
    <t>10.3390/admsci12020051</t>
  </si>
  <si>
    <t>57457895200;12765366300;6506033503;</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</si>
  <si>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 © 2022 by the authors. Licensee MDPI, Basel, Switzerland.</t>
  </si>
  <si>
    <t>Batmunkh A., Fekete-Farkas M., Lakner Z.</t>
  </si>
  <si>
    <t>Administrative Sciences</t>
  </si>
  <si>
    <t>https://www.scopus.com/inward/record.uri?eid=2-s2.0-85130173421&amp;doi=10.3390%2fadmsci12020051&amp;partnerID=40&amp;md5=fbbb6e9b7439f033235c24ba27a42c5a</t>
  </si>
  <si>
    <t>Doctoral School of Economic and Regional Sciences, Hungarian University of Agriculture and Life Sciences (MATE), Gödöllő, 2100, Hungary; Institute of Economic Sciences, Hungarian University of Agriculture and Life Sciences (MATE), Gödöllő, 2100, Hungary</t>
  </si>
  <si>
    <t>Batmunkh, A., Doctoral School of Economic and Regional Sciences, Hungarian University of Agriculture and Life Sciences (MATE), Gödöllő, 2100, Hungary; Fekete-Farkas, M., Institute of Economic Sciences, Hungarian University of Agriculture and Life Sciences (MATE), Gödöllő, 2100, Hungary; Lakner, Z., Institute of Economic Sciences, Hungarian University of Agriculture and Life Sciences (MATE), Gödöllő, 2100, Hungary</t>
  </si>
  <si>
    <t>Batmunkh, A.; Doctoral School of Economic and Regional Sciences, Hungary; email: batmunkh.altanshagai@phd.uni-mate.hu</t>
  </si>
  <si>
    <t>Building Social Relationship Skill in Digital Work Design</t>
  </si>
  <si>
    <t>10.1007/978-3-030-79725-6_26</t>
  </si>
  <si>
    <t>57190000387;57226566428;</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</si>
  <si>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 © 2021, The Author(s), under exclusive license to Springer Nature Switzerland AG.</t>
  </si>
  <si>
    <t>Adhiatma A., Hasanah U.K.</t>
  </si>
  <si>
    <t>https://www.scopus.com/inward/record.uri?eid=2-s2.0-85112012834&amp;doi=10.1007%2f978-3-030-79725-6_26&amp;partnerID=40&amp;md5=f5003c5c55a5f1f0b47d286285ffa0f0</t>
  </si>
  <si>
    <t>Dept. of Management, Faculty of Economics, Universitas Islam Sultan Agung (UNISSULA), Jl. Kaligawe Raya Km. 4, Semarang, Indonesia</t>
  </si>
  <si>
    <t>Adhiatma, A., Dept. of Management, Faculty of Economics, Universitas Islam Sultan Agung (UNISSULA), Jl. Kaligawe Raya Km. 4, Semarang, Indonesia; Hasanah, U.K., Dept. of Management, Faculty of Economics, Universitas Islam Sultan Agung (UNISSULA), Jl. Kaligawe Raya Km. 4, Semarang, Indonesia</t>
  </si>
  <si>
    <t>Adhiatma, A.; Dept. of Management, Jl. Kaligawe Raya Km. 4, Indonesia; email: ardian@unissula.ac.id</t>
  </si>
  <si>
    <t>Bullying, masculinity, and gun-supportive attitudes among men: A path analysis testing the structural relationships between variables.</t>
  </si>
  <si>
    <t>10.1037/vio0000370</t>
  </si>
  <si>
    <t>57209368415;11139659600;57222619906;</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</si>
  <si>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 (PsycInfo Database Record (c) 2020 APA, all rights reserved) © 2020 American Psychological Association</t>
  </si>
  <si>
    <t>Ray T.N., Parkhill M.R., Cook R.D.</t>
  </si>
  <si>
    <t>https://www.scopus.com/inward/record.uri?eid=2-s2.0-85103507821&amp;doi=10.1037%2fvio0000370&amp;partnerID=40&amp;md5=301316eaed6070a72aa684dde96301a3</t>
  </si>
  <si>
    <t>Department of Psychology, Oakland University, Rochester, MI, United States; Department of Psychology, Oakland University, Rochester, MI, United States; William Beaumont School of Medicine, Oakland University, Rochester, MI, United States</t>
  </si>
  <si>
    <t>Ray, T.N., Department of Psychology, Oakland University, Rochester, MI, United States; Parkhill, M.R., Department of Psychology, Oakland University, Rochester, MI, United States; Cook, R.D., William Beaumont School of Medicine, Oakland University, Rochester, MI, United States</t>
  </si>
  <si>
    <t>Ray, T.N.; Department of Psychology, 654 Pioneer Drive, United States; email: travisray@oakland.edu</t>
  </si>
  <si>
    <t>Cadxela: An educational tool for supporting the global software engineering education at undergraduate level</t>
  </si>
  <si>
    <t>10.1002/cae.22482</t>
  </si>
  <si>
    <t>57195414190;56002724800;57204033401;14031260400;</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</si>
  <si>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 © 2021 Wiley Periodicals LLC.</t>
  </si>
  <si>
    <t>Garcia I., Pacheco C., León A., Calvo-Manzano J.A.</t>
  </si>
  <si>
    <t>Computer Applications in Engineering Education</t>
  </si>
  <si>
    <t>https://www.scopus.com/inward/record.uri?eid=2-s2.0-85120973854&amp;doi=10.1002%2fcae.22482&amp;partnerID=40&amp;md5=e43f15909a92f9c3152b489376f63e51</t>
  </si>
  <si>
    <t>División de Estudios de Posgrado, Universidad Tecnológica de la Mixteca, León, Mexico; Escuela Superior de Técnicos Informáticos, Universidad Politécnica de Madrid, Madrid, Spain</t>
  </si>
  <si>
    <t>Garcia, I., División de Estudios de Posgrado, Universidad Tecnológica de la Mixteca, León, Mexico; Pacheco, C., División de Estudios de Posgrado, Universidad Tecnológica de la Mixteca, León, Mexico; León, A., División de Estudios de Posgrado, Universidad Tecnológica de la Mixteca, León, Mexico; Calvo-Manzano, J.A., Escuela Superior de Técnicos Informáticos, Universidad Politécnica de Madrid, Madrid, Spain</t>
  </si>
  <si>
    <t>Garcia, I.; División de Estudios de Posgrado, Mexico; email: ivan@mixteco.utm.mx</t>
  </si>
  <si>
    <t>Causal Modeling to Mitigate Selection Bias and Unmeasured Confounding in Internet-Based Epidemiology of COVID-19: Model Development and Validation</t>
  </si>
  <si>
    <t>10.2196/31306</t>
  </si>
  <si>
    <t>57202464121;57191498961;57207466293;55991998800;57818367600;7202196193;</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</si>
  <si>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 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 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 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 second survey periods, respectively. 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 © Nathaniel Stockham, Peter Washington, Brianna Chrisman, Kelley Paskov, Jae-Yoon Jung, Dennis Paul Wall.</t>
  </si>
  <si>
    <t>Stockham N., Washington P., Chrisman B., Paskov K., Jung J.-Y., Wall D.P.</t>
  </si>
  <si>
    <t>https://www.scopus.com/inward/record.uri?eid=2-s2.0-85134855234&amp;doi=10.2196%2f31306&amp;partnerID=40&amp;md5=1f66a6044b096e64040b345c8e72fa9e</t>
  </si>
  <si>
    <t>Neurosciences Interdepartmental Program, Stanford University, Palo Alto, CA, United States; Department of Bioengineering, Stanford University, Stanford, CA, United States; Biomedical Informatics Program, Stanford University, Stanford, CA, United States; Department of Biomedical Data Science, Stanford University, Stanford, CA, United States; Department of Pediatrics, Stanford University, Stanford, CA, United States</t>
  </si>
  <si>
    <t>Stockham, N., Neurosciences Interdepartmental Program, Stanford University, Palo Alto, CA, United States; Washington, P., Department of Bioengineering, Stanford University, Stanford, CA, United States; Chrisman, B., Department of Bioengineering, Stanford University, Stanford, CA, United States; Paskov, K., Biomedical Informatics Program, Stanford University, Stanford, CA, United States; Jung, J.-Y., Department of Biomedical Data Science, Stanford University, Stanford, CA, United States; Wall, D.P., Department of Biomedical Data Science, Stanford University, Stanford, CA, United States, Department of Pediatrics, Stanford University, Stanford, CA, United States</t>
  </si>
  <si>
    <t>Stockham, N.; Neurosciences Interdepartmental Program, 3145 Porter Dr, United States; email: stockham@stanford.edu</t>
  </si>
  <si>
    <t>Charting platform capitalism: Definitions, concepts and ideologies</t>
  </si>
  <si>
    <t>10.1111/ntwe.12234</t>
  </si>
  <si>
    <t>57463233600;57192189588;23488002700;</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</si>
  <si>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 © 2022 The Authors. New Technology, Work and Employment published by Brian Towers (BRITOW) and John Wiley &amp; Sons Ltd.</t>
  </si>
  <si>
    <t>Liang Y., Aroles J., Brandl B.</t>
  </si>
  <si>
    <t>New Technology, Work and Employment</t>
  </si>
  <si>
    <t>https://www.scopus.com/inward/record.uri?eid=2-s2.0-85125070320&amp;doi=10.1111%2fntwe.12234&amp;partnerID=40&amp;md5=2846451ce5c4b2c25099039cf99503c0</t>
  </si>
  <si>
    <t>Durham University Business School, Durham, United Kingdom; University of York Management School, York, United Kingdom</t>
  </si>
  <si>
    <t>Liang, Y., Durham University Business School, Durham, United Kingdom; Aroles, J., University of York Management School, York, United Kingdom; Brandl, B., Durham University Business School, Durham, United Kingdom</t>
  </si>
  <si>
    <t>Liang, Y.; Durham University Business SchoolUnited Kingdom; email: Yin.liang@durham.ac.uk</t>
  </si>
  <si>
    <t>ChemSpectra: a web-based spectra editor for analytical data</t>
  </si>
  <si>
    <t>10.1186/s13321-020-00481-0</t>
  </si>
  <si>
    <t>57195808011;13103602300;57195803328;15064507300;7005396290;</t>
  </si>
  <si>
    <t>ChemSpectra, a web-based software to visualize and analyze spectroscopic data, integrating solutions for infrared spectroscopy (IR), mass spectrometry (MS), and one-dimensional 1H and 13C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 © 2021, The Author(s).</t>
  </si>
  <si>
    <t>Huang Y.-C., Tremouilhac P., Nguyen A., Jung N., Bräse S.</t>
  </si>
  <si>
    <t>Journal of Cheminformatics</t>
  </si>
  <si>
    <t>https://www.scopus.com/inward/record.uri?eid=2-s2.0-85100954820&amp;doi=10.1186%2fs13321-020-00481-0&amp;partnerID=40&amp;md5=f5351553ffe6e8fcb257f86169fb0494</t>
  </si>
  <si>
    <t>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</si>
  <si>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Huang, Y.-C., Institute of Biological and Chemical Systems-Functional Molecular Systems (IBCS-FMS), Karlsruhe Institute of Technology, Hermann-von-Helmholtz-Platz 1, Eggenstein-Leopoldshafen, 76344, Germany; Tremouilhac, P., Institute of Biological and Chemical Systems-Functional Molecular Systems (IBCS-FMS), Karlsruhe Institute of Technology, Hermann-von-Helmholtz-Platz 1, Eggenstein-Leopoldshafen, 76344, Germany; Nguyen, A., Institute of Biological and Chemical Systems-Functional Molecular Systems (IBCS-FMS), Karlsruhe Institute of Technology, Hermann-von-Helmholtz-Platz 1, Eggenstein-Leopoldshafen, 76344, Germany; Jung, N.,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 Bräse, S.,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</si>
  <si>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Jung, N.; Institute of Biological and Chemical Systems-Functional Molecular Systems (IBCS-FMS), Hermann-von-Helmholtz-Platz 1, Germany; email: nicole.jung@kit.edu</t>
  </si>
  <si>
    <t>Clinical correlates of drug-related dreams in opioid use disorder</t>
  </si>
  <si>
    <t>10.1111/ajad.13219</t>
  </si>
  <si>
    <t>57194703548;57233283800;24343563400;10739378300;57035145100;</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</si>
  <si>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χ2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 © 2021 American Academy of Addiction Psychiatry</t>
  </si>
  <si>
    <t>Ellis J.D., Mayo J.L., Finan P.H., Gamaldo C.E., Huhn A.S.</t>
  </si>
  <si>
    <t>American Journal on Addictions</t>
  </si>
  <si>
    <t>https://www.scopus.com/inward/record.uri?eid=2-s2.0-85113678271&amp;doi=10.1111%2fajad.13219&amp;partnerID=40&amp;md5=49c11ea6a124be77857b3b68f54f4e11</t>
  </si>
  <si>
    <t>Department of Psychiatry and Behavioral Sciences, Johns Hopkins University School of Medicine, Baltimore, MD, United States; Department of Neurology, Johns Hopkins University School of Medicine, Baltimore, MD, United States</t>
  </si>
  <si>
    <t>Ellis, J.D., Department of Psychiatry and Behavioral Sciences, Johns Hopkins University School of Medicine, Baltimore, MD, United States; Mayo, J.L., Department of Psychiatry and Behavioral Sciences, Johns Hopkins University School of Medicine, Baltimore, MD, United States; Finan, P.H., Department of Psychiatry and Behavioral Sciences, Johns Hopkins University School of Medicine, Baltimore, MD, United States; Gamaldo, C.E., Department of Psychiatry and Behavioral Sciences, Johns Hopkins University School of Medicine, Baltimore, MD, United States, Department of Neurology, Johns Hopkins University School of Medicine, Baltimore, MD, United States; Huhn, A.S., Department of Psychiatry and Behavioral Sciences, Johns Hopkins University School of Medicine, Baltimore, MD, United States</t>
  </si>
  <si>
    <t>Huhn, A.S.; Department of Psychiatry and Behavioral Sciences, United States; email: ahuhn1@jhu.edu</t>
  </si>
  <si>
    <t>Collaborative consumption sport hosting: value and consumption constraints</t>
  </si>
  <si>
    <t>10.1108/IJSMS-10-2020-0183</t>
  </si>
  <si>
    <t>34979927400;57205639781;35932679100;</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</si>
  <si>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 © 2021, Emerald Publishing Limited.</t>
  </si>
  <si>
    <t>Goldman M., Brown B., Schwarz E.C.</t>
  </si>
  <si>
    <t>International Journal of Sports Marketing and Sponsorship</t>
  </si>
  <si>
    <t>https://www.scopus.com/inward/record.uri?eid=2-s2.0-85102599470&amp;doi=10.1108%2fIJSMS-10-2020-0183&amp;partnerID=40&amp;md5=bc387c4cef6e3dcc163d451bcce4f762</t>
  </si>
  <si>
    <t>Sport Management, University of San Francisco, San Francisco, CA, United States; Gordon Institute of Business Science, University of Pretoria, Johannesburg, South Africa; Preston Robert Tisch Institute for Global Sport, New York University, New York, NY, United States; College of Sport and Exercise Science, Victoria University, Melbourne, Australia</t>
  </si>
  <si>
    <t>Goldman, M., Sport Management, University of San Francisco, San Francisco, CA, United States, Gordon Institute of Business Science, University of Pretoria, Johannesburg, South Africa; Brown, B., Preston Robert Tisch Institute for Global Sport, New York University, New York, NY, United States; Schwarz, E.C., College of Sport and Exercise Science, Victoria University, Melbourne, Australia</t>
  </si>
  <si>
    <t>Goldman, M.; Sport Management, United States; email: mmgoldman@usfca.edu</t>
  </si>
  <si>
    <t>Collaborative economy, a society service? Involvement with ethics and the common good</t>
  </si>
  <si>
    <t>10.1111/beer.12339</t>
  </si>
  <si>
    <t>57223109080;57219175159;57223110558;</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</si>
  <si>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d'être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 © 2021 John Wiley &amp; Sons Ltd</t>
  </si>
  <si>
    <t>Chivite Cebolla M.P., Jorge Vázquez J., Chivite Cebolla C.M.</t>
  </si>
  <si>
    <t>Business Ethics</t>
  </si>
  <si>
    <t>https://www.scopus.com/inward/record.uri?eid=2-s2.0-85104882050&amp;doi=10.1111%2fbeer.12339&amp;partnerID=40&amp;md5=66adcfb6249f5c8708f9e0ab09a4cc4f</t>
  </si>
  <si>
    <t>Faculty of Law and Social Sciences, Universidad Católica de Ávila, Ávila, Spain</t>
  </si>
  <si>
    <t>Chivite Cebolla, M.P., Faculty of Law and Social Sciences, Universidad Católica de Ávila, Ávila, Spain; Jorge Vázquez, J., Faculty of Law and Social Sciences, Universidad Católica de Ávila, Ávila, Spain; Chivite Cebolla, C.M., Faculty of Law and Social Sciences, Universidad Católica de Ávila, Ávila, Spain</t>
  </si>
  <si>
    <t>Chivite Cebolla, M.P.; Faculty of Law and Social Sciences, Spain; email: mpeana.chivite@ucavila.es</t>
  </si>
  <si>
    <t>Collecting samples from online services: How to use screeners to improve data quality</t>
  </si>
  <si>
    <t>10.1016/j.ijresmar.2021.05.001</t>
  </si>
  <si>
    <t>8890947200;7402915942;7003971248;57224548543;</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</si>
  <si>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 2021 Elsevier B.V.</t>
  </si>
  <si>
    <t>Arndt A.D., Ford J.B., Babin B.J., Luong V.</t>
  </si>
  <si>
    <t>International Journal of Research in Marketing</t>
  </si>
  <si>
    <t>https://www.scopus.com/inward/record.uri?eid=2-s2.0-85107843479&amp;doi=10.1016%2fj.ijresmar.2021.05.001&amp;partnerID=40&amp;md5=d694427fb022b78e7e098a0c9ae3dd32</t>
  </si>
  <si>
    <t>Old Dominion University, Strome College of Business, Department of Marketing, 2055 Constant Hall, Norfolk, VA  23529, United States; Old Dominion University, Strome College of Business, Department of Marketing, 2117 Constant Hall, Norfolk, VA  23529, United States; University of Mississippi, Ole Miss Business School, Department of Marketing, 235 Holman Hall UniversityMS  38677, United States; Old Dominion University, Strome College of Business, Department of Marketing, Constant Hall, Norfolk, VA  23529, United States</t>
  </si>
  <si>
    <t>Arndt, A.D., Old Dominion University, Strome College of Business, Department of Marketing, 2055 Constant Hall, Norfolk, VA  23529, United States; Ford, J.B., Old Dominion University, Strome College of Business, Department of Marketing, 2117 Constant Hall, Norfolk, VA  23529, United States; Babin, B.J., University of Mississippi, Ole Miss Business School, Department of Marketing, 235 Holman Hall UniversityMS  38677, United States; Luong, V., Old Dominion University, Strome College of Business, Department of Marketing, Constant Hall, Norfolk, VA  23529, United States</t>
  </si>
  <si>
    <t>Arndt, A.D.; Old Dominion University, 2055 Constant Hall, United States; email: aarndt@odu.edu</t>
  </si>
  <si>
    <t>L121</t>
  </si>
  <si>
    <t>Communication in the Gig Economy: Buying and Selling in Online Freelance Marketplaces</t>
  </si>
  <si>
    <t>10.1177/00222429211030841</t>
  </si>
  <si>
    <t>55578548500;55123240900;7004324968;8091566500;25422619200;7004664517;57296837900;</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</si>
  <si>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 © American Marketing Association 2021.</t>
  </si>
  <si>
    <t>Ludwig S., Herhausen D., Grewal D., Bove L., Benoit S., de Ruyter K., Urwin P.</t>
  </si>
  <si>
    <t>Journal of Marketing</t>
  </si>
  <si>
    <t>https://www.scopus.com/inward/record.uri?eid=2-s2.0-85117146222&amp;doi=10.1177%2f00222429211030841&amp;partnerID=40&amp;md5=3cc2b95261a9b6ecf9d8fdf32d8f563b</t>
  </si>
  <si>
    <t>Ludwig, S.; Herhausen, D.; Grewal, D.; Bove, L.; Benoit, S.; de Ruyter, K.; Urwin, P.</t>
  </si>
  <si>
    <t>Ludwig, S.email: urwinp@westminster.ac.uk</t>
  </si>
  <si>
    <t>Concave or convex? The impact of display surface curvature on social appeals’ persuasion: the mediating role of self–other overlap</t>
  </si>
  <si>
    <t>10.1108/EJM-01-2021-0006</t>
  </si>
  <si>
    <t>57204476264;56984724900;</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</si>
  <si>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 © 2022, Emerald Publishing Limited.</t>
  </si>
  <si>
    <t>Zhang Y., Wang C.</t>
  </si>
  <si>
    <t>European Journal of Marketing</t>
  </si>
  <si>
    <t>https://www.scopus.com/inward/record.uri?eid=2-s2.0-85127771931&amp;doi=10.1108%2fEJM-01-2021-0006&amp;partnerID=40&amp;md5=f452ad20a871daff731a85fc8ccbcfe3</t>
  </si>
  <si>
    <t>School of Business, Stockton University, Galloway, NJ, United States; Bennett S LeBow College of Business, Drexel University, Philadelphia, PA, United States</t>
  </si>
  <si>
    <t>Zhang, Y., School of Business, Stockton University, Galloway, NJ, United States; Wang, C., Bennett S LeBow College of Business, Drexel University, Philadelphia, PA, United States</t>
  </si>
  <si>
    <t>Zhang, Y.; School of Business, United States; email: yuli.zhang@stockton.edu</t>
  </si>
  <si>
    <t>Consistent evidence of indirect effects of impulsive delay discounting and negative urgency between childhood adversity and adult substance use in two samples</t>
  </si>
  <si>
    <t>10.1007/s00213-021-05827-6</t>
  </si>
  <si>
    <t>57212313367;36454491400;7404584710;25959713600;57220345635;</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</si>
  <si>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(β = 0.07, SE = 0.02, 95% CI [0.04, 0.10]), and the MCQ (β = 0.02 SE =.01, 95% CI [0.01, 0.03]). In the crowdsourced sample, significant indirect effects were observed from ACEs to substance use via UPPS-Negative Urgency (β = 0.05, SE =.01, 95% CI [0.04, 0.07]), UPPS-Premeditation (β = 0.04, SE =.01, 95% CI [0.02, 0.05), and the ED50 (β = 0.02, SE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 © 2021, The Author(s), under exclusive licence to Springer-Verlag GmbH Germany, part of Springer Nature.</t>
  </si>
  <si>
    <t>Levitt E.E., Amlung M.T., Gonzalez A., Oshri A., MacKillop J.</t>
  </si>
  <si>
    <t>Psychopharmacology</t>
  </si>
  <si>
    <t>https://www.scopus.com/inward/record.uri?eid=2-s2.0-85103419931&amp;doi=10.1007%2fs00213-021-05827-6&amp;partnerID=40&amp;md5=645e00da1c5d3454478c5f38d8dc8495</t>
  </si>
  <si>
    <t>Peter Boris Centre for Addictions Research, McMaster University &amp; St. Joseph’s Healthcare Hamilton, 100 West 5th Street, Hamilton, ON  L8P 3P2, Canada; Homewood Research Institute, Guelph, ON, Canada; Offord Centre for Child Studies, McMaster University, Hamilton, ON, Canada; Department of Human Development and Family Science, University of Georgia, Athens, GA, United States</t>
  </si>
  <si>
    <t>Levitt, E.E., Peter Boris Centre for Addictions Research, McMaster University &amp; St. Joseph’s Healthcare Hamilton, 100 West 5th Street, Hamilton, ON  L8P 3P2, Canada, Homewood Research Institute, Guelph, ON, Canada; Amlung, M.T., Peter Boris Centre for Addictions Research, McMaster University &amp; St. Joseph’s Healthcare Hamilton, 100 West 5th Street, Hamilton, ON  L8P 3P2, Canada; Gonzalez, A., Offord Centre for Child Studies, McMaster University, Hamilton, ON, Canada; Oshri, A., Department of Human Development and Family Science, University of Georgia, Athens, GA, United States; MacKillop, J., Peter Boris Centre for Addictions Research, McMaster University &amp; St. Joseph’s Healthcare Hamilton, 100 West 5th Street, Hamilton, ON  L8P 3P2, Canada, Homewood Research Institute, Guelph, ON, Canada</t>
  </si>
  <si>
    <t>MacKillop, J.; Peter Boris Centre for Addictions Research, 100 West 5th Street, Canada; email: jmackill@mcmaster.ca</t>
  </si>
  <si>
    <t>Construct Validity and Test–Retest Reliability of the Automated Vehicle User Perception Survey</t>
  </si>
  <si>
    <t>10.3389/fpsyg.2021.626791</t>
  </si>
  <si>
    <t>57195155620;8228160300;57219340075;6602560935;</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</si>
  <si>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(α) and 2-week test–retest reliability was assessed via Spearman’s rho (ρ)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(α = 0.95) and test–retest reliability (ρ = 0.76, ICC = 0.95). Similarly, the three Mokken subscales ranged from moderate to strong (range Hscale = 0.47–0.66) and had excellent internal consistency (range α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 © Copyright © 2021 Mason, Classen, Wersal and Sisiopiku.</t>
  </si>
  <si>
    <t>Mason J., Classen S., Wersal J., Sisiopiku V.</t>
  </si>
  <si>
    <t>https://www.scopus.com/inward/record.uri?eid=2-s2.0-85100676611&amp;doi=10.3389%2ffpsyg.2021.626791&amp;partnerID=40&amp;md5=6ea33323731b1dca3aa14cb027461c43</t>
  </si>
  <si>
    <t>Department of Occupational Therapy, University of Florida, Gainesville, FL, United States; Department of Civil, Construction, and Environmental Engineering, University of Alabama at Birmingham, Birmingham, AL, United States</t>
  </si>
  <si>
    <t>Mason, J., Department of Occupational Therapy, University of Florida, Gainesville, FL, United States; Classen, S., Department of Occupational Therapy, University of Florida, Gainesville, FL, United States; Wersal, J., Department of Occupational Therapy, University of Florida, Gainesville, FL, United States; Sisiopiku, V., Department of Civil, Construction, and Environmental Engineering, University of Alabama at Birmingham, Birmingham, AL, United States</t>
  </si>
  <si>
    <t>Mason, J.; Department of Occupational Therapy, United States; email: justinmason@phhp.ufl.edu</t>
  </si>
  <si>
    <t>Continuing the precedent: Financially disadvantaging young people in "unprecedented" COVID-19 times</t>
  </si>
  <si>
    <t>10.1002/ajs4.152</t>
  </si>
  <si>
    <t>57193223943;57200647865;36770369400;</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</si>
  <si>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 © 2021 Australian Social Policy Association</t>
  </si>
  <si>
    <t>O’Keeffe P., Johnson B., Daley K.</t>
  </si>
  <si>
    <t>Australian Journal of Social Issues</t>
  </si>
  <si>
    <t>https://www.scopus.com/inward/record.uri?eid=2-s2.0-85101834213&amp;doi=10.1002%2fajs4.152&amp;partnerID=40&amp;md5=0709d2176ddb5c2af088f6e806d518b0</t>
  </si>
  <si>
    <t>Social and Global Studies Centre, RMIT University, GPO Box 2476, Melbourne, Vic  3001, Australia; Bachelor of Youth Work and Youth Studies, RMIT University, GPO Box 2476, Melbourne, Vic  3001, Australia</t>
  </si>
  <si>
    <t>O’Keeffe, P., Social and Global Studies Centre, RMIT University, GPO Box 2476, Melbourne, Vic  3001, Australia; Johnson, B., Social and Global Studies Centre, RMIT University, GPO Box 2476, Melbourne, Vic  3001, Australia; Daley, K., Social and Global Studies Centre, RMIT University, GPO Box 2476, Melbourne, Vic  3001, Australia, Bachelor of Youth Work and Youth Studies, RMIT University, GPO Box 2476, Melbourne, Vic  3001, Australia</t>
  </si>
  <si>
    <t>O’Keeffe, P.; Social and Global Studies Centre, GPO Box 2476, Australia; email: patrick.okeeffe@rmit.edu.au</t>
  </si>
  <si>
    <t>Costs Versus Quality in Imaging Examination Decisions</t>
  </si>
  <si>
    <t>10.1016/j.jacr.2021.11.015</t>
  </si>
  <si>
    <t>57223224152;7005569747;35602068200;24765222300;</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</si>
  <si>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 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 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 Conclusions: Incorporating quality metrics into price transparency tools is important. Further research is needed to identify metrics that are most comparable and easily obtainable across imaging centers that remain important to patients. © 2022 American College of Radiology</t>
  </si>
  <si>
    <t>Manik R., Carlos R.C., Duszak R., Jr., Sadigh G.</t>
  </si>
  <si>
    <t>Journal of the American College of Radiology</t>
  </si>
  <si>
    <t>https://www.scopus.com/inward/record.uri?eid=2-s2.0-85124571337&amp;doi=10.1016%2fj.jacr.2021.11.015&amp;partnerID=40&amp;md5=156f5166d61d2749493a39ec6b83a6d6</t>
  </si>
  <si>
    <t>Emory College of Arts and Sciences, Emory University, Georgia, Atlanta, Georgia; Department of Radiology, University of Michigan, Ann Arbor, Michigan, Editor-in-Chief of the JACR; Vice Chair, Health Policy and Practice, Department of Radiology and Imaging Sciences, Emory University School of Medicine, Georgia, Atlanta, Georgia; Department of Radiology and Imaging Sciences, Emory University School of Medicine, Atlanta, Georgia, Associate Editor of the JACR</t>
  </si>
  <si>
    <t>Manik, R., Emory College of Arts and Sciences, Emory University, Georgia, Atlanta, Georgia; Carlos, R.C., Department of Radiology, University of Michigan, Ann Arbor, Michigan, Editor-in-Chief of the JACR; Duszak, R., Jr., Vice Chair, Health Policy and Practice, Department of Radiology and Imaging Sciences, Emory University School of Medicine, Georgia, Atlanta, Georgia; Sadigh, G., Department of Radiology and Imaging Sciences, Emory University School of Medicine, Atlanta, Georgia, Associate Editor of the JACR</t>
  </si>
  <si>
    <t>Sadigh, G.; Department of Radiology and Imaging Sciences, 1364 Clifton Road NE, Suite BG20, GA; email: gsadigh@emory.edu</t>
  </si>
  <si>
    <t>COVID-19 Experiences, PPE, and Health Concerns in Toronto, Canada Bicycle Delivery Workers: Cross-sectional Pilot Survey</t>
  </si>
  <si>
    <t>10.1093/annweh/wxab024</t>
  </si>
  <si>
    <t>57192941493;36504434200;</t>
  </si>
  <si>
    <t>Objectives: To pilot recruitment methods for bicycle delivery workers in Toronto, Canada and to assess workers' experiences with COVID-19 and personal protective equipment (PPE). Methods: This was a cross-sectional study. An online survey was deployed and advertised via social media with both paid and free postings in July and August of 2020. An incentive draw was used to motivate participation. 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 © 2021 The Author(s). Published by Oxford University Press on behalf of the British Occupational Hygiene Society.</t>
  </si>
  <si>
    <t>Harris M.A., Kirkham T.L.</t>
  </si>
  <si>
    <t>Annals of Work Exposures and Health</t>
  </si>
  <si>
    <t>https://www.scopus.com/inward/record.uri?eid=2-s2.0-85121048369&amp;doi=10.1093%2fannweh%2fwxab024&amp;partnerID=40&amp;md5=642938eb15a66676d9de490ece984a1b</t>
  </si>
  <si>
    <t>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t>
  </si>
  <si>
    <t>Harris, M.A., 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 Kirkham, T.L., Occupational Cancer Research Centre, Ontario Health, 505 University Avenue (14th floor), Toronto, ON  M5G 1X3, Canada, Dalla Lana School of Public Health, University of Toronto, 155 College St., Toronto, ON  M5T 3M7, Canada</t>
  </si>
  <si>
    <t>Harris, M.A.; School of Occupational and Public Health, 350 Victoria St., Canada; email: anne.harris@ryerson.ca</t>
  </si>
  <si>
    <t>COVID-19 Impact Battery: Development and Validation</t>
  </si>
  <si>
    <t>10.1007/s10862-021-09919-7</t>
  </si>
  <si>
    <t>7101860643;37066982900;57217048420;56245889400;57253251800;57222631531;57195467994;56293168000;57226872288;57252755800;7006624687;57253496100;57210784318;</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</si>
  <si>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 © 2021, The Author(s), under exclusive licence to Springer Science+Business Media, LLC, part of Springer Nature.</t>
  </si>
  <si>
    <t>Schmidt N.B., Allan N.P., Koscinski B., Mathes B.M., Eackles K., Accorso C., Saulnier K.G., Allan D.M., Potter K., Garey L., Suhr J., Austin M., Zvolensky M.J.</t>
  </si>
  <si>
    <t>https://www.scopus.com/inward/record.uri?eid=2-s2.0-85114618804&amp;doi=10.1007%2fs10862-021-09919-7&amp;partnerID=40&amp;md5=45bce71dab2685ec2f742443b0d96486</t>
  </si>
  <si>
    <t>Department of Psychology, Florida State University, Tallahassee, United States; Department of Psychology, Ohio University, Athens, OH  45701, United States; VA Center of Excellence for Suicide Prevention, VA Finger Lakes Health Care System, Charleston, United States; Department of Psychology, University of Houston, Houston, United States</t>
  </si>
  <si>
    <t>Schmidt, N.B., Department of Psychology, Florida State University, Tallahassee, United States; Allan, N.P., Department of Psychology, Ohio University, Athens, OH  45701, United States, VA Center of Excellence for Suicide Prevention, VA Finger Lakes Health Care System, Charleston, United States; Koscinski, B., Department of Psychology, Ohio University, Athens, OH  45701, United States; Mathes, B.M., Department of Psychology, Florida State University, Tallahassee, United States; Eackles, K., Department of Psychology, Ohio University, Athens, OH  45701, United States; Accorso, C., Department of Psychology, Ohio University, Athens, OH  45701, United States; Saulnier, K.G., Department of Psychology, Ohio University, Athens, OH  45701, United States; Allan, D.M., Department of Psychology, Ohio University, Athens, OH  45701, United States; Potter, K., Department of Psychology, Ohio University, Athens, OH  45701, United States; Garey, L., Department of Psychology, University of Houston, Houston, United States; Suhr, J., Department of Psychology, Ohio University, Athens, OH  45701, United States; Austin, M., Department of Psychology, Ohio University, Athens, OH  45701, United States; Zvolensky, M.J., Department of Psychology, University of Houston, Houston, United States</t>
  </si>
  <si>
    <t>Schmidt, N.B.; Department of Psychology, United States; email: schmidt@psy.fsu.edu</t>
  </si>
  <si>
    <t>Crowdsourcing for Machine Learning in Public Health Surveillance: Lessons Learned From Amazon Mechanical Turk</t>
  </si>
  <si>
    <t>10.2196/28749</t>
  </si>
  <si>
    <t>57219004884;36466008100;36985830100;36623108000;</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</si>
  <si>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 © Zahra Shakeri Hossein Abad, Gregory P Butler, Wendy Thompson, Joon Lee.</t>
  </si>
  <si>
    <t>Hossein Abad Z.S., Butler G.P., Thompson W., Lee J.</t>
  </si>
  <si>
    <t>https://www.scopus.com/inward/record.uri?eid=2-s2.0-85123557853&amp;doi=10.2196%2f28749&amp;partnerID=40&amp;md5=e432bb7633028baa4fd8968ce3c9a223</t>
  </si>
  <si>
    <t>Department of Biomedical Informatics, Harvard Medical School, Harvard University, Boston, MA, United States; Data Intelligence for Health Lab., Cumming School of Medicine, University of Calgary, Calgary, AB, Canada; Centre for Surveillance and Applied Research, Public Health Agency of Canada, Ottawa, ON, Canada; Department of Community Health Sciences, Cumming School of Medicine, University of Calgary, Calgary, AB, Canada; Department of Cardiac Sciences, Cumming School of Medicine, University of Calgary, Calgary, AB, Canada</t>
  </si>
  <si>
    <t>Hossein Abad, Z.S., Department of Biomedical Informatics, Harvard Medical School, Harvard University, Boston, MA, United States, Data Intelligence for Health Lab., Cumming School of Medicine, University of Calgary, Calgary, AB, Canada; Butler, G.P., Centre for Surveillance and Applied Research, Public Health Agency of Canada, Ottawa, ON, Canada; Thompson, W., Centre for Surveillance and Applied Research, Public Health Agency of Canada, Ottawa, ON, Canada; Lee, J., Data Intelligence for Health Lab., Cumming School of Medicine, University of Calgary, Calgary, AB, Canada, Department of Community Health Sciences, Cumming School of Medicine, University of Calgary, Calgary, AB, Canada, Department of Cardiac Sciences, Cumming School of Medicine, University of Calgary, Calgary, AB, Canada</t>
  </si>
  <si>
    <t>Lee, J.; Data Intelligence for Health Lab., 3280 Hospital Dr NW, Canada; email: joonwu.lee@ucalgary.ca</t>
  </si>
  <si>
    <t>Crowdsourcing privacy design critique: An empirical evaluation of framing effects</t>
  </si>
  <si>
    <t>56156332100;56619275000;</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</si>
  <si>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 © 2018 IEEE Computer Society. All rights reserved.</t>
  </si>
  <si>
    <t>Ayalon O., Toch E.</t>
  </si>
  <si>
    <t>https://www.scopus.com/inward/record.uri?eid=2-s2.0-85067288548&amp;partnerID=40&amp;md5=310ce75b1dd9e769e9a4545622c7fdb9</t>
  </si>
  <si>
    <t>Tel Aviv University, Israel</t>
  </si>
  <si>
    <t>Ayalon, O., Tel Aviv University, Israel; Toch, E., Tel Aviv University, Israel</t>
  </si>
  <si>
    <t>Cut me some slack! An exploration of slack resources and technology-mediated human capital investments in entrepreneurship</t>
  </si>
  <si>
    <t>10.1108/IJEBR-10-2020-0731</t>
  </si>
  <si>
    <t>57212588444;57195221609;57208263343;57222603652;</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</si>
  <si>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 © 2021, Emerald Publishing Limited.</t>
  </si>
  <si>
    <t>Jabbari J., Roll S., Bufe S., Chun Y.</t>
  </si>
  <si>
    <t>International Journal of Entrepreneurial Behaviour and Research</t>
  </si>
  <si>
    <t>https://www.scopus.com/inward/record.uri?eid=2-s2.0-85122781643&amp;doi=10.1108%2fIJEBR-10-2020-0731&amp;partnerID=40&amp;md5=8f694c4c2ce006c526f6118a8aa0936e</t>
  </si>
  <si>
    <t>Washington University in St Louis, St Louis, MO, United States; University of California, Santa Barbara, Santa Barbara, CA, United States</t>
  </si>
  <si>
    <t>Jabbari, J., Washington University in St Louis, St Louis, MO, United States; Roll, S., Washington University in St Louis, St Louis, MO, United States; Bufe, S., University of California, Santa Barbara, Santa Barbara, CA, United States; Chun, Y., Washington University in St Louis, St Louis, MO, United States</t>
  </si>
  <si>
    <t>Jabbari, J.; Washington University in St LouisUnited States; email: jabbari.jason@wustl.edu</t>
  </si>
  <si>
    <t>Cyberbullying and Mental Health in Adults: The Moderating Role of Social Media Use and Gender</t>
  </si>
  <si>
    <t>10.3389/fpsyt.2021.674298</t>
  </si>
  <si>
    <t>57226395406;57222382005;57221801289;26221793600;25648616500;</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</si>
  <si>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 © Copyright © 2021 Schodt, Quiroz, Wheeler, Hall and Silva.</t>
  </si>
  <si>
    <t>Schodt K.B., Quiroz S.I., Wheeler B., Hall D.L., Silva Y.N.</t>
  </si>
  <si>
    <t>https://www.scopus.com/inward/record.uri?eid=2-s2.0-85111409927&amp;doi=10.3389%2ffpsyt.2021.674298&amp;partnerID=40&amp;md5=e392cd1f1fc1ab8f6a54ffc8b865a853</t>
  </si>
  <si>
    <t>Department of Psychology, University of New Mexico, Albuquerque, NM, United States; School of Social and Behavioral Sciences, Arizona State University, Glendale, AZ, United States; Department of Psychology, Arizona State University, Tempe, AZ, United States; School of Mathematical and Natural Sciences, Arizona State University, Glendale, AZ, United States</t>
  </si>
  <si>
    <t>Schodt, K.B., Department of Psychology, University of New Mexico, Albuquerque, NM, United States, School of Social and Behavioral Sciences, Arizona State University, Glendale, AZ, United States; Quiroz, S.I., Department of Psychology, Arizona State University, Tempe, AZ, United States; Wheeler, B., School of Social and Behavioral Sciences, Arizona State University, Glendale, AZ, United States; Hall, D.L., School of Social and Behavioral Sciences, Arizona State University, Glendale, AZ, United States; Silva, Y.N., School of Mathematical and Natural Sciences, Arizona State University, Glendale, AZ, United States</t>
  </si>
  <si>
    <t>Hall, D.L.; School of Social and Behavioral Sciences, United States; email: d.hall@asu.edu</t>
  </si>
  <si>
    <t>DeepNAG: Deep Non-Adversarial Gesture Generation</t>
  </si>
  <si>
    <t>10.1145/3397481.3450675</t>
  </si>
  <si>
    <t>56539970500;56182091700;6602792780;</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</si>
  <si>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benchmark. We find that DeepNAG outperforms DeepGAN in accuracy, training time (up to 17 × faster), and realism, thereby opening the door to a new line of research in generator network design and training for gesture synthesis. Our source code is available at https://www.deepnag.com. © 2021 ACM.</t>
  </si>
  <si>
    <t>Maghoumi M., Taranta E.M., Laviola J.</t>
  </si>
  <si>
    <t>International Conference on Intelligent User Interfaces, Proceedings IUI</t>
  </si>
  <si>
    <t>https://www.scopus.com/inward/record.uri?eid=2-s2.0-85104507127&amp;doi=10.1145%2f3397481.3450675&amp;partnerID=40&amp;md5=0bdfecce8028982cb3a42efca6cae4a0</t>
  </si>
  <si>
    <t>University of Central Florida, NVIDIA, United States</t>
  </si>
  <si>
    <t>Maghoumi, M., University of Central Florida, NVIDIA, United States; Taranta, E.M., University of Central Florida, NVIDIA, United States; Laviola, J., University of Central Florida, NVIDIA, United States</t>
  </si>
  <si>
    <t>Defining Aesthetic Preferences for the Penis: A Photogrammetric and Crowdsourcing Analysis</t>
  </si>
  <si>
    <t>10.1093/asj/sjab082</t>
  </si>
  <si>
    <t>57190298866;57192402173;57204217787;57214454708;57201535150;45661573100;56969592400;</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</si>
  <si>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 = 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 © 2021 The Aesthetic Society.</t>
  </si>
  <si>
    <t>Massie J.P., Sood R., Nolan I.T., Sasson D.C., Swanson M., Morrison S.D., Placik O.</t>
  </si>
  <si>
    <t>Aesthetic Surgery Journal</t>
  </si>
  <si>
    <t>https://www.scopus.com/inward/record.uri?eid=2-s2.0-85118472378&amp;doi=10.1093%2fasj%2fsjab082&amp;partnerID=40&amp;md5=148f5618eca47beb648a6b7ef524360e</t>
  </si>
  <si>
    <t>Division of Plastic Surgery, Department of Surgery, Northwestern Feinberg School of Medicine, 845 N Michigan Ave #923e, Chicago, IL  60611, United States; Hansjörg Wyss Department of Plastic Surgery, NYU School of Medicine, New York, NY, United States; Division of Plastic Surgery, Department of Surgery, Case Western Reserve University School of Medicine, Cleveland, OH, United States; Division of Plastic Surgery, Department of Surgery, University of Washington School of Medicine, Seattle, WA, United States</t>
  </si>
  <si>
    <t>Massie, J.P., Division of Plastic Surgery, Department of Surgery, Northwestern Feinberg School of Medicine, 845 N Michigan Ave #923e, Chicago, IL  60611, United States; Sood, R., Division of Plastic Surgery, Department of Surgery, Northwestern Feinberg School of Medicine, 845 N Michigan Ave #923e, Chicago, IL  60611, United States; Nolan, I.T., Hansjörg Wyss Department of Plastic Surgery, NYU School of Medicine, New York, NY, United States; Sasson, D.C., Division of Plastic Surgery, Department of Surgery, Northwestern Feinberg School of Medicine, 845 N Michigan Ave #923e, Chicago, IL  60611, United States; Swanson, M., Division of Plastic Surgery, Department of Surgery, Case Western Reserve University School of Medicine, Cleveland, OH, United States; Morrison, S.D., Division of Plastic Surgery, Department of Surgery, University of Washington School of Medicine, Seattle, WA, United States; Placik, O., Division of Plastic Surgery, Department of Surgery, Northwestern Feinberg School of Medicine, 845 N Michigan Ave #923e, Chicago, IL  60611, United States</t>
  </si>
  <si>
    <t>Placik, O.; Division of Plastic Surgery, 845 N Michigan Ave #923e, United States; email: otto@bodysculptor.com</t>
  </si>
  <si>
    <t>Depressive symptoms among chinese informal employees in the digital era</t>
  </si>
  <si>
    <t>10.3390/ijerph18105211</t>
  </si>
  <si>
    <t>57223361683;56167553600;57223368166;53984344900;</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</si>
  <si>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 © 2021 by the authors. Licensee MDPI, Basel, Switzerland.</t>
  </si>
  <si>
    <t>Cai Y., Kong W., Lian Y., Jin X.</t>
  </si>
  <si>
    <t>https://www.scopus.com/inward/record.uri?eid=2-s2.0-85105741176&amp;doi=10.3390%2fijerph18105211&amp;partnerID=40&amp;md5=d4ceb32ff97603b388279ab4cb8e0ea0</t>
  </si>
  <si>
    <t>School of Public Finance and Administration, Harbin University of Commerce, Harbin, 150001, China; School of Accounting, Harbin University of Commerce, Harbin, 150001, China</t>
  </si>
  <si>
    <t>Cai, Y., School of Public Finance and Administration, Harbin University of Commerce, Harbin, 150001, China, School of Accounting, Harbin University of Commerce, Harbin, 150001, China; Kong, W., School of Public Finance and Administration, Harbin University of Commerce, Harbin, 150001, China; Lian, Y., School of Public Finance and Administration, Harbin University of Commerce, Harbin, 150001, China; Jin, X., School of Public Finance and Administration, Harbin University of Commerce, Harbin, 150001, China</t>
  </si>
  <si>
    <t>Kong, W.; School of Public Finance and Administration, China; email: kongww_hrbcu@163.com</t>
  </si>
  <si>
    <t>Development and psychometric evaluation of the Clericalism Observer Rating Scale.</t>
  </si>
  <si>
    <t>10.1037/scp0000244</t>
  </si>
  <si>
    <t>57203038568;56652916800;6506308048;49562119700;6506371927;</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</si>
  <si>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 (PsycInfo Database Record (c) 2020 APA, all rights reserved) © 2020 American Psychological Association</t>
  </si>
  <si>
    <t>Burnham M.J., Fox J., Fenzel L.M., Stewart-Sicking J., Sivo S.</t>
  </si>
  <si>
    <t>Spirituality in Clinical Practice</t>
  </si>
  <si>
    <t>https://www.scopus.com/inward/record.uri?eid=2-s2.0-85103565879&amp;doi=10.1037%2fscp0000244&amp;partnerID=40&amp;md5=ae98f7038ffecdb52a90e5c2aaf5d7d7</t>
  </si>
  <si>
    <t>Department of Pastoral Counseling, Loyola University Maryland, Baltimore, MD, United States; Department of Counselor Education, Stetson University, DeLand, FL, United States; Department of Pastoral Counseling, Loyola University Maryland, Baltimore, MD, United States; Department of Education Specialties, Loyola University Maryland, Baltimore, MD, United States; Department of Educational Research, Technology, &amp; Leadership, University of Central Florida, Orlando, FL, United States</t>
  </si>
  <si>
    <t>Burnham, M.J., Department of Pastoral Counseling, Loyola University Maryland, Baltimore, MD, United States; Fox, J., Department of Counselor Education, Stetson University, DeLand, FL, United States; Fenzel, L.M., Department of Pastoral Counseling, Loyola University Maryland, Baltimore, MD, United States; Stewart-Sicking, J., Department of Education Specialties, Loyola University Maryland, Baltimore, MD, United States; Sivo, S., Department of Educational Research, Technology, &amp; Leadership, University of Central Florida, Orlando, FL, United States</t>
  </si>
  <si>
    <t>Burnham, M.J.; Society of St. Sulpice, 5800 Rowland Avenue, United States; email: mburnham@archbalt.org</t>
  </si>
  <si>
    <t>Development of a Diet Quality Screener for Global Use: Evaluation in a Sample of US Women</t>
  </si>
  <si>
    <t>10.1016/j.jand.2020.12.024</t>
  </si>
  <si>
    <t>57188847379;57209985077;57191191130;7102715927;56803239300;</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</si>
  <si>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 –0.19), carbohydrates (r = –0.22), and added sugar (r =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 and middle-income countries. © 2021 Academy of Nutrition and Dietetics</t>
  </si>
  <si>
    <t>Gicevic S., Mou Y., Bromage S., Fung T.T., Willett W.</t>
  </si>
  <si>
    <t>https://www.scopus.com/inward/record.uri?eid=2-s2.0-85101300128&amp;doi=10.1016%2fj.jand.2020.12.024&amp;partnerID=40&amp;md5=17409c80a51894d05d53a99c72d348fb</t>
  </si>
  <si>
    <t>Gicevic, S.; Mou, Y.; Bromage, S.; Fung, T.T.; Willett, W.</t>
  </si>
  <si>
    <t>Gicevic, S.; London School of Hygiene and Tropical Medicine. Keppel StreetUnited Kingdom; email: Selma.gicevic@mail.harvard.edu</t>
  </si>
  <si>
    <t>Differential Associations between Paraphilic Interests and Sexual Satisfaction</t>
  </si>
  <si>
    <t>10.1080/10720162.2020.1867939</t>
  </si>
  <si>
    <t>57203650939;16204271900;57203649561;57221962101;</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</si>
  <si>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 © 2021 Taylor &amp; Francis Group, LLC.</t>
  </si>
  <si>
    <t>Vander Molen L., Ronis S.T., Benoit A.A., Walmark S.</t>
  </si>
  <si>
    <t>Sexual Addiction and Compulsivity</t>
  </si>
  <si>
    <t>https://www.scopus.com/inward/record.uri?eid=2-s2.0-85100737952&amp;doi=10.1080%2f10720162.2020.1867939&amp;partnerID=40&amp;md5=145b5de07a03fd6f2bf14da799cb5a3a</t>
  </si>
  <si>
    <t>University of New Brunswick, Fredericton, NB, Canada</t>
  </si>
  <si>
    <t>Vander Molen, L., University of New Brunswick, Fredericton, NB, Canada; Ronis, S.T., University of New Brunswick, Fredericton, NB, Canada; Benoit, A.A., University of New Brunswick, Fredericton, NB, Canada; Walmark, S., University of New Brunswick, Fredericton, NB, Canada</t>
  </si>
  <si>
    <t>Ronis, S.T.; Department of Psychology, 38 Dineen Drive, Keirstead Hall, Canada</t>
  </si>
  <si>
    <t>Differentiated models in the collaborative transport economy: A mixture analysis for Blablacar and Uber</t>
  </si>
  <si>
    <t>10.1016/j.techsoc.2021.101727</t>
  </si>
  <si>
    <t>24171860400;56517073900;25642826700;</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</si>
  <si>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 © 2021 Elsevier Ltd</t>
  </si>
  <si>
    <t>Quirós C., Portela J., Marín R.</t>
  </si>
  <si>
    <t>Technology in Society</t>
  </si>
  <si>
    <t>https://www.scopus.com/inward/record.uri?eid=2-s2.0-85114666832&amp;doi=10.1016%2fj.techsoc.2021.101727&amp;partnerID=40&amp;md5=fab2233613bd9348c22e1d4b05702d77</t>
  </si>
  <si>
    <t>Instituto Complutense de Estudios Internacionales and Department of Applied Economics, Structure and History, Universidad Complutense de Madrid, Finca Más Ferré, Edif. A. Campus de Somosaguas, Pozuelo de Alarcón, Madrid  28223, Spain; Department of Statistics and Data Science. Faculty of Statistical Studies, Universidad Complutense de Madrid, Avda. Puerta de Hierro S/n Ciudad UniversitariaMadrid  28040, Spain;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</si>
  <si>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Structure and History, Universidad Complutense de Madrid, Finca Más Ferré, Edif. A. Campus de Somosaguas, Pozuelo de Alarcón, Madrid  28223, Spain; Portela, J., Department of Statistics and Data Science. Faculty of Statistical Studies, Universidad Complutense de Madrid, Avda. Puerta de Hierro S/n Ciudad UniversitariaMadrid  28040, Spain; Marín, R.,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</si>
  <si>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Edif. A. Campus de Somosaguas, Spain; email: cquiros@ccee.ucm.es</t>
  </si>
  <si>
    <t>Digital “putting-out system”—an old new method of work in platform economy</t>
  </si>
  <si>
    <t>10.26412/psr211.01</t>
  </si>
  <si>
    <t>56755149800;</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</si>
  <si>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 © The Polish Sociological Association.</t>
  </si>
  <si>
    <t>Mika B.</t>
  </si>
  <si>
    <t>Polish Sociological Review</t>
  </si>
  <si>
    <t>https://www.scopus.com/inward/record.uri?eid=2-s2.0-85108869933&amp;doi=10.26412%2fpsr211.01&amp;partnerID=40&amp;md5=9fb7ea7fe9921839e5a7a41692ec3ae0</t>
  </si>
  <si>
    <t>University of Gdańsk, Poland</t>
  </si>
  <si>
    <t>Mika, B., University of Gdańsk, Poland</t>
  </si>
  <si>
    <t>Mika, B.; University of GdańskPoland; email: bartosz.mika@ug.edu.pl</t>
  </si>
  <si>
    <t>Digital mediation of candidacy in maternity care: Managing boundaries between physiology and pathology</t>
  </si>
  <si>
    <t>10.1016/j.socscimed.2021.114299</t>
  </si>
  <si>
    <t>26029470800;55520346200;56511544100;55053598600;</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</si>
  <si>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 © 2021 Elsevier Ltd</t>
  </si>
  <si>
    <t>Mackintosh N., Gong Q.S., Hadjiconstantinou M., Verdezoto N.</t>
  </si>
  <si>
    <t>https://www.scopus.com/inward/record.uri?eid=2-s2.0-85112494102&amp;doi=10.1016%2fj.socscimed.2021.114299&amp;partnerID=40&amp;md5=e82c2895b20d0eaaff9801186a954b7e</t>
  </si>
  <si>
    <t>Department of Health Science, University of Leicester, George Davies Centre, University Road, Leicester, LE1 7RH, United Kingdom; School of Media, Communication and Sociology, Room 1.03, Bankfield House, University of Leicester, 132 New Walk, Leicester, LE1 7JA, United Kingdom; Leicester Diabetes Care Centre, University of Leicester, Leicester, LE5 4PW, United Kingdom; School of Computer Science and Informatics, Queens Building, Cardiff University, 5 The Parade, Roath, Cardiff, CF243AA, United Kingdom</t>
  </si>
  <si>
    <t>Mackintosh, N., Department of Health Science, University of Leicester, George Davies Centre, University Road, Leicester, LE1 7RH, United Kingdom; Gong, Q.S., School of Media, Communication and Sociology, Room 1.03, Bankfield House, University of Leicester, 132 New Walk, Leicester, LE1 7JA, United Kingdom; Hadjiconstantinou, M., Leicester Diabetes Care Centre, University of Leicester, Leicester, LE5 4PW, United Kingdom; Verdezoto, N., School of Computer Science and Informatics, Queens Building, Cardiff University, 5 The Parade, Roath, Cardiff, CF243AA, United Kingdom</t>
  </si>
  <si>
    <t>Mackintosh, N.; Department of Health Science, United Kingdom; email: nicola.mackintosh@leicester.ac.uk</t>
  </si>
  <si>
    <t>Digital platforms and institutional voids in developing countries: The case of ride-hailing markets</t>
  </si>
  <si>
    <t>10.1016/j.worlddev.2021.105528</t>
  </si>
  <si>
    <t>23102861100;57202353233;55536168100;57209467669;57205683320;36135551000;36720223600;</t>
  </si>
  <si>
    <t>Institutional voids – shortcomings in the institutional functions required by markets – 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 – within the digital platform and in their broader business model – 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 2021 Elsevier Ltd</t>
  </si>
  <si>
    <t>Heeks R., Gomez-Morantes J.E., Graham M., Howson K., Mungai P., Nicholson B., Van Belle J.-P.</t>
  </si>
  <si>
    <t>World Development</t>
  </si>
  <si>
    <t>https://www.scopus.com/inward/record.uri?eid=2-s2.0-85105359623&amp;doi=10.1016%2fj.worlddev.2021.105528&amp;partnerID=40&amp;md5=0a4b858d14ba4bf34dfb61439c22b08c</t>
  </si>
  <si>
    <t>Global Development Institute, University of Manchester, United Kingdom; Systems Engineering Dept, Pontificia Universidad Javeriana, Colombia; Oxford Internet Institute, University of Oxford, United Kingdom; CITANDA, Department of Information Systems, University of Cape Town, South Africa; Alliance Manchester Business School, University of Manchester, United Kingdom</t>
  </si>
  <si>
    <t>Heeks, R., Global Development Institute, University of Manchester, United Kingdom; Gomez-Morantes, J.E., Systems Engineering Dept, Pontificia Universidad Javeriana, Colombia; Graham, M., Oxford Internet Institute, University of Oxford, United Kingdom; Howson, K., Oxford Internet Institute, University of Oxford, United Kingdom; Mungai, P., CITANDA, Department of Information Systems, University of Cape Town, South Africa; Nicholson, B., Alliance Manchester Business School, University of Manchester, United Kingdom; Van Belle, J.-P., CITANDA, Department of Information Systems, University of Cape Town, South Africa</t>
  </si>
  <si>
    <t>Heeks, R.; Global Development Institute, United Kingdom; email: richard.heeks@manchester.ac.uk</t>
  </si>
  <si>
    <t>Disguising Commercial Intentions: Sponsorship Disclosure Practices of Mexican Instamoms</t>
  </si>
  <si>
    <t>10.17645/mac.v10i1.4640</t>
  </si>
  <si>
    <t>57463442700;57301053400;</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</si>
  <si>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 © 2022 by the author(s); licensee Cogitatio (Lisbon, Portugal).</t>
  </si>
  <si>
    <t>Zozaya-durazo L., Sádaba-chalezquer C.</t>
  </si>
  <si>
    <t>Media and Communication</t>
  </si>
  <si>
    <t>https://www.scopus.com/inward/record.uri?eid=2-s2.0-85125046318&amp;doi=10.17645%2fmac.v10i1.4640&amp;partnerID=40&amp;md5=b40eecdff156fdedc83e3ec2cda44533</t>
  </si>
  <si>
    <t>School of Communication, University of Navarra, Spain</t>
  </si>
  <si>
    <t>Zozaya-durazo, L., School of Communication, University of Navarra, Spain; Sádaba-chalezquer, C., School of Communication, University of Navarra, Spain</t>
  </si>
  <si>
    <t>Zozaya-Durazo, L.; School of Communication, Spain; email: lzozaya@alumni.unav.es</t>
  </si>
  <si>
    <t>Do data from mechanical Turk subjects replicate accuracy, response time, and diffusion modeling results?</t>
  </si>
  <si>
    <t>10.3758/s13428-021-01573-x</t>
  </si>
  <si>
    <t>7006686606;57197756572;</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</si>
  <si>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 © 2021, The Psychonomic Society, Inc.</t>
  </si>
  <si>
    <t>Ratcliff R., Hendrickson A.T.</t>
  </si>
  <si>
    <t>https://www.scopus.com/inward/record.uri?eid=2-s2.0-85103648339&amp;doi=10.3758%2fs13428-021-01573-x&amp;partnerID=40&amp;md5=38ddf8cbf201095b1ebcd4bcb27e5cfb</t>
  </si>
  <si>
    <t>The Ohio State University, 1835 Neil Avenue, Columbus, OH  43210, United States; Tilburg University, Warandelaan 2, Tilburg, 5037AB, Netherlands</t>
  </si>
  <si>
    <t>Ratcliff, R., The Ohio State University, 1835 Neil Avenue, Columbus, OH  43210, United States; Hendrickson, A.T., Tilburg University, Warandelaan 2, Tilburg, 5037AB, Netherlands</t>
  </si>
  <si>
    <t>Ratcliff, R.; The Ohio State University, 1835 Neil Avenue, United States; email: ratcliff.22@osu.edu</t>
  </si>
  <si>
    <t>Does an alignment of employment policies and individual preferences affect intention to stay in the profession? Evidence from Canadian Midwives</t>
  </si>
  <si>
    <t>10.1016/j.healthpol.2021.01.005</t>
  </si>
  <si>
    <t>55225978600;57194603869;26641478000;6603084092;57219180853;26021466400;7005031499;</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</si>
  <si>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t>
  </si>
  <si>
    <t>HakemZadeh F., Sayin F.K., Neiterman E., Zeytinoglu I.U., Geraci J., Plenderleith J., Lobb D.</t>
  </si>
  <si>
    <t>Health Policy</t>
  </si>
  <si>
    <t>https://www.scopus.com/inward/record.uri?eid=2-s2.0-85100436741&amp;doi=10.1016%2fj.healthpol.2021.01.005&amp;partnerID=40&amp;md5=b39e2dbe320982c9b1354b40973337c2</t>
  </si>
  <si>
    <t>School of Human Resource Management, Faculty of Liberal Arts and Professional Studies, York University, 4700 Keele Street, Toronto, ON  M3J 1P3, Canada; Sobey School of Business, Saint Mary's University, 923 Robie Street, Halifax, NS  B3H 3C3, Canada; School of Public Health and Health Systems, University of Waterloo, 200 University Avenue West, Waterloo, ON  N2L 3G1, Canada; DeGroote School of Business, McMaster University, 1280 Main Street West, Hamilton, ON  L8S 4M4, Canada; College of Midwives of Ontario, 21 St Clair Ave E #303, Toronto, ON  M4T 1L9, Canada; Faculty of Health Sciences, McMaster University, 1280 Main St W, Hamilton, ON  L8S 4L8, Canada</t>
  </si>
  <si>
    <t>HakemZadeh, F., School of Human Resource Management, Faculty of Liberal Arts and Professional Studies, York University, 4700 Keele Street, Toronto, ON  M3J 1P3, Canada; Sayin, F.K., Sobey School of Business, Saint Mary's University, 923 Robie Street, Halifax, NS  B3H 3C3, Canada; Neiterman, E., School of Public Health and Health Systems, University of Waterloo, 200 University Avenue West, Waterloo, ON  N2L 3G1, Canada; Zeytinoglu, I.U., DeGroote School of Business, McMaster University, 1280 Main Street West, Hamilton, ON  L8S 4M4, Canada; Geraci, J., College of Midwives of Ontario, 21 St Clair Ave E #303, Toronto, ON  M4T 1L9, Canada; Plenderleith, J., DeGroote School of Business, McMaster University, 1280 Main Street West, Hamilton, ON  L8S 4M4, Canada; Lobb, D., Faculty of Health Sciences, McMaster University, 1280 Main St W, Hamilton, ON  L8S 4L8, Canada</t>
  </si>
  <si>
    <t>HakemZadeh, F.; School of Human Resource Management, 4700 Keele Street, Canada; email: zadeh@yorku.ca</t>
  </si>
  <si>
    <t>Does Contextual Factor Influence Travelers’ Towel Reuse Behavior? Insights from Circular Economy</t>
  </si>
  <si>
    <t>10.3390/su14106155</t>
  </si>
  <si>
    <t>57487201300;57201663043;57210171184;</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</si>
  <si>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 © 2022 by the authors. Licensee MDPI, Basel, Switzerland.</t>
  </si>
  <si>
    <t>Rafiq F., Adil M., Sadiq M.</t>
  </si>
  <si>
    <t>https://www.scopus.com/inward/record.uri?eid=2-s2.0-85130961126&amp;doi=10.3390%2fsu14106155&amp;partnerID=40&amp;md5=ff04b080c51695294ea1dc70b4c9d53c</t>
  </si>
  <si>
    <t>Department of Business Administration, College of Administrative and Financial Sciences, Jeddah-M Campus, Saudi Electronic University, Riyadh, 11673, Saudi Arabia; Department of Management Studies, NIT Hamirpur, Hamirpur, 177005, India; Department of Marketing, University of Otago, Dunedin, 9016, New Zealand</t>
  </si>
  <si>
    <t>Rafiq, F., Department of Business Administration, College of Administrative and Financial Sciences, Jeddah-M Campus, Saudi Electronic University, Riyadh, 11673, Saudi Arabia; Adil, M., Department of Management Studies, NIT Hamirpur, Hamirpur, 177005, India; Sadiq, M., Department of Marketing, University of Otago, Dunedin, 9016, New Zealand</t>
  </si>
  <si>
    <t>Sadiq, M.; Department of Marketing, New Zealand; email: sadiq.otago@gmail.com</t>
  </si>
  <si>
    <t>Does Electronic Word-of-mouth Differently Influence Traditional Economy Vs. Collaborative Economy Tourist Accommodation? An Empirical Study</t>
  </si>
  <si>
    <t>10.1080/1528008X.2021.1913692</t>
  </si>
  <si>
    <t>55971306700;56185629000;56144694800;56115866900;</t>
  </si>
  <si>
    <t>This study aims to analyze three main variables of electronic word-of-mouth (eWOM)–impact on bookings volume, main attributes of client satisfaction, and best strategy for responding to unfavorable opinions–in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 © 2021 Taylor &amp; Francis Group, LLC.</t>
  </si>
  <si>
    <t>García M.J., Chico J.R., Sánchez A.R.P., Sánchez J.A.L.</t>
  </si>
  <si>
    <t>Journal of Quality Assurance in Hospitality and Tourism</t>
  </si>
  <si>
    <t>https://www.scopus.com/inward/record.uri?eid=2-s2.0-85105048723&amp;doi=10.1080%2f1528008X.2021.1913692&amp;partnerID=40&amp;md5=826c213028da017a6ea2ee37149f54be</t>
  </si>
  <si>
    <t>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</si>
  <si>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University of Cádiz, Cadiz, Spain; Chico, J.R., INDESS (Research Universitary Institute for Sustainable Social Development) and Faculty of Social Sciences and Communication, University of Cádiz, Cadiz, Spain; Sánchez, A.R.P., INDESS (Research Universitary Institute for Sustainable Social Development) and Faculty of Social Sciences and Communication, University of Cádiz, Cadiz, Spain; Sánchez, J.A.L., 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</si>
  <si>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Spain; email: mercedes.jimenezgarcia@uca.es</t>
  </si>
  <si>
    <t>Doubly Robust Crowdsourcing</t>
  </si>
  <si>
    <t>10.1613/JAIR.1.13304</t>
  </si>
  <si>
    <t>57219587374;56123397700;</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</si>
  <si>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 © 2022 AI Access Foundation. All rights reserved.</t>
  </si>
  <si>
    <t>Liu C., Wang Y.-X.</t>
  </si>
  <si>
    <t>Journal of Artificial Intelligence Research</t>
  </si>
  <si>
    <t>https://www.scopus.com/inward/record.uri?eid=2-s2.0-85124134002&amp;doi=10.1613%2fJAIR.1.13304&amp;partnerID=40&amp;md5=2cc496a86cb8b51e06c856835862b13c</t>
  </si>
  <si>
    <t>Department of Computer Science, University of California, Santa Barbara, Santa Barbara, CA  93106, United States</t>
  </si>
  <si>
    <t>Liu, C., Department of Computer Science, University of California, Santa Barbara, Santa Barbara, CA  93106, United States; Wang, Y.-X., Department of Computer Science, University of California, Santa Barbara, Santa Barbara, CA  93106, United States</t>
  </si>
  <si>
    <t>Eco-guilt in tourism: Do tourists intend to behave environmentally friendly and still revisit?</t>
  </si>
  <si>
    <t>10.1016/j.jdmm.2021.100602</t>
  </si>
  <si>
    <t>57200552348;35609089100;</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</si>
  <si>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 © 2021 Elsevier Ltd</t>
  </si>
  <si>
    <t>Bahja F., Hancer M.</t>
  </si>
  <si>
    <t>Journal of Destination Marketing and Management</t>
  </si>
  <si>
    <t>https://www.scopus.com/inward/record.uri?eid=2-s2.0-85105352290&amp;doi=10.1016%2fj.jdmm.2021.100602&amp;partnerID=40&amp;md5=7c1db3db6e092159fe9242fb329ad2cd</t>
  </si>
  <si>
    <t>Tourism, Events &amp; Attractions Department, Rosen College of Hospitality Management, University of Central FloridaFL, United States; Department of Hospitality Services, Rosen College of Hospitality Management, University of Central FloridaFL, United States</t>
  </si>
  <si>
    <t>Bahja, F., Tourism, Events &amp; Attractions Department, Rosen College of Hospitality Management, University of Central FloridaFL, United States; Hancer, M., Department of Hospitality Services, Rosen College of Hospitality Management, University of Central FloridaFL, United States</t>
  </si>
  <si>
    <t>Bahja, F.; Tourism, 9907 Universal Blvd, United States; email: Fridabahja@knights.ucf.edu</t>
  </si>
  <si>
    <t>L122</t>
  </si>
  <si>
    <t>Empirical Investigation of Influencing Factors Regarding Offshore Outsourcing Decision of Application Maintenance</t>
  </si>
  <si>
    <t>10.1109/ACCESS.2021.3073315</t>
  </si>
  <si>
    <t>57221597699;55761281200;56674537500;55507524000;</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</si>
  <si>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 © 2013 IEEE.</t>
  </si>
  <si>
    <t>Rahman H.U., Raza M., Afsar P., Khan H.U.</t>
  </si>
  <si>
    <t>https://www.scopus.com/inward/record.uri?eid=2-s2.0-85104269122&amp;doi=10.1109%2fACCESS.2021.3073315&amp;partnerID=40&amp;md5=865a9d1f99a6e17bd33cd6c5da567e2f</t>
  </si>
  <si>
    <t>Department of Computer Science, Abdul Wali Khan University Mardan, Mardan, Pakistan; Department of Accounting and Information Systems, College of Business and Economics, Qatar University, Doha, Qatar</t>
  </si>
  <si>
    <t>Rahman, H.U., Department of Computer Science, Abdul Wali Khan University Mardan, Mardan, Pakistan; Raza, M., Department of Computer Science, Abdul Wali Khan University Mardan, Mardan, Pakistan; Afsar, P., Department of Computer Science, Abdul Wali Khan University Mardan, Mardan, Pakistan; Khan, H.U., Department of Accounting and Information Systems, College of Business and Economics, Qatar University, Doha, Qatar</t>
  </si>
  <si>
    <t>Raza, M.; Department of Computer Science, Pakistan; email: mushtaq@awkum.edu.pk</t>
  </si>
  <si>
    <t>Employee well-being and digitalwork during the COVID-19 pandemic</t>
  </si>
  <si>
    <t>10.3390/info12080293</t>
  </si>
  <si>
    <t>57221052656;57221053790;</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</si>
  <si>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 © 2021 by the authors.</t>
  </si>
  <si>
    <t>Juchnowicz M., Kinowska H.</t>
  </si>
  <si>
    <t>Information (Switzerland)</t>
  </si>
  <si>
    <t>https://www.scopus.com/inward/record.uri?eid=2-s2.0-85112604763&amp;doi=10.3390%2finfo12080293&amp;partnerID=40&amp;md5=554aaac380ed78295e9d7d14494e528f</t>
  </si>
  <si>
    <t>Department of Innovation and Entrepreneurships, WSB University in Warsaw, Warsaw, 03-504, Poland; Collegium of Business Administration, SGH Warsaw School of Economics, Warsaw, 02-554, Poland</t>
  </si>
  <si>
    <t>Juchnowicz, M., Department of Innovation and Entrepreneurships, WSB University in Warsaw, Warsaw, 03-504, Poland; Kinowska, H., Collegium of Business Administration, SGH Warsaw School of Economics, Warsaw, 02-554, Poland</t>
  </si>
  <si>
    <t>Kinowska, H.; Collegium of Business Administration, Poland; email: hanna.kinowska@sgh.waw.pl</t>
  </si>
  <si>
    <t>Enhancing social media analysis with visual data analytics: A deep learning approach</t>
  </si>
  <si>
    <t>10.25300/MISQ/2020/14435</t>
  </si>
  <si>
    <t>55522666300;57189000277;55836494500;7005286020;22949949400;56431463000;</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</si>
  <si>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 © 2020 University of Minnesota. All rights reserved.</t>
  </si>
  <si>
    <t>Shin D., He S., Lee G.M., Whinston A.B., Cetintas S., Lee K.-C.</t>
  </si>
  <si>
    <t>https://www.scopus.com/inward/record.uri?eid=2-s2.0-85100346954&amp;doi=10.25300%2fMISQ%2f2020%2f14435&amp;partnerID=40&amp;md5=53b75947c3ab438267ca2a75c379219a</t>
  </si>
  <si>
    <t>W. P. Carey School of Business, Arizona State University, Tempe, AZ  85281, United States; School of Business, University of Connecticut, 2100 Hillside Road, Storrs, CT  06269, United States; Sauder School of Business, University of British Columbia, 2053 Main Mall, Vancouver, BC  V6T 1Z2, Canada; McCombs School of Business, University of Texas at Austin, 2110 Speedway, Austin, TX  78705, United States; Advertising Science, Yahoo! Research, 701 First Avenue, Sunnyvale, CA  94089, United States; Marketplace Optimization, Alibaba Group, 400 S. El Camino Real, San Mateo, CA  94402, United States</t>
  </si>
  <si>
    <t>Shin, D., W. P. Carey School of Business, Arizona State University, Tempe, AZ  85281, United States; He, S., School of Business, University of Connecticut, 2100 Hillside Road, Storrs, CT  06269, United States; Lee, G.M., Sauder School of Business, University of British Columbia, 2053 Main Mall, Vancouver, BC  V6T 1Z2, Canada; Whinston, A.B., McCombs School of Business, University of Texas at Austin, 2110 Speedway, Austin, TX  78705, United States; Cetintas, S., Advertising Science, Yahoo! Research, 701 First Avenue, Sunnyvale, CA  94089, United States; Lee, K.-C., Marketplace Optimization, Alibaba Group, 400 S. El Camino Real, San Mateo, CA  94402, United States</t>
  </si>
  <si>
    <t>Entrepreneurship and the gig economy: A bibliometric analysis [Emprendimiento y economía gig: un análisis bibliométrico]</t>
  </si>
  <si>
    <t>10.5295/cdg.211580am</t>
  </si>
  <si>
    <t>57699855800;57191493452;</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</si>
  <si>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 © This article is distributed under the terms of the Creative Commons Atribution 4.0 Internacional License</t>
  </si>
  <si>
    <t>Silva B.C., Moreira A.C.</t>
  </si>
  <si>
    <t>Cuadernos de Gestion</t>
  </si>
  <si>
    <t>https://www.scopus.com/inward/record.uri?eid=2-s2.0-85130347480&amp;doi=10.5295%2fcdg.211580am&amp;partnerID=40&amp;md5=30ffbfac8160626b8c9efb3e13435878</t>
  </si>
  <si>
    <t>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</si>
  <si>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Silva, B.C., Aveiro University, Department of Economics, Management, Industrial Engineering, and Tourism, Portugal; Moreira, A.C., 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</si>
  <si>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Moreira, A.C.; Aveiro University, Portugal; email: amoreira@ua.pt</t>
  </si>
  <si>
    <t>Environmental citizenship behavior and sustainability apps: an empirical investigation</t>
  </si>
  <si>
    <t>10.1108/TG-07-2021-0118</t>
  </si>
  <si>
    <t>57217025886;55544881600;</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</si>
  <si>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 © 2022, Mario D’Arco and Vittoria Marino.</t>
  </si>
  <si>
    <t>D'Arco M., Marino V.</t>
  </si>
  <si>
    <t>Transforming Government: People, Process and Policy</t>
  </si>
  <si>
    <t>https://www.scopus.com/inward/record.uri?eid=2-s2.0-85124373766&amp;doi=10.1108%2fTG-07-2021-0118&amp;partnerID=40&amp;md5=71833e90725900b1f2109e2598282424</t>
  </si>
  <si>
    <t>Department of Business Science, Management and Innovation Systems (DISA-MIS), University of Salerno, SA, Fisciano, Italy; Department of Law, Economics, Management and Quantitative Methods (DEMM), University of Sannio, Benevento, Italy</t>
  </si>
  <si>
    <t>D'Arco, M., Department of Business Science, Management and Innovation Systems (DISA-MIS), University of Salerno, SA, Fisciano, Italy; Marino, V., Department of Law, Economics, Management and Quantitative Methods (DEMM), University of Sannio, Benevento, Italy</t>
  </si>
  <si>
    <t>D'Arco, M.; Department of Business Science, SA, Italy; email: mdarco@unisa.it</t>
  </si>
  <si>
    <t>Episodic Future Thinking about Smoking-Related Illness: A Preliminary Investigation of Effects on Delay Discounting, Cigarette Craving, and Cigarette Demand</t>
  </si>
  <si>
    <t>10.3390/ijerph19127136</t>
  </si>
  <si>
    <t>57705759200;57732227000;49461925400;7102127416;</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</si>
  <si>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 SRT interactions, indicating that these variables operate independently of one another. These methods may be adapted for use in clinical treatment to aid in smoking cessation interventions. © 2022 by the authors. Licensee MDPI, Basel, Switzerland.</t>
  </si>
  <si>
    <t>Ruhi-Williams P., King M.J., Stein J.S., Bickel W.K.</t>
  </si>
  <si>
    <t>https://www.scopus.com/inward/record.uri?eid=2-s2.0-85131547441&amp;doi=10.3390%2fijerph19127136&amp;partnerID=40&amp;md5=62c35bf032946dda8025e0b4781c515b</t>
  </si>
  <si>
    <t>Fralin Biomedical Research Institute, 1 Riverside Circle, Roanoke, VA  24016, United States; Virginia Tech Carilion School of Medicine, 4 Riverside Circle, Roanoke, VA  24016, United States; Irvine Medical Center, University of California, Orange, CA  92697, United States; Graduate Program in Translational Biology, Medicine and Health, Virginia Tech, Blacksburg, VA  24016, United States</t>
  </si>
  <si>
    <t>Ruhi-Williams, P., Fralin Biomedical Research Institute, 1 Riverside Circle, Roanoke, VA  24016, United States, Virginia Tech Carilion School of Medicine, 4 Riverside Circle, Roanoke, VA  24016, United States, Irvine Medical Center, University of California, Orange, CA  92697, United States; King, M.J., Fralin Biomedical Research Institute, 1 Riverside Circle, Roanoke, VA  24016, United States, Graduate Program in Translational Biology, Medicine and Health, Virginia Tech, Blacksburg, VA  24016, United States; Stein, J.S., Fralin Biomedical Research Institute, 1 Riverside Circle, Roanoke, VA  24016, United States; Bickel, W.K., Fralin Biomedical Research Institute, 1 Riverside Circle, Roanoke, VA  24016, United States</t>
  </si>
  <si>
    <t>Stein, J.S.; Fralin Biomedical Research Institute, 1 Riverside Circle, United States; email: jstein1@vtc.vt.edu</t>
  </si>
  <si>
    <t>Evaluating the interpretability of generative models by interactive reconstruction</t>
  </si>
  <si>
    <t>10.1145/3411764.3445296</t>
  </si>
  <si>
    <t>57196121909;57222188634;57222185118;23975987900;34874672900;</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</si>
  <si>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 © 2021 ACM.</t>
  </si>
  <si>
    <t>Ross A.S., Chen N., Hang E.Z., Glassman E.L., Doshi-Velez F.</t>
  </si>
  <si>
    <t>https://www.scopus.com/inward/record.uri?eid=2-s2.0-85106690882&amp;doi=10.1145%2f3411764.3445296&amp;partnerID=40&amp;md5=5618e8d76cdccba80e5a4c1419f752bd</t>
  </si>
  <si>
    <t>Harvard University, Cambridge, MA, United States</t>
  </si>
  <si>
    <t>Ross, A.S., Harvard University, Cambridge, MA, United States; Chen, N., Harvard University, Cambridge, MA, United States; Hang, E.Z., Harvard University, Cambridge, MA, United States; Glassman, E.L., Harvard University, Cambridge, MA, United States; Doshi-Velez, F., Harvard University, Cambridge, MA, United States</t>
  </si>
  <si>
    <t>Evaluation of Dynamic Foraminal Stenosis with Positional MRI in Patients with C6 Radiculopathy-Mimicking Pain: A Prospective Radiologic Cohort Study</t>
  </si>
  <si>
    <t>10.1155/2022/1385387</t>
  </si>
  <si>
    <t>57200965763;56067656800;25923172200;35854494800;57195928837;55890597400;</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</si>
  <si>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(p&lt;0.001). Foraminal area changes between the complaint side and the opposite side was not statistically different (p&gt;0.05).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 © 2022 Ozcan Kaya et al.</t>
  </si>
  <si>
    <t>Kaya O., Sariyilmaz K., Tutpinar Y., Cakmak M.F., Cakir M.S., Ozkunt O.</t>
  </si>
  <si>
    <t>BioMed Research International</t>
  </si>
  <si>
    <t>https://www.scopus.com/inward/record.uri?eid=2-s2.0-85132299975&amp;doi=10.1155%2f2022%2f1385387&amp;partnerID=40&amp;md5=b5b45e774d2a1d75498c1361c898ed56</t>
  </si>
  <si>
    <t>Istanbul Kanuni Sultan Suleyman Training and Research Hospital Orthopedics and Traumatology, stanbul, Turkey; Acibadem Mehmet Ali Aydinlar University School of Medicine Atakent Hospital, Kucukcekmece, Istanbul, Turkey; Bahcesehir LIV Hospital, Department of Radiology Esenyurt, Istanbul, Turkey; Kirsehir Ahi Evran University, Orthopedics and Traumatology, Istanbul, Turkey; Acibadem Maslak Hospital Department of Radiology Sariyer, Istanbul, Turkey; Medicana Health Group Istanbul Bahcelievler Hospital Orthopedics and Traumatology Bahcelievler, Istanbul, Turkey</t>
  </si>
  <si>
    <t>Kaya, O., Istanbul Kanuni Sultan Suleyman Training and Research Hospital Orthopedics and Traumatology, stanbul, Turkey; Sariyilmaz, K., Acibadem Mehmet Ali Aydinlar University School of Medicine Atakent Hospital, Kucukcekmece, Istanbul, Turkey; Tutpinar, Y., Bahcesehir LIV Hospital, Department of Radiology Esenyurt, Istanbul, Turkey; Cakmak, M.F., Kirsehir Ahi Evran University, Orthopedics and Traumatology, Istanbul, Turkey; Cakir, M.S., Acibadem Maslak Hospital Department of Radiology Sariyer, Istanbul, Turkey; Ozkunt, O., Medicana Health Group Istanbul Bahcelievler Hospital Orthopedics and Traumatology Bahcelievler, Istanbul, Turkey</t>
  </si>
  <si>
    <t>Kaya, O.; Istanbul Kanuni Sultan Suleyman Training and Research Hospital Orthopedics and TraumatologyTurkey; email: ozcankaya.md@gmail.com</t>
  </si>
  <si>
    <t>Evaluation of Stigma Toward Individuals with Alopecia</t>
  </si>
  <si>
    <t>10.1001/jamadermatol.2020.5732</t>
  </si>
  <si>
    <t>57215847175;57215847717;57205683409;57206780253;56233697400;57197940506;55914178300;34975751300;</t>
  </si>
  <si>
    <t>Importance: Perceived stigma among patients with alopecia is associated with impaired quality of life; however, the 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 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 myths; the third domain was presented only to respondents who believed that the individual pictured had a medical condition. Main Outcomes and Measures: The main outcome 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 myths, the absolute change on the 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 © 2021 American Medical Association. All rights reserved.</t>
  </si>
  <si>
    <t>Creadore A., Manjaly P., Li S.J., Tkachenko E., Zhou G., Joyce C., Huang K.P., Mostaghimi A.</t>
  </si>
  <si>
    <t>JAMA Dermatology</t>
  </si>
  <si>
    <t>https://www.scopus.com/inward/record.uri?eid=2-s2.0-85102441402&amp;doi=10.1001%2fjamadermatol.2020.5732&amp;partnerID=40&amp;md5=3c0715d055f40391f2ae5264f94fb0db</t>
  </si>
  <si>
    <t>Department of Dermatology, Brigham AndWomen's Hospital, Harvard Medical School, 221 Longwood Ave, Boston, MA  02115, United States; Boston University School of Medicine, Boston, MA, United States; Tufts University, School of Medicine, Boston, MA, United States; Department of Public Health Sciences, Loyola University, Chicago, IL, United States; JAMA Dermatology, United States</t>
  </si>
  <si>
    <t>Creadore, A., Department of Dermatology, Brigham AndWomen's Hospital, Harvard Medical School, 221 Longwood Ave, Boston, MA  02115, United States, Boston University School of Medicine, Boston, MA, United States; Manjaly, P., Department of Dermatology, Brigham AndWomen's Hospital, Harvard Medical School, 221 Longwood Ave, Boston, MA  02115, United States, Boston University School of Medicine, Boston, MA, United States; Li, S.J., Department of Dermatology, Brigham AndWomen's Hospital, Harvard Medical School, 221 Longwood Ave, Boston, MA  02115, United States, Tufts University, School of Medicine, Boston, MA, United States; Tkachenko, E., Department of Dermatology, Brigham AndWomen's Hospital, Harvard Medical School, 221 Longwood Ave, Boston, MA  02115, United States; Zhou, G., Department of Dermatology, Brigham AndWomen's Hospital, Harvard Medical School, 221 Longwood Ave, Boston, MA  02115, United States; Joyce, C., Department of Public Health Sciences, Loyola University, Chicago, IL, United States; Huang, K.P., Department of Dermatology, Brigham AndWomen's Hospital, Harvard Medical School, 221 Longwood Ave, Boston, MA  02115, United States; Mostaghimi, A., Department of Dermatology, Brigham AndWomen's Hospital, Harvard Medical School, 221 Longwood Ave, Boston, MA  02115, United States, JAMA Dermatology, United States</t>
  </si>
  <si>
    <t>Mostaghimi, A.; Department of Dermatology, 221 Longwood Ave, United States; email: amostaghimi@bwh.harvard.edu</t>
  </si>
  <si>
    <t>Evolutionary dynamics of gig economy labor strategies under technology, policy and market influence</t>
  </si>
  <si>
    <t>10.3390/g12020049</t>
  </si>
  <si>
    <t>57222808720;55603989700;</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</si>
  <si>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 © 2021 by the authors.</t>
  </si>
  <si>
    <t>Hu K., Fu F.</t>
  </si>
  <si>
    <t>Games</t>
  </si>
  <si>
    <t>https://www.scopus.com/inward/record.uri?eid=2-s2.0-85109711676&amp;doi=10.3390%2fg12020049&amp;partnerID=40&amp;md5=dc59da0ba7291e37a7e6a3a471cf7bae</t>
  </si>
  <si>
    <t>Department of Mathematics, Dartmouth College, Hanover, NH  03755, United States; Department of Biomedical Data Science, Geisel School of Medicine at Dartmouth, Lebanon, NH  03756, United States</t>
  </si>
  <si>
    <t>Hu, K., Department of Mathematics, Dartmouth College, Hanover, NH  03755, United States; Fu, F., Department of Mathematics, Dartmouth College, Hanover, NH  03755, United States, Department of Biomedical Data Science, Geisel School of Medicine at Dartmouth, Lebanon, NH  03756, United States</t>
  </si>
  <si>
    <t>Fu, F.; Department of Mathematics, United States; email: fufeng@gmail.com</t>
  </si>
  <si>
    <t>Examining eating disorder-related social comparison orientation and body dissatisfaction in the relationship between fit ideal internalization and drunkorexia engagement</t>
  </si>
  <si>
    <t>10.1016/j.eatbeh.2021.101480</t>
  </si>
  <si>
    <t>36761093500;57205508735;</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</si>
  <si>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 © 2021 Elsevier Ltd</t>
  </si>
  <si>
    <t>Hill E.M., Nolan M.T.</t>
  </si>
  <si>
    <t>Eating Behaviors</t>
  </si>
  <si>
    <t>https://www.scopus.com/inward/record.uri?eid=2-s2.0-85101148598&amp;doi=10.1016%2fj.eatbeh.2021.101480&amp;partnerID=40&amp;md5=6fae2498ec66bd803c847036e7fb1e67</t>
  </si>
  <si>
    <t>Department of Psychology, West Chester University, West Chester, PA  19383, United States</t>
  </si>
  <si>
    <t>Hill, E.M., Department of Psychology, West Chester University, West Chester, PA  19383, United States; Nolan, M.T., Department of Psychology, West Chester University, West Chester, PA  19383, United States</t>
  </si>
  <si>
    <t>Hill, E.M.; Department of Psychology, United States; email: ehill@wcupa.edu</t>
  </si>
  <si>
    <t>Examining the factor structure and validity of the Triarchic Model of Psychopathy across measures.</t>
  </si>
  <si>
    <t>10.1037/per0000394</t>
  </si>
  <si>
    <t>56426004000;55547139304;55416190700;</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</si>
  <si>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 (PsycInfo Database Record (c) 2021 APA, all rights reserved) © 2020 American Psychological Association</t>
  </si>
  <si>
    <t>Collison K.L., Miller J.D., Lynam D.R.</t>
  </si>
  <si>
    <t>https://www.scopus.com/inward/record.uri?eid=2-s2.0-85081304737&amp;doi=10.1037%2fper0000394&amp;partnerID=40&amp;md5=eaa0b71b51bf29d2fd36890f92032e94</t>
  </si>
  <si>
    <t>Department of Psychological Sciences, Purdue University, West Lafayette, IN, United States; Department of Psychology, University of Georgia, Athens, GA, United States; Department of Psychological Sciences, Purdue University, West Lafayette, IN, United States</t>
  </si>
  <si>
    <t>Collison, K.L., Department of Psychological Sciences, Purdue University, West Lafayette, IN, United States; Miller, J.D., Department of Psychology, University of Georgia, Athens, GA, United States; Lynam, D.R., Department of Psychological Sciences, Purdue University, West Lafayette, IN, United States</t>
  </si>
  <si>
    <t>Lynam, D.R.; Department of Psychological Sciences, 703 Third Street, United States; email: dlynam@purdue.edu</t>
  </si>
  <si>
    <t>Expendable to essential? Changing perceptions of gig workers on Twitter in the onset of COVID-19</t>
  </si>
  <si>
    <t>10.1080/1369118X.2021.2020323</t>
  </si>
  <si>
    <t>57193414073;57205729683;57404629100;57366352900;57516800200;</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</si>
  <si>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 2021 The Author(s). Published by Informa UK Limited, trading as Taylor &amp; Francis Group.</t>
  </si>
  <si>
    <t>Agrawal S., Schuster A.M., Britt N., Liberman J., Cotten S.R.</t>
  </si>
  <si>
    <t>https://www.scopus.com/inward/record.uri?eid=2-s2.0-85122503364&amp;doi=10.1080%2f1369118X.2021.2020323&amp;partnerID=40&amp;md5=88a525844e51f5649b73e979c66ffc50</t>
  </si>
  <si>
    <t>Department of Sociology, Anthropology and Criminal Justice, Clemson University, Clemson, SC, United States; College of Engineering, Computing and Applied Sciences, Clemson University, Clemson, SC, United States; Department of Communication, Clemson University, Clemson, SC, United States</t>
  </si>
  <si>
    <t>Agrawal, S., Department of Sociology, Anthropology and Criminal Justice, Clemson University, Clemson, SC, United States; Schuster, A.M., Department of Sociology, Anthropology and Criminal Justice, Clemson University, Clemson, SC, United States; Britt, N., College of Engineering, Computing and Applied Sciences, Clemson University, Clemson, SC, United States; Liberman, J., Department of Sociology, Anthropology and Criminal Justice, Clemson University, Clemson, SC, United States; Cotten, S.R., Department of Sociology, Anthropology and Criminal Justice, Clemson University, Clemson, SC, United States, Department of Communication, Clemson University, Clemson, SC, United States</t>
  </si>
  <si>
    <t>Agrawal, S.; Department of Sociology, 132 Brackett Hall, United States; email: agrawa3@clemson.edu</t>
  </si>
  <si>
    <t>Exploring patient perspectives on telemedicine monitoring within the operating room</t>
  </si>
  <si>
    <t>10.1016/j.ijmedinf.2021.104595</t>
  </si>
  <si>
    <t>13204378900;57210425745;57192815229;57327181700;57223951327;56392715800;35332891200;</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</si>
  <si>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&lt;.001). They reported significantly higher comfort levels with clinicians within the same hospital or health system in the United States than those in a different country (z = -10.230, p &lt;.001).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 © 2021 Elsevier B.V.</t>
  </si>
  <si>
    <t>Abraham J., Meng A., Holzer K.J., Brawer L., Casarella A., Avidan M., Politi M.C.</t>
  </si>
  <si>
    <t>International Journal of Medical Informatics</t>
  </si>
  <si>
    <t>https://www.scopus.com/inward/record.uri?eid=2-s2.0-85118751066&amp;doi=10.1016%2fj.ijmedinf.2021.104595&amp;partnerID=40&amp;md5=54f7c2199ab238189b56415dbc2268ce</t>
  </si>
  <si>
    <t>Department of Anesthesiology, Washington University School of Medicine, St Louis, MO, United States; Institute for Informatics, Washington University School of Medicine, St Louis, MO, United States; Wallace H. Coulter Department of Biomedical Engineering, Georgia Institute of Technology and Emory University, Atlanta, GA, United States; Brown School at Washington University in St. Louis, St. Louis, MO, United States; Division of Public Health Sciences, Department of Surgery, Washington University School of Medicine, St Louis, MO, United States</t>
  </si>
  <si>
    <t>Abraham, J., Department of Anesthesiology, Washington University School of Medicine, St Louis, MO, United States, Institute for Informatics, Washington University School of Medicine, St Louis, MO, United States; Meng, A., Department of Anesthesiology, Washington University School of Medicine, St Louis, MO, United States; Holzer, K.J., Department of Anesthesiology, Washington University School of Medicine, St Louis, MO, United States; Brawer, L., Wallace H. Coulter Department of Biomedical Engineering, Georgia Institute of Technology and Emory University, Atlanta, GA, United States; Casarella, A., Brown School at Washington University in St. Louis, St. Louis, MO, United States; Avidan, M., Department of Anesthesiology, Washington University School of Medicine, St Louis, MO, United States; Politi, M.C., Division of Public Health Sciences, Department of Surgery, Washington University School of Medicine, St Louis, MO, United States</t>
  </si>
  <si>
    <t>Abraham, J.660 South Euclid Street, United States; email: joannaa@wustl.edu</t>
  </si>
  <si>
    <t>Exploring the antecedents and consequences of the coffee quality of Starbucks: a case study</t>
  </si>
  <si>
    <t>10.1108/BFJ-04-2021-0442</t>
  </si>
  <si>
    <t>55646486800;57221768405;56105745200;</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</si>
  <si>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 © 2021, Emerald Publishing Limited.</t>
  </si>
  <si>
    <t>Lee W.S., Jung J., Moon J.</t>
  </si>
  <si>
    <t>British Food Journal</t>
  </si>
  <si>
    <t>https://www.scopus.com/inward/record.uri?eid=2-s2.0-85111804985&amp;doi=10.1108%2fBFJ-04-2021-0442&amp;partnerID=40&amp;md5=1ed208877416bd4b14d0b1789046279b</t>
  </si>
  <si>
    <t>Department of Tourism and Recreation, Kyonggi University, Suwon, South Korea; Kyonggi University, Suwon, South Korea; Kangwon National University, Chuncheon, South Korea</t>
  </si>
  <si>
    <t>Lee, W.S., Department of Tourism and Recreation, Kyonggi University, Suwon, South Korea; Jung, J., Kyonggi University, Suwon, South Korea; Moon, J., Kangwon National University, Chuncheon, South Korea</t>
  </si>
  <si>
    <t>Moon, J.; Kangwon National UniversitySouth Korea; email: joonhomoon0412@gmail.com</t>
  </si>
  <si>
    <t>Exploring the moderating role of readers’ perspective in evaluations of online consumer reviews</t>
  </si>
  <si>
    <t>10.3390/jtaer16070184</t>
  </si>
  <si>
    <t>57202289699;55340477800;57220382795;</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</si>
  <si>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 © 2021 by the authors. Licensee MDPI, Basel, Switzerland.</t>
  </si>
  <si>
    <t>Abedin E., Mendoza A., Karunasekera S.</t>
  </si>
  <si>
    <t>Journal of Theoretical and Applied Electronic Commerce Research</t>
  </si>
  <si>
    <t>https://www.scopus.com/inward/record.uri?eid=2-s2.0-85121298576&amp;doi=10.3390%2fjtaer16070184&amp;partnerID=40&amp;md5=047068c8a01e073320fd15b4d18d7258</t>
  </si>
  <si>
    <t>School of Computing and Information Systems, The University of Melbourne, Melbourne, 3010, Australia</t>
  </si>
  <si>
    <t>Abedin, E., School of Computing and Information Systems, The University of Melbourne, Melbourne, 3010, Australia; Mendoza, A., School of Computing and Information Systems, The University of Melbourne, Melbourne, 3010, Australia; Karunasekera, S., School of Computing and Information Systems, The University of Melbourne, Melbourne, 3010, Australia</t>
  </si>
  <si>
    <t>Abedin, E.; School of Computing and Information Systems, Australia; email: eabedin@student.unimelb.edu.au</t>
  </si>
  <si>
    <t>Flexible, Self-Determined… and Unhealthy? An Empirical Study on Somatic Health Among Crowdworkers</t>
  </si>
  <si>
    <t>10.3389/fpsyg.2021.724966</t>
  </si>
  <si>
    <t>57204504714;57193521377;57192983954;7201409088;</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</si>
  <si>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 Copyright © 2021 Schlicher, Schulte, Reimann and Maier.</t>
  </si>
  <si>
    <t>Schlicher K.D., Schulte J., Reimann M., Maier G.W.</t>
  </si>
  <si>
    <t>https://www.scopus.com/inward/record.uri?eid=2-s2.0-85121391871&amp;doi=10.3389%2ffpsyg.2021.724966&amp;partnerID=40&amp;md5=10a5a545086fc17e592d7c6a1737d051</t>
  </si>
  <si>
    <t>Department of Psychology, Work and Organizational Psychology, Bielefeld University, Bielefeld, Germany; Research Institute for Cognition and Robotics (CoR-Lab), Bielefeld University, Bielefeld, Germany; Department of Sociology, Social Structure and Social Inequality, Bielefeld University, Bielefeld, Germany</t>
  </si>
  <si>
    <t>Schlicher, K.D., Department of Psychology, Work and Organizational Psychology, Bielefeld University, Bielefeld, Germany, Research Institute for Cognition and Robotics (CoR-Lab), Bielefeld University, Bielefeld, Germany; Schulte, J., Department of Psychology, Work and Organizational Psychology, Bielefeld University, Bielefeld, Germany, Research Institute for Cognition and Robotics (CoR-Lab), Bielefeld University, Bielefeld, Germany; Reimann, M., Research Institute for Cognition and Robotics (CoR-Lab), Bielefeld University, Bielefeld, Germany, Department of Sociology, Social Structure and Social Inequality, Bielefeld University, Bielefeld, Germany; Maier, G.W., Department of Psychology, Work and Organizational Psychology, Bielefeld University, Bielefeld, Germany, Research Institute for Cognition and Robotics (CoR-Lab), Bielefeld University, Bielefeld, Germany</t>
  </si>
  <si>
    <t>Schlicher, K.D.; Department of Psychology, Germany; email: ao-psychologie@uni-bielefeld.de</t>
  </si>
  <si>
    <t>Gender and precarity in platform work: Old inequalities in the new world of work</t>
  </si>
  <si>
    <t>10.1111/ntwe.12233</t>
  </si>
  <si>
    <t>57209320135;</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</si>
  <si>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 © 2022 The Authors. New Technology, Work and Employment published by Brian Towers (BRITOW) and John Wiley &amp; Sons Ltd.</t>
  </si>
  <si>
    <t>Gerber C.</t>
  </si>
  <si>
    <t>https://www.scopus.com/inward/record.uri?eid=2-s2.0-85126826585&amp;doi=10.1111%2fntwe.12233&amp;partnerID=40&amp;md5=655d10a4450772cc1f293ea6a453eaa4</t>
  </si>
  <si>
    <t>Berlin Social Science Center, Research Group “Globalization, Work and Production”, Berlin, Germany</t>
  </si>
  <si>
    <t>Gerber, C., Berlin Social Science Center, Research Group “Globalization, Work and Production”, Berlin, Germany</t>
  </si>
  <si>
    <t>Gerber, C.; Berlin Social Science Center, Germany; email: christine.gerber@wzb.eu</t>
  </si>
  <si>
    <t>Gig health vs ehealth: Future prospects in saudi arabian health-care system</t>
  </si>
  <si>
    <t>10.2147/JMDH.S304690</t>
  </si>
  <si>
    <t>55978240000;</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</si>
  <si>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 © 2021 Alanzi.</t>
  </si>
  <si>
    <t>Alanzi T.M.</t>
  </si>
  <si>
    <t>https://www.scopus.com/inward/record.uri?eid=2-s2.0-85111652178&amp;doi=10.2147%2fJMDH.S304690&amp;partnerID=40&amp;md5=160e21970d4a4f71407eaea36bc31e09</t>
  </si>
  <si>
    <t>Health Information Management and Technology Department, College of Public Health, Imam Abdulrahman Bin Faisal University, Dammam, Saudi Arabia</t>
  </si>
  <si>
    <t>Alanzi, T.M., Health Information Management and Technology Department, College of Public Health, Imam Abdulrahman Bin Faisal University, Dammam, Saudi Arabia</t>
  </si>
  <si>
    <t>Alanzi, T.M.; Health Information Management and Technology Department, Saudi Arabia; email: talanzi@iau.edu.sa</t>
  </si>
  <si>
    <t>Gig work as a manifestation of short- termism: Crafting a sustainable regulatory agenda</t>
  </si>
  <si>
    <t>10.1093/indlaw/dwab027</t>
  </si>
  <si>
    <t>15078346800;</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</si>
  <si>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 © 2021 The Author(s) 2021.</t>
  </si>
  <si>
    <t>Novitz T.</t>
  </si>
  <si>
    <t>Industrial Law Journal</t>
  </si>
  <si>
    <t>https://www.scopus.com/inward/record.uri?eid=2-s2.0-85121135439&amp;doi=10.1093%2findlaw%2fdwab027&amp;partnerID=40&amp;md5=4dc0017fe2abaee64bf637f5b33cd7e0</t>
  </si>
  <si>
    <t>University of Bristol Law School, Centre for Law at Work, United Kingdom</t>
  </si>
  <si>
    <t>Novitz, T., University of Bristol Law School, Centre for Law at Work, United Kingdom</t>
  </si>
  <si>
    <t>Novitz, T.; University of Bristol Law School, United Kingdom; email: tonia.novitz@bristol.ac.uk</t>
  </si>
  <si>
    <t>L123</t>
  </si>
  <si>
    <t>Green-Agile Maturity Model: An Evaluation Framework for Global Software Development Vendors</t>
  </si>
  <si>
    <t>10.1109/ACCESS.2021.3079194</t>
  </si>
  <si>
    <t>57198357164;57191171688;55507524000;57220532454;</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</si>
  <si>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 © 2013 IEEE.</t>
  </si>
  <si>
    <t>Rashid N., Khan S.U., Khan H.U., Ilyas M.</t>
  </si>
  <si>
    <t>https://www.scopus.com/inward/record.uri?eid=2-s2.0-85105878451&amp;doi=10.1109%2fACCESS.2021.3079194&amp;partnerID=40&amp;md5=e21963aff7dc55ba0ca3662fafc21bf2</t>
  </si>
  <si>
    <t>Department of Computer Science and IT, University of Malakand, Chakdara, Pakistan; Department of Accounting and Information Systems, College of Business and Economics, Qatar University, Doha, Qatar</t>
  </si>
  <si>
    <t>Rashid, N., Department of Computer Science and IT, University of Malakand, Chakdara, Pakistan; Khan, S.U., Department of Computer Science and IT, University of Malakand, Chakdara, Pakistan; Khan, H.U., Department of Accounting and Information Systems, College of Business and Economics, Qatar University, Doha, Qatar; Ilyas, M., Department of Computer Science and IT, University of Malakand, Chakdara, Pakistan</t>
  </si>
  <si>
    <t>Hacking for good: Leveraging HackerOne data to develop an economic model of Bug Bounties</t>
  </si>
  <si>
    <t>10.1093/cybsec/tyab007</t>
  </si>
  <si>
    <t>57556648300;57556456200;</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</si>
  <si>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 - which analyzes a large, proprietary dataset and which leverages instrumental variables to eliminate potential sources of endogeneity - 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 © 2021 The Author(s).</t>
  </si>
  <si>
    <t>Sridhar K., Ng M.</t>
  </si>
  <si>
    <t>Journal of Cybersecurity</t>
  </si>
  <si>
    <t>https://www.scopus.com/inward/record.uri?eid=2-s2.0-85124428231&amp;doi=10.1093%2fcybsec%2ftyab007&amp;partnerID=40&amp;md5=836e44595d5bd9a2de1989f7be335407</t>
  </si>
  <si>
    <t>Stanford University, Operations and Technology Management, University of CambridgeCA  94103, United States; Department of Data Science, HackerOne, San Francisco, CA, United States</t>
  </si>
  <si>
    <t>Sridhar, K., Stanford University, Operations and Technology Management, University of CambridgeCA  94103, United States; Ng, M., Department of Data Science, HackerOne, San Francisco, CA, United States</t>
  </si>
  <si>
    <t>Sridhar, K.; Judge Business School, Trumpington Street, United Kingdom; email: kirsrid@gmail.com</t>
  </si>
  <si>
    <t>Home Cooking Quality Assessment Tool Validation Using Community Science and Crowdsourcing Approaches</t>
  </si>
  <si>
    <t>10.1016/j.jneb.2021.10.002</t>
  </si>
  <si>
    <t>56595513100;8861853000;7102563992;7003972942;</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</si>
  <si>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 © 2021 Society for Nutrition Education and Behavior</t>
  </si>
  <si>
    <t>Raber M., Ranjit N., Strong L.L., Basen-Engquist K.</t>
  </si>
  <si>
    <t>Journal of Nutrition Education and Behavior</t>
  </si>
  <si>
    <t>https://www.scopus.com/inward/record.uri?eid=2-s2.0-85122326005&amp;doi=10.1016%2fj.jneb.2021.10.002&amp;partnerID=40&amp;md5=784978a9b570d0bbd80acf652a8952a7</t>
  </si>
  <si>
    <t>Department of Pediatrics Nutrition, US Department of Agriculture, Agricultural Research Service, Children's Nutrition Research Center, Baylor College of Medicine, Texas Children's Hospital, TX, Houston; Michael and Susan Dell Center for Healthy Living, University of Texas School of Public Health in Austin, TX, Austin; Department of Health Disparities Research, The University of Texas MD Anderson Cancer Center, TX, Houston</t>
  </si>
  <si>
    <t>Raber, M., Department of Pediatrics Nutrition, US Department of Agriculture, Agricultural Research Service, Children's Nutrition Research Center, Baylor College of Medicine, Texas Children's Hospital, TX, Houston; Ranjit, N., Michael and Susan Dell Center for Healthy Living, University of Texas School of Public Health in Austin, TX, Austin; Strong, L.L., Department of Health Disparities Research, The University of Texas MD Anderson Cancer Center, TX, Houston; Basen-Engquist, K., Department of Health Disparities Research, The University of Texas MD Anderson Cancer Center, TX, Houston</t>
  </si>
  <si>
    <t>Raber, M.; Department of Pediatrics Nutrition, TX; email: margaret.raber@bcm.edu</t>
  </si>
  <si>
    <t>Honeycomb: a template for reproducible psychophysio-logical tasks for clinic, laboratory, and home use</t>
  </si>
  <si>
    <t>10.1590/1516-4446-2020-1675</t>
  </si>
  <si>
    <t>57208804056;57217479209;57686378000;57210808740;57222501445;57204447196;57687151700;7402460233;57226569716;7102365894;35799626800;</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</si>
  <si>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simultaneous electrophysiology.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 © 2022, Associacao Brasileira de Psiquiatria. All rights reserved.</t>
  </si>
  <si>
    <t>Provenza N.R., Gelin L.F.F., Mahaphanit W., McGrath M.C., Dastin-Van Rijn E.M., Fan Y., Dhar R., Frank M.J., Restrepo M.I., Goodman W.K., Borton D.A.</t>
  </si>
  <si>
    <t>Brazilian Journal of Psychiatry</t>
  </si>
  <si>
    <t>https://www.scopus.com/inward/record.uri?eid=2-s2.0-85121005673&amp;doi=10.1590%2f1516-4446-2020-1675&amp;partnerID=40&amp;md5=6b5652b0a0abf51455bdba880ecee0b8</t>
  </si>
  <si>
    <t>Brown University School of Engineering, Providence, RI, United States; Charles Stark Draper Laboratory, Cambridge, MA, United States; Center for Computation and Visualization, Brown University, Providence, RI, United States; Department of Cognitive, Linguistic, and Psychological Sciences, Brown University, Providence, RI, United States; Carney Institute for Brain Science, Brown University, Providence, RI, United States; Menninger Department of Psychiatry and Behavioral Sciences, Baylor College of Medicine, Houston, TX, United States; Department of Veterans Affairs, Providence VA Medical Center for Neurorestoration and Neurotechnology, Providence, RI, United States</t>
  </si>
  <si>
    <t>Provenza, N.R., Brown University School of Engineering, Providence, RI, United States, Charles Stark Draper Laboratory, Cambridge, MA, United States; Gelin, L.F.F., Center for Computation and Visualization, Brown University, Providence, RI, United States; Mahaphanit, W., Department of Cognitive, Linguistic, and Psychological Sciences, Brown University, Providence, RI, United States, Carney Institute for Brain Science, Brown University, Providence, RI, United States; McGrath, M.C., Center for Computation and Visualization, Brown University, Providence, RI, United States; Dastin-Van Rijn, E.M., Brown University School of Engineering, Providence, RI, United States; Fan, Y., Brown University School of Engineering, Providence, RI, United States; Dhar, R., Center for Computation and Visualization, Brown University, Providence, RI, United States; Frank, M.J., Department of Cognitive, Linguistic, and Psychological Sciences, Brown University, Providence, RI, United States, Carney Institute for Brain Science, Brown University, Providence, RI, United States; Restrepo, M.I., Center for Computation and Visualization, Brown University, Providence, RI, United States; Goodman, W.K., Menninger Department of Psychiatry and Behavioral Sciences, Baylor College of Medicine, Houston, TX, United States; Borton, D.A., Brown University School of Engineering, Providence, RI, United States, Carney Institute for Brain Science, Brown University, Providence, RI, United States, Department of Veterans Affairs, Providence VA Medical Center for Neurorestoration and Neurotechnology, Providence, RI, United States</t>
  </si>
  <si>
    <t>Borton, D.A.; Brown University School of EngineeringUnited States; email: david_borton@brown.edu</t>
  </si>
  <si>
    <t>How Digital Technologies Modify the Work Characteristics: A Preliminary Study</t>
  </si>
  <si>
    <t>10.1017/SJP.2021.12</t>
  </si>
  <si>
    <t>57221933855;22980920300;24723811600;</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</si>
  <si>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 © Universidad Complutense de Madrid and Colegio Oficial de Psicólogos de Madrid 2021.</t>
  </si>
  <si>
    <t>Fréour L., Pohl S., Battistelli A.</t>
  </si>
  <si>
    <t>Spanish Journal of Psychology</t>
  </si>
  <si>
    <t>https://www.scopus.com/inward/record.uri?eid=2-s2.0-85101334442&amp;doi=10.1017%2fSJP.2021.12&amp;partnerID=40&amp;md5=bccfb13e625a12ed2fe08399c16f482e</t>
  </si>
  <si>
    <t>Université de Bordeaux, LabPsy, EA, Bordeaux, 4139, France; Université Libre de Bruxelles, Belgium</t>
  </si>
  <si>
    <t>Fréour, L., Université de Bordeaux, LabPsy, EA, Bordeaux, 4139, France, Université Libre de Bruxelles, Belgium; Pohl, S., Université Libre de Bruxelles, Belgium; Battistelli, A., Université de Bordeaux, LabPsy, EA, Bordeaux, 4139, France</t>
  </si>
  <si>
    <t>Fréour, L.; Université de Bordeaux, France; email: lea.freour@u-bordeaux.fr</t>
  </si>
  <si>
    <t>How Independent Contractors Respond to Sexual Harassment: The Case of the Modeling Industry</t>
  </si>
  <si>
    <t>10.1007/s10672-021-09374-2</t>
  </si>
  <si>
    <t>7202580025;</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</si>
  <si>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 © 2021, The Author(s), under exclusive licence to Springer Science+Business Media, LLC, part of Springer Nature.</t>
  </si>
  <si>
    <t>Crowley J.E.</t>
  </si>
  <si>
    <t>https://www.scopus.com/inward/record.uri?eid=2-s2.0-85107889878&amp;doi=10.1007%2fs10672-021-09374-2&amp;partnerID=40&amp;md5=52f3a6e8de818c73534d244dffab89a1</t>
  </si>
  <si>
    <t>Edward J. Bloustein School of Planning and Public Policy, Rutgers, The State University of New Jersey, 33 Livingston Avenue, New Brunswick, NJ  08901, United States</t>
  </si>
  <si>
    <t>Crowley, J.E., Edward J. Bloustein School of Planning and Public Policy, Rutgers, The State University of New Jersey, 33 Livingston Avenue, New Brunswick, NJ  08901, United States</t>
  </si>
  <si>
    <t>Crowley, J.E.; Edward J. Bloustein School of Planning and Public Policy, 33 Livingston Avenue, United States; email: jocelync@rutgers.edu</t>
  </si>
  <si>
    <t>How we ask matters: The impact of question wording in single-item measurement of suicidal thoughts and behaviors</t>
  </si>
  <si>
    <t>10.1016/j.ypmed.2021.106472</t>
  </si>
  <si>
    <t>56206447000;55646026000;56862226700;57209280072;</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</si>
  <si>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 Copyright © 2021 Elsevier Inc. All rights reserved.</t>
  </si>
  <si>
    <t>Ammerman B.A., Burke T.A., Jacobucci R., McClure K.</t>
  </si>
  <si>
    <t>Preventive medicine</t>
  </si>
  <si>
    <t>https://www.scopus.com/inward/record.uri?eid=2-s2.0-85116578468&amp;doi=10.1016%2fj.ypmed.2021.106472&amp;partnerID=40&amp;md5=8ca2516d0fb6cf73a19e0fdf615993a4</t>
  </si>
  <si>
    <t>University of Notre Dame, Department of Psychology, IN, Notre Dame, United States; Alpert Medical School of Brown University, Department of Psychiatry and Human Behavior, Providence, RI, USA; University of Notre Dame, Department of Psychology, IN, Notre Dame, United States; University of Notre Dame, Department of Psychology, IN, Notre Dame, United States</t>
  </si>
  <si>
    <t>Ammerman, B.A., University of Notre Dame, Department of Psychology, IN, Notre Dame, United States; Burke, T.A., Alpert Medical School of Brown University, Department of Psychiatry and Human Behavior, Providence, RI, USA; Jacobucci, R., University of Notre Dame, Department of Psychology, IN, Notre Dame, United States; McClure, K., University of Notre Dame, Department of Psychology, IN, Notre Dame, United States</t>
  </si>
  <si>
    <t>I’m angry that I’m not perfect! aggression mediates the relationship between perfectionism and eating pathology in men and women</t>
  </si>
  <si>
    <t>10.1007/s40519-021-01319-w</t>
  </si>
  <si>
    <t>57538141700;57322393000;55468087900;</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</si>
  <si>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 Level of evidence: Level V, cross-sectional study. © 2021, The Author(s), under exclusive licence to Springer Nature Switzerland AG.</t>
  </si>
  <si>
    <t>Martinez K., Guan C., Walker D.C.</t>
  </si>
  <si>
    <t>https://www.scopus.com/inward/record.uri?eid=2-s2.0-85118454421&amp;doi=10.1007%2fs40519-021-01319-w&amp;partnerID=40&amp;md5=9c5b1deee34aa9cbfad4bc48c3686b18</t>
  </si>
  <si>
    <t>Department of Psychology, University at Albany, State University of New York, 1400 Washington Avenue, 399 Social Sciences, Albany, NY  12222, United States; Department of Psychology, Union College, 807 Union Street, Schenectady, NY  12308, United States</t>
  </si>
  <si>
    <t>Martinez, K., Department of Psychology, University at Albany, State University of New York, 1400 Washington Avenue, 399 Social Sciences, Albany, NY  12222, United States; Guan, C., Department of Psychology, Union College, 807 Union Street, Schenectady, NY  12308, United States; Walker, D.C., Department of Psychology, Union College, 807 Union Street, Schenectady, NY  12308, United States</t>
  </si>
  <si>
    <t>Martinez, K.; Department of Psychology, 1400 Washington Avenue, 399 Social Sciences, United States; email: kmartinez@albany.edu</t>
  </si>
  <si>
    <t>Identifying and Recommending Experts Using a Syntactic-Semantic Analysis Approach</t>
  </si>
  <si>
    <t>10.1109/CSCWD49262.2021.9437785</t>
  </si>
  <si>
    <t>57219595044;35191111500;7006111233;18433696900;7401779344;</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</si>
  <si>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 © 2021 IEEE.</t>
  </si>
  <si>
    <t>Lopes T., Stroele V., Braga R., David J.M.N., Bauer M.</t>
  </si>
  <si>
    <t>Proceedings of the 2021 IEEE 24th International Conference on Computer Supported Cooperative Work in Design, CSCWD 2021</t>
  </si>
  <si>
    <t>https://www.scopus.com/inward/record.uri?eid=2-s2.0-85107767512&amp;doi=10.1109%2fCSCWD49262.2021.9437785&amp;partnerID=40&amp;md5=0b713f3df069256697691b90eadc7c18</t>
  </si>
  <si>
    <t>Federal University of Juiz de Fora, Computer Science Postgraduate Program, Juiz de Fora, Brazil; University of Western Ontario, Department of Computer Science, London, Canada</t>
  </si>
  <si>
    <t>Lopes, T., Federal University of Juiz de Fora, Computer Science Postgraduate Program, Juiz de Fora, Brazil; Stroele, V., Federal University of Juiz de Fora, Computer Science Postgraduate Program, Juiz de Fora, Brazil; Braga, R., Federal University of Juiz de Fora, Computer Science Postgraduate Program, Juiz de Fora, Brazil; David, J.M.N., Federal University of Juiz de Fora, Computer Science Postgraduate Program, Juiz de Fora, Brazil; Bauer, M., University of Western Ontario, Department of Computer Science, London, Canada</t>
  </si>
  <si>
    <t>Impact of capacity flexibility on service product line design</t>
  </si>
  <si>
    <t>10.1007/s10479-022-04624-4</t>
  </si>
  <si>
    <t>57218118549;36909840100;57191291331;</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</si>
  <si>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 © 2022, The Author(s), under exclusive licence to Springer Science+Business Media, LLC, part of Springer Nature.</t>
  </si>
  <si>
    <t>Zhang W., Dai Y., Tian L.</t>
  </si>
  <si>
    <t>Annals of Operations Research</t>
  </si>
  <si>
    <t>https://www.scopus.com/inward/record.uri?eid=2-s2.0-85126870343&amp;doi=10.1007%2fs10479-022-04624-4&amp;partnerID=40&amp;md5=66f7cde3c32db2955c0c0ab59937877c</t>
  </si>
  <si>
    <t>Department of Industrial Engineering, Zhejiang University of Technology, Hangzhou, China; School of Management, Fudan University, Shanghai, China</t>
  </si>
  <si>
    <t>Zhang, W., Department of Industrial Engineering, Zhejiang University of Technology, Hangzhou, China; Dai, Y., School of Management, Fudan University, Shanghai, China; Tian, L., School of Management, Fudan University, Shanghai, China</t>
  </si>
  <si>
    <t>Dai, Y.; School of Management, China; email: yuedai@fudan.edu.cn</t>
  </si>
  <si>
    <t>Investigating the role of regulatory focus in apparel attribute prioritization</t>
  </si>
  <si>
    <t>10.1108/JFMM-09-2020-0183</t>
  </si>
  <si>
    <t>36006207900;</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</si>
  <si>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 © 2021, Emerald Publishing Limited.</t>
  </si>
  <si>
    <t>Hyun J.</t>
  </si>
  <si>
    <t>https://www.scopus.com/inward/record.uri?eid=2-s2.0-85112186036&amp;doi=10.1108%2fJFMM-09-2020-0183&amp;partnerID=40&amp;md5=5327d1d26ea5535943eb8b67ee781d3d</t>
  </si>
  <si>
    <t>School of Fashion, Kent State University, Kent, OH, United States</t>
  </si>
  <si>
    <t>Hyun, J., School of Fashion, Kent State University, Kent, OH, United States</t>
  </si>
  <si>
    <t>Hyun, J.; School of Fashion, United States; email: jhyun@kent.edu</t>
  </si>
  <si>
    <t>Is Female Wellness Affected When Men Blame Them for Erectile Dysfunction?</t>
  </si>
  <si>
    <t>10.1016/j.esxm.2021.100352</t>
  </si>
  <si>
    <t>53879679600;57219875801;57219874031;57221413315;57219456640;57222573102;57208087981;56175465200;8574810000;</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</si>
  <si>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Dubin JM, Wyant WA, Balaji NC, et al. Is Female Wellness Affected When Men Blame Them for Erectile Dysfunction?. Sex Med 2021;XX:XXXXXX. © 2021 The Authors</t>
  </si>
  <si>
    <t>Dubin J.M., Wyant W.A., Balaji N.C., Efimenko I.V., Rainer Q.C., Mora B., Paz L., Winter A.G., Ramasamy R.</t>
  </si>
  <si>
    <t>Sexual Medicine</t>
  </si>
  <si>
    <t>https://www.scopus.com/inward/record.uri?eid=2-s2.0-85107047798&amp;doi=10.1016%2fj.esxm.2021.100352&amp;partnerID=40&amp;md5=875a839407ce161e5aeb72cc48a7b7c6</t>
  </si>
  <si>
    <t>Department of Urology, University of Miami, Miami, FL, United States; Department of Urology, Kaiser Permanente, Portland, OR, United States</t>
  </si>
  <si>
    <t>Dubin, J.M., Department of Urology, University of Miami, Miami, FL, United States; Wyant, W.A., Department of Urology, University of Miami, Miami, FL, United States; Balaji, N.C., Department of Urology, University of Miami, Miami, FL, United States; Efimenko, I.V., Department of Urology, University of Miami, Miami, FL, United States; Rainer, Q.C., Department of Urology, University of Miami, Miami, FL, United States; Mora, B., Department of Urology, University of Miami, Miami, FL, United States; Paz, L., Department of Urology, University of Miami, Miami, FL, United States; Winter, A.G., Department of Urology, Kaiser Permanente, Portland, OR, United States; Ramasamy, R., Department of Urology, University of Miami, Miami, FL, United States</t>
  </si>
  <si>
    <t>Dubin, J.M.; Department of Urology, 1120 NW 14th Street Suite 1564, United States; email: jdubin50@gmail.com</t>
  </si>
  <si>
    <t>Is proactive frailty identification a good idea? A qualitative interview study</t>
  </si>
  <si>
    <t>10.3399/BJGP.2020.0178</t>
  </si>
  <si>
    <t>57204558560;54788164800;7006870304;</t>
  </si>
  <si>
    <t>Background In England, GPs are independent contractors working to a national contract. Since 2017, the contract requires GPs to use electronic tools to proactively identify moderate and severe frailty in people aged ≥65 years, and offer interventions to help those identified to stay well and maintain independent living. Little is currently known about GPs' views of this contractual requirement. Aim To explore GPs' views of identifying frailty and offering interventions for those living with moderate or severe frailty. Design and setting A sequential mixed-methods study of GPs in the East Midlands region of England - namely Derbyshire, Leicestershire, Lincolnshire, Nottinghamshire, and Northamptonshire -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 (6.1%)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 © 2021 Royal College of General Practitioners. All rights reserved.</t>
  </si>
  <si>
    <t>Mulla E., Orton E., Kendrick D.</t>
  </si>
  <si>
    <t>British Journal of General Practice</t>
  </si>
  <si>
    <t>https://www.scopus.com/inward/record.uri?eid=2-s2.0-85111963081&amp;doi=10.3399%2fBJGP.2020.0178&amp;partnerID=40&amp;md5=bc8413708b43833393f4c59721ab3904</t>
  </si>
  <si>
    <t>Division of Primary Care, University of Nottingham, Nottingham, United Kingdom</t>
  </si>
  <si>
    <t>Mulla, E., Division of Primary Care, University of Nottingham, Nottingham, United Kingdom; Orton, E., Division of Primary Care, University of Nottingham, Nottingham, United Kingdom; Kendrick, D., Division of Primary Care, University of Nottingham, Nottingham, United Kingdom</t>
  </si>
  <si>
    <t>Kendrick, D.; Division of Primary Care, United Kingdom; email: denise.kendrick@nottingham.ac.uk</t>
  </si>
  <si>
    <t>It’s just a breast: an examination of the effects of sexualization, sexism, and breastfeeding familiarity on evaluations of public breastfeeding</t>
  </si>
  <si>
    <t>10.1186/s12884-022-04436-1</t>
  </si>
  <si>
    <t>56382479700;23135056600;</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</si>
  <si>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 gender or level of sexist attitudes. Conclusions: In general, people’s evaluations of breastfeeding appear to be favorable to the degree that the location of the breastfeeding is not particularly relevant to those evaluations. © 2022, The Author(s).</t>
  </si>
  <si>
    <t>Zaikman Y., Houlihan A.E.</t>
  </si>
  <si>
    <t>BMC Pregnancy and Childbirth</t>
  </si>
  <si>
    <t>https://www.scopus.com/inward/record.uri?eid=2-s2.0-85124588538&amp;doi=10.1186%2fs12884-022-04436-1&amp;partnerID=40&amp;md5=a423e72b08fcf4b49d5d4173b758aff4</t>
  </si>
  <si>
    <t>Department of Psychology and Sociology, Texas A&amp;M University-Corpus Christi, 6300 Ocean Drive, Corpus Christi, TX  78412, United States</t>
  </si>
  <si>
    <t>Zaikman, Y., Department of Psychology and Sociology, Texas A&amp;M University-Corpus Christi, 6300 Ocean Drive, Corpus Christi, TX  78412, United States; Houlihan, A.E., Department of Psychology and Sociology, Texas A&amp;M University-Corpus Christi, 6300 Ocean Drive, Corpus Christi, TX  78412, United States</t>
  </si>
  <si>
    <t>Zaikman, Y.; Department of Psychology and Sociology, 6300 Ocean Drive, United States; email: yuliana.zaikman@tamucc.edu</t>
  </si>
  <si>
    <t>Lay Comprehension of Statistical Evidence: A Novel Measurement Approach</t>
  </si>
  <si>
    <t>10.1037/lhb0000457</t>
  </si>
  <si>
    <t>57195562501;24437449400;6507432217;</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</si>
  <si>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male, 72% Caucasian) used a mixed design to examine the effect of statistical statement format (random match probability, likelihood ratio, or verbal label) on CASOC performance. Hypotheses: Study 1 was exploratory and did not have formal hypotheses. In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2:.78%) and sensitivity to evidence strength (Study 1: 69%; Study 2:.67%).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 © 2021 American Psychological Association</t>
  </si>
  <si>
    <t>Bali A.S., Martire K.A., Edmond G.</t>
  </si>
  <si>
    <t>https://www.scopus.com/inward/record.uri?eid=2-s2.0-85119183421&amp;doi=10.1037%2flhb0000457&amp;partnerID=40&amp;md5=7710d68c901a513a9890ef66a1306b26</t>
  </si>
  <si>
    <t>School of Psychology, UNSW Sydney, Australia; Faculty of Law, UNSW Sydney, Australia</t>
  </si>
  <si>
    <t>Bali, A.S., School of Psychology, UNSW Sydney, Australia; Martire, K.A., School of Psychology, UNSW Sydney, Australia; Edmond, G., Faculty of Law, UNSW Sydney, Australia</t>
  </si>
  <si>
    <t>Bali, A.S.; School of Psychology, Australia; email: agnes.bali@unsw.edu.au</t>
  </si>
  <si>
    <t>Learning to be selfish? A large-scale longitudinal analysis of Dictator games played on Amazon Mechanical Turk</t>
  </si>
  <si>
    <t>10.1016/j.joep.2022.102490</t>
  </si>
  <si>
    <t>57193423813;23095594600;</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</si>
  <si>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 © 2022</t>
  </si>
  <si>
    <t>Arechar A.A., Rand D.G.</t>
  </si>
  <si>
    <t>Journal of Economic Psychology</t>
  </si>
  <si>
    <t>https://www.scopus.com/inward/record.uri?eid=2-s2.0-85124550966&amp;doi=10.1016%2fj.joep.2022.102490&amp;partnerID=40&amp;md5=efc60362d23c0e9535e81ce4ad2a0036</t>
  </si>
  <si>
    <t>Center for Research and Teaching in Economics, CIDE, Aguascalientes, Mexico; Centre for Decision Research and Experimental Economics, CeDEx, University of Nottingham, United Kingdom; Sloan School of Management, Massachusetts Institute of Technology, United States; Department of Brain and Cognitive Sciences, Massachusetts Institute of Technology, United States</t>
  </si>
  <si>
    <t>Arechar, A.A., Center for Research and Teaching in Economics, CIDE, Aguascalientes, Mexico, Centre for Decision Research and Experimental Economics, CeDEx, University of Nottingham, United Kingdom, Sloan School of Management, Massachusetts Institute of Technology, United States; Rand, D.G., Sloan School of Management, Massachusetts Institute of Technology, United States, Department of Brain and Cognitive Sciences, Massachusetts Institute of Technology, United States</t>
  </si>
  <si>
    <t>Arechar, A.A.; Center for Research and Teaching in Economics, Mexico; email: antonio@arechar.com</t>
  </si>
  <si>
    <t>LEGOEval: An open-source toolkit for dialogue system evaluation via crowdsourcing</t>
  </si>
  <si>
    <t>57219751720;57216695482;57224535888;57207856321;57205750897;</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</si>
  <si>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 © 2021 Association for Computational Linguistics</t>
  </si>
  <si>
    <t>Li Y., Arnold J., Yan F., Shi W., Yu Z.</t>
  </si>
  <si>
    <t>ACL-IJCNLP 2021 - 59th Annual Meeting of the Association for Computational Linguistics and the 11th International Joint Conference on Natural Language Processing, Proceedings of the System Demonstrations</t>
  </si>
  <si>
    <t>https://www.scopus.com/inward/record.uri?eid=2-s2.0-85118939353&amp;partnerID=40&amp;md5=75143bb8e340a4f25e27b3d0b7a7ef44</t>
  </si>
  <si>
    <t>Department of Computer Science, University of California, Davis, United States; Department of Computer Science, Columbia University, United States</t>
  </si>
  <si>
    <t>Li, Y., Department of Computer Science, University of California, Davis, United States; Arnold, J., Department of Computer Science, University of California, Davis, United States; Yan, F., Department of Computer Science, Columbia University, United States; Shi, W., Department of Computer Science, Columbia University, United States; Yu, Z., Department of Computer Science, Columbia University, United States</t>
  </si>
  <si>
    <t>Loss aversion and risk for cigarette smoking and other substance use</t>
  </si>
  <si>
    <t>10.1016/j.drugalcdep.2022.109307</t>
  </si>
  <si>
    <t>26032705700;55330289000;7203087564;</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</si>
  <si>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&amp;gt; 10 cigarettes per day) and never-smokers (n = 237; &amp;lt;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η2 = 0.02, p &amp;lt; .0001) even after accounting for delay discounting (F(1, 410) = 20.53, η2 = 0.02, p &amp;lt; .0001). Loss aversion was also a significant independent risk factor for alcohol (F(1, 410) = 21.47, η2 = 0.02, p &amp;lt; .0001) and other drug use (F(1, 410) = 54.12, η2 = 0.04, p &amp;lt; .0001),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 © 2022</t>
  </si>
  <si>
    <t>Thrailkill E.A., DeSarno M., Higgins S.T.</t>
  </si>
  <si>
    <t>https://www.scopus.com/inward/record.uri?eid=2-s2.0-85123576864&amp;doi=10.1016%2fj.drugalcdep.2022.109307&amp;partnerID=40&amp;md5=4f0e7fbe1897e0a5a932a8274b51f455</t>
  </si>
  <si>
    <t>Vermont Center on Behavior and Health, University of Vermont, Burlington, VT, United States; Department of Psychological Science, University of Vermont, Burlington, VT, United States; Department of Psychiatry, University of Vermont, Burlington, VT, United States; Department of Biomedical Statistics, University of Vermont, Burlington, VT, United States</t>
  </si>
  <si>
    <t>Thrailkill, E.A., Vermont Center on Behavior and Health, University of Vermont, Burlington, VT, United States, Department of Psychological Science, University of Vermont, Burlington, VT, United States, Department of Psychiatry, University of Vermont, Burlington, VT, United States; DeSarno, M., Vermont Center on Behavior and Health, University of Vermont, Burlington, VT, United States, Department of Biomedical Statistics, University of Vermont, Burlington, VT, United States; Higgins, S.T., Vermont Center on Behavior and Health, University of Vermont, Burlington, VT, United States, Department of Psychological Science, University of Vermont, Burlington, VT, United States, Department of Psychiatry, University of Vermont, Burlington, VT, United States</t>
  </si>
  <si>
    <t>Thrailkill, E.A.; Departments of Psychological Science and Psychiatry, 2 Colchester Avenue, United States; email: eric.thrailkill@uvm.edu</t>
  </si>
  <si>
    <t>Managing open innovation through digital boundary control: The case of multi-sided platforms in the collaborative economy</t>
  </si>
  <si>
    <t>10.3917/jie.032.0159</t>
  </si>
  <si>
    <t>37088572000;55651206800;</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</si>
  <si>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 © De Boeck Supérieur.</t>
  </si>
  <si>
    <t>Gandia R., Parmentier G.</t>
  </si>
  <si>
    <t>Journal of Innovation Economics and Management</t>
  </si>
  <si>
    <t>https://www.scopus.com/inward/record.uri?eid=2-s2.0-85105188678&amp;doi=10.3917%2fjie.032.0159&amp;partnerID=40&amp;md5=7d796236ac9e2c384e959791f8c6caf3</t>
  </si>
  <si>
    <t>Université Savoie Mont Blanc, Laboratoire IREGE, France; Université Grenoble Alpes, Laboratoire CERAG, France</t>
  </si>
  <si>
    <t>Gandia, R., Université Savoie Mont Blanc, Laboratoire IREGE, France; Parmentier, G., Université Grenoble Alpes, Laboratoire CERAG, France</t>
  </si>
  <si>
    <t>Many Labs 5: Registered Multisite Replication of the Tempting-Fate Effects in Risen and Gilovich (2008)</t>
  </si>
  <si>
    <t>10.1177/2515245918785165</t>
  </si>
  <si>
    <t>56370881100;57210220401;36482485300;56272341800;57223971946;56389603700;57223989229;57223980289;57223974523;55123265000;57223980513;57223961660;57223977958;57221101702;57201650242;57223980311;24476452000;57203802723;57223964433;7404567500;36761348200;57223964434;57198892105;57223981523;57222188466;57223962281;57223986096;57200760237;57223966050;57205310511;15825820900;55139021600;56674692500;57202891261;55883576400;6505477789;57163104400;8363570600;57223989162;57200760899;16432698900;</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</si>
  <si>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 © The Author(s) 2020.</t>
  </si>
  <si>
    <t>Mathur M.B., Bart-Plange D.-J., Aczel B., Bernstein M.H., Ciunci A.M., Ebersole C.R., Falcão F., Ashbaugh K., Hilliard R.A., Jern A., Kellier D.J., Kessinger G., Kolb V.S., Kovacs M., Lage C.A., Langford E.V., Lins S., Manfredi D., Meyet V., Moore D.A., Nave G., Nunnally C., Palinkas A., Parks K.P., Pessers S., Ramos T., Rudy K.H., Salamon J., Shubella R.L., Silva R., Steegen S., Stein L.A.R., Szaszi B., Szecsi P., Tuerlinckx F., Vanpaemel W., Vlachou M., Wiggins B.J., Zealley D., Zrubka M., Frank M.C.</t>
  </si>
  <si>
    <t>Advances in Methods and Practices in Psychological Science</t>
  </si>
  <si>
    <t>https://www.scopus.com/inward/record.uri?eid=2-s2.0-85106644078&amp;doi=10.1177%2f2515245918785165&amp;partnerID=40&amp;md5=d4bed96dc07c51e0e48211092b4417db</t>
  </si>
  <si>
    <t>Quantitative Sciences Unit, Stanford University, United States; Department of Psychology, University of Virginia, United States; Institute of Psychology, ELTE Eötvös Loránd University, Hungary; Department of Behavioral and Social Sciences, School of Public Health, Brown University, United States; Department of Psychology, University of Rhode Island, United States; Department of Psychology, University of Porto, Portugal; Department of Biology and Biomedical Engineering, Rose-Hulman Institute of Technology, United States; Department of Humanities, Social Sciences, and the Arts, Rose-Hulman Institute of Technology, United States; Perelman School of Medicine, University of Pennsylvania, United States; Department of Psychology, Brigham Young University–Idaho, United States; Department of Psychology, Pontifical Catholic University of Rio de Janeiro, Brazil; Marketing Department, The Wharton School of the University of Pennsylvania, United States; Haas School of Business, University of California at Berkeley, United States; Department of Computer Science and Software Engineering, Rose-Hulman Institute of Technology, United States; Psychology and Educational Sciences, University of Leuven, Belgium; Doctoral School of Psychology, ELTE Eötvös Loránd University, Hungary; Rhode Island Training School, Rhode Island Department of Children, Youth and Families, United States; Department of Psychology, University of Amsterdam, Netherlands; Department of Psychology, Stanford University, United States</t>
  </si>
  <si>
    <t>Mathur, M.B., Quantitative Sciences Unit, Stanford University, United States; Bart-Plange, D.-J., Department of Psychology, University of Virginia, United States; Aczel, B., Institute of Psychology, ELTE Eötvös Loránd University, Hungary; Bernstein, M.H., Department of Behavioral and Social Sciences, School of Public Health, Brown University, United States, Department of Psychology, University of Rhode Island, United States; Ciunci, A.M., Department of Psychology, University of Rhode Island, United States; Ebersole, C.R., Department of Psychology, University of Virginia, United States; Falcão, F., Department of Psychology, University of Porto, Portugal; Ashbaugh, K., Department of Biology and Biomedical Engineering, Rose-Hulman Institute of Technology, United States; Hilliard, R.A., Department of Humanities, Social Sciences, and the Arts, Rose-Hulman Institute of Technology, United States; Jern, A., Department of Humanities, Social Sciences, and the Arts, Rose-Hulman Institute of Technology, United States; Kellier, D.J., Perelman School of Medicine, University of Pennsylvania, United States; Kessinger, G., Department of Psychology, Brigham Young University–Idaho, United States; Kolb, V.S., Department of Psychology, University of Rhode Island, United States; Kovacs, M., Institute of Psychology, ELTE Eötvös Loránd University, Hungary; Lage, C.A., Department of Psychology, Pontifical Catholic University of Rio de Janeiro, Brazil; Langford, E.V., Department of Psychology, University of Virginia, United States; Lins, S., Department of Psychology, University of Porto, Portugal; Manfredi, D., Marketing Department, The Wharton School of the University of Pennsylvania, United States; Meyet, V., Department of Psychology, Brigham Young University–Idaho, United States; Moore, D.A., Haas School of Business, University of California at Berkeley, United States; Nave, G., Marketing Department, The Wharton School of the University of Pennsylvania, United States; Nunnally, C., Department of Computer Science and Software Engineering, Rose-Hulman Institute of Technology, United States; Palinkas, A., Institute of Psychology, ELTE Eötvös Loránd University, Hungary; Parks, K.P., Department of Psychology, University of Virginia, United States; Pessers, S., Psychology and Educational Sciences, University of Leuven, Belgium; Ramos, T., Department of Psychology, University of Porto, Portugal; Rudy, K.H., Department of Psychology, Brigham Young University–Idaho, United States; Salamon, J., Institute of Psychology, ELTE Eötvös Loránd University, Hungary, Doctoral School of Psychology, ELTE Eötvös Loránd University, Hungary; Shubella, R.L., Department of Humanities, Social Sciences, and the Arts, Rose-Hulman Institute of Technology, United States; Silva, R., Department of Psychology, University of Porto, Portugal; Steegen, S., Psychology and Educational Sciences, University of Leuven, Belgium; Stein, L.A.R., Department of Behavioral and Social Sciences, School of Public Health, Brown University, United States, Department of Psychology, University of Rhode Island, United States, Rhode Island Training School, Rhode Island Department of Children, Youth and Families, United States; Szaszi, B., Institute of Psychology, ELTE Eötvös Loránd University, Hungary; Szecsi, P., Institute of Psychology, ELTE Eötvös Loránd University, Hungary; Tuerlinckx, F., Psychology and Educational Sciences, University of Leuven, Belgium; Vanpaemel, W., Psychology and Educational Sciences, University of Leuven, Belgium; Vlachou, M., Psychology and Educational Sciences, University of Leuven, Belgium; Wiggins, B.J., Department of Psychology, Brigham Young University–Idaho, United States; Zealley, D., Department of Psychology, Brigham Young University–Idaho, United States; Zrubka, M., Department of Psychology, University of Amsterdam, Netherlands; Frank, M.C., Department of Psychology, Stanford University, United States</t>
  </si>
  <si>
    <t>Mathur, M.B.; Quantitative Sciences Unit, United States; email: mmathur@stanford.edu</t>
  </si>
  <si>
    <t>Mask-wearing intentions on airplanes during COVID-19 – Application of theory of planned behavior model</t>
  </si>
  <si>
    <t>10.1016/j.tranpol.2022.01.023</t>
  </si>
  <si>
    <t>57201364060;55582909100;</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</si>
  <si>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significantly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findings of this study fill the research gap of air travelers’ intentions to wear a mask when flying during a global pandemic and provide recommendations for mask-wearing policies to help the air transport industry recover from COVID-19. © 2022 Elsevier Ltd</t>
  </si>
  <si>
    <t>Pan J.Y., Liu D.</t>
  </si>
  <si>
    <t>Transport Policy</t>
  </si>
  <si>
    <t>https://www.scopus.com/inward/record.uri?eid=2-s2.0-85125123862&amp;doi=10.1016%2fj.tranpol.2022.01.023&amp;partnerID=40&amp;md5=e1aec2ebe3b00100da4c98b783c2e2a1</t>
  </si>
  <si>
    <t>Embry-Riddle Aeronautical University, Daytona Beach, FL, United States</t>
  </si>
  <si>
    <t>Pan, J.Y., Embry-Riddle Aeronautical University, Daytona Beach, FL, United States; Liu, D., Embry-Riddle Aeronautical University, Daytona Beach, FL, United States</t>
  </si>
  <si>
    <t>Pan, J.Y.; College of Aviation, 1 Aerospace Boulevard, United States; email: panj@erau.edu</t>
  </si>
  <si>
    <t>Measuring weight- and shape-based social identity threat vulnerability in young adults</t>
  </si>
  <si>
    <t>10.1016/j.bodyim.2022.06.003</t>
  </si>
  <si>
    <t>48660977000;57741845500;24176106500;</t>
  </si>
  <si>
    <t>This study assessed the factor structure of a novel self-report measure of weight- 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&amp;amp; Shape Identification (Influence and Centrality), Weight &amp;amp;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&amp;amp; Shape Identification-Influence (p = 0.02) and lower Stigma Consciousness (p = 0.01), relative to those perceiving themselves as higher weight status. Participants perceiving themselves as higher weight status endorsed lower Physical Activity Identification (p &amp;lt; 0.001) and more negative affect across all domains (p's &amp;lt; 0.02). This suggests that weight misperceivers may be less susceptible to weight-based identity threat. © 2022</t>
  </si>
  <si>
    <t>Decker K.M., Philip S.R., Thurston I.B.</t>
  </si>
  <si>
    <t>https://www.scopus.com/inward/record.uri?eid=2-s2.0-85131965802&amp;doi=10.1016%2fj.bodyim.2022.06.003&amp;partnerID=40&amp;md5=de8109e909414bfb658202cd45d22669</t>
  </si>
  <si>
    <t>Behavioral Medicine and Clinical Psychology, Cincinnati Children's Hospital Medical Center, Cincinnati, OH, United States;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</si>
  <si>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Cincinnati Children's Hospital Medical Center, Cincinnati, OH, United States; Philip, S.R., Department of Psychological and Brain Sciences, Texas A&amp;M University, College Station, TX, United States; Thurston, I.B.,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</si>
  <si>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United States; email: Kristina.Decker@cchmc.org</t>
  </si>
  <si>
    <t>Memories of adult survivors of childhood cancer: Diagnosis, coping, and long-term influence of cancer</t>
  </si>
  <si>
    <t>10.1080/07347332.2022.2032530</t>
  </si>
  <si>
    <t>57446215200;55856332100;36098922600;57193901687;</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</si>
  <si>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 © 2022 Taylor &amp; Francis Group, LLC.</t>
  </si>
  <si>
    <t>Hinton T., Burns-Nader S., Casper D., Burton W.</t>
  </si>
  <si>
    <t>Journal of Psychosocial Oncology</t>
  </si>
  <si>
    <t>https://www.scopus.com/inward/record.uri?eid=2-s2.0-85124288101&amp;doi=10.1080%2f07347332.2022.2032530&amp;partnerID=40&amp;md5=f33c64c43629c459341dd9a7988319d4</t>
  </si>
  <si>
    <t>Department of Human Development and Family Studies, The University of Alabama, Tuscaloosa, AL, United States; Department of Health Science, The University of Alabama, Tuscaloosa, AL, United States</t>
  </si>
  <si>
    <t>Hinton, T., Department of Human Development and Family Studies, The University of Alabama, Tuscaloosa, AL, United States; Burns-Nader, S., Department of Human Development and Family Studies, The University of Alabama, Tuscaloosa, AL, United States; Casper, D., Department of Human Development and Family Studies, The University of Alabama, Tuscaloosa, AL, United States; Burton, W., Department of Health Science, The University of Alabama, Tuscaloosa, AL, United States</t>
  </si>
  <si>
    <t>Hinton, T.; St. Jude Children’s Research Hospital, 262 Danny Thomas Place, MS 121, United States; email: Tori.Hinton@stjude.org</t>
  </si>
  <si>
    <t>L124</t>
  </si>
  <si>
    <t>Model to Cope with Requirements Engineering Issues for Software Development Outsourcing</t>
  </si>
  <si>
    <t>10.1109/ACCESS.2022.3182393</t>
  </si>
  <si>
    <t>57221707676;24829264100;36608187100;24503247600;56287591400;</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</si>
  <si>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 © 2022 IEEE.</t>
  </si>
  <si>
    <t>Iqbal J., Ahmad R.B., Khan M., Nizam M.H., Akhunzada A.</t>
  </si>
  <si>
    <t>https://www.scopus.com/inward/record.uri?eid=2-s2.0-85132712909&amp;doi=10.1109%2fACCESS.2022.3182393&amp;partnerID=40&amp;md5=cac1c63c442c18567e64ff742f40327f</t>
  </si>
  <si>
    <t>Department of Computer Science, COMSATS University Islamabad, Islamabad, 44000, Pakistan; Faculty of Computer Science and Information Technology, University of Malaya, Kuala Lumpur, 50603, Malaysia; Department of Software Engineering, National University of Modern Languages, Islamabad, 44000, Pakistan; Faculty of Computing and Informatics, University Malaysia Sabah, Kota Kinabalu, 88400, Malaysia</t>
  </si>
  <si>
    <t>Iqbal, J., Department of Computer Science, COMSATS University Islamabad, Islamabad, 44000, Pakistan; Ahmad, R.B., Faculty of Computer Science and Information Technology, University of Malaya, Kuala Lumpur, 50603, Malaysia; Khan, M., Department of Software Engineering, National University of Modern Languages, Islamabad, 44000, Pakistan; Nizam, M.H., Faculty of Computer Science and Information Technology, University of Malaya, Kuala Lumpur, 50603, Malaysia; Akhunzada, A., Faculty of Computing and Informatics, University Malaysia Sabah, Kota Kinabalu, 88400, Malaysia</t>
  </si>
  <si>
    <t>Iqbal, J.; Department of Computer Science, Pakistan; email: javediqbal@comsats.edu.pk</t>
  </si>
  <si>
    <t>Moderating effects of sleep difficulties on relations between posttraumatic stress disorder symptoms and positive memory count</t>
  </si>
  <si>
    <t>10.1002/jclp.23142</t>
  </si>
  <si>
    <t>54392860100;56449197300;43762132500;57191748509;57203843125;55233905300;</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</si>
  <si>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</si>
  <si>
    <t>Contractor A.A., Slavish D.C., Weiss N.H., Alghraibeh A.M., Alafnan A.A., Taylor D.J.</t>
  </si>
  <si>
    <t>https://www.scopus.com/inward/record.uri?eid=2-s2.0-85104410166&amp;doi=10.1002%2fjclp.23142&amp;partnerID=40&amp;md5=fa941d8b98715d4999bd5e83f0c68a6a</t>
  </si>
  <si>
    <t>Department of Psychology, University of North Texas, Denton, TX, United States; Department of Psychology, University of Rhode Island, Kingston, RI, United States; Department of Psychology, College of Education, King Saud University, Riyadh, Saudi Arabia; Department of Psychology, University of Arizona, Tucson, AZ, United States</t>
  </si>
  <si>
    <t>Contractor, A.A., Department of Psychology, University of North Texas, Denton, TX, United States; Slavish, D.C., Department of Psychology, University of North Texas, Denton, TX, United States; Weiss, N.H., Department of Psychology, University of Rhode Island, Kingston, RI, United States; Alghraibeh, A.M., Department of Psychology, College of Education, King Saud University, Riyadh, Saudi Arabia; Alafnan, A.A., Department of Psychology, College of Education, King Saud University, Riyadh, Saudi Arabia; Taylor, D.J., Department of Psychology, University of Arizona, Tucson, AZ, United States</t>
  </si>
  <si>
    <t>Contractor, A.A.; Department of Psychology, United States; email: ateka.c@gmail.com</t>
  </si>
  <si>
    <t>Multicriteria decision making taxonomy of cloud-based global software development motivators</t>
  </si>
  <si>
    <t>57200183503;57193675119;26434399300;8644998900;37023283600;55332296700;57217657646;</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</si>
  <si>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 © 2020 Institute of Electrical and Electronics Engineers Inc.. All rights reserved.</t>
  </si>
  <si>
    <t>Akbar M.A., Alsalman H., M.sc.,b.sc., Khan A.A., Mahmood S., Meshram C., Gumaei A., Riaz M.T.</t>
  </si>
  <si>
    <t>https://www.scopus.com/inward/record.uri?eid=2-s2.0-85102837345&amp;doi=10.1109%2fACCESS.2020.3030124&amp;partnerID=40&amp;md5=acb035a8b6a901f387ce61f9704ed157</t>
  </si>
  <si>
    <t>College of Computer Science and Technology, Nanjing University of Aeronautics and Astronautics, Nanjing, China;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Information and Computer Science Department, King Fahd University of Petroleum and Minerals, Dhahran, Saudi Arabia; Department of Post Graduate Studies and Research in Mathematics, JayawantiHaksar Government Post Graduation College, College of Chhindwara University, Betul, 460001, India; Department of Mechatronics and Control Engineering, University of Engineering and Technology Lahore, Faisalabad Campus, Punjab, Pakistan</t>
  </si>
  <si>
    <t>Akbar, M.A., College of Computer Science and Technology, Nanjing University of Aeronautics and Astronautics, Nanjing, China; Alsalman, H., M.sc.,b.sc.,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Khan, A.A., College of Computer Science and Technology, Nanjing University of Aeronautics and Astronautics, Nanjing, China; Mahmood, S., Information and Computer Science Department, King Fahd University of Petroleum and Minerals, Dhahran, Saudi Arabia; Meshram, C., Department of Post Graduate Studies and Research in Mathematics, JayawantiHaksar Government Post Graduation College, College of Chhindwara University, Betul, 460001, India; Gumaei, A., Research Chair of Pervasive and Mobile Computing, Department of Information Systems, College of Computer and Information Sciences, King Saud University, Riyadh, 11543, Saudi Arabia; Riaz, M.T., Department of Mechatronics and Control Engineering, University of Engineering and Technology Lahore, Faisalabad Campus, Punjab, Pakistan</t>
  </si>
  <si>
    <t>Akbar, M.A.; College of Computer Science and Technology, China; email: azeem.akbar@ymail.com</t>
  </si>
  <si>
    <t>Negative messages from parents and sisters and Latina college students’ body image shame</t>
  </si>
  <si>
    <t>10.1016/j.bodyim.2022.05.011</t>
  </si>
  <si>
    <t>57226531058;14021533300;57188825727;8083015600;</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</si>
  <si>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 2022 Elsevier Ltd</t>
  </si>
  <si>
    <t>Rivero A., Killoren S.E., Kline G., Campione-Barr N.</t>
  </si>
  <si>
    <t>https://www.scopus.com/inward/record.uri?eid=2-s2.0-85131915335&amp;doi=10.1016%2fj.bodyim.2022.05.011&amp;partnerID=40&amp;md5=5a13bae165c773921d9e3e658fc69ad0</t>
  </si>
  <si>
    <t>Department of Human Development and Family Science, University of Missouri, United States; Department of Counseling and Learning Services, West Virginia University, United States; Department of Psychological Sciences, University of Missouri, United States</t>
  </si>
  <si>
    <t>Rivero, A., Department of Human Development and Family Science, University of Missouri, United States; Killoren, S.E., Department of Human Development and Family Science, University of Missouri, United States; Kline, G., Department of Counseling and Learning Services, West Virginia University, United States; Campione-Barr, N., Department of Psychological Sciences, University of Missouri, United States</t>
  </si>
  <si>
    <t>Rivero, A.; Department of Human Development and Family Science, 102 Gwynn Hall, United States; email: avelinariverorodriguez@mail.missouri.edu</t>
  </si>
  <si>
    <t>Neither timeless, nor placeless: Control of food delivery gig work via place-based working time regimes</t>
  </si>
  <si>
    <t>10.1177/00187267211025283</t>
  </si>
  <si>
    <t>57202339411;</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</si>
  <si>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 © The Author(s) 2021.</t>
  </si>
  <si>
    <t>Heiland H.</t>
  </si>
  <si>
    <t>Human Relations</t>
  </si>
  <si>
    <t>https://www.scopus.com/inward/record.uri?eid=2-s2.0-85107922344&amp;doi=10.1177%2f00187267211025283&amp;partnerID=40&amp;md5=9d21704a0483206b16bc4793cf2e2b4e</t>
  </si>
  <si>
    <t>Technical University Darmstadt, Germany</t>
  </si>
  <si>
    <t>Heiland, H., Technical University Darmstadt, Germany</t>
  </si>
  <si>
    <t>Heiland, H.; Technical University DarmstadtGermany; email: heiland@ifs.tu-darmstadt.de</t>
  </si>
  <si>
    <t>New luxury: defining and evaluating emerging luxury trends through the lenses of consumption and personal values</t>
  </si>
  <si>
    <t>10.1108/JPBM-09-2020-3121</t>
  </si>
  <si>
    <t>57250355000;57700770700;</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</si>
  <si>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 © 2021, Emerald Publishing Limited.</t>
  </si>
  <si>
    <t>Atkinson S.D., Kang J.</t>
  </si>
  <si>
    <t>Journal of Product and Brand Management</t>
  </si>
  <si>
    <t>https://www.scopus.com/inward/record.uri?eid=2-s2.0-85114520057&amp;doi=10.1108%2fJPBM-09-2020-3121&amp;partnerID=40&amp;md5=baed392444b832849f50aeb78fd832c0</t>
  </si>
  <si>
    <t>Sustainability Studies Program, Texas State University, San Marcos, TX, United States; Division of Consumer Science, Purdue University, West Lafayette, IN, United States</t>
  </si>
  <si>
    <t>Atkinson, S.D., Sustainability Studies Program, Texas State University, San Marcos, TX, United States; Kang, J., Division of Consumer Science, Purdue University, West Lafayette, IN, United States</t>
  </si>
  <si>
    <t>Kang, J.; Division of Consumer Science, United States; email: jiyunkang2020@gmail.com</t>
  </si>
  <si>
    <t>Non-standard employment and mortality in belgian workers: A census-based investigation</t>
  </si>
  <si>
    <t>10.5271/sjweh.3931</t>
  </si>
  <si>
    <t>57222349228;6505918770;16511941600;</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</si>
  <si>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 © 2021, Nordic Association of Occupational Safety and Health. All rights reserved.</t>
  </si>
  <si>
    <t>Balogh R., Gadeyne S., Vanroelen C.</t>
  </si>
  <si>
    <t>Scandinavian Journal of Work, Environment and Health</t>
  </si>
  <si>
    <t>https://www.scopus.com/inward/record.uri?eid=2-s2.0-85102402359&amp;doi=10.5271%2fsjweh.3931&amp;partnerID=40&amp;md5=385cb2f7183575eea641d8ee582cc211</t>
  </si>
  <si>
    <t>Interface Demography, Vrije Universiteit Brussel, Brussels, Belgium; Institute for Employment Research, University of Warwick, Coventry, United Kingdom; Health Inequalities Research Group – Employment Conditions Network (GREDS-EMCONET), Pompeu Fabra University, Barcelona, Spain</t>
  </si>
  <si>
    <t>Balogh, R., Interface Demography, Vrije Universiteit Brussel, Brussels, Belgium, Institute for Employment Research, University of Warwick, Coventry, United Kingdom; Gadeyne, S., Interface Demography, Vrije Universiteit Brussel, Brussels, Belgium; Vanroelen, C., Interface Demography, Vrije Universiteit Brussel, Brussels, Belgium, Health Inequalities Research Group – Employment Conditions Network (GREDS-EMCONET), Pompeu Fabra University, Barcelona, Spain</t>
  </si>
  <si>
    <t>Balogh, R.; Interface Demography, Belgium; email: Rebeka.Balogh@vub.be</t>
  </si>
  <si>
    <t>Older Adults' Likelihood of Participating in Home-Based Cognitive Assessment</t>
  </si>
  <si>
    <t>10.1159/000521903</t>
  </si>
  <si>
    <t>57220891627;8655210500;</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</si>
  <si>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 © 2022</t>
  </si>
  <si>
    <t>Splonskowski M., Jacova C.</t>
  </si>
  <si>
    <t>Dementia and Geriatric Cognitive Disorders</t>
  </si>
  <si>
    <t>https://www.scopus.com/inward/record.uri?eid=2-s2.0-85126009318&amp;doi=10.1159%2f000521903&amp;partnerID=40&amp;md5=308be8e1dd199ea7a012ec8a630ab939</t>
  </si>
  <si>
    <t>School of Graduate Psychology, Pacific University, Hillsboro, OR, United States</t>
  </si>
  <si>
    <t>Splonskowski, M., School of Graduate Psychology, Pacific University, Hillsboro, OR, United States; Jacova, C., School of Graduate Psychology, Pacific University, Hillsboro, OR, United States</t>
  </si>
  <si>
    <t>Jacova, C.; School of Graduate Psychology, United States; email: cjacova@pacificu.edu</t>
  </si>
  <si>
    <t>Online micro intervention for mood improvement: The role of confidence, motivation, and activity type</t>
  </si>
  <si>
    <t>10.1016/j.jad.2022.04.107</t>
  </si>
  <si>
    <t>57714491900;57714824800;57714758500;57714758600;35078041400;</t>
  </si>
  <si>
    <t>Background: Internet interventions provide a unique opportunity to increase widespread accessibility of treatment at reduced and scalable costs (Muñoz,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 Methods: A total of 838 participants recruited from Amazon Mechanical Turk participated in an online calendar activity to improve mood. Results: A regression analysis showed that confidence and motivation were significantly associated with mood (R2 = 0.467, p &amp;lt;.001). The total number of activities reported in the last two days was associated with participants' current mood (R2 = 0.203, p &amp;lt;.001) and enjoyment (R2 = 0.156, p &amp;lt;.001).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 Limitations: Depression may moderate engagement and was not analyzed in the present study. Additionally, there were no follow-up analyses that looked at the long-term effects of the intervention or changes in actual activity engagement. Conclusions: Online micro interventions have a promising future as an intervention that can impact the mood and motivation for change. Future studies should examine increasing engagement to facilitate confidence and motivation to enact change. © 2022 Elsevier B.V.</t>
  </si>
  <si>
    <t>Kim E., Walker H., Bohac K., Benson P., Bunge E.L.</t>
  </si>
  <si>
    <t>https://www.scopus.com/inward/record.uri?eid=2-s2.0-85130862490&amp;doi=10.1016%2fj.jad.2022.04.107&amp;partnerID=40&amp;md5=697bb78a0be67a25fce47fbc041f1577</t>
  </si>
  <si>
    <t>Palo Alto University, 1791 Arastradero Road, Palo Alto, CA  94304, United States; PGSP-Stanford Psy.D. Consortium, 401 Quarry Road, Palo Alto, CA  94304, United States</t>
  </si>
  <si>
    <t>Kim, E., Palo Alto University, 1791 Arastradero Road, Palo Alto, CA  94304, United States; Walker, H., Palo Alto University, 1791 Arastradero Road, Palo Alto, CA  94304, United States; Bohac, K., Palo Alto University, 1791 Arastradero Road, Palo Alto, CA  94304, United States; Benson, P., PGSP-Stanford Psy.D. Consortium, 401 Quarry Road, Palo Alto, CA  94304, United States; Bunge, E.L., Palo Alto University, 1791 Arastradero Road, Palo Alto, CA  94304, United States</t>
  </si>
  <si>
    <t>Bunge, E.L.1791 Arastradero Road, United States; email: ebunge@paloaltou.edu</t>
  </si>
  <si>
    <t>Parenting &amp; Children’s Psychological Adjustment During the COVID-19 Pandemic</t>
  </si>
  <si>
    <t>10.1080/2372966X.2021.1880873</t>
  </si>
  <si>
    <t>56162314100;56819959700;26967613200;57223845845;</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</si>
  <si>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 © 2021 National Association of School Psychologists.</t>
  </si>
  <si>
    <t>Gregus S.J., Hernandez Rodriguez J., Faith M.A., Failes E.</t>
  </si>
  <si>
    <t>School Psychology Review</t>
  </si>
  <si>
    <t>https://www.scopus.com/inward/record.uri?eid=2-s2.0-85106238584&amp;doi=10.1080%2f2372966X.2021.1880873&amp;partnerID=40&amp;md5=5145d4c3af36d153c6fa38e910702495</t>
  </si>
  <si>
    <t>Wichita State University, United States; The University of Texas Rio Grande Valley, United States; Johns Hopkins All Children’s Hospital, United States</t>
  </si>
  <si>
    <t>Gregus, S.J., Wichita State University, United States; Hernandez Rodriguez, J., The University of Texas Rio Grande Valley, United States; Faith, M.A., Johns Hopkins All Children’s Hospital, United States; Failes, E., Wichita State University, United States</t>
  </si>
  <si>
    <t>Gregus, S.J.; Wichita State University, 1845 Fairmount St, United States; email: Samantha.gregus@wichita.edu</t>
  </si>
  <si>
    <t>Perceived Rejection in Personality Psychopathology: The Role of Attachment and Gender</t>
  </si>
  <si>
    <t>10.1007/s10862-022-09961-z</t>
  </si>
  <si>
    <t>57446925400;57446470400;55839995900;</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</si>
  <si>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 © 2022, The Author(s), under exclusive licence to Springer Science+Business Media, LLC, part of Springer Nature.</t>
  </si>
  <si>
    <t>Priebe K., Sorem E.B., Anderson J.L.</t>
  </si>
  <si>
    <t>https://www.scopus.com/inward/record.uri?eid=2-s2.0-85124334583&amp;doi=10.1007%2fs10862-022-09961-z&amp;partnerID=40&amp;md5=d8fa465b7ddd7803c68b6cad7f6dfe1b</t>
  </si>
  <si>
    <t>Department of Psychology &amp; Philosophy, Sam Houston State University, Huntsville, TX  77341, United States</t>
  </si>
  <si>
    <t>Priebe, K., Department of Psychology &amp; Philosophy, Sam Houston State University, Huntsville, TX  77341, United States; Sorem, E.B., Department of Psychology &amp; Philosophy, Sam Houston State University, Huntsville, TX  77341, United States; Anderson, J.L., Department of Psychology &amp; Philosophy, Sam Houston State University, Huntsville, TX  77341, United States</t>
  </si>
  <si>
    <t>Priebe, K.; Department of Psychology &amp; Philosophy, United States; email: kmp070@shsu.edu</t>
  </si>
  <si>
    <t>Perceived versus Patient-Reported Significance of Surgeon Gender in Breast Reconstruction</t>
  </si>
  <si>
    <t>10.1097/PRS.0000000000008311</t>
  </si>
  <si>
    <t>57203990570;57201315321;35866915700;57189998862;7005188794;35242818100;21644655900;36934702100;</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</si>
  <si>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 CLINICAL QUESTION/LEVEL OF EVIDENCE: Therapeutic, III. © 2021 Lippincott Williams and Wilkins. All rights reserved.</t>
  </si>
  <si>
    <t>Hsu J.J., Kubiak C.A., Billig J.I., Qi J., Hamill J.B., Kim H.M., Wilkins E.G., Kung T.A.</t>
  </si>
  <si>
    <t>Plastic and Reconstructive Surgery</t>
  </si>
  <si>
    <t>https://www.scopus.com/inward/record.uri?eid=2-s2.0-85115974161&amp;doi=10.1097%2fPRS.0000000000008311&amp;partnerID=40&amp;md5=4655cfacef22adcfdfad2d59aabc4782</t>
  </si>
  <si>
    <t>Department of Surgery, Section of Plastic and Reconstructive Surgery, Michigan Medicine, 1500 East Medical Center Drive, Ann Arbor, MI  48109-5340, United States; Department of Biostatistics, University of Michigan, United States; Consulting for Statistics, Computing and Analytics Research, University of Michigan Office of Research, United States</t>
  </si>
  <si>
    <t>Hsu, J.J., Department of Surgery, Section of Plastic and Reconstructive Surgery, Michigan Medicine, 1500 East Medical Center Drive, Ann Arbor, MI  48109-5340, United States; Kubiak, C.A., Department of Surgery, Section of Plastic and Reconstructive Surgery, Michigan Medicine, 1500 East Medical Center Drive, Ann Arbor, MI  48109-5340, United States; Billig, J.I., Department of Surgery, Section of Plastic and Reconstructive Surgery, Michigan Medicine, 1500 East Medical Center Drive, Ann Arbor, MI  48109-5340, United States; Qi, J., Department of Biostatistics, University of Michigan, United States; Hamill, J.B., Department of Biostatistics, University of Michigan, United States; Kim, H.M., Consulting for Statistics, Computing and Analytics Research, University of Michigan Office of Research, United States; Wilkins, E.G., Consulting for Statistics, Computing and Analytics Research, University of Michigan Office of Research, United States; Kung, T.A., Department of Surgery, Section of Plastic and Reconstructive Surgery, Michigan Medicine, 1500 East Medical Center Drive, Ann Arbor, MI  48109-5340, United States, Consulting for Statistics, Computing and Analytics Research, University of Michigan Office of Research, United States</t>
  </si>
  <si>
    <t>Kung, T.A.; Department of Surgery, 1500 East Medical Center Drive, United States; email: thekung@med.umich.edu</t>
  </si>
  <si>
    <t>Perception of Human Motion Similarity Based on Laban Movement Analysis</t>
  </si>
  <si>
    <t>10.1145/3474451.3476241</t>
  </si>
  <si>
    <t>22834257200;</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</si>
  <si>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 © 2021 ACM.</t>
  </si>
  <si>
    <t>Durupinar F.</t>
  </si>
  <si>
    <t>Proceedings - SAP 2021: ACM Symposium on Applied Perception</t>
  </si>
  <si>
    <t>https://www.scopus.com/inward/record.uri?eid=2-s2.0-85115828318&amp;doi=10.1145%2f3474451.3476241&amp;partnerID=40&amp;md5=a9768c9712e74381a4658d084bac889f</t>
  </si>
  <si>
    <t>Department of Computer Science, University of Massachusetts Boston, Boston, MA, United States</t>
  </si>
  <si>
    <t>Durupinar, F., Department of Computer Science, University of Massachusetts Boston, Boston, MA, United States</t>
  </si>
  <si>
    <t>Durupinar, F.; Department of Computer Science, United States; email: funda.durupinarbabur@umb.edu</t>
  </si>
  <si>
    <t>Perspective Charts in a Multi-Foci Globe-Based Visualization of COVID-19 Data</t>
  </si>
  <si>
    <t>10.3390/ijgi11040223</t>
  </si>
  <si>
    <t>57226478041;14036545100;6603142390;</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</si>
  <si>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 © 2022 by the authors. Licensee MDPI, Basel, Switzerland.</t>
  </si>
  <si>
    <t>Mactavish M., Wecker L., Samavati F.</t>
  </si>
  <si>
    <t>ISPRS International Journal of Geo-Information</t>
  </si>
  <si>
    <t>https://www.scopus.com/inward/record.uri?eid=2-s2.0-85129137120&amp;doi=10.3390%2fijgi11040223&amp;partnerID=40&amp;md5=95f95b673a7eb67d958a43a05d4745ba</t>
  </si>
  <si>
    <t>Department of Computer Science, University of Calgary, Calgary, AB  T2N 1N4, Canada</t>
  </si>
  <si>
    <t>Mactavish, M., Department of Computer Science, University of Calgary, Calgary, AB  T2N 1N4, Canada; Wecker, L., Department of Computer Science, University of Calgary, Calgary, AB  T2N 1N4, Canada; Samavati, F., Department of Computer Science, University of Calgary, Calgary, AB  T2N 1N4, Canada</t>
  </si>
  <si>
    <t>Samavati, F.; Department of Computer Science, Canada; email: samavati@ucalgary.ca</t>
  </si>
  <si>
    <t>PhotoStylist: Altering the Style of Photos Based on the Connotations of Texts</t>
  </si>
  <si>
    <t>10.1007/978-3-030-75762-5_51</t>
  </si>
  <si>
    <t>57216688248;57212579276;57219491830;57191071243;55574213902;</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</si>
  <si>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 © 2021, Springer Nature Switzerland AG.</t>
  </si>
  <si>
    <t>Khan S.K., Zhang D.Y., Kou Z., Zhang Y., Wang D.</t>
  </si>
  <si>
    <t>https://www.scopus.com/inward/record.uri?eid=2-s2.0-85111113413&amp;doi=10.1007%2f978-3-030-75762-5_51&amp;partnerID=40&amp;md5=58f2f838bdb173036fe03de47a6c70ae</t>
  </si>
  <si>
    <t>Department of Computer Science and Engineering, University of Notre Dame, Notre Dame, IN  46556, United States</t>
  </si>
  <si>
    <t>Khan, S.K., Department of Computer Science and Engineering, University of Notre Dame, Notre Dame, IN  46556, United States; Zhang, D.Y., Department of Computer Science and Engineering, University of Notre Dame, Notre Dame, IN  46556, United States; Kou, Z., Department of Computer Science and Engineering, University of Notre Dame, Notre Dame, IN  46556, United States; Zhang, Y., Department of Computer Science and Engineering, University of Notre Dame, Notre Dame, IN  46556, United States; Wang, D., Department of Computer Science and Engineering, University of Notre Dame, Notre Dame, IN  46556, United States</t>
  </si>
  <si>
    <t>Khan, S.K.; Department of Computer Science and Engineering, United States; email: skhan22@nd.edu</t>
  </si>
  <si>
    <t>Physical and Mental Health Characteristics of 2,962 Adults With Subjective Cognitive Complaints</t>
  </si>
  <si>
    <t>10.1177/00914150211026548</t>
  </si>
  <si>
    <t>55940238200;37102189700;57016403300;57191975051;55681466200;7201727915;57213797111;7102136288;57211371597;6602326616;</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</si>
  <si>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 © The Author(s) 2021.</t>
  </si>
  <si>
    <t>Van Patten R., Nguyen T.T., Mahmood Z., Lee E.E., Daly R.E., Palmer B.W., Wu T.-C., Tu X., Jeste D.V., Twamley E.W.</t>
  </si>
  <si>
    <t>https://www.scopus.com/inward/record.uri?eid=2-s2.0-85109021645&amp;doi=10.1177%2f00914150211026548&amp;partnerID=40&amp;md5=36103be33c641d20e6461509bbf55ec2</t>
  </si>
  <si>
    <t>Department of Physical Medicine and Rehabilitation, Harvard Medical School, Boston, MA, United States; Spaulding Rehabilitation Hospital, Charlestown, MA, United States; Department of Psychiatry, University of California San DiegoCA, United States; Veterans Affairs San Diego Healthcare SystemCA, United States; Sam and Rose Stein Institute for Research on Aging, University of California San DiegoCA, United States; San Diego State University, University of California San Diego Joint Doctoral Program in Clinical PsychologyCA, United States; Department of Neurosciences, University of California San DiegoCA, United States</t>
  </si>
  <si>
    <t>Van Patten, R., Department of Physical Medicine and Rehabilitation, Harvard Medical School, Boston, MA, United States, Spaulding Rehabilitation Hospital, Charlestown, MA, United States; Nguyen, T.T., Department of Psychiatry, University of California San DiegoCA, United States, Veterans Affairs San Diego Healthcare SystemCA, United States, Sam and Rose Stein Institute for Research on Aging, University of California San DiegoCA, United States; Mahmood, Z., Veterans Affairs San Diego Healthcare SystemCA, United States, San Diego State University, University of California San Diego Joint Doctoral Program in Clinical PsychologyCA, United States; Lee, E.E., Department of Psychiatry, University of California San DiegoCA, United States, Sam and Rose Stein Institute for Research on Aging, University of California San DiegoCA, United States; Daly, R.E., Department of Psychiatry, University of California San DiegoCA, United States, Sam and Rose Stein Institute for Research on Aging, University of California San DiegoCA, United States; Palmer, B.W., Department of Psychiatry, University of California San DiegoCA, United States, Veterans Affairs San Diego Healthcare SystemCA, United States, Sam and Rose Stein Institute for Research on Aging, University of California San DiegoCA, United States; Wu, T.-C., Department of Psychiatry, University of California San DiegoCA, United States, Sam and Rose Stein Institute for Research on Aging, University of California San DiegoCA, United States; Tu, X., Department of Psychiatry, University of California San DiegoCA, United States, Sam and Rose Stein Institute for Research on Aging, University of California San DiegoCA, United States; Jeste, D.V., Department of Psychiatry, University of California San DiegoCA, United States, Sam and Rose Stein Institute for Research on Aging, University of California San DiegoCA, United States, Department of Neurosciences, University of California San DiegoCA, United States; Twamley, E.W., Department of Psychiatry, University of California San DiegoCA, United States, Veterans Affairs San Diego Healthcare SystemCA, United States, Sam and Rose Stein Institute for Research on Aging, University of California San DiegoCA, United States</t>
  </si>
  <si>
    <t>Jeste, D.V.; Department of Psychiatry, United States; email: djeste@health.ucsd.edu</t>
  </si>
  <si>
    <t>Predicting panel attrition in longitudinal HRQoL surveys during the COVID-19 pandemic in the US</t>
  </si>
  <si>
    <t>10.1186/s12955-022-02015-8</t>
  </si>
  <si>
    <t>57555798800;57788131000;57222325400;57637664400;56405988700;</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</si>
  <si>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 0.001) and higher self-rated survey difficulty (p ≤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 © 2022, The Author(s).</t>
  </si>
  <si>
    <t>Yu T., Chen J., Gu N.Y., Hay J.W., Gong C.L.</t>
  </si>
  <si>
    <t>Health and Quality of Life Outcomes</t>
  </si>
  <si>
    <t>https://www.scopus.com/inward/record.uri?eid=2-s2.0-85133619632&amp;doi=10.1186%2fs12955-022-02015-8&amp;partnerID=40&amp;md5=6e7657c9cb464124ec0d30369a763d20</t>
  </si>
  <si>
    <t>Department of Pharmaceutical and Health Economics, School of Pharmacy, University of Southern California, Los Angeles, CA, United States; School of Nursing and Health Professions, University of San Francisco, San Francisco, CA, United States; Schaeffer Center for Health Policy and Economics, School of Pharmacy, University of Southern California, Los Angeles, CA, United States; Fetal and Neonatal Institute, Division of Neonatology, Department of Pediatrics, Children’s Hospital Los Angeles, Los Angeles, CA, United States</t>
  </si>
  <si>
    <t>Yu, T., Department of Pharmaceutical and Health Economics, School of Pharmacy, University of Southern California, Los Angeles, CA, United States; Chen, J., Department of Pharmaceutical and Health Economics, School of Pharmacy, University of Southern California, Los Angeles, CA, United States; Gu, N.Y., School of Nursing and Health Professions, University of San Francisco, San Francisco, CA, United States; Hay, J.W., Schaeffer Center for Health Policy and Economics, School of Pharmacy, University of Southern California, Los Angeles, CA, United States; Gong, C.L., Fetal and Neonatal Institute, Division of Neonatology, Department of Pediatrics, Children’s Hospital Los Angeles, Los Angeles, CA, United States</t>
  </si>
  <si>
    <t>Yu, T.; Department of Pharmaceutical and Health Economics, United States; email: tyu09191@usc.edu</t>
  </si>
  <si>
    <t>Prioritizing tasks in code repair: A psychological exploration of computer code</t>
  </si>
  <si>
    <t>35101277300;57194107331;57201768282;57195674754;55155617300;</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</si>
  <si>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(i.e., testing, rollout, etc.). However, managers should also be cognizant of the effects task prioritization has on programmer perceptions of the code as a whole. © 2019 IEEE Computer Society. All rights reserved.</t>
  </si>
  <si>
    <t>Alarcon G.M., Jessup S.A., Wood D.W., Ryan T.J., Capiola A.</t>
  </si>
  <si>
    <t>https://www.scopus.com/inward/record.uri?eid=2-s2.0-85108296602&amp;partnerID=40&amp;md5=bf268e55c30fb784ad4b1e291147e960</t>
  </si>
  <si>
    <t>Air Force Research Laboratory, Wright Patterson AFB, OH, United States; General Dynamics Information Technology, Dayton, OH, United States</t>
  </si>
  <si>
    <t>Alarcon, G.M., Air Force Research Laboratory, Wright Patterson AFB, OH, United States; Jessup, S.A., Air Force Research Laboratory, Wright Patterson AFB, OH, United States; Wood, D.W., General Dynamics Information Technology, Dayton, OH, United States; Ryan, T.J., General Dynamics Information Technology, Dayton, OH, United States; Capiola, A., Air Force Research Laboratory, Wright Patterson AFB, OH, United States</t>
  </si>
  <si>
    <t>Proactive shuttle dispatching in large-scale dynamic dial-a-ride systems</t>
  </si>
  <si>
    <t>10.1016/j.trb.2021.06.002</t>
  </si>
  <si>
    <t>56708927300;57208345196;55845050600;57224996498;</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</si>
  <si>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on-demand requests with fast and high-quality solutions in real time. Using numerical experiments, we demonstrate the benefits of the proposed method. Furthermore, we conduct sensitivity analyses to show the performance of our methodology under different parameter settings. © 2021 Elsevier Ltd</t>
  </si>
  <si>
    <t>Tafreshian A., Abdolmaleki M., Masoud N., Wang H.</t>
  </si>
  <si>
    <t>Transportation Research Part B: Methodological</t>
  </si>
  <si>
    <t>https://www.scopus.com/inward/record.uri?eid=2-s2.0-85108885498&amp;doi=10.1016%2fj.trb.2021.06.002&amp;partnerID=40&amp;md5=52c3ca2ada0988c70a94d70a3e24237d</t>
  </si>
  <si>
    <t>Civil and Environmental Engineering, University of Michigan Ann Arbor, United States; Ford Motor Company, Greater Detroit Area, United States</t>
  </si>
  <si>
    <t>Tafreshian, A., Civil and Environmental Engineering, University of Michigan Ann Arbor, United States; Abdolmaleki, M., Civil and Environmental Engineering, University of Michigan Ann Arbor, United States; Masoud, N., Civil and Environmental Engineering, University of Michigan Ann Arbor, United States; Wang, H., Ford Motor Company, Greater Detroit Area, United States</t>
  </si>
  <si>
    <t>Masoud, N.; Civil and Environmental Engineering, United States; email: nmasoud@umich.edu</t>
  </si>
  <si>
    <t>Product attributes, evaluability, and consumer satisfaction</t>
  </si>
  <si>
    <t>10.3390/su132212393</t>
  </si>
  <si>
    <t>6603077617;57340593200;</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</si>
  <si>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 © 2021 by the authors. Licensee MDPI, Basel, Switzerland.</t>
  </si>
  <si>
    <t>Antonides G., Hovestadt L.</t>
  </si>
  <si>
    <t>https://www.scopus.com/inward/record.uri?eid=2-s2.0-85119184411&amp;doi=10.3390%2fsu132212393&amp;partnerID=40&amp;md5=b8fb4bc0afaae8928876d432e39e4e0d</t>
  </si>
  <si>
    <t>Department of Social Sciences, Wageningen University, Hollandseweg 1, Wageningen, 6706 KN, Netherlands</t>
  </si>
  <si>
    <t>Antonides, G., Department of Social Sciences, Wageningen University, Hollandseweg 1, Wageningen, 6706 KN, Netherlands; Hovestadt, L., Department of Social Sciences, Wageningen University, Hollandseweg 1, Wageningen, 6706 KN, Netherlands</t>
  </si>
  <si>
    <t>Antonides, G.; Department of Social Sciences, Hollandseweg 1, Netherlands; email: gerrit.antonides@wur.nl</t>
  </si>
  <si>
    <t>Prospects of integrating gig economy in the saudi arabian health-care system from the perspectives of health-care decision-makers and practitioners</t>
  </si>
  <si>
    <t>10.2147/JHL.S323729</t>
  </si>
  <si>
    <t>Background: Gig economy is an approach in the labor market which is characterized by the prevalence of short-term contracts or freelance work in contrast to permanent jobs. The gig workers are independent workers or temporary contract workers who enter into formal/ 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 © 2021 Alanzi.</t>
  </si>
  <si>
    <t>Alanzi T.</t>
  </si>
  <si>
    <t>Journal of Healthcare Leadership</t>
  </si>
  <si>
    <t>https://www.scopus.com/inward/record.uri?eid=2-s2.0-85117787829&amp;doi=10.2147%2fJHL.S323729&amp;partnerID=40&amp;md5=e6140ae9ff04bae1365a4316db7d316a</t>
  </si>
  <si>
    <t>Alanzi, T., Health Information Management and Technology Department, College of Public Health, Imam Abdulrahman Bin Faisal University, Dammam, Saudi Arabia</t>
  </si>
  <si>
    <t>Alanzi, T.; Health Information Management and Technology Department, Saudi Arabia; email: talanzi@iau.edu.sa</t>
  </si>
  <si>
    <t>Protection Motivation During COVID-19: A Cross-Sectional Study of Family Health, Media, and Economic Influences</t>
  </si>
  <si>
    <t>10.1177/10901981211000318</t>
  </si>
  <si>
    <t>22934324900;56519602600;35492315500;12770942900;</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</si>
  <si>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 © 2021 Society for Public Health Education.</t>
  </si>
  <si>
    <t>Hanson C.L., Crandall A., Barnes M.D., Novilla M.L.</t>
  </si>
  <si>
    <t>Health Education and Behavior</t>
  </si>
  <si>
    <t>https://www.scopus.com/inward/record.uri?eid=2-s2.0-85104033566&amp;doi=10.1177%2f10901981211000318&amp;partnerID=40&amp;md5=10550e93450f0612be82a4d89e5809b5</t>
  </si>
  <si>
    <t>Brigham Young University, Provo, UT, United States</t>
  </si>
  <si>
    <t>Hanson, C.L., Brigham Young University, Provo, UT, United States; Crandall, A., Brigham Young University, Provo, UT, United States; Barnes, M.D., Brigham Young University, Provo, UT, United States; Novilla, M.L., Brigham Young University, Provo, UT, United States</t>
  </si>
  <si>
    <t>Hanson, C.L.; Brigham Young UniversityUnited States; email: Carl_Hanson@byu.edu</t>
  </si>
  <si>
    <t>Psychometric Properties of a Measure Assessing Anxiogenic Parenting Practices in Food Allergy</t>
  </si>
  <si>
    <t>10.1093/jpepsy/jsac016</t>
  </si>
  <si>
    <t>57214723431;57204091650;57211602962;57491307900;57815436900;6508376458;</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</si>
  <si>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(χ2(378)=2568.95). All subscales demonstrated strong internal consistency (Involvement in Food Allergy: α = .880; Worry about Food Allergy: α = .892; Autonomy Promotion α = .796) as well as convergent and discriminant validity. CONCLUSIONS: Results support the overall psychometric properties of the scale. Interpretations, limitations, and future directions are discussed. © The Author(s) 2022. Published by Oxford University Press on behalf of the Society of Pediatric Psychology. All rights reserved. For permissions, please e-mail: journals.permissions@oup.com.</t>
  </si>
  <si>
    <t>Wilton E.P., Luke A.K., Gladstone T.R., Lahoud A.A., Biscarri Clark S.D., Flessner C.A.</t>
  </si>
  <si>
    <t>Journal of pediatric psychology</t>
  </si>
  <si>
    <t>https://www.scopus.com/inward/record.uri?eid=2-s2.0-85134721233&amp;doi=10.1093%2fjpepsy%2fjsac016&amp;partnerID=40&amp;md5=f73db3b2d9a2f3c0702f67745ee6a4ca</t>
  </si>
  <si>
    <t>Department of Psychological Sciences, Kent State University, Kent Hall, Kent, OH, United States; Boston Children's Hospital, Boston, MA, United States</t>
  </si>
  <si>
    <t>Wilton, E.P., Department of Psychological Sciences, Kent State University, Kent Hall, Kent, OH, United States; Luke, A.K., Boston Children's Hospital, Boston, MA, United States; Gladstone, T.R., Department of Psychological Sciences, Kent State University, Kent Hall, Kent, OH, United States; Lahoud, A.A., Department of Psychological Sciences, Kent State University, Kent Hall, Kent, OH, United States; Biscarri Clark, S.D., Department of Psychological Sciences, Kent State University, Kent Hall, Kent, OH, United States; Flessner, C.A., Department of Psychological Sciences, Kent State University, Kent Hall, Kent, OH, United States</t>
  </si>
  <si>
    <t>Psychometric Properties of the Institutional Betrayal Questionnaire, Version 2: Evidence for a Two-Factor Model</t>
  </si>
  <si>
    <t>10.1177/0886260518805771</t>
  </si>
  <si>
    <t>57202111819;57190167045;6603604597;</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</si>
  <si>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 © The Author(s) 2018.</t>
  </si>
  <si>
    <t>Reffi A.N., Pinciotti C.M., Orcutt H.K.</t>
  </si>
  <si>
    <t>https://www.scopus.com/inward/record.uri?eid=2-s2.0-85059954525&amp;doi=10.1177%2f0886260518805771&amp;partnerID=40&amp;md5=2a0c975dd42e57712b9d823963c02be4</t>
  </si>
  <si>
    <t>Northern Illinois University, DeKalb, United States</t>
  </si>
  <si>
    <t>Reffi, A.N., Northern Illinois University, DeKalb, United States; Pinciotti, C.M., Northern Illinois University, DeKalb, United States; Orcutt, H.K., Northern Illinois University, DeKalb, United States</t>
  </si>
  <si>
    <t>Reffi, A.N.; Northern Illinois UniversityUnited States; email: areffi@niu.edu</t>
  </si>
  <si>
    <t>Public perceptions of transoral endocrine surgery and their influence on choice of operative approach</t>
  </si>
  <si>
    <t>10.1016/j.jss.2021.04.041</t>
  </si>
  <si>
    <t>57224522936;57223398196;57223405299;57215095372;15848533900;56039879000;</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</si>
  <si>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 2021</t>
  </si>
  <si>
    <t>Broekhuis J.M., Chen H.W., Maeda A.H., Duncan S., Grogan R.H., James B.C.</t>
  </si>
  <si>
    <t>https://www.scopus.com/inward/record.uri?eid=2-s2.0-85107820949&amp;doi=10.1016%2fj.jss.2021.04.041&amp;partnerID=40&amp;md5=8ab57645bac977650922666b83b2d891</t>
  </si>
  <si>
    <t>Harvard Medical School, Boston, MA, United States; Department of Surgery, Beth Israel Deaconess Medical Center, Boston, MA, United States; Michael E. DeBakey Department of Surgery, Baylor College of Medicine, Houston, TX, United States</t>
  </si>
  <si>
    <t>Broekhuis, J.M., Harvard Medical School, Boston, MA, United States, Department of Surgery, Beth Israel Deaconess Medical Center, Boston, MA, United States; Chen, H.W., Department of Surgery, Beth Israel Deaconess Medical Center, Boston, MA, United States; Maeda, A.H., Department of Surgery, Beth Israel Deaconess Medical Center, Boston, MA, United States; Duncan, S., Department of Surgery, Beth Israel Deaconess Medical Center, Boston, MA, United States; Grogan, R.H., Michael E. DeBakey Department of Surgery, Baylor College of Medicine, Houston, TX, United States; James, B.C., Harvard Medical School, Boston, MA, United States, Department of Surgery, Beth Israel Deaconess Medical Center, Boston, MA, United States</t>
  </si>
  <si>
    <t>James, B.C.</t>
  </si>
  <si>
    <t>Quality Assessment of Crowdwork via Eye Gaze: Towards Adaptive Personalized Crowdsourcing</t>
  </si>
  <si>
    <t>10.1007/978-3-030-85616-8_8</t>
  </si>
  <si>
    <t>57714180500;57264127600;57191334988;7402168530;55608696000;36829985300;16178222100;</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</si>
  <si>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 © 2021, IFIP International Federation for Information Processing.</t>
  </si>
  <si>
    <t>Islam M.R., Nawa S., Vargo A., Iwata M., Matsubara M., Morishima A., Kise K.</t>
  </si>
  <si>
    <t>https://www.scopus.com/inward/record.uri?eid=2-s2.0-85115205931&amp;doi=10.1007%2f978-3-030-85616-8_8&amp;partnerID=40&amp;md5=7a3e875a57068de209ae9dae636b75f2</t>
  </si>
  <si>
    <t>Osaka Prefecture University, Sakai, Japan; University of Tsukuba, Tsukuba, Japan</t>
  </si>
  <si>
    <t>Islam, M.R., Osaka Prefecture University, Sakai, Japan; Nawa, S., Osaka Prefecture University, Sakai, Japan; Vargo, A., Osaka Prefecture University, Sakai, Japan; Iwata, M., Osaka Prefecture University, Sakai, Japan; Matsubara, M., University of Tsukuba, Tsukuba, Japan; Morishima, A., University of Tsukuba, Tsukuba, Japan; Kise, K., Osaka Prefecture University, Sakai, Japan</t>
  </si>
  <si>
    <t>Islam, M.R.; Osaka Prefecture UniversityJapan; email: dd104006@edu.osakafu-u.ac.jp</t>
  </si>
  <si>
    <t>Reconstructive and restorative cues improve public perception on the value of plastic and reconstructive surgeries</t>
  </si>
  <si>
    <t>10.1016/j.bjps.2021.02.012</t>
  </si>
  <si>
    <t>57208686044;57216962721;57190009503;57219913566;57223363962;26632328900;7103230743;</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</si>
  <si>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&amp;lt; 0.0005), higher impact on self-esteem (p &amp;lt; 0.001), and to be covered by health insurance (p &amp;lt; 0.0001) compared to breast augmentation. Reconstructive cued breast and facial procedures were viewed more favorably; the exception was gynecomastia reduction. Reconstructive classification had significant positive correlation with support for insurance coverage (R2 = 0.8268) and willingness to pursue (R2 = 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 2021</t>
  </si>
  <si>
    <t>Xun H., Lee E., Yesantharao P., el Eter L., Kraezlin F., Persing S., Sacks J.</t>
  </si>
  <si>
    <t>Journal of Plastic, Reconstructive and Aesthetic Surgery</t>
  </si>
  <si>
    <t>https://www.scopus.com/inward/record.uri?eid=2-s2.0-85105717049&amp;doi=10.1016%2fj.bjps.2021.02.012&amp;partnerID=40&amp;md5=fd1745e28ab57769524a6f3e8403d8ef</t>
  </si>
  <si>
    <t>Johns Hopkins School of Medicine, Department of Plastic and Reconstructive Surgery, Baltimore, MD, United States, United States; Division of Plastic and Reconstructive Surgery, Washington University in St. Louis, School of Medicine, St. Louis, MO, United States, United States</t>
  </si>
  <si>
    <t>Xun, H., Johns Hopkins School of Medicine, Department of Plastic and Reconstructive Surgery, Baltimore, MD, United States, United States; Lee, E., Johns Hopkins School of Medicine, Department of Plastic and Reconstructive Surgery, Baltimore, MD, United States, United States; Yesantharao, P., Johns Hopkins School of Medicine, Department of Plastic and Reconstructive Surgery, Baltimore, MD, United States, United States; el Eter, L., Johns Hopkins School of Medicine, Department of Plastic and Reconstructive Surgery, Baltimore, MD, United States, United States; Kraezlin, F., Johns Hopkins School of Medicine, Department of Plastic and Reconstructive Surgery, Baltimore, MD, United States, United States; Persing, S., Johns Hopkins School of Medicine, Department of Plastic and Reconstructive Surgery, Baltimore, MD, United States, United States; Sacks, J., Division of Plastic and Reconstructive Surgery, Washington University in St. Louis, School of Medicine, St. Louis, MO, United States, United States</t>
  </si>
  <si>
    <t>Xun, H.; Johns Hopkins School of Medicine, United States; email: hxun1@jhmi.edu</t>
  </si>
  <si>
    <t>Reducing Stigma Toward Individuals With Schizophrenia Using a Brief Video: A Randomized Controlled Trial of Young Adults</t>
  </si>
  <si>
    <t>10.1093/schbul/sbaa114</t>
  </si>
  <si>
    <t>57202859086;55444521900;57216206669;57192314020;7102165688;35372257700;</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</si>
  <si>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 © The Author(s) 2020. Published by Oxford University Press on behalf of the Maryland Psychiatric Research Center. All rights reserved. For permissions, please email: journals.permissions@oup.com.</t>
  </si>
  <si>
    <t>Amsalem D., Yang L.H., Jankowski S., Lieff S.A., Markowitz J.C., Dixon L.B.</t>
  </si>
  <si>
    <t>Schizophrenia bulletin</t>
  </si>
  <si>
    <t>https://www.scopus.com/inward/record.uri?eid=2-s2.0-85100328005&amp;doi=10.1093%2fschbul%2fsbaa114&amp;partnerID=40&amp;md5=866d3e31a3fbadb7c8df49983fa9862a</t>
  </si>
  <si>
    <t>Department of Psychiatry, New York State Psychiatric Institute, Columbia University Vagelos College of Physicians &amp; Surgeons, NY, NY; Department of Social and Behavioral Sciences, School of Global Public Health, New York University, NY, NY; Department of Epidemiology, Mailman School of Public Health, NY, NY</t>
  </si>
  <si>
    <t>Amsalem, D., Department of Psychiatry, New York State Psychiatric Institute, Columbia University Vagelos College of Physicians &amp; Surgeons, NY, NY; Yang, L.H., Department of Social and Behavioral Sciences, School of Global Public Health, New York University, NY, NY, Department of Epidemiology, Mailman School of Public Health, NY, NY; Jankowski, S., Department of Psychiatry, New York State Psychiatric Institute, Columbia University Vagelos College of Physicians &amp; Surgeons, NY, NY; Lieff, S.A., Department of Social and Behavioral Sciences, School of Global Public Health, New York University, NY, NY; Markowitz, J.C., Department of Psychiatry, New York State Psychiatric Institute, Columbia University Vagelos College of Physicians &amp; Surgeons, NY, NY; Dixon, L.B., Department of Psychiatry, New York State Psychiatric Institute, Columbia University Vagelos College of Physicians &amp; Surgeons, NY, NY</t>
  </si>
  <si>
    <t>Relationship adjustment and quality among sexual minority persons with disabilities.</t>
  </si>
  <si>
    <t>10.1037/rep0000362</t>
  </si>
  <si>
    <t>6506396928;57201641850;57218516214;</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</si>
  <si>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discussed. Rehabilitation psychologists and other health care providers are encouraged to consider collective self-esteem, attachment styles, and cultural humility when working with sexual minority persons with disabilities in romantic relationships. (PsycInfo Database Record (c) 2021 APA, all rights reserved) Impact and Implications—Sexual minority persons are a highly marginalized and neglected facet of the broader disability community, despite prevalence rates of disability being high among sexual minority persons (Fredriksen-Goldsen et al., 2014). This study is one of the very first to examine perceptions of relationship functioning (e.g., dyadic adjustment, dyadic trust, and relationship commitment) among a small sample of sexual minority persons living with a variety of disabilities (e.g., physical, psychiatric, medical, neurological). Rehabilitation Psychologists and other rehabilitation professionals should attend to collective self-esteem, attachment styles, and cultural humility when providing clinical or couples counseling services to sexual minority persons with disabilities in romantic relationships. (PsycInfo Database Record (c) 2021 APA, all rights reserved) © 2020 American Psychological Association</t>
  </si>
  <si>
    <t>Dispenza F., McElroy-Heltzel S.E., Tarziers K.</t>
  </si>
  <si>
    <t>Rehabilitation Psychology</t>
  </si>
  <si>
    <t>https://www.scopus.com/inward/record.uri?eid=2-s2.0-85089389298&amp;doi=10.1037%2frep0000362&amp;partnerID=40&amp;md5=442465217f124cac78fe0fcec8342d48</t>
  </si>
  <si>
    <t>Department of Counseling and Psychological Services, Georgia State University, Atlanta, GA, United States; Department of Psychological and Quantitative Foundations, University of Iowa, Iowa City, IA, United States; Department of Counseling and Psychological Services, Georgia State University, Atlanta, GA, United States</t>
  </si>
  <si>
    <t>Dispenza, F., Department of Counseling and Psychological Services, Georgia State University, Atlanta, GA, United States; McElroy-Heltzel, S.E., Department of Psychological and Quantitative Foundations, University of Iowa, Iowa City, IA, United States; Tarziers, K., Department of Counseling and Psychological Services, Georgia State University, Atlanta, GA, United States</t>
  </si>
  <si>
    <t>Dispenza, F.; Department of Counseling and Psychological Services, 30 Pryor Street, Suite 950, United States; email: fdispenza1@gsu.edu</t>
  </si>
  <si>
    <t>Remote work and platform work: The prospects for legal regulation in Russia</t>
  </si>
  <si>
    <t>10.17589/2309-8678-2021-9-1-81-113</t>
  </si>
  <si>
    <t>56497021500;57222470174;</t>
  </si>
  <si>
    <t>The restrictions imposed to limit the spread of the coronavirus have intensified public debate about the proper legal format for two kinds of labour − 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 © 2021, Supporting Academic Initiatives Foundation. All rights reserved.</t>
  </si>
  <si>
    <t>Lyutov N., Voitkovska I.</t>
  </si>
  <si>
    <t>Russian Law Journal</t>
  </si>
  <si>
    <t>https://www.scopus.com/inward/record.uri?eid=2-s2.0-85102730913&amp;doi=10.17589%2f2309-8678-2021-9-1-81-113&amp;partnerID=40&amp;md5=838ea9a61c247f6505cbe6ddae22457f</t>
  </si>
  <si>
    <t>Labour Law, Social Security Law Department, Kutafin Moscow State Law University, 9 Sadovaia-Kudrinskaia St., Moscow, 123995, Russian Federation; Ural State Law University, 21 Komsomolskaia St., Yekaterinburg, 620137, Russian Federation</t>
  </si>
  <si>
    <t>Lyutov, N., Labour Law, Social Security Law Department, Kutafin Moscow State Law University, 9 Sadovaia-Kudrinskaia St., Moscow, 123995, Russian Federation; Voitkovska, I., Ural State Law University, 21 Komsomolskaia St., Yekaterinburg, 620137, Russian Federation</t>
  </si>
  <si>
    <t>Replication and Reproduction: Crises in Psychology and Academic Labour</t>
  </si>
  <si>
    <t>10.1177/10892680211055660</t>
  </si>
  <si>
    <t>57204348531;</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</si>
  <si>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 © The Author(s) 2022.</t>
  </si>
  <si>
    <t>Callard F.</t>
  </si>
  <si>
    <t>Review of General Psychology</t>
  </si>
  <si>
    <t>https://www.scopus.com/inward/record.uri?eid=2-s2.0-85125492491&amp;doi=10.1177%2f10892680211055660&amp;partnerID=40&amp;md5=bfa962fd9b7cc6acadd1bad514479513</t>
  </si>
  <si>
    <t>Callard, F., University of Glasgow, Glasgow, United Kingdom</t>
  </si>
  <si>
    <t>Callard, F.; University of GlasgowUnited Kingdom; email: Felicity.callard@glasgow.ac.uk</t>
  </si>
  <si>
    <t>Resilience of the Romanian Independent Cultural Sector under COVID-19 Pandemic Using the Grounded Theory</t>
  </si>
  <si>
    <t>10.3390/su14084564</t>
  </si>
  <si>
    <t>57298516200;57195398489;57192991370;57204497679;</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</si>
  <si>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 © 2022 by the authors. Licensee MDPI, Basel, Switzerland.</t>
  </si>
  <si>
    <t>Marian-Potra A.-C., Pop A.-M., Hognogi G.-G., Nagy J.A.</t>
  </si>
  <si>
    <t>https://www.scopus.com/inward/record.uri?eid=2-s2.0-85128750924&amp;doi=10.3390%2fsu14084564&amp;partnerID=40&amp;md5=06d61d18f45045bf459af7f77952ec3e</t>
  </si>
  <si>
    <t>Department of Geography, Faculty of Chemistry, Biology, Geography, West University of Timişoara, Timișoara, 300223, Romania; Centre for Regional Geography, Faculty of Geography, Babeș-Bolyai University, Cluj-Napoca, 400006, Romania; Research Centre for Sustainable Development, Faculty of Geography, Babeș-Bolyai University, Cluj-Napoca, 400006, Romania</t>
  </si>
  <si>
    <t>Marian-Potra, A.-C., Department of Geography, Faculty of Chemistry, Biology, Geography, West University of Timişoara, Timișoara, 300223, Romania; Pop, A.-M., Centre for Regional Geography, Faculty of Geography, Babeș-Bolyai University, Cluj-Napoca, 400006, Romania; Hognogi, G.-G., Centre for Regional Geography, Faculty of Geography, Babeș-Bolyai University, Cluj-Napoca, 400006, Romania; Nagy, J.A., Research Centre for Sustainable Development, Faculty of Geography, Babeș-Bolyai University, Cluj-Napoca, 400006, Romania</t>
  </si>
  <si>
    <t>Pop, A.-M.; Centre for Regional Geography, Romania; email: ana-maria.pop@ubbcluj.ro</t>
  </si>
  <si>
    <t>Rise in use of digital mental health tools and technologies in the United States during the COVID-19 pandemic: Survey study</t>
  </si>
  <si>
    <t>10.2196/26994</t>
  </si>
  <si>
    <t>6602473802;56317189000;56426539400;35090474600;57212016040;35491626800;37105267300;35301387000;57197749292;8897532800;7006233305;</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</si>
  <si>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 ©Dara H Sorkin, Emily A Janio, Elizabeth V Eikey, Margaret Schneider, Katelyn Davis, Stephen M Schueller, Nicole A Stadnick, Kai Zheng, Martha Neary, David Safani, Dana B Mukamel.</t>
  </si>
  <si>
    <t>Sorkin D.H., Janio E.A., Eikey E.V., Schneider M., Davis K., Schueller S.M., Stadnick N.A., Zheng K., Neary M., Safani D., Mukamel D.B.</t>
  </si>
  <si>
    <t>https://www.scopus.com/inward/record.uri?eid=2-s2.0-85105250217&amp;doi=10.2196%2f26994&amp;partnerID=40&amp;md5=f4b783ca7f4cbda6152600f19e75c36c</t>
  </si>
  <si>
    <t>Department of Medicine, University of California, Irvine, Irvine, CA, United States; Herbert Wertheim School of Public Health and Human Longevity Science, University of California, San Diego, San Diego, CA, United States; Design Lab, University of California, San Diego, San Diego, CA, United States; Department of Public Health, University of California, Irvine, Irvine, CA, United States; Department of Pathology, University of California, San Francisco, San Francisco, CA, United States; Department of Psychological Science, University of California, Irvine, Irvine, CA, United States; Department of Informatics, University of California, Irvine, Irvine, CA, United States; Department of Psychiatry, University of California, San Diego, San Diego, CA, United States; UC San Diego Dissemination and Implementation Science Center, San Diego, CA, United States; Child and Adolescent Services Research Center, San Diego, CA, United States; Department of Psychiatry, University of California, Irvine, Irvine, CA, United States</t>
  </si>
  <si>
    <t>Sorkin, D.H., Department of Medicine, University of California, Irvine, Irvine, CA, United States; Janio, E.A., Department of Medicine, University of California, Irvine, Irvine, CA, United States; Eikey, E.V., Herbert Wertheim School of Public Health and Human Longevity Science, University of California, San Diego, San Diego, CA, United States, Design Lab, University of California, San Diego, San Diego, CA, United States; Schneider, M., Department of Public Health, University of California, Irvine, Irvine, CA, United States; Davis, K., Department of Pathology, University of California, San Francisco, San Francisco, CA, United States; Schueller, S.M., Department of Psychological Science, University of California, Irvine, Irvine, CA, United States, Department of Informatics, University of California, Irvine, Irvine, CA, United States; Stadnick, N.A., Department of Psychiatry, University of California, San Diego, San Diego, CA, United States, UC San Diego Dissemination and Implementation Science Center, San Diego, CA, United States, Child and Adolescent Services Research Center, San Diego, CA, United States; Zheng, K., Department of Informatics, University of California, Irvine, Irvine, CA, United States; Neary, M., Department of Psychological Science, University of California, Irvine, Irvine, CA, United States; Safani, D., Department of Psychiatry, University of California, Irvine, Irvine, CA, United States; Mukamel, D.B., Department of Medicine, University of California, Irvine, Irvine, CA, United States</t>
  </si>
  <si>
    <t>Sorkin, D.H.; Department of Medicine, Irvine 100 Theory Suite 120, United States; email: dsorkin@uci.edu</t>
  </si>
  <si>
    <t>Role of fuzzy approach towards fault detection for distributed components</t>
  </si>
  <si>
    <t>10.32604/cmc.2021.014830</t>
  </si>
  <si>
    <t>53984257400;57203224747;36088700700;56580449600;55201442200;17338820600;</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</si>
  <si>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 © 2021 Tech Science Press. All rights reserved.</t>
  </si>
  <si>
    <t>Hafeez Y., Ali S., Jhanjhi N., Humayun M., Nayyar A., Masud M.</t>
  </si>
  <si>
    <t>Computers, Materials and Continua</t>
  </si>
  <si>
    <t>https://www.scopus.com/inward/record.uri?eid=2-s2.0-85102597151&amp;doi=10.32604%2fcmc.2021.014830&amp;partnerID=40&amp;md5=e9c98252275d2a73256875a6fd98d5f8</t>
  </si>
  <si>
    <t>University Institute of Information Technology, Pir Mehr Ali Shah Arid Agriculture University, Rawalpindi, Pakistan; School of Computer Science and Engineering, Sce, Taylor s University, Subang Jaya, Malaysia; Department of Information Systems, College of Computer and Information Sciences, Jouf University, Saudi Arabia; Graduate School, Duy Tan University, Da Nang, 550000, Viet Nam; Faculty of Information Technology, Duy Tan University, Da Nang, 550000, Viet Nam; Department of Computer Science, College of Computers and Information Technology, Taif University, Taif, 21944, Saudi Arabia</t>
  </si>
  <si>
    <t>Hafeez, Y., University Institute of Information Technology, Pir Mehr Ali Shah Arid Agriculture University, Rawalpindi, Pakistan; Ali, S., University Institute of Information Technology, Pir Mehr Ali Shah Arid Agriculture University, Rawalpindi, Pakistan; Jhanjhi, N., School of Computer Science and Engineering, Sce, Taylor s University, Subang Jaya, Malaysia; Humayun, M., Department of Information Systems, College of Computer and Information Sciences, Jouf University, Saudi Arabia; Nayyar, A., Graduate School, Duy Tan University, Da Nang, 550000, Viet Nam, Faculty of Information Technology, Duy Tan University, Da Nang, 550000, Viet Nam; Masud, M., Department of Computer Science, College of Computers and Information Technology, Taif University, Taif, 21944, Saudi Arabia</t>
  </si>
  <si>
    <t>Nayyar, A.; Graduate School, Viet Nam; email: anandnayyar@duytan.edu.vn</t>
  </si>
  <si>
    <t>Science, healthcare system, and government effectiveness perception and COVID-19 vaccination acceptance and hesitancy in a global sample: An analytical cross-sectional analysis</t>
  </si>
  <si>
    <t>10.1136/bmjopen-2021-049716</t>
  </si>
  <si>
    <t>7005345674;55318960100;57217209320;57212565719;57222670243;57221259343;7005546743;</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</si>
  <si>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Χ 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 ©</t>
  </si>
  <si>
    <t>Dye T.D., Barbosu M., Siddiqi S., Pérez Ramos J.G., Murphy H., Alcántara L., Pressman E.</t>
  </si>
  <si>
    <t>BMJ Open</t>
  </si>
  <si>
    <t>https://www.scopus.com/inward/record.uri?eid=2-s2.0-85120307056&amp;doi=10.1136%2fbmjopen-2021-049716&amp;partnerID=40&amp;md5=de474a950ee70466b09d6f8dad1d1928</t>
  </si>
  <si>
    <t>Obstetrics and Gynecology, University of Rochester, Medical Center, Rochester, NY, United States</t>
  </si>
  <si>
    <t>Dye, T.D., Obstetrics and Gynecology, University of Rochester, Medical Center, Rochester, NY, United States; Barbosu, M., Obstetrics and Gynecology, University of Rochester, Medical Center, Rochester, NY, United States; Siddiqi, S., Obstetrics and Gynecology, University of Rochester, Medical Center, Rochester, NY, United States; Pérez Ramos, J.G., Obstetrics and Gynecology, University of Rochester, Medical Center, Rochester, NY, United States; Murphy, H., Obstetrics and Gynecology, University of Rochester, Medical Center, Rochester, NY, United States; Alcántara, L., Obstetrics and Gynecology, University of Rochester, Medical Center, Rochester, NY, United States; Pressman, E., Obstetrics and Gynecology, University of Rochester, Medical Center, Rochester, NY, United States</t>
  </si>
  <si>
    <t>Dye, T.D.; Obstetrics and Gynecology, United States; email: tim_dye@urmc.rochester.edu</t>
  </si>
  <si>
    <t>Self-Set learning goals and service performance in a gig economy: A Moderated-Mediation role of improvisation and mindful metacognition</t>
  </si>
  <si>
    <t>10.1016/j.jbusres.2021.10.074</t>
  </si>
  <si>
    <t>52663117500;7007119617;</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</si>
  <si>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 © 2021 The Authors</t>
  </si>
  <si>
    <t>Açıkgöz A., Latham G.P.</t>
  </si>
  <si>
    <t>https://www.scopus.com/inward/record.uri?eid=2-s2.0-85119071179&amp;doi=10.1016%2fj.jbusres.2021.10.074&amp;partnerID=40&amp;md5=a61df3b3ceff1a2e1d2cc76438582f87</t>
  </si>
  <si>
    <t>Department of Management, Vistula University, Poland; Rotman School of Management, University of Toronto, Canada</t>
  </si>
  <si>
    <t>Açıkgöz, A., Department of Management, Vistula University, Poland; Latham, G.P., Rotman School of Management, University of Toronto, Canada</t>
  </si>
  <si>
    <t>Açıkgöz, A.Stokłosy 3, Poland; email: atfackgz@protonmail.com</t>
  </si>
  <si>
    <t>Sensitivity to Sunk Costs Depends on Attention to the Delay</t>
  </si>
  <si>
    <t>10.3389/fpsyg.2021.604843</t>
  </si>
  <si>
    <t>55595449300;7401581697;6603909202;</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</si>
  <si>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 © Copyright © 2021 Kazinka, MacDonald and Redish.</t>
  </si>
  <si>
    <t>Kazinka R., MacDonald A.W., III, Redish A.D.</t>
  </si>
  <si>
    <t>https://www.scopus.com/inward/record.uri?eid=2-s2.0-85102304831&amp;doi=10.3389%2ffpsyg.2021.604843&amp;partnerID=40&amp;md5=b856b10640867c1c1ac204772dd9c9d3</t>
  </si>
  <si>
    <t>Graduate Program in Clinical Science and Psychopathology Research, University of Minnesota, Minneapolis, MN, United States; Psychology Department, University of Minnesota, Minneapolis, MN, United States; Neuroscience Department, University of Minnesota, Minneapolis, MN, United States</t>
  </si>
  <si>
    <t>Kazinka, R., Graduate Program in Clinical Science and Psychopathology Research, University of Minnesota, Minneapolis, MN, United States; MacDonald, A.W., III, Psychology Department, University of Minnesota, Minneapolis, MN, United States; Redish, A.D., Neuroscience Department, University of Minnesota, Minneapolis, MN, United States</t>
  </si>
  <si>
    <t>MacDonald, A.W.; Psychology Department, United States; email: angus@umn.edu</t>
  </si>
  <si>
    <t>Sharing economy: becoming an Uber driver in a developing country</t>
  </si>
  <si>
    <t>10.1108/REGE-08-2018-0088</t>
  </si>
  <si>
    <t>57396820600;55681913900;57396502600;</t>
  </si>
  <si>
    <t>Purpose: The purpose of this paper is to analyze why people have become suppliers in the sharing economy (SE) as Uber drivers in a developing country. Design/methodology/approach: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 © 2019, Eduardo Valente, Roberto Patrus and Rosana Córdova Guimarães.</t>
  </si>
  <si>
    <t>Valente E., Patrus R., Córdova Guimarães R.</t>
  </si>
  <si>
    <t>Revista de Gestao</t>
  </si>
  <si>
    <t>https://www.scopus.com/inward/record.uri?eid=2-s2.0-85088582290&amp;doi=10.1108%2fREGE-08-2018-0088&amp;partnerID=40&amp;md5=2e4ff14904225631e189ba199852d2c6</t>
  </si>
  <si>
    <t>Business Administration, Pontificia Universidade Catolica de Minas Gerais, Belo Horizonte, Brazil; Management Department, Pontificia Universidade Catolica de Minas Gerais, Belo Horizonte, Brazil; Escola de Administração, Universidade Federal do Rio Grande do Sul, Porto Alegre, Brazil</t>
  </si>
  <si>
    <t>Valente, E., Business Administration, Pontificia Universidade Catolica de Minas Gerais, Belo Horizonte, Brazil; Patrus, R., Management Department, Pontificia Universidade Catolica de Minas Gerais, Belo Horizonte, Brazil; Córdova Guimarães, R., Escola de Administração, Universidade Federal do Rio Grande do Sul, Porto Alegre, Brazil</t>
  </si>
  <si>
    <t>Patrus, R.; Management Department, Brazil; email: robertopatrus@pucminas.br</t>
  </si>
  <si>
    <t>Smoking, hazardous drinking and individual differences in cost and gain discounting</t>
  </si>
  <si>
    <t>10.1177/1455072520985971</t>
  </si>
  <si>
    <t>26534187800;</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</si>
  <si>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 © The Author(s) 2021.</t>
  </si>
  <si>
    <t>Halkjelsvik T.</t>
  </si>
  <si>
    <t>NAD Nordic Studies on Alcohol and Drugs</t>
  </si>
  <si>
    <t>https://www.scopus.com/inward/record.uri?eid=2-s2.0-85115437934&amp;doi=10.1177%2f1455072520985971&amp;partnerID=40&amp;md5=8fcd38569a8c6f75c4e190e02bb47884</t>
  </si>
  <si>
    <t>Norwegian Institute of Public Health, Oslo, Norway</t>
  </si>
  <si>
    <t>Halkjelsvik, T., Norwegian Institute of Public Health, Oslo, Norway</t>
  </si>
  <si>
    <t>Halkjelsvik, T.; Norwegian Institute of Public HealthNorway; email: Torleif.Halkjelsvik@fhi.no</t>
  </si>
  <si>
    <t>Social energy as the driving force behind crowdfunding— analysis and classification of selected attributes</t>
  </si>
  <si>
    <t>10.3390/en14196062</t>
  </si>
  <si>
    <t>57271011800;57270688100;</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</si>
  <si>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 © 2021 by the authors. Licensee MDPI, Basel, Switzerland.</t>
  </si>
  <si>
    <t>Szewczyk A., Stempnakowski Z.</t>
  </si>
  <si>
    <t>Energies</t>
  </si>
  <si>
    <t>https://www.scopus.com/inward/record.uri?eid=2-s2.0-85115628433&amp;doi=10.3390%2fen14196062&amp;partnerID=40&amp;md5=be0dee680cffe98326ecbff3d3e6d207</t>
  </si>
  <si>
    <t>Institute of Economics and Finance, University of Szczecin, Szczecin, 71‐101, Poland</t>
  </si>
  <si>
    <t>Szewczyk, A., Institute of Economics and Finance, University of Szczecin, Szczecin, 71‐101, Poland; Stempnakowski, Z., Institute of Economics and Finance, University of Szczecin, Szczecin, 71‐101, Poland</t>
  </si>
  <si>
    <t>Szewczyk, A.; Institute of Economics and Finance, Poland; email: agnieszka.szewczyk@usz.edu.pl</t>
  </si>
  <si>
    <t>Social Identity Complexity, Corporate Social Responsibility, and Brand Love of Multiple Leagues in Professional Sport</t>
  </si>
  <si>
    <t>10.3389/fpsyg.2022.861656</t>
  </si>
  <si>
    <t>57578615400;57191494595;57577942500;56927022000;</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</si>
  <si>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 Copyright © 2022 Do, Brison, Park and Lee.</t>
  </si>
  <si>
    <t>Do C., Brison N.T., Park J., Lee H.-W.</t>
  </si>
  <si>
    <t>https://www.scopus.com/inward/record.uri?eid=2-s2.0-85128266197&amp;doi=10.3389%2ffpsyg.2022.861656&amp;partnerID=40&amp;md5=1c3454065e52bf96a7dfc4b903547755</t>
  </si>
  <si>
    <t>Department of Health and Kinesiology, Texas AM University, College Station, TX, United States</t>
  </si>
  <si>
    <t>Do, C., Department of Health and Kinesiology, Texas AM University, College Station, TX, United States; Brison, N.T., Department of Health and Kinesiology, Texas AM University, College Station, TX, United States; Park, J., Department of Health and Kinesiology, Texas AM University, College Station, TX, United States; Lee, H.-W., Department of Health and Kinesiology, Texas AM University, College Station, TX, United States</t>
  </si>
  <si>
    <t>Lee, H.-W.; Department of Health and Kinesiology, United States; email: hwlee@tamu.edu</t>
  </si>
  <si>
    <t>Society 5.0 and Soft Skills in Agile Global Software Development</t>
  </si>
  <si>
    <t>10.1109/RITA.2022.3166966</t>
  </si>
  <si>
    <t>57578773500;57685308100;57215548462;</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</si>
  <si>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 © 2013 IEEE.</t>
  </si>
  <si>
    <t>Garcia G.D., Pardo Calvache C.J., Rodriguez F.J.A.</t>
  </si>
  <si>
    <t>Revista Iberoamericana de Tecnologias del Aprendizaje</t>
  </si>
  <si>
    <t>https://www.scopus.com/inward/record.uri?eid=2-s2.0-85128282753&amp;doi=10.1109%2fRITA.2022.3166966&amp;partnerID=40&amp;md5=32651851d31e29a5cce1c294f3391c79</t>
  </si>
  <si>
    <t>Universidad Del Cauca, Departamento de Sistemas, Popayán190003, Colombia; Universidad Del Cauca, Departamento de Sistemas dela, Popayán190003, Colombia; Universidad Autónoma de Aguascalientes, Departamento de Ciencias de la Computación, Aguascalientes, 20100, Mexico</t>
  </si>
  <si>
    <t>Garcia, G.D., Universidad Del Cauca, Departamento de Sistemas, Popayán190003, Colombia; Pardo Calvache, C.J., Universidad Del Cauca, Departamento de Sistemas dela, Popayán190003, Colombia; Rodriguez, F.J.A., Universidad Autónoma de Aguascalientes, Departamento de Ciencias de la Computación, Aguascalientes, 20100, Mexico</t>
  </si>
  <si>
    <t>Pardo Calvache, C.J.; Universidad Del Cauca, Popayán, Colombia; email: cpardo@unicauca.edu.co</t>
  </si>
  <si>
    <t>Software Requirements Prioritization in the context of Global Software Development</t>
  </si>
  <si>
    <t>10.1109/FIT53504.2021.00013</t>
  </si>
  <si>
    <t>57225690480;57626761900;57226775426;57196745090;</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</si>
  <si>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 © 2021 IEEE.</t>
  </si>
  <si>
    <t>Ali K., Khan J.A., Aizaz F., Ahmed M.</t>
  </si>
  <si>
    <t>Proceedings - 2021 International Conference on Frontiers of Information Technology, FIT 2021</t>
  </si>
  <si>
    <t>https://www.scopus.com/inward/record.uri?eid=2-s2.0-85126925379&amp;doi=10.1109%2fFIT53504.2021.00013&amp;partnerID=40&amp;md5=77116b610ed3d83e27ab5c363a0912b9</t>
  </si>
  <si>
    <t>COMSATS University Islamabad, Islamabad, Pakistan; HITEC University, Taxila, Pakistan</t>
  </si>
  <si>
    <t>Ali, K., COMSATS University Islamabad, Islamabad, Pakistan; Khan, J.A., HITEC University, Taxila, Pakistan; Aizaz, F., COMSATS University Islamabad, Islamabad, Pakistan; Ahmed, M., COMSATS University Islamabad, Islamabad, Pakistan</t>
  </si>
  <si>
    <t>Streamlining advanced taxi assignment strategies based on legal analysis</t>
  </si>
  <si>
    <t>10.1016/j.neucom.2021.10.085</t>
  </si>
  <si>
    <t>56651099300;56246824500;56004857800;57338726900;49861964200;57337838700;</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</si>
  <si>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 © 2021 The Author(s)</t>
  </si>
  <si>
    <t>Billhardt H., Santos J.-A., Fernández A., Moreno M., Ossowski S., Rodríguez J.A.</t>
  </si>
  <si>
    <t>Neurocomputing</t>
  </si>
  <si>
    <t>https://www.scopus.com/inward/record.uri?eid=2-s2.0-85119035737&amp;doi=10.1016%2fj.neucom.2021.10.085&amp;partnerID=40&amp;md5=a14d77b3d31b378edff7066659ffefc3</t>
  </si>
  <si>
    <t>CETINIA, Universidad Rey Juan Carlos, Madrid, Spain</t>
  </si>
  <si>
    <t>Billhardt, H., CETINIA, Universidad Rey Juan Carlos, Madrid, Spain; Santos, J.-A., CETINIA, Universidad Rey Juan Carlos, Madrid, Spain; Fernández, A., CETINIA, Universidad Rey Juan Carlos, Madrid, Spain; Moreno, M., CETINIA, Universidad Rey Juan Carlos, Madrid, Spain; Ossowski, S., CETINIA, Universidad Rey Juan Carlos, Madrid, Spain; Rodríguez, J.A., CETINIA, Universidad Rey Juan Carlos, Madrid, Spain</t>
  </si>
  <si>
    <t>Fernández, A.; CETINIA, Spain; email: alberto.fernandez@urjc.es</t>
  </si>
  <si>
    <t>Study framing influences crowdsourced rates of problem gambling and alcohol use disorder</t>
  </si>
  <si>
    <t>10.1037/adb0000687</t>
  </si>
  <si>
    <t>55990675600;57195593629;57193415978;57220353000;</t>
  </si>
  <si>
    <t>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 (PsycInfo Database Record (c) 2021 APA, all rights reserved).</t>
  </si>
  <si>
    <t>Angus D.J., Pickering D., Keen B., Blaszczynski A.</t>
  </si>
  <si>
    <t>Psychology of addictive behaviors : journal of the Society of Psychologists in Addictive Behaviors</t>
  </si>
  <si>
    <t>https://www.scopus.com/inward/record.uri?eid=2-s2.0-85103646404&amp;doi=10.1037%2fadb0000687&amp;partnerID=40&amp;md5=de54feae3e4174066580873b961127af</t>
  </si>
  <si>
    <t>School of Psychology</t>
  </si>
  <si>
    <t>Angus, D.J., School of Psychology; Pickering, D., School of Psychology; Keen, B., School of Psychology; Blaszczynski, A., School of Psychology</t>
  </si>
  <si>
    <t>Study of methods for assessing research topic elicitation and prioritization (SMARTER): Study protocol to compare qualitative research methods and advance patient engagement in research</t>
  </si>
  <si>
    <t>10.2196/resprot.7565</t>
  </si>
  <si>
    <t>14825375400;12772371000;57216743392;7004013859;7003601262;7202395186;7202956552;57192212708;56064048200;54411420900;7006612269;</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</si>
  <si>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 © Danielle C Lavallee, Bryan Comstock, Mary R Scott, Andrew L Avins, David R Nerenz, Todd C Edwards, Donald L Patrick, Sarah O Lawrence, Zoya Bauer, Anjali R Truitt, Jeffrey G Jarvik. Originally published in JMIR Research Protocols (http://www.researchprotocols.org), 07.09.2017.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</si>
  <si>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Lavallee D.C., Comstock B., Scott M.R., Avins A.L., Nerenz D.R., Edwards T.C., Patrick D.L., Lawrence S.O., Bauer Z., Truitt A.R., Jarvik J.G.</t>
  </si>
  <si>
    <t>https://www.scopus.com/inward/record.uri?eid=2-s2.0-85081123508&amp;doi=10.2196%2fresprot.7565&amp;partnerID=40&amp;md5=2d72eb6c5992c17bd11894146fe1a25f</t>
  </si>
  <si>
    <t>Surgical Outcomes Research Center, Department of Surgery, University of Washington, Seattle, WA, United States; Department of Biostatistics, University of Washington, Seattle, WA, United States; Kaiser Permanente Northern California, Oakland, CA, United States; Henry Ford Health System, Detroit, MI, United States; Department of Health Services, University of Washington, Seattle, WA, United States; Comparative Effectiveness, Cost and Outcomes Research Center, Department of Radiology, University of Washington, Seattle, WA, United States</t>
  </si>
  <si>
    <t>Lavallee, D.C., Surgical Outcomes Research Center, Department of Surgery, University of Washington, Seattle, WA, United States; Comstock, B., Department of Biostatistics, University of Washington, Seattle, WA, United States; Scott, M.R., Surgical Outcomes Research Center, Department of Surgery, University of Washington, Seattle, WA, United States; Avins, A.L., Kaiser Permanente Northern California, Oakland, CA, United States; Nerenz, D.R., Henry Ford Health System, Detroit, MI, United States; Edwards, T.C., Department of Health Services, University of Washington, Seattle, WA, United States; Patrick, D.L., Department of Health Services, University of Washington, Seattle, WA, United States; Lawrence, S.O., Surgical Outcomes Research Center, Department of Surgery, University of Washington, Seattle, WA, United States; Bauer, Z., Comparative Effectiveness, Cost and Outcomes Research Center, Department of Radiology, University of Washington, Seattle, WA, United States; Truitt, A.R., Surgical Outcomes Research Center, Department of Surgery, University of Washington, Seattle, WA, United States; Jarvik, J.G., Comparative Effectiveness, Cost and Outcomes Research Center, Department of Radiology, University of Washington, Seattle, WA, United States</t>
  </si>
  <si>
    <t>Lavallee, D.C.; Surgical Outcomes Research Center, 1107 NE 45th St, Suite 502, United States; email: lavallee@uw.edu</t>
  </si>
  <si>
    <t>Studying Gambling Behaviors and Responsible Gambling Tools in a Simulated Online Casino Integrated With Amazon Mechanical Turk: Development and Initial Validation of Survey Data and Platform Mechanics of the Frescati Online Research Casino</t>
  </si>
  <si>
    <t>10.3389/fpsyt.2020.571954</t>
  </si>
  <si>
    <t>55572300200;6506363303;35344735000;6603291354;</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</si>
  <si>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 © Copyright © 2021 Lindner, Ramnerö, Ivanova and Carlbring.</t>
  </si>
  <si>
    <t>Lindner P., Ramnerö J., Ivanova E., Carlbring P.</t>
  </si>
  <si>
    <t>https://www.scopus.com/inward/record.uri?eid=2-s2.0-85101251473&amp;doi=10.3389%2ffpsyt.2020.571954&amp;partnerID=40&amp;md5=d494a95f03a9ca2829978013245725aa</t>
  </si>
  <si>
    <t>Department of Psychology, Stockholm University, Stockholm, Sweden; Department of Clinical Neuroscience, Centre for Psychiatry Research, Karolinska Institutet Stockholm Health Care Services, Stockholm County Council, Stockholm, Sweden</t>
  </si>
  <si>
    <t>Lindner, P., Department of Psychology, Stockholm University, Stockholm, Sweden, Department of Clinical Neuroscience, Centre for Psychiatry Research, Karolinska Institutet Stockholm Health Care Services, Stockholm County Council, Stockholm, Sweden; Ramnerö, J., Department of Psychology, Stockholm University, Stockholm, Sweden, Department of Clinical Neuroscience, Centre for Psychiatry Research, Karolinska Institutet Stockholm Health Care Services, Stockholm County Council, Stockholm, Sweden; Ivanova, E., Department of Psychology, Stockholm University, Stockholm, Sweden, Department of Clinical Neuroscience, Centre for Psychiatry Research, Karolinska Institutet Stockholm Health Care Services, Stockholm County Council, Stockholm, Sweden; Carlbring, P., Department of Psychology, Stockholm University, Stockholm, Sweden</t>
  </si>
  <si>
    <t>Lindner, P.; Department of Psychology, Sweden; email: philip.lindner@ki.se</t>
  </si>
  <si>
    <t>Surgery Prescription Opioid Misuse and Diversion in US Adults and Associated Risk Factors</t>
  </si>
  <si>
    <t>10.1016/j.jss.2022.01.030</t>
  </si>
  <si>
    <t>57208666981;57204648025;57193334015;7201654100;</t>
  </si>
  <si>
    <t>Introduction: To justify a practice change, it is critical to determine if opioids prescribed after surgery, surgery prescription (Rx) opioids, are in fact associated with opioid misuse and diversion. Currently, there is only limited data to support this assumption. 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 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 © 2022 Elsevier Inc.</t>
  </si>
  <si>
    <t>Porter E.D., Sacks O.A., Ramkumar N., Barth R.J., Jr.</t>
  </si>
  <si>
    <t>https://www.scopus.com/inward/record.uri?eid=2-s2.0-85126550588&amp;doi=10.1016%2fj.jss.2022.01.030&amp;partnerID=40&amp;md5=32dab3a30b94f77079e893716971e8cb</t>
  </si>
  <si>
    <t>Department of Surgery, Dartmouth Hitchcock Medical Center, New Hampshire, Lebanon; Geisel School of Medicine, New Hampshire, Hanover; Biomedical Data Science Department, Geisel School of Medicine at Dartmouth College, New Hampshire, Hanover</t>
  </si>
  <si>
    <t>Porter, E.D., Department of Surgery, Dartmouth Hitchcock Medical Center, New Hampshire, Lebanon; Sacks, O.A., Geisel School of Medicine, New Hampshire, Hanover; Ramkumar, N., Department of Surgery, Dartmouth Hitchcock Medical Center, New Hampshire, Lebanon, Geisel School of Medicine, New Hampshire, Hanover, Biomedical Data Science Department, Geisel School of Medicine at Dartmouth College, New Hampshire, Hanover; Barth, R.J., Jr., Department of Surgery, Dartmouth Hitchcock Medical Center, New Hampshire, Lebanon, Geisel School of Medicine, New Hampshire, Hanover</t>
  </si>
  <si>
    <t>Porter, E.D.; Department of Surgery, 1 Medical Center Drive, NH; email: Eleah.D.Porter@hitchcock.org</t>
  </si>
  <si>
    <t>Systematic evaluation of gig work against decent work standards: The development and application of the Fairwork framework</t>
  </si>
  <si>
    <t>10.1080/01972243.2021.1942356</t>
  </si>
  <si>
    <t>23102861100;55536168100;57205683320;36720223600;56432327100;</t>
  </si>
  <si>
    <t>Growth of gig work–short-term tasks organized and mediated by digital labor platforms such as Uber and Upwork–is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 © 2021 The Author(s). Published with license by Taylor &amp; Francis Group, LLC.</t>
  </si>
  <si>
    <t>Heeks R., Graham M., Mungai P., Van Belle J.-P., Woodcock J.</t>
  </si>
  <si>
    <t>Information Society</t>
  </si>
  <si>
    <t>https://www.scopus.com/inward/record.uri?eid=2-s2.0-85111068441&amp;doi=10.1080%2f01972243.2021.1942356&amp;partnerID=40&amp;md5=0d36a1d9ea0c8ca36997618d665a18e2</t>
  </si>
  <si>
    <t>Global Development Institute, University of Manchester, Manchester, United Kingdom; Oxford Internet Institute, University of Oxford, Oxford, United Kingdom; The Alan Turing Institute, London, United Kingdom; CITANDA, Department of Information Systems, University of Cape Town, Cape Town, South Africa; Department for People and Organisations, The Open University, Milton Keynes, United Kingdom</t>
  </si>
  <si>
    <t>Heeks, R., Global Development Institute, University of Manchester, Manchester, United Kingdom; Graham, M., Oxford Internet Institute, University of Oxford, Oxford, United Kingdom, The Alan Turing Institute, London, United Kingdom; Mungai, P., CITANDA, Department of Information Systems, University of Cape Town, Cape Town, South Africa; Van Belle, J.-P., CITANDA, Department of Information Systems, University of Cape Town, Cape Town, South Africa; Woodcock, J., Department for People and Organisations, The Open University, Milton Keynes, United Kingdom</t>
  </si>
  <si>
    <t>Heeks, R.; Global Development Institute, Oxford Road, United Kingdom</t>
  </si>
  <si>
    <t>TASC: Teammate algorithm for shared cooperation</t>
  </si>
  <si>
    <t>10.1109/IROS45743.2020.9340983</t>
  </si>
  <si>
    <t>57201505168;57201555388;57210915134;35957168900;57222349195;13007283900;</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</si>
  <si>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 © 2020 IEEE.</t>
  </si>
  <si>
    <t>Chang M.L., Kessler Faulkner T., Wei T.B., Schaertl Short E., Anandaraman G., Thomaz A.L.</t>
  </si>
  <si>
    <t>IEEE International Conference on Intelligent Robots and Systems</t>
  </si>
  <si>
    <t>https://www.scopus.com/inward/record.uri?eid=2-s2.0-85102404586&amp;doi=10.1109%2fIROS45743.2020.9340983&amp;partnerID=40&amp;md5=e9677b81a6171c48637443d9d9292a40</t>
  </si>
  <si>
    <t>University of Texas at Austin, Department of Electrical and Computer Engineering, Austin, TX  78705, United States; University of Texas at Austin, Department of Computer Science, Austin, TX  78705, United States; Tufts University, Department of Computer Science, Medford, MA  02155, United States</t>
  </si>
  <si>
    <t>Chang, M.L., University of Texas at Austin, Department of Electrical and Computer Engineering, Austin, TX  78705, United States; Kessler Faulkner, T., University of Texas at Austin, Department of Computer Science, Austin, TX  78705, United States; Wei, T.B., University of Texas at Austin, Department of Electrical and Computer Engineering, Austin, TX  78705, United States; Schaertl Short, E., Tufts University, Department of Computer Science, Medford, MA  02155, United States; Anandaraman, G., University of Texas at Austin, Department of Computer Science, Austin, TX  78705, United States; Thomaz, A.L., University of Texas at Austin, Department of Electrical and Computer Engineering, Austin, TX  78705, United States</t>
  </si>
  <si>
    <t>Temporary agency work and well-being—the mediating role of job insecurity</t>
  </si>
  <si>
    <t>10.3390/ijerph182111154</t>
  </si>
  <si>
    <t>57201183180;36682757800;</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</si>
  <si>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 © 2021 by the authors. Licensee MDPI, Basel, Switzerland.</t>
  </si>
  <si>
    <t>Thomson B., Hünefeld L.</t>
  </si>
  <si>
    <t>https://www.scopus.com/inward/record.uri?eid=2-s2.0-85117595684&amp;doi=10.3390%2fijerph182111154&amp;partnerID=40&amp;md5=ac67f32b32f4ed29c28d4b15b90b9c81</t>
  </si>
  <si>
    <t>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</si>
  <si>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Dortmund, D-44149, Germany; Hünefeld, L., 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</si>
  <si>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Germany; email: thomson.birgit@baua.bund.de</t>
  </si>
  <si>
    <t>The Association of COVID-19 Stressors and Family Health on Overeating before and during the COVID-19 Pandemic</t>
  </si>
  <si>
    <t>10.3390/ijerph19106174</t>
  </si>
  <si>
    <t>57696580700;57697205300;6504357233;56519602600;</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</si>
  <si>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long-and short-term stress. © 2022 by the authors. Licensee MDPI, Basel, Switzerland.</t>
  </si>
  <si>
    <t>Kim R., Olpin E., Novilla L.K., Crandall A.</t>
  </si>
  <si>
    <t>https://www.scopus.com/inward/record.uri?eid=2-s2.0-85130242238&amp;doi=10.3390%2fijerph19106174&amp;partnerID=40&amp;md5=b9757cefef393e96b64b7ff896fb52dd</t>
  </si>
  <si>
    <t>Department of Public Health, Brigham Young University, Provo, UT  84602, United States</t>
  </si>
  <si>
    <t>Kim, R., Department of Public Health, Brigham Young University, Provo, UT  84602, United States; Olpin, E., Department of Public Health, Brigham Young University, Provo, UT  84602, United States; Novilla, L.K., Department of Public Health, Brigham Young University, Provo, UT  84602, United States; Crandall, A., Department of Public Health, Brigham Young University, Provo, UT  84602, United States</t>
  </si>
  <si>
    <t>The effect of next day responsibilities and an adaptive purchase task on cannabis demand</t>
  </si>
  <si>
    <t>10.1016/j.drugalcdep.2021.108919</t>
  </si>
  <si>
    <t>57200615343;57217381943;36731691100;24170652600;</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</si>
  <si>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 η2p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 © 2021 Elsevier B.V.</t>
  </si>
  <si>
    <t>Ferguson E., Bush N., Yurasek A., Boissoneault J.</t>
  </si>
  <si>
    <t>https://www.scopus.com/inward/record.uri?eid=2-s2.0-85111480714&amp;doi=10.1016%2fj.drugalcdep.2021.108919&amp;partnerID=40&amp;md5=840c30acaf37ba17ca076e078f7878c0</t>
  </si>
  <si>
    <t>Department of Clinical and Health Psychology, University of Florida, Gainesville, FL, United States; Center for Pain Research and Behavioral Health, University of Florida, Gainesville, FL, United States; Department of Health Education and Behavior, University of Florida, Gainesville, FL, United States</t>
  </si>
  <si>
    <t>Ferguson, E., Department of Clinical and Health Psychology, University of Florida, Gainesville, FL, United States, Center for Pain Research and Behavioral Health, University of Florida, Gainesville, FL, United States; Bush, N., Department of Clinical and Health Psychology, University of Florida, Gainesville, FL, United States, Center for Pain Research and Behavioral Health, University of Florida, Gainesville, FL, United States; Yurasek, A., Department of Health Education and Behavior, University of Florida, Gainesville, FL, United States; Boissoneault, J., Department of Clinical and Health Psychology, University of Florida, Gainesville, FL, United States, Center for Pain Research and Behavioral Health, University of Florida, Gainesville, FL, United States</t>
  </si>
  <si>
    <t>Boissoneault, J.; Department of Clinical and Health Psychology, PO Box 100165, United States; email: jboissoneault@phhp.ufl.edu</t>
  </si>
  <si>
    <t>The Effect of Speaker Proficiency on Intelligibility, Comprehensibility, and Accentedness in L2 Spanish: A Conceptual Replication and Extension of Munro and Derwing (1995a)</t>
  </si>
  <si>
    <t>10.1111/lang.12451</t>
  </si>
  <si>
    <t>38261117000;57193577053;</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</si>
  <si>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 © 2021 Language Learning Research Club, University of Michigan</t>
  </si>
  <si>
    <t>Huensch A., Nagle C.</t>
  </si>
  <si>
    <t>Language Learning</t>
  </si>
  <si>
    <t>https://www.scopus.com/inward/record.uri?eid=2-s2.0-85103368013&amp;doi=10.1111%2flang.12451&amp;partnerID=40&amp;md5=06c7108b1dc8289aac6e922249c3810f</t>
  </si>
  <si>
    <t>University of Pittsburgh, United States; Iowa State University, United States</t>
  </si>
  <si>
    <t>Huensch, A., University of Pittsburgh, United States; Nagle, C., Iowa State University, United States</t>
  </si>
  <si>
    <t>Huensch, A.; University of PittsburghUnited States; email: amanda.huensch@pitt.edu</t>
  </si>
  <si>
    <t>The effects of perceived neighborhood diversity on preferences for redistribution: A pilot study</t>
  </si>
  <si>
    <t>10.3390/soc8030082</t>
  </si>
  <si>
    <t>37062194500;57190019955;</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</si>
  <si>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 © 2018 by the authors. Licensee MDPI, Basel, Switzerland.</t>
  </si>
  <si>
    <t>Steele L.G., Perkins K.M.</t>
  </si>
  <si>
    <t>Societies</t>
  </si>
  <si>
    <t>https://www.scopus.com/inward/record.uri?eid=2-s2.0-85090993265&amp;doi=10.3390%2fsoc8030082&amp;partnerID=40&amp;md5=e46afd0585f4bf9709ad462ebab69d44</t>
  </si>
  <si>
    <t>Sociology, John Jay College of Criminal Justice, City University of New York, New York, NY  10019, United States; Psychology, Purchase College, State University of New York, Purchase, NY  10577, United States</t>
  </si>
  <si>
    <t>Steele, L.G., Sociology, John Jay College of Criminal Justice, City University of New York, New York, NY  10019, United States; Perkins, K.M., Psychology, Purchase College, State University of New York, Purchase, NY  10577, United States</t>
  </si>
  <si>
    <t>Steele, L.G.; Sociology, United States; email: lsteele@alumni.princeton.edu</t>
  </si>
  <si>
    <t>The effects of Uber diffusion on the mental health of drivers</t>
  </si>
  <si>
    <t>10.1002/hec.4521</t>
  </si>
  <si>
    <t>20733549400;56243457000;</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</si>
  <si>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 © 2022 John Wiley &amp; Sons Ltd.</t>
  </si>
  <si>
    <t>Apouey B., Stabile M.</t>
  </si>
  <si>
    <t>Health Economics (United Kingdom)</t>
  </si>
  <si>
    <t>https://www.scopus.com/inward/record.uri?eid=2-s2.0-85128948865&amp;doi=10.1002%2fhec.4521&amp;partnerID=40&amp;md5=37082ef386ca430179042ad901e7daed</t>
  </si>
  <si>
    <t>Paris School of Economics—CNRS, Paris, France; INSEAD and CEPR, Fontainebleau, France</t>
  </si>
  <si>
    <t>Apouey, B., Paris School of Economics—CNRS, Paris, France; Stabile, M., INSEAD and CEPR, Fontainebleau, France</t>
  </si>
  <si>
    <t>Stabile, M.; INSEAD and CEPRFrance; email: mark.stabile@insead.edu</t>
  </si>
  <si>
    <t>The gig economy in the UK: a regional perspective</t>
  </si>
  <si>
    <t>10.1108/JGR-09-2018-0037</t>
  </si>
  <si>
    <t>6701623684;</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</si>
  <si>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 © 2019, Emerald Publishing Limited.</t>
  </si>
  <si>
    <t>Johnes G.</t>
  </si>
  <si>
    <t>Journal of Global Responsibility</t>
  </si>
  <si>
    <t>https://www.scopus.com/inward/record.uri?eid=2-s2.0-85079449191&amp;doi=10.1108%2fJGR-09-2018-0037&amp;partnerID=40&amp;md5=36ae897248c4022029724e7fe68a3e1d</t>
  </si>
  <si>
    <t>Department of Economics, Lancaster University Management School, Lancaster, United Kingdom</t>
  </si>
  <si>
    <t>Johnes, G., Department of Economics, Lancaster University Management School, Lancaster, United Kingdom</t>
  </si>
  <si>
    <t>Johnes, G.; Department of Economics, United Kingdom; email: G.Johnes@lancs.ac.uk</t>
  </si>
  <si>
    <t>The Impermanence Awareness and Acceptance Scale</t>
  </si>
  <si>
    <t>10.1007/s12671-021-01623-7</t>
  </si>
  <si>
    <t>57194341762;57202425585;57219118197;</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</si>
  <si>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 © 2021, The Author(s), under exclusive licence to Springer Science+Business Media, LLC, part of Springer Nature.</t>
  </si>
  <si>
    <t>Fernández-Campos S., Roca P., Yaden M.B.</t>
  </si>
  <si>
    <t>https://www.scopus.com/inward/record.uri?eid=2-s2.0-85103289965&amp;doi=10.1007%2fs12671-021-01623-7&amp;partnerID=40&amp;md5=2b6d3d0c02e35d3915ccc4edc908c34c</t>
  </si>
  <si>
    <t>Nirakara Lab, Complutense University of Madrid, Madrid, Spain; School of Psychology, Complutense University of Madrid, Madrid, Spain; Department of Psychiatry, University of Pennsylvania, Philadelphia, PA, United States</t>
  </si>
  <si>
    <t>Fernández-Campos, S., Nirakara Lab, Complutense University of Madrid, Madrid, Spain; Roca, P., Nirakara Lab, Complutense University of Madrid, Madrid, Spain, School of Psychology, Complutense University of Madrid, Madrid, Spain; Yaden, M.B., Department of Psychiatry, University of Pennsylvania, Philadelphia, PA, United States</t>
  </si>
  <si>
    <t>Fernández-Campos, S.; Nirakara Lab, Spain; email: silvia@nirakara.org</t>
  </si>
  <si>
    <t>The influence of situational constraints on consumers’ evaluation and use of online reviews: A heuristic-systematic model perspective</t>
  </si>
  <si>
    <t>10.3390/jtaer16050085</t>
  </si>
  <si>
    <t>55522805100;7005483580;</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</si>
  <si>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 © 2021 by the authors. Licensee MDPI, Basel, Switzerland.</t>
  </si>
  <si>
    <t>Lee J., Hong I.B.</t>
  </si>
  <si>
    <t>https://www.scopus.com/inward/record.uri?eid=2-s2.0-85107198738&amp;doi=10.3390%2fjtaer16050085&amp;partnerID=40&amp;md5=cbf2052a39f198f95b2e529858229e55</t>
  </si>
  <si>
    <t>College of Business &amp; Economics, Chung-Ang University, 84 Heukseok-ro, Seoul, 06974, South Korea</t>
  </si>
  <si>
    <t>Lee, J., College of Business &amp; Economics, Chung-Ang University, 84 Heukseok-ro, Seoul, 06974, South Korea; Hong, I.B., College of Business &amp; Economics, Chung-Ang University, 84 Heukseok-ro, Seoul, 06974, South Korea</t>
  </si>
  <si>
    <t>Hong, I.B.; College of Business &amp; Economics, 84 Heukseok-ro, South Korea; email: ihong@cau.ac.kr</t>
  </si>
  <si>
    <t>The Invisible Cage: Workers’ Reactivity to Opaque Algorithmic Evaluations</t>
  </si>
  <si>
    <t>10.1177/00018392211010118</t>
  </si>
  <si>
    <t>57207472219;</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</si>
  <si>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 © The Author(s) 2021.</t>
  </si>
  <si>
    <t>Rahman H.A.</t>
  </si>
  <si>
    <t>Administrative Science Quarterly</t>
  </si>
  <si>
    <t>https://www.scopus.com/inward/record.uri?eid=2-s2.0-85104863446&amp;doi=10.1177%2f00018392211010118&amp;partnerID=40&amp;md5=d33ef37825b8126f69a9ed40a26a790d</t>
  </si>
  <si>
    <t>Northwestern University, Kellogg, School of Management, United States</t>
  </si>
  <si>
    <t>Rahman, H.A., Northwestern University, Kellogg, School of Management, United States</t>
  </si>
  <si>
    <t>Rahman, H.A.; Northwestern University, United States; email: n.malhotra@imperial.ac.uk</t>
  </si>
  <si>
    <t>The Labour Market for Uber Drivers in Australia</t>
  </si>
  <si>
    <t>10.1111/1467-8462.12454</t>
  </si>
  <si>
    <t>57448903100;7005429143;57218932881;57449564900;</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</si>
  <si>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 © 2022 The Authors. The Australian Economic Review published by John Wiley &amp; Sons Australia, Ltd on behalf of The University of Melbourne, Melbourne Institute: Applied Economic &amp; Social Research, Faculty of Business and Economics.</t>
  </si>
  <si>
    <t>Alexander O., Borland J., Charlton A., Singh A.</t>
  </si>
  <si>
    <t>Australian Economic Review</t>
  </si>
  <si>
    <t>https://www.scopus.com/inward/record.uri?eid=2-s2.0-85124494326&amp;doi=10.1111%2f1467-8462.12454&amp;partnerID=40&amp;md5=c1b860ea255a6c41aebf120e63c196e0</t>
  </si>
  <si>
    <t>Alexander, O.; Borland, J.; Charlton, A.; Singh, A.</t>
  </si>
  <si>
    <t>Alexander, O.email: jib@unimelb.edu.au</t>
  </si>
  <si>
    <t>The MASC: A novel multidimensional measure of self-control.</t>
  </si>
  <si>
    <t>10.1037/mot0000163</t>
  </si>
  <si>
    <t>56820260800;6603525377;</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</si>
  <si>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 (PsycInfo Database Record (c) 2020 APA, all rights reserved) © 2020 American Psychological Association</t>
  </si>
  <si>
    <t>Papova A., Corbin W.R.</t>
  </si>
  <si>
    <t>Motivation Science</t>
  </si>
  <si>
    <t>https://www.scopus.com/inward/record.uri?eid=2-s2.0-85103558924&amp;doi=10.1037%2fmot0000163&amp;partnerID=40&amp;md5=0365645de2c1d431e90286776f55efaa</t>
  </si>
  <si>
    <t>Department of Psychology, Arizona State University, Tempe, AZ, United States; Department of Psychology, Arizona State University, Tempe, AZ, United States</t>
  </si>
  <si>
    <t>Papova, A., Department of Psychology, Arizona State University, Tempe, AZ, United States; Corbin, W.R., Department of Psychology, Arizona State University, Tempe, AZ, United States</t>
  </si>
  <si>
    <t>Papova, A.; Department of Psychology, 900 South McAllister Avenue, United States; email: apapova@asu.edu</t>
  </si>
  <si>
    <t>The Message Matters: The Influence of Fact-Checking on Evaluations of Political Messages</t>
  </si>
  <si>
    <t>10.1080/15377857.2018.1457591</t>
  </si>
  <si>
    <t>56505599500;12790066200;7004852334;</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</si>
  <si>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 © 2018, Copyright © Taylor &amp; Francis Group, LLC.</t>
  </si>
  <si>
    <t>Wintersieck A., Fridkin K., Kenney P.</t>
  </si>
  <si>
    <t>Journal of Political Marketing</t>
  </si>
  <si>
    <t>https://www.scopus.com/inward/record.uri?eid=2-s2.0-85046010850&amp;doi=10.1080%2f15377857.2018.1457591&amp;partnerID=40&amp;md5=b3e8d5c81dc2e5aebe28429b39d52000</t>
  </si>
  <si>
    <t>Political Science and Public Service, University of Tennessee at Chattanooga, Chattanooga, TN, United States; Arizona State University, Tempe, AZ, United States</t>
  </si>
  <si>
    <t>Wintersieck, A., Political Science and Public Service, University of Tennessee at Chattanooga, Chattanooga, TN, United States; Fridkin, K., Arizona State University, Tempe, AZ, United States; Kenney, P., Arizona State University, Tempe, AZ, United States</t>
  </si>
  <si>
    <t>Wintersieck, A.; University of Tennessee at Chattanooga, Pfeiffer 204, Dept. 6356, 615 McCallie Avenue, United States; email: amanda-wintersieck@utc.edu</t>
  </si>
  <si>
    <t>The New Rules for Reporting by Sharing and Gig Economy Platforms Under the OECD and EU Initiatives</t>
  </si>
  <si>
    <t>57212560847;</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</si>
  <si>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 © 2021 Kluwer Law International BV, The Netherlands. All Rights Reserved.</t>
  </si>
  <si>
    <t>Beretta G.</t>
  </si>
  <si>
    <t>EC Tax Review</t>
  </si>
  <si>
    <t>https://www.scopus.com/inward/record.uri?eid=2-s2.0-85103618037&amp;partnerID=40&amp;md5=8879e2ce787d51552c1810802b656a99</t>
  </si>
  <si>
    <t>PhD in Management, Finance and Law for Business at LIUC University, Milan</t>
  </si>
  <si>
    <t>Beretta, G., PhD in Management, Finance and Law for Business at LIUC University, Milan</t>
  </si>
  <si>
    <t xml:space="preserve">Beretta, G.; PhD in Management, </t>
  </si>
  <si>
    <t>The psychosocial predictors and day-level correlates of substance use among participants recruited via an online crowdsourcing platform in the United States: Daily diary study</t>
  </si>
  <si>
    <t>10.2196/23872</t>
  </si>
  <si>
    <t>56183718300;57216644027;57213870557;57191868314;6504817648;55557672300;36022866400;</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</si>
  <si>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 © Jennifer Payaal Jain, Claudine Offer, Christopher Rowe, Caitlin Turner, Carol Dawson-Rose, Thomas Hoffmann, Glenn-Milo Santos. Originally published in JMIR Public Health and Surveillance (https://publichealth.jmir.org), 27.04.2021.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</si>
  <si>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Jain J.P., Offer C., Rowe C., Turner C., Dawson-Rose C., Hoffmann T., Santos G.-M.</t>
  </si>
  <si>
    <t>https://www.scopus.com/inward/record.uri?eid=2-s2.0-85105366027&amp;doi=10.2196%2f23872&amp;partnerID=40&amp;md5=917ed8a17763c800b3bf2b6a4bce3e1a</t>
  </si>
  <si>
    <t>San Francisco Department of Public Health, San Francisco, CA, United States; Division of Epidemiology, School of Public Health, University of California, Berkeley, Berkeley, CA, United States; Department of Epidemiology and Biostatistics, School of Medicine, University of California, San Francisco, San Francisco, CA, United States</t>
  </si>
  <si>
    <t>Jain, J.P., San Francisco Department of Public Health, San Francisco, CA, United States; Offer, C., San Francisco Department of Public Health, San Francisco, CA, United States; Rowe, C., Division of Epidemiology, School of Public Health, University of California, Berkeley, Berkeley, CA, United States; Turner, C., Department of Epidemiology and Biostatistics, School of Medicine, University of California, San Francisco, San Francisco, CA, United States; Dawson-Rose, C., San Francisco Department of Public Health, San Francisco, CA, United States; Hoffmann, T., Department of Epidemiology and Biostatistics, School of Medicine, University of California, San Francisco, San Francisco, CA, United States; Santos, G.-M., San Francisco Department of Public Health, San Francisco, CA, United States</t>
  </si>
  <si>
    <t>Jain, J.P.; San Francisco Department of Public Health, 101 Grove Street, United States; email: jennifer.jain@ucsf.edu</t>
  </si>
  <si>
    <t>The rise of self-employment in the UK: Entrepreneurial transmission or declining job quality?</t>
  </si>
  <si>
    <t>10.1093/cje/beab007</t>
  </si>
  <si>
    <t>7003706773;</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</si>
  <si>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flexibilization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 © 2021 The Author(s) 2021. Published by Oxford University Press on behalf of the Cambridge Political Economy Society. All rights reserved.</t>
  </si>
  <si>
    <t>Henley A.</t>
  </si>
  <si>
    <t>Cambridge Journal of Economics</t>
  </si>
  <si>
    <t>https://www.scopus.com/inward/record.uri?eid=2-s2.0-85107445542&amp;doi=10.1093%2fcje%2fbeab007&amp;partnerID=40&amp;md5=ceab47ed721fbd5409d65e7687923ffc</t>
  </si>
  <si>
    <t>Cardiff Business School, Cardiff University, United Kingdom</t>
  </si>
  <si>
    <t>Henley, A., Cardiff Business School, Cardiff University, United Kingdom</t>
  </si>
  <si>
    <t>Henley, A.; Department of Entrepreneurship and Economics, Colum Drive, United Kingdom; email: HenleyA@cardiff.ac.uk</t>
  </si>
  <si>
    <t>The spread of gig economy: Trends and effects</t>
  </si>
  <si>
    <t>10.17323/2500-2597.2021.1.19.29</t>
  </si>
  <si>
    <t>15847672600;56669808000;</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</si>
  <si>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 © 2021 by the authors.</t>
  </si>
  <si>
    <t>Banik N., Padalkar M.</t>
  </si>
  <si>
    <t>Foresight and STI Governance</t>
  </si>
  <si>
    <t>https://www.scopus.com/inward/record.uri?eid=2-s2.0-85105248706&amp;doi=10.17323%2f2500-2597.2021.1.19.29&amp;partnerID=40&amp;md5=5aeccd21bc604630f34fa4f7b641135d</t>
  </si>
  <si>
    <t>Bennett University, Plot Nos 8-11, TechZone II, Greater Noida, Uttar Pradesh, 201310, India</t>
  </si>
  <si>
    <t>Banik, N., Bennett University, Plot Nos 8-11, TechZone II, Greater Noida, Uttar Pradesh, 201310, India; Padalkar, M., Bennett University, Plot Nos 8-11, TechZone II, Greater Noida, Uttar Pradesh, 201310, India</t>
  </si>
  <si>
    <t>The Uberisation of Aircrew Through the Use of Bogus Self-Employment Contracts</t>
  </si>
  <si>
    <t>57201318281;</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</si>
  <si>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 © 2021 Kluwer Law International BV, The Netherlands. All Rights Reserved.</t>
  </si>
  <si>
    <t>Defossez D.</t>
  </si>
  <si>
    <t>Air and Space Law</t>
  </si>
  <si>
    <t>https://www.scopus.com/inward/record.uri?eid=2-s2.0-85125104604&amp;partnerID=40&amp;md5=1aa657aec75a987c0102475e7c2d63bd</t>
  </si>
  <si>
    <t>Lecturer in Law at Northumbria University (UK). LL.B., Maastricht University, LL.M., European University Institute, LL.M., Swansea University, Ph.D., Universidade de Brasília</t>
  </si>
  <si>
    <t>Defossez, D., Lecturer in Law at Northumbria University (UK). LL.B., Maastricht University, LL.M., European University Institute, LL.M., Swansea University, Ph.D., Universidade de Brasília</t>
  </si>
  <si>
    <t xml:space="preserve">Defossez, D.; Lecturer in Law at Northumbria University (UK). LL.B., </t>
  </si>
  <si>
    <t>Thinking Outside the Black Box: Current Perceptions on Breast Implant Safety and Utility</t>
  </si>
  <si>
    <t>10.1097/PRS.0000000000007626</t>
  </si>
  <si>
    <t>57190009503;57216962721;55621710900;26632328900;57747221700;57221859665;57190400189;7103230743;</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</si>
  <si>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 © 2021 Cambridge University Press. All rights reserved.</t>
  </si>
  <si>
    <t>Yesantharao P.S., Lee E., Khavanin N., Persing S., Jenny H., Abousy M., Broderick K.P., Sacks J.M.</t>
  </si>
  <si>
    <t>https://www.scopus.com/inward/record.uri?eid=2-s2.0-85101909628&amp;doi=10.1097%2fPRS.0000000000007626&amp;partnerID=40&amp;md5=741b6dcb18f6cb8554599a81f5fd0049</t>
  </si>
  <si>
    <t>Department of Plastic and Reconstructive Surgery, Johns Hopkins Hospital, Baltimore, MA, United States; Division of Plastic and Reconstructive Surgery, Department of Surgery, Washington University in St. Louis, School of Medicine, St. Louis, Mo, United States</t>
  </si>
  <si>
    <t>Yesantharao, P.S., Department of Plastic and Reconstructive Surgery, Johns Hopkins Hospital, Baltimore, MA, United States, Division of Plastic and Reconstructive Surgery, Department of Surgery, Washington University in St. Louis, School of Medicine, St. Louis, Mo, United States; Lee, E., Department of Plastic and Reconstructive Surgery, Johns Hopkins Hospital, Baltimore, MA, United States, Division of Plastic and Reconstructive Surgery, Department of Surgery, Washington University in St. Louis, School of Medicine, St. Louis, Mo, United States; Khavanin, N., Department of Plastic and Reconstructive Surgery, Johns Hopkins Hospital, Baltimore, MA, United States, Division of Plastic and Reconstructive Surgery, Department of Surgery, Washington University in St. Louis, School of Medicine, St. Louis, Mo, United States; Persing, S., Department of Plastic and Reconstructive Surgery, Johns Hopkins Hospital, Baltimore, MA, United States, Division of Plastic and Reconstructive Surgery, Department of Surgery, Washington University in St. Louis, School of Medicine, St. Louis, Mo, United States; Jenny, H., Department of Plastic and Reconstructive Surgery, Johns Hopkins Hospital, Baltimore, MA, United States, Division of Plastic and Reconstructive Surgery, Department of Surgery, Washington University in St. Louis, School of Medicine, St. Louis, Mo, United States; Abousy, M., Department of Plastic and Reconstructive Surgery, Johns Hopkins Hospital, Baltimore, MA, United States, Division of Plastic and Reconstructive Surgery, Department of Surgery, Washington University in St. Louis, School of Medicine, St. Louis, Mo, United States; Broderick, K.P., Department of Plastic and Reconstructive Surgery, Johns Hopkins Hospital, Baltimore, MA, United States, Division of Plastic and Reconstructive Surgery, Department of Surgery, Washington University in St. Louis, School of Medicine, St. Louis, Mo, United States; Sacks, J.M., Department of Plastic and Reconstructive Surgery, Johns Hopkins Hospital, Baltimore, MA, United States, Division of Plastic and Reconstructive Surgery, Department of Surgery, Washington University in St. Louis, School of Medicine, St. Louis, Mo, United States</t>
  </si>
  <si>
    <t>Sacks, J.M.; Division of Plastic and Reconstructive Surgery, 660 South Euclid Avenue, Campus Box 8238, United States; email: jmsacks@wustl.edu</t>
  </si>
  <si>
    <t>Towards privatized social and employment protections in the platform economy? Evidence from the UK courier sector</t>
  </si>
  <si>
    <t>10.1016/j.respol.2022.104492</t>
  </si>
  <si>
    <t>56875311300;35910448800;57458421000;</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</si>
  <si>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 © 2022</t>
  </si>
  <si>
    <t>Rolf S., O'Reilly J., Meryon M.</t>
  </si>
  <si>
    <t>Research Policy</t>
  </si>
  <si>
    <t>https://www.scopus.com/inward/record.uri?eid=2-s2.0-85124912226&amp;doi=10.1016%2fj.respol.2022.104492&amp;partnerID=40&amp;md5=4b48b67f1ab007fd4bfb8543d86b2cc4</t>
  </si>
  <si>
    <t>Digital Futures at Work (Digit) Research Centre, University of Sussex Business School, Sussex, Falmer, BN1 9RH, United Kingdom; Eversheds Sutherland, 1 Wood St, UK, London, EC2V 7WS, United Kingdom</t>
  </si>
  <si>
    <t>Rolf, S., Digital Futures at Work (Digit) Research Centre, University of Sussex Business School, Sussex, Falmer, BN1 9RH, United Kingdom; O'Reilly, J., Digital Futures at Work (Digit) Research Centre, University of Sussex Business School, Sussex, Falmer, BN1 9RH, United Kingdom; Meryon, M., Eversheds Sutherland, 1 Wood St, UK, London, EC2V 7WS, United Kingdom</t>
  </si>
  <si>
    <t>Rolf, S.; Digital Futures at Work (Digit) Research Centre, Sussex, United Kingdom; email: s.rolf@sussex.ac.uk</t>
  </si>
  <si>
    <t>Trust and commitment: Effect of applying consumer data rights on U.S. Consumers' attitudes toward online retailers in big data era</t>
  </si>
  <si>
    <t>10.1002/cb.1968</t>
  </si>
  <si>
    <t>57296833600;55568233600;35179592000;</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</si>
  <si>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 © 2021 John Wiley &amp; Sons Ltd.</t>
  </si>
  <si>
    <t>Willis B., Jai T., Lauderdale M.</t>
  </si>
  <si>
    <t>https://www.scopus.com/inward/record.uri?eid=2-s2.0-85117113792&amp;doi=10.1002%2fcb.1968&amp;partnerID=40&amp;md5=6ed8b601c548f8ae993b89745f382d95</t>
  </si>
  <si>
    <t>Department of Hospitality and Retail Management, Texas Tech University, Lubbock, TX, United States; School of Personal Financial Planning, Texas Tech University, Lubbock, TX, United States</t>
  </si>
  <si>
    <t>Willis, B., Department of Hospitality and Retail Management, Texas Tech University, Lubbock, TX, United States; Jai, T., Department of Hospitality and Retail Management, Texas Tech University, Lubbock, TX, United States; Lauderdale, M., School of Personal Financial Planning, Texas Tech University, Lubbock, TX, United States</t>
  </si>
  <si>
    <t>Willis, B.; Department of Hospitality and Retail Management, United States; email: brookewillis254@gmail.com</t>
  </si>
  <si>
    <t>Über-Alienated: Powerless and Alone in the Gig Economy</t>
  </si>
  <si>
    <t>10.1177/07308884211024711</t>
  </si>
  <si>
    <t>25636716000;57203044368;7004000998;</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</si>
  <si>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 © The Author(s) 2021.</t>
  </si>
  <si>
    <t>Glavin P., Bierman A., Schieman S.</t>
  </si>
  <si>
    <t>Work and Occupations</t>
  </si>
  <si>
    <t>https://www.scopus.com/inward/record.uri?eid=2-s2.0-85108667136&amp;doi=10.1177%2f07308884211024711&amp;partnerID=40&amp;md5=50ad676152ca4a19529c0581e6cd1454</t>
  </si>
  <si>
    <t>Department of Sociology, McMaster University, Hamilton, ON, Canada; Department of Sociology, University of CalgaryAB, Canada; Department of Sociology, University of TorontoON, Canada</t>
  </si>
  <si>
    <t>Glavin, P., Department of Sociology, McMaster University, Hamilton, ON, Canada; Bierman, A., Department of Sociology, University of CalgaryAB, Canada; Schieman, S., Department of Sociology, University of TorontoON, Canada</t>
  </si>
  <si>
    <t>Glavin, P.; Department of Sociology, Canada; email: glavinp@mcmaster.ca</t>
  </si>
  <si>
    <t>Uberized Care: Employment Status, Surveillance, and Technological Erasure in the Home Health Care Sector</t>
  </si>
  <si>
    <t>10.1111/awr.12215</t>
  </si>
  <si>
    <t>57195667834;</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</si>
  <si>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 © 2021 by the American Anthropological Association. All rights reserved</t>
  </si>
  <si>
    <t>Glaser A.L.</t>
  </si>
  <si>
    <t>Anthropology of Work Review</t>
  </si>
  <si>
    <t>https://www.scopus.com/inward/record.uri?eid=2-s2.0-85111695497&amp;doi=10.1111%2fawr.12215&amp;partnerID=40&amp;md5=b17adaef8cecaa86a72fc10ffdf1aec4</t>
  </si>
  <si>
    <t>St. John's University, United States</t>
  </si>
  <si>
    <t>Glaser, A.L., St. John's University, United States</t>
  </si>
  <si>
    <t>Glaser, A.L.; St. John's UniversityUnited States; email: glasera@stjohns.edu</t>
  </si>
  <si>
    <t>Understanding Digital Work and its Use in Organizations from a Literature Review</t>
  </si>
  <si>
    <t>10.17705/1pais.14302</t>
  </si>
  <si>
    <t>26430103900;7401775408;57728873400;</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</si>
  <si>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 © Association for Information Systems.</t>
  </si>
  <si>
    <t>Wibowo S., Deng H., Duan S.</t>
  </si>
  <si>
    <t>Pacific Asia Journal of the Association for Information Systems</t>
  </si>
  <si>
    <t>https://www.scopus.com/inward/record.uri?eid=2-s2.0-85131375327&amp;doi=10.17705%2f1pais.14302&amp;partnerID=40&amp;md5=cd30e6781ea93255f9d1847216494cca</t>
  </si>
  <si>
    <t>School of Engineering &amp; Technology, Central Queensland University, Melbourne, Australia; School of Accounting, Information Systems and Supply Chain RMIT University, Melbourne, Australia</t>
  </si>
  <si>
    <t>Wibowo, S., School of Engineering &amp; Technology, Central Queensland University, Melbourne, Australia; Deng, H., School of Accounting, Information Systems and Supply Chain RMIT University, Melbourne, Australia; Duan, S., School of Accounting, Information Systems and Supply Chain RMIT University, Melbourne, Australia</t>
  </si>
  <si>
    <t>Wibowo, S.; School of Engineering &amp; Technology, Australia; email: s.wibowo1@cqu.edu.au</t>
  </si>
  <si>
    <t>Understanding Perceptions of Radical and Liberal Feminists: The Nuanced Roles of Warmth and Competence</t>
  </si>
  <si>
    <t>10.1007/s11199-021-01257-y</t>
  </si>
  <si>
    <t>57209747600;55203351500;</t>
  </si>
  <si>
    <t>In four studies (N = 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 © 2021, The Author(s), under exclusive licence to Springer Science+Business Media, LLC, part of Springer Nature.</t>
  </si>
  <si>
    <t>Zhang Y., Rios K.</t>
  </si>
  <si>
    <t>Sex Roles</t>
  </si>
  <si>
    <t>https://www.scopus.com/inward/record.uri?eid=2-s2.0-85118496261&amp;doi=10.1007%2fs11199-021-01257-y&amp;partnerID=40&amp;md5=3dd97c68384693cd2844ff064ca74c00</t>
  </si>
  <si>
    <t>Department of Psychology, Ohio University, Athens, OH, United States</t>
  </si>
  <si>
    <t>Zhang, Y., Department of Psychology, Ohio University, Athens, OH, United States; Rios, K., Department of Psychology, Ohio University, Athens, OH, United States</t>
  </si>
  <si>
    <t>Zhang, Y.; Department of Psychology, United States; email: yz355716@ohio.edu</t>
  </si>
  <si>
    <t>Understanding the Community's Perceptions Towards Online Radicalisation: An Exploratory Analysis</t>
  </si>
  <si>
    <t>10.4018/IJCWT.297860</t>
  </si>
  <si>
    <t>57195127361;</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</si>
  <si>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 Copyright © 2022, IGI Global. Copying or distributing in print or electronic forms without written permission of IGI Global is prohibited.</t>
  </si>
  <si>
    <t>Neo L.S.</t>
  </si>
  <si>
    <t>International Journal of Cyber Warfare and Terrorism</t>
  </si>
  <si>
    <t>https://www.scopus.com/inward/record.uri?eid=2-s2.0-85126615117&amp;doi=10.4018%2fIJCWT.297860&amp;partnerID=40&amp;md5=dec702d77a2e843ea698ca18838b66f3</t>
  </si>
  <si>
    <t>Nanyang Technological University, Singapore</t>
  </si>
  <si>
    <t>Neo, L.S., Nanyang Technological University, Singapore</t>
  </si>
  <si>
    <t>Neo, L.S.; Nanyang Technological UniversitySingapore</t>
  </si>
  <si>
    <t>Unto the breach: What the COVID-19 pandemic exposes about digitalization</t>
  </si>
  <si>
    <t>10.1016/j.infoandorg.2021.100337</t>
  </si>
  <si>
    <t>6603586075;57222122497;57222129065;</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</si>
  <si>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 © 2021</t>
  </si>
  <si>
    <t>Faraj S., Renno W., Bhardwaj A.</t>
  </si>
  <si>
    <t>Information and Organization</t>
  </si>
  <si>
    <t>https://www.scopus.com/inward/record.uri?eid=2-s2.0-85101553026&amp;doi=10.1016%2fj.infoandorg.2021.100337&amp;partnerID=40&amp;md5=f2d914b61714c4a4580564954fcb0300</t>
  </si>
  <si>
    <t>McGill University, Canada</t>
  </si>
  <si>
    <t>Faraj, S., McGill University, Canada; Renno, W., McGill University, Canada; Bhardwaj, A., McGill University, Canada</t>
  </si>
  <si>
    <t>Faraj, S.; McGill UniversityCanada; email: samer.faraj@mcgill.ca</t>
  </si>
  <si>
    <t>Unveiling process insights from refactoring practices</t>
  </si>
  <si>
    <t>10.1016/j.csi.2021.103587</t>
  </si>
  <si>
    <t>23090205600;6602691646;57210401903;57193424852;</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</si>
  <si>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(≈43%) between software cyclomatic complexity and process cyclomatic complexity. Using only process driven metrics, we computed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 © 2021 Elsevier B.V.</t>
  </si>
  <si>
    <t>Caldeira J., Brito e Abreu F., Cardoso J., dos Reis J.P.</t>
  </si>
  <si>
    <t>https://www.scopus.com/inward/record.uri?eid=2-s2.0-85121237248&amp;doi=10.1016%2fj.csi.2021.103587&amp;partnerID=40&amp;md5=3277f0b61ca520cf76e503ce941f956b</t>
  </si>
  <si>
    <t>ISTAR, Iscte - Instituto Universitário de Lisboa, Portugal; CISUC, University of Coimbra, Portugal; Huawei Munich Research Center, Germany</t>
  </si>
  <si>
    <t>Caldeira, J., ISTAR, Iscte - Instituto Universitário de Lisboa, Portugal; Brito e Abreu, F., ISTAR, Iscte - Instituto Universitário de Lisboa, Portugal; Cardoso, J., CISUC, University of Coimbra, Portugal, Huawei Munich Research Center, Germany; dos Reis, J.P., ISTAR, Iscte - Instituto Universitário de Lisboa, Portugal</t>
  </si>
  <si>
    <t>Caldeira, J.; ISTAR, Portugal; email: jcppc@iscte-iul.pt</t>
  </si>
  <si>
    <t>User-Centered Privacy-by-Design: Evaluating the Appropriateness of Design Prototypes</t>
  </si>
  <si>
    <t>10.1016/j.ijhcs.2021.102641</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</si>
  <si>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 © 2021 Elsevier Ltd</t>
  </si>
  <si>
    <t>International Journal of Human Computer Studies</t>
  </si>
  <si>
    <t>https://www.scopus.com/inward/record.uri?eid=2-s2.0-85109079051&amp;doi=10.1016%2fj.ijhcs.2021.102641&amp;partnerID=40&amp;md5=e9ed308e84ecf3c20dda1500ffb3a112</t>
  </si>
  <si>
    <t>The Department of Industrial Engineering, Tel Aviv University</t>
  </si>
  <si>
    <t>Ayalon, O., The Department of Industrial Engineering, Tel Aviv University; Toch, E., The Department of Industrial Engineering, Tel Aviv University</t>
  </si>
  <si>
    <t>Ayalon, O.; The Department of Industrial Engineering, email: oshratra@tauex.tau.ac.il</t>
  </si>
  <si>
    <t>L125</t>
  </si>
  <si>
    <t>Utilizing Virtual Crowd for Global Software Development</t>
  </si>
  <si>
    <t>10.1155/2021/2259594</t>
  </si>
  <si>
    <t>57226455545;57221801261;55796384200;56028678500;57225952995;</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</si>
  <si>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(CBVCS)"method will select the crowd according to their unique characteristics such as their skills, experiences, expertise, and knowledge. © 2021 Ying Zhang et al.</t>
  </si>
  <si>
    <t>Zhang Y., Ali F., Wang K., Nazir S., Leng Z.</t>
  </si>
  <si>
    <t>Scientific Programming</t>
  </si>
  <si>
    <t>https://www.scopus.com/inward/record.uri?eid=2-s2.0-85111593270&amp;doi=10.1155%2f2021%2f2259594&amp;partnerID=40&amp;md5=250f63b27b50779d3c5b2ff5af174715</t>
  </si>
  <si>
    <t>School of Information Engineering, Changchun University of Finance and Economics, Changchun, 130122, China; Department of Computer Science, University of Swabi, Swabi, Pakistan; College of Computer Science, Jilin Normal University, Siping, 136000, China</t>
  </si>
  <si>
    <t>Zhang, Y., School of Information Engineering, Changchun University of Finance and Economics, Changchun, 130122, China; Ali, F., Department of Computer Science, University of Swabi, Swabi, Pakistan; Wang, K., College of Computer Science, Jilin Normal University, Siping, 136000, China; Nazir, S., Department of Computer Science, University of Swabi, Swabi, Pakistan; Leng, Z., College of Computer Science, Jilin Normal University, Siping, 136000, China</t>
  </si>
  <si>
    <t>Nazir, S.; Department of Computer Science, Pakistan; email: snshahnzr@gmail.com</t>
  </si>
  <si>
    <t>L126</t>
  </si>
  <si>
    <t>Virtual Teams in Times of Pandemic: Factors That Influence Performance</t>
  </si>
  <si>
    <t>10.3389/fpsyg.2021.624637</t>
  </si>
  <si>
    <t>57222247242;57193833640;57193831139;</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</si>
  <si>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 © Copyright © 2021 Garro-Abarca, Palos-Sanchez and Aguayo-Camacho.</t>
  </si>
  <si>
    <t>Garro-Abarca V., Palos-Sanchez P., Aguayo-Camacho M.</t>
  </si>
  <si>
    <t>https://www.scopus.com/inward/record.uri?eid=2-s2.0-85102000226&amp;doi=10.3389%2ffpsyg.2021.624637&amp;partnerID=40&amp;md5=dc2f15ce39c6e72947b360befd09f078</t>
  </si>
  <si>
    <t>School of Computing, Tecnológico de Costa Rica, Cartago, Costa Rica; Department of Financial Economics and Operations Management, University of Seville, Seville, Spain</t>
  </si>
  <si>
    <t>Garro-Abarca, V., School of Computing, Tecnológico de Costa Rica, Cartago, Costa Rica; Palos-Sanchez, P., Department of Financial Economics and Operations Management, University of Seville, Seville, Spain; Aguayo-Camacho, M., Department of Financial Economics and Operations Management, University of Seville, Seville, Spain</t>
  </si>
  <si>
    <t>Palos-Sanchez, P.; Department of Financial Economics and Operations Management, Spain; email: ppalos@us.es</t>
  </si>
  <si>
    <t>Voter experience and ballot language framing effects: Evidence from a survey experiment</t>
  </si>
  <si>
    <t>10.1111/ssqu.13068</t>
  </si>
  <si>
    <t>57258225900;</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</si>
  <si>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 © 2021 by the Southwestern Social Science Association</t>
  </si>
  <si>
    <t>Rossier T.D.</t>
  </si>
  <si>
    <t>Social Science Quarterly</t>
  </si>
  <si>
    <t>https://www.scopus.com/inward/record.uri?eid=2-s2.0-85114891488&amp;doi=10.1111%2fssqu.13068&amp;partnerID=40&amp;md5=ee86e6d01ab9c9b1aa8d4934d7c4091e</t>
  </si>
  <si>
    <t>Department of Political Science, Athens, GA, United States</t>
  </si>
  <si>
    <t>Rossier, T.D., Department of Political Science, Athens, GA, United States</t>
  </si>
  <si>
    <t>Rossier, T.D.; Department of Political ScienceUnited States; email: trossier@uga.edu</t>
  </si>
  <si>
    <t>Webcams, Crowdsourcing, and Enhanced Crosswalks: Developing a Novel Method to Analyze Active Transportation</t>
  </si>
  <si>
    <t>10.3389/fpubh.2016.00097</t>
  </si>
  <si>
    <t>36718969500;57188756108;57188750098;56345830400;17635887500;</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</si>
  <si>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 Copyright © 2016 Hipp, Manteiga, Burgess, Stylianou and Pless.</t>
  </si>
  <si>
    <t>Hipp J.A., Manteiga A., Burgess A., Stylianou A., Pless R.</t>
  </si>
  <si>
    <t>Frontiers in Public Health</t>
  </si>
  <si>
    <t>https://www.scopus.com/inward/record.uri?eid=2-s2.0-85044692584&amp;doi=10.3389%2ffpubh.2016.00097&amp;partnerID=40&amp;md5=26255e93b0db319232eccf0ffd3f8b32</t>
  </si>
  <si>
    <t>Department of Parks, Recreation, and Tourism Management, Center for Geospatial Analytics, North Carolina State University, Raleigh, NC, United States; Prevention Research Center, Washington University in St. Louis, St. Louis, MO, United States; Department of Computer Science and Engineering, Washington University in St. Louis, St. Louis, MO, United States</t>
  </si>
  <si>
    <t>Hipp, J.A., Department of Parks, Recreation, and Tourism Management, Center for Geospatial Analytics, North Carolina State University, Raleigh, NC, United States; Manteiga, A., Prevention Research Center, Washington University in St. Louis, St. Louis, MO, United States; Burgess, A., Prevention Research Center, Washington University in St. Louis, St. Louis, MO, United States; Stylianou, A., Department of Computer Science and Engineering, Washington University in St. Louis, St. Louis, MO, United States; Pless, R., Department of Computer Science and Engineering, Washington University in St. Louis, St. Louis, MO, United States</t>
  </si>
  <si>
    <t>Hipp, J.A.; Department of Parks, United States; email: jahipp@ncsu.edu</t>
  </si>
  <si>
    <t>What Does Coma Mean? Implications for Shared Decision Making in Acute Brain Injury</t>
  </si>
  <si>
    <t>10.1016/j.wneu.2021.10.185</t>
  </si>
  <si>
    <t>36888447400;8940338200;55612561100;56183502600;56003077300;</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</si>
  <si>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 © 2021 Elsevier Inc.</t>
  </si>
  <si>
    <t>Lazaridis C., Goldenberg F.D., Mansour A., Kramer C., Tate A.</t>
  </si>
  <si>
    <t>World Neurosurgery</t>
  </si>
  <si>
    <t>https://www.scopus.com/inward/record.uri?eid=2-s2.0-85120373831&amp;doi=10.1016%2fj.wneu.2021.10.185&amp;partnerID=40&amp;md5=1fa0d8ab53e49d9026f75bc929ac14d8</t>
  </si>
  <si>
    <t>Departments of Neurology and Neurosurgery, Neurocritical Care Unit, The University of Chicago, Chicago, Illinois, United States; Department of Medicine, The University of Chicago, Chicago, Illinois, United States</t>
  </si>
  <si>
    <t>Lazaridis, C., Departments of Neurology and Neurosurgery, Neurocritical Care Unit, The University of Chicago, Chicago, Illinois, United States; Goldenberg, F.D., Departments of Neurology and Neurosurgery, Neurocritical Care Unit, The University of Chicago, Chicago, Illinois, United States; Mansour, A., Departments of Neurology and Neurosurgery, Neurocritical Care Unit, The University of Chicago, Chicago, Illinois, United States; Kramer, C., Departments of Neurology and Neurosurgery, Neurocritical Care Unit, The University of Chicago, Chicago, Illinois, United States; Tate, A., Department of Medicine, The University of Chicago, Chicago, Illinois, United States</t>
  </si>
  <si>
    <t>Lazaridis, C.; Departments of Neurology and Neurosurgery, United States; email: lazaridis@uchicago.edu</t>
  </si>
  <si>
    <t>What type of labor lies behind the on-demand economy? New research based on workers' data</t>
  </si>
  <si>
    <t>10.1017/jmo.2018.53</t>
  </si>
  <si>
    <t>24280548000;26665255800;</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</si>
  <si>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 Copyright © Cambridge University Press and Australian and New Zealand Academy of Management 2018.</t>
  </si>
  <si>
    <t>Melián-González S., Bulchand-Gidumal J.</t>
  </si>
  <si>
    <t>Journal of Management and Organization</t>
  </si>
  <si>
    <t>https://www.scopus.com/inward/record.uri?eid=2-s2.0-85052995874&amp;doi=10.1017%2fjmo.2018.53&amp;partnerID=40&amp;md5=a36931f71a1d0cc8da3de5864a3ab7b1</t>
  </si>
  <si>
    <t>TIDES Institute of Tourism and Sustainable Development, University of Las Palmas de Gran Canaria, Facultad Economía, Empresa y Turismo, Campus Universitario de Tafira, Las Palmas, Spain</t>
  </si>
  <si>
    <t>Melián-González, S., TIDES Institute of Tourism and Sustainable Development, University of Las Palmas de Gran Canaria, Facultad Economía, Empresa y Turismo, Campus Universitario de Tafira, Las Palmas, Spain; Bulchand-Gidumal, J., TIDES Institute of Tourism and Sustainable Development, University of Las Palmas de Gran Canaria, Facultad Economía, Empresa y Turismo, Campus Universitario de Tafira, Las Palmas, Spain</t>
  </si>
  <si>
    <t>Melián-González, S.; TIDES Institute of Tourism and Sustainable Development, Spain; email: santiago.melian@ulpgc.es</t>
  </si>
  <si>
    <t>What Users Want for Gig Economy Platforms: Sentiment Analysis Approach</t>
  </si>
  <si>
    <t>10.1109/ICSITech49800.2020.9392060</t>
  </si>
  <si>
    <t>57221385047;6507465058;56119154900;57188979780;</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</si>
  <si>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Naïve Bayes, Complement Naïve Bayes classifier, and Binary Relevance, Classifier Chain, and Label Power Sets as the data transformation method. This study used the reviews contained in the Gojek, Sampingan, and Ruang Guru applications, with 10, 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 © 2020 IEEE.</t>
  </si>
  <si>
    <t>Indrawan N.A., Sucahyo Y.G., Ruldeviyani Y., Gandhi A.</t>
  </si>
  <si>
    <t>2020 6th International Conference on Science in Information Technology: Embracing Industry 4.0: Towards Innovation in Disaster Management, ICSITech 2020</t>
  </si>
  <si>
    <t>https://www.scopus.com/inward/record.uri?eid=2-s2.0-85104540644&amp;doi=10.1109%2fICSITech49800.2020.9392060&amp;partnerID=40&amp;md5=d56043ce0c03dbda17cf12142d9d850b</t>
  </si>
  <si>
    <t>Universitas Indonesia, Faculty of Computer Science, Jakarta, Indonesia</t>
  </si>
  <si>
    <t>Indrawan, N.A., Universitas Indonesia, Faculty of Computer Science, Jakarta, Indonesia; Sucahyo, Y.G., Universitas Indonesia, Faculty of Computer Science, Jakarta, Indonesia; Ruldeviyani, Y., Universitas Indonesia, Faculty of Computer Science, Jakarta, Indonesia; Gandhi, A., Universitas Indonesia, Faculty of Computer Science, Jakarta, Indonesia</t>
  </si>
  <si>
    <t>Why lose control? a study of freelancers' experiences with gig economy platforms</t>
  </si>
  <si>
    <t>10.1145/3411764.3445305</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</si>
  <si>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fndings reveal tensions between wanting autonomy and control and the necessity of opportunities and convenience. Freelancing platforms are perceived as systems that present advantages to fnd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 © 2021 ACM.</t>
  </si>
  <si>
    <t>De La Vega J.C.A., Cecchinato M.E., Rooksby J.</t>
  </si>
  <si>
    <t>https://www.scopus.com/inward/record.uri?eid=2-s2.0-85106685937&amp;doi=10.1145%2f3411764.3445305&amp;partnerID=40&amp;md5=5e8eba18b8cc8a7b811602e15747381e</t>
  </si>
  <si>
    <t>De La Vega, J.C.A., Northumbria University, Newcastle upon Tyne, United Kingdom; Cecchinato, M.E., Northumbria University, Newcastle upon Tyne, United Kingdom; Rooksby, J., Northumbria University, Newcastle upon Tyne, United Kingdom</t>
  </si>
  <si>
    <t>Why Not Interview?: Investigating Interviews as a Method for Judging Honesty-Humility</t>
  </si>
  <si>
    <t>10.1027/1866-5888/a000293</t>
  </si>
  <si>
    <t>57211876235;27267822600;17345122700;57195511985;</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</si>
  <si>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 © 2022 Hogrefe Publishing GmbH. All rights reserved.</t>
  </si>
  <si>
    <t>Pike M.D., Powell D.M., Bourdage J.S., Lukacik E.-R.</t>
  </si>
  <si>
    <t>Journal of Personnel Psychology</t>
  </si>
  <si>
    <t>https://www.scopus.com/inward/record.uri?eid=2-s2.0-85119995417&amp;doi=10.1027%2f1866-5888%2fa000293&amp;partnerID=40&amp;md5=d2d0bc8e235bf013bec8a8a11c379b7a</t>
  </si>
  <si>
    <t>Department of Psychology, University of Guelph, 50 Stone Rd. E, Guelph, ON  N1G 2W1, Canada; Department of Psychology, University of CalgaryAB, Canada</t>
  </si>
  <si>
    <t>Pike, M.D., Department of Psychology, University of Guelph, 50 Stone Rd. E, Guelph, ON  N1G 2W1, Canada; Powell, D.M., Department of Psychology, University of Guelph, 50 Stone Rd. E, Guelph, ON  N1G 2W1, Canada; Bourdage, J.S., Department of Psychology, University of CalgaryAB, Canada; Lukacik, E.-R., Department of Psychology, University of CalgaryAB, Canada</t>
  </si>
  <si>
    <t>Pike, M.D.; Department of Psychology, 50 Stone Rd. E, Canada; email: mpike01@uoguelph.ca</t>
  </si>
  <si>
    <t>Willingness to share wearable device data for research among mechanical turk workers: Web-based survey study</t>
  </si>
  <si>
    <t>10.2196/19789</t>
  </si>
  <si>
    <t>35090434700;55487101900;57313361800;57204307083;</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</si>
  <si>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 © 2021 Journal of Medical Internet Research. All rights reserved.</t>
  </si>
  <si>
    <t>Taylor C.O., Flaks-Manov N., Ramesh S., Choe E.K.</t>
  </si>
  <si>
    <t>https://www.scopus.com/inward/record.uri?eid=2-s2.0-85117882351&amp;doi=10.2196%2f19789&amp;partnerID=40&amp;md5=7ead89e67bdd838a768c3cb501facab4</t>
  </si>
  <si>
    <t>Departments of Medicine and Biomedical Engineering, Johns Hopkins University School of Medicine, Baltimore, MD, United States; Institute for Computational Medicine, Johns Hopkins University, Baltimore, MD, United States; Department of Medicine, Division of General Internal Medicine, Johns Hopkins University School of Medicine, Baltimore, MD, United States; College of Information Studies, University of Maryland, College Park, MD, United States</t>
  </si>
  <si>
    <t>Taylor, C.O., Departments of Medicine and Biomedical Engineering, Johns Hopkins University School of Medicine, Baltimore, MD, United States, Institute for Computational Medicine, Johns Hopkins University, Baltimore, MD, United States; Flaks-Manov, N., Institute for Computational Medicine, Johns Hopkins University, Baltimore, MD, United States, Department of Medicine, Division of General Internal Medicine, Johns Hopkins University School of Medicine, Baltimore, MD, United States; Ramesh, S., College of Information Studies, University of Maryland, College Park, MD, United States; Choe, E.K., College of Information Studies, University of Maryland, College Park, MD, United States</t>
  </si>
  <si>
    <t>Taylor, C.O.; Departments of Medicine and Biomedical Engineering, 217D Hackerman Hall, 3101 Wyman Park Dr, United States; email: cot@jhu.edu</t>
  </si>
  <si>
    <t>Work and everyday life in a digitalized time: Experiences of people with subjective cognitive difficulties related to neurological disorders</t>
  </si>
  <si>
    <t>10.1371/journal.pone.0260013</t>
  </si>
  <si>
    <t>57344995100;56341218500;57211785336;22634548400;6508269770;</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</si>
  <si>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 © 2021 Lindberg et al. This is an open access article distributed under the terms of the Creative Commons Attribution License, which permits unrestricted use, distribution, and reproduction in any medium, provided the original author and source are credited.</t>
  </si>
  <si>
    <t>Lindberg M., Ranner M., Månsson-Lexell E., Jacobsson L., Larsson-Lund M.</t>
  </si>
  <si>
    <t>https://www.scopus.com/inward/record.uri?eid=2-s2.0-85119329450&amp;doi=10.1371%2fjournal.pone.0260013&amp;partnerID=40&amp;md5=6eee0ab3f247dee89bb2914f852e3835</t>
  </si>
  <si>
    <t>Department of Health, Education and Technology, Division of Health, Medicine and Rehabilitation, Luleå University of Technology, Luleå, Sweden; Department of Health Sciences, Lund University, Lund, Sweden; Department of Neurology and Rehabilitation Medicine, Skåne University Hospital, Lund-Malmö, Sweden</t>
  </si>
  <si>
    <t>Lindberg, M., Department of Health, Education and Technology, Division of Health, Medicine and Rehabilitation, Luleå University of Technology, Luleå, Sweden; Ranner, M., Department of Health, Education and Technology, Division of Health, Medicine and Rehabilitation, Luleå University of Technology, Luleå, Sweden; Månsson-Lexell, E., Department of Health Sciences, Lund University, Lund, Sweden, Department of Neurology and Rehabilitation Medicine, Skåne University Hospital, Lund-Malmö, Sweden; Jacobsson, L., Department of Health, Education and Technology, Division of Health, Medicine and Rehabilitation, Luleå University of Technology, Luleå, Sweden; Larsson-Lund, M., Department of Health, Education and Technology, Division of Health, Medicine and Rehabilitation, Luleå University of Technology, Luleå, Sweden</t>
  </si>
  <si>
    <t>Lindberg, M.; Department of Health, Sweden; email: monika.lindberg@ltu.se</t>
  </si>
  <si>
    <t>Workplace learning in Crowdwork Questionnaire (WLCQ): Measuring self-regulated learning and skill development in online platform work</t>
  </si>
  <si>
    <t>10.1111/ijtd.12268</t>
  </si>
  <si>
    <t>14018301800;57760386400;57760499700;</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</si>
  <si>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 © 2022 The Authors. International Journal of Training and Development published by Brian Towers (BRITOW) and John Wiley &amp; Sons Ltd.</t>
  </si>
  <si>
    <t>Margaryan A., Albert J., Charlton-Czaplicki T.</t>
  </si>
  <si>
    <t>International Journal of Training and Development</t>
  </si>
  <si>
    <t>https://www.scopus.com/inward/record.uri?eid=2-s2.0-85131846222&amp;doi=10.1111%2fijtd.12268&amp;partnerID=40&amp;md5=3fbd3f1a0c0ad1d11b83cdcebca7dd9d</t>
  </si>
  <si>
    <t>Department of Digitalization, Copenhagen Business School, Frederiksberg, Denmark; Oxford Internet Institute, The University of Oxford, Oxford, United Kingdom</t>
  </si>
  <si>
    <t>Margaryan, A., Department of Digitalization, Copenhagen Business School, Frederiksberg, Denmark; Albert, J., Oxford Internet Institute, The University of Oxford, Oxford, United Kingdom; Charlton-Czaplicki, T., Department of Digitalization, Copenhagen Business School, Frederiksberg, Denmark</t>
  </si>
  <si>
    <t>Margaryan, A.; Department of Digitalization, Denmark; email: ama.digi@cbs.dk</t>
  </si>
  <si>
    <t>"follow the Sun" workflow in global software development</t>
  </si>
  <si>
    <t>10.2753/MIS0742-1222270102</t>
  </si>
  <si>
    <t>6602090563;56497240600;8938331800;</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</si>
  <si>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 © 2010 M.E. Sharpe, Inc.</t>
  </si>
  <si>
    <t>Carmel E., Espinosa J.A., Dubinsky Y.</t>
  </si>
  <si>
    <t>Journal of Management Information Systems</t>
  </si>
  <si>
    <t>https://www.scopus.com/inward/record.uri?eid=2-s2.0-77955047593&amp;doi=10.2753%2fMIS0742-1222270102&amp;partnerID=40&amp;md5=973abb9556333ec7f52b57ad70488b4c</t>
  </si>
  <si>
    <t>Information Technology Department, Kogod School of Business, American University, United States; Kogod School of Business, American University, United States; IBM Haifa Research Lab (HRL), Israel</t>
  </si>
  <si>
    <t>Carmel, E., Information Technology Department, Kogod School of Business, American University, United States; Espinosa, J.A., Kogod School of Business, American University, United States; Dubinsky, Y., IBM Haifa Research Lab (HRL), Israel</t>
  </si>
  <si>
    <t>Carmel, E.; Information Technology Department, United States</t>
  </si>
  <si>
    <t>‘Grey zones’ within dependent employment: formal and informal forms of on-call work in Germany</t>
  </si>
  <si>
    <t>10.1177/1024258920937960</t>
  </si>
  <si>
    <t>55866855600;55824676400;</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</si>
  <si>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 Cet article vise à faire le point sur les différentes manifestations du travail à la demande en Allemagne. Il montre que le travail à la demande formel est, selon les normes internationales, réglementé assez strictement en Allemagne, grâce notamment à la réforme de la loi en 2019. Toutefois, comme dans d’autres pays, d’autres variantes informelles sont présentes et échappent au champ d’application de la re-réglementation ou de la “normalisation” du travail à la demande formel. Des analyses différenciées, basées sur des données d’enquête, montrent que les variantes formelles et informelles du travail à la demande sont associées à des niveaux proportionnellement trop importants de travail à temps partiel de courte durée, de faibles rémunérations et, par conséquent, à des risques considérables de pauvreté. Dès lors, le débat en cours sur l’érosion du statut de salarié ne devrait pas être strictement limité aux travailleurs indépendants de la gig economy - ou économie des petits boulots (Deliveroo, Uber), mais devrait être étendu aux “zones grises” présentes dans le domaine de l’emploi dépendant. Der vorliegende Artikel zielt auf eine Bestandsaufnahme der verschiedenen Erscheinungsformen von Abrufarbeit in Deutschland und zeigt, dass die formale Variante von Abrufarbeit hier im internationalen Vergleich relativ strikt reguliert ist, nicht zuletzt durch eine Gesetzesreform, die 2019 in Kraft trat. Ähnlich wie in anderen Ländern kommen jedoch andere informelle Varianten zum Einsatz, die außerhalb des Geltungsbereichs der Re-Regulierung oder ‘‘Normalisierung’’ der formellen Abrufarbeit liegen. Differenzierte Analysen auf der Grundlage von Umfragedaten zeigen, dass sowohl formelle als auch informelle Varianten von Abrufarbeit mit einem unverhältnismäßig hohen Anteil an kurzer Teilzeit, Niedriglöhnen und damit einem hohen Armutsrisiko assoziiert sind. Die gegenwärtige Debatte über die Erosion des Arbeitnehmerstatus sollte sich deshalb nicht zu eng auf die Solo-Selbständigen in der Gig-Ökonomie beschränken (Deliveroo, Uber), sondern auch die ‘‘Grauzonen’’ im Bereich der abhängigen Beschäftigung in den Blick nehmen. © The Author(s) 2020.</t>
  </si>
  <si>
    <t>Jaehrling K., Kalina T.</t>
  </si>
  <si>
    <t>Transfer</t>
  </si>
  <si>
    <t>https://www.scopus.com/inward/record.uri?eid=2-s2.0-85088442618&amp;doi=10.1177%2f1024258920937960&amp;partnerID=40&amp;md5=46b58c9edd82c00a8851d8f9190cdd5c</t>
  </si>
  <si>
    <t>University of Duisburg, Essen, Germany</t>
  </si>
  <si>
    <t>Jaehrling, K., University of Duisburg, Essen, Germany; Kalina, T., University of Duisburg, Essen, Germany</t>
  </si>
  <si>
    <t>Jaehrling, K.; University of DuisburgGermany; email: karen.jaehrling@uni-due.de</t>
  </si>
  <si>
    <t>3D printed temporary veneer restoring autotransplanted teeth in children: Design and concept validation ex vivo</t>
  </si>
  <si>
    <t>10.3390/ijerph16030496</t>
  </si>
  <si>
    <t>57205155369;56419881400;57199972416;7005376673;7401996584;</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</si>
  <si>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µm. The overall mean marginal gap was 99.9 ± 50.7 µm (median: 87.8 (IQR 64.2–133 µm)). The internal adaptation evaluation using micro-computed tomography showed an average median gap thickness of 152.5 ± 47.7 (IQR 129–149.3 µm).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 © 2019 by the authors. Licensee MDPI, Basel, Switzerland.</t>
  </si>
  <si>
    <t>Al-Rimawi A., Ezeldeen M., Schneider D., Politis C., Jacobs R.</t>
  </si>
  <si>
    <t>https://www.scopus.com/inward/record.uri?eid=2-s2.0-85061507414&amp;doi=10.3390%2fijerph16030496&amp;partnerID=40&amp;md5=87e7b706ab33822f4d80b40292c8f77a</t>
  </si>
  <si>
    <t>OMFS IMPATH Research Group, Faculty of Medicine, Department of Imaging and Pathology, KU Leuven and Oral and Maxillofacial Surgery, University Hospitals Leuven, Leuven, 3000, Belgium; Department of Dentistry, Royal Medical Services, Jordanian Armed Forces, Amman, 00962, Jordan; Department of Oral Health Sciences, KU Leuven and Paediatric Dentistry and Special Dental Care, University Hospitals Leuven, Leuven, 3000, Belgium; Department of Dental Medicine, Karolinska Institute, Stockholm, SE-171 77, Sweden</t>
  </si>
  <si>
    <t>Al-Rimawi, A., OMFS IMPATH Research Group, Faculty of Medicine, Department of Imaging and Pathology, KU Leuven and Oral and Maxillofacial Surgery, University Hospitals Leuven, Leuven, 3000, Belgium, Department of Dentistry, Royal Medical Services, Jordanian Armed Forces, Amman, 00962, Jordan; Ezeldeen, M., OMFS IMPATH Research Group, Faculty of Medicine, Department of Imaging and Pathology, KU Leuven and Oral and Maxillofacial Surgery, University Hospitals Leuven, Leuven, 3000, Belgium, Department of Oral Health Sciences, KU Leuven and Paediatric Dentistry and Special Dental Care, University Hospitals Leuven, Leuven, 3000, Belgium; Schneider, D., OMFS IMPATH Research Group, Faculty of Medicine, Department of Imaging and Pathology, KU Leuven and Oral and Maxillofacial Surgery, University Hospitals Leuven, Leuven, 3000, Belgium; Politis, C., OMFS IMPATH Research Group, Faculty of Medicine, Department of Imaging and Pathology, KU Leuven and Oral and Maxillofacial Surgery, University Hospitals Leuven, Leuven, 3000, Belgium; Jacobs, R., OMFS IMPATH Research Group, Faculty of Medicine, Department of Imaging and Pathology, KU Leuven and Oral and Maxillofacial Surgery, University Hospitals Leuven, Leuven, 3000, Belgium, Department of Dental Medicine, Karolinska Institute, Stockholm, SE-171 77, Sweden</t>
  </si>
  <si>
    <t>Ezeldeen, M.; OMFS IMPATH Research Group, Belgium; email: mostafa.ezeldeen@kuleuven.be</t>
  </si>
  <si>
    <t>55616335800;54411374000;15128400200;</t>
  </si>
  <si>
    <t>Sangaiah, A.K.; School of Computing Science and Engineering, India</t>
  </si>
  <si>
    <t>A comparison of speaker-based and utterance-based data selection for text-to-speech synthesis</t>
  </si>
  <si>
    <t>10.21437/Interspeech.2018-1313</t>
  </si>
  <si>
    <t>57200079715;57220570427;7005619286;</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</si>
  <si>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 © 2018 International Speech Communication Association. All rights reserved.</t>
  </si>
  <si>
    <t>Lee K.-Z., Cooper E., Hirschberg J.</t>
  </si>
  <si>
    <t>https://www.scopus.com/inward/record.uri?eid=2-s2.0-85054982995&amp;doi=10.21437%2fInterspeech.2018-1313&amp;partnerID=40&amp;md5=cb5febc04240ffb54a3848d9a276a92b</t>
  </si>
  <si>
    <t>Columbia University, United States</t>
  </si>
  <si>
    <t>Lee, K.-Z., Columbia University, United States; Cooper, E., Columbia University, United States; Hirschberg, J., Columbia University, United States</t>
  </si>
  <si>
    <t>A comparison of team performance measures for global software development student teams</t>
  </si>
  <si>
    <t>10.1109/ICGSE.2009.36</t>
  </si>
  <si>
    <t>6701676240;6602568315;13410422400;57215572330;6701519251;55507874700;</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</si>
  <si>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 © 2009 IEEE.</t>
  </si>
  <si>
    <t>Swigger K., Brazile R., Serce F.C., Dafoulas G., Alpaslan F.N., Lopez V.</t>
  </si>
  <si>
    <t>https://www.scopus.com/inward/record.uri?eid=2-s2.0-71049191522&amp;doi=10.1109%2fICGSE.2009.36&amp;partnerID=40&amp;md5=45872507bffb18e5169de97ab4538c3a</t>
  </si>
  <si>
    <t>University of North Texas, United States; Atlim University, Turkey; Middlesex University, United Kingdom; Middle East Tech. University, Turkey; Universidad Tecnológica de Panamá, Panama</t>
  </si>
  <si>
    <t>Swigger, K., University of North Texas, United States; Brazile, R., University of North Texas, United States; Serce, F.C., Atlim University, Turkey; Dafoulas, G., Middlesex University, United Kingdom; Alpaslan, F.N., Middle East Tech. University, Turkey; Lopez, V., Universidad Tecnológica de Panamá, Panama</t>
  </si>
  <si>
    <t>Swigger, K.; University of North TexasUnited States; email: kathy@cs.unt.edu</t>
  </si>
  <si>
    <t>A Comparison of Three Online Recruitment Strategies for Engaging Parents</t>
  </si>
  <si>
    <t>10.1111/fare.12206</t>
  </si>
  <si>
    <t>7006621592;56597860900;57191622770;56235871700;</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</si>
  <si>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 © 2016 National Council on Family Relations</t>
  </si>
  <si>
    <t>Dworkin J., Hessel H., Gliske K., Rudi J.H.</t>
  </si>
  <si>
    <t>Family Relations</t>
  </si>
  <si>
    <t>https://www.scopus.com/inward/record.uri?eid=2-s2.0-84992073853&amp;doi=10.1111%2ffare.12206&amp;partnerID=40&amp;md5=50cf3f5e62e12cea3e393e532fa20c24</t>
  </si>
  <si>
    <t>University of Minnesota, United States</t>
  </si>
  <si>
    <t>Dworkin, J., University of Minnesota, United States; Hessel, H., University of Minnesota, United States; Gliske, K., University of Minnesota, United States; Rudi, J.H., University of Minnesota, United States</t>
  </si>
  <si>
    <t>Dworkin, J.; University of MinnesotaUnited States; email: jdworkin@umn.edu</t>
  </si>
  <si>
    <t>A comparison of time-aware ranking methods</t>
  </si>
  <si>
    <t>10.1145/2009916.2010147</t>
  </si>
  <si>
    <t>25632601500;6701624663;</t>
  </si>
  <si>
    <t>When searching a temporal document collection, e.g., news archives or blogs, the time dimension must be explicitly incorporated into a retrieval model in order to improve relevance ranking. Previous work has followed one of two main approaches: 1) a mixture model linearly combining textual similarity and temporal similarity, or 2) a probabilistic model generating a query from the textual and temporal part of a document independently. In this paper, we compare the effectiveness of different time-aware ranking methods by using a mixture model applied to all methods. Extensive evaluation is conducted using the New York Times Annotated Corpus, queries and relevance judgments obtained using the Amazon Mechanical Turk.</t>
  </si>
  <si>
    <t>Kanhabua N., Nørvåg K.</t>
  </si>
  <si>
    <t>SIGIR'11 - Proceedings of the 34th International ACM SIGIR Conference on Research and Development in Information Retrieval</t>
  </si>
  <si>
    <t>https://www.scopus.com/inward/record.uri?eid=2-s2.0-80052129128&amp;doi=10.1145%2f2009916.2010147&amp;partnerID=40&amp;md5=5ea1ba50419770925105f2c794883370</t>
  </si>
  <si>
    <t>Dept. of Computer Science, Norwegian University of Science and Technology, Trondheim, Norway</t>
  </si>
  <si>
    <t>Kanhabua, N., Dept. of Computer Science, Norwegian University of Science and Technology, Trondheim, Norway; Nørvåg, K., Dept. of Computer Science, Norwegian University of Science and Technology, Trondheim, Norway</t>
  </si>
  <si>
    <t>Kanhabua, N.; Dept. of Computer Science, , Trondheim, Norway; email: nattiya@idi.ntnu.no</t>
  </si>
  <si>
    <t>A conceptual framework to study the role of communication through social software for coordination in globally-distributed software teams</t>
  </si>
  <si>
    <t>10.1016/j.infsof.2015.02.013</t>
  </si>
  <si>
    <t>Background In Global Software Development (GSD) the lack of face-to-face communication is a major challenge and effective computer-mediated practices are necessary to mitigate the effect of physical distance. Communication through Social Software (SoSo)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 2015 Elsevier B.V.</t>
  </si>
  <si>
    <t>https://www.scopus.com/inward/record.uri?eid=2-s2.0-84928139330&amp;doi=10.1016%2fj.infsof.2015.02.013&amp;partnerID=40&amp;md5=6d8375b99cf402d041c2d4d92880e73e</t>
  </si>
  <si>
    <t>IT University of Copenhagen - Software and System Section, Copenhagen, Denmark</t>
  </si>
  <si>
    <t>Giuffrida, R., IT University of Copenhagen - Software and System Section, Copenhagen, Denmark; Dittrich, Y., IT University of Copenhagen - Software and System Section, Copenhagen, Denmark</t>
  </si>
  <si>
    <t>Giuffrida, R.; IT University of Copenhagen - Software and System SectionDenmark; email: rogi@itu.dk</t>
  </si>
  <si>
    <t>A context-aware approach for trustworthy worker selection in social crowd</t>
  </si>
  <si>
    <t>10.1007/s11280-016-0429-6</t>
  </si>
  <si>
    <t>57190844699;55634441600;35250023000;17435039000;57191700379;8837009900;</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</si>
  <si>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 © 2017, Springer Science+Business Media New York.</t>
  </si>
  <si>
    <t>Zhao Y., Liu G., Zheng K., Liu A., Li Z., Zhou X.</t>
  </si>
  <si>
    <t>World Wide Web</t>
  </si>
  <si>
    <t>https://www.scopus.com/inward/record.uri?eid=2-s2.0-85010723262&amp;doi=10.1007%2fs11280-016-0429-6&amp;partnerID=40&amp;md5=c6d0ee98278f2855581fafadf75148ed</t>
  </si>
  <si>
    <t>School of Computer Science and Technology, Soochow University, Suzhou, China; School of Information Technology and Electrical Engineering, Queensland University, St Lucia, QLD  4072, Australia; State Key Laboratory of Networking and Switching Technology (Beijing University of Posts and Telecommunications), Beijing, China</t>
  </si>
  <si>
    <t>Zhao, Y., School of Computer Science and Technology, Soochow University, Suzhou, China; Liu, G., School of Computer Science and Technology, Soochow University, Suzhou, China, State Key Laboratory of Networking and Switching Technology (Beijing University of Posts and Telecommunications), Beijing, China; Zheng, K., School of Computer Science and Technology, Soochow University, Suzhou, China; Liu, A., School of Computer Science and Technology, Soochow University, Suzhou, China; Li, Z., School of Computer Science and Technology, Soochow University, Suzhou, China; Zhou, X., School of Computer Science and Technology, Soochow University, Suzhou, China, School of Information Technology and Electrical Engineering, Queensland University, St Lucia, QLD  4072, Australia</t>
  </si>
  <si>
    <t>Liu, G.; School of Computer Science and Technology, China; email: gfliu@suda.edu.cn</t>
  </si>
  <si>
    <t>A cost efficient multi remote driver selection for remote operated vehicles</t>
  </si>
  <si>
    <t>10.1016/j.comnet.2019.107029</t>
  </si>
  <si>
    <t>57202037457;8985781100;</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</si>
  <si>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 2019</t>
  </si>
  <si>
    <t>Gohar A., Lee S.</t>
  </si>
  <si>
    <t>Computer Networks</t>
  </si>
  <si>
    <t>https://www.scopus.com/inward/record.uri?eid=2-s2.0-85076098351&amp;doi=10.1016%2fj.comnet.2019.107029&amp;partnerID=40&amp;md5=e040078aa2870c6dc1492b0634829455</t>
  </si>
  <si>
    <t>Department of Computer Science, Kookmin University, Seoul, South Korea</t>
  </si>
  <si>
    <t>Gohar, A., Department of Computer Science, Kookmin University, Seoul, South Korea; Lee, S., Department of Computer Science, Kookmin University, Seoul, South Korea</t>
  </si>
  <si>
    <t>Lee, S.; Department of Computer Science, South Korea; email: sanghwan@kookmin.ac.kr</t>
  </si>
  <si>
    <t>A cross-level investigation of informal field-based learning and performance improvements</t>
  </si>
  <si>
    <t>10.1037/apl0000267</t>
  </si>
  <si>
    <t>57195713543;7102937291;7102164806;16402720000;</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</si>
  <si>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 © 2017 American Psychological Association.</t>
  </si>
  <si>
    <t>Wolfson M.A., Tannenbaum S.I., Mathieu J.E., Maynard M.T.</t>
  </si>
  <si>
    <t>https://www.scopus.com/inward/record.uri?eid=2-s2.0-85029580811&amp;doi=10.1037%2fapl0000267&amp;partnerID=40&amp;md5=5c8de55fb11f2d9b0ac71bf4971afdaa</t>
  </si>
  <si>
    <t>Management Department, University of Connecticut, United States; Organizational Effectiveness (gOE), Albany, NY, United States; Management Department, Colorado State University, United States</t>
  </si>
  <si>
    <t>Wolfson, M.A., Management Department, University of Connecticut, United States; Tannenbaum, S.I., Organizational Effectiveness (gOE), Albany, NY, United States; Mathieu, J.E., Management Department, University of Connecticut, United States; Maynard, M.T., Management Department, Colorado State University, United States</t>
  </si>
  <si>
    <t>Wolfson, M.A.; Management Department, 2100 Hillside Road, Unit 1041 Storrs, United States; email: mikhail.wolfson@uconn.edu</t>
  </si>
  <si>
    <t>A crowdsourced nickel-and-dime approach to analog OBM research: A behavioral economic framework for understanding workforce attrition</t>
  </si>
  <si>
    <t>10.1002/jeab.220</t>
  </si>
  <si>
    <t>56982747100;35344485200;14627885100;55189634600;</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</si>
  <si>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 max) may be used to set goals for employee behavior while balancing organizational costs, and how economy type may have influenced observed outcomes. © 2016 Society for the Experimental Analysis of Behavior</t>
  </si>
  <si>
    <t>Henley A.J., DiGennaro Reed F.D., Reed D.D., Kaplan B.A.</t>
  </si>
  <si>
    <t>https://www.scopus.com/inward/record.uri?eid=2-s2.0-84983616374&amp;doi=10.1002%2fjeab.220&amp;partnerID=40&amp;md5=af683a421935afe6afd529130b7b092a</t>
  </si>
  <si>
    <t>University of Kansas, United States</t>
  </si>
  <si>
    <t>Henley, A.J., University of Kansas, United States; DiGennaro Reed, F.D., University of Kansas, United States; Reed, D.D., University of Kansas, United States; Kaplan, B.A., University of Kansas, United States</t>
  </si>
  <si>
    <t>DiGennaro Reed, F.D.; University of KansasUnited States; email: fdreed@ku.edu</t>
  </si>
  <si>
    <t>A Domain Ontology for Software Requirements Change Management in Global Software Development Environment</t>
  </si>
  <si>
    <t>10.1109/ACCESS.2019.2909839</t>
  </si>
  <si>
    <t>57215025504;55400645200;7101802909;</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</si>
  <si>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Protégé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 © 2013 IEEE.</t>
  </si>
  <si>
    <t>Alsanad A.A., Chikh A., Mirza A.</t>
  </si>
  <si>
    <t>https://www.scopus.com/inward/record.uri?eid=2-s2.0-85065128605&amp;doi=10.1109%2fACCESS.2019.2909839&amp;partnerID=40&amp;md5=134ade025e02d61d68db3b35220e2eb0</t>
  </si>
  <si>
    <t>College of Computer and Information Sciences/Information Systems, Imam Mohammad Ibn Saud Islamic University, Riyadh, 11432, Saudi Arabia; College of Computer and Information Sciences/Information Systems, King Saud University, Riyadh, 11362, Saudi Arabia; Department of Computer Sciences, University of Tlemcen, Tlemcen, 13000, Algeria</t>
  </si>
  <si>
    <t>Alsanad, A.A., College of Computer and Information Sciences/Information Systems, Imam Mohammad Ibn Saud Islamic University, Riyadh, 11432, Saudi Arabia, College of Computer and Information Sciences/Information Systems, King Saud University, Riyadh, 11362, Saudi Arabia; Chikh, A., Department of Computer Sciences, University of Tlemcen, Tlemcen, 13000, Algeria; Mirza, A., College of Computer and Information Sciences/Information Systems, King Saud University, Riyadh, 11362, Saudi Arabia</t>
  </si>
  <si>
    <t>Alsanad, A.A.; College of Computer and Information Sciences/Information Systems, Saudi Arabia; email: aaasanad@imamu.edu.sa</t>
  </si>
  <si>
    <t>A framework for groupware-supported software architecture evaluation process in global software development</t>
  </si>
  <si>
    <t>10.1002/smr.478</t>
  </si>
  <si>
    <t>6602842620;</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</si>
  <si>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 2010 John Wiley &amp; Sons, Ltd.</t>
  </si>
  <si>
    <t>Babar M.A.</t>
  </si>
  <si>
    <t>https://www.scopus.com/inward/record.uri?eid=2-s2.0-84863329115&amp;doi=10.1002%2fsmr.478&amp;partnerID=40&amp;md5=86843d3b3b04ee4317729d7a32b027a7</t>
  </si>
  <si>
    <t>IT University of Copenhagen, Rued Langgaards, Vej 7, DK 2300, Copenhagen, Denmark</t>
  </si>
  <si>
    <t>Babar, M.A., IT University of Copenhagen, Rued Langgaards, Vej 7, DK 2300, Copenhagen, Denmark</t>
  </si>
  <si>
    <t>Babar, M.A.; IT University of Copenhagen, Rued Langgaards, Vej 7, DK 2300, Copenhagen, Denmark; email: malibaba@itu.dk</t>
  </si>
  <si>
    <t>A framework for supporting management in distributed information systems development</t>
  </si>
  <si>
    <t>10.1109/RCIS.2008.4632128</t>
  </si>
  <si>
    <t>55887238400;25825267000;23767156200;55597087704;</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</si>
  <si>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</si>
  <si>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Ralyté J., Lamielle X., Arni-Bloch N., Léonard M.</t>
  </si>
  <si>
    <t>Proceedings of the 2nd International Conference on Research Challenges in Information Science, RCIS 2008</t>
  </si>
  <si>
    <t>https://www.scopus.com/inward/record.uri?eid=2-s2.0-57349178021&amp;doi=10.1109%2fRCIS.2008.4632128&amp;partnerID=40&amp;md5=aa5a3621b586767063c124b451c88e89</t>
  </si>
  <si>
    <t>Department of Information Systems, University of Geneva, CUI, 24 rue du Général Dufour, CH-1204 Geneva, Switzerland; Financial Software Group, Geneva, Switzerland</t>
  </si>
  <si>
    <t>Ralyté, J., Department of Information Systems, University of Geneva, CUI, 24 rue du Général Dufour, CH-1204 Geneva, Switzerland; Lamielle, X., Financial Software Group, Geneva, Switzerland; Arni-Bloch, N., Department of Information Systems, University of Geneva, CUI, 24 rue du Général Dufour, CH-1204 Geneva, Switzerland; Léonard, M., Department of Information Systems, University of Geneva, CUI, 24 rue du Général Dufour, CH-1204 Geneva, Switzerland</t>
  </si>
  <si>
    <t>Ralyté, J.; Department of Information Systems, 24 rue du Général Dufour, CH-1204 Geneva, Switzerland; email: Jolita.Ralyte@cui.unige.ch</t>
  </si>
  <si>
    <t>A framework for supporting the software architecture evaluation process in global software development</t>
  </si>
  <si>
    <t>10.1109/ICGSE.2009.17</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</si>
  <si>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 © 2009 IEEE.</t>
  </si>
  <si>
    <t>https://www.scopus.com/inward/record.uri?eid=2-s2.0-71049151646&amp;doi=10.1109%2fICGSE.2009.17&amp;partnerID=40&amp;md5=7bfa8d4980cbeccc5305d8a7c7b35428</t>
  </si>
  <si>
    <t>Lero, University of Limerick, Ireland</t>
  </si>
  <si>
    <t>Babar, M.A., Lero, University of Limerick, Ireland</t>
  </si>
  <si>
    <t>Babar, M. A.; Lero, Ireland; email: malibaba@lero.ie</t>
  </si>
  <si>
    <t>8987224400;16232325400;57119627900;</t>
  </si>
  <si>
    <t>36187835500;55027970600;</t>
  </si>
  <si>
    <t>Elias, G.; Informatics Center, Brazil; email: gledson@ci.ufpb.br</t>
  </si>
  <si>
    <t>A global approach to graduate education and research training</t>
  </si>
  <si>
    <t>26038777300;55735316700;</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</si>
  <si>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stakeholders-doctoral students, faculty, and designers-and is based on both opinion data and real data retrieved from the learning portal and is designed to provide proof-of-concept for virtual collaborative doctoral research training.</t>
  </si>
  <si>
    <t>Moser-Mercer B., Class B.</t>
  </si>
  <si>
    <t>Proceedings of the European Conference on e-Learning, ECEL</t>
  </si>
  <si>
    <t>https://www.scopus.com/inward/record.uri?eid=2-s2.0-84899532907&amp;partnerID=40&amp;md5=fae80c9c62e1af9341e04ac136803af0</t>
  </si>
  <si>
    <t>Department of Interpreting, Faculty of Translation and Interpreting, University of Geneva, Geneva, Switzerland</t>
  </si>
  <si>
    <t>Moser-Mercer, B., Department of Interpreting, Faculty of Translation and Interpreting, University of Geneva, Geneva, Switzerland; Class, B., Department of Interpreting, Faculty of Translation and Interpreting, University of Geneva, Geneva, Switzerland</t>
  </si>
  <si>
    <t>A gold standard for scalar adjectives</t>
  </si>
  <si>
    <t>57198803805;7005499321;</t>
  </si>
  <si>
    <t>We present a gold standard for evaluating scale membership and the order of scalar adjectives. In addition to evaluating existing methods of ordering adjectives, this knowledge will aid in studying the organization of adjectives in the lexicon. This resource is the result of two elicitation tasks conducted with informants from Amazon Mechanical Turk. The first task is notable for gathering open-ended lexical data from informants. The data is analyzed using Cultural Consensus Theory, a framework from anthropology, to not only determine scale membership but also the level of consensus among the informants (Romney et al., 1986). The second task gathers a culturally salient ordering of the words determined to be members. We use this method to produce 12 scales of adjectives for use in evaluation.</t>
  </si>
  <si>
    <t>Wilkinson B., Oates T.</t>
  </si>
  <si>
    <t>Proceedings of the 10th International Conference on Language Resources and Evaluation, LREC 2016</t>
  </si>
  <si>
    <t>https://www.scopus.com/inward/record.uri?eid=2-s2.0-85037062933&amp;partnerID=40&amp;md5=3d4d5c3870ff8bfeb6f6edc5c4e81856</t>
  </si>
  <si>
    <t>University of Maryland, Baltimore County, 1000 Hilltop Circle, Baltimore, MD  21250, United States</t>
  </si>
  <si>
    <t>Wilkinson, B., University of Maryland, Baltimore County, 1000 Hilltop Circle, Baltimore, MD  21250, United States; Oates, T., University of Maryland, Baltimore County, 1000 Hilltop Circle, Baltimore, MD  21250, United States</t>
  </si>
  <si>
    <t>A Joint Gaussian Process Model for Active Visual Recognition with Expertise Estimation in Crowdsourcing</t>
  </si>
  <si>
    <t>10.1007/s11263-015-0834-9</t>
  </si>
  <si>
    <t>23976218300;57215375265;36856640700;</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</si>
  <si>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 © 2015, Springer Science+Business Media New York.</t>
  </si>
  <si>
    <t>Long C., Hua G., Kapoor A.</t>
  </si>
  <si>
    <t>International Journal of Computer Vision</t>
  </si>
  <si>
    <t>https://www.scopus.com/inward/record.uri?eid=2-s2.0-84955211146&amp;doi=10.1007%2fs11263-015-0834-9&amp;partnerID=40&amp;md5=b13dbf530f5591f6c88a652209dfce72</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</si>
  <si>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</si>
  <si>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</si>
  <si>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Hua, G.; Stevens Institute of TechnologyUnited States; email: ganghua@gmail.com</t>
  </si>
  <si>
    <t>A Latent Profile Analysis of Bisexual Identity: Evidence of Within-Group Diversity</t>
  </si>
  <si>
    <t>10.1007/s10508-018-1325-1</t>
  </si>
  <si>
    <t>57192893655;36495328400;6603039278;57204689998;</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</si>
  <si>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 = 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 © 2018, Springer Science+Business Media, LLC, part of Springer Nature.</t>
  </si>
  <si>
    <t>Choi A.Y., Nylund-Gibson K., Israel T., Mendez S.E.A.</t>
  </si>
  <si>
    <t>https://www.scopus.com/inward/record.uri?eid=2-s2.0-85056725859&amp;doi=10.1007%2fs10508-018-1325-1&amp;partnerID=40&amp;md5=62ecf1872e569e63ac25d30d48f5625e</t>
  </si>
  <si>
    <t>Department of Counseling, Clinical, and School Psychology, University of California, Santa Barbara, Santa Barbara, CA  93106, United States; Department of Education, University of California, Santa Barbara, Santa Barbara, CA, United States</t>
  </si>
  <si>
    <t>Choi, A.Y., Department of Counseling, Clinical, and School Psychology, University of California, Santa Barbara, Santa Barbara, CA  93106, United States; Nylund-Gibson, K., Department of Education, University of California, Santa Barbara, Santa Barbara, CA, United States; Israel, T., Department of Counseling, Clinical, and School Psychology, University of California, Santa Barbara, Santa Barbara, CA  93106, United States; Mendez, S.E.A., Department of Counseling, Clinical, and School Psychology, University of California, Santa Barbara, Santa Barbara, CA  93106, United States</t>
  </si>
  <si>
    <t>Choi, A.Y.; Department of Counseling, United States; email: achoi@ucsb.edu</t>
  </si>
  <si>
    <t>A legal approach to real estate crowdfunding platforms</t>
  </si>
  <si>
    <t>10.1016/j.clsr.2019.02.003</t>
  </si>
  <si>
    <t>57194188876;</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</si>
  <si>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 2019 Rosa M. Garcia-Teruel</t>
  </si>
  <si>
    <t>Garcia-Teruel R.M.</t>
  </si>
  <si>
    <t>Computer Law and Security Review</t>
  </si>
  <si>
    <t>https://www.scopus.com/inward/record.uri?eid=2-s2.0-85062658593&amp;doi=10.1016%2fj.clsr.2019.02.003&amp;partnerID=40&amp;md5=f0b437faad6242bf4c00bee32ca59745</t>
  </si>
  <si>
    <t>UNESCO Housing Chair, Department of Private, Procedural and Financial Law, Rovira i Virgili University, Tarragona, Spain</t>
  </si>
  <si>
    <t>Garcia-Teruel, R.M., UNESCO Housing Chair, Department of Private, Procedural and Financial Law, Rovira i Virgili University, Tarragona, Spain</t>
  </si>
  <si>
    <t>A method of requirements elicitation and analysis for Global Software Development</t>
  </si>
  <si>
    <t>10.1002/smr.1830</t>
  </si>
  <si>
    <t>56591523100;55819839400;</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</si>
  <si>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 Copyright © 2016 John Wiley &amp; Sons, Ltd.</t>
  </si>
  <si>
    <t>Ali N., Lai R.</t>
  </si>
  <si>
    <t>https://www.scopus.com/inward/record.uri?eid=2-s2.0-84995584073&amp;doi=10.1002%2fsmr.1830&amp;partnerID=40&amp;md5=06b8e3893b4e963a9d5daf6568f4358e</t>
  </si>
  <si>
    <t>Department of Computer Science and Information Technology, La Trobe University, Melbourne, VIC  3083, Australia</t>
  </si>
  <si>
    <t>Ali, N.; Lai, R., Department of Computer Science and Information Technology, La Trobe University, Melbourne, VIC  3083, Australia</t>
  </si>
  <si>
    <t>Lai, R.; Department of Computer Science and Information Technology, Australia; email: r.lai@latrobe.edu.au</t>
  </si>
  <si>
    <t>A personalized BDM mechanism for efficient market intervention experiments</t>
  </si>
  <si>
    <t>10.1145/3219166.3219220</t>
  </si>
  <si>
    <t>56507299900;24451324300;</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</si>
  <si>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 © 2018 Association for Computing Machinery.</t>
  </si>
  <si>
    <t>Arrieta-Ibarra I., Ugander J.</t>
  </si>
  <si>
    <t>ACM EC 2018 - Proceedings of the 2018 ACM Conference on Economics and Computation</t>
  </si>
  <si>
    <t>https://www.scopus.com/inward/record.uri?eid=2-s2.0-85050089999&amp;doi=10.1145%2f3219166.3219220&amp;partnerID=40&amp;md5=0ed8073d9d4841b78821be2cd5a73b56</t>
  </si>
  <si>
    <t>Stanford University, Management Science and Engineering, Stanford, CA  94305, United States</t>
  </si>
  <si>
    <t>Arrieta-Ibarra, I., Stanford University, Management Science and Engineering, Stanford, CA  94305, United States; Ugander, J., Stanford University, Management Science and Engineering, Stanford, CA  94305, United States</t>
  </si>
  <si>
    <t>57194854558;11339043800;56589533300;57226590668;55634456000;25654413000;</t>
  </si>
  <si>
    <t>A preliminary user evaluation of an infrastructure to support Activity-Based Computing in global software development (ABC4GSD)</t>
  </si>
  <si>
    <t>10.1109/ICGSE.2013.20</t>
  </si>
  <si>
    <t>36969458900;6602842620;7102156137;</t>
  </si>
  <si>
    <t>Global Software Engineering (GSE) teams face challenges due to the need to replace traditional physical presence interactions and co-ordination with computer-mediated means. A vast majority of the available tool support for distributed collaboration is deep-seated in a desktop metaphor introduced in the '70s, and huge efforts are being devoted to overcome its known limitations. Over the last few years we have looked into the feasibility of providing an approach based on Activity-Based Computing (ABC) to address these issues in a novel way. We have developed a middleware and support tool, ABC4GSD, to enable collaborative distributed features in an application, while maintaining common interactions with the workstation that users are accustomed to. In this paper we present the results of a user evaluation we conducted on ABC4GSD using exemplar GSE scenarios. Participants' responses show positive and encouraging reception of the activity-based approach to supporting GSE.</t>
  </si>
  <si>
    <t>Tell P., Babar M.A., Grundy J.</t>
  </si>
  <si>
    <t>https://www.scopus.com/inward/record.uri?eid=2-s2.0-84887484148&amp;doi=10.1109%2fICGSE.2013.20&amp;partnerID=40&amp;md5=13c7800981630188a8c48b503f9a470d</t>
  </si>
  <si>
    <t>Software System Section, IT University of Copenhagen, Denmark; Lancaster University, United Kingdom; Centre for Computing and Engineering Software Systems, Swinburne University of Technology, Australia</t>
  </si>
  <si>
    <t>Tell, P., Software System Section, IT University of Copenhagen, Denmark; Babar, M.A., Software System Section, IT University of Copenhagen, Denmark, Lancaster University, United Kingdom; Grundy, J., Centre for Computing and Engineering Software Systems, Swinburne University of Technology, Australia</t>
  </si>
  <si>
    <t>A real time anti-spamming system in crowdsourcing platform</t>
  </si>
  <si>
    <t>10.1109/ICSESS.2016.7883230</t>
  </si>
  <si>
    <t>57118645500;</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</si>
  <si>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 © 2016 IEEE.</t>
  </si>
  <si>
    <t>Chen X.</t>
  </si>
  <si>
    <t>Proceedings of the IEEE International Conference on Software Engineering and Service Sciences, ICSESS</t>
  </si>
  <si>
    <t>https://www.scopus.com/inward/record.uri?eid=2-s2.0-85016944067&amp;doi=10.1109%2fICSESS.2016.7883230&amp;partnerID=40&amp;md5=53e7ed7a7818a2d15d3a67c064c4bbc1</t>
  </si>
  <si>
    <t>School of Information Science and Technology, Lingnan Normal University, Zhanjiang, Guangdong, 524048, China</t>
  </si>
  <si>
    <t>Chen, X., School of Information Science and Technology, Lingnan Normal University, Zhanjiang, Guangdong, 524048, China</t>
  </si>
  <si>
    <t>Chen, X.; School of Information Science and Technology, China; email: chenxia3168@foxmail.com</t>
  </si>
  <si>
    <t>A reference model for global software development</t>
  </si>
  <si>
    <t>13612977400;6701628401;6602314990;</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</si>
  <si>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 © 2004 Springer Science + Business Media, Inc.</t>
  </si>
  <si>
    <t>Prikladnicki R., Audy J.L.N., Evaristo R.</t>
  </si>
  <si>
    <t>IFIP Advances in Information and Communication Technology</t>
  </si>
  <si>
    <t>https://www.scopus.com/inward/record.uri?eid=2-s2.0-77953896165&amp;partnerID=40&amp;md5=84c4630ba6a3ed343c79ae6433b267a6</t>
  </si>
  <si>
    <t>School of Computer Science, PUCRS, Brazil; College of Business Administration, University of Illinois at Chicago, United States</t>
  </si>
  <si>
    <t>Prikladnicki, R., School of Computer Science, PUCRS, Brazil; Audy, J.L.N., School of Computer Science, PUCRS, Brazil; Evaristo, R., College of Business Administration, University of Illinois at Chicago, United States</t>
  </si>
  <si>
    <t>A reference model for global software development: Findings from a case study</t>
  </si>
  <si>
    <t>10.1109/ICGSE.2006.261212</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</si>
  <si>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 © 2006 IEEE.</t>
  </si>
  <si>
    <t>Proceedings - 2006 IEEE International Conference on Global Software Engineering, ICGSE 2006</t>
  </si>
  <si>
    <t>https://www.scopus.com/inward/record.uri?eid=2-s2.0-38649090074&amp;doi=10.1109%2fICGSE.2006.261212&amp;partnerID=40&amp;md5=71bc94b4283c0b5abf3a71573b1e1bda</t>
  </si>
  <si>
    <t>PUCRS, Brazil; Univ. of Illinois, Chicago, United States</t>
  </si>
  <si>
    <t>Prikladnicki, R., PUCRS, Brazil; Audy, J.L.N., PUCRS, Brazil; Evaristo, R., Univ. of Illinois, Chicago, United States</t>
  </si>
  <si>
    <t>Prikladnicki, R.; PUCRSBrazil; email: rafael@inf.pucrs.br</t>
  </si>
  <si>
    <t>A scalable framework to detect personal health mentions on Twitter</t>
  </si>
  <si>
    <t>10.2196/jmir.4305</t>
  </si>
  <si>
    <t>56714518200;51663119900;7003853908;6602093073;</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</si>
  <si>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 (1/100)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</si>
  <si>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 Fabbri D., Rosenbloom S.T., Malin B.</t>
  </si>
  <si>
    <t>https://www.scopus.com/inward/record.uri?eid=2-s2.0-84936754564&amp;doi=10.2196%2fjmir.4305&amp;partnerID=40&amp;md5=3999405c56101e5479af42093d2d20ec</t>
  </si>
  <si>
    <t>Dept. of Electrical Engineering and Computer Science, Vanderbilt University, 2525 West End Avenue, Nashville, TN  37203, United States;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t>
  </si>
  <si>
    <t>Yin, Z., Dept. of Electrical Engineering and Computer Science, Vanderbilt University, 2525 West End Avenue, Nashville, TN  37203, United States; Fabbri, D., Dept. of Electrical Engineering and Computer Science, Vanderbilt University, 2525 West End Avenue, Nashville, TN  37203, United States, Dept. of Biomedical Informatics, Vanderbilt University, Nashville, TN, United States; Rosenbloom, S.T.,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 Malin, B., Dept. of Electrical Engineering and Computer Science, Vanderbilt University, 2525 West End Avenue, Nashville, TN  37203, United States, Dept. of Biomedical Informatics, Vanderbilt University, Nashville, TN, United States</t>
  </si>
  <si>
    <t>Malin, B.; Dept. of Electrical Engineering and Computer Science, 2525 West End Avenue, United States; email: b.malin@vanderbilt.edu</t>
  </si>
  <si>
    <t>Vizcaíno, A.; Universidad Castilla-La Mancha, Mexico; email: aurora.vizcaino@uclm.es</t>
  </si>
  <si>
    <t>A study of critical factors affecting adoption of self-customisation service–focused on value-based adoption model</t>
  </si>
  <si>
    <t>10.1080/14783363.2019.1665822</t>
  </si>
  <si>
    <t>57211332715;57203173746;56126659900;</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</si>
  <si>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 © 2019, © 2019 Informa UK Limited, trading as Taylor &amp; Francis Group.</t>
  </si>
  <si>
    <t>Yu H., Seo I., Choi J.</t>
  </si>
  <si>
    <t>Total Quality Management and Business Excellence</t>
  </si>
  <si>
    <t>https://www.scopus.com/inward/record.uri?eid=2-s2.0-85073545794&amp;doi=10.1080%2f14783363.2019.1665822&amp;partnerID=40&amp;md5=7138f2f0f06ad79fc53947bb053648b4</t>
  </si>
  <si>
    <t>College of Business Administration, Soongsil University, Seoul, South Korea</t>
  </si>
  <si>
    <t>Yu, H., College of Business Administration, Soongsil University, Seoul, South Korea; Seo, I., College of Business Administration, Soongsil University, Seoul, South Korea; Choi, J., College of Business Administration, Soongsil University, Seoul, South Korea</t>
  </si>
  <si>
    <t>Choi, J.; College of Business Administration, South Korea; email: jichoi@ssu.ac.kr</t>
  </si>
  <si>
    <t>A study of the impact of global software development in packaged software release planning</t>
  </si>
  <si>
    <t>25653963200;16069494100;16031087300;57207533415;</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</si>
  <si>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 © J.UCS.</t>
  </si>
  <si>
    <t>Colomo-Palacios R., Soto-Acosta P., García-Peñalvo F.J., García-Crespo Á.</t>
  </si>
  <si>
    <t>Journal of Universal Computer Science</t>
  </si>
  <si>
    <t>https://www.scopus.com/inward/record.uri?eid=2-s2.0-84873559398&amp;partnerID=40&amp;md5=0f94efd896c5f038803188de38d67256</t>
  </si>
  <si>
    <t>Universidad Carlos III de Madrid, Leganés (Madrid), Spain; Universidad de Murcia, Murcia, Spain; Universidad de Salamanca, Salamanca, Spain</t>
  </si>
  <si>
    <t>Colomo-Palacios, R., Universidad Carlos III de Madrid, Leganés (Madrid), Spain; Soto-Acosta, P., Universidad de Murcia, Murcia, Spain; García-Peñalvo, F.J., Universidad de Salamanca, Salamanca, Spain; García-Crespo, Á., Universidad Carlos III de Madrid, Leganés (Madrid), Spain</t>
  </si>
  <si>
    <t>Colomo-Palacios, R.; Universidad Carlos III de Madrid, Leganés (Madrid), Spain; email: ricardo.colomo@uc3m.es</t>
  </si>
  <si>
    <t>A survey and analysis of the American public's perceptions and knowledge about antibiotic resistance</t>
  </si>
  <si>
    <t>10.1093/ofid/ofw112</t>
  </si>
  <si>
    <t>56099698800;7410369151;15052074500;</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</si>
  <si>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 © The Author 2016.</t>
  </si>
  <si>
    <t>Carter R.R., Sun J., Jump R.L.P.</t>
  </si>
  <si>
    <t>Open Forum Infectious Diseases</t>
  </si>
  <si>
    <t>https://www.scopus.com/inward/record.uri?eid=2-s2.0-85015904863&amp;doi=10.1093%2fofid%2fofw112&amp;partnerID=40&amp;md5=e9b4938f85bfd0e9a1354f759b6eedaa</t>
  </si>
  <si>
    <t>Department of Epidemiology and Biostatistics, School of Medicine, Case Western Reserve University, Ohio, United States;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</si>
  <si>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Carter, R.R., Department of Epidemiology and Biostatistics, School of Medicine, Case Western Reserve University, Ohio, United States; Sun, J., Department of Epidemiology and Biostatistics, School of Medicine, Case Western Reserve University, Ohio, United States; Jump, R.L.P.,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</si>
  <si>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Jump, R.L.P.; GRECC 111C(W), 10701 East Blvd., United States; email: robinjump@gmail.com</t>
  </si>
  <si>
    <t>A systematic comparison of three sadism measures and their ability to explain workplace mistreatment over and above the dark triad</t>
  </si>
  <si>
    <t>10.1016/j.jrp.2019.103862</t>
  </si>
  <si>
    <t>57194326042;57203248442;57210860970;7003463201;6701795386;</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</si>
  <si>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 2019</t>
  </si>
  <si>
    <t>Min H., Pavisic I., Howald N., Highhouse S., Zickar M.J.</t>
  </si>
  <si>
    <t>Journal of Research in Personality</t>
  </si>
  <si>
    <t>https://www.scopus.com/inward/record.uri?eid=2-s2.0-85071730623&amp;doi=10.1016%2fj.jrp.2019.103862&amp;partnerID=40&amp;md5=3918be7758e048958759b584dc9f90ff</t>
  </si>
  <si>
    <t>University of Central Florida, United States; Bowling Green State University, United States</t>
  </si>
  <si>
    <t>Min, H., University of Central Florida, United States; Pavisic, I., Bowling Green State University, United States; Howald, N., Bowling Green State University, United States; Highhouse, S., Bowling Green State University, United States; Zickar, M.J., Bowling Green State University, United States</t>
  </si>
  <si>
    <t>Min, H.; University of Central FloridaUnited States; email: Hanyi.min@ucf.edu</t>
  </si>
  <si>
    <t>A systematic mapping study about socio-technical congruence</t>
  </si>
  <si>
    <t>10.1016/j.infsof.2017.10.004</t>
  </si>
  <si>
    <t>57196063498;7003393897;35584020200;7004203473;</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</si>
  <si>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 © 2017 Elsevier B.V.</t>
  </si>
  <si>
    <t>Sierra J.M., Vizcaíno A., Genero M., Piattini M.</t>
  </si>
  <si>
    <t>https://www.scopus.com/inward/record.uri?eid=2-s2.0-85031677311&amp;doi=10.1016%2fj.infsof.2017.10.004&amp;partnerID=40&amp;md5=aace10d20e432278703371b2ebbae7bb</t>
  </si>
  <si>
    <t>Institute of Technology and Information Systems, Alarcos Research Group, Escuela Superior de Informática, University of Castilla-La Mancha, Ciudad Real, Spain</t>
  </si>
  <si>
    <t>Sierra, J.M., Institute of Technology and Information Systems, Alarcos Research Group, Escuela Superior de Informática, University of Castilla-La Mancha, Ciudad Real, Spain; Vizcaíno, A., Institute of Technology and Information Systems, Alarcos Research Group, Escuela Superior de Informática, University of Castilla-La Mancha, Ciudad Real, Spain; Genero, M., Institute of Technology and Information Systems, Alarcos Research Group, Escuela Superior de Informática, University of Castilla-La Mancha, Ciudad Real, Spain; Piattini, M., Institute of Technology and Information Systems, Alarcos Research Group, Escuela Superior de Informática, University of Castilla-La Mancha, Ciudad Real, Spain</t>
  </si>
  <si>
    <t>Vizcaíno, A.; Institute of Technology and Information Systems, Spain; email: aurora.vizcaino@uclm.es</t>
  </si>
  <si>
    <t>A systematic review of knowledge sharing challenges and practices in global software development</t>
  </si>
  <si>
    <t>10.1016/j.ijinfomgt.2016.06.007</t>
  </si>
  <si>
    <t>55910177200;57014668800;6602842620;</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</si>
  <si>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</si>
  <si>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Zahedi M., Shahin M., Ali Babar M.</t>
  </si>
  <si>
    <t>https://www.scopus.com/inward/record.uri?eid=2-s2.0-84977627599&amp;doi=10.1016%2fj.ijinfomgt.2016.06.007&amp;partnerID=40&amp;md5=6bb3211c4145753f0a4db4fb29f80094</t>
  </si>
  <si>
    <t>IT University of Copenhagen, Rued Langgaards Vej 7, Copenhagen, 2300, Denmark; The University of Adelaide, Adelaide, South Australia  5005, Australia</t>
  </si>
  <si>
    <t>Zahedi, M., IT University of Copenhagen, Rued Langgaards Vej 7, Copenhagen, 2300, Denmark; Shahin, M., The University of Adelaide, Adelaide, South Australia  5005, Australia; Ali Babar, M., The University of Adelaide, Adelaide, South Australia  5005, Australia</t>
  </si>
  <si>
    <t>Zahedi, M.; IT University of Copenhagen, Rued Langgaards Vej 7, Denmark; email: mzah@itu.dk</t>
  </si>
  <si>
    <t>A Tale of Two Sources in Native Advertising: Examining the Effects of Source Credibility and Priming on Content,Organizations, and Media Evaluations</t>
  </si>
  <si>
    <t>10.1177/0002764216660139</t>
  </si>
  <si>
    <t>57206619239;57218183737;56640141200;26027718600;57202125643;57191364875;57190981789;</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</si>
  <si>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 2 (media credibility: high vs. low) ×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 © 2016, © 2016 SAGE Publications.</t>
  </si>
  <si>
    <t>Wu M., Huang Y., Li R., Bortree D.S., Yang F., Xiao A., Wang R.</t>
  </si>
  <si>
    <t>American Behavioral Scientist</t>
  </si>
  <si>
    <t>https://www.scopus.com/inward/record.uri?eid=2-s2.0-84989170625&amp;doi=10.1177%2f0002764216660139&amp;partnerID=40&amp;md5=f95845e3ce043addd5b3ff7705eb9133</t>
  </si>
  <si>
    <t>California State University, Los Angeles, Los Angeles, CA, United States; The Pennsylvania State University, University Park, PA, United States</t>
  </si>
  <si>
    <t>Wu, M., California State University, Los Angeles, Los Angeles, CA, United States; Huang, Y., The Pennsylvania State University, University Park, PA, United States; Li, R., The Pennsylvania State University, University Park, PA, United States; Bortree, D.S., The Pennsylvania State University, University Park, PA, United States; Yang, F., The Pennsylvania State University, University Park, PA, United States; Xiao, A., The Pennsylvania State University, University Park, PA, United States; Wang, R., The Pennsylvania State University, University Park, PA, United States</t>
  </si>
  <si>
    <t>Wu, M.; California State University, United States; email: mwu33@calstatela.edu</t>
  </si>
  <si>
    <t>A technical guide to using amazon’s mechanical turk in behavioral accounting research</t>
  </si>
  <si>
    <t>10.2308/bria-51977</t>
  </si>
  <si>
    <t>6507694087;57190114778;56519347800;56938125500;</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</si>
  <si>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 © 2018, American Accounting Association. All rights reserved.</t>
  </si>
  <si>
    <t>Buchheit S., Doxey M.M., Pollard T., Stinson S.R.</t>
  </si>
  <si>
    <t>Behavioral Research in Accounting</t>
  </si>
  <si>
    <t>https://www.scopus.com/inward/record.uri?eid=2-s2.0-85044337924&amp;doi=10.2308%2fbria-51977&amp;partnerID=40&amp;md5=c9843ea7401dbd01b11c51745ac2119a</t>
  </si>
  <si>
    <t>The University of Alabama, United States</t>
  </si>
  <si>
    <t>Buchheit, S., The University of Alabama, United States; Doxey, M.M., The University of Alabama, United States; Pollard, T., The University of Alabama, United States; Stinson, S.R., The University of Alabama, United States</t>
  </si>
  <si>
    <t>Vizcaíno, A.; Alarcos Research Group, Paseo de la Universidad 4, Spain</t>
  </si>
  <si>
    <t>Accidents at work during temporary agency work in Finland - Comparisons between certain major industries and other industries</t>
  </si>
  <si>
    <t>10.1016/j.ssci.2010.11.004</t>
  </si>
  <si>
    <t>35324165600;</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</si>
  <si>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 2010 Elsevier Ltd.</t>
  </si>
  <si>
    <t>Hintikka N.</t>
  </si>
  <si>
    <t>Safety Science</t>
  </si>
  <si>
    <t>https://www.scopus.com/inward/record.uri?eid=2-s2.0-79151476342&amp;doi=10.1016%2fj.ssci.2010.11.004&amp;partnerID=40&amp;md5=0512e74a69ad980c24d8782fb6aaa2d2</t>
  </si>
  <si>
    <t>Tampere University of Technology, Department of Industrial Management, Center for Safety Management and Engineering, P.O. Box 541, FI-33101 Tampere, Finland</t>
  </si>
  <si>
    <t>Hintikka, N., Tampere University of Technology, Department of Industrial Management, Center for Safety Management and Engineering, P.O. Box 541, FI-33101 Tampere, Finland</t>
  </si>
  <si>
    <t>Hintikka, N.; Tampere University of Technology, P.O. Box 541, FI-33101 Tampere, Finland; email: noora.hintikka@tut.fi</t>
  </si>
  <si>
    <t>Achieving sustainable development goals through identifying and analyzing barriers to industrial sharing economy: A framework development</t>
  </si>
  <si>
    <t>10.1016/j.ijpe.2019.107575</t>
  </si>
  <si>
    <t>54986334000;55940415100;35558819200;</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</si>
  <si>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 © 2019</t>
  </si>
  <si>
    <t>Govindan K., Shankar K.M., Kannan D.</t>
  </si>
  <si>
    <t>International Journal of Production Economics</t>
  </si>
  <si>
    <t>https://www.scopus.com/inward/record.uri?eid=2-s2.0-85079349784&amp;doi=10.1016%2fj.ijpe.2019.107575&amp;partnerID=40&amp;md5=65c3a7f4d727f9cbaca350cbc995721b</t>
  </si>
  <si>
    <t>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t>
  </si>
  <si>
    <t>Govindan, K., 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 Shankar, K.M., Center for Sustainable Supply Chain Engineering, Department of Technology and Innovation, University of Southern Denmark, Campusvej 55, Odense, M-5230, Denmark; Kannan, D., Center for Sustainable Supply Chain Engineering, Department of Technology and Innovation, University of Southern Denmark, Campusvej 55, Odense, M-5230, Denmark</t>
  </si>
  <si>
    <t>Govindan, K.; China Institute of FTZ Supply Chain, China; email: Kgov@iti.sdu.dk</t>
  </si>
  <si>
    <t>Active learning with imbalanced multiple noisy labeling</t>
  </si>
  <si>
    <t>10.1109/TCYB.2014.2344674</t>
  </si>
  <si>
    <t>56023445400;55533800700;14049181900;</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</si>
  <si>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 © 2013 IEEE.</t>
  </si>
  <si>
    <t>Zhang J., Wu X., Shengs V.S.</t>
  </si>
  <si>
    <t>IEEE Transactions on Cybernetics</t>
  </si>
  <si>
    <t>https://www.scopus.com/inward/record.uri?eid=2-s2.0-85027958625&amp;doi=10.1109%2fTCYB.2014.2344674&amp;partnerID=40&amp;md5=3dd7da6ee7542e0840cc9863fdcb7d17</t>
  </si>
  <si>
    <t>School of Computer Science and Information Engineering, Hefei University of Technology, Hefei, 230009, China; Department of Computer Science, University of Vermont, Burlington, VT  05405, United States; Department of Computer Science, University of Central Arkansas, Conway, AR  72035, United States</t>
  </si>
  <si>
    <t>Zhang, J., School of Computer Science and Information Engineering, Hefei University of Technology, Hefei, 230009, China; Wu, X., School of Computer Science and Information Engineering, Hefei University of Technology, Hefei, 230009, China, Department of Computer Science, University of Vermont, Burlington, VT  05405, United States; Shengs, V.S., Department of Computer Science, University of Central Arkansas, Conway, AR  72035, United States</t>
  </si>
  <si>
    <t>Wu, X.; School of Computer Science and Information Engineering, China; email: xwu@cs.uvm.edu</t>
  </si>
  <si>
    <t>Active visual recognition with expertise estimation in crowdsourcing</t>
  </si>
  <si>
    <t>10.1109/ICCV.2013.373</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</si>
  <si>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 © 2013 IEEE.</t>
  </si>
  <si>
    <t>Proceedings of the IEEE International Conference on Computer Vision</t>
  </si>
  <si>
    <t>https://www.scopus.com/inward/record.uri?eid=2-s2.0-84898792886&amp;doi=10.1109%2fICCV.2013.373&amp;partnerID=40&amp;md5=7bb23da5dff7844a3872f35bb750152e</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</si>
  <si>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</si>
  <si>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</si>
  <si>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Adaptive selection of working conditions for crowdsourced tasks</t>
  </si>
  <si>
    <t>10.1109/AGENTS.2018.8460133</t>
  </si>
  <si>
    <t>57204107243;7201982955;</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</si>
  <si>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 © 2018 IEEE.</t>
  </si>
  <si>
    <t>Yamamoto S., Matsubara S.</t>
  </si>
  <si>
    <t>Proceedings - 2018 IEEE International Conference on Agents, ICA 2018</t>
  </si>
  <si>
    <t>https://www.scopus.com/inward/record.uri?eid=2-s2.0-85054501200&amp;doi=10.1109%2fAGENTS.2018.8460133&amp;partnerID=40&amp;md5=0fe03fd2f9fb07eee0c8107b29c59a79</t>
  </si>
  <si>
    <t>Kyoto University, Department of Social Informatics, Kyoto, Japan</t>
  </si>
  <si>
    <t>Yamamoto, S., Kyoto University, Department of Social Informatics, Kyoto, Japan; Matsubara, S., Kyoto University, Department of Social Informatics, Kyoto, Japan</t>
  </si>
  <si>
    <t>Advertising content and consumer engagement on social media: Evidence from Facebook</t>
  </si>
  <si>
    <t>10.1287/mnsc.2017.2902</t>
  </si>
  <si>
    <t>We describe the e 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 2018 INFORMS.</t>
  </si>
  <si>
    <t>Lee D., Hosanagar K., Nair H.S.</t>
  </si>
  <si>
    <t>Management Science</t>
  </si>
  <si>
    <t>https://www.scopus.com/inward/record.uri?eid=2-s2.0-85051423007&amp;doi=10.1287%2fmnsc.2017.2902&amp;partnerID=40&amp;md5=931fa1af77029dea26646a818a478f05</t>
  </si>
  <si>
    <t>Tepper School of Business, Carnegie Mellon University, Pittsburgh, PA  15213, United States; Wharton School, University of Pennsylvania, Philadelphia, PA  19104, United States; Stanford Graduate School of Business, Stanford University, Stanford, CA  94305, United States; JD.com American Technologies Corporation USA, Santa Clara, CA  95054, United States</t>
  </si>
  <si>
    <t>Lee, D., Tepper School of Business, Carnegie Mellon University, Pittsburgh, PA  15213, United States; Hosanagar, K., Wharton School, University of Pennsylvania, Philadelphia, PA  19104, United States; Nair, H.S., Stanford Graduate School of Business, Stanford University, Stanford, CA  94305, United States, JD.com American Technologies Corporation USA, Santa Clara, CA  95054, United States</t>
  </si>
  <si>
    <t>Advice Padded With Encouragement: A Preliminary Assessment of an Extended Integrated Model of Advice Giving in Supportive Interactions</t>
  </si>
  <si>
    <t>10.1177/0261927X20911991</t>
  </si>
  <si>
    <t>57200540234;7202087525;57193312543;57216155741;</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</si>
  <si>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 © The Author(s) 2020.</t>
  </si>
  <si>
    <t>Malloch Y.Z., Feng B., Wang B., Kim C.</t>
  </si>
  <si>
    <t>Journal of Language and Social Psychology</t>
  </si>
  <si>
    <t>https://www.scopus.com/inward/record.uri?eid=2-s2.0-85084685088&amp;doi=10.1177%2f0261927X20911991&amp;partnerID=40&amp;md5=6002620e0bbce98faebef30f594698cb</t>
  </si>
  <si>
    <t>University of California, Davis, CA, United States</t>
  </si>
  <si>
    <t>Malloch, Y.Z., University of California, Davis, CA, United States; Feng, B., University of California, Davis, CA, United States; Wang, B., University of California, Davis, CA, United States; Kim, C., University of California, Davis, CA, United States</t>
  </si>
  <si>
    <t>Feng, B.; University of CaliforniaUnited States; email: bfeng@ucdavis.edu</t>
  </si>
  <si>
    <t>Age of Initiation and Internet Gaming Disorder: The Role of Self-Esteem</t>
  </si>
  <si>
    <t>10.1089/cyber.2017.0011</t>
  </si>
  <si>
    <t>57002541700;36800005000;55370860700;55651435200;</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</si>
  <si>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 = -0.10, 95% confidence interval [CI: -0.17, -0.03]), controlling for self-esteem factors. In addition, self-esteem factors emerged as mediators of the effect, where global self-esteem served as a protective factor (b = -0.05, 95% CI: [-0.07, -0.02]) and high gaming-contingent self-worth (GCSW; b = -0.10,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 © Copyright 2017, Mary Ann Liebert, Inc. 2017.</t>
  </si>
  <si>
    <t>Beard C.L., Haas A.L., Wickham R.E., Stavropoulos V.</t>
  </si>
  <si>
    <t>Cyberpsychology, Behavior, and Social Networking</t>
  </si>
  <si>
    <t>https://www.scopus.com/inward/record.uri?eid=2-s2.0-85020877509&amp;doi=10.1089%2fcyber.2017.0011&amp;partnerID=40&amp;md5=c3b61ab51aae6b6688a10b6f76f50a70</t>
  </si>
  <si>
    <t>Pacific Graduate School of Psychology, Palo Alto University, 1791 Arastradero Road, Palo Alto, CA  94304, United States; Federation University Australia, Victoria, Australia; University of Athens, Athens, Greece</t>
  </si>
  <si>
    <t>Beard, C.L., Pacific Graduate School of Psychology, Palo Alto University, 1791 Arastradero Road, Palo Alto, CA  94304, United States; Haas, A.L., Pacific Graduate School of Psychology, Palo Alto University, 1791 Arastradero Road, Palo Alto, CA  94304, United States; Wickham, R.E., Pacific Graduate School of Psychology, Palo Alto University, 1791 Arastradero Road, Palo Alto, CA  94304, United States; Stavropoulos, V., Federation University Australia, Victoria, Australia, University of Athens, Athens, Greece</t>
  </si>
  <si>
    <t>Beard, C.L.; Pacific Graduate School of Psychology, 1791 Arastradero Road, United States; email: cbeard@paloaltou.edu</t>
  </si>
  <si>
    <t>Airbnb branding: Heritage as a branding element in the sharing economy</t>
  </si>
  <si>
    <t>10.3390/su11010074</t>
  </si>
  <si>
    <t>57195304673;57190878798;</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</si>
  <si>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 © 2018 by the authors.</t>
  </si>
  <si>
    <t>Fierro A., Aranburu I.</t>
  </si>
  <si>
    <t>https://www.scopus.com/inward/record.uri?eid=2-s2.0-85059199573&amp;doi=10.3390%2fsu11010074&amp;partnerID=40&amp;md5=0d1a3ed0a720af6b2d5f894c3cafc046</t>
  </si>
  <si>
    <t>Faculty of Economics and Business, University of the Basque Country UPV/EHU, Avda Lehendakari Agirre 83, Bilbao, 48015, Spain; School of Engineering, University of the Basque Country UPV/EHU, Alameda de Urquijo, Bilbao, 48013, Spain</t>
  </si>
  <si>
    <t>Fierro, A., Faculty of Economics and Business, University of the Basque Country UPV/EHU, Avda Lehendakari Agirre 83, Bilbao, 48015, Spain; Aranburu, I., School of Engineering, University of the Basque Country UPV/EHU, Alameda de Urquijo, Bilbao, 48013, Spain</t>
  </si>
  <si>
    <t>Fierro, A.; Faculty of Economics and Business, Avda Lehendakari Agirre 83, Spain; email: afierro001@ikasle.ehu.es</t>
  </si>
  <si>
    <t>Airbnb research: an analysis in tourism and hospitality journals</t>
  </si>
  <si>
    <t>10.1108/IJCTHR-06-2019-0113</t>
  </si>
  <si>
    <t>24464377300;55132662600;55934788900;13408737000;</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</si>
  <si>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Research limitations/implications: Despite Airbnb having a history of 10 years, research publications only started in 2015. Therefore, the bibliometric study includes papers from 2015 to 2019. One of the main limitations is that papers were selected in October of 2019, before the year was over. However, the latest academic publications (in press and earlycite) were included in the analysis.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 © 2020, Emerald Publishing Limited.</t>
  </si>
  <si>
    <t>Andreu L., Bigne E., Amaro S., Palomo J.</t>
  </si>
  <si>
    <t>International Journal of Culture, Tourism, and Hospitality Research</t>
  </si>
  <si>
    <t>https://www.scopus.com/inward/record.uri?eid=2-s2.0-85079461640&amp;doi=10.1108%2fIJCTHR-06-2019-0113&amp;partnerID=40&amp;md5=33c8f27dd955c699c640b380bc2e0732</t>
  </si>
  <si>
    <t>Department of Marketing, University of Valencia, Valencia, Spain; Department of Management, Polytechnic Institute of Viseu, Viseu, Portugal; Department of Business Administration, Rey Juan Carlos University, Madrid, Spain</t>
  </si>
  <si>
    <t>Andreu, L., Department of Marketing, University of Valencia, Valencia, Spain; Bigne, E., Department of Marketing, University of Valencia, Valencia, Spain; Amaro, S., Department of Management, Polytechnic Institute of Viseu, Viseu, Portugal; Palomo, J., Department of Business Administration, Rey Juan Carlos University, Madrid, Spain</t>
  </si>
  <si>
    <t>Andreu, L.; Department of Marketing, Spain; email: luisa.andreu@uv.es</t>
  </si>
  <si>
    <t>Alternative employment arrangements: A gender perspective</t>
  </si>
  <si>
    <t>10.1007/s11199-005-2677-2</t>
  </si>
  <si>
    <t>10540622300;7004336127;</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</si>
  <si>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 © Springer Science + Business Media, Inc. 2005.</t>
  </si>
  <si>
    <t>Marler J.H., Moen P.</t>
  </si>
  <si>
    <t>https://www.scopus.com/inward/record.uri?eid=2-s2.0-17744390224&amp;doi=10.1007%2fs11199-005-2677-2&amp;partnerID=40&amp;md5=ec45f58b4944611b7e453a74daafd8b8</t>
  </si>
  <si>
    <t>School of Business, University at Albany-SUNY, Albany, NY, United States; University of Minnesota, Minneapolis, MN, United States; School of Business, University at Albany, 1400 Washington Avenue, Albany, NY 12222, United States</t>
  </si>
  <si>
    <t>Marler, J.H., School of Business, University at Albany-SUNY, Albany, NY, United States, School of Business, University at Albany, 1400 Washington Avenue, Albany, NY 12222, United States; Moen, P., University of Minnesota, Minneapolis, MN, United States</t>
  </si>
  <si>
    <t>School of Business, , Albany, NY, United States; email: marler@albany.edu</t>
  </si>
  <si>
    <t>Alternative option labeling impacts decision-making in noninvasive prenatal screening</t>
  </si>
  <si>
    <t>10.1002/jgc4.1191</t>
  </si>
  <si>
    <t>57212254656;37033386400;7003329772;56230898300;57191587872;7801355675;7005294822;</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</si>
  <si>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 © 2019 National Society of Genetic Counselors</t>
  </si>
  <si>
    <t>Fisher C.F., Birkeland L.E., Reiser C.A., Zhao Q., Palmer C.G.S., Zikmund-Fisher B.J., Petty E.M.</t>
  </si>
  <si>
    <t>Journal of Genetic Counseling</t>
  </si>
  <si>
    <t>https://www.scopus.com/inward/record.uri?eid=2-s2.0-85076265752&amp;doi=10.1002%2fjgc4.1191&amp;partnerID=40&amp;md5=b68774ce5c81dcc11e1fce79319b0674</t>
  </si>
  <si>
    <t>Department of Pediatrics, University of Wisconsin School of Medicine and Public Health, Madison, WI, United States; Section of Clinical and Metabolic Genetics, Dell Children’s Medical Group, Austin, TX, United States; Center for Perinatal Care, UnityPoint Health Meriter Hospital, Madison, WI, United States; Department of Biostatistics and Medical Informatics, University of Wisconsin School of Medicine and Public Health, Madison, WI, United States; Department of Psychiatry and Biobehavioral Sciences, University of California, Los Angeles, CA, United States; Department of Health Behavior and Health Education, University of Michigan, Ann Arbor, MI, United States; Division of General Internal Medicine, University of Michigan Medical School, Ann Arbor, MI, United States</t>
  </si>
  <si>
    <t>Fisher, C.F., Department of Pediatrics, University of Wisconsin School of Medicine and Public Health, Madison, WI, United States, Section of Clinical and Metabolic Genetics, Dell Children’s Medical Group, Austin, TX, United States; Birkeland, L.E., Department of Pediatrics, University of Wisconsin School of Medicine and Public Health, Madison, WI, United States, Center for Perinatal Care, UnityPoint Health Meriter Hospital, Madison, WI, United States; Reiser, C.A., Department of Pediatrics, University of Wisconsin School of Medicine and Public Health, Madison, WI, United States; Zhao, Q., Department of Biostatistics and Medical Informatics, University of Wisconsin School of Medicine and Public Health, Madison, WI, United States; Palmer, C.G.S., Department of Psychiatry and Biobehavioral Sciences, University of California, Los Angeles, CA, United States; Zikmund-Fisher, B.J., Department of Health Behavior and Health Education, University of Michigan, Ann Arbor, MI, United States, Division of General Internal Medicine, University of Michigan Medical School, Ann Arbor, MI, United States; Petty, E.M., Department of Pediatrics, University of Wisconsin School of Medicine and Public Health, Madison, WI, United States</t>
  </si>
  <si>
    <t>Fisher, C.F.; Department of Pediatrics, United States; email: camille.fisher@usoncology.com</t>
  </si>
  <si>
    <t>Amazon Mechanical Turk in Organizational Psychology: An Evaluation and Practical Recommendations</t>
  </si>
  <si>
    <t>10.1007/s10869-016-9458-5</t>
  </si>
  <si>
    <t>56566105900;57190008197;7202759811;36633176400;</t>
  </si>
  <si>
    <t>Purpose: Amazon Mechanical Turk is an increasingly popular data source in the organizational psychology research community. This paper presents an evaluation of MTurk and provides a set of practical recommendations for researchers using MTurk. Design/Methodology/Approach: We present an evaluation of methodological concerns related to the use of MTurk and potential threats to validity inferences. Based on our evaluation, we also provide a set of recommendations to strengthen validity inferences using MTurk samples. Findings: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Implications: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Originality/Value: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 © 2016, Springer Science+Business Media New York.</t>
  </si>
  <si>
    <t>Cheung J.H., Burns D.K., Sinclair R.R., Sliter M.</t>
  </si>
  <si>
    <t>https://www.scopus.com/inward/record.uri?eid=2-s2.0-84976439423&amp;doi=10.1007%2fs10869-016-9458-5&amp;partnerID=40&amp;md5=3882a5a0d8164f9eabdd35d13f1b0d70</t>
  </si>
  <si>
    <t>Department of Psychology, Clemson University, 418 Brackett Hall, Clemson, SC  29634, United States; FurstPerson, Chicago, IL, United States</t>
  </si>
  <si>
    <t>Cheung, J.H., Department of Psychology, Clemson University, 418 Brackett Hall, Clemson, SC  29634, United States; Burns, D.K., Department of Psychology, Clemson University, 418 Brackett Hall, Clemson, SC  29634, United States; Sinclair, R.R., Department of Psychology, Clemson University, 418 Brackett Hall, Clemson, SC  29634, United States; Sliter, M., FurstPerson, Chicago, IL, United States</t>
  </si>
  <si>
    <t>Cheung, J.H.; Department of Psychology, 418 Brackett Hall, United States; email: janelle.h.cheung@gmail.com</t>
  </si>
  <si>
    <t>Amazon Mechanical Turk workers can provide consistent and economically meaningful data</t>
  </si>
  <si>
    <t>10.1002/soej.12451</t>
  </si>
  <si>
    <t>56925731700;35369186300;</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</si>
  <si>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 © 2020 by the Southern Economic Association</t>
  </si>
  <si>
    <t>Johnson D., Ryan J.B.</t>
  </si>
  <si>
    <t>Southern Economic Journal</t>
  </si>
  <si>
    <t>https://www.scopus.com/inward/record.uri?eid=2-s2.0-85086569419&amp;doi=10.1002%2fsoej.12451&amp;partnerID=40&amp;md5=ea0b77655908a95c48290a3bbd388ca6</t>
  </si>
  <si>
    <t>Department of Economics, University of Central Missouri, Warrensburg, MO, United States; Department of Political Science, Stony Brook University, Stony Brook, NY, United States</t>
  </si>
  <si>
    <t>Johnson, D., Department of Economics, University of Central Missouri, Warrensburg, MO, United States; Ryan, J.B., Department of Political Science, Stony Brook University, Stony Brook, NY, United States</t>
  </si>
  <si>
    <t>Johnson, D.; Department of Economics, United States; email: djohnson@ucmo.edu</t>
  </si>
  <si>
    <t>An adaptive neuro-fuzzy approach to evaluation of team-level service climate in GSD projects</t>
  </si>
  <si>
    <t>10.1007/s00521-013-1521-9</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</si>
  <si>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 © 2013 Springer-Verlag London.</t>
  </si>
  <si>
    <t>https://www.scopus.com/inward/record.uri?eid=2-s2.0-84915779470&amp;doi=10.1007%2fs00521-013-1521-9&amp;partnerID=40&amp;md5=48d2c4c0b96b11b18fc4c7d16bcc13d1</t>
  </si>
  <si>
    <t>School of Computing Science and Engineering, VIT University, Vellore, 632014 Tamil Nadu, India</t>
  </si>
  <si>
    <t>Sangaiah, A.K., School of Computing Science and Engineering, VIT University, Vellore, 632014 Tamil Nadu, India; Thangavelu, A.K., School of Computing Science and Engineering, VIT University, Vellore, 632014 Tamil Nadu, India</t>
  </si>
  <si>
    <t>Sangaiah, A. K.; School of Computing Science and Engineering, VIT University, Vellore, 632014 Tamil Nadu, India; email: sarunkumar@vit.ac.in</t>
  </si>
  <si>
    <t>Sodré, I.; Departamento de Sistemas e Computação, Av. Aprígio Veloso, 882 - Bloco CO, CEP, Brazil; email: ianna@ifpb.edu.br</t>
  </si>
  <si>
    <t>An ANFIS approach for evaluation of team-level service climate in GSD projects using Taguchi-genetic learning algorithm</t>
  </si>
  <si>
    <t>10.1016/j.asoc.2015.02.019</t>
  </si>
  <si>
    <t>55616335800;57055634400;55488358100;6507642224;56531914200;</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</si>
  <si>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 2015 Elsevier B.V. All rights reserved.</t>
  </si>
  <si>
    <t>Sangaiah A.K., Thangavelu A.K., Gao X.Z., Anbazhagan N., Durai M.S.</t>
  </si>
  <si>
    <t>https://www.scopus.com/inward/record.uri?eid=2-s2.0-84923783103&amp;doi=10.1016%2fj.asoc.2015.02.019&amp;partnerID=40&amp;md5=14370bf1eed060ae6d66a7bfce26d4a2</t>
  </si>
  <si>
    <t>School of Computing Science and Engineering, VIT University, Vellore Tamil Nadu, 632014, India; Department of Electrical Engineering and Automation, Aalto University, Aalto, Finland; Department of Mathematics, Alagappa University, Karaikudi, Tamil Nadu, India</t>
  </si>
  <si>
    <t>Sangaiah, A.K., School of Computing Science and Engineering, VIT University, Vellore Tamil Nadu, 632014, India; Thangavelu, A.K., School of Computing Science and Engineering, VIT University, Vellore Tamil Nadu, 632014, India; Gao, X.Z., Department of Electrical Engineering and Automation, Aalto University, Aalto, Finland; Anbazhagan, N., Department of Mathematics, Alagappa University, Karaikudi, Tamil Nadu, India; Durai, M.S., School of Computing Science and Engineering, VIT University, Vellore Tamil Nadu, 632014, India</t>
  </si>
  <si>
    <t>An education-based approach for enabling the sustainable development gear</t>
  </si>
  <si>
    <t>10.1016/j.chb.2018.11.004</t>
  </si>
  <si>
    <t>55664769000;7006064536;57203837359;57204659005;</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</si>
  <si>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 © 2018 Elsevier Ltd</t>
  </si>
  <si>
    <t>Mora H., Pujol-López F.A., Mendoza-Tello J.C., Morales-Morales M.R.</t>
  </si>
  <si>
    <t>https://www.scopus.com/inward/record.uri?eid=2-s2.0-85056583705&amp;doi=10.1016%2fj.chb.2018.11.004&amp;partnerID=40&amp;md5=f5800d9d334ee3f340ec8c839e616705</t>
  </si>
  <si>
    <t>Department of Computer Science Technology and Computation, University of Alicante, Spain; School of Computer Engineering, Faculty of Engineering, Physics and Mathematics, Central University of Ecuador, Quito, Ecuador</t>
  </si>
  <si>
    <t>Mora, H., Department of Computer Science Technology and Computation, University of Alicante, Spain; Pujol-López, F.A., Department of Computer Science Technology and Computation, University of Alicante, Spain; Mendoza-Tello, J.C., School of Computer Engineering, Faculty of Engineering, Physics and Mathematics, Central University of Ecuador, Quito, Ecuador; Morales-Morales, M.R., School of Computer Engineering, Faculty of Engineering, Physics and Mathematics, Central University of Ecuador, Quito, Ecuador</t>
  </si>
  <si>
    <t>Mora, H.; Department of Computer Science Technology and Computation, Spain; email: hmora@ua.es</t>
  </si>
  <si>
    <t>An empirical investigation of the drivers of software outsourcing decisions in Japanese organizations</t>
  </si>
  <si>
    <t>10.1016/j.infsof.2007.08.006</t>
  </si>
  <si>
    <t>7201882734;6701805181;55366177900;</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</si>
  <si>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 2007 Elsevier B.V. All rights reserved.</t>
  </si>
  <si>
    <t>Bush A.A., Tiwana A., Tsuji H.</t>
  </si>
  <si>
    <t>https://www.scopus.com/inward/record.uri?eid=2-s2.0-40849094829&amp;doi=10.1016%2fj.infsof.2007.08.006&amp;partnerID=40&amp;md5=ccac5bda041cc14d34283ed1ed26d2ed</t>
  </si>
  <si>
    <t>Florida State University, College of Business, Tallahassee, FL 32306-1110, United States; Iowa State University, College of Business, Ames, IA 50011-1350, United States; Osaka Prefecture University, Graduate School of Engineering, Osaka, 5998531, Japan</t>
  </si>
  <si>
    <t>Bush, A.A., Florida State University, College of Business, Tallahassee, FL 32306-1110, United States; Tiwana, A., Iowa State University, College of Business, Ames, IA 50011-1350, United States; Tsuji, H., Osaka Prefecture University, Graduate School of Engineering, Osaka, 5998531, Japan</t>
  </si>
  <si>
    <t>Bush, A.A.; Florida State University, , Tallahassee, FL 32306-1110, United States; email: abush@fsu.edu</t>
  </si>
  <si>
    <t>An empirical study of global software development: Distance and speed</t>
  </si>
  <si>
    <t>10.1109/ICSE.2001.919083</t>
  </si>
  <si>
    <t>6603734663;57211066860;6602223729;6604035559;</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</si>
  <si>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 © 2001 IEEE.</t>
  </si>
  <si>
    <t>Herbsleb J.D., Mockus A., Finholt T.A., Grinter R.E.</t>
  </si>
  <si>
    <t>https://www.scopus.com/inward/record.uri?eid=2-s2.0-0034998120&amp;doi=10.1109%2fICSE.2001.919083&amp;partnerID=40&amp;md5=ab30f2fcc6e08a93ae7d5d3540afecd4</t>
  </si>
  <si>
    <t>Bell Labs Lucent Technologies, 263 Shuman Boulevard, Naperville, IL  60566, United States; School of Information University of Michigan, 32 18 Computing Center Building, Ann Arbor, MI  48 109, United States; Xerox PARC, 3333 Coyote Hill Road, Palo Alto, CA  94304, United States</t>
  </si>
  <si>
    <t>Herbsleb, J.D., Bell Labs Lucent Technologies, 263 Shuman Boulevard, Naperville, IL  60566, United States; Mockus, A., Bell Labs Lucent Technologies, 263 Shuman Boulevard, Naperville, IL  60566, United States; Finholt, T.A., School of Information University of Michigan, 32 18 Computing Center Building, Ann Arbor, MI  48 109, United States; Grinter, R.E., Xerox PARC, 3333 Coyote Hill Road, Palo Alto, CA  94304, United States</t>
  </si>
  <si>
    <t>An empirical study of search-based task scheduling in global software development</t>
  </si>
  <si>
    <t>10.1109/ICSE-SEIP.2017.30</t>
  </si>
  <si>
    <t>54393339600;57195289953;15046849800;</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</si>
  <si>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 © 2017 IEEE.</t>
  </si>
  <si>
    <t>Kroll J., Friboim S., Hemmati H.</t>
  </si>
  <si>
    <t>Proceedings - 2017 IEEE/ACM 39th International Conference on Software Engineering: Software Engineering in Practice Track, ICSE-SEIP 2017</t>
  </si>
  <si>
    <t>https://www.scopus.com/inward/record.uri?eid=2-s2.0-85026827677&amp;doi=10.1109%2fICSE-SEIP.2017.30&amp;partnerID=40&amp;md5=bc3baecc4536bb78e6b190ba3c15f5e9</t>
  </si>
  <si>
    <t>Computer Science School, Pontifical University Catholic of Rio Grande do Sul, Porto Alegre, Brazil; Department of Computer Science, University of Manitoba, Winnipeg, Canada; Department of Electrical and Computer Engineering, University of Calgary, Calgary, Canada</t>
  </si>
  <si>
    <t>Kroll, J., Computer Science School, Pontifical University Catholic of Rio Grande do Sul, Porto Alegre, Brazil; Friboim, S., Department of Computer Science, University of Manitoba, Winnipeg, Canada; Hemmati, H., Department of Electrical and Computer Engineering, University of Calgary, Calgary, Canada</t>
  </si>
  <si>
    <t>Kroll, J.; Computer Science School, Brazil; email: josiane.kroll@acad.pucrs.br</t>
  </si>
  <si>
    <t>An empirical study on using agile methods in global software development</t>
  </si>
  <si>
    <t>10.1109/ICTER.8615505</t>
  </si>
  <si>
    <t>57193835177;57193825165;55378254600;</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</si>
  <si>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time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 © 2018 IEEE.</t>
  </si>
  <si>
    <t>Vithana V.N., Asirvatham D., Johar M.G.M.</t>
  </si>
  <si>
    <t>18th International Conference on Advances in ICT for Emerging Regions, ICTer 2018 - Proceedings</t>
  </si>
  <si>
    <t>https://www.scopus.com/inward/record.uri?eid=2-s2.0-85062097838&amp;doi=10.1109%2fICTER.8615505&amp;partnerID=40&amp;md5=5a19eb7a70a8fc1789a8b6a6fa89706b</t>
  </si>
  <si>
    <t>Management and Science University, Malaysia; Taylor's University, Malaysia</t>
  </si>
  <si>
    <t>Vithana, V.N., Management and Science University, Malaysia; Asirvatham, D., Taylor's University, Malaysia; Johar, M.G.M., Management and Science University, Malaysia</t>
  </si>
  <si>
    <t>57209297103;24528168700;55851119700;57190138872;35068667900;</t>
  </si>
  <si>
    <t>Iqbal Janjua, U.; Department of Computer Science, Pakistan; email: uzair_iqbal@comsats.edu.pk</t>
  </si>
  <si>
    <t>An evaluation of the impact of automated programming hints on performance and learning</t>
  </si>
  <si>
    <t>10.1145/3291279.3339420</t>
  </si>
  <si>
    <t>56769995800;56159570600;56903654700;</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</si>
  <si>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 © 2019 Copyright held by the owner/author(s). Publication rights licensed to ACM.</t>
  </si>
  <si>
    <t>Marwan S., Williams J.J., Price T.</t>
  </si>
  <si>
    <t>ICER 2019 - Proceedings of the 2019 ACM Conference on International Computing Education Research</t>
  </si>
  <si>
    <t>https://www.scopus.com/inward/record.uri?eid=2-s2.0-85071336902&amp;doi=10.1145%2f3291279.3339420&amp;partnerID=40&amp;md5=961885c9c90a7c080b0438179766b82d</t>
  </si>
  <si>
    <t>North Carolina State University, Raleigh, NC, United States; University of Toronto, Toronto, Canada</t>
  </si>
  <si>
    <t>Marwan, S., North Carolina State University, Raleigh, NC, United States; Williams, J.J., University of Toronto, Toronto, Canada; Price, T., North Carolina State University, Raleigh, NC, United States</t>
  </si>
  <si>
    <t>An experiment in comparing human-computation techniques</t>
  </si>
  <si>
    <t>10.1109/MIC.2012.67</t>
  </si>
  <si>
    <t>40662148600;23036541000;55386190600;</t>
  </si>
  <si>
    <t>Human computation can address complex computational problems by tapping into large resource pools for relatively little cost. Two prominent human-computation techniques-games with a purpose (GWAP) and microtask crowdsourcing-can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 © 1997-2012 IEEE.</t>
  </si>
  <si>
    <t>Thaler S., Simperl E., Wölger S.</t>
  </si>
  <si>
    <t>IEEE Internet Computing</t>
  </si>
  <si>
    <t>https://www.scopus.com/inward/record.uri?eid=2-s2.0-84867317353&amp;doi=10.1109%2fMIC.2012.67&amp;partnerID=40&amp;md5=b6c0c6bb909052645e22f68a19ea560f</t>
  </si>
  <si>
    <t>University of Innsbruck, Semantic Technology Institute, Austria; Karlsruhe Institute of Technology, Institute of Applied Informatics and Formal Description Methods, Germany</t>
  </si>
  <si>
    <t>Thaler, S., University of Innsbruck, Semantic Technology Institute, Austria; Simperl, E., Karlsruhe Institute of Technology, Institute of Applied Informatics and Formal Description Methods, Germany; Wölger, S., University of Innsbruck, Semantic Technology Institute, Austria</t>
  </si>
  <si>
    <t>Thaler, S.; University of Innsbruck, Austria; email: stefan.thaler@sti2.at</t>
  </si>
  <si>
    <t>An exploration of crowdsourcing citation screening for systematic reviews</t>
  </si>
  <si>
    <t>10.1002/jrsm.1252</t>
  </si>
  <si>
    <t>56033355800;57191881173;6602831030;25823846800;35281112500;</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</si>
  <si>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$460 to $2220, a cost reduction of up to 88% compared to trained experts. Crowdsourcing may represent a useful approach to reducing the cost of identifying literature for systematic reviews. © 2017 The Authors. Research Synthesis Methods Published by John Wiley &amp; Sons Ltd</t>
  </si>
  <si>
    <t>Mortensen M.L., Adam G.P., Trikalinos T.A., Kraska T., Wallace B.C.</t>
  </si>
  <si>
    <t>Research Synthesis Methods</t>
  </si>
  <si>
    <t>https://www.scopus.com/inward/record.uri?eid=2-s2.0-85021741349&amp;doi=10.1002%2fjrsm.1252&amp;partnerID=40&amp;md5=e3383659fcbcd855d7dfefbbc4bb7113</t>
  </si>
  <si>
    <t>Netcompany A/S, Aarhus C, Denmark; Health Services, Policy and Practice, Brown University, Providence, RI, United States; Computer Science, Brown University, Providence, RI, United States; College of Computer and Information Science, Northeastern University, Boston, MA, United States; Aarhus University, Denmark</t>
  </si>
  <si>
    <t>Mortensen, M.L., Netcompany A/S, Aarhus C, Denmark, Aarhus University, Denmark; Adam, G.P., Health Services, Policy and Practice, Brown University, Providence, RI, United States; Trikalinos, T.A., Health Services, Policy and Practice, Brown University, Providence, RI, United States; Kraska, T., Computer Science, Brown University, Providence, RI, United States; Wallace, B.C., College of Computer and Information Science, Northeastern University, Boston, MA, United States</t>
  </si>
  <si>
    <t>Wallace, B.C.; College of Computer and Information Science, United States; email: byron@ccs.neu.edu</t>
  </si>
  <si>
    <t>An exploratory study in communication in Agile Global Software Development</t>
  </si>
  <si>
    <t>10.1016/j.csi.2016.06.002</t>
  </si>
  <si>
    <t>6603710246;24449926400;35092351500;53879717100;</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</si>
  <si>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 2016 Elsevier B.V.</t>
  </si>
  <si>
    <t>Yagüe A., Garbajosa J., Díaz J., González E.</t>
  </si>
  <si>
    <t>https://www.scopus.com/inward/record.uri?eid=2-s2.0-84981214832&amp;doi=10.1016%2fj.csi.2016.06.002&amp;partnerID=40&amp;md5=661634df9b357f9b998292246bb27bbf</t>
  </si>
  <si>
    <t>Universidad Politecnica de Madrid, Centro de Investigación en Tecnologías del Software y Sistemas Multimedia para la sostenibilidad (CITSEM) Edificio de la Arboleda, Campus Sur de la UPM Ctra. de Valencia, Km. 7, Madrid, E-28031, Spain</t>
  </si>
  <si>
    <t>Yagüe, A., Universidad Politecnica de Madrid, Centro de Investigación en Tecnologías del Software y Sistemas Multimedia para la sostenibilidad (CITSEM) Edificio de la Arboleda, Campus Sur de la UPM Ctra. de Valencia, Km. 7, Madrid, E-28031, Spain; Garbajosa, J., Universidad Politecnica de Madrid, Centro de Investigación en Tecnologías del Software y Sistemas Multimedia para la sostenibilidad (CITSEM) Edificio de la Arboleda, Campus Sur de la UPM Ctra. de Valencia, Km. 7, Madrid, E-28031, Spain; Díaz, J., Universidad Politecnica de Madrid, Centro de Investigación en Tecnologías del Software y Sistemas Multimedia para la sostenibilidad (CITSEM) Edificio de la Arboleda, Campus Sur de la UPM Ctra. de Valencia, Km. 7, Madrid, E-28031, Spain; González, E., Universidad Politecnica de Madrid, Centro de Investigación en Tecnologías del Software y Sistemas Multimedia para la sostenibilidad (CITSEM) Edificio de la Arboleda, Campus Sur de la UPM Ctra. de Valencia, Km. 7, Madrid, E-28031, Spain</t>
  </si>
  <si>
    <t>Yagüe, A.; Universidad Politecnica de Madrid, Campus Sur de la UPM Ctra. de Valencia, Km. 7, Spain; email: agustin.yague@upm.es</t>
  </si>
  <si>
    <t>An exploratory study of jobseekers’ decision-making styles, recruitment information sources and organisational attractiveness</t>
  </si>
  <si>
    <t>10.1108/PR-11-2014-0250</t>
  </si>
  <si>
    <t>57201996608;11641129500;6602784503;</t>
  </si>
  <si>
    <t>Purpose: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A scenario-based experiment was conducted on 280 participants from the USA, with work experience in retail, using Amazon Mechanical Turk. Findings: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Research on decision-making style in recruitment is relatively limited. This study demonstrates the differences between maximisers and satisficers in terms of job-related information needs, and the evaluation of the source/content, when searching for a retail trade job. © 2016, Emerald Group Publishing Limited.</t>
  </si>
  <si>
    <t>Liu Y.-L., Keeling K.A., Papamichail K.N.</t>
  </si>
  <si>
    <t>Personnel Review</t>
  </si>
  <si>
    <t>https://www.scopus.com/inward/record.uri?eid=2-s2.0-84983493558&amp;doi=10.1108%2fPR-11-2014-0250&amp;partnerID=40&amp;md5=e3d0d77af915b46ecbb070b4470fbeac</t>
  </si>
  <si>
    <t>Coventry Business School, Coventry University, Coventry, United Kingdom; Alliance Manchester Business School, The University of Manchester, Manchester, United Kingdom</t>
  </si>
  <si>
    <t>Liu, Y.-L., Coventry Business School, Coventry University, Coventry, United Kingdom, Alliance Manchester Business School, The University of Manchester, Manchester, United Kingdom; Keeling, K.A., Alliance Manchester Business School, The University of Manchester, Manchester, United Kingdom; Papamichail, K.N., Alliance Manchester Business School, The University of Manchester, Manchester, United Kingdom</t>
  </si>
  <si>
    <t>An instrument for evaluating uncertainty visualization techniques</t>
  </si>
  <si>
    <t>10.1145/3170427.3188649</t>
  </si>
  <si>
    <t>56102091200;57189755317;</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</si>
  <si>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 © 2018 Copyright is held by the owner/author(s).</t>
  </si>
  <si>
    <t>Brennen A., Tuerk S.</t>
  </si>
  <si>
    <t>https://www.scopus.com/inward/record.uri?eid=2-s2.0-85052024500&amp;doi=10.1145%2f3170427.3188649&amp;partnerID=40&amp;md5=479c01a1e7f807180984035dca23c75a</t>
  </si>
  <si>
    <t>In-Q-Tel Labs WalthamMA  02451, United States</t>
  </si>
  <si>
    <t>Brennen, A., In-Q-Tel Labs WalthamMA  02451, United States; Tuerk, S., In-Q-Tel Labs WalthamMA  02451, United States</t>
  </si>
  <si>
    <t>Sangaiah, A.K.; School of Computing Science and Engineering, India; email: arunkumarsangaiah@gmail.com</t>
  </si>
  <si>
    <t>An interactive scene generation using natural language</t>
  </si>
  <si>
    <t>10.1109/ICRA.2019.8794327</t>
  </si>
  <si>
    <t>56119442000;56542020100;56039956300;57195352904;9240940300;</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</si>
  <si>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 © 2019 IEEE.</t>
  </si>
  <si>
    <t>Cheng Y., Shi Y., Sun Z., Feng D., Dong L.</t>
  </si>
  <si>
    <t>Proceedings - IEEE International Conference on Robotics and Automation</t>
  </si>
  <si>
    <t>https://www.scopus.com/inward/record.uri?eid=2-s2.0-85071425161&amp;doi=10.1109%2fICRA.2019.8794327&amp;partnerID=40&amp;md5=413e817708db1393f3ca20f0a817ee85</t>
  </si>
  <si>
    <t>Department of Electrical and Computer Engineering, Michigan State University, East Lansing, MI  48823, United States</t>
  </si>
  <si>
    <t>Cheng, Y., Department of Electrical and Computer Engineering, Michigan State University, East Lansing, MI  48823, United States; Shi, Y., Department of Electrical and Computer Engineering, Michigan State University, East Lansing, MI  48823, United States; Sun, Z., Department of Electrical and Computer Engineering, Michigan State University, East Lansing, MI  48823, United States; Feng, D., Department of Electrical and Computer Engineering, Michigan State University, East Lansing, MI  48823, United States; Dong, L., Department of Electrical and Computer Engineering, Michigan State University, East Lansing, MI  48823, United States</t>
  </si>
  <si>
    <t>An NLP approach for cross-domain ambiguity detection in requirements engineering</t>
  </si>
  <si>
    <t>10.1007/s10515-019-00261-7</t>
  </si>
  <si>
    <t>55765001561;15044356100;</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</si>
  <si>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 © 2019, Springer Science+Business Media, LLC, part of Springer Nature.</t>
  </si>
  <si>
    <t>Ferrari A., Esuli A.</t>
  </si>
  <si>
    <t>Automated Software Engineering</t>
  </si>
  <si>
    <t>https://www.scopus.com/inward/record.uri?eid=2-s2.0-85067856455&amp;doi=10.1007%2fs10515-019-00261-7&amp;partnerID=40&amp;md5=47be8a4d0dbbaf4c4e6a70a862668a21</t>
  </si>
  <si>
    <t>CNR-ISTI, Via G. Moruzzi 1, Pisa, 56124, Italy</t>
  </si>
  <si>
    <t>Ferrari, A., CNR-ISTI, Via G. Moruzzi 1, Pisa, 56124, Italy; Esuli, A., CNR-ISTI, Via G. Moruzzi 1, Pisa, 56124, Italy</t>
  </si>
  <si>
    <t>Ferrari, A.; CNR-ISTI, Via G. Moruzzi 1, Italy; email: alessio.ferrari@isti.cnr.it</t>
  </si>
  <si>
    <t>An online intervention to promote predictors of supportive parenting for sexual minority youth</t>
  </si>
  <si>
    <t>10.1037/fam0000614</t>
  </si>
  <si>
    <t>57093058300;6603039278;</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</si>
  <si>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 © 2019 American Psychological Association.</t>
  </si>
  <si>
    <t>Goodman J.A., Israel T.</t>
  </si>
  <si>
    <t>https://www.scopus.com/inward/record.uri?eid=2-s2.0-85076335961&amp;doi=10.1037%2ffam0000614&amp;partnerID=40&amp;md5=1c6029420ffbb37ac3c8b271ef82c867</t>
  </si>
  <si>
    <t>Department of Counseling, Clinical, and School Psychology, University of California, Santa Barbara, Santa Barbara, CA, United States</t>
  </si>
  <si>
    <t>Goodman, J.A., Department of Counseling, Clinical, and School Psychology, University of California, Santa Barbara, Santa Barbara, CA, United States; Israel, T., Department of Counseling, Clinical, and School Psychology, University of California, Santa Barbara, Santa Barbara, CA, United States</t>
  </si>
  <si>
    <t>Goodman, J.A.; Department of Psychology, 4 Andrews Road, United States; email: joshua.goodman.phd@gmail.com</t>
  </si>
  <si>
    <t>Analogy-based software development effort estimation in global software development</t>
  </si>
  <si>
    <t>10.1109/ICGSEW.2015.19</t>
  </si>
  <si>
    <t>56593302500;</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</si>
  <si>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 © 2015 IEEE.</t>
  </si>
  <si>
    <t>El Bajta M.</t>
  </si>
  <si>
    <t>Proceedings - 2015 IEEE 10th International Conference on Global Software Engineering Workshops, ICGSEW 2015</t>
  </si>
  <si>
    <t>https://www.scopus.com/inward/record.uri?eid=2-s2.0-84957927049&amp;doi=10.1109%2fICGSEW.2015.19&amp;partnerID=40&amp;md5=c3b4560c70a9e611b029f6fcff6a71a3</t>
  </si>
  <si>
    <t>Software Project Management Research Team, ENSIAS, Mohammed v Souissi University, Rabat, Morocco</t>
  </si>
  <si>
    <t>El Bajta, M., Software Project Management Research Team, ENSIAS, Mohammed v Souissi University, Rabat, Morocco</t>
  </si>
  <si>
    <t>El Bajta, M.; Software Project Management Research Team, Morocco; email: manal.elbajta@gmail.com</t>
  </si>
  <si>
    <t>Analysis and research on several mainstreams printing digital workflow</t>
  </si>
  <si>
    <t>10.1007/978-981-10-7629-9_52</t>
  </si>
  <si>
    <t>57204065745;36781918100;</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</si>
  <si>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 © Springer Nature Singapore Pte Ltd. 2018.</t>
  </si>
  <si>
    <t>Peng C., Chen G.</t>
  </si>
  <si>
    <t>Lecture Notes in Electrical Engineering</t>
  </si>
  <si>
    <t>https://www.scopus.com/inward/record.uri?eid=2-s2.0-85043345852&amp;doi=10.1007%2f978-981-10-7629-9_52&amp;partnerID=40&amp;md5=81c8e77709ec9a5f06a7813690336f80</t>
  </si>
  <si>
    <t>School of Light Industry Science and Engineering, South China University of Technology, Guangzhou, China</t>
  </si>
  <si>
    <t>Peng, C., School of Light Industry Science and Engineering, South China University of Technology, Guangzhou, China; Chen, G., School of Light Industry Science and Engineering, South China University of Technology, Guangzhou, China</t>
  </si>
  <si>
    <t>Chen, G.; School of Light Industry Science and Engineering, China; email: chengx@scut.edu.cn</t>
  </si>
  <si>
    <t>Analysis of cultural and gender influences on teamwork performance for software requirements analysis in multinational environments</t>
  </si>
  <si>
    <t>10.1049/iet-sen.2011.0070</t>
  </si>
  <si>
    <t>25630384100;56962766700;</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</si>
  <si>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 © 2012 The Institution of Engineering and Technology.</t>
  </si>
  <si>
    <t>Fernández-Sanz L., Misra S.</t>
  </si>
  <si>
    <t>https://www.scopus.com/inward/record.uri?eid=2-s2.0-84863679228&amp;doi=10.1049%2fiet-sen.2011.0070&amp;partnerID=40&amp;md5=1e5c9f70f7a65d3d903210a42260ef39</t>
  </si>
  <si>
    <t>Depto. de Ciencias de la Computación, Edificio Politécnico, Campus Universitario, Ctra. Madrid-Barcelona Km 33,600, E-28871 Alcalá de Henares, Madrid, Spain; Department of Computer Engineering, Atilim University, Ankara, Turkey</t>
  </si>
  <si>
    <t>Fernández-Sanz, L., Depto. de Ciencias de la Computación, Edificio Politécnico, Campus Universitario, Ctra. Madrid-Barcelona Km 33,600, E-28871 Alcalá de Henares, Madrid, Spain; Misra, S., Department of Computer Engineering, Atilim University, Ankara, Turkey</t>
  </si>
  <si>
    <t>Fernández-Sanz, L.; Depto. de Ciencias de la Computación, Ctra. Madrid-Barcelona Km 33,600, E-28871 Alcalá de Henares, Madrid, Spain; email: luis.fernandezs@uah.es</t>
  </si>
  <si>
    <t>Analysis of demographical factors' influence on websites' credibility evaluation</t>
  </si>
  <si>
    <t>10.1007/978-3-319-07227-2_7</t>
  </si>
  <si>
    <t>56227006400;21933807600;16246576200;</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</si>
  <si>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 © 2014 Springer International Publishing.</t>
  </si>
  <si>
    <t>Rafalak M., Bilski P., Wierzbicki A.</t>
  </si>
  <si>
    <t>https://www.scopus.com/inward/record.uri?eid=2-s2.0-84903148748&amp;doi=10.1007%2f978-3-319-07227-2_7&amp;partnerID=40&amp;md5=92d9e11ab6c7c7847b5b87c588b3fb26</t>
  </si>
  <si>
    <t>Polish-Japanese Institute of Information Technology, (PJIIT), Warsaw, Poland; Institute of Radioelectronics, Warsaw University of Technology, Warsaw, Poland</t>
  </si>
  <si>
    <t>Rafalak, M., Polish-Japanese Institute of Information Technology, (PJIIT), Warsaw, Poland; Bilski, P., Institute of Radioelectronics, Warsaw University of Technology, Warsaw, Poland; Wierzbicki, A., Polish-Japanese Institute of Information Technology, (PJIIT), Warsaw, Poland</t>
  </si>
  <si>
    <t>Analyzing costs and accuracy of validation mechanisms for crowdsourcing platforms</t>
  </si>
  <si>
    <t>10.1016/j.mcm.2012.01.006</t>
  </si>
  <si>
    <t>35302321000;57218403122;7003867855;</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</si>
  <si>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work.11This paper is an extended version of Hirth etal. (2011) [3]. Both approaches are evaluated with regard to their detection quality, their costs and their applicability to different types of typical crowdsourcing tasks. © 2012 Elsevier Ltd.</t>
  </si>
  <si>
    <t>Hirth M., Hoßfeld T., Tran-Gia P.</t>
  </si>
  <si>
    <t>Mathematical and Computer Modelling</t>
  </si>
  <si>
    <t>https://www.scopus.com/inward/record.uri?eid=2-s2.0-84892542420&amp;doi=10.1016%2fj.mcm.2012.01.006&amp;partnerID=40&amp;md5=f3c3af15699ac4098b1a97a8ce0b0e3b</t>
  </si>
  <si>
    <t>University of Würzburg, Institute of Computer Science, Germany</t>
  </si>
  <si>
    <t>Hirth, M., University of Würzburg, Institute of Computer Science, Germany; Hoßfeld, T., University of Würzburg, Institute of Computer Science, Germany; Tran-Gia, P., University of Würzburg, Institute of Computer Science, Germany</t>
  </si>
  <si>
    <t>Hirth, M.; University of Würzburg, Germany; email: matthias.hirth@informatik.uni-wuerzburg.de</t>
  </si>
  <si>
    <t>Analyzing human resource management practices within the GSD context</t>
  </si>
  <si>
    <t>10.1080/1097198X.2012.10845617</t>
  </si>
  <si>
    <t>25653963200;26537201300;16069494100;56962766700;16031087300;</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</si>
  <si>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 CMM within organizations using Global Software Development (GSD) is not an easy task. This paper uses an empirical study to analyze the implementation of the People- CMM within the GSD context. Results confirm that cultural and communication problems are the main challenges in the implementation of the People-CMM adoption within GSD scenarios. © 2012 Routledge.</t>
  </si>
  <si>
    <t>Colomo-Palacios R., Casado-Lumbreras C., Soto-Acosta P., Misra S., García-Peñalvo F.J.</t>
  </si>
  <si>
    <t>Journal of Global Information Technology Management</t>
  </si>
  <si>
    <t>https://www.scopus.com/inward/record.uri?eid=2-s2.0-84870266387&amp;doi=10.1080%2f1097198X.2012.10845617&amp;partnerID=40&amp;md5=e1e382210b4e44c2833e94ec029a4337</t>
  </si>
  <si>
    <t>Computer Science Department, Universidad Carlos III de Madrid, Spain; Universidad Complutense de Madrid, Spain; Universidad de Murcia, Spain; Atilim University, Turkey; Motilal Nehru National Institute of Technology, Allahabad, India; Universidad de Salamanca, Spain</t>
  </si>
  <si>
    <t>Colomo-Palacios, R., Computer Science Department, Universidad Carlos III de Madrid, Spain; Casado-Lumbreras, C., Universidad Complutense de Madrid, Spain; Soto-Acosta, P., Universidad de Murcia, Spain; Misra, S., Atilim University, Turkey, Motilal Nehru National Institute of Technology, Allahabad, India; García-Peñalvo, F.J., Universidad de Salamanca, Spain</t>
  </si>
  <si>
    <t>Analyzing stakeholders' satisfaction when choosing suitable groupware tools for requirements elicitation</t>
  </si>
  <si>
    <t>10.1007/978-3-642-04216-4_18</t>
  </si>
  <si>
    <t>8907776100;7003393897;8907775900;7004203473;</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</si>
  <si>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 © 2009 Springer Berlin Heidelberg.</t>
  </si>
  <si>
    <t>Aranda G.N., Vizcaíno A., Cechich A., Piattini M.</t>
  </si>
  <si>
    <t>https://www.scopus.com/inward/record.uri?eid=2-s2.0-70350400866&amp;doi=10.1007%2f978-3-642-04216-4_18&amp;partnerID=40&amp;md5=cb4603e1c7b3178cc2f1c7b7bca35362</t>
  </si>
  <si>
    <t>Computing Sciences Department, GIISCo Research Group, Universidad Nacional Del Comahue, Buenos Aires 1400, Neuquén 8300, Argentina; ALARCOS Research Group, Information Systems and Technologies Department, Universidad de Castilla-La Mancha, Paseo de la Universidad 4, Ciudad Real 13071, Spain</t>
  </si>
  <si>
    <t>Aranda, G.N., Computing Sciences Department, GIISCo Research Group, Universidad Nacional Del Comahue, Buenos Aires 1400, Neuquén 8300, Argentina; Vizcaíno, A., ALARCOS Research Group, Information Systems and Technologies Department, Universidad de Castilla-La Mancha, Paseo de la Universidad 4, Ciudad Real 13071, Spain; Cechich, A., Computing Sciences Department, GIISCo Research Group, Universidad Nacional Del Comahue, Buenos Aires 1400, Neuquén 8300, Argentina; Piattini, M., ALARCOS Research Group, Information Systems and Technologies Department, Universidad de Castilla-La Mancha, Paseo de la Universidad 4, Ciudad Real 13071, Spain</t>
  </si>
  <si>
    <t>Aranda, G. N.; Computing Sciences Department, Buenos Aires 1400, Neuquén 8300, Argentina; email: garanda@uncoma.edu.ar</t>
  </si>
  <si>
    <t>ANNOTATE: OrgANizing uNstructured cOntenTs viA Topic labEls</t>
  </si>
  <si>
    <t>10.1109/BigData.2018.8622647</t>
  </si>
  <si>
    <t>12646018400;35794194100;7402667204;35362255100;36696346800;21743521100;</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</si>
  <si>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state-of-the-art.We further present real-life case studies of our proposed framework for automatically tagging Quora posts, and topically segmenting, indexing and linking related YouTube videos (using our publicly available Chrome browser extension). © 2018 IEEE.</t>
  </si>
  <si>
    <t>Ajwani D., Taneva B., Dutta S., Nicholson P.K., Heyrani-Nobari G., Sala A.</t>
  </si>
  <si>
    <t>Proceedings - 2018 IEEE International Conference on Big Data, Big Data 2018</t>
  </si>
  <si>
    <t>https://www.scopus.com/inward/record.uri?eid=2-s2.0-85062595421&amp;doi=10.1109%2fBigData.2018.8622647&amp;partnerID=40&amp;md5=1a08d1f3d6ec28867cbbe66fe33ee12e</t>
  </si>
  <si>
    <t>Nokia Bell Labs, Ireland</t>
  </si>
  <si>
    <t>Ajwani, D., Nokia Bell Labs, Ireland; Taneva, B., Nokia Bell Labs, Ireland; Dutta, S., Nokia Bell Labs, Ireland; Nicholson, P.K., Nokia Bell Labs, Ireland; Heyrani-Nobari, G., Nokia Bell Labs, Ireland; Sala, A., Nokia Bell Labs, Ireland</t>
  </si>
  <si>
    <t>Answering general time-sensitive queries</t>
  </si>
  <si>
    <t>10.1109/TKDE.2010.187</t>
  </si>
  <si>
    <t>14033862200;7003940794;6603236863;</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</si>
  <si>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</si>
  <si>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Dakka W., Gravano L., Ipeirotis P.</t>
  </si>
  <si>
    <t>IEEE Transactions on Knowledge and Data Engineering</t>
  </si>
  <si>
    <t>https://www.scopus.com/inward/record.uri?eid=2-s2.0-84555206080&amp;doi=10.1109%2fTKDE.2010.187&amp;partnerID=40&amp;md5=4b4fe6e460b9b006ba41fe10460f8cd0</t>
  </si>
  <si>
    <t>Google, 600 Amphitheatre Parkway, Mountain View, CA 94043, United States; Computer Science Department, Columbia University, 1214 Amsterdam Avenue, New York, NY 10027, United States; IOMS Department, Leonard N. Stern School of Business, New York University, KMC 8-84, 44 West 4th Street, New York, NY 10012, United States</t>
  </si>
  <si>
    <t>Dakka, W., Google, 600 Amphitheatre Parkway, Mountain View, CA 94043, United States; Gravano, L., Computer Science Department, Columbia University, 1214 Amsterdam Avenue, New York, NY 10027, United States; Ipeirotis, P., IOMS Department, Leonard N. Stern School of Business, New York University, KMC 8-84, 44 West 4th Street, New York, NY 10012, United States</t>
  </si>
  <si>
    <t>Dakka, W.; Google, 600 Amphitheatre Parkway, Mountain View, CA 94043, United States; email: wisam@google.com</t>
  </si>
  <si>
    <t>Applying Q-methodology to analyse the success factors in GSD</t>
  </si>
  <si>
    <t>10.1016/j.infsof.2013.01.003</t>
  </si>
  <si>
    <t>7003393897;35452740600;55308780300;7004203473;23398116200;</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</si>
  <si>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 2013 Elsevier B.V. All rights reserved.</t>
  </si>
  <si>
    <t>Vizcaíno A., García F., Villar J.C., Piattini M., Portillo J.</t>
  </si>
  <si>
    <t>https://www.scopus.com/inward/record.uri?eid=2-s2.0-84877922749&amp;doi=10.1016%2fj.infsof.2013.01.003&amp;partnerID=40&amp;md5=bfb8bda0f73634001042b9f450acbc28</t>
  </si>
  <si>
    <t>Instituto de Tecnologías y Sistemas de Información, University of Castilla-La Mancha, Paseo de la Universidad 4, 13017 Ciudad Real, Spain</t>
  </si>
  <si>
    <t>Vizcaíno, A., Instituto de Tecnologías y Sistemas de Información, University of Castilla-La Mancha, Paseo de la Universidad 4, 13017 Ciudad Real, Spain; García, F., Instituto de Tecnologías y Sistemas de Información, University of Castilla-La Mancha, Paseo de la Universidad 4, 13017 Ciudad Real, Spain; Villar, J.C., Instituto de Tecnologías y Sistemas de Información, University of Castilla-La Mancha, Paseo de la Universidad 4, 13017 Ciudad Real, Spain; Piattini, M., Instituto de Tecnologías y Sistemas de Información, University of Castilla-La Mancha, Paseo de la Universidad 4, 13017 Ciudad Real, Spain; Portillo, J., Instituto de Tecnologías y Sistemas de Información, University of Castilla-La Mancha, Paseo de la Universidad 4, 13017 Ciudad Real, Spain</t>
  </si>
  <si>
    <t>Vizcaíno, A.; Instituto de Tecnologías y Sistemas de Información, Paseo de la Universidad 4, 13017 Ciudad Real, Spain; email: Aurora.Vizcaino@uclm.es</t>
  </si>
  <si>
    <t>Applying strategies to recommend groupware tools according to cognitive characteristics of a team</t>
  </si>
  <si>
    <t>10.1007/978-3-642-16083-7_6</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</si>
  <si>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 © 2010 Springer-Verlag Berlin Heidelberg.</t>
  </si>
  <si>
    <t>Studies in Computational Intelligence</t>
  </si>
  <si>
    <t>https://www.scopus.com/inward/record.uri?eid=2-s2.0-78650130593&amp;doi=10.1007%2f978-3-642-16083-7_6&amp;partnerID=40&amp;md5=8388173248bb563f059233dff9cf2ad1</t>
  </si>
  <si>
    <t>GIISCo Research Group, Computing Sciences Department, Universidad Nacional Del Comahue, Neuquén, Argentina; Information Systems and Technologies Department, UCLM-INDRA Research and Development Institute, Universidad de Castilla-La Mancha, Ciudad Real, Spain</t>
  </si>
  <si>
    <t>Aranda, G.N., GIISCo Research Group, Computing Sciences Department, Universidad Nacional Del Comahue, Neuquén, Argentina; Vizcaíno, A., Information Systems and Technologies Department, UCLM-INDRA Research and Development Institute, Universidad de Castilla-La Mancha, Ciudad Real, Spain; Cechich, A., GIISCo Research Group, Computing Sciences Department, Universidad Nacional Del Comahue, Neuquén, Argentina; Piattini, M., Information Systems and Technologies Department, UCLM-INDRA Research and Development Institute, Universidad de Castilla-La Mancha, Ciudad Real, Spain</t>
  </si>
  <si>
    <t>Approach to detect non-adversarial overlapping collusion in crowdsourcing</t>
  </si>
  <si>
    <t>10.1109/PCCC.2017.8280462</t>
  </si>
  <si>
    <t>57195369430;7004116359;57204520228;57195364750;57203033964;36918490600;57038923900;</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</si>
  <si>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 © 2017 IEEE.</t>
  </si>
  <si>
    <t>Kamhoua G.A., Pissinou N., Iyengar S.S., Beltran J., Miller J., Kamhoua C.A., Njilla L.L.</t>
  </si>
  <si>
    <t>2017 IEEE 36th International Performance Computing and Communications Conference, IPCCC 2017</t>
  </si>
  <si>
    <t>https://www.scopus.com/inward/record.uri?eid=2-s2.0-85047384583&amp;doi=10.1109%2fPCCC.2017.8280462&amp;partnerID=40&amp;md5=aab92423595690de4cacd166d1261124</t>
  </si>
  <si>
    <t>School of Computing and Information Sciences, Florida International University, Miami, FL, United States; US Army Research Laboratory, Network Security Branch, Aldelphi, MD, United States; Air Force Research Lab, Cyber Assurance Branch, Rome, NY, United States</t>
  </si>
  <si>
    <t>Kamhoua, G.A., School of Computing and Information Sciences, Florida International University, Miami, FL, United States; Pissinou, N., School of Computing and Information Sciences, Florida International University, Miami, FL, United States; Iyengar, S.S., School of Computing and Information Sciences, Florida International University, Miami, FL, United States; Beltran, J., School of Computing and Information Sciences, Florida International University, Miami, FL, United States; Miller, J., School of Computing and Information Sciences, Florida International University, Miami, FL, United States; Kamhoua, C.A., US Army Research Laboratory, Network Security Branch, Aldelphi, MD, United States; Njilla, L.L., Air Force Research Lab, Cyber Assurance Branch, Rome, NY, United States</t>
  </si>
  <si>
    <t>Appropriated or inauthentic care in gig-economy platforms: A psycholinguistic analysis of uber and lyft</t>
  </si>
  <si>
    <t>10.1145/3170427.3188657</t>
  </si>
  <si>
    <t>39062263300;54950489800;57216456632;23393089200;</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</si>
  <si>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 © 2018 Copyright is held by the owner/author(s).</t>
  </si>
  <si>
    <t>Toombs A., Gray C., Zhou G., Light A.</t>
  </si>
  <si>
    <t>https://www.scopus.com/inward/record.uri?eid=2-s2.0-85052014497&amp;doi=10.1145%2f3170427.3188657&amp;partnerID=40&amp;md5=c6391c08c2c2ede384692518842fffcf</t>
  </si>
  <si>
    <t>Purdue University, West Lafayette, IN  47901, United States; University of Sussex, Brighton, United Kingdom</t>
  </si>
  <si>
    <t>Toombs, A., Purdue University, West Lafayette, IN  47901, United States; Gray, C., Purdue University, West Lafayette, IN  47901, United States; Zhou, G., Purdue University, West Lafayette, IN  47901, United States; Light, A., University of Sussex, Brighton, United Kingdom</t>
  </si>
  <si>
    <t>Architecture-centric global software processes</t>
  </si>
  <si>
    <t>10.1109/ICGSE.2006.261240</t>
  </si>
  <si>
    <t>23480401200;23479318200;</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</si>
  <si>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 © 2006 IEEE.</t>
  </si>
  <si>
    <t>Rocha De Faria H., Adler G.</t>
  </si>
  <si>
    <t>https://www.scopus.com/inward/record.uri?eid=2-s2.0-38649140684&amp;doi=10.1109%2fICGSE.2006.261240&amp;partnerID=40&amp;md5=1b71a9d5af6ca878022288cf325afd73</t>
  </si>
  <si>
    <t>MRO Software, Inc., 100 Rua Joaquim Floriano, São Paulo, SP, 04534, Brazil; MRO Software, Inc., 100 Crosby Drive, Bedford, MA 01730, United States</t>
  </si>
  <si>
    <t>Rocha De Faria, H., MRO Software, Inc., 100 Rua Joaquim Floriano, São Paulo, SP, 04534, Brazil; Adler, G., MRO Software, Inc., 100 Crosby Drive, Bedford, MA 01730, United States</t>
  </si>
  <si>
    <t>Rocha De Faria, H.; MRO Software, Inc., 100 Rua Joaquim Floriano, São Paulo, SP, 04534, Brazil; email: henrique.rocha@mro.com</t>
  </si>
  <si>
    <t>Are All Contributions Equal? Investigating the Role of Community Participation in Crowdwork</t>
  </si>
  <si>
    <t>10.1111/deci.12471</t>
  </si>
  <si>
    <t>55755221400;56202573200;48861456500;24759114300;57217737950;</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</si>
  <si>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 © 2020 Decision Sciences Institute</t>
  </si>
  <si>
    <t>Ma X., Kuem J., Hou J., Khansa L., Zhu Z.</t>
  </si>
  <si>
    <t>Decision Sciences</t>
  </si>
  <si>
    <t>https://www.scopus.com/inward/record.uri?eid=2-s2.0-85087560149&amp;doi=10.1111%2fdeci.12471&amp;partnerID=40&amp;md5=07e01036b4fded699a2a8a2249cb7413</t>
  </si>
  <si>
    <t>Decision and Information Sciences, C. T. Bauer College of Business, University of Houston, Houston, TX  77019, United States; Department of Information Security &amp; Digital Forensics, School of Business, University at Albany, Albany, NY  12222, United States; Department of Business Information Technology, Pamplin College of Business, Blacksburg, VA  24061, United States; Big Data Audit Centre of Wuxi Audit Administration, Wuxi, Jiangsu  214001, China</t>
  </si>
  <si>
    <t>Ma, X., Decision and Information Sciences, C. T. Bauer College of Business, University of Houston, Houston, TX  77019, United States; Kuem, J., Department of Information Security &amp; Digital Forensics, School of Business, University at Albany, Albany, NY  12222, United States; Hou, J., Decision and Information Sciences, C. T. Bauer College of Business, University of Houston, Houston, TX  77019, United States; Khansa, L., Department of Business Information Technology, Pamplin College of Business, Blacksburg, VA  24061, United States; Zhu, Z., Big Data Audit Centre of Wuxi Audit Administration, Wuxi, Jiangsu  214001, China</t>
  </si>
  <si>
    <t>Ma, X.; Decision and Information Sciences, United States; email: xma@bauer.uh.edu</t>
  </si>
  <si>
    <t>Are Relational Inferences from Crowdsourced and Opt-in Samples Generalizable? Comparing Criminal Justice Attitudes in the GSS and Five Online Samples</t>
  </si>
  <si>
    <t>10.1007/s10940-019-09436-7</t>
  </si>
  <si>
    <t>57195642500;38061940400;</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</si>
  <si>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 © 2019, Springer Science+Business Media, LLC, part of Springer Nature.</t>
  </si>
  <si>
    <t>Thompson A.J., Pickett J.T.</t>
  </si>
  <si>
    <t>Journal of Quantitative Criminology</t>
  </si>
  <si>
    <t>https://www.scopus.com/inward/record.uri?eid=2-s2.0-85075193725&amp;doi=10.1007%2fs10940-019-09436-7&amp;partnerID=40&amp;md5=6a7e368780dd914c0393a014f57b421c</t>
  </si>
  <si>
    <t>School of Criminal Justice, University at Albany, SUNY, 135 Western Avenue, Albany, NY  12222, United States</t>
  </si>
  <si>
    <t>Thompson, A.J., School of Criminal Justice, University at Albany, SUNY, 135 Western Avenue, Albany, NY  12222, United States; Pickett, J.T., School of Criminal Justice, University at Albany, SUNY, 135 Western Avenue, Albany, NY  12222, United States</t>
  </si>
  <si>
    <t>Thompson, A.J.; School of Criminal Justice, 135 Western Avenue, United States; email: ajthompson@albany.edu</t>
  </si>
  <si>
    <t>Carrillo de Gea, J.M.; Department of Computer Science and Systems, Spain; email: jmcdg1@um.es</t>
  </si>
  <si>
    <t>Are You on the Right Platform? A Conjoint Analysis of Social Media Preferences in Aesthetic Surgery Patients</t>
  </si>
  <si>
    <t>10.1093/asj/sjy238</t>
  </si>
  <si>
    <t>57194491876;57210801576;56942344000;57194157698;56305237600;6602805676;7004101283;55655628900;</t>
  </si>
  <si>
    <t>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 © 2018 The American Society for Aesthetic Plastic Surgery, Inc.</t>
  </si>
  <si>
    <t>Nayyar A., Jadi J., Garimella R., Elkins-Williams S.T., Gallagher K.K., Kalliainen L.K., Hultman C.S., Wu C.</t>
  </si>
  <si>
    <t>https://www.scopus.com/inward/record.uri?eid=2-s2.0-85071492494&amp;doi=10.1093%2fasj%2fsjy238&amp;partnerID=40&amp;md5=d0470d3ac571f23d59efeaa9222b6a82</t>
  </si>
  <si>
    <t>Lineberger Comprehensive Cancer Center, University of North Carolina at Chapel Hill, Chapel Hill, NC, United States; University of North Carolina, School of Medicine, Chapel Hill, NC, United States; Brown University, Providence, RI, United States; Division of Plastic and Reconstructive Surgery, University of North Carolina, Chapel Hill, NC, United States; Director of the UNC Surgical Breast Care Program, University of North Carolina, Chapel Hill, NC, United States; Johns Hopkins Burn Center and Professor of Plastic and Reconstructive Surgery, Johns Hopkins University, School of Medicine, Baltimore, MD, United States; 3550 NW Cary Parkway Suite 100, Cary, NC  27513, United States</t>
  </si>
  <si>
    <t>Nayyar, A., Lineberger Comprehensive Cancer Center, University of North Carolina at Chapel Hill, Chapel Hill, NC, United States; Jadi, J., University of North Carolina, School of Medicine, Chapel Hill, NC, United States; Garimella, R., Brown University, Providence, RI, United States; Elkins-Williams, S.T.; Gallagher, K.K., Director of the UNC Surgical Breast Care Program, University of North Carolina, Chapel Hill, NC, United States; Kalliainen, L.K., Division of Plastic and Reconstructive Surgery, University of North Carolina, Chapel Hill, NC, United States; Hultman, C.S., Johns Hopkins Burn Center and Professor of Plastic and Reconstructive Surgery, Johns Hopkins University, School of Medicine, Baltimore, MD, United States; Wu, C., 3550 NW Cary Parkway Suite 100, Cary, NC  27513, United States</t>
  </si>
  <si>
    <t>Wu, C.3550 NW Cary Parkway Suite 100, United States; email: thewugirl@yahoo.com</t>
  </si>
  <si>
    <t>Asian Candidates in America: The Surprising Effects of Positive Racial Stereotyping</t>
  </si>
  <si>
    <t>10.1177/1065912916674273</t>
  </si>
  <si>
    <t>56479236300;</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</si>
  <si>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 © 2016, © 2016 University of Utah.</t>
  </si>
  <si>
    <t>Visalvanich N.</t>
  </si>
  <si>
    <t>Political Research Quarterly</t>
  </si>
  <si>
    <t>https://www.scopus.com/inward/record.uri?eid=2-s2.0-85012202626&amp;doi=10.1177%2f1065912916674273&amp;partnerID=40&amp;md5=d29cc841e48b90da70aa86fa78054101</t>
  </si>
  <si>
    <t>Durham University, United Kingdom</t>
  </si>
  <si>
    <t>Visalvanich, N., Durham University, United Kingdom</t>
  </si>
  <si>
    <t>Visalvanich, N.; School of Government &amp; International Affairs, United Kingdom; email: neil.visalvanich@durham.ac.uk</t>
  </si>
  <si>
    <t>Assessing geographic relevance for mobile search: A computational model and its validation via crowdsourcing</t>
  </si>
  <si>
    <t>10.1002/asi.23625</t>
  </si>
  <si>
    <t>15766232300;35931921400;7005111709;14324591800;</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</si>
  <si>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 © 2016 ASIS&amp;T</t>
  </si>
  <si>
    <t>Reichenbacher T., De Sabbata S., Purves R.S., Fabrikant S.I.</t>
  </si>
  <si>
    <t>Journal of the Association for Information Science and Technology</t>
  </si>
  <si>
    <t>https://www.scopus.com/inward/record.uri?eid=2-s2.0-84960145810&amp;doi=10.1002%2fasi.23625&amp;partnerID=40&amp;md5=ad6d356f379b7407fb17596dea90f43f</t>
  </si>
  <si>
    <t>Department of Geography, University of Zurich, Winterthurerstr. 190, Zurich, 8057, Switzerland; Oxford Internet Institute, University of Oxford, 1 St Giles, Oxford, OX1 3JS, United Kingdom</t>
  </si>
  <si>
    <t>Reichenbacher, T., Department of Geography, University of Zurich, Winterthurerstr. 190, Zurich, 8057, Switzerland; De Sabbata, S., Oxford Internet Institute, University of Oxford, 1 St Giles, Oxford, OX1 3JS, United Kingdom; Purves, R.S., Department of Geography, University of Zurich, Winterthurerstr. 190, Zurich, 8057, Switzerland; Fabrikant, S.I., Department of Geography, University of Zurich, Winterthurerstr. 190, Zurich, 8057, Switzerland</t>
  </si>
  <si>
    <t>Assessing pictograph recognition: A comparison of crowdsourcing and traditional survey approaches</t>
  </si>
  <si>
    <t>10.2196/jmir.4582</t>
  </si>
  <si>
    <t>56197162200;57057665600;7003384919;7007113135;7401806583;</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</si>
  <si>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 © Jinqiu Kuang, Lauren Argo, Greg Stoddard, Bruce E Bray, Qing Zeng-Treitler.</t>
  </si>
  <si>
    <t>Kuang J., Argo L., Stoddard G., Bray B.E., Zeng-Treitler Q.</t>
  </si>
  <si>
    <t>https://www.scopus.com/inward/record.uri?eid=2-s2.0-84954318150&amp;doi=10.2196%2fjmir.4582&amp;partnerID=40&amp;md5=2fd2b80690b6aed2ba37bc5ab2d5f854</t>
  </si>
  <si>
    <t>Department of Biomedical Informatics, University of Utah, 421 Wakara Way, Suite 140, Salt Lake City, UT  84108, United States; Study Design and Biostatistics Center, University of Utah, Salt Lake City, UT, United States; George E. Wahlen Department of Veterans Affairs Medical Center, Informatics Decision-Enhancement and Analytic Sciences (IDEAS) Center, Salt Lake City, UT, United States</t>
  </si>
  <si>
    <t>Kuang, J., Department of Biomedical Informatics, University of Utah, 421 Wakara Way, Suite 140, Salt Lake City, UT  84108, United States; Argo, L., Department of Biomedical Informatics, University of Utah, 421 Wakara Way, Suite 140, Salt Lake City, UT  84108, United States; Stoddard, G., Study Design and Biostatistics Center, University of Utah, Salt Lake City, UT, United States; Bray, B.E., Department of Biomedical Informatics, University of Utah, 421 Wakara Way, Suite 140, Salt Lake City, UT  84108, United States; Zeng-Treitler, Q., Department of Biomedical Informatics, University of Utah, 421 Wakara Way, Suite 140, Salt Lake City, UT  84108, United States, George E. Wahlen Department of Veterans Affairs Medical Center, Informatics Decision-Enhancement and Analytic Sciences (IDEAS) Center, Salt Lake City, UT, United States</t>
  </si>
  <si>
    <t>Kuang, J.; Department of Biomedical Informatics, 421 Wakara Way, Suite 140, United States; email: Jinqiu.kuang@utah.edu</t>
  </si>
  <si>
    <t>Assessing the impact of image manipulation on users' perceptions of deception</t>
  </si>
  <si>
    <t>10.1117/12.2039418</t>
  </si>
  <si>
    <t>24075511900;54792686300;8662845900;56539938800;56574709600;</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</si>
  <si>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usersâ€™ perceptions of deception. Our goal is to gain significant insights about how different types of manipulations impact usersâ€™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 © 2014 SPIE-IS&amp;T.</t>
  </si>
  <si>
    <t>Conotter V., Dang-Nguyen D.-T., Boato G., Menéndez M., Larson M.</t>
  </si>
  <si>
    <t>https://www.scopus.com/inward/record.uri?eid=2-s2.0-84897501907&amp;doi=10.1117%2f12.2039418&amp;partnerID=40&amp;md5=48b6d60824d8397d31d1d92ac965a2ec</t>
  </si>
  <si>
    <t>DISI, University of Trento, Trento, Italy; DMIR, Delft University of Technology, Netherlands</t>
  </si>
  <si>
    <t>Conotter, V., DISI, University of Trento, Trento, Italy; Dang-Nguyen, D.-T., DISI, University of Trento, Trento, Italy; Boato, G., DISI, University of Trento, Trento, Italy; Menéndez, M., DISI, University of Trento, Trento, Italy; Larson, M., DMIR, Delft University of Technology, Netherlands</t>
  </si>
  <si>
    <t>Association of cognitive biases with human papillomavirus vaccine hesitancy: a cross-sectional study</t>
  </si>
  <si>
    <t>10.1080/21645515.2019.1698243</t>
  </si>
  <si>
    <t>57212560444;25626268400;57191429464;57200600675;57204447955;26421597500;57216065685;</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</si>
  <si>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 © 2019, © 2019 Taylor &amp; Francis Group, LLC.</t>
  </si>
  <si>
    <t>Pomares T.D., Buttenheim A.M., Amin A.B., Joyce C.M., Porter R.M., Bednarczyk R.A., Omer S.B.</t>
  </si>
  <si>
    <t>Human Vaccines and Immunotherapeutics</t>
  </si>
  <si>
    <t>https://www.scopus.com/inward/record.uri?eid=2-s2.0-85077070071&amp;doi=10.1080%2f21645515.2019.1698243&amp;partnerID=40&amp;md5=c564861524ccb5edee98fa554360af45</t>
  </si>
  <si>
    <t>Department of Epidemiology, Rollins School of Public Health, Emory University, Atlanta, GA, United States;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Yale School of Medicine, Yale Institute for Global Health, New Haven, CT, United States; Yale School of Public Health, Yale University, New Haven, CT, United States</t>
  </si>
  <si>
    <t>Pomares, T.D., Department of Epidemiology, Rollins School of Public Health, Emory University, Atlanta, GA, United States; Buttenheim, A.M.,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Amin, A.B., Department of Epidemiology, Rollins School of Public Health, Emory University, Atlanta, GA, United States; Joyce, C.M., Department of Family and Community Health, University of Pennsylvania School of Nursing, University of Pennsylvania, Philadelphia, PA, United States; Porter, R.M., Department of Epidemiology,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Omer, S.B., Yale School of Medicine, Yale Institute for Global Health, New Haven, CT, United States, Yale School of Public Health, Yale University, New Haven, CT, United States</t>
  </si>
  <si>
    <t>Omer, S.B.; Yale School of Medicine, United States; email: saad.omer@yale.edu</t>
  </si>
  <si>
    <t>Attend to you: Personalized image captioning with Context Sequence Memory Networks</t>
  </si>
  <si>
    <t>10.1109/CVPR.2017.681</t>
  </si>
  <si>
    <t>57189093449;57201394002;55685918100;</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</si>
  <si>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1.1M posts from 6.3K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 © 2017 IEEE.</t>
  </si>
  <si>
    <t>Park C.C., Kim B., Kim G.</t>
  </si>
  <si>
    <t>Proceedings - 30th IEEE Conference on Computer Vision and Pattern Recognition, CVPR 2017</t>
  </si>
  <si>
    <t>https://www.scopus.com/inward/record.uri?eid=2-s2.0-85042488728&amp;doi=10.1109%2fCVPR.2017.681&amp;partnerID=40&amp;md5=db84b73cc6c5552c9fe8482c693bec1a</t>
  </si>
  <si>
    <t>Lunit Inc., Seoul, South Korea; Seoul National University, Seoul, South Korea</t>
  </si>
  <si>
    <t>Park, C.C., Lunit Inc., Seoul, South Korea; Kim, B., Seoul National University, Seoul, South Korea; Kim, G., Seoul National University, Seoul, South Korea</t>
  </si>
  <si>
    <t>Kim, G.; Seoul National UniversitySouth Korea; email: gunhee@snu.ac.kr</t>
  </si>
  <si>
    <t>Attenuation of Deviant Sexual Fantasy across the Lifespan in United States Adult Males</t>
  </si>
  <si>
    <t>10.1080/13218719.2020.1719376</t>
  </si>
  <si>
    <t>57211435184;8602816500;</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</si>
  <si>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 © 2020, © 2020 The Australian and New Zealand Association of Psychiatry, Psychology and Law.</t>
  </si>
  <si>
    <t>Harvey T.A., Jeglic E.L.</t>
  </si>
  <si>
    <t>Psychiatry, Psychology and Law</t>
  </si>
  <si>
    <t>https://www.scopus.com/inward/record.uri?eid=2-s2.0-85079409109&amp;doi=10.1080%2f13218719.2020.1719376&amp;partnerID=40&amp;md5=56563b33bc2a6ed0173e8b1d016039bf</t>
  </si>
  <si>
    <t>Psychology Department, John Jay College of Criminal Justice, The City University of New York, New York, NY, United States</t>
  </si>
  <si>
    <t>Harvey, T.A., Psychology Department, John Jay College of Criminal Justice, The City University of New York, New York, NY, United States; Jeglic, E.L., Psychology Department, John Jay College of Criminal Justice, The City University of New York, New York, NY, United States</t>
  </si>
  <si>
    <t>Harvey, T.A.; Psychology Department, Room 10.65.35 New Building, 524 W. 59th Street, United States; email: sfresearchproject@gmail.com</t>
  </si>
  <si>
    <t>Automatic Task Classification via Support Vector Machine and Crowdsourcing</t>
  </si>
  <si>
    <t>10.1155/2018/6920679</t>
  </si>
  <si>
    <t>57191877101;12789639400;</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</si>
  <si>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 © 2018 Hyungsik Shin and Jeongyeup Paek.</t>
  </si>
  <si>
    <t>Shin H., Paek J.</t>
  </si>
  <si>
    <t>Mobile Information Systems</t>
  </si>
  <si>
    <t>https://www.scopus.com/inward/record.uri?eid=2-s2.0-85048168959&amp;doi=10.1155%2f2018%2f6920679&amp;partnerID=40&amp;md5=7a67ae67c627c8bc014b1e18de76ce30</t>
  </si>
  <si>
    <t>School of Electronic and Electrical Engineering, Hongik University, Seoul, South Korea; School of Computer Science and Engineering, Chung-Ang University, Seoul, South Korea</t>
  </si>
  <si>
    <t>Shin, H., School of Electronic and Electrical Engineering, Hongik University, Seoul, South Korea; Paek, J., School of Computer Science and Engineering, Chung-Ang University, Seoul, South Korea</t>
  </si>
  <si>
    <t>Paek, J.; School of Computer Science and Engineering, South Korea; email: jpaek@cau.ac.kr</t>
  </si>
  <si>
    <t>Awkward Annie: Game-based assessment of english pragmatic skills</t>
  </si>
  <si>
    <t>10.1007/978-3-319-76270-8_54</t>
  </si>
  <si>
    <t>8550597300;35770716100;57194786666;57201136109;55644612300;</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</si>
  <si>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 © Springer International Publishing AG, part of Springer Nature 2018.</t>
  </si>
  <si>
    <t>Jackson G.T., Grace L., Inglese P., Wain J., Hone R.</t>
  </si>
  <si>
    <t>https://www.scopus.com/inward/record.uri?eid=2-s2.0-85043519100&amp;doi=10.1007%2f978-3-319-76270-8_54&amp;partnerID=40&amp;md5=e2f8bc1da11d3965a568d177a8b7bd21</t>
  </si>
  <si>
    <t>Educational Testing Service, Princeton, NJ  08541, United States; American University, Washington, DC  20016, United States</t>
  </si>
  <si>
    <t>Jackson, G.T., Educational Testing Service, Princeton, NJ  08541, United States; Grace, L., American University, Washington, DC  20016, United States; Inglese, P., Educational Testing Service, Princeton, NJ  08541, United States; Wain, J., Educational Testing Service, Princeton, NJ  08541, United States; Hone, R., American University, Washington, DC  20016, United States</t>
  </si>
  <si>
    <t>Jackson, G.T.; Educational Testing ServiceUnited States; email: gtjackson@ets.org</t>
  </si>
  <si>
    <t>BEEF: Balanced English Explanations of Forecasts</t>
  </si>
  <si>
    <t>10.1109/TCSS.2019.2902490</t>
  </si>
  <si>
    <t>57207965376;56436560900;16069445100;7006050903;</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</si>
  <si>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 - with statistically significant effects shown for several parameter variations - and subjective evaluations based on a survey completed by 100 anonymous participants recruited via Amazon Mechanical Turk. © 2014 IEEE.</t>
  </si>
  <si>
    <t>Grover S., Pulice C., Simari G.I., Subrahmanian V.S.</t>
  </si>
  <si>
    <t>IEEE Transactions on Computational Social Systems</t>
  </si>
  <si>
    <t>https://www.scopus.com/inward/record.uri?eid=2-s2.0-85063400680&amp;doi=10.1109%2fTCSS.2019.2902490&amp;partnerID=40&amp;md5=8debe4849899b3d5ef54686d8ba913cd</t>
  </si>
  <si>
    <t>Department of Computer Science, Carnegie Mellon University, Pittsburgh, PA  15213, United States; Department of Computer Science, Dartmouth College, Hanover, NH  03755, United States; Department of Computer Science and Engineering, Institute for Computer Science and Engineering (CONICET), Universidad Nacional Del sur (UNS), Bahía Blanca, B8000, Argentina</t>
  </si>
  <si>
    <t>Grover, S., Department of Computer Science, Carnegie Mellon University, Pittsburgh, PA  15213, United States; Pulice, C., Department of Computer Science, Dartmouth College, Hanover, NH  03755, United States; Simari, G.I., Department of Computer Science and Engineering, Institute for Computer Science and Engineering (CONICET), Universidad Nacional Del sur (UNS), Bahía Blanca, B8000, Argentina; Subrahmanian, V.S., Department of Computer Science, Dartmouth College, Hanover, NH  03755, United States</t>
  </si>
  <si>
    <t>Pulice, C.; Department of Computer Science, United States; email: chiara.pulice@dartmouth.edu</t>
  </si>
  <si>
    <t>Behavior Explanation as Intention Signaling in Human-Robot Teaming</t>
  </si>
  <si>
    <t>10.1109/ROMAN.2018.8525675</t>
  </si>
  <si>
    <t>57204953386;55922457000;</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</si>
  <si>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 © 2018 IEEE.</t>
  </si>
  <si>
    <t>Gong Z., Zhang Y.</t>
  </si>
  <si>
    <t>RO-MAN 2018 - 27th IEEE International Symposium on Robot and Human Interactive Communication</t>
  </si>
  <si>
    <t>https://www.scopus.com/inward/record.uri?eid=2-s2.0-85058104611&amp;doi=10.1109%2fROMAN.2018.8525675&amp;partnerID=40&amp;md5=a35a60ae1166ac85c77564170bbeaa1f</t>
  </si>
  <si>
    <t>Computer Science and Engineering Department, Arizona State University, United States</t>
  </si>
  <si>
    <t>Gong, Z., Computer Science and Engineering Department, Arizona State University, United States; Zhang, Y., Computer Science and Engineering Department, Arizona State University, United States</t>
  </si>
  <si>
    <t>Beyond distributive fairness in algorithmic decision making: Feature selection for procedurally fair learning</t>
  </si>
  <si>
    <t>57203397997;55953565200;6507779856;35793051700;</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</si>
  <si>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be achieved with little cost to outcome fairness, but that some loss of accuracy is unavoidable. Copyright © 2018, Association for the Advancement of Artificial Intelligence (www.aaai.org). All rights reserved.</t>
  </si>
  <si>
    <t>Grgić-Hlača N., Zafar M.B., Gummadi K.P., Weller A.</t>
  </si>
  <si>
    <t>https://www.scopus.com/inward/record.uri?eid=2-s2.0-85051530970&amp;partnerID=40&amp;md5=de223f231db5a0d66c17d28666a10f89</t>
  </si>
  <si>
    <t>Max Planck Institute for Software Systems (MPI-SWS), Germany; University of Cambridge, United Kingdom; Alan Turing Institute, United Kingdom; Leverhulme Centre for the Future of Intelligence, United Kingdom</t>
  </si>
  <si>
    <t>Grgić-Hlača, N., Max Planck Institute for Software Systems (MPI-SWS), Germany; Zafar, M.B., Max Planck Institute for Software Systems (MPI-SWS), Germany; Gummadi, K.P., Max Planck Institute for Software Systems (MPI-SWS), Germany; Weller, A., University of Cambridge, United Kingdom, Alan Turing Institute, United Kingdom, Leverhulme Centre for the Future of Intelligence, United Kingdom</t>
  </si>
  <si>
    <t>Beyond Personal Responsibility: Examining the Effects of Narrative Engagement on Communicative and Civic Actions</t>
  </si>
  <si>
    <t>10.1080/10810730.2019.1643954</t>
  </si>
  <si>
    <t>55987197900;57191901540;57211365349;</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</si>
  <si>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 ©, Copyright © Taylor &amp; Francis Group, LLC.</t>
  </si>
  <si>
    <t>Sun Y., Lee T.K., Qian S.</t>
  </si>
  <si>
    <t>Journal of Health Communication</t>
  </si>
  <si>
    <t>https://www.scopus.com/inward/record.uri?eid=2-s2.0-85073652413&amp;doi=10.1080%2f10810730.2019.1643954&amp;partnerID=40&amp;md5=8e7861596962a18d51f53d39453924bc</t>
  </si>
  <si>
    <t>Department of Communication, University of Utah, Languages and Communication Building, Salt Lake City, UT, United States</t>
  </si>
  <si>
    <t>Sun, Y., Department of Communication, University of Utah, Languages and Communication Building, Salt Lake City, UT, United States; Lee, T.K., Department of Communication, University of Utah, Languages and Communication Building, Salt Lake City, UT, United States; Qian, S., Department of Communication, University of Utah, Languages and Communication Building, Salt Lake City, UT, United States</t>
  </si>
  <si>
    <t>Sun, Y.; Department of Communication, 255 South Central Campus Drive, United States; email: ye.sun@utah.edu</t>
  </si>
  <si>
    <t>Bias in Online freelance marketplaces: Evidence from TaskRabbit and Fiverr</t>
  </si>
  <si>
    <t>10.1145/2998181.2998327</t>
  </si>
  <si>
    <t>56017270900;8693841200;55588402400;57205900668;56817130300;55477614100;</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</si>
  <si>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marketplaces-TaskRabbit and Fiverr-are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</si>
  <si>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Hannák A., Mislove A., Wagner C., Strohmaier M., Garcia D., Wilson C.</t>
  </si>
  <si>
    <t>https://www.scopus.com/inward/record.uri?eid=2-s2.0-85014764640&amp;doi=10.1145%2f2998181.2998327&amp;partnerID=40&amp;md5=50fc33d4b3bb23e3cf9fcf9874145dac</t>
  </si>
  <si>
    <t>Northeastern University, United States; GESIS Leibniz Institute for the Social Sciences, U. of Koblenz-Landau, Germany; ETH Zürich, Switzerland</t>
  </si>
  <si>
    <t>Hannák, A., Northeastern University, United States; Mislove, A., Northeastern University, United States; Wagner, C., GESIS Leibniz Institute for the Social Sciences, U. of Koblenz-Landau, Germany; Strohmaier, M., GESIS Leibniz Institute for the Social Sciences, U. of Koblenz-Landau, Germany; Garcia, D., ETH Zürich, Switzerland; Wilson, C., Northeastern University, United States</t>
  </si>
  <si>
    <t>Block-based versus flow-based programming for naive programmers</t>
  </si>
  <si>
    <t>10.1109/BLOCKS.2017.8120405</t>
  </si>
  <si>
    <t>7401468907;57202423547;</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</si>
  <si>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 © 2017 IEEE.</t>
  </si>
  <si>
    <t>Mason D., Dave K.</t>
  </si>
  <si>
    <t>Proceedings - 2017 IEEE Blocks and Beyond Workshop, B and B 2017</t>
  </si>
  <si>
    <t>https://www.scopus.com/inward/record.uri?eid=2-s2.0-85048290286&amp;doi=10.1109%2fBLOCKS.2017.8120405&amp;partnerID=40&amp;md5=59467035bc43d8ef149210967d689177</t>
  </si>
  <si>
    <t>School of Computer Science, Ryerson University, Toronto, Canada</t>
  </si>
  <si>
    <t>Mason, D., School of Computer Science, Ryerson University, Toronto, Canada; Dave, K., School of Computer Science, Ryerson University, Toronto, Canada</t>
  </si>
  <si>
    <t>Breast Cancer Knowledge and Decisions Made for Contralateral Prophylactic Mastectomy: A Survey of Surgeons and Women in the General Population</t>
  </si>
  <si>
    <t>10.1097/PRS.0000000000005523</t>
  </si>
  <si>
    <t>57208273173;57203990570;57203982895;24398231600;7202158357;55523924900;26642946300;24169177300;</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</si>
  <si>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 © 2019 by the American Society of Plastic Surgeons.</t>
  </si>
  <si>
    <t>Hooper R.C., Hsu J., Duncan A., Bensenhaver J.M., Newman L.A., Kidwell K.M., Chung K.C., Momoh A.O.</t>
  </si>
  <si>
    <t>https://www.scopus.com/inward/record.uri?eid=2-s2.0-85065393252&amp;doi=10.1097%2fPRS.0000000000005523&amp;partnerID=40&amp;md5=c6141024904a7de86474c57a7abd91ff</t>
  </si>
  <si>
    <t>Dept. of Surg., Univ. of Michigan Hlth. Syst.; the Dept. of Surg., Henry Ford Hlth. Syst.; and the Dept. of Biostatist., Univ. of Michigan Sch. of Pub. Hlth.; Section of Plastic Surgery, University of Michigan Health System, 2130 Taubman Center, 1500 East Medical Center Drive, Ann Arbor, MI  48109-5340, United States</t>
  </si>
  <si>
    <t>Hooper, R.C., Dept. of Surg., Univ. of Michigan Hlth. Syst.; the Dept. of Surg., Henry Ford Hlth. Syst.; and the Dept. of Biostatist., Univ. of Michigan Sch. of Pub. Hlth.; Hsu, J., Dept. of Surg., Univ. of Michigan Hlth. Syst.; the Dept. of Surg., Henry Ford Hlth. Syst.; and the Dept. of Biostatist., Univ. of Michigan Sch. of Pub. Hlth.; Duncan, A., Dept. of Surg., Univ. of Michigan Hlth. Syst.; the Dept. of Surg., Henry Ford Hlth. Syst.; and the Dept. of Biostatist., Univ. of Michigan Sch. of Pub. Hlth.; Bensenhaver, J.M., Dept. of Surg., Univ. of Michigan Hlth. Syst.; the Dept. of Surg., Henry Ford Hlth. Syst.; and the Dept. of Biostatist., Univ. of Michigan Sch. of Pub. Hlth.; Newman, L.A., Dept. of Surg., Univ. of Michigan Hlth. Syst.; the Dept. of Surg., Henry Ford Hlth. Syst.; and the Dept. of Biostatist., Univ. of Michigan Sch. of Pub. Hlth.; Kidwell, K.M., Dept. of Surg., Univ. of Michigan Hlth. Syst.; the Dept. of Surg., Henry Ford Hlth. Syst.; and the Dept. of Biostatist., Univ. of Michigan Sch. of Pub. Hlth.; Chung, K.C., Dept. of Surg., Univ. of Michigan Hlth. Syst.; the Dept. of Surg., Henry Ford Hlth. Syst.; and the Dept. of Biostatist., Univ. of Michigan Sch. of Pub. Hlth.; Momoh, A.O., Section of Plastic Surgery, University of Michigan Health System, 2130 Taubman Center, 1500 East Medical Center Drive, Ann Arbor, MI  48109-5340, United States</t>
  </si>
  <si>
    <t>CAG: Compliance adherence and governance in software delivery using blockchain</t>
  </si>
  <si>
    <t>10.1109/WETSEB.2019.00011</t>
  </si>
  <si>
    <t>56705537600;14009680600;34976807600;57189688282;</t>
  </si>
  <si>
    <t>The software development life cycle (SDLC) starts with business and functional specifications signed with a client. In addition to this, the specifications also capture policy/procedure/contractual/regulatory/legislation/standard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 © 2019 IEEE.</t>
  </si>
  <si>
    <t>Singi K., Kaulgud V., Jagadeesh Chandra Bose R.P., Podder S.</t>
  </si>
  <si>
    <t>Proceedings - 2019 IEEE/ACM 2nd International Workshop on Emerging Trends in Software Engineering for Blockchain, WETSEB 2019</t>
  </si>
  <si>
    <t>https://www.scopus.com/inward/record.uri?eid=2-s2.0-85073158419&amp;doi=10.1109%2fWETSEB.2019.00011&amp;partnerID=40&amp;md5=e5e03c17495e0712aa88cb0e7827eb58</t>
  </si>
  <si>
    <t>Singi, K., Accenture Labs, Bangalore, India; Kaulgud, V., Accenture Labs, Bangalore, India; Jagadeesh Chandra Bose, R.P., Accenture Labs, Bangalore, India; Podder, S., Accenture Labs, Bangalore, India</t>
  </si>
  <si>
    <t>Calibration of a multiple stereo and RGB-D camera system for 3D human tracking</t>
  </si>
  <si>
    <t>10.5194/isprsarchives-XL-3-W1-7-2014</t>
  </si>
  <si>
    <t>56538600000;54583111500;6601954474;</t>
  </si>
  <si>
    <t>Human Tracking in Computer Vision is a very active up-going research area. Previous works analyze this topic by applying algorithms and features extraction in 2D, while 3D tracking is quite an unexplored filed, especially concerning multi-camera systems. Our approach discussed in this paper is focused on the detection and tracking of human postures using multiple RGB-D data together with stereo cameras. We use low-cost devices, such as Microsoft Kinect and a people counter, based on a stereo system. The novelty of our technique concerns the synchronization of multiple devices and the determination of their exterior and relative orientation in space, based on a common world coordinate system. Furthermore, this is used for applying Bundle Adjustment to obtain a unique 3D scene, which is then used as a starting point for the detection and tracking of humans and extract significant metrics from the datasets acquired. In this article, the approaches are described for the determination of the exterior and absolute orientation. Subsequently, it is shown how a common point cloud is formed. Finally, some results for object detection and tracking, based on 3D point clouds, are presented.</t>
  </si>
  <si>
    <t>Amplianitis K., Adduci M., Reulke R.</t>
  </si>
  <si>
    <t>International Archives of the Photogrammetry, Remote Sensing and Spatial Information Sciences - ISPRS Archives</t>
  </si>
  <si>
    <t>https://www.scopus.com/inward/record.uri?eid=2-s2.0-84924144222&amp;doi=10.5194%2fisprsarchives-XL-3-W1-7-2014&amp;partnerID=40&amp;md5=17afd2f20a9b9b2a81d8775f800ea8d2</t>
  </si>
  <si>
    <t>Humboldt Universität zu Berlin, Computer Science Department, Computer Vision, Rudower Chaussee 25, Berlin, 12489, Germany</t>
  </si>
  <si>
    <t>Amplianitis, K., Humboldt Universität zu Berlin, Computer Science Department, Computer Vision, Rudower Chaussee 25, Berlin, 12489, Germany; Adduci, M., Humboldt Universität zu Berlin, Computer Science Department, Computer Vision, Rudower Chaussee 25, Berlin, 12489, Germany; Reulke, R., Humboldt Universität zu Berlin, Computer Science Department, Computer Vision, Rudower Chaussee 25, Berlin, 12489, Germany</t>
  </si>
  <si>
    <t>Reulke, R.; Humboldt Universität zu Berlin, Computer Science Department, Computer Vision, Rudower Chaussee 25, Germany</t>
  </si>
  <si>
    <t>Can nonexperts really emulate statistical learning methods? A comment on "the accuracy, fairness, and limits of predicting recidivism"</t>
  </si>
  <si>
    <t>10.1017/pan.2018.55</t>
  </si>
  <si>
    <t>57191280104;</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</si>
  <si>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 © The Author(s) 2018. Published by Cambridge University Press on behalf of the Society for Political Methodology.</t>
  </si>
  <si>
    <t>Bansak K.</t>
  </si>
  <si>
    <t>Political Analysis</t>
  </si>
  <si>
    <t>https://www.scopus.com/inward/record.uri?eid=2-s2.0-85066441982&amp;doi=10.1017%2fpan.2018.55&amp;partnerID=40&amp;md5=e1649ee84035ddfa2010212542db52c8</t>
  </si>
  <si>
    <t>Department of Political Science, Stanford University, Stanford, CA  94305-6044, United States</t>
  </si>
  <si>
    <t>Bansak, K., Department of Political Science, Stanford University, Stanford, CA  94305-6044, United States</t>
  </si>
  <si>
    <t>Bansak, K.; Department of Political Science, United States; email: kbansak@stanford.edu</t>
  </si>
  <si>
    <t>Can relative skill be determined from a photographic portfolio?</t>
  </si>
  <si>
    <t>10.1117/12.2008065</t>
  </si>
  <si>
    <t>56939206300;55758856800;55758698600;6602132539;</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</si>
  <si>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 © 2013 SPIE-IS&amp;T.</t>
  </si>
  <si>
    <t>Agrawal A., Premachandrana V., Somavarapu R., Kakarala R.</t>
  </si>
  <si>
    <t>https://www.scopus.com/inward/record.uri?eid=2-s2.0-84878700997&amp;doi=10.1117%2f12.2008065&amp;partnerID=40&amp;md5=7d2d761eadc0c5961df8f9ec2fdcf714</t>
  </si>
  <si>
    <t>Nanyang Technological University, 50 Nanyang Avenue, Singapore 639798, Singapore; University of Texas, 800 W Campbell Rd, Richardson, TX, 75080, United States</t>
  </si>
  <si>
    <t>Agrawal, A., Nanyang Technological University, 50 Nanyang Avenue, Singapore 639798, Singapore; Premachandrana, V., Nanyang Technological University, 50 Nanyang Avenue, Singapore 639798, Singapore; Somavarapu, R., University of Texas, 800 W Campbell Rd, Richardson, TX, 75080, United States; Kakarala, R., Nanyang Technological University, 50 Nanyang Avenue, Singapore 639798, Singapore</t>
  </si>
  <si>
    <t>Nanyang Technological University, 50 Nanyang Avenue, Singapore 639798, Singapore</t>
  </si>
  <si>
    <t>Can social influence be exploited to compromise security: An online experimental evaluation</t>
  </si>
  <si>
    <t>10.1145/3341161.3343688</t>
  </si>
  <si>
    <t>57195545365;36635055900;57189844787;57215296103;6506201054;</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</si>
  <si>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 © 2019 Association for Computing Machinery.</t>
  </si>
  <si>
    <t>Sarkar S., Shakarian P., Armenta M., Sanchez D., Lakkaraju K.</t>
  </si>
  <si>
    <t>Proceedings of the 2019 IEEE/ACM International Conference on Advances in Social Networks Analysis and Mining, ASONAM 2019</t>
  </si>
  <si>
    <t>https://www.scopus.com/inward/record.uri?eid=2-s2.0-85078842454&amp;doi=10.1145%2f3341161.3343688&amp;partnerID=40&amp;md5=d3fabe1bc3ca3d46b9b58d37c5c06c0e</t>
  </si>
  <si>
    <t>Arizona State University, Tempe, United States; Sandia National Laboratory, New Mexico, United States</t>
  </si>
  <si>
    <t>Sarkar, S., Arizona State University, Tempe, United States; Shakarian, P., Arizona State University, Tempe, United States; Armenta, M., Sandia National Laboratory, New Mexico, United States; Sanchez, D., Sandia National Laboratory, New Mexico, United States; Lakkaraju, K., Sandia National Laboratory, New Mexico, United States</t>
  </si>
  <si>
    <t>Cancer treatment experiences among survivors of childhood sexual abuse: A qualitative investigation of triggers and reactions to cumulative trauma</t>
  </si>
  <si>
    <t>10.1017/S147895151700075X</t>
  </si>
  <si>
    <t>7006683708;57195679830;8618473000;7102344507;</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</si>
  <si>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analysis.Results: We identified two primary themes describing CSA survivors' experiences: Theme 1: treatment-related triggers (key subthemes: procedure-related, provider-related, and emotional triggers); and Theme 2: questioning the meaning of cumulative trauma (e.g., Why me again?).Significance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 Copyright © Cambridge University Press 2017.</t>
  </si>
  <si>
    <t>Schnur J.B., Dillon M.J., Goldsmith R.E., Montgomery G.H.</t>
  </si>
  <si>
    <t>Palliative and Supportive Care</t>
  </si>
  <si>
    <t>https://www.scopus.com/inward/record.uri?eid=2-s2.0-85044259282&amp;doi=10.1017%2fS147895151700075X&amp;partnerID=40&amp;md5=4e6420a41598a9158b6bbf2fd1f0cc91</t>
  </si>
  <si>
    <t>Department of Oncological Sciences, Integrative Behavioral Medicine Program, Icahn School of Medicine at Mount Sinai, 1425 Madison Avenue, New York, NY  10029-6574, United States</t>
  </si>
  <si>
    <t>Schnur, J.B., Department of Oncological Sciences, Integrative Behavioral Medicine Program, Icahn School of Medicine at Mount Sinai, 1425 Madison Avenue, New York, NY  10029-6574, United States; Dillon, M.J., Department of Oncological Sciences, Integrative Behavioral Medicine Program, Icahn School of Medicine at Mount Sinai, 1425 Madison Avenue, New York, NY  10029-6574, United States; Goldsmith, R.E., Department of Oncological Sciences, Integrative Behavioral Medicine Program, Icahn School of Medicine at Mount Sinai, 1425 Madison Avenue, New York, NY  10029-6574, United States; Montgomery, G.H., Department of Oncological Sciences, Integrative Behavioral Medicine Program, Icahn School of Medicine at Mount Sinai, 1425 Madison Avenue, New York, NY  10029-6574, United States</t>
  </si>
  <si>
    <t>Schnur, J.B.; Department of Oncological Sciences, 1425 Madison Avenue, United States; email: julie.schnur@mssm.edu</t>
  </si>
  <si>
    <t>Cancer-salient messaging for Human Papillomavirus vaccine uptake: A randomized controlled trial</t>
  </si>
  <si>
    <t>10.1016/j.vaccine.2018.01.040</t>
  </si>
  <si>
    <t>57204447955;57191429464;26421597500;57216065685;</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</si>
  <si>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Clinical Trial Registration: Clinicaltrials.gov, Reference #: NCT03002324. © 2018 Elsevier Ltd</t>
  </si>
  <si>
    <t>Porter R.M., Amin A.B., Bednarczyk R.A., Omer S.B.</t>
  </si>
  <si>
    <t>Vaccine</t>
  </si>
  <si>
    <t>https://www.scopus.com/inward/record.uri?eid=2-s2.0-85044298734&amp;doi=10.1016%2fj.vaccine.2018.01.040&amp;partnerID=40&amp;md5=81ef8e66da079f198681cd782482e105</t>
  </si>
  <si>
    <t>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</si>
  <si>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 Department of Epidemiology, Rollins School of Public Health, Emory University, Atlanta, GA, United States, Hubert Department of Global Health, Rollins School of Public Health, Emory University, Atlanta, GA, United States; Amin, A.B., Department of Epidemiology, Rollins School of Public Health, Emory University, Atlanta, GA, United States, Hubert Department of Global Health,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Omer, S.B., 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</si>
  <si>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R.M.1518 Clifton Road, United States; email: rmp413@gmail.com</t>
  </si>
  <si>
    <t>Caring for sharing? The collaborative economy under EU law</t>
  </si>
  <si>
    <t>15729440500;57194100973;</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</si>
  <si>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partwe examine theway the variousEUrules may apply to those participating in the collaborative economy, i.e. the platforms, "prosumers" and consumers. We conclude by addressing the way regulation could or should evolve in this area. © 2017 Kluwer Law International.</t>
  </si>
  <si>
    <t>Hatzopoulos V., Roma S.</t>
  </si>
  <si>
    <t>Common Market Law Review</t>
  </si>
  <si>
    <t>https://www.scopus.com/inward/record.uri?eid=2-s2.0-85018739676&amp;partnerID=40&amp;md5=4eeeb96d8c379f5f1e6c14ac05c8bd35</t>
  </si>
  <si>
    <t>Democritus University of Thrace, Greece</t>
  </si>
  <si>
    <t>Hatzopoulos, V., Democritus University of Thrace, Greece; Roma, S., Democritus University of Thrace, Greece</t>
  </si>
  <si>
    <t>Roma, S.; Democritus University of ThraceGreece</t>
  </si>
  <si>
    <t>CGATS data evaluation protocol for printing process characterization</t>
  </si>
  <si>
    <t>10.1117/12.298290</t>
  </si>
  <si>
    <t>7103393989;7102165437;</t>
  </si>
  <si>
    <t>Color management in the graphic arts industry requires control of the printing conditions and knowledge of the intended output color characteristics. As the industry continues its accelerated move toward complete digital work flow,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 that results in characterization data for specific reference printing processes. This paper provide a summary of the protocol that has evolved from the continued standards development within the CGATS SC4 Process Control Subcommittee.</t>
  </si>
  <si>
    <t>McDowell D.Q., Steele L.C.</t>
  </si>
  <si>
    <t>https://www.scopus.com/inward/record.uri?eid=2-s2.0-0032387970&amp;doi=10.1117%2f12.298290&amp;partnerID=40&amp;md5=cf7966906244336e20fbc9e62e26371e</t>
  </si>
  <si>
    <t>Eastman Kodak Company, Rochester, NY 14650-1913, United States</t>
  </si>
  <si>
    <t>McDowell, D.Q., Eastman Kodak Company, Rochester, NY 14650-1913, United States; Steele, L.C., Eastman Kodak Company, Rochester, NY 14650-1913, United States</t>
  </si>
  <si>
    <t>McDowell, D.Q.; Eastman Kodak Company, Rochester, NY 14650-1913, United States</t>
  </si>
  <si>
    <t>Characterizing the sharing economy state of the research: A systematic map</t>
  </si>
  <si>
    <t>10.3390/su11205729</t>
  </si>
  <si>
    <t>55579791800;56364484300;57211442963;56347417900;56364345100;</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</si>
  <si>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 © 2019 by the authors.</t>
  </si>
  <si>
    <t>Laurenti R., Singh J., Cotrim J.M., Toni M., Sinha R.</t>
  </si>
  <si>
    <t>https://www.scopus.com/inward/record.uri?eid=2-s2.0-85073931334&amp;doi=10.3390%2fsu11205729&amp;partnerID=40&amp;md5=07d32ba03fc37d1d5db790460b9279ba</t>
  </si>
  <si>
    <t>IPD Integrated Product Development, MMK Department of Machine Design, KTH Royal Institute of Technology, Stockholm, 114 28, Sweden; HERUS Laboratory for Human Environment Relations in Urban Systems, EPFL Swiss Federal Institute of Technology Lausanne, Lausanne, 1015, Switzerland; The International Institute for Industrial Environmental Economics (IIIEE), Lund University, Lund, 221 00, Sweden; ISCTE-IUL Business School, University of Lisbon, Lisbon, 1649-004, Portugal; Department of Business Studies, University of Roma Tre, Roma, 00154, Italy; SEED Department of Sustainable Development, Environmental Science and Engineering, KTH Royal Institute of Technology, Stockholm, 114 28, Sweden</t>
  </si>
  <si>
    <t>Laurenti, R., IPD Integrated Product Development, MMK Department of Machine Design, KTH Royal Institute of Technology, Stockholm, 114 28, Sweden, HERUS Laboratory for Human Environment Relations in Urban Systems, EPFL Swiss Federal Institute of Technology Lausanne, Lausanne, 1015, Switzerland; Singh, J., The International Institute for Industrial Environmental Economics (IIIEE), Lund University, Lund, 221 00, Sweden; Cotrim, J.M., ISCTE-IUL Business School, University of Lisbon, Lisbon, 1649-004, Portugal; Toni, M., Department of Business Studies, University of Roma Tre, Roma, 00154, Italy; Sinha, R., SEED Department of Sustainable Development, Environmental Science and Engineering, KTH Royal Institute of Technology, Stockholm, 114 28, Sweden</t>
  </si>
  <si>
    <t>Laurenti, R.; IPD Integrated Product Development, Sweden; email: rafa@kth.se</t>
  </si>
  <si>
    <t>Citizen science land cover classification based on ground and aerial imagery</t>
  </si>
  <si>
    <t>10.1007/978-3-319-23374-1_14</t>
  </si>
  <si>
    <t>57016429700;8438953000;8980472000;7202898463;</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</si>
  <si>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 © Springer International Publishing Switzerland 2015.</t>
  </si>
  <si>
    <t>Sparks K., Klippel A., Wallgrün J.O., Mark D.</t>
  </si>
  <si>
    <t>https://www.scopus.com/inward/record.uri?eid=2-s2.0-84951335958&amp;doi=10.1007%2f978-3-319-23374-1_14&amp;partnerID=40&amp;md5=acb76f8541eec8976c908273545623da</t>
  </si>
  <si>
    <t>The Pennsylvania State University, University Park, State College, PA  16801, United States; NCGIA and Department of Geography, University at Buffalo, Buffalo, NY  14228, United States</t>
  </si>
  <si>
    <t>Sparks, K., The Pennsylvania State University, University Park, State College, PA  16801, United States; Klippel, A., The Pennsylvania State University, University Park, State College, PA  16801, United States; Wallgrün, J.O., The Pennsylvania State University, University Park, State College, PA  16801, United States; Mark, D., NCGIA and Department of Geography, University at Buffalo, Buffalo, NY  14228, United States</t>
  </si>
  <si>
    <t>Sparks, K.; The Pennsylvania State UniversityUnited States; email: kas5822@psu.edu</t>
  </si>
  <si>
    <t>Class, Cotton, and 'Woddaries': A Scandinavian railway contractor in Western India, 1860-69</t>
  </si>
  <si>
    <t>10.1017/S0026749X16000251</t>
  </si>
  <si>
    <t>55212951600;</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</si>
  <si>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 © Copyright 2017 Cambridge University Press.</t>
  </si>
  <si>
    <t>Bubb A.</t>
  </si>
  <si>
    <t>Modern Asian Studies</t>
  </si>
  <si>
    <t>https://www.scopus.com/inward/record.uri?eid=2-s2.0-85023752298&amp;doi=10.1017%2fS0026749X16000251&amp;partnerID=40&amp;md5=8ed63873bc84f066a75307d1e05c5491</t>
  </si>
  <si>
    <t>University of Roehampton, London, SW15 5PU, United Kingdom</t>
  </si>
  <si>
    <t>Bubb, A., University of Roehampton, London, SW15 5PU, United Kingdom</t>
  </si>
  <si>
    <t>Bubb, A.; University of RoehamptonUnited Kingdom; email: a.bubb@roehampton.ac.uk</t>
  </si>
  <si>
    <t>Clinical perfectionism, dissatisfaction with standards, and raising the bar: Validation of the response to goal achievement scale</t>
  </si>
  <si>
    <t>10.1891/0889-8391.32.4.241</t>
  </si>
  <si>
    <t>57190271715;57204581473;8625366600;35494923700;</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</si>
  <si>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 © 2018 Springer Publishing Company.</t>
  </si>
  <si>
    <t>Krause K.L., Stewart K.E., Cassin S.E., Antony M.M.</t>
  </si>
  <si>
    <t>Journal of Cognitive Psychotherapy</t>
  </si>
  <si>
    <t>https://www.scopus.com/inward/record.uri?eid=2-s2.0-85056271184&amp;doi=10.1891%2f0889-8391.32.4.241&amp;partnerID=40&amp;md5=3c506b472be3d84748e97393ebca4d11</t>
  </si>
  <si>
    <t>Department of Psychology, Ryerson University, Toronto, ON, Canada</t>
  </si>
  <si>
    <t>Krause, K.L., Department of Psychology, Ryerson University, Toronto, ON, Canada; Stewart, K.E., Department of Psychology, Ryerson University, Toronto, ON, Canada; Cassin, S.E., Department of Psychology, Ryerson University, Toronto, ON, Canada; Antony, M.M., Department of Psychology, Ryerson University, Toronto, ON, Canada</t>
  </si>
  <si>
    <t>Antony, M.M.; Departmentof Psychology, 350 Victoria Street, Canada; email: mantony@psych.ryerson.ca</t>
  </si>
  <si>
    <t>Clotho: An Audio Captioning Dataset</t>
  </si>
  <si>
    <t>10.1109/ICASSP40776.2020.9052990</t>
  </si>
  <si>
    <t>36642614800;57218448890;35504028500;</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</si>
  <si>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 1. © 2020 IEEE.</t>
  </si>
  <si>
    <t>Drossos K., Lipping S., Virtanen T.</t>
  </si>
  <si>
    <t>https://www.scopus.com/inward/record.uri?eid=2-s2.0-85089234336&amp;doi=10.1109%2fICASSP40776.2020.9052990&amp;partnerID=40&amp;md5=3365f49cbb39e50b1372267900a4b55d</t>
  </si>
  <si>
    <t>Tampere University, Audio Research Group, Tampere, Finland</t>
  </si>
  <si>
    <t>Drossos, K., Tampere University, Audio Research Group, Tampere, Finland; Lipping, S., Tampere University, Audio Research Group, Tampere, Finland; Virtanen, T., Tampere University, Audio Research Group, Tampere, Finland</t>
  </si>
  <si>
    <t>Cloud-ATAM: Method for analysing resilient attributes of cloud-based architectures</t>
  </si>
  <si>
    <t>10.1007/978-3-319-45892-2_8</t>
  </si>
  <si>
    <t>57126469600;</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</si>
  <si>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 cloud-ATAM - for evaluating the tradeoff between multiple resilience quality attributes (i.e. availability and performance) of a cloud-based Reactive Architecture for Global Software Development. © Springer International Publishing Switzerland 2016.</t>
  </si>
  <si>
    <t>Adjepon-Yamoah D.E.</t>
  </si>
  <si>
    <t>https://www.scopus.com/inward/record.uri?eid=2-s2.0-84992695169&amp;doi=10.1007%2f978-3-319-45892-2_8&amp;partnerID=40&amp;md5=f5b40165838b325f9d8f2cb7a1953913</t>
  </si>
  <si>
    <t>School of Computing Science, Centre for Software Reliability, Newcastle University, Newcastle-upon-Tyne, NE1 7RU, United Kingdom</t>
  </si>
  <si>
    <t>Adjepon-Yamoah, D.E., School of Computing Science, Centre for Software Reliability, Newcastle University, Newcastle-upon-Tyne, NE1 7RU, United Kingdom</t>
  </si>
  <si>
    <t>Adjepon-Yamoah, D.E.; School of Computing Science, United Kingdom; email: d.e.adjepon-yamoah@ncl.ac.uk</t>
  </si>
  <si>
    <t>Clustering clinical trials with similar eligibility criteria features</t>
  </si>
  <si>
    <t>10.1016/j.jbi.2014.01.009</t>
  </si>
  <si>
    <t>22634327300;35771526800;55235603000;8979750700;</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</si>
  <si>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 2014 Elsevier Inc.</t>
  </si>
  <si>
    <t>Hao T., Rusanov A., Boland M.R., Weng C.</t>
  </si>
  <si>
    <t>Journal of Biomedical Informatics</t>
  </si>
  <si>
    <t>https://www.scopus.com/inward/record.uri?eid=2-s2.0-84919860385&amp;doi=10.1016%2fj.jbi.2014.01.009&amp;partnerID=40&amp;md5=aa8e8e39d22926c198fd0b7f416162c6</t>
  </si>
  <si>
    <t>Department of Biomedical Informatics, Columbia University, New York, NY, United States; Department of Anesthesiology, Columbia University, New York, NY, United States</t>
  </si>
  <si>
    <t>Hao, T., Department of Biomedical Informatics, Columbia University, New York, NY, United States; Rusanov, A., Department of Anesthesiology, Columbia University, New York, NY, United States; Boland, M.R., Department of Biomedical Informatics, Columbia University, New York, NY, United States; Weng, C., Department of Biomedical Informatics, Columbia University, New York, NY, United States</t>
  </si>
  <si>
    <t>Weng, C.; Department of Biomedical Informatics, 622 W 168th Street, VC-5, United States</t>
  </si>
  <si>
    <t>Cognitive style and frame susceptibility in decision-making</t>
  </si>
  <si>
    <t>10.3389/fpsyg.2018.01461</t>
  </si>
  <si>
    <t>7004886247;51161409900;</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</si>
  <si>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 © 2018 Her Majesty the Queen in Right of Canada, as represented by Defence Research and Development Canada.</t>
  </si>
  <si>
    <t>Mandel D.R., Kapler I.V.</t>
  </si>
  <si>
    <t>https://www.scopus.com/inward/record.uri?eid=2-s2.0-85051490577&amp;doi=10.3389%2ffpsyg.2018.01461&amp;partnerID=40&amp;md5=cac7e0769d1c24d27996973c89a29aad</t>
  </si>
  <si>
    <t>Intelligence Group, Intelligence, Influence and Collaboration Section, Defence Research and Development Canada, Toronto, ON, Canada; Department of Psychology, York University, Toronto, ON, Canada</t>
  </si>
  <si>
    <t>Mandel, D.R., Intelligence Group, Intelligence, Influence and Collaboration Section, Defence Research and Development Canada, Toronto, ON, Canada, Department of Psychology, York University, Toronto, ON, Canada; Kapler, I.V., Department of Psychology, York University, Toronto, ON, Canada</t>
  </si>
  <si>
    <t>Mandel, D.R.; Intelligence Group, Canada; email: drmandel66@gmail.com</t>
  </si>
  <si>
    <t>Collaboration analysis in global software development</t>
  </si>
  <si>
    <t>10.1109/CSCWD.2019.8791857</t>
  </si>
  <si>
    <t>56006126700;35191111500;55634518000;7202452493;18433696900;35848063200;</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</si>
  <si>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StackOverflow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 © 2019 IEEE.</t>
  </si>
  <si>
    <t>Horta V., Stroele V., Schettino V., Oliveira J., Maria David J., Araujo M.A.P.</t>
  </si>
  <si>
    <t>Proceedings of the 2019 IEEE 23rd International Conference on Computer Supported Cooperative Work in Design, CSCWD 2019</t>
  </si>
  <si>
    <t>https://www.scopus.com/inward/record.uri?eid=2-s2.0-85071457054&amp;doi=10.1109%2fCSCWD.2019.8791857&amp;partnerID=40&amp;md5=240832fb981e3f908327070a6461398c</t>
  </si>
  <si>
    <t>Computer Science Postgraduate Program, Federal University of Juiz de Fora, Juiz de Fora, Brazil</t>
  </si>
  <si>
    <t>Horta, V., Computer Science Postgraduate Program, Federal University of Juiz de Fora, Juiz de Fora, Brazil; Stroele, V., Computer Science Postgraduate Program, Federal University of Juiz de Fora, Juiz de Fora, Brazil; Schettino, V., Computer Science Postgraduate Program, Federal University of Juiz de Fora, Juiz de Fora, Brazil; Oliveira, J., Computer Science Postgraduate Program, Federal University of Juiz de Fora, Juiz de Fora, Brazil; Maria David, J., Computer Science Postgraduate Program, Federal University of Juiz de Fora, Juiz de Fora, Brazil; Araujo, M.A.P., Computer Science Postgraduate Program, Federal University of Juiz de Fora, Juiz de Fora, Brazil</t>
  </si>
  <si>
    <t>57191732624;57209289155;55319572800;6604049177;</t>
  </si>
  <si>
    <t>Collaboration maturity and the offshoring cost barrier: The trade-off between flexibility in team composition and cross-site communication effort in geographically distributed development projects</t>
  </si>
  <si>
    <t>10.1109/IPCC.2005.1494243</t>
  </si>
  <si>
    <t>57222094168;7007125217;</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</si>
  <si>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 © 2005 IEEE.</t>
  </si>
  <si>
    <t>Lasser S., Heiss M.</t>
  </si>
  <si>
    <t>IEEE International Professional Communication Conference</t>
  </si>
  <si>
    <t>https://www.scopus.com/inward/record.uri?eid=2-s2.0-33745251093&amp;doi=10.1109%2fIPCC.2005.1494243&amp;partnerID=40&amp;md5=8679456a82e6256cec50b8094b23fd55</t>
  </si>
  <si>
    <t>Siemens AG Austria, PSE, Austria; Vienna University of Technology, Austria; Program and System Engineering (PSE) Division, Siemens AG Austria, Austria; Fachhochschule des bfi Wien (University of Applied Sciences of the bfi Vienna), Austria</t>
  </si>
  <si>
    <t>Lasser, S., Siemens AG Austria, PSE, Austria, Vienna University of Technology, Austria, Program and System Engineering (PSE) Division, Siemens AG Austria, Austria; Heiss, M., Siemens AG Austria, PSE, Austria, Program and System Engineering (PSE) Division, Siemens AG Austria, Austria, Fachhochschule des bfi Wien (University of Applied Sciences of the bfi Vienna), Austria</t>
  </si>
  <si>
    <t>Lasser, S.; Siemens AG Austria, Austria; email: stefan.lasser@siemens.com</t>
  </si>
  <si>
    <t>Collaborative personalization of image enhancement</t>
  </si>
  <si>
    <t>10.1109/CVPR.2011.5995439</t>
  </si>
  <si>
    <t>36830392700;36856640700;7405687020;</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</si>
  <si>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 © 2011 IEEE.</t>
  </si>
  <si>
    <t>Caicedo J.C., Kapoor A., Kang S.B.</t>
  </si>
  <si>
    <t>Proceedings of the IEEE Computer Society Conference on Computer  Vision and Pattern Recognition</t>
  </si>
  <si>
    <t>https://www.scopus.com/inward/record.uri?eid=2-s2.0-80052913943&amp;doi=10.1109%2fCVPR.2011.5995439&amp;partnerID=40&amp;md5=a02db5748bb5a2b85fb6d073f05f92e7</t>
  </si>
  <si>
    <t>Universidad Nacional, Bogotá, Colombia; Microsoft Research, Redmond, WA, United States</t>
  </si>
  <si>
    <t>Caicedo, J.C., Universidad Nacional, Bogotá, Colombia; Kapoor, A., Microsoft Research, Redmond, WA, United States; Kang, S.B., Microsoft Research, Redmond, WA, United States</t>
  </si>
  <si>
    <t>Caicedo, J.C.; Universidad Nacional, Bogotá, Colombia; email: jccaicedoru@unal.edu.co</t>
  </si>
  <si>
    <t>Collaborative solving in a human computing game using a market, skills and challenges</t>
  </si>
  <si>
    <t>10.1145/2967934.2968104</t>
  </si>
  <si>
    <t>52364984700;56868572900;9336088900;</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</si>
  <si>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</si>
  <si>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Tremblay-Savard O., Butyaev A., Waldispuhl J.</t>
  </si>
  <si>
    <t>CHI PLAY 2016 - Proceedings of the 2016 Annual Symposium on Computer-Human Interaction in Play</t>
  </si>
  <si>
    <t>https://www.scopus.com/inward/record.uri?eid=2-s2.0-84995390675&amp;doi=10.1145%2f2967934.2968104&amp;partnerID=40&amp;md5=33029d61996a763ae800a0182b8cf2bd</t>
  </si>
  <si>
    <t>University of Manitoba, Winnipeg, Canada; McGill University, Montreal, Canada</t>
  </si>
  <si>
    <t>Tremblay-Savard, O., University of Manitoba, Winnipeg, Canada; Butyaev, A., McGill University, Montreal, Canada; Waldispuhl, J., McGill University, Montreal, Canada</t>
  </si>
  <si>
    <t>Collecting response times using Amazon Mechanical Turk and Adobe Flash</t>
  </si>
  <si>
    <t>10.3758/s13428-013-0345-y</t>
  </si>
  <si>
    <t>38663379700;7004545341;</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</si>
  <si>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 © 2013 Psychonomic Society, Inc.</t>
  </si>
  <si>
    <t>Simcox T., Fiez J.A.</t>
  </si>
  <si>
    <t>https://www.scopus.com/inward/record.uri?eid=2-s2.0-84894644541&amp;doi=10.3758%2fs13428-013-0345-y&amp;partnerID=40&amp;md5=e60b2aeb3ea9e6b3e76ba7d225bbbf10</t>
  </si>
  <si>
    <t>Department of Psychology, University of Pittsburgh, Pittsburgh, PA, 15260, United States</t>
  </si>
  <si>
    <t>Simcox, T., Department of Psychology, University of Pittsburgh, Pittsburgh, PA, 15260, United States; Fiez, J.A., Department of Psychology, University of Pittsburgh, Pittsburgh, PA, 15260, United States</t>
  </si>
  <si>
    <t>Simcox, T.; Department of Psychology, University of Pittsburgh, Pittsburgh, PA, 15260, United States; email: trs60@pitt.edu</t>
  </si>
  <si>
    <t>Collection of a large database of French-English SMT output corrections</t>
  </si>
  <si>
    <t>57211159604;55037475700;6603620416;6505730817;</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</si>
  <si>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</si>
  <si>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Potet M., Esperanca-Rodier E., Besacier L., Blanchon H.</t>
  </si>
  <si>
    <t>https://www.scopus.com/inward/record.uri?eid=2-s2.0-85006174828&amp;partnerID=40&amp;md5=879f98d78d233779b0c2be0434bf2f3b</t>
  </si>
  <si>
    <t>UJF-Grenoble, LIG UMR 5217, Grenoble, F-38041, France; UPMF-Grenoble, LIG UMR 5217, Grenoble, F-38041, France</t>
  </si>
  <si>
    <t>Potet, M., UJF-Grenoble, LIG UMR 5217, Grenoble, F-38041, France; Esperanca-Rodier, E., UJF-Grenoble, LIG UMR 5217, Grenoble, F-38041, France; Besacier, L., UJF-Grenoble, LIG UMR 5217, Grenoble, F-38041, France; Blanchon, H., UPMF-Grenoble, LIG UMR 5217, Grenoble, F-38041, France</t>
  </si>
  <si>
    <t>Co-located and distributed natural-language requirements specification: Traditional versus reuse-based techniques</t>
  </si>
  <si>
    <t>10.1002/smr.1772</t>
  </si>
  <si>
    <t>36462477200;7401657472;6504105559;22982044800;55318891200;6602789810;</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</si>
  <si>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 = -2.320, p = 0.020) and difficulty (Z = -2.124, p = 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 2016 John Wiley &amp; Sons, Ltd.</t>
  </si>
  <si>
    <t>Carrillo De Gea J.M., Nicolás J., Fernández Alemán J.L., Toval A., Ouhbi S., Idri A.</t>
  </si>
  <si>
    <t>https://www.scopus.com/inward/record.uri?eid=2-s2.0-84977867180&amp;doi=10.1002%2fsmr.1772&amp;partnerID=40&amp;md5=8d208a58af8dc0f155d3918e16591c20</t>
  </si>
  <si>
    <t>Software Engineering Research Group, Regional Campus of International Excellence Campus Mare Nostrum, University of Murcia, Murcia, Spain; Software Project Management Research Team, ENSIAS, Mohammed v University, Rabat, Morocco</t>
  </si>
  <si>
    <t>Carrillo De Gea, J.M., Software Engineering Research Group, Regional Campus of International Excellence Campus Mare Nostrum, University of Murcia, Murcia, Spain; Nicolás, J., Software Engineering Research Group, Regional Campus of International Excellence Campus Mare Nostrum, University of Murcia, Murcia, Spain; Fernández Alemán, J.L., Software Engineering Research Group, Regional Campus of International Excellence Campus Mare Nostrum, University of Murcia, Murcia, Spain; Toval, A., Software Engineering Research Group, Regional Campus of International Excellence Campus Mare Nostrum, University of Murcia, Murcia, Spain; Ouhbi, S., Software Project Management Research Team, ENSIAS, Mohammed v University, Rabat, Morocco; Idri, A., Software Project Management Research Team, ENSIAS, Mohammed v University, Rabat, Morocco</t>
  </si>
  <si>
    <t>Carrillo De Gea, J.M.; Department of Informatics and Systems, Spain; email: jmcdg1@um.es</t>
  </si>
  <si>
    <t>'Commodifying institutions': Vertical disintegration and institutional change in German labour relations</t>
  </si>
  <si>
    <t>10.1177/0950017012464423</t>
  </si>
  <si>
    <t>23477324200;</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</si>
  <si>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 © The Author(s) 2013.</t>
  </si>
  <si>
    <t>Holst H.</t>
  </si>
  <si>
    <t>https://www.scopus.com/inward/record.uri?eid=2-s2.0-84893550792&amp;doi=10.1177%2f0950017012464423&amp;partnerID=40&amp;md5=a4c56c4379f51d774b24bd5ddffdb6fb</t>
  </si>
  <si>
    <t>Friedrich-Schiller-Universität Jena, Germany</t>
  </si>
  <si>
    <t>Holst, H., Friedrich-Schiller-Universität Jena, Germany</t>
  </si>
  <si>
    <t>Holst, H.; Institute of Sociology, Carl-Zeiß-Str. 2, 07743 Jena, Germany; email: hajo.holst@uni-jena.de</t>
  </si>
  <si>
    <t>Communication in the digital work environment: Implications for wellbeing at work</t>
  </si>
  <si>
    <t>10.18291/njwls.v8iS3.105275</t>
  </si>
  <si>
    <t>57201064591;16022877200;36969427200;57201072633;</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</si>
  <si>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 © 2018, Roskilde University.</t>
  </si>
  <si>
    <t>Bordi L., Okkonen J., Mäkiniemi J.-P., Heikkilä-Tammi K.</t>
  </si>
  <si>
    <t>https://www.scopus.com/inward/record.uri?eid=2-s2.0-85045330087&amp;doi=10.18291%2fnjwls.v8iS3.105275&amp;partnerID=40&amp;md5=8b021d84d6b96a9cd65f4fc6dd167b81</t>
  </si>
  <si>
    <t>University of Tampere, Faculty of Management, Finland; University of Tampere, Faculty of Communication Sciences, Finland</t>
  </si>
  <si>
    <t>Bordi, L., University of Tampere, Faculty of Management, Finland; Okkonen, J., University of Tampere, Faculty of Communication Sciences, Finland; Mäkiniemi, J.-P., University of Tampere, Faculty of Management, Finland; Heikkilä-Tammi, K., University of Tampere, Faculty of Management, Finland</t>
  </si>
  <si>
    <t>Bordi, L.; University of Tampere, Finland; email: laura.bordi@uta.fi</t>
  </si>
  <si>
    <t>57195069223;55606454500;55366427500;</t>
  </si>
  <si>
    <t>Comparing Amazon’s Mechanical Turk Platform to Conventional Data Collection Methods in the Health and Medical Research Literature</t>
  </si>
  <si>
    <t>10.1007/s11606-017-4246-0</t>
  </si>
  <si>
    <t>25224857700;57200183158;</t>
  </si>
  <si>
    <t>Background: The goal of this article is to conduct an assessment of the peer-reviewed primary literature with study objectives to analyze Amazon.com’s Mechanical Turk (MTurk) as a research tool in a health services research and medical context. Methods: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Results: The vast majority of the studies supported the use of MTurk for a variety of academic purposes. Discussion: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 © 2017, Society of General Internal Medicine.</t>
  </si>
  <si>
    <t>Mortensen K., Hughes T.L.</t>
  </si>
  <si>
    <t>Journal of General Internal Medicine</t>
  </si>
  <si>
    <t>https://www.scopus.com/inward/record.uri?eid=2-s2.0-85040068819&amp;doi=10.1007%2fs11606-017-4246-0&amp;partnerID=40&amp;md5=a9a48eea3985ea83f6919217f9588f8b</t>
  </si>
  <si>
    <t>Department of Health Sector Management and Policy School of Business Administration, University of Miami, Coral Gables, FL, United States; Duke University, Durham, NC, United States</t>
  </si>
  <si>
    <t>Mortensen, K., Department of Health Sector Management and Policy School of Business Administration, University of Miami, Coral Gables, FL, United States; Hughes, T.L., Duke University, Durham, NC, United States</t>
  </si>
  <si>
    <t>Mortensen, K.; Department of Health Sector Management and Policy School of Business Administration, United States; email: Kmortensen@bus.miami.edu</t>
  </si>
  <si>
    <t>ComprehENotes, an instrument to assess patient reading comprehension of electronic health record notes: Development and validation</t>
  </si>
  <si>
    <t>10.2196/jmir.9380</t>
  </si>
  <si>
    <t>57202285077;55703740200;57202289451;6701717204;35785447400;</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</si>
  <si>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 © John P Lalor, Hao Wu, Li Chen, Kathleen M Mazor, Hong Yu.</t>
  </si>
  <si>
    <t>Lalor J.P., Wu H., Chen L., Mazor K.M., Yu H.</t>
  </si>
  <si>
    <t>https://www.scopus.com/inward/record.uri?eid=2-s2.0-85047758749&amp;doi=10.2196%2fjmir.9380&amp;partnerID=40&amp;md5=242c7499c7a9becf0be837e909c07ea5</t>
  </si>
  <si>
    <t>College of Information and Computer Sciences, University of Massachusetts, Amherst, MA, United States; Psychology Department, Boston College, Chestnut Hill, MA, United States; Meyers Primary Care Institute, University of Massachusetts, Medical School, Reliant Medical Group, Fallon Health, Worcester,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</si>
  <si>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Lalor, J.P., College of Information and Computer Sciences, University of Massachusetts, Amherst, MA, United States; Wu, H., Psychology Department, Boston College, Chestnut Hill, MA, United States; Chen, L., Psychology Department, Boston College, Chestnut Hill, MA, United States; Mazor, K.M., Meyers Primary Care Institute, University of Massachusetts, Medical School, Reliant Medical Group, Fallon Health, Worcester, MA, United States; Yu, H., College of Information and Computer Sciences, University of Massachusetts, Amherst,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</si>
  <si>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Yu, H.; College of Information and Computer Sciences, United States; email: hong.yu@umassmed.edu</t>
  </si>
  <si>
    <t>Computer-mediated communication to support distributed requirements elicitations and negotiations tasks</t>
  </si>
  <si>
    <t>10.1007/s10664-011-9179-3</t>
  </si>
  <si>
    <t>8303001500;57192297254;7003587349;</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</si>
  <si>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 © Springer Science+Business Media, LLC 2011.</t>
  </si>
  <si>
    <t>Calefato F., Damian D., Lanubile F.</t>
  </si>
  <si>
    <t>https://www.scopus.com/inward/record.uri?eid=2-s2.0-84868358706&amp;doi=10.1007%2fs10664-011-9179-3&amp;partnerID=40&amp;md5=c25cb59dffb4f4b7140fbeef459bd36e</t>
  </si>
  <si>
    <t>Dipartimento di Informatica, University of Bari, Bari, Italy; Department of Computer Science, University of Victoria, Victoria, BC, Canada</t>
  </si>
  <si>
    <t>Calefato, F., Dipartimento di Informatica, University of Bari, Bari, Italy; Damian, D., Department of Computer Science, University of Victoria, Victoria, BC, Canada; Lanubile, F., Dipartimento di Informatica, University of Bari, Bari, Italy</t>
  </si>
  <si>
    <t>Lanubile, F.; Dipartimento di Informatica, , Bari, Italy; email: lanubile@di.uniba.it</t>
  </si>
  <si>
    <t>Conducting spoken word recognition research online: Validation and a new timing method</t>
  </si>
  <si>
    <t>10.3758/s13428-015-0599-7</t>
  </si>
  <si>
    <t>57502172400;49962336000;</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</si>
  <si>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 © 2015, Psychonomic Society, Inc.</t>
  </si>
  <si>
    <t>Slote J., Strand J.F.</t>
  </si>
  <si>
    <t>https://www.scopus.com/inward/record.uri?eid=2-s2.0-84929689004&amp;doi=10.3758%2fs13428-015-0599-7&amp;partnerID=40&amp;md5=ea76b9157306c901d0609d8bfaaddc95</t>
  </si>
  <si>
    <t>Department of Psychology, Carleton College, Northfield, MN  55057, United States</t>
  </si>
  <si>
    <t>Slote, J., Department of Psychology, Carleton College, Northfield, MN  55057, United States; Strand, J.F., Department of Psychology, Carleton College, Northfield, MN  55057, United States</t>
  </si>
  <si>
    <t>Strand, J.F.; Department of Psychology, United States; email: jstrand@carleton.edu</t>
  </si>
  <si>
    <t>Contemporary commons: Sharing and managing common-pool resources in the 21st century</t>
  </si>
  <si>
    <t>10.1515/humaff-2019-0007</t>
  </si>
  <si>
    <t>54916396200;8713262300;</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</si>
  <si>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 © 2019 Institute for Research in Social Communication, Slovak Academy of Sciences.</t>
  </si>
  <si>
    <t>Šestáková A., Plichtová J.</t>
  </si>
  <si>
    <t>Human Affairs</t>
  </si>
  <si>
    <t>https://www.scopus.com/inward/record.uri?eid=2-s2.0-85062105876&amp;doi=10.1515%2fhumaff-2019-0007&amp;partnerID=40&amp;md5=6ff90d2d1933647f5afb6455620b1c62</t>
  </si>
  <si>
    <t>Institute of Applied Psychology, Faculty of Social and Economic Sciences, Comenius University in Bratislava, Mlynskéluhy 4, Bratislava, 821 05, Slovakia</t>
  </si>
  <si>
    <t>Šestáková, A., Institute of Applied Psychology, Faculty of Social and Economic Sciences, Comenius University in Bratislava, Mlynskéluhy 4, Bratislava, 821 05, Slovakia; Plichtová, J., Institute of Applied Psychology, Faculty of Social and Economic Sciences, Comenius University in Bratislava, Mlynskéluhy 4, Bratislava, 821 05, Slovakia</t>
  </si>
  <si>
    <t>Content and temporal analysis of communications to predict task cohesion in software development global teams</t>
  </si>
  <si>
    <t>10.1109/ICGSEW.2016.24</t>
  </si>
  <si>
    <t>56520303500;</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</si>
  <si>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 © 2016 IEEE.</t>
  </si>
  <si>
    <t>Castro-Hernandez A.</t>
  </si>
  <si>
    <t>Proceedings - 11th IEEE International Conference on Global Software Engineering Companion Proceedings, ICGSEW 2016</t>
  </si>
  <si>
    <t>https://www.scopus.com/inward/record.uri?eid=2-s2.0-84994552830&amp;doi=10.1109%2fICGSEW.2016.24&amp;partnerID=40&amp;md5=b5e706b2995a8282ba55b8dc92daf505</t>
  </si>
  <si>
    <t>Department of Computer Science and Engineering, University of North Texas, United States</t>
  </si>
  <si>
    <t>Castro-Hernandez, A., Department of Computer Science and Engineering, University of North Texas, United States</t>
  </si>
  <si>
    <t>Castro-Hernandez, A.; Department of Computer Science and Engineering, United States; email: albertocastrohernandez@my.unt.edu</t>
  </si>
  <si>
    <t>Contextual factors influence the selection of specific and broad types of emotion regulation strategies</t>
  </si>
  <si>
    <t>10.1111/bjso.12313</t>
  </si>
  <si>
    <t>55598464700;8848794300;</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</si>
  <si>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 © 2019 The British Psychological Society</t>
  </si>
  <si>
    <t>Tang Y., Huang Y.</t>
  </si>
  <si>
    <t>British Journal of Social Psychology</t>
  </si>
  <si>
    <t>https://www.scopus.com/inward/record.uri?eid=2-s2.0-85060753761&amp;doi=10.1111%2fbjso.12313&amp;partnerID=40&amp;md5=f19b880234d652545d163a71a1cf116f</t>
  </si>
  <si>
    <t>Department of Psychology, Youngstown State UniversityOH, United States; School of Information Studies, Syracuse UniversityNY, United States</t>
  </si>
  <si>
    <t>Tang, Y., Department of Psychology, Youngstown State UniversityOH, United States; Huang, Y., School of Information Studies, Syracuse UniversityNY, United States</t>
  </si>
  <si>
    <t>Tang, Y.; Department of Psychology, United States; email: yjtang@ysu.edu</t>
  </si>
  <si>
    <t>Contribution of cannabis-related cues to concurrent reinforcer choice in humans</t>
  </si>
  <si>
    <t>10.1016/j.drugalcdep.2019.02.022</t>
  </si>
  <si>
    <t>55585838700;7003286497;6603049193;</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</si>
  <si>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 = 71) and controls without this history (i.e., 5 or less lifetime uses; n = 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 =.44), higher cannabis demand intensity (r =.28), and lower cannabis elasticity (r = -.30). Conclusions: These findings suggest that cannabis-related cues can influence reinforcer choice and potentially promote disadvantageous decision-making related to non-drug reinforcers. © 2019 Elsevier B.V.</t>
  </si>
  <si>
    <t>Strickland J.C., Lile J.A., Stoops W.W.</t>
  </si>
  <si>
    <t>https://www.scopus.com/inward/record.uri?eid=2-s2.0-85064646620&amp;doi=10.1016%2fj.drugalcdep.2019.02.022&amp;partnerID=40&amp;md5=d08ec390fa46ed516a0d576fe64254bf</t>
  </si>
  <si>
    <t>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</si>
  <si>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University of Kentucky College of Arts and Sciences, 171 Funkhouser Drive, Lexington, KY  40506, United States; Lile, J.A.,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Stoops, W.W.,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</si>
  <si>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171 Funkhouser Drive, United States; email: justrickland@uky.edu</t>
  </si>
  <si>
    <t>Copyright self-registration and its secure authentication based on digital watermark</t>
  </si>
  <si>
    <t>10.1007/978-3-642-27334-6_27</t>
  </si>
  <si>
    <t>55705843700;56703735000;</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</si>
  <si>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 © 2012 Springer-Verlag Berlin Heidelberg.</t>
  </si>
  <si>
    <t>Liu J., Yang C.</t>
  </si>
  <si>
    <t>Advances in Intelligent and Soft Computing</t>
  </si>
  <si>
    <t>https://www.scopus.com/inward/record.uri?eid=2-s2.0-84862089620&amp;doi=10.1007%2f978-3-642-27334-6_27&amp;partnerID=40&amp;md5=4182674703aa4b24478809fadc06275a</t>
  </si>
  <si>
    <t>Information Engineering School, Communication University of China, Beijing, China</t>
  </si>
  <si>
    <t>Liu, J., Information Engineering School, Communication University of China, Beijing, China; Yang, C., Information Engineering School, Communication University of China, Beijing, China</t>
  </si>
  <si>
    <t>Liu, J.; Information Engineering School, , Beijing, China</t>
  </si>
  <si>
    <t>Çorba: crowdsourcing to obtain requirements from regulations and breaches</t>
  </si>
  <si>
    <t>10.1007/s10664-019-09753-2</t>
  </si>
  <si>
    <t>57202976508;26025243600;57202114292;35565101900;36515667700;</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</si>
  <si>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Çorba, a methodology that leverages human intelligence via crowdsourcing, and extracts requirements from textual artifacts in the form of regulatory norms. We evaluate Çorba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Çorba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 © 2019, Springer Science+Business Media, LLC, part of Springer Nature.</t>
  </si>
  <si>
    <t>Guo H., Kafalı Ö., Jeukeng A.-L., Williams L., Singh M.P.</t>
  </si>
  <si>
    <t>https://www.scopus.com/inward/record.uri?eid=2-s2.0-85071012998&amp;doi=10.1007%2fs10664-019-09753-2&amp;partnerID=40&amp;md5=e1af5ec75b2edf4d5762165a0f21d7c9</t>
  </si>
  <si>
    <t>Department of Computer Science, North Carolina State University, Raleigh, NC, United States; School of Computing, University of Kent, Canterbury, United Kingdom; Department of Computer &amp; Information Science &amp; Engineering, University of Florida, Gainesville, FL, United States</t>
  </si>
  <si>
    <t>Guo, H., Department of Computer Science, North Carolina State University, Raleigh, NC, United States; Kafalı, Ö., School of Computing, University of Kent, Canterbury, United Kingdom; Jeukeng, A.-L., Department of Computer &amp; Information Science &amp; Engineering, University of Florida, Gainesville, FL, United States; Williams, L., Department of Computer Science, North Carolina State University, Raleigh, NC, United States; Singh, M.P., Department of Computer Science, North Carolina State University, Raleigh, NC, United States</t>
  </si>
  <si>
    <t>Guo, H.; Department of Computer Science, United States; email: hguo5@ncsu.edu</t>
  </si>
  <si>
    <t>Correction of noisy labels via mutual consistency check</t>
  </si>
  <si>
    <t>10.1016/j.neucom.2014.10.083</t>
  </si>
  <si>
    <t>56574775700;55171596600;</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</si>
  <si>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noisy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 2015 Elsevier B.V.</t>
  </si>
  <si>
    <t>Bhadra S., Hein M.</t>
  </si>
  <si>
    <t>https://www.scopus.com/inward/record.uri?eid=2-s2.0-84927972739&amp;doi=10.1016%2fj.neucom.2014.10.083&amp;partnerID=40&amp;md5=e2340cb72484c1467b25d7f4a270d0c5</t>
  </si>
  <si>
    <t>Max-Planck Institute for Informatics, Saarbrucken, Germany; Saarland University, Saarbrucken, Germany</t>
  </si>
  <si>
    <t>Bhadra, S., Max-Planck Institute for Informatics, Saarbrucken, Germany, Saarland University, Saarbrucken, Germany; Hein, M., Saarland University, Saarbrucken, Germany</t>
  </si>
  <si>
    <t>Bhadra, S.; Max-Planck Institute for InformaticsGermany; email: sahely@mpi-inf.mpg.de</t>
  </si>
  <si>
    <t>Creating a data collection for evaluating rich speech retrieval</t>
  </si>
  <si>
    <t>36720377900;9133183900;56574709600;14018462300;</t>
  </si>
  <si>
    <t>We describe the development of a test collection for the investigation of speech retrieval beyond identification of relevant content. This collection focuses on satisfying user information needs for queries associated with specific types of speech acts. The collection is based on an archive of the Internet video from Internet video sharing platform (blip.tv), and was provided by the MediaEval benchmarking initiative. A crowdsourcing approach was used to identify segments in the video data which contain speech acts, to create a description of the video containing the act and to generate search queries designed to refind this speech act. We describe and reflect on our experiences with crowdsourcing this test collection using the Amazon Mechanical Turk platform. We highlight the challenges of constructing this dataset, including the selection of the data source, design of the crowdsouring task and the specification of queries and relevant items.</t>
  </si>
  <si>
    <t>Eskevich M., Jones G.J.F., Larson M., Ordelma R.</t>
  </si>
  <si>
    <t>https://www.scopus.com/inward/record.uri?eid=2-s2.0-85009857878&amp;partnerID=40&amp;md5=ce2f6e2ea01bd9d807ba74a150cdffef</t>
  </si>
  <si>
    <t>Centre for Digital Video Processing, School of Computing, Dublin City University, Dublin 9, Ireland; Delft University of Technology, Delft, Netherlands; University of Twente, Netherlands</t>
  </si>
  <si>
    <t>Eskevich, M., Centre for Digital Video Processing, School of Computing, Dublin City University, Dublin 9, Ireland; Jones, G.J.F., Centre for Digital Video Processing, School of Computing, Dublin City University, Dublin 9, Ireland; Larson, M., Delft University of Technology, Delft, Netherlands; Ordelma, R., University of Twente, Netherlands</t>
  </si>
  <si>
    <t>Creating a system for lexical substitutions from scratch using crowdsourcing</t>
  </si>
  <si>
    <t>10.1007/s10579-012-9180-5</t>
  </si>
  <si>
    <t>8538613800;</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</si>
  <si>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 © 2012 Springer Science+Business Media B.V.</t>
  </si>
  <si>
    <t>Biemann C.</t>
  </si>
  <si>
    <t>Language Resources and Evaluation</t>
  </si>
  <si>
    <t>https://www.scopus.com/inward/record.uri?eid=2-s2.0-84874728796&amp;doi=10.1007%2fs10579-012-9180-5&amp;partnerID=40&amp;md5=798968a8dc338e8829ce53fd5726c67f</t>
  </si>
  <si>
    <t>Technische Universität Darmstadt, Hochschulstraße 10, 64289 Darmstadt, Germany</t>
  </si>
  <si>
    <t>Biemann, C., Technische Universität Darmstadt, Hochschulstraße 10, 64289 Darmstadt, Germany</t>
  </si>
  <si>
    <t>Biemann, C.; Technische Universität Darmstadt, Hochschulstraße 10, 64289 Darmstadt, Germany; email: biem@cs.tu-darmstadt.de</t>
  </si>
  <si>
    <t>CRICTO: Supporting Sensemaking through Crowdsourced Information Schematization</t>
  </si>
  <si>
    <t>10.1109/VAST.2017.8585484</t>
  </si>
  <si>
    <t>36727201800;55367736200;57205676114;35298505600;</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</si>
  <si>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 © 2017 IEEE.</t>
  </si>
  <si>
    <t>Chung H., Dasari S.P., Nandhakumar S., Andrews C.</t>
  </si>
  <si>
    <t>2017 IEEE Conference on Visual Analytics Science and Technology, VAST 2017 - Proceedings</t>
  </si>
  <si>
    <t>https://www.scopus.com/inward/record.uri?eid=2-s2.0-85061059679&amp;doi=10.1109%2fVAST.2017.8585484&amp;partnerID=40&amp;md5=a77d877c5fb1bf9b19ca4fe7285c813e</t>
  </si>
  <si>
    <t>University of Alabama in Huntsville, United States; Middlebury College, United States</t>
  </si>
  <si>
    <t>Chung, H., University of Alabama in Huntsville, United States; Dasari, S.P., University of Alabama in Huntsville, United States; Nandhakumar, S., University of Alabama in Huntsville, United States; Andrews, C., Middlebury College, United States</t>
  </si>
  <si>
    <t>Crowd Labor Markets as Platform for Group Decision and Negotiation Research: A Comparison to Laboratory Experiments</t>
  </si>
  <si>
    <t>10.1007/s10726-018-9565-y</t>
  </si>
  <si>
    <t>36810816400;14008766500;</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</si>
  <si>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 © 2018, Springer Science+Business Media B.V., part of Springer Nature.</t>
  </si>
  <si>
    <t>Teschner F., Gimpel H.</t>
  </si>
  <si>
    <t>Group Decision and Negotiation</t>
  </si>
  <si>
    <t>https://www.scopus.com/inward/record.uri?eid=2-s2.0-85043343903&amp;doi=10.1007%2fs10726-018-9565-y&amp;partnerID=40&amp;md5=b1be86253c42d00b5d8b9879c75ef253</t>
  </si>
  <si>
    <t>Karlsruhe Institute of Technology (KIT), Englerstr. 14, Karlsruhe, 76131, Germany; University of Augsburg, Universitaetsstr. 12, Augsburg, 86135, Germany</t>
  </si>
  <si>
    <t>Teschner, F., Karlsruhe Institute of Technology (KIT), Englerstr. 14, Karlsruhe, 76131, Germany; Gimpel, H., University of Augsburg, Universitaetsstr. 12, Augsburg, 86135, Germany</t>
  </si>
  <si>
    <t>Gimpel, H.; University of Augsburg, Universitaetsstr. 12, Germany; email: henner.gimpel@fim-rc.de</t>
  </si>
  <si>
    <t>CrowdDQS: Dynamic question selection in crowdsourcing systems</t>
  </si>
  <si>
    <t>10.1145/3035918.3064055</t>
  </si>
  <si>
    <t>57192064023;7005594983;</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</si>
  <si>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 © 2017 Copyright held by the owner/author(s).</t>
  </si>
  <si>
    <t>Khan A.R., Garcia-Molina H.</t>
  </si>
  <si>
    <t>Proceedings of the ACM SIGMOD International Conference on Management of Data</t>
  </si>
  <si>
    <t>https://www.scopus.com/inward/record.uri?eid=2-s2.0-85021227958&amp;doi=10.1145%2f3035918.3064055&amp;partnerID=40&amp;md5=4f5358497325f6237283c32c4383df88</t>
  </si>
  <si>
    <t>Stanford University, Stanford, CA, United States</t>
  </si>
  <si>
    <t>Khan, A.R., Stanford University, Stanford, CA, United States; Garcia-Molina, H., Stanford University, Stanford, CA, United States</t>
  </si>
  <si>
    <t>CrowdLink: Crowdsourcing for large-scale linked data management</t>
  </si>
  <si>
    <t>10.1109/ICSC.2014.14</t>
  </si>
  <si>
    <t>Crowd sourcing is an emerging paradigm to exploit the notion of human-computation for solving various computational problems, which cannot be accurately solved solely by the machine-based solutions. We use crowd sourcing for large-scale link management in the Semantic Web. More specifically, we develop Crowd Link, which utilizes crowd 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 sourcing applications require a sophisticated workflow specification not only on human intelligent tasks, but also machine intelligent tasks to handle data and control-flow, which is strictly deficient in the existing crowd sourcing platforms. Hence, we are strongly motivated to investigate the interplay of crowd sourcing, and semantically enriched workflows for better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 workers. © 2014 IEEE.</t>
  </si>
  <si>
    <t>Proceedings - 2014 IEEE International Conference on Semantic Computing, ICSC 2014</t>
  </si>
  <si>
    <t>https://www.scopus.com/inward/record.uri?eid=2-s2.0-84906971647&amp;doi=10.1109%2fICSC.2014.14&amp;partnerID=40&amp;md5=ce57f78e990deb6f46e67ec8e40a8817</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</si>
  <si>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</si>
  <si>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</si>
  <si>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CROWDMOS: An approach for crowdsourcing mean opinion score studies</t>
  </si>
  <si>
    <t>10.1109/ICASSP.2011.5946971</t>
  </si>
  <si>
    <t>24778354700;6602865660;55885032600;7102963614;</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</si>
  <si>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 © 2011 IEEE.</t>
  </si>
  <si>
    <t>Ribeiro F., Florêncio D., Zhang C., Seltzer M.</t>
  </si>
  <si>
    <t>https://www.scopus.com/inward/record.uri?eid=2-s2.0-80051607565&amp;doi=10.1109%2fICASSP.2011.5946971&amp;partnerID=40&amp;md5=6095abc97a3f8f3dce70754dd7859b7c</t>
  </si>
  <si>
    <t>Electronic Systems Engineering Department, Universidade de São Paulo, Brazil; Microsoft Research, One Microsoft Way, Redmond, WA 98052, United States</t>
  </si>
  <si>
    <t>Ribeiro, F., Electronic Systems Engineering Department, Universidade de São Paulo, Brazil; Florêncio, D., Microsoft Research, One Microsoft Way, Redmond, WA 98052, United States; Zhang, C., Microsoft Research, One Microsoft Way, Redmond, WA 98052, United States; Seltzer, M., Microsoft Research, One Microsoft Way, Redmond, WA 98052, United States</t>
  </si>
  <si>
    <t>Ribeiro, F.; Electronic Systems Engineering Department, Brazil</t>
  </si>
  <si>
    <t>CrowdOp: Query Optimization for Declarative Crowdsourcing Systems</t>
  </si>
  <si>
    <t>10.1109/TKDE.2015.2407353</t>
  </si>
  <si>
    <t>36157705800;55800437300;8425432600;55460866500;55665418900;</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</si>
  <si>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 © 2015 IEEE.</t>
  </si>
  <si>
    <t>Fan J., Zhang M., Kok S., Lu M., Ooi B.C.</t>
  </si>
  <si>
    <t>https://www.scopus.com/inward/record.uri?eid=2-s2.0-84936887282&amp;doi=10.1109%2fTKDE.2015.2407353&amp;partnerID=40&amp;md5=6a46dd9a4ffd4f709bdc9b7b7d172ee6</t>
  </si>
  <si>
    <t>School of Computing, National University of Singapore, Singapore, 117417, Singapore; Information Systems Technology and Design Pillar, Singapore University of Technology and Design, Singapore, 487372, Singapore</t>
  </si>
  <si>
    <t>Fan, J., School of Computing, National University of Singapore, Singapore, 117417, Singapore; Zhang, M., Information Systems Technology and Design Pillar, Singapore University of Technology and Design, Singapore, 487372, Singapore; Kok, S., Information Systems Technology and Design Pillar, Singapore University of Technology and Design, Singapore, 487372, Singapore; Lu, M., School of Computing, National University of Singapore, Singapore, 117417, Singapore; Ooi, B.C., School of Computing, National University of Singapore, Singapore, 117417, Singapore</t>
  </si>
  <si>
    <t>CrowdSelect: Increasing accuracy of crowdsourcing tasks through behavior prediction and user selection</t>
  </si>
  <si>
    <t>10.1145/2983323.2983830</t>
  </si>
  <si>
    <t>55523851000;6506303417;13402877800;8567605000;57192062530;</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</si>
  <si>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 © 2016 ACM.</t>
  </si>
  <si>
    <t>Qiu C., Squicciarini A.C., Carminati B., Caverlee J., Khare D.R.</t>
  </si>
  <si>
    <t>https://www.scopus.com/inward/record.uri?eid=2-s2.0-84996564620&amp;doi=10.1145%2f2983323.2983830&amp;partnerID=40&amp;md5=5757097e5b894d531d082f5fc8f97aee</t>
  </si>
  <si>
    <t>College of Information Sciences and Technology, Pennsylvania State University, University Park, PA, United States; Department of Theoretical and Applied Sciences, Universiy of Insubria, Varese, Italy; Department of Computer Science and Engineering, Texas A and M University, College Station, TX, United States</t>
  </si>
  <si>
    <t>Qiu, C., College of Information Sciences and Technology, Pennsylvania State University, University Park, PA, United States; Squicciarini, A.C., College of Information Sciences and Technology, Pennsylvania State University, University Park, PA, United States; Carminati, B., Department of Theoretical and Applied Sciences, Universiy of Insubria, Varese, Italy; Caverlee, J., Department of Computer Science and Engineering, Texas A and M University, College Station, TX, United States; Khare, D.R., College of Information Sciences and Technology, Pennsylvania State University, University Park, PA, United States</t>
  </si>
  <si>
    <t>Crowd-sourced assessment of technical skill: A valid method for discriminating basic robotic surgery skills</t>
  </si>
  <si>
    <t>10.1089/end.2015.0191</t>
  </si>
  <si>
    <t>36081406500;7006132582;55873665700;12772371000;7005603758;14319319500;</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</si>
  <si>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 © Mary Ann Liebert, Inc. 2015.</t>
  </si>
  <si>
    <t>White L.W., Kowalewski T.M., Dockter R.L., Comstock B., Hannaford B., Lendvay T.S.</t>
  </si>
  <si>
    <t>https://www.scopus.com/inward/record.uri?eid=2-s2.0-84946747956&amp;doi=10.1089%2fend.2015.0191&amp;partnerID=40&amp;md5=f2c4e6bcc126cc1887c1c7a5311eef19</t>
  </si>
  <si>
    <t>School of Medicine, Stanford University, Palo Alto, CA  94305, United States; Department of Bioengineering, University of Washington, Seattle, WA, United States; Department of Mechanical Engineering, University of Minnesota, Minneapolis, MN, United States; Department of Biostatistics, University of Washington, Seattle, WA, United States; Department of Electrical Engineering, University of Washington, Seattle, WA, United States; Department of Urology, Seattle Children's Hospital, University of Washington, Seattle, WA, United States</t>
  </si>
  <si>
    <t>White, L.W., School of Medicine, Stanford University, Palo Alto, CA  94305, United States, Department of Bioengineering, University of Washington, Seattle, WA, United States; Kowalewski, T.M., Department of Mechanical Engineering, University of Minnesota, Minneapolis, MN, United States; Dockter, R.L., Department of Mechanical Engineering, University of Minnesota, Minneapolis, MN, United States; Comstock, B., Department of Biostatistics, University of Washington, Seattle, WA, United States; Hannaford, B., Department of Electrical Engineering, University of Washington, Seattle, WA, United States; Lendvay, T.S., Department of Urology, Seattle Children's Hospital, University of Washington, Seattle, WA, United States</t>
  </si>
  <si>
    <t>White, L.W.; School of Medicine, United States; email: leewhite@stanford.edu</t>
  </si>
  <si>
    <t>Crowdsourced data preprocessing with R and Amazon Mechanical Turk</t>
  </si>
  <si>
    <t>10.32614/rj-2016-020</t>
  </si>
  <si>
    <t>54998513300;</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</si>
  <si>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</si>
  <si>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T.J.</t>
  </si>
  <si>
    <t>R Journal</t>
  </si>
  <si>
    <t>https://www.scopus.com/inward/record.uri?eid=2-s2.0-85010297826&amp;doi=10.32614%2frj-2016-020&amp;partnerID=40&amp;md5=b7d9ee49893f854066d68f3194261142</t>
  </si>
  <si>
    <t>Department of Government, London School of Economics and Political Science, London, United Kingdom</t>
  </si>
  <si>
    <t>Leeper, T.J., Department of Government, London School of Economics and Political Science, London, United Kingdom</t>
  </si>
  <si>
    <t>Leeper, T.J.; Department of Government, United Kingdom; email: thosjleeper@gmail.com</t>
  </si>
  <si>
    <t>Crowdsourcing and Its Application for Traffic Survey Work</t>
  </si>
  <si>
    <t>10.1109/ICBDA.2019.8712831</t>
  </si>
  <si>
    <t>6507924914;57209135861;</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</si>
  <si>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 © 2019 IEEE.</t>
  </si>
  <si>
    <t>Koita T., Suzuki S.</t>
  </si>
  <si>
    <t>2019 4th IEEE International Conference on Big Data Analytics, ICBDA 2019</t>
  </si>
  <si>
    <t>https://www.scopus.com/inward/record.uri?eid=2-s2.0-85066634634&amp;doi=10.1109%2fICBDA.2019.8712831&amp;partnerID=40&amp;md5=1dbb493f3a8c49876b172620a91da4b8</t>
  </si>
  <si>
    <t>Faculty of Science and Engineering, Doshisha University, Kyoto, Japan</t>
  </si>
  <si>
    <t>Koita, T., Faculty of Science and Engineering, Doshisha University, Kyoto, Japan; Suzuki, S., Faculty of Science and Engineering, Doshisha University, Kyoto, Japan</t>
  </si>
  <si>
    <t>Crowdsourcing awareness: Exploration of the ovarian cancer knowledge gap through amazon mechanical turk</t>
  </si>
  <si>
    <t>10.1371/journal.pone.0085508</t>
  </si>
  <si>
    <t>56099698800;57204578104;6603347842;7405271191;7410369151;</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</si>
  <si>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 © 2014 Carter et al.</t>
  </si>
  <si>
    <t>Carter R.R., DiFeo A., Bogie K., Zhang G.-Q., Sun J.</t>
  </si>
  <si>
    <t>https://www.scopus.com/inward/record.uri?eid=2-s2.0-84899885263&amp;doi=10.1371%2fjournal.pone.0085508&amp;partnerID=40&amp;md5=26156e7d2adabcd744c99e34dbf2c9c6</t>
  </si>
  <si>
    <t>Department of Epidemiology and Biostatistics, School of Medicine, Case Western Reserve University, Cleveland, OH, United States; Case Comprehensive Cancer Center, Case Western Reserve University, Cleveland, OH, United States; Departments of Orthopaedics and Biomedical Engineering, Case Western Reserve University, Cleveland, OH, United States</t>
  </si>
  <si>
    <t>Carter, R.R., Department of Epidemiology and Biostatistics, School of Medicine, Case Western Reserve University, Cleveland, OH, United States; DiFeo, A., Case Comprehensive Cancer Center, Case Western Reserve University, Cleveland, OH, United States; Bogie, K., Departments of Orthopaedics and Biomedical Engineering, Case Western Reserve University, Cleveland, OH, United States; Zhang, G.-Q., Case Comprehensive Cancer Center, Case Western Reserve University, Cleveland, OH, United States; Sun, J., Department of Epidemiology and Biostatistics, School of Medicine, Case Western Reserve University, Cleveland, OH, United States</t>
  </si>
  <si>
    <t>Crowdsourcing consumer research</t>
  </si>
  <si>
    <t>10.1093/jcr/ucx047</t>
  </si>
  <si>
    <t>12647298600;36499940900;</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</si>
  <si>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 © The Author 2016.</t>
  </si>
  <si>
    <t>Goodman J.K., Paolacci G.</t>
  </si>
  <si>
    <t>Journal of Consumer Research</t>
  </si>
  <si>
    <t>https://www.scopus.com/inward/record.uri?eid=2-s2.0-85020111418&amp;doi=10.1093%2fjcr%2fucx047&amp;partnerID=40&amp;md5=af0f8a4e6dfe75ee958533493d386bf9</t>
  </si>
  <si>
    <t>Fisher College of Business, The Ohio State University, 2100 Neil Avenue, 532 Fisher Hall, Columbus, OH  43210, United States; Rotterdam School of Management, Erasmus University, Burgemeester Oudlaan 50, Rotterdam, 3062 PA, Netherlands</t>
  </si>
  <si>
    <t>Goodman, J.K., Fisher College of Business, The Ohio State University, 2100 Neil Avenue, 532 Fisher Hall, Columbus, OH  43210, United States; Paolacci, G., Rotterdam School of Management, Erasmus University, Burgemeester Oudlaan 50, Rotterdam, 3062 PA, Netherlands</t>
  </si>
  <si>
    <t>Crowdsourcing database systems: Overview and challenges</t>
  </si>
  <si>
    <t>10.1109/ICDE.2019.00237</t>
  </si>
  <si>
    <t>57190390247;36157705800;55800543300;38863309000;57189985436;</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</si>
  <si>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 © 2019 IEEE.</t>
  </si>
  <si>
    <t>Chai C., Fan J., Li G., Wang J., Zheng Y.</t>
  </si>
  <si>
    <t>Proceedings - International Conference on Data Engineering</t>
  </si>
  <si>
    <t>https://www.scopus.com/inward/record.uri?eid=2-s2.0-85067919534&amp;doi=10.1109%2fICDE.2019.00237&amp;partnerID=40&amp;md5=e2e4a65a43b571858d7b2648d053499c</t>
  </si>
  <si>
    <t>Tsinghua University, China; Renmin University, China; Simon Fraser University, Canada; Twitter, United States</t>
  </si>
  <si>
    <t>Chai, C., Tsinghua University, China; Fan, J., Renmin University, China; Li, G., Tsinghua University, China; Wang, J., Simon Fraser University, Canada; Zheng, Y., Twitter, United States</t>
  </si>
  <si>
    <t>Crowdsourcing linked data quality assessment</t>
  </si>
  <si>
    <t>10.1007/978-3-642-41338-4_17</t>
  </si>
  <si>
    <t>36699349400;36053976300;23036541000;54396973500;23391879500;35229806900;</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</si>
  <si>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 © 2013 Springer-Verlag.</t>
  </si>
  <si>
    <t>Acosta M., Zaveri A., Simperl E., Kontokostas D., Auer S., Lehmann J.</t>
  </si>
  <si>
    <t>https://www.scopus.com/inward/record.uri?eid=2-s2.0-84891925069&amp;doi=10.1007%2f978-3-642-41338-4_17&amp;partnerID=40&amp;md5=214bdb0180899c36c12b275d39629600</t>
  </si>
  <si>
    <t>Karlsruhe Institute of Technology, Institute AIFB, Germany; Universität Leipzig, Institut für Informatik, AKSW, Germany; University of Southampton, Web and Internet Science Group, United Kingdom; University of Bonn, Enterprise Information Systems and Fraunhofer IAIS, Germany</t>
  </si>
  <si>
    <t>Acosta, M., Karlsruhe Institute of Technology, Institute AIFB, Germany; Zaveri, A., Universität Leipzig, Institut für Informatik, AKSW, Germany; Simperl, E., University of Southampton, Web and Internet Science Group, United Kingdom; Kontokostas, D., Universität Leipzig, Institut für Informatik, AKSW, Germany; Auer, S., University of Bonn, Enterprise Information Systems and Fraunhofer IAIS, Germany; Lehmann, J., Universität Leipzig, Institut für Informatik, AKSW, Germany</t>
  </si>
  <si>
    <t>Karlsruhe Institute of Technology, Germany</t>
  </si>
  <si>
    <t>Crowdsourcing morphology assessments in oculoplastic surgery: Reliability and validity of lay people relative to professional image analysts and experts</t>
  </si>
  <si>
    <t>10.1097/IOP.0000000000001515</t>
  </si>
  <si>
    <t>8626932700;56376169100;57215273525;57201468741;57215793330;57209334941;24378209000;7102171983;</t>
  </si>
  <si>
    <t>Department of Education, University of California, Los Angeles, Los Angeles, California, U.S.A 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 © 2020 Lippincott Williams and Wilkins. All rights reserved.</t>
  </si>
  <si>
    <t>Rootman D.B., Bokman C.L., Katsev B., Rafaelof M., Ip M., Manoukian N., Esfandiari M., Webb N.M.</t>
  </si>
  <si>
    <t>Ophthalmic Plastic and Reconstructive Surgery</t>
  </si>
  <si>
    <t>https://www.scopus.com/inward/record.uri?eid=2-s2.0-85081945046&amp;doi=10.1097%2fIOP.0000000000001515&amp;partnerID=40&amp;md5=6245a3f0a92403ef5a88a8a9e0405b25</t>
  </si>
  <si>
    <t>Division of Orbital and Ophthalmic Plastic Surgery, Stein Eye Institute, University of California, Los Angeles, United States; Doheny Eye Institute, University of California, Los Angeles, United States; Uc San Diego School of Medicine, University of California, San Diego, United States; Department of Statistics, University of California, Los Angeles, United States</t>
  </si>
  <si>
    <t>Rootman, D.B., Division of Orbital and Ophthalmic Plastic Surgery, Stein Eye Institute, University of California, Los Angeles, United States, Doheny Eye Institute, University of California, Los Angeles, United States; Bokman, C.L., Division of Orbital and Ophthalmic Plastic Surgery, Stein Eye Institute, University of California, Los Angeles, United States; Katsev, B., Division of Orbital and Ophthalmic Plastic Surgery, Stein Eye Institute, University of California, Los Angeles, United States; Rafaelof, M., Uc San Diego School of Medicine, University of California, San Diego, United States; Ip, M., Division of Orbital and Ophthalmic Plastic Surgery, Stein Eye Institute, University of California, Los Angeles, United States; Manoukian, N., Department of Statistics, University of California, Los Angeles, United States; Esfandiari, M., Department of Statistics, University of California, Los Angeles, United States; Webb, N.M., Division of Orbital and Ophthalmic Plastic Surgery, Stein Eye Institute, University of California, Los Angeles, United States</t>
  </si>
  <si>
    <t>Rootman, D.B.; Stein Eye Institute, 300 Stein Plaza, 1st Floor, United States; email: rootman@jsei.ucla.edu</t>
  </si>
  <si>
    <t>Crowdsourcing of network data</t>
  </si>
  <si>
    <t>10.1109/IJCNN.2016.7727472</t>
  </si>
  <si>
    <t>57192670276;55001854400;7201942118;</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</si>
  <si>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 © 2016 IEEE.</t>
  </si>
  <si>
    <t>Wang D., Comar P.M., Tan P.-N.</t>
  </si>
  <si>
    <t>Proceedings of the International Joint Conference on Neural Networks</t>
  </si>
  <si>
    <t>https://www.scopus.com/inward/record.uri?eid=2-s2.0-85007235950&amp;doi=10.1109%2fIJCNN.2016.7727472&amp;partnerID=40&amp;md5=8792d9143ee352ad974ef45176add293</t>
  </si>
  <si>
    <t>Department of Computer Science and Engineering, Michigan State University, United States; Amazon, USA, United States</t>
  </si>
  <si>
    <t>Wang, D., Department of Computer Science and Engineering, Michigan State University, United States; Comar, P.M., Amazon, USA, United States; Tan, P.-N., Department of Computer Science and Engineering, Michigan State University, United States</t>
  </si>
  <si>
    <t>Crowdsourcing participatory evaluation of medical pictograms using amazon mechanical turk</t>
  </si>
  <si>
    <t>10.2196/jmir.2513</t>
  </si>
  <si>
    <t>7402092787;55655094100;55811487300;55742791700;</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</si>
  <si>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</si>
  <si>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 Willis M., Sun P., Wang J.</t>
  </si>
  <si>
    <t>https://www.scopus.com/inward/record.uri?eid=2-s2.0-84881082315&amp;doi=10.2196%2fjmir.2513&amp;partnerID=40&amp;md5=27a4b32aaaf8031434043f6b5f80560b</t>
  </si>
  <si>
    <t>School of Information Studies, Syracuse University, Syracuse, NY, United States; School of Information Studies, Syracuse University, Hinds Hall Syracuse University, Syracuse, NY, 13244, United States</t>
  </si>
  <si>
    <t>Yu, B., School of Information Studies, Syracuse University, Syracuse, NY, United States, School of Information Studies, Syracuse University, Hinds Hall Syracuse University, Syracuse, NY, 13244, United States; Willis, M., School of Information Studies, Syracuse University, Syracuse, NY, United States; Sun, P., School of Information Studies, Syracuse University, Syracuse, NY, United States; Wang, J., School of Information Studies, Syracuse University, Syracuse, NY, United States</t>
  </si>
  <si>
    <t>Yu, B.; School of Information Studies, , Syracuse, NY, 13244, United States; email: byu@syr.edu</t>
  </si>
  <si>
    <t>Crowdsourcing subjective image quality evaluation</t>
  </si>
  <si>
    <t>10.1109/ICIP.2011.6116320</t>
  </si>
  <si>
    <t>24778354700;6602865660;7003917487;</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</si>
  <si>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 © 2011 IEEE.</t>
  </si>
  <si>
    <t>Ribeiro F., Florencio D., Nascimento V.</t>
  </si>
  <si>
    <t>Proceedings - International Conference on Image Processing, ICIP</t>
  </si>
  <si>
    <t>https://www.scopus.com/inward/record.uri?eid=2-s2.0-84856283152&amp;doi=10.1109%2fICIP.2011.6116320&amp;partnerID=40&amp;md5=f38a75059febfcaf673af4a2d9507802</t>
  </si>
  <si>
    <t>Ribeiro, F., Electronic Systems Engineering Department, Universidade de São Paulo, Brazil; Florencio, D., Microsoft Research, One Microsoft Way, Redmond, WA 98052, United States; Nascimento, V., Electronic Systems Engineering Department, Universidade de São Paulo, Brazil</t>
  </si>
  <si>
    <t>Crowdsourcing system management for activity data with mobile sensors</t>
  </si>
  <si>
    <t>10.1109/ICIEV.2019.8858566</t>
  </si>
  <si>
    <t>57202033109;9335840200;</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</si>
  <si>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 © 2019 IEEE.</t>
  </si>
  <si>
    <t>Mairittha N., Inoue S.</t>
  </si>
  <si>
    <t>2019 Joint 8th International Conference on Informatics, Electronics and Vision, ICIEV 2019 and 3rd International Conference on Imaging, Vision and Pattern Recognition, icIVPR 2019 with International Conference on Activity and Behavior Computing, ABC 2019</t>
  </si>
  <si>
    <t>https://www.scopus.com/inward/record.uri?eid=2-s2.0-85073383538&amp;doi=10.1109%2fICIEV.2019.8858566&amp;partnerID=40&amp;md5=fa2c2194a08ac21250f99ffc60e270e4</t>
  </si>
  <si>
    <t>Graduate School of Engineering, Kyushu Institute of Technology, 1-1 Sensui-cho, Tobata-ku, Kitakyushu-shi, Fukuoka, 804-8550, Japan</t>
  </si>
  <si>
    <t>Mairittha, N., Graduate School of Engineering, Kyushu Institute of Technology, 1-1 Sensui-cho, Tobata-ku, Kitakyushu-shi, Fukuoka, 804-8550, Japan; Inoue, S., Graduate School of Engineering, Kyushu Institute of Technology, 1-1 Sensui-cho, Tobata-ku, Kitakyushu-shi, Fukuoka, 804-8550, Japan</t>
  </si>
  <si>
    <t>Crowdsourcing the aesthetics of thumb repair in pediatric thumb hypoplasia</t>
  </si>
  <si>
    <t>10.1007/s00238-020-01712-1</t>
  </si>
  <si>
    <t>57212144676;57196479020;57218330191;55108349700;</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</si>
  <si>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 t 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 © 2020, Springer-Verlag GmbH Germany, part of Springer Nature.</t>
  </si>
  <si>
    <t>Maas M., Shauly O., Stone G., Gould D.J.</t>
  </si>
  <si>
    <t>European Journal of Plastic Surgery</t>
  </si>
  <si>
    <t>https://www.scopus.com/inward/record.uri?eid=2-s2.0-85088833845&amp;doi=10.1007%2fs00238-020-01712-1&amp;partnerID=40&amp;md5=1a592e4a2d2fd03ad557c14da9e8b0c8</t>
  </si>
  <si>
    <t>Keck School of Medicine of the University of Southern California, Los Angeles, CA, United States; Marina Plastic Surgery Associates, Division of Plastic Surgery, University of Southern California, 4560 Admiralty Way #108, Marina Del Rey, Los Angeles, CA  90292, United States</t>
  </si>
  <si>
    <t>Maas, M., Keck School of Medicine of the University of Southern California, Los Angeles, CA, United States; Shauly, O., Keck School of Medicine of the University of Southern California, Los Angeles, CA, United States; Stone, G., Keck School of Medicine of the University of Southern California, Los Angeles, CA, United States; Gould, D.J., Keck School of Medicine of the University of Southern California, Los Angeles, CA, United States, Marina Plastic Surgery Associates, Division of Plastic Surgery, University of Southern California, 4560 Admiralty Way #108, Marina Del Rey, Los Angeles, CA  90292, United States</t>
  </si>
  <si>
    <t>Gould, D.J.; Marina Plastic Surgery Associates, 4560 Admiralty Way #108, Marina Del Rey, United States; email: marissamaas@gmail.com</t>
  </si>
  <si>
    <t>Crowdsourcing the public’s perception of microsurgical and nonsurgical interventions for erectile dysfunction</t>
  </si>
  <si>
    <t>10.1007/s00238-020-01639-7</t>
  </si>
  <si>
    <t>57196479020;57212853009;39561477400;</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</si>
  <si>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 © 2020, Springer-Verlag GmbH Germany, part of Springer Nature.</t>
  </si>
  <si>
    <t>Shauly O., Gould D.J., Patel K.M.</t>
  </si>
  <si>
    <t>https://www.scopus.com/inward/record.uri?eid=2-s2.0-85081737515&amp;doi=10.1007%2fs00238-020-01639-7&amp;partnerID=40&amp;md5=db62fa09c4ed5b645a2c303f55a0e973</t>
  </si>
  <si>
    <t>Keck School of Medicine of USC, 1510 San Pablo Street, Suite 415, Los Angeles, CA  90033, United States; Department of Plastic and Reconstructive Surgery, Keck Hospital of USC, Los Angeles, CA, United States; Department of Plastic and Reconstructive Surgery, Keck Hospital of USC, Los Angeles, CA, United States</t>
  </si>
  <si>
    <t>Shauly, O., Keck School of Medicine of USC, 1510 San Pablo Street, Suite 415, Los Angeles, CA  90033, United States; Gould, D.J., Department of Plastic and Reconstructive Surgery, Keck Hospital of USC, Los Angeles, CA, United States; Patel, K.M., Department of Plastic and Reconstructive Surgery, Keck Hospital of USC, Los Angeles, CA, United States</t>
  </si>
  <si>
    <t>Shauly, O.; Keck School of Medicine of USC, 1510 San Pablo Street, Suite 415, United States; email: shauly@usc.edu</t>
  </si>
  <si>
    <t>Crowdsourcing-based disaster management using fog computing in internet of things paradigm</t>
  </si>
  <si>
    <t>10.1109/CIC.2016.074</t>
  </si>
  <si>
    <t>56653500000;6507678399;7202087522;57193347596;</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</si>
  <si>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 © 2016 IEEE.</t>
  </si>
  <si>
    <t>Rauniyar A., Engelstad P., Feng B., Thanh D.V.</t>
  </si>
  <si>
    <t>Proceedings - 2016 IEEE 2nd International Conference on Collaboration and Internet Computing, IEEE CIC 2016</t>
  </si>
  <si>
    <t>https://www.scopus.com/inward/record.uri?eid=2-s2.0-85013216819&amp;doi=10.1109%2fCIC.2016.074&amp;partnerID=40&amp;md5=02ef724964f59133f00abe1d032d78f2</t>
  </si>
  <si>
    <t>Department of Computer Science, Oslo and Akershus University College of Applied Sciences, Oslo, 0166, Norway; Department of Informatics, University of Oslo, Oslo, 0316, Norway; Telenor Research and Development, Telenor, Oslo, 1360, Norway</t>
  </si>
  <si>
    <t>Rauniyar, A., Department of Computer Science, Oslo and Akershus University College of Applied Sciences, Oslo, 0166, Norway, Department of Informatics, University of Oslo, Oslo, 0316, Norway; Engelstad, P., Department of Computer Science, Oslo and Akershus University College of Applied Sciences, Oslo, 0166, Norway, Department of Informatics, University of Oslo, Oslo, 0316, Norway; Feng, B., Department of Computer Science, Oslo and Akershus University College of Applied Sciences, Oslo, 0166, Norway; Thanh, D.V., Department of Computer Science, Oslo and Akershus University College of Applied Sciences, Oslo, 0166, Norway, Telenor Research and Development, Telenor, Oslo, 1360, Norway</t>
  </si>
  <si>
    <t>Crowdworker economics in the gig economy</t>
  </si>
  <si>
    <t>10.1145/3290605.3300621</t>
  </si>
  <si>
    <t>56637926000;6507412583;</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</si>
  <si>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 © 2019 Copyright held by the owner/author(s).</t>
  </si>
  <si>
    <t>Jacques J.T., Kristensson P.O.</t>
  </si>
  <si>
    <t>https://www.scopus.com/inward/record.uri?eid=2-s2.0-85067632092&amp;doi=10.1145%2f3290605.3300621&amp;partnerID=40&amp;md5=aa418574f57e53173aa62be98e16f5e6</t>
  </si>
  <si>
    <t>Department of Engineering, University of Cambridge, Cambridge, United Kingdom</t>
  </si>
  <si>
    <t>Jacques, J.T., Department of Engineering, University of Cambridge, Cambridge, United Kingdom; Kristensson, P.O., Department of Engineering, University of Cambridge, Cambridge, United Kingdom</t>
  </si>
  <si>
    <t>Cueing Employability in the Gig Economy: Effects of Task-Relevant and Task-Irrelevant Information on Fiverr</t>
  </si>
  <si>
    <t>10.1177/0893318916687397</t>
  </si>
  <si>
    <t>36170433200;57194773046;57194762739;57194769702;</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</si>
  <si>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 2 ×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 © 2017, © The Author(s) 2017.</t>
  </si>
  <si>
    <t>Carr C.T., Hall R.D., Mason A.J., Varney E.J.</t>
  </si>
  <si>
    <t>Management Communication Quarterly</t>
  </si>
  <si>
    <t>https://www.scopus.com/inward/record.uri?eid=2-s2.0-85022059089&amp;doi=10.1177%2f0893318916687397&amp;partnerID=40&amp;md5=82e6ee5408b1a65ea6bb0bb60d82764e</t>
  </si>
  <si>
    <t>Illinois State University, Normal, United States; Bradley University, Peroia, IL, United States</t>
  </si>
  <si>
    <t>Carr, C.T., Illinois State University, Normal, United States; Hall, R.D., Illinois State University, Normal, United States; Mason, A.J., Illinois State University, Normal, United States; Varney, E.J., Bradley University, Peroia, IL, United States</t>
  </si>
  <si>
    <t>Carr, C.T.; School of Communication, Fell Hall, Campus Box 4480, United States; email: ctcarr@ilstu.edu</t>
  </si>
  <si>
    <t>Cultural and linguistic problems in GSD: A simulator to train engineers in these issues</t>
  </si>
  <si>
    <t>10.1002/smr.562</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</si>
  <si>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 2011 John Wiley &amp; Sons, Ltd.</t>
  </si>
  <si>
    <t>https://www.scopus.com/inward/record.uri?eid=2-s2.0-84871296846&amp;doi=10.1002%2fsmr.562&amp;partnerID=40&amp;md5=593056cef8bdbbf736bf2f0dafec1738</t>
  </si>
  <si>
    <t>Alarcos Research Group, Institute of Information Technologies and Systems, University of Castilla-La Mancha, Paseo de la Universidad 4, 13071, Ciudad Real, Spain</t>
  </si>
  <si>
    <t>Monasor, M.J., Alarcos Research Group, Institute of Information Technologies and Systems, University of Castilla-La Mancha, Paseo de la Universidad 4, 13071, Ciudad Real, Spain; Vizcaíno, A., Alarcos Research Group, Institute of Information Technologies and Systems, University of Castilla-La Mancha, Paseo de la Universidad 4, 13071, Ciudad Real, Spain; Piattini, M., Alarcos Research Group, Institute of Information Technologies and Systems, University of Castilla-La Mancha, Paseo de la Universidad 4, 13071, Ciudad Real, Spain</t>
  </si>
  <si>
    <t>Monasor, M.J.; Alarcos Research Group, Paseo de la Universidad 4, 13071, Ciudad Real, Spain; email: MiguelJ.Monasor@gmail.com</t>
  </si>
  <si>
    <t>Cultural predictors of resilience in a multinational sample of trauma survivors</t>
  </si>
  <si>
    <t>10.3389/fpsyg.2019.00131</t>
  </si>
  <si>
    <t>16246454800;57205667739;</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</si>
  <si>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</si>
  <si>
    <t>Raghavan S.S., Sandanapitchai P.</t>
  </si>
  <si>
    <t>https://www.scopus.com/inward/record.uri?eid=2-s2.0-85061067380&amp;doi=10.3389%2ffpsyg.2019.00131&amp;partnerID=40&amp;md5=680bbca29de477f3f3e2d02791239d3e</t>
  </si>
  <si>
    <t>Department of Psychology, William Paterson University, Wayne, NJ, United States</t>
  </si>
  <si>
    <t>Raghavan, S.S., Department of Psychology, William Paterson University, Wayne, NJ, United States; Sandanapitchai, P., Department of Psychology, William Paterson University, Wayne, NJ, United States</t>
  </si>
  <si>
    <t>Raghavan, S.S.; Department of Psychology, United States; email: raghavans@wpunj.edu</t>
  </si>
  <si>
    <t>Decisional conflict associated with clinicians discouraging particular contraceptive methods</t>
  </si>
  <si>
    <t>10.1111/jep.13364</t>
  </si>
  <si>
    <t>57205330344;57217491674;56079785500;23094620500;35332891200;</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</si>
  <si>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=.004), yet reported a higher extent of shared decision making (median: 76 vs 71; P =.03). Adjusting for age and nulliparity did not impact results, except nulliparity made the relationship between being discouraged from using a method and shared decision making no longer significant (P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 © 2020 John Wiley &amp; Sons, Ltd.</t>
  </si>
  <si>
    <t>Grant R.L., Paul R., Zeal C., Madden T., Politi M.C.</t>
  </si>
  <si>
    <t>Journal of Evaluation in Clinical Practice</t>
  </si>
  <si>
    <t>https://www.scopus.com/inward/record.uri?eid=2-s2.0-85079060422&amp;doi=10.1111%2fjep.13364&amp;partnerID=40&amp;md5=7220801031771d2804a428d86dbe7a8c</t>
  </si>
  <si>
    <t>Division of Public Health Sciences, Department of Surgery, Washington University in St. Louis School of Medicine, St. Louis, MO, United States; Divisions of Family Planning and Clinical Research, Department of Obstetrics and Gynecology, Washington University in St. Louis School of Medicine, St. Louis, MO, United States</t>
  </si>
  <si>
    <t>Grant, R.L., Division of Public Health Sciences, Department of Surgery, Washington University in St. Louis School of Medicine, St. Louis, MO, United States; Paul, R., Divisions of Family Planning and Clinical Research, Department of Obstetrics and Gynecology, Washington University in St. Louis School of Medicine, St. Louis, MO, United States; Zeal, C., Divisions of Family Planning and Clinical Research, Department of Obstetrics and Gynecology, Washington University in St. Louis School of Medicine, St. Louis, MO, United States; Madden, T., Divisions of Family Planning and Clinical Research, Department of Obstetrics and Gynecology, Washington University in St. Louis School of Medicine, St. Louis, MO, United States; Politi, M.C., Division of Public Health Sciences, Department of Surgery, Washington University in St. Louis School of Medicine, St. Louis, MO, United States</t>
  </si>
  <si>
    <t>Grant, R.L.; Division of Public Health Sciences, United States; email: grant.r@wustl.edu</t>
  </si>
  <si>
    <t>Deconstructing the association between psychopathy and political orientation: Is it attributable to moral intuitions or moral competency?</t>
  </si>
  <si>
    <t>10.1016/j.paid.2019.05.054</t>
  </si>
  <si>
    <t>56577487400;23100581000;6701513457;57195955056;</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</si>
  <si>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 © 2019 Elsevier Ltd</t>
  </si>
  <si>
    <t>Gay J.G., Lishner D.A., Vitacco M.J., Beussink C.</t>
  </si>
  <si>
    <t>https://www.scopus.com/inward/record.uri?eid=2-s2.0-85066632391&amp;doi=10.1016%2fj.paid.2019.05.054&amp;partnerID=40&amp;md5=6dba57450c80dfc75575630d4d148ef8</t>
  </si>
  <si>
    <t>Augusta University, United States; University of Wisconsin Oshkosh, United States; Rosalind Franklin University of Medicine and Science, United States</t>
  </si>
  <si>
    <t>Gay, J.G., Augusta University, United States; Lishner, D.A., University of Wisconsin Oshkosh, United States; Vitacco, M.J., Augusta University, United States; Beussink, C., Rosalind Franklin University of Medicine and Science, United States</t>
  </si>
  <si>
    <t>Gay, J.G.; East Central Regional Hospital, Mental Health Campus, 3405 Mike Padgett Hwy., United States; email: jeremy.gay@dbhdd.ga.gov</t>
  </si>
  <si>
    <t>Deep model style: Cross-class style compatibility for 3D furniture within a scene</t>
  </si>
  <si>
    <t>10.1109/BigData.2017.8258459</t>
  </si>
  <si>
    <t>57188762510;57188754378;57193790371;37048901700;</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</si>
  <si>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 © 2017 IEEE.</t>
  </si>
  <si>
    <t>Pan T.-Y., Dai Y.-Z., Tsai W.-L., Hu M.-C.</t>
  </si>
  <si>
    <t>Proceedings - 2017 IEEE International Conference on Big Data, Big Data 2017</t>
  </si>
  <si>
    <t>https://www.scopus.com/inward/record.uri?eid=2-s2.0-85047769469&amp;doi=10.1109%2fBigData.2017.8258459&amp;partnerID=40&amp;md5=dc0d5c61a0b0182e93dfda38a4b63614</t>
  </si>
  <si>
    <t>Dept. of Computer Science and Information Engineering, National Cheng Kung University, Tainan, Taiwan</t>
  </si>
  <si>
    <t>Pan, T.-Y., Dept. of Computer Science and Information Engineering, National Cheng Kung University, Tainan, Taiwan; Dai, Y.-Z., Dept. of Computer Science and Information Engineering, National Cheng Kung University, Tainan, Taiwan; Tsai, W.-L., Dept. of Computer Science and Information Engineering, National Cheng Kung University, Tainan, Taiwan; Hu, M.-C., Dept. of Computer Science and Information Engineering, National Cheng Kung University, Tainan, Taiwan</t>
  </si>
  <si>
    <t>Defining "Ideal Abs" through a Crowdsourcing-Based Assessment</t>
  </si>
  <si>
    <t>10.1093/asj/sjz344</t>
  </si>
  <si>
    <t>55108349700;57196479020;57190401550;7202070309;</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</si>
  <si>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 © 2020 The Aesthetic Society. Reprints and permission: journals.permissions@oup.com.</t>
  </si>
  <si>
    <t>Gould D.J., Shauly O., Qureshi A.A., Stevens W.G.</t>
  </si>
  <si>
    <t>https://www.scopus.com/inward/record.uri?eid=2-s2.0-85082147920&amp;doi=10.1093%2fasj%2fsjz344&amp;partnerID=40&amp;md5=aacc744ec69a954157c2a3afa6a41485</t>
  </si>
  <si>
    <t>Division of Plastic and Reconstructive Surgery, Keck Hospital of University of Southern California, 1510 San Pablo Street, Suite 415, Los Angeles, CA  90033, United States</t>
  </si>
  <si>
    <t>Gould, D.J., Division of Plastic and Reconstructive Surgery, Keck Hospital of University of Southern California, 1510 San Pablo Street, Suite 415, Los Angeles, CA  90033, United States; Shauly, O., Division of Plastic and Reconstructive Surgery, Keck Hospital of University of Southern California, 1510 San Pablo Street, Suite 415, Los Angeles, CA  90033, United States; Qureshi, A.A., Division of Plastic and Reconstructive Surgery, Keck Hospital of University of Southern California, 1510 San Pablo Street, Suite 415, Los Angeles, CA  90033, United States; Stevens, W.G., Division of Plastic and Reconstructive Surgery, Keck Hospital of University of Southern California, 1510 San Pablo Street, Suite 415, Los Angeles, CA  90033, United States</t>
  </si>
  <si>
    <t>Gould, D.J.; Division of Plastic and Reconstructive Surgery, 1510 San Pablo Street, Suite 415, United States; email: daniel.gould@med.usc.edu</t>
  </si>
  <si>
    <t>Degrees of tenant isolation for cloud-hosted software services: a cross-case analysis</t>
  </si>
  <si>
    <t>10.1186/s13677-018-0121-8</t>
  </si>
  <si>
    <t>57188650149;7202857771;8916414800;</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</si>
  <si>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 © 2018, The Author(s).</t>
  </si>
  <si>
    <t>Ochei L.C., Bass J.M., Petrovski A.</t>
  </si>
  <si>
    <t>Journal of Cloud Computing</t>
  </si>
  <si>
    <t>https://www.scopus.com/inward/record.uri?eid=2-s2.0-85058795236&amp;doi=10.1186%2fs13677-018-0121-8&amp;partnerID=40&amp;md5=2c3bdfcde41efc6dacae8d21a4d9a48a</t>
  </si>
  <si>
    <t>Robert Gordon University, School of Computing and Digital Media, Aberdeen, AB10 7QB, United Kingdom; University of Salford, School of Computing, Science and Engineering, Salford, M5 4WT, United Kingdom</t>
  </si>
  <si>
    <t>Ochei, L.C., Robert Gordon University, School of Computing and Digital Media, Aberdeen, AB10 7QB, United Kingdom; Bass, J.M., University of Salford, School of Computing, Science and Engineering, Salford, M5 4WT, United Kingdom; Petrovski, A., Robert Gordon University, School of Computing and Digital Media, Aberdeen, AB10 7QB, United Kingdom</t>
  </si>
  <si>
    <t>Ochei, L.C.; Robert Gordon University, United Kingdom; email: l.c.ochei@rgu.ac.uk</t>
  </si>
  <si>
    <t>Demographics and dynamics of Mechanical Turk workers</t>
  </si>
  <si>
    <t>10.1145/3159652.3159661</t>
  </si>
  <si>
    <t>55001800900;51664780500;6603236863;</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</si>
  <si>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 © 2018 Association for Computing Machinery.</t>
  </si>
  <si>
    <t>Difallah D., Filatova E., Ipeirotis P.</t>
  </si>
  <si>
    <t>WSDM 2018 - Proceedings of the 11th ACM International Conference on Web Search and Data Mining</t>
  </si>
  <si>
    <t>https://www.scopus.com/inward/record.uri?eid=2-s2.0-85046905206&amp;doi=10.1145%2f3159652.3159661&amp;partnerID=40&amp;md5=9d4cbdd5575787392a724e391d7f626c</t>
  </si>
  <si>
    <t>New York University, New York, NY, United States; City University of New York, Brooklyn, NY, United States</t>
  </si>
  <si>
    <t>Difallah, D., New York University, New York, NY, United States; Filatova, E., City University of New York, Brooklyn, NY, United States; Ipeirotis, P., New York University, New York, NY, United States</t>
  </si>
  <si>
    <t>Deployment of private crowdsourcing system with quality control methods</t>
  </si>
  <si>
    <t>10.1109/WI-IAT.2015.81</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</si>
  <si>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 © 2015 IEEE.</t>
  </si>
  <si>
    <t>Proceedings - 2015 IEEE/WIC/ACM International Joint Conference on Web Intelligence and Intelligent Agent Technology, WI-IAT 2015</t>
  </si>
  <si>
    <t>https://www.scopus.com/inward/record.uri?eid=2-s2.0-85028313237&amp;doi=10.1109%2fWI-IAT.2015.81&amp;partnerID=40&amp;md5=74223fe5549ad703026e200b2879beee</t>
  </si>
  <si>
    <t>Corporate Research and Development Center, Toshiba Corporation, Kanagawa, 212-8582, Japan; Graduate School of Information Systems, University of Electro-Communications, Tokyo, 182-8585, Japan</t>
  </si>
  <si>
    <t>Ashikawa, M., Corporate Research and Development Center, Toshiba Corporation, Kanagawa, 212-8582, Japan, Graduate School of Information Systems, University of Electro-Communications, Tokyo, 182-8585, Japan; Kawamura, T., Corporate Research and Development Center, Toshiba Corporation, Kanagawa, 212-8582, Japan, Graduate School of Information Systems, University of Electro-Communications, Tokyo, 182-8585, Japan; Ohsuga, A., Graduate School of Information Systems, University of Electro-Communications, Tokyo, 182-8585, Japan</t>
  </si>
  <si>
    <t>Design and evaluation of a task-based digital library for the academic community</t>
  </si>
  <si>
    <t>10.1108/00220410410548162</t>
  </si>
  <si>
    <t>6603158670;7102988160;7006058701;</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</si>
  <si>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</si>
  <si>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Meyyappan N., Foo S., Chowdhury G.G.</t>
  </si>
  <si>
    <t>Journal of Documentation</t>
  </si>
  <si>
    <t>https://www.scopus.com/inward/record.uri?eid=2-s2.0-4444284492&amp;doi=10.1108%2f00220410410548162&amp;partnerID=40&amp;md5=5e4db10aac9ad7225ba45eb61a369d06</t>
  </si>
  <si>
    <t>Division of Information Studies, Sch. of Commun. and Information, Nanyang Technol. Univ., Singapore, Singapore; Graduate School of Informatics, Dept. of Comp. and Info. Sciences, Univ. of Strathclyde, Glasgow, UK, United Kingdom</t>
  </si>
  <si>
    <t>Meyyappan, N., Division of Information Studies, Sch. of Commun. and Information, Nanyang Technol. Univ., Singapore, Singapore; Foo, S., Division of Information Studies, Sch. of Commun. and Information, Nanyang Technol. Univ., Singapore, Singapore; Chowdhury, G.G., Graduate School of Informatics, Dept. of Comp. and Info. Sciences, Univ. of Strathclyde, Glasgow, UK, United Kingdom</t>
  </si>
  <si>
    <t>Design and evaluation of line symbolizations for origin–destination flow maps</t>
  </si>
  <si>
    <t>10.1177/1473871616681375</t>
  </si>
  <si>
    <t>55770873500;8509395300;</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</si>
  <si>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 © The Author(s) 2016.</t>
  </si>
  <si>
    <t>Koylu C., Guo D.</t>
  </si>
  <si>
    <t>Information Visualization</t>
  </si>
  <si>
    <t>https://www.scopus.com/inward/record.uri?eid=2-s2.0-85032196478&amp;doi=10.1177%2f1473871616681375&amp;partnerID=40&amp;md5=92643648b688fb4caf767aa55cc3227e</t>
  </si>
  <si>
    <t>The University of Iowa, Iowa City, IA, United States; University of South Carolina, Columbia, SC, United States</t>
  </si>
  <si>
    <t>Koylu, C., The University of Iowa, Iowa City, IA, United States; Guo, D., University of South Carolina, Columbia, SC, United States</t>
  </si>
  <si>
    <t>Koylu, C.; The University of IowaUnited States; email: caglar-koylu@uiowa.edu</t>
  </si>
  <si>
    <t>Design and evaluation of sparse quantization index modulation watermarking schemes</t>
  </si>
  <si>
    <t>10.1117/12.796692</t>
  </si>
  <si>
    <t>25649810300;6603133715;6507932430;7005664010;7102312611;6603770139;</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</si>
  <si>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</si>
  <si>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 Barbarien J., Dooms A., Munteanu A., Cornelis J., Schelkens P.</t>
  </si>
  <si>
    <t>https://www.scopus.com/inward/record.uri?eid=2-s2.0-56349172292&amp;doi=10.1117%2f12.796692&amp;partnerID=40&amp;md5=25c23ce02dc01630064f8dfae9debcaa</t>
  </si>
  <si>
    <t>Vrije Universiteit Brussel - IBBT, Department ETRO, Pleinlaan 2, 1050 Brussels, Belgium</t>
  </si>
  <si>
    <t>Cornelis, B.; Barbarien, J.; Dooms, A.; Munteanu, A.; Cornelis, J.; Schelkens, P., Vrije Universiteit Brussel - IBBT, Department ETRO, Pleinlaan 2, 1050 Brussels, Belgium</t>
  </si>
  <si>
    <t>Vrije Universiteit Brussel - IBBT, Pleinlaan 2, 1050 Brussels, Belgium</t>
  </si>
  <si>
    <t>Detecting Low-Quality Workers in QoE Crowdtesting: A Worker Behavior-Based Approach</t>
  </si>
  <si>
    <t>10.1109/TMM.2016.2619901</t>
  </si>
  <si>
    <t>50262503700;7403713440;36721360100;</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</si>
  <si>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Naïve Bayes classifier is applied to train a model to predict the quality of 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 methods can improve the success rate in detecting low-quality workers to around 80%. Finally, our method is 16.5% and 42.9% better in precision and recall than CrowdMOS. © 2016 IEEE.</t>
  </si>
  <si>
    <t>Mok R.K.P., Chang R.K.C., Li W.</t>
  </si>
  <si>
    <t>IEEE Transactions on Multimedia</t>
  </si>
  <si>
    <t>https://www.scopus.com/inward/record.uri?eid=2-s2.0-85013499794&amp;doi=10.1109%2fTMM.2016.2619901&amp;partnerID=40&amp;md5=e12c768f2ffc07f112860e0058a67668</t>
  </si>
  <si>
    <t>Department of Computing, Hong Kong Polytechnic University, Hong Kong</t>
  </si>
  <si>
    <t>Mok, R.K.P., Department of Computing, Hong Kong Polytechnic University, Hong Kong; Chang, R.K.C., Department of Computing, Hong Kong Polytechnic University, Hong Kong; Li, W., Department of Computing, Hong Kong Polytechnic University, Hong Kong</t>
  </si>
  <si>
    <t>Determinants of online hotel room prices: comparing supply-side and demand-side decisions</t>
  </si>
  <si>
    <t>10.1108/IJCHM-09-2018-0707</t>
  </si>
  <si>
    <t>23668723100;7005478199;</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</si>
  <si>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 © 2019, Emerald Publishing Limited.</t>
  </si>
  <si>
    <t>Razavi R., Israeli A.A.</t>
  </si>
  <si>
    <t>https://www.scopus.com/inward/record.uri?eid=2-s2.0-85066826483&amp;doi=10.1108%2fIJCHM-09-2018-0707&amp;partnerID=40&amp;md5=0dbe83786ba69313d9a154e0420a43cb</t>
  </si>
  <si>
    <t>Department of Management and Information Systems, College of Business Administration, Kent State University, Kent, OH, United States; Department of Hospitality Management, College of Education Health and Human Services, Kent State University, Kent, OH, United States</t>
  </si>
  <si>
    <t>Razavi, R., Department of Management and Information Systems, College of Business Administration, Kent State University, Kent, OH, United States; Israeli, A.A., Department of Hospitality Management, College of Education Health and Human Services, Kent State University, Kent, OH, United States</t>
  </si>
  <si>
    <t>Israeli, A.A.; Department of Hospitality Management, United States; email: aisraeli@kent.edu</t>
  </si>
  <si>
    <t>Development and evaluation of the Internalized Racism in Asian Americans Scale (IRAAS)</t>
  </si>
  <si>
    <t>10.1037/cou0000183</t>
  </si>
  <si>
    <t>57192893655;6603039278;56018976300;</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</si>
  <si>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 © 2017 American Psychological Association.</t>
  </si>
  <si>
    <t>Choi A.Y., Israel T., Maeda H.</t>
  </si>
  <si>
    <t>Journal of Counseling Psychology</t>
  </si>
  <si>
    <t>https://www.scopus.com/inward/record.uri?eid=2-s2.0-85008613445&amp;doi=10.1037%2fcou0000183&amp;partnerID=40&amp;md5=905213c922503c6ac4c88c146c018261</t>
  </si>
  <si>
    <t>Department of Counseling, Clinical and School Psychology, University of California, Santa Barbara, United States; Department of Educational Psychology, University of Wisconsin, Milwaukee, United States</t>
  </si>
  <si>
    <t>Choi, A.Y., Department of Counseling, Clinical and School Psychology, University of California, Santa Barbara, United States; Israel, T., Department of Counseling, Clinical and School Psychology, University of California, Santa Barbara, United States; Maeda, H., Department of Educational Psychology, University of Wisconsin, Milwaukee, United States</t>
  </si>
  <si>
    <t>Choi, A.Y.; Department of Counseling, United States; email: achoi@education.ucsb.edu</t>
  </si>
  <si>
    <t>Development and validation of a HEXACO situational judgment test</t>
  </si>
  <si>
    <t>10.1080/08959285.2018.1539856</t>
  </si>
  <si>
    <t>24729513000;15057729500;57225688711;</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</si>
  <si>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between.55 and.74. Considering personality is the most commonly assessed construct in employee selection contexts (Ryan et al., 2015), this situational judgment test may provide human resources professionals with an alternative assessment tool. © 2018, © 2018 Taylor &amp; Francis.</t>
  </si>
  <si>
    <t>Oostrom J.K., de Vries R.E., de Wit M.</t>
  </si>
  <si>
    <t>Human Performance</t>
  </si>
  <si>
    <t>https://www.scopus.com/inward/record.uri?eid=2-s2.0-85057562544&amp;doi=10.1080%2f08959285.2018.1539856&amp;partnerID=40&amp;md5=41865ce5ebe95945d279ea7ab2932cae</t>
  </si>
  <si>
    <t>Vrije Universiteit Amsterdam, Netherlands; University of Twente, Netherlands</t>
  </si>
  <si>
    <t>Oostrom, J.K., Vrije Universiteit Amsterdam, Netherlands; de Vries, R.E., Vrije Universiteit Amsterdam, Netherlands, University of Twente, Netherlands; de Wit, M., Vrije Universiteit Amsterdam, Netherlands</t>
  </si>
  <si>
    <t>Oostrom, J.K.; School of Business and Economics, De Boelelaan 1105, Netherlands; email: j.k.oostrom@vu.nl</t>
  </si>
  <si>
    <t>Development and Validation of the Multicontextual Interpersonal Relations Scale (MIRS)</t>
  </si>
  <si>
    <t>10.1027/1015-5759/a000497</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</si>
  <si>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multicontextual construct, requiring measurement of all unique processes and relational contexts. © 2018 Hogrefe Publishing.</t>
  </si>
  <si>
    <t>European Journal of Psychological Assessment</t>
  </si>
  <si>
    <t>https://www.scopus.com/inward/record.uri?eid=2-s2.0-85053821415&amp;doi=10.1027%2f1015-5759%2fa000497&amp;partnerID=40&amp;md5=99dc795542c9eb740ca929673533c590</t>
  </si>
  <si>
    <t>Department of Psychology, Utah State University, Logan, UT, United States</t>
  </si>
  <si>
    <t>Simone, M., Department of Psychology, Utah State University, Logan, UT, United States; Geiser, C., Department of Psychology, Utah State University, Logan, UT, United States; Lockhart, G., Department of Psychology, Utah State University, Logan, UT, United States</t>
  </si>
  <si>
    <t>Simone, M.; Department of Psychology, United States; email: m.simone@aggiemail.usu.edu</t>
  </si>
  <si>
    <t>Development of task analysis method for operator tasks in main control room of an advanced nuclear power plant</t>
  </si>
  <si>
    <t>10.1080/00223131.2015.1027757</t>
  </si>
  <si>
    <t>35345469600;34879840500;</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</si>
  <si>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 © 2015 Atomic Energy Society of Japan. All rights reserved.</t>
  </si>
  <si>
    <t>Lin C.J., Hsieh T.-L.</t>
  </si>
  <si>
    <t>Journal of Nuclear Science and Technology</t>
  </si>
  <si>
    <t>https://www.scopus.com/inward/record.uri?eid=2-s2.0-84947864851&amp;doi=10.1080%2f00223131.2015.1027757&amp;partnerID=40&amp;md5=8c98d872e081da33b84e18752340d0a9</t>
  </si>
  <si>
    <t>Department of Industrial Management, National Taiwan University of Science and Technology, 43, Sec. 4, Keelung Road, Taipei, 106, Taiwan</t>
  </si>
  <si>
    <t>Lin, C.J., Department of Industrial Management, National Taiwan University of Science and Technology, 43, Sec. 4, Keelung Road, Taipei, 106, Taiwan; Hsieh, T.-L., Department of Industrial Management, National Taiwan University of Science and Technology, 43, Sec. 4, Keelung Road, Taipei, 106, Taiwan</t>
  </si>
  <si>
    <t>Hsieh, T.-L.; Department of Industrial Management, 43, Sec. 4, Keelung Road, Taiwan; email: bm1129@gmail.com</t>
  </si>
  <si>
    <t>Digital clients: An example of people production in social work</t>
  </si>
  <si>
    <t>10.17645/si.v7i1.1814</t>
  </si>
  <si>
    <t>57207973792;</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</si>
  <si>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(re)presented and, ultimately, how social work is consctructed. © 2019 by the author; licensee Cogitatio (Lisbon, Portugal).</t>
  </si>
  <si>
    <t>Barfoed E.M.</t>
  </si>
  <si>
    <t>Social Inclusion</t>
  </si>
  <si>
    <t>https://www.scopus.com/inward/record.uri?eid=2-s2.0-85064262121&amp;doi=10.17645%2fsi.v7i1.1814&amp;partnerID=40&amp;md5=622fb7dd0c4a04770891bed771762442</t>
  </si>
  <si>
    <t>School of Social Work, Lund University, Lund, 22100, Sweden</t>
  </si>
  <si>
    <t>Barfoed, E.M., School of Social Work, Lund University, Lund, 22100, Sweden</t>
  </si>
  <si>
    <t>Barfoed, E.M.; School of Social Work, Sweden; email: elizabeth.martinell_barfoed@soch.lu.se</t>
  </si>
  <si>
    <t>Digital cooperatives as channels for digital work in the context of the collaborative economy</t>
  </si>
  <si>
    <t>10.18543/baidc-54-2019pp75-96</t>
  </si>
  <si>
    <t>56458932000;</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</si>
  <si>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 © 2019 University of Deusto. All rights reserved.</t>
  </si>
  <si>
    <t>Idiakez F.J.A.</t>
  </si>
  <si>
    <t>Boletin de la Asociacion Internacional de Derecho Cooperativo</t>
  </si>
  <si>
    <t>https://www.scopus.com/inward/record.uri?eid=2-s2.0-85071886604&amp;doi=10.18543%2fbaidc-54-2019pp75-96&amp;partnerID=40&amp;md5=27f519059bd2deca8e98193047f931c7</t>
  </si>
  <si>
    <t>University of Deusto, Spain</t>
  </si>
  <si>
    <t>Idiakez, F.J.A., University of Deusto, Spain</t>
  </si>
  <si>
    <t>Idiakez, F.J.A.; University of DeustoSpain</t>
  </si>
  <si>
    <t>Digital inspirational economy: the dialectics of design</t>
  </si>
  <si>
    <t>10.1080/1369118X.2019.1684543</t>
  </si>
  <si>
    <t>57192372764;</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</si>
  <si>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 © 2019 Informa UK Limited, trading as Taylor &amp; Francis Group.</t>
  </si>
  <si>
    <t>Scolere L.</t>
  </si>
  <si>
    <t>https://www.scopus.com/inward/record.uri?eid=2-s2.0-85076919138&amp;doi=10.1080%2f1369118X.2019.1684543&amp;partnerID=40&amp;md5=82032bae223b2e3efb17d11c8bb9131c</t>
  </si>
  <si>
    <t>Department of Design and Merchandising, Colorado State University, Fort Collins, CO, United States</t>
  </si>
  <si>
    <t>Scolere, L., Department of Design and Merchandising, Colorado State University, Fort Collins, CO, United States</t>
  </si>
  <si>
    <t>Scolere, L.; Department of Design and Merchandising, United States; email: leah.scolere@colostate.edu</t>
  </si>
  <si>
    <t>Digital labor is the new killer app</t>
  </si>
  <si>
    <t>10.1177/1461444811412159</t>
  </si>
  <si>
    <t>30967480700;57197485435;</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</si>
  <si>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 © SAGE Publications 2011.</t>
  </si>
  <si>
    <t>Fish A., Srinivasan R.</t>
  </si>
  <si>
    <t>https://www.scopus.com/inward/record.uri?eid=2-s2.0-84857679240&amp;doi=10.1177%2f1461444811412159&amp;partnerID=40&amp;md5=774554ef6b13f8fc146f545cfde61548</t>
  </si>
  <si>
    <t>UCLA, United States</t>
  </si>
  <si>
    <t>Fish, A., UCLA, United States; Srinivasan, R., UCLA, United States</t>
  </si>
  <si>
    <t>Fish, A.; Department of Anthropology, 25005 Glen Ivy Rd, Corona, CA 92883, United States</t>
  </si>
  <si>
    <t>Digital labour in the platform economy: The case of Facebook</t>
  </si>
  <si>
    <t>10.3390/su10061757</t>
  </si>
  <si>
    <t>35558191000;24080832300;57202249045;57202256681;</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</si>
  <si>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 © 2018 by the authors.</t>
  </si>
  <si>
    <t>Fumagalli A., Lucarelli S., Musolino E., Rocchi G.</t>
  </si>
  <si>
    <t>https://www.scopus.com/inward/record.uri?eid=2-s2.0-85047627710&amp;doi=10.3390%2fsu10061757&amp;partnerID=40&amp;md5=0d02b5a02513fbfad2ba0f82015de9a5</t>
  </si>
  <si>
    <t>Department of Economics and Management, Università di Pavia, Pavia, 27100, Italy; Department of Management, Economics and Quantitative Methods, Università di Bergamo, Bergamo, 24127, Italy; Centre d'économie de la Sorbonne at CNRS, Unit of Research 8174, Paris, 75013, France; Axe économie Politique, Université Paris 1 Panthéon-Sorbonne, Paris, 75013, France</t>
  </si>
  <si>
    <t>Fumagalli, A., Department of Economics and Management, Università di Pavia, Pavia, 27100, Italy; Lucarelli, S., Department of Management, Economics and Quantitative Methods, Università di Bergamo, Bergamo, 24127, Italy, Centre d'économie de la Sorbonne at CNRS, Unit of Research 8174, Paris, 75013, France; Musolino, E., Department of Management, Economics and Quantitative Methods, Università di Bergamo, Bergamo, 24127, Italy; Rocchi, G., Axe économie Politique, Université Paris 1 Panthéon-Sorbonne, Paris, 75013, France</t>
  </si>
  <si>
    <t>Musolino, E.; Department of Management, Italy; email: elena.musolino@unibg.it</t>
  </si>
  <si>
    <t>Digital platforms and the changing nature of physical work: Insights from ride-hailing</t>
  </si>
  <si>
    <t>10.1016/j.ijinfomgt.2019.08.007</t>
  </si>
  <si>
    <t>24725250200;56534314600;57203666754;</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</si>
  <si>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 © 2019</t>
  </si>
  <si>
    <t>Mäntymäki M., Baiyere A., Islam A.K.M.N.</t>
  </si>
  <si>
    <t>https://www.scopus.com/inward/record.uri?eid=2-s2.0-85071386088&amp;doi=10.1016%2fj.ijinfomgt.2019.08.007&amp;partnerID=40&amp;md5=83333089e4d309434344030eb749dfe1</t>
  </si>
  <si>
    <t>Turku School of Economics, University of TurkuFI-20014, Finland; Copenhagen Business School, Denmark; Department of Future Technologies, University of Turku, Finland</t>
  </si>
  <si>
    <t>Mäntymäki, M., Turku School of Economics, University of TurkuFI-20014, Finland; Baiyere, A., Copenhagen Business School, Denmark; Islam, A.K.M.N., Department of Future Technologies, University of Turku, Finland</t>
  </si>
  <si>
    <t>Mäntymäki, M.; Turku School of Economics, Finland; email: matti.mantymaki@utu.fi</t>
  </si>
  <si>
    <t>Digital technology to support students socioscientific reasoning about environmental issues</t>
  </si>
  <si>
    <t>10.1080/00219266.2013.821748</t>
  </si>
  <si>
    <t>54420821000;6507935340;35203901200;6602480067;</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</si>
  <si>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 © 2013 Copyright Society of Biology.</t>
  </si>
  <si>
    <t>Morin O., Simonneaux L., Simonneaux J., Tytler R.</t>
  </si>
  <si>
    <t>Journal of Biological Education</t>
  </si>
  <si>
    <t>https://www.scopus.com/inward/record.uri?eid=2-s2.0-84884831763&amp;doi=10.1080%2f00219266.2013.821748&amp;partnerID=40&amp;md5=4a72ebba35d7a4726fa0497078f6ef26</t>
  </si>
  <si>
    <t>Institut Universitaire de Formation des Maitres, Université de Lyon, Composante IUFM de Lyon 1, Lyon, France; Ecole Nationale de Formation Agronomique, Université de Toulouse - le Mirail (UTM), Toulouse, France; School of Education, Deakin University, Geelong, VIC, Australia</t>
  </si>
  <si>
    <t>Morin, O., Institut Universitaire de Formation des Maitres, Université de Lyon, Composante IUFM de Lyon 1, Lyon, France, Ecole Nationale de Formation Agronomique, Université de Toulouse - le Mirail (UTM), Toulouse, France; Simonneaux, L., Ecole Nationale de Formation Agronomique, Université de Toulouse - le Mirail (UTM), Toulouse, France; Simonneaux, J., Ecole Nationale de Formation Agronomique, Université de Toulouse - le Mirail (UTM), Toulouse, France; Tytler, R., School of Education, Deakin University, Geelong, VIC, Australia</t>
  </si>
  <si>
    <t>Morin, O.; Institut Universitaire de Formation des Maitres, , Lyon, France; email: olivier.morin@univ-lyon1.fr</t>
  </si>
  <si>
    <t>Digital work and play: Mobile technologies and new ways of feeling at home</t>
  </si>
  <si>
    <t>10.1177/1367549417705602</t>
  </si>
  <si>
    <t>7003587141;55881410900;55659239700;57200340049;7402206342;</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</si>
  <si>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 © 2017, © The Author(s) 2017.</t>
  </si>
  <si>
    <t>Pink S., Hjorth L., Horst H., Nettheim J., Bell G.</t>
  </si>
  <si>
    <t>European Journal of Cultural Studies</t>
  </si>
  <si>
    <t>https://www.scopus.com/inward/record.uri?eid=2-s2.0-85040940455&amp;doi=10.1177%2f1367549417705602&amp;partnerID=40&amp;md5=2330d5725b28ffcc0994a79687896449</t>
  </si>
  <si>
    <t>RMIT University, Australia; University of Sydney, Australia; Australian National University, Australia</t>
  </si>
  <si>
    <t>Pink, S., RMIT University, Australia; Hjorth, L., RMIT University, Australia; Horst, H., University of Sydney, Australia; Nettheim, J., RMIT University, Australia; Bell, G., Australian National University, Australia</t>
  </si>
  <si>
    <t>Pink, S.; RMIT University, GPO Box 2476, Australia; email: sarah.pink@rmit.edu.au</t>
  </si>
  <si>
    <t>Digital Work Practices: Affordances in Design Education</t>
  </si>
  <si>
    <t>10.1111/jade.12231</t>
  </si>
  <si>
    <t>55653777200;57209410578;56854807700;57191586307;</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</si>
  <si>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 © 2019 NSEAD and John Wiley &amp; Sons Ltd</t>
  </si>
  <si>
    <t>Crosby A., Pham K., Peterson J.F., Lee T.</t>
  </si>
  <si>
    <t>International Journal of Art and Design Education</t>
  </si>
  <si>
    <t>https://www.scopus.com/inward/record.uri?eid=2-s2.0-85067699009&amp;doi=10.1111%2fjade.12231&amp;partnerID=40&amp;md5=73fbac35dedd878df8db12c0e04d32ef</t>
  </si>
  <si>
    <t>PO Box 123, Broadway, NSW  2007, Australia; PO Box 123, Broadway, NSW  2007, Australia; 124 La Trobe Street, Melbourne, VIC  3000, Australia; PO Box 123, Broadway, NSW  2007, Australia</t>
  </si>
  <si>
    <t>Crosby, A., PO Box 123, Broadway, NSW  2007, Australia; Pham, K., PO Box 123, Broadway, NSW  2007, Australia; Peterson, J.F., 124 La Trobe Street, Melbourne, VIC  3000, Australia; Lee, T., PO Box 123, Broadway, NSW  2007, Australia</t>
  </si>
  <si>
    <t>Discovering collective narratives of theme parks from large collections of visitors' Photo streams</t>
  </si>
  <si>
    <t>10.1145/2783258.2788569</t>
  </si>
  <si>
    <t>55685918100;7103067039;</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</si>
  <si>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photo-based recommendation tasks than other alternatives. We also present storybook-like demo examples regarding exploration, recommendation, and temporal analysis, which may be most beneficial uses of the story graphs to visitors. © 2015 ACM.</t>
  </si>
  <si>
    <t>Kim G., Sigal L.</t>
  </si>
  <si>
    <t>https://www.scopus.com/inward/record.uri?eid=2-s2.0-84954125335&amp;doi=10.1145%2f2783258.2788569&amp;partnerID=40&amp;md5=96cc23b552763fe530f5dd8902b3b7cd</t>
  </si>
  <si>
    <t>Seoul National University, Seoul, 151-744, South Korea; Disney Research, Pittsburgh, PA  15213, United States</t>
  </si>
  <si>
    <t>Kim, G., Seoul National University, Seoul, 151-744, South Korea; Sigal, L., Disney Research, Pittsburgh, PA  15213, United States</t>
  </si>
  <si>
    <t>Disentangling the Effects of Gratitude and Optimism: A Cross-Cultural Investigation</t>
  </si>
  <si>
    <t>10.1177/0022022117699278</t>
  </si>
  <si>
    <t>57194204838;57194215809;55172543200;</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</si>
  <si>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 © 2017, © The Author(s) 2017.</t>
  </si>
  <si>
    <t>Titova L., Wagstaff A.E., Parks A.C.</t>
  </si>
  <si>
    <t>Journal of Cross-Cultural Psychology</t>
  </si>
  <si>
    <t>https://www.scopus.com/inward/record.uri?eid=2-s2.0-85019181414&amp;doi=10.1177%2f0022022117699278&amp;partnerID=40&amp;md5=519b952a04fe639471a5d4d8fe166a95</t>
  </si>
  <si>
    <t>University of Missouri, Columbia, MO, United States; Wilmington CollegeOH, United States; Hiram CollegeOH, United States</t>
  </si>
  <si>
    <t>Titova, L., University of Missouri, Columbia, MO, United States; Wagstaff, A.E., Wilmington CollegeOH, United States; Parks, A.C., Hiram CollegeOH, United States</t>
  </si>
  <si>
    <t>Titova, L.; Department of Psychological Sciences, 210 McAlester Hall, United States; email: lt5ff@mail.missouri.edu</t>
  </si>
  <si>
    <t>Dissociative Features in Posttraumatic Stress Disorder: A Latent Profile Analysis</t>
  </si>
  <si>
    <t>10.1037/tra0000148</t>
  </si>
  <si>
    <t>56976155300;55190898800;54392860100;7003678279;35072405300;</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</si>
  <si>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 2016 American Psychological Association.</t>
  </si>
  <si>
    <t>Müllerová J., Hansen M., Contractor A.A., Elhai J.D., Armour C.</t>
  </si>
  <si>
    <t>https://www.scopus.com/inward/record.uri?eid=2-s2.0-84969263384&amp;doi=10.1037%2ftra0000148&amp;partnerID=40&amp;md5=1d5a1b36d7b3c64a4db85e67cd0df005</t>
  </si>
  <si>
    <t>School of Psychology, Ulster University, Coleraine, Northern Ireland, BT52 1SA, United Kingdom; Department of Psychology, University of Southern Denmark, Denmark; Veterans Administration Boston Healthcare System, Massachusetts Veterans Epidemiology Research and Information Center, Boston, MA, United States; Department of Psychiatry, Boston University School of Medicine, United States; Departments of Psychology and Psychiatry, University of Toledo, United States</t>
  </si>
  <si>
    <t>Müllerová, J., School of Psychology, Ulster University, Coleraine, Northern Ireland, BT52 1SA, United Kingdom; Hansen, M., Department of Psychology, University of Southern Denmark, Denmark; Contractor, A.A., Veterans Administration Boston Healthcare System, Massachusetts Veterans Epidemiology Research and Information Center, Boston, MA, United States, Department of Psychiatry, Boston University School of Medicine, United States; Elhai, J.D., Departments of Psychology and Psychiatry, University of Toledo, United States; Armour, C., School of Psychology, Ulster University, Coleraine, Northern Ireland, BT52 1SA, United Kingdom</t>
  </si>
  <si>
    <t>Armour, C.; School of Psychology, United Kingdom; email: armour.cherie@gmail.com</t>
  </si>
  <si>
    <t>Distribution-Aware Crowdsourced Entity Collection</t>
  </si>
  <si>
    <t>10.1109/TKDE.2016.2611509</t>
  </si>
  <si>
    <t>36157705800;35175110600;34267886900;57209965073;8552775200;</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</si>
  <si>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 © 1989-2012 IEEE.</t>
  </si>
  <si>
    <t>Fan J., Wei Z., Zhang D., Yang J., Du X.</t>
  </si>
  <si>
    <t>https://www.scopus.com/inward/record.uri?eid=2-s2.0-85042528353&amp;doi=10.1109%2fTKDE.2016.2611509&amp;partnerID=40&amp;md5=176f48c932d3fedb5443dfbfeec7d112</t>
  </si>
  <si>
    <t>Renmin University of China, Beijing, 100872, China; Beijing Key Laboratory of Big Data Management and Analysis Methods, Renmin University of China, Beijing, 100872, China; School of Computer Science and Engineering, University of Electronic Science and Technology of China, Sichuan, 610051, China</t>
  </si>
  <si>
    <t>Fan, J., Renmin University of China, Beijing, 100872, China; Wei, Z., Beijing Key Laboratory of Big Data Management and Analysis Methods, Renmin University of China, Beijing, 100872, China; Zhang, D., School of Computer Science and Engineering, University of Electronic Science and Technology of China, Sichuan, 610051, China; Yang, J., Renmin University of China, Beijing, 100872, China; Du, X., Renmin University of China, Beijing, 100872, China</t>
  </si>
  <si>
    <t>Divide to defend: Collusive security games</t>
  </si>
  <si>
    <t>10.1007/978-3-319-47413-7_16</t>
  </si>
  <si>
    <t>57191169254;57191919064;57212380533;57191917721;26435456800;7006395526;</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</si>
  <si>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 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 © Springer International Publishing AG 2016.</t>
  </si>
  <si>
    <t>Gholami S., Wilder B., Brown M., Thomas D., Sintov N., Tambe M.</t>
  </si>
  <si>
    <t>https://www.scopus.com/inward/record.uri?eid=2-s2.0-84994875775&amp;doi=10.1007%2f978-3-319-47413-7_16&amp;partnerID=40&amp;md5=2c73ceac7a98595563b699b5e9d31366</t>
  </si>
  <si>
    <t>Computer Science Department, University of Southern California, Los Angeles, United States</t>
  </si>
  <si>
    <t>Gholami, S., Computer Science Department, University of Southern California, Los Angeles, United States; Wilder, B., Computer Science Department, University of Southern California, Los Angeles, United States; Brown, M., Computer Science Department, University of Southern California, Los Angeles, United States; Thomas, D., Computer Science Department, University of Southern California, Los Angeles, United States; Sintov, N., Computer Science Department, University of Southern California, Los Angeles, United States; Tambe, M., Computer Science Department, University of Southern California, Los Angeles, United States</t>
  </si>
  <si>
    <t>Gholami, S.; Computer Science Department, United States; email: sgholami@usc.edu</t>
  </si>
  <si>
    <t>Do step- and biological grandparents show differences in investment and emotional closeness with their grandchildren?</t>
  </si>
  <si>
    <t>10.1177/1474704917694367</t>
  </si>
  <si>
    <t>7402689388;57193493762;</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</si>
  <si>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 © The Author(s) 2017.</t>
  </si>
  <si>
    <t>Gray P.B., Brogdon E.</t>
  </si>
  <si>
    <t>Evolutionary Psychology</t>
  </si>
  <si>
    <t>https://www.scopus.com/inward/record.uri?eid=2-s2.0-85014292223&amp;doi=10.1177%2f1474704917694367&amp;partnerID=40&amp;md5=2fca575118801c89d46fdd0d8d8a1c2c</t>
  </si>
  <si>
    <t>University of Nevada, Las Vegas, NV, United States</t>
  </si>
  <si>
    <t>Gray, P.B., University of Nevada, Las Vegas, NV, United States; Brogdon, E., University of Nevada, Las Vegas, NV, United States</t>
  </si>
  <si>
    <t>Gray, P.B.; University of Nevada, 4505 S Maryland Parkway, Box 455003, United States; email: peter.gray@unlv.edu</t>
  </si>
  <si>
    <t>Does design matter when visualizing Big Data? An empirical study to investigate the effect of visualization type and interaction use</t>
  </si>
  <si>
    <t>10.1007/s00187-020-00294-0</t>
  </si>
  <si>
    <t>57204582467;57209209428;56927937000;</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</si>
  <si>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 © 2020, The Author(s).</t>
  </si>
  <si>
    <t>Perkhofer L., Walchshofer C., Hofer P.</t>
  </si>
  <si>
    <t>Journal of Management Control</t>
  </si>
  <si>
    <t>https://www.scopus.com/inward/record.uri?eid=2-s2.0-85079725036&amp;doi=10.1007%2fs00187-020-00294-0&amp;partnerID=40&amp;md5=ba4918ef51462bccf274869ea55854b7</t>
  </si>
  <si>
    <t>Controlling, Accounting and Finance, University of Applied Sciences Upper Austria, Steyr, Austria</t>
  </si>
  <si>
    <t>Perkhofer, L., Controlling, Accounting and Finance, University of Applied Sciences Upper Austria, Steyr, Austria; Walchshofer, C., Controlling, Accounting and Finance, University of Applied Sciences Upper Austria, Steyr, Austria; Hofer, P., Controlling, Accounting and Finance, University of Applied Sciences Upper Austria, Steyr, Austria</t>
  </si>
  <si>
    <t>Perkhofer, L.; Controlling, Austria; email: lisa.perkhofer@fh-steyr.at</t>
  </si>
  <si>
    <t>Does distance still matter? Revisiting the CSCW fundamentals on distributed collaboration</t>
  </si>
  <si>
    <t>10.1145/2670534</t>
  </si>
  <si>
    <t>24597400100;54795007100;55505900200;56122696100;</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</si>
  <si>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 © 2014 ACM.</t>
  </si>
  <si>
    <t>Bjørn P., Esbensen M., Jensen R.E., Matthiesen S.</t>
  </si>
  <si>
    <t>https://www.scopus.com/inward/record.uri?eid=2-s2.0-84914158540&amp;doi=10.1145%2f2670534&amp;partnerID=40&amp;md5=456852de2a17e74b2f5a08bf56066bad</t>
  </si>
  <si>
    <t>IT University of Copenhagen, University of California, Irvine, United States; Technologies in Practice Research Group, IT University of Copenhagen, Rued Langgaards Vej 7, Copenhagen, 2300, Denmark</t>
  </si>
  <si>
    <t>Bjørn, P., IT University of Copenhagen, University of California, Irvine, United States, Technologies in Practice Research Group, IT University of Copenhagen, Rued Langgaards Vej 7, Copenhagen, 2300, Denmark; Esbensen, M., IT University of Copenhagen, University of California, Irvine, United States; Jensen, R.E., IT University of Copenhagen, University of California, Irvine, United States; Matthiesen, S., IT University of Copenhagen, University of California, Irvine, United States</t>
  </si>
  <si>
    <t>Does extended unemployment benefit duration ameliorate the negative employment effects of job loss?</t>
  </si>
  <si>
    <t>10.1016/j.labeco.2019.03.001</t>
  </si>
  <si>
    <t>55365485300;55084168600;57208255442;</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</si>
  <si>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 © 2019 Elsevier B.V.</t>
  </si>
  <si>
    <t>Fackler D., Stegmaier J., Weigt E.</t>
  </si>
  <si>
    <t>Labour Economics</t>
  </si>
  <si>
    <t>https://www.scopus.com/inward/record.uri?eid=2-s2.0-85064266677&amp;doi=10.1016%2fj.labeco.2019.03.001&amp;partnerID=40&amp;md5=2efe57e6947c3e2f68ee481789c9e300</t>
  </si>
  <si>
    <t>Halle Institute for Economic Research (IWH), Kleine Märkerstraße 8, Halle (Saale), D-06108, Germany; Institute for Employment Research (IAB), Regensburger Str. 104, Nürnberg, D-90478, Germany</t>
  </si>
  <si>
    <t>Fackler, D., Halle Institute for Economic Research (IWH), Kleine Märkerstraße 8, Halle (Saale), D-06108, Germany; Stegmaier, J., Institute for Employment Research (IAB), Regensburger Str. 104, Nürnberg, D-90478, Germany; Weigt, E., Halle Institute for Economic Research (IWH), Kleine Märkerstraße 8, Halle (Saale), D-06108, Germany</t>
  </si>
  <si>
    <t>Fackler, D.; Halle Institute for Economic Research (IWH), Kleine Märkerstraße 8, Germany; email: Daniel.Fackler@iwh-halle.de</t>
  </si>
  <si>
    <t>Does gamification motivate gig workers? a critical issue in ride-sharing industries</t>
  </si>
  <si>
    <t>10.1109/ICACSIS47736.2019.8979938</t>
  </si>
  <si>
    <t>57215318896;6507465058;57188979780;56119154900;</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</si>
  <si>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 © 2019 IEEE.</t>
  </si>
  <si>
    <t>Prabowo R., Sucahyo Y.G., Gandhi A., Ruldeviyani Y.</t>
  </si>
  <si>
    <t>https://www.scopus.com/inward/record.uri?eid=2-s2.0-85081087453&amp;doi=10.1109%2fICACSIS47736.2019.8979938&amp;partnerID=40&amp;md5=9e9c0f5184a662e5a754f99d27c154ea</t>
  </si>
  <si>
    <t>Prabowo, R., Faculty of Computer Science, Universitas Indonesia, Depok, Indonesia; Sucahyo, Y.G., Faculty of Computer Science, Universitas Indonesia, Depok, Indonesia; Gandhi, A., Faculty of Computer Science, Universitas Indonesia, Depok, Indonesia; Ruldeviyani, Y., Faculty of Computer Science, Universitas Indonesia, Depok, Indonesia</t>
  </si>
  <si>
    <t>Does non-hard-sell content really work? Leveraging the value of branded content marketing in brand building</t>
  </si>
  <si>
    <t>10.1108/JPBM-07-2018-1948</t>
  </si>
  <si>
    <t>56640728600;57200369830;57196050668;57190279050;</t>
  </si>
  <si>
    <t>Purpose: This study aims to test the role of branded content marketing on YouTube in brand building and explicates the mechanism through which brand content influences brand loyalty and purchase intentions. Design/methodology/approach: This study uses a quantitative, Web-based, three-step randomized intervention design and recruits YouTube users through the Amazon Mechanical Turk (n = 925). Findings: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 © 2019, Emerald Publishing Limited.</t>
  </si>
  <si>
    <t>Lou C., Xie Q., Feng Y., Kim W.</t>
  </si>
  <si>
    <t>https://www.scopus.com/inward/record.uri?eid=2-s2.0-85074602430&amp;doi=10.1108%2fJPBM-07-2018-1948&amp;partnerID=40&amp;md5=6acd6910fa8882dcfd29bff145529ecf</t>
  </si>
  <si>
    <t>Wee Kim Wee School of Communication and Information, Nanyang Technological University, Singapore; Temerlin Advertising Institute, Meadows School of the Arts, Southern Methodist University, Dallas, TX, United States; School of Journalism and Media Studies, San Diego State University College of Arts and Letters, San Diego, CA, United States; Division of Humanities and Social Sciences, United International College, Zhuhai, Guangdong, China</t>
  </si>
  <si>
    <t>Lou, C., Wee Kim Wee School of Communication and Information, Nanyang Technological University, Singapore; Xie, Q., Temerlin Advertising Institute, Meadows School of the Arts, Southern Methodist University, Dallas, TX, United States; Feng, Y., School of Journalism and Media Studies, San Diego State University College of Arts and Letters, San Diego, CA, United States; Kim, W., Division of Humanities and Social Sciences, United International College, Zhuhai, Guangdong, China</t>
  </si>
  <si>
    <t>Lou, C.; Wee Kim Wee School of Communication and Information, Singapore; email: chenlou@ntu.edu.sg</t>
  </si>
  <si>
    <t>Dynamic exploits: calculative asymmetries in the on-demand economy</t>
  </si>
  <si>
    <t>10.1111/ntwe.12160</t>
  </si>
  <si>
    <t>57191545018;</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</si>
  <si>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façade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 © 2020 Brian Towers (BRITOW) and John Wiley &amp; Sons Ltd</t>
  </si>
  <si>
    <t>Shapiro A.</t>
  </si>
  <si>
    <t>https://www.scopus.com/inward/record.uri?eid=2-s2.0-85088601466&amp;doi=10.1111%2fntwe.12160&amp;partnerID=40&amp;md5=ab8d1e9dfa6598f61f046686d27188a2</t>
  </si>
  <si>
    <t>Information Law Institute, New York University, United States</t>
  </si>
  <si>
    <t>Shapiro, A., Information Law Institute, New York University, United States</t>
  </si>
  <si>
    <t>Shapiro, A.; Information Law Institute, United States</t>
  </si>
  <si>
    <t>Imtiaz, S.; Faculty of Computing, Pakistan; email: salma.imtiaz@iiu.edu.pk</t>
  </si>
  <si>
    <t>Early life stress moderates the relationship between age and prosocial behaviors</t>
  </si>
  <si>
    <t>10.1016/j.chiabu.2019.104029</t>
  </si>
  <si>
    <t>57202627364;35485536300;6701781634;</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</si>
  <si>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(β=−0.37,p = 0.002), community violence (β=−0.30,p = 0.012), emotional abuse (β=−0.27,p = 0.026), and an overall summary score of early life stress (β=−0.33,p = 0.006). The relationship between age and charitability was only weakened by family violence (β=−0.24,p = 0.048). The association between age and helping attitudes was weakened by family violence (β=−0.10, p = 0.023), community violence (β=−0.13,p = 0.003), and physical neglect (β=−0.11,p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 © 2019 Elsevier Ltd</t>
  </si>
  <si>
    <t>Jirsaraie R.J., Ranby K.W., Albeck D.S.</t>
  </si>
  <si>
    <t>Child Abuse and Neglect</t>
  </si>
  <si>
    <t>https://www.scopus.com/inward/record.uri?eid=2-s2.0-85067176207&amp;doi=10.1016%2fj.chiabu.2019.104029&amp;partnerID=40&amp;md5=fa5436827c768ef2a704e35e1b715f47</t>
  </si>
  <si>
    <t>Department of Psychology, University of Colorado Denver, 1250 14th Street, Denver, CO  80204, United States</t>
  </si>
  <si>
    <t>Jirsaraie, R.J., Department of Psychology, University of Colorado Denver, 1250 14th Street, Denver, CO  80204, United States; Ranby, K.W., Department of Psychology, University of Colorado Denver, 1250 14th Street, Denver, CO  80204, United States; Albeck, D.S., Department of Psychology, University of Colorado Denver, 1250 14th Street, Denver, CO  80204, United States</t>
  </si>
  <si>
    <t>Jirsaraie, R.J.; Department of Psychology, 1250 14th Street, United States; email: Robert.Jirsaraie@ucdenver.edu</t>
  </si>
  <si>
    <t>Easy does it: More usable CAPTCHAs</t>
  </si>
  <si>
    <t>10.1145/2556288.2557322</t>
  </si>
  <si>
    <t>23466423300;56158028900;8328842700;23092920400;7406514710;6602872553;</t>
  </si>
  <si>
    <t>Websites present users with puzzles called CAPTCHAs to curb abuse caused by computer algorithms masquerading as people. While CAPTCHAs are generally effective at stopping abuse, they might impair website usability if they are not properly designed. In this paper we describe how we designed two new CAPTCHA schemes for Google that focus on maximizing usability. We began by running an evaluation on Amazon Mechanical Turk with over 27,000 respondents to test the usability of different feature combinations. Then we studied user preferences using Google's consumer survey infrastructure. Finally, drawing on the insights gleaned during those studies, we tested our new captcha schemes first on Mechanical Turk and then on a fraction of production traffic. The resulting scheme is now an integral part of our production system and is served to millions of users. Our scheme achieved a 95.3% human accuracy, a 6.7% improvement.</t>
  </si>
  <si>
    <t>Bursztein E., Moscicki A., Fabry C., Bethard S., Mitchell J.C., Jurafsky D.</t>
  </si>
  <si>
    <t>https://www.scopus.com/inward/record.uri?eid=2-s2.0-84900411998&amp;doi=10.1145%2f2556288.2557322&amp;partnerID=40&amp;md5=9e97dfebfb208770724e9f0553d53b3d</t>
  </si>
  <si>
    <t>Google, United States; University of Alabama at Birmingham, United States; Stanford University, United States</t>
  </si>
  <si>
    <t>Bursztein, E., Google, United States; Moscicki, A., University of Alabama at Birmingham, United States; Fabry, C.; Bethard, S., University of Alabama at Birmingham, United States; Mitchell, J.C., Stanford University, United States; Jurafsky, D., Stanford University, United States</t>
  </si>
  <si>
    <t>Eating when depressed, anxious, bored, or happy: Are emotional eating types associated with unique psychological and physical health correlates?</t>
  </si>
  <si>
    <t>10.1016/j.appet.2018.02.022</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</si>
  <si>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 2018 Elsevier Ltd</t>
  </si>
  <si>
    <t>https://www.scopus.com/inward/record.uri?eid=2-s2.0-85042883139&amp;doi=10.1016%2fj.appet.2018.02.022&amp;partnerID=40&amp;md5=17679e2364a91b7dc8e27b6adf3fa169</t>
  </si>
  <si>
    <t>Braden, A.; Bowling Green State University, United States; email: abbym@bgsu.edu</t>
  </si>
  <si>
    <t>Effect of Physician Gender and Race on Simulated Patients' Ratings and Confidence in Their Physicians: A Randomized Trial</t>
  </si>
  <si>
    <t>10.1001/jamanetworkopen.2019.20511</t>
  </si>
  <si>
    <t>42361538000;55233830900;56126181000;57202945294;</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</si>
  <si>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Trial Registration: ClinicalTrials.gov Identifier: NCT04190901. © 2020 American Medical Association. All rights reserved.</t>
  </si>
  <si>
    <t>Solnick R.E., Peyton K., Kraft-Todd G., Safdar B.</t>
  </si>
  <si>
    <t>https://www.scopus.com/inward/record.uri?eid=2-s2.0-85080849199&amp;doi=10.1001%2fjamanetworkopen.2019.20511&amp;partnerID=40&amp;md5=86e1f8b5ee0c3207cdd9ac8d8ef0a360</t>
  </si>
  <si>
    <t>National Clinical Scholars Program, Institute for Healthcare Policy and Innovation, University of Michigan, Ann Arbor, United States; Department of Emergency Medicine, University of Michigan Medical School, Ann Arbor, United States; Yale Law School, New Haven, CT, United States; Department of Psychology, Boston College, Chestnut Hill, MA, United States; Department of Emergency Medicine, Yale School of Medicine, 464 Congress Ave, New Haven, CT  06519, United States</t>
  </si>
  <si>
    <t>Solnick, R.E., National Clinical Scholars Program, Institute for Healthcare Policy and Innovation, University of Michigan, Ann Arbor, United States, Department of Emergency Medicine, University of Michigan Medical School, Ann Arbor, United States; Peyton, K., Yale Law School, New Haven, CT, United States; Kraft-Todd, G., Department of Psychology, Boston College, Chestnut Hill, MA, United States; Safdar, B., Department of Emergency Medicine, Yale School of Medicine, 464 Congress Ave, New Haven, CT  06519, United States</t>
  </si>
  <si>
    <t>Safdar, B.; Department of Emergency Medicine, 464 Congress Ave, United States; email: basmah.safdar@yale.edu</t>
  </si>
  <si>
    <t>Effect of Project Management in Requirements Engineering and Requirements Change Management Processes for Global Software Development</t>
  </si>
  <si>
    <t>10.1109/ACCESS.2018.2834473</t>
  </si>
  <si>
    <t>57207486564;57203621200;57200183503;26434399300;56266004800;36190471800;7404910098;57202023832;</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</si>
  <si>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 © 2018 IEEE.</t>
  </si>
  <si>
    <t>Shafiq M., Zhang Q., Akbar M.A., Khan A.A., Hussain S., Fazal-E-Amin, Khan A., Soofi A.A.</t>
  </si>
  <si>
    <t>https://www.scopus.com/inward/record.uri?eid=2-s2.0-85046788779&amp;doi=10.1109%2fACCESS.2018.2834473&amp;partnerID=40&amp;md5=97dc0126539fdc0343646295d1fca4da</t>
  </si>
  <si>
    <t>School of Computer Science and Technology, Chongqing University of Posts and Telecommunications, Chongqing, 400065, China; Chongqing Key Laboratory of Computational Intelligence, Chongqing University of Posts and Telecommunications, Chongqing, 400065, China; School of Software Engineering, Chongqing University, Chongqing, 401331, China; College of Computer Science and Technology, Nanjing University of Aeronautics and Astronautics, China; Department of Computer Science, COMSATS Institute of Information Technology, Islamabad, 54700, Pakistan; Department of Software Engineering, College of Computer and Information Sciences, King Saud University, Riyadh, 11362, Saudi Arabia; Institute of Business and Management Sciences, University of Agriculture at Peshawar, Peshawar, Pakistan; Department of Computer Science and Information Technology, University of Sargodha, Lyallpur Campus, Faisalabad, Pakistan</t>
  </si>
  <si>
    <t>Shafiq, M., School of Computer Science and Technology, Chongqing University of Posts and Telecommunications, Chongqing, 400065, China; Zhang, Q., School of Computer Science and Technology, Chongqing University of Posts and Telecommunications, Chongqing, 400065, China, Chongqing Key Laboratory of Computational Intelligence, Chongqing University of Posts and Telecommunications, Chongqing, 400065, China; Akbar, M.A., School of Software Engineering, Chongqing University, Chongqing, 401331, China; Khan, A.A., College of Computer Science and Technology, Nanjing University of Aeronautics and Astronautics, China; Hussain, S., Department of Computer Science, COMSATS Institute of Information Technology, Islamabad, 54700, Pakistan; Fazal-E-Amin, Department of Software Engineering, College of Computer and Information Sciences, King Saud University, Riyadh, 11362, Saudi Arabia; Khan, A., Institute of Business and Management Sciences, University of Agriculture at Peshawar, Peshawar, Pakistan; Soofi, A.A., Department of Computer Science and Information Technology, University of Sargodha, Lyallpur Campus, Faisalabad, Pakistan</t>
  </si>
  <si>
    <t>Zhang, Q.; School of Computer Science and Technology, China; email: zhangqh@cqupt.edu.cn</t>
  </si>
  <si>
    <t>Effects of a digital intervention on the development of algebraic expertise</t>
  </si>
  <si>
    <t>10.1016/j.compedu.2011.08.010</t>
  </si>
  <si>
    <t>35931969900;6506336239;</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</si>
  <si>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 2011 Elsevier Ltd. All rights reserved.</t>
  </si>
  <si>
    <t>Bokhove C., Drijvers P.</t>
  </si>
  <si>
    <t>Computers and Education</t>
  </si>
  <si>
    <t>https://www.scopus.com/inward/record.uri?eid=2-s2.0-80052522498&amp;doi=10.1016%2fj.compedu.2011.08.010&amp;partnerID=40&amp;md5=de85bb739af622dd945f33f5c1a2a166</t>
  </si>
  <si>
    <t>Freudenthal Institute for Science and Mathematics Education, Utrecht University, PO Box 85170, 3508 AD Utrecht, Netherlands</t>
  </si>
  <si>
    <t>Bokhove, C., Freudenthal Institute for Science and Mathematics Education, Utrecht University, PO Box 85170, 3508 AD Utrecht, Netherlands; Drijvers, P., Freudenthal Institute for Science and Mathematics Education, Utrecht University, PO Box 85170, 3508 AD Utrecht, Netherlands</t>
  </si>
  <si>
    <t>Bokhove, C.; Freudenthal Institute for Science and Mathematics Education, PO Box 85170, 3508 AD Utrecht, Netherlands; email: c.bokhove@uu.nl</t>
  </si>
  <si>
    <t>Effects of absence positioning of unknown product ingredients on consumer evaluations</t>
  </si>
  <si>
    <t>10.1108/EJM-06-2017-0389</t>
  </si>
  <si>
    <t>25923495200;57203944801;57197782502;</t>
  </si>
  <si>
    <t>Purpose: This paper aims to investigate the effectiveness of positioning unknown ingredients either with the presence or absence of framing; both are common in marketplace (e.g. Secret® deodorant visibly claims “aluminum chlorohydrate” while Crystal®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 © 2018, Emerald Publishing Limited.</t>
  </si>
  <si>
    <t>Ozcan T., Hattat A.M., Hair M.</t>
  </si>
  <si>
    <t>https://www.scopus.com/inward/record.uri?eid=2-s2.0-85053668115&amp;doi=10.1108%2fEJM-06-2017-0389&amp;partnerID=40&amp;md5=7e8e8401d6a827346fae780bf80e0dd6</t>
  </si>
  <si>
    <t>Crummer Graduate School of Business, Rollins College, Winter Park, FL, United States; University of Rhode Island, Kingston, RI, United States; Southern Illinois University Edwardsville, Edwardsville, IL, United States</t>
  </si>
  <si>
    <t>Ozcan, T., Crummer Graduate School of Business, Rollins College, Winter Park, FL, United States; Hattat, A.M., University of Rhode Island, Kingston, RI, United States; Hair, M., Southern Illinois University Edwardsville, Edwardsville, IL, United States</t>
  </si>
  <si>
    <t>Ozcan, T.; Crummer Graduate School of Business, United States; email: tozcan@rollins.edu</t>
  </si>
  <si>
    <t>Effects of cohesion-based feedback on the collaborations in global software development teams</t>
  </si>
  <si>
    <t>10.4108/icst.collaboratecom.2014.257332</t>
  </si>
  <si>
    <t>56520303500;6701676240;36473618000;</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</si>
  <si>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 © 2014 ICST.</t>
  </si>
  <si>
    <t>Castro-Hernandez A., Swigger K., Ponce-Flores M.P.</t>
  </si>
  <si>
    <t>CollaborateCom 2014 - Proceedings of the 10th IEEE International Conference on Collaborative Computing: Networking, Applications and Worksharing</t>
  </si>
  <si>
    <t>https://www.scopus.com/inward/record.uri?eid=2-s2.0-84923034130&amp;doi=10.4108%2ficst.collaboratecom.2014.257332&amp;partnerID=40&amp;md5=fc036657d672ce26e2db09f01ae24758</t>
  </si>
  <si>
    <t>Computer Science, University of North Texas, United States; Ingeniería en Tecnologías de la Información, Universidad Politécnica de Altamira, Mexico</t>
  </si>
  <si>
    <t>Castro-Hernandez, A., Computer Science, University of North Texas, United States; Swigger, K., Ingeniería en Tecnologías de la Información, Universidad Politécnica de Altamira, Mexico; Ponce-Flores, M.P., Ingeniería en Tecnologías de la Información, Universidad Politécnica de Altamira, Mexico</t>
  </si>
  <si>
    <t>Castro-Hernandez, A.; Computer Science, University of North TexasUnited States</t>
  </si>
  <si>
    <t>Effects of Two Educational Posters on Contraceptive Knowledge and Intentions: A Randomized Controlled Trial</t>
  </si>
  <si>
    <t>10.1097/AOG.0000000000003012</t>
  </si>
  <si>
    <t>57200911824;15725025800;56829550000;36883643800;57203233997;6507577234;</t>
  </si>
  <si>
    <t>OBJECTIVE:To compare the Centers for Disease Control and Prevention's (CDC) contraceptive effectiveness poster with a more patient-centered poster on factors affecting the likelihood of using effective contraceptives.METHODS:The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 and between-group differences were compared for the two randomized groups.RESULTS:From January 26 to February 13, 2018, 2,930 people were screened and 990 randomized. For the primary outcomes, the only significant result was that the patient-centered poster produced a greater improvement in contraceptive knowledge than the CDC poster (P&lt;.001). Relative to baseline, both posters significantly improved contraceptive knowledge (CDC +3.6, patient-centered +6.4 percentage points, P&lt;.001) and a constructed score measuring the effectiveness of the contraceptive that women intended to use in the next year (CDC and patient-centered +3 percentage points, P&lt;.01). This is equivalent to 1-17 of every 100 women who viewed a poster changing their intentions in favor of a more effective contraceptive.CONCLUSION:This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knowledge.CLINICAL TRIAL REGISTRATION:ClinicalTrials.gov, NCT03372369. © 2018 by the American College of Obstetricians and Gynecologists. Published by Wolters Kluwer Health, Inc. All rights reserved.</t>
  </si>
  <si>
    <t>Anderson S., Frerichs L., Kaysin A., Wheeler S.B., Halpern C.T., Lich K.H.</t>
  </si>
  <si>
    <t>Obstetrics and Gynecology</t>
  </si>
  <si>
    <t>https://www.scopus.com/inward/record.uri?eid=2-s2.0-85058910808&amp;doi=10.1097%2fAOG.0000000000003012&amp;partnerID=40&amp;md5=7500d053f6b8dceb8f9aa6d50b20cf89</t>
  </si>
  <si>
    <t>Departments of Health Policy and Management, Family Medicine, and Maternal and Child Health, University of North Carolina at Chapel Hill, 119 South Peak Drive, Chapel Hill, NC  27510, United States</t>
  </si>
  <si>
    <t>Anderson, S., Departments of Health Policy and Management, Family Medicine, and Maternal and Child Health, University of North Carolina at Chapel Hill, 119 South Peak Drive, Chapel Hill, NC  27510, United States; Frerichs, L., Departments of Health Policy and Management, Family Medicine, and Maternal and Child Health, University of North Carolina at Chapel Hill, 119 South Peak Drive, Chapel Hill, NC  27510, United States; Kaysin, A., Departments of Health Policy and Management, Family Medicine, and Maternal and Child Health, University of North Carolina at Chapel Hill, 119 South Peak Drive, Chapel Hill, NC  27510, United States; Wheeler, S.B., Departments of Health Policy and Management, Family Medicine, and Maternal and Child Health, University of North Carolina at Chapel Hill, 119 South Peak Drive, Chapel Hill, NC  27510, United States; Halpern, C.T., Departments of Health Policy and Management, Family Medicine, and Maternal and Child Health, University of North Carolina at Chapel Hill, 119 South Peak Drive, Chapel Hill, NC  27510, United States; Lich, K.H., Departments of Health Policy and Management, Family Medicine, and Maternal and Child Health, University of North Carolina at Chapel Hill, 119 South Peak Drive, Chapel Hill, NC  27510, United States</t>
  </si>
  <si>
    <t>Anderson, S.; Departments of Health Policy and Management, 119 South Peak Drive, United States; email: seri.link.a@gmail.com</t>
  </si>
  <si>
    <t>Effects of vacation rental websites on the concentration of tourists—potential environmental impacts. An application to the Balearic Islands in Spain</t>
  </si>
  <si>
    <t>10.3390/ijerph15020347</t>
  </si>
  <si>
    <t>57220891986;57216141189;57200721093;55258985500;</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</si>
  <si>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 © 2018 by the authors. Licensee MDPI, Basel, Switzerland.</t>
  </si>
  <si>
    <t>Martín J.M.M., Martín J.A.R., Mejía K.A.Z., Fernández J.A.S.</t>
  </si>
  <si>
    <t>https://www.scopus.com/inward/record.uri?eid=2-s2.0-85042305673&amp;doi=10.3390%2fijerph15020347&amp;partnerID=40&amp;md5=1e7c29098e590103f4932ac9b246a139</t>
  </si>
  <si>
    <t>Department of Business, Faculty of Business and Communication, International University of La Rioja, Avenida de la Paz, 137, Logroño, 26004, Spain; Department of Applied Economics, Faculty of Economics and Business, University of Granada, Campus de Cartuja, Granada, 18071, Spain; Department of Fundamentals of Knowledge, University of Guadalajara, Centro Universitario del Norte, Carretera Federal 23, Santiago Tlaltelolco, Colotlán, 46200, Mexico; Department of Spanish and International Economics, Faculty of Economics and Business, University of Granada, Campus de Cartuja, Granada, 18071, Spain</t>
  </si>
  <si>
    <t>Martín, J.M.M., Department of Business, Faculty of Business and Communication, International University of La Rioja, Avenida de la Paz, 137, Logroño, 26004, Spain; Martín, J.A.R., Department of Applied Economics, Faculty of Economics and Business, University of Granada, Campus de Cartuja, Granada, 18071, Spain; Mejía, K.A.Z., Department of Fundamentals of Knowledge, University of Guadalajara, Centro Universitario del Norte, Carretera Federal 23, Santiago Tlaltelolco, Colotlán, 46200, Mexico; Fernández, J.A.S., Department of Spanish and International Economics, Faculty of Economics and Business, University of Granada, Campus de Cartuja, Granada, 18071, Spain</t>
  </si>
  <si>
    <t>Martín, J.M.M.; Department of Business, Avenida de la Paz, 137, Spain; email: josemaria.martin@unir.net</t>
  </si>
  <si>
    <t>Efficiently scaling up crowdsourced video annotation: A set of best practices for high quality, economical video labeling</t>
  </si>
  <si>
    <t>10.1007/s11263-012-0564-1</t>
  </si>
  <si>
    <t>36618122700;35262653500;6506835622;</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</si>
  <si>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 © 2012 Springer Science+Business Media, LLC.</t>
  </si>
  <si>
    <t>Vondrick C., Patterson D., Ramanan D.</t>
  </si>
  <si>
    <t>https://www.scopus.com/inward/record.uri?eid=2-s2.0-84873165828&amp;doi=10.1007%2fs11263-012-0564-1&amp;partnerID=40&amp;md5=d752f90ba5f8477b99bdc588acb79f74</t>
  </si>
  <si>
    <t>Department of Computer Science, UC Irvine, Irvine, United States; Computer Science and Artificial Intelligence Laboratory, MIT, Cambridge, United States; Department of Informatics, UC Irvine, Irvine, United States</t>
  </si>
  <si>
    <t>Vondrick, C., Department of Computer Science, UC Irvine, Irvine, United States, Computer Science and Artificial Intelligence Laboratory, MIT, Cambridge, United States; Patterson, D., Department of Informatics, UC Irvine, Irvine, United States; Ramanan, D., Department of Computer Science, UC Irvine, Irvine, United States</t>
  </si>
  <si>
    <t>Vondrick, C.; Department of Computer Science, , Irvine, United States; email: vondrick@mit.edu</t>
  </si>
  <si>
    <t>Elevated behavioral economic demand for alcohol in co-users of alcohol and cannabis</t>
  </si>
  <si>
    <t>10.15288/jsad.2018.79.929</t>
  </si>
  <si>
    <t>57194712511;57204809150;57191633602;14627885100;6508096081;55368969400;57220345635;36454491400;</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</si>
  <si>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an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 © 2018, Alcohol Research Documentation Inc. All rights reserved.</t>
  </si>
  <si>
    <t>Morris V., Patel H., Vedelago L., Reed D.D., Metrik J., Aston E., Mackillop J., Amlung M.</t>
  </si>
  <si>
    <t>Journal of Studies on Alcohol and Drugs</t>
  </si>
  <si>
    <t>https://www.scopus.com/inward/record.uri?eid=2-s2.0-85058899723&amp;doi=10.15288%2fjsad.2018.79.929&amp;partnerID=40&amp;md5=0cbc59dc11091eb44bd3710034b466de</t>
  </si>
  <si>
    <t>Peter Boris Centre for Addictions Research, McMaster University &amp; St. Joseph’s Healthcare Hamilton, Hamilton, ON, Canada; Department of Applied Behavioral Science, Kansas University, Lawrence, KS, United States; Center for Alcohol and Addiction Studies, Brown University, Providence, RI, United States; Providence Veterans Affairs Medical Center, Providence, RI, United States; Michael G. DeGroote Centre for Medicinal Cannabis Research, McMaster University, Hamilton, ON, Canada; Homewood Research Institute, Guelph, ON, Canada</t>
  </si>
  <si>
    <t>Morris, V., Peter Boris Centre for Addictions Research, McMaster University &amp; St. Joseph’s Healthcare Hamilton, Hamilton, ON, Canada; Patel, H., Peter Boris Centre for Addictions Research, McMaster University &amp; St. Joseph’s Healthcare Hamilton, Hamilton, ON, Canada; Vedelago, L., Peter Boris Centre for Addictions Research, McMaster University &amp; St. Joseph’s Healthcare Hamilton, Hamilton, ON, Canada; Reed, D.D., Department of Applied Behavioral Science, Kansas University, Lawrence, KS, United States; Metrik, J., Center for Alcohol and Addiction Studies, Brown University, Providence, RI, United States, Providence Veterans Affairs Medical Center, Providence, RI, United States; Aston, E., Center for Alcohol and Addiction Studies, Brown University, Providence, RI, United States; Mackillop, J., Peter Boris Centre for Addictions Research, McMaster University &amp; St. Joseph’s Healthcare Hamilton, Hamilton, ON, Canada, Michael G. DeGroote Centre for Medicinal Cannabis Research, McMaster University, Hamilton, ON, Canada, Homewood Research Institute, Guelph, ON, Canada; Amlung, M., Peter Boris Centre for Addictions Research, McMaster University &amp; St. Joseph’s Healthcare Hamilton, Hamilton, ON, Canada, Michael G. DeGroote Centre for Medicinal Cannabis Research, McMaster University, Hamilton, ON, Canada</t>
  </si>
  <si>
    <t>Amlung, M.West 5th Street, Canada; email: amlungm@mcmaster.ca</t>
  </si>
  <si>
    <t>Elevated Cannabis Demand Is Associated With Driving After Cannabis Use in a Crowd-Sourced Sample of Adults</t>
  </si>
  <si>
    <t>10.1037/pha0000240</t>
  </si>
  <si>
    <t>57204809150;36454491400;</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</si>
  <si>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&lt; 1.36, ps &gt; .47). These results provide initial evidence that elevated cannabis demand may be a distal risk factor for DACU, but future research is needed to clarify the specific relationship between cannabis demand and DACU. © 2018 American Psychological Association.</t>
  </si>
  <si>
    <t>Patel H., Amlung M.</t>
  </si>
  <si>
    <t>https://www.scopus.com/inward/record.uri?eid=2-s2.0-85057234742&amp;doi=10.1037%2fpha0000240&amp;partnerID=40&amp;md5=fac2ba873f178fbbfaf38d2b4fa97864</t>
  </si>
  <si>
    <t>Peter Boris Centre for Addictions Research, McMaster University, St. Joseph's Healthcare Hamilton, Hamilton, ON, Canada; Department of Psychiatry and Behavioural Neurosciences, St. Joseph's Healthcare Hamilton, Michael G. DeGroote Centre for Medicinal Cannabis Research, McMaster University, 100 West 5th Street, Hamilton, ON  L8N 3K7, Canada</t>
  </si>
  <si>
    <t>Patel, H., Peter Boris Centre for Addictions Research, McMaster University, St. Joseph's Healthcare Hamilton, Hamilton, ON, Canada; Amlung, M., Department of Psychiatry and Behavioural Neurosciences, St. Joseph's Healthcare Hamilton, Michael G. DeGroote Centre for Medicinal Cannabis Research, McMaster University, 100 West 5th Street, Hamilton, ON  L8N 3K7, Canada</t>
  </si>
  <si>
    <t>Amlung, M.; Department of Psychiatry and Behavioural Neurosciences, 100 West 5th Street, Canada; email: amlungm@mcmaster.ca</t>
  </si>
  <si>
    <t>Eliciting and receiving online support: Using computer-aided content analysis to examine the dynamics of online social support</t>
  </si>
  <si>
    <t>10.2196/jmir.3558</t>
  </si>
  <si>
    <t>35090601800;7005796597;7403579715;</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</si>
  <si>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 ©Yi-Chia Wang, Robert E Kraut, John M Levine.</t>
  </si>
  <si>
    <t>Wang Y.-C., Kraut R.E., Levine J.M.</t>
  </si>
  <si>
    <t>https://www.scopus.com/inward/record.uri?eid=2-s2.0-84929240651&amp;doi=10.2196%2fjmir.3558&amp;partnerID=40&amp;md5=f214ad48760b4600943df9519c80d6a0</t>
  </si>
  <si>
    <t>Language Technologies Institute, School of Computer Science, Carnegie Mellon University, 5000 Forbes Ave. Gates Hillman Complex 5404, Pittsburgh, PA  15213, United States; Human-Computer Interaction Institute, School of Computer Science, Carnegie Mellon University, Pittsburgh, PA, United States; Department of Psychology, University of Pittsburgh, Pittsburgh, PA, United States</t>
  </si>
  <si>
    <t>Wang, Y.-C., Language Technologies Institute, School of Computer Science, Carnegie Mellon University, 5000 Forbes Ave. Gates Hillman Complex 5404, Pittsburgh, PA  15213, United States; Kraut, R.E., Human-Computer Interaction Institute, School of Computer Science, Carnegie Mellon University, Pittsburgh, PA, United States; Levine, J.M., Department of Psychology, University of Pittsburgh, Pittsburgh, PA, United States</t>
  </si>
  <si>
    <t>Wang, Y.-C.; Language Technologies Institute, 5000 Forbes Ave. Gates Hillman Complex 5404, United States; email: yichiaw@cs.cmu.edu</t>
  </si>
  <si>
    <t>Embedded Fixers, Pragmatic Experimenters, Dedicated Activists: Evaluating Third-Party Labour Market Actors’ Initiatives for Skilled Project-Based Workers in the Gig Economy</t>
  </si>
  <si>
    <t>10.1111/bjir.12563</t>
  </si>
  <si>
    <t>7003425229;6508002328;</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</si>
  <si>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 © 2020 The Authors. British Journal of Industrial Relations published by John Wiley &amp; Sons Ltd.</t>
  </si>
  <si>
    <t>Koene B.A.S., Pichault F.</t>
  </si>
  <si>
    <t>British Journal of Industrial Relations</t>
  </si>
  <si>
    <t>https://www.scopus.com/inward/record.uri?eid=2-s2.0-85088260108&amp;doi=10.1111%2fbjir.12563&amp;partnerID=40&amp;md5=024dd3abb1e620abfb084d600cdd49dd</t>
  </si>
  <si>
    <t>Bas A. S. Koene is at RSM Erasmus University Rotterdam, United States; François Pichault is at HEC-Liège University of Liège, France</t>
  </si>
  <si>
    <t>Koene, B.A.S., Bas A. S. Koene is at RSM Erasmus University Rotterdam, United States; Pichault, F., François Pichault is at HEC-Liège University of Liège, France</t>
  </si>
  <si>
    <t>Koene, B.A.S.; Bas A. S. Koene is at RSM Erasmus University RotterdamUnited States; email: bkoene@rsm.nl</t>
  </si>
  <si>
    <t>Emotional analysis of music: A comparison of methods</t>
  </si>
  <si>
    <t>10.1145/2647868.2655019</t>
  </si>
  <si>
    <t>57188866370;56410808700;55218558400;</t>
  </si>
  <si>
    <t>Music as a form of art is intentionally composed to be emotionally expressive. The emotional features of music are invaluable for music indexing and recommendation. In this paper we present a cross-comparison of automatic emotional analysis of music. We created a public dataset of Creative Commons licensed songs. Using valence and arousal model, the songs were annotated both in terms of the emotions that were expressed by the whole excerpt and dynamically with 1 Hz temporal resolution. Each song received 10 annotations on Amazon Mechanical Turk and the annotations were averaged to form a ground truth. Four different systems from three teams and the organizers were employed to tackle this problem in an open challenge. We compare their performances and discuss the best practices. While the effect of a larger feature set was not very apparent in the static emotion estimation, the combination of a comprehensive feature set and a recurrent neural network that models temporal dependencies has largely outperformed the other proposed methods for dynamic music emotion estimation.</t>
  </si>
  <si>
    <t>Soleymani M., Aljanaki A., Yang Y.-H.</t>
  </si>
  <si>
    <t>MM 2014 - Proceedings of the 2014 ACM Conference on Multimedia</t>
  </si>
  <si>
    <t>https://www.scopus.com/inward/record.uri?eid=2-s2.0-84913582663&amp;doi=10.1145%2f2647868.2655019&amp;partnerID=40&amp;md5=69492432af5b8a9bba40c1880dadbc5b</t>
  </si>
  <si>
    <t>University of Geneva Carouge (GE), Switzerland; Utrecht University, Utrecht, Netherlands; Academia Sinica, Taipei, Taiwan</t>
  </si>
  <si>
    <t>Soleymani, M., University of Geneva Carouge (GE), Switzerland; Aljanaki, A., Utrecht University, Utrecht, Netherlands; Yang, Y.-H., Academia Sinica, Taipei, Taiwan</t>
  </si>
  <si>
    <t>Empirical evaluation of selected best practices in implementation of software process improvement</t>
  </si>
  <si>
    <t>10.1016/j.infsof.2009.05.002</t>
  </si>
  <si>
    <t>57202354149;</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</si>
  <si>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 2009 Elsevier B.V. All rights reserved.</t>
  </si>
  <si>
    <t>Galinac T.</t>
  </si>
  <si>
    <t>https://www.scopus.com/inward/record.uri?eid=2-s2.0-67649210203&amp;doi=10.1016%2fj.infsof.2009.05.002&amp;partnerID=40&amp;md5=81583b0f55a92e45fe62aed66541a2a6</t>
  </si>
  <si>
    <t>Faculty of Engineering, University of Rijeka, Vukovarska 58, 51000 Rijeka, Croatia</t>
  </si>
  <si>
    <t>Galinac, T., Faculty of Engineering, University of Rijeka, Vukovarska 58, 51000 Rijeka, Croatia</t>
  </si>
  <si>
    <t>Galinac, T.; Faculty of Engineering, Vukovarska 58, 51000 Rijeka, Croatia; email: tihana.galinac@riteh.hr</t>
  </si>
  <si>
    <t>Employment arrangement, job stress, and health-related quality of life</t>
  </si>
  <si>
    <t>10.1016/j.ssci.2017.05.003</t>
  </si>
  <si>
    <t>8248218600;57226835049;6507452085;</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</si>
  <si>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 2017</t>
  </si>
  <si>
    <t>Ray T.K., Kenigsberg T.A., Pana-Cryan R.</t>
  </si>
  <si>
    <t>https://www.scopus.com/inward/record.uri?eid=2-s2.0-85019711836&amp;doi=10.1016%2fj.ssci.2017.05.003&amp;partnerID=40&amp;md5=cae0b16a9c1888de606e8d843dfa5d45</t>
  </si>
  <si>
    <t>Economic Research and Support Office (ERSO), National Institute for Occupation Safety and Health (NIOSH), Centers for Disease Control and Prevention (CDC), United States; Centers for Disease and Control (CDC) and The Oak Ridge Institute for Science and Education – ORISE, United States</t>
  </si>
  <si>
    <t>Ray, T.K., Economic Research and Support Office (ERSO), National Institute for Occupation Safety and Health (NIOSH), Centers for Disease Control and Prevention (CDC), United States; Kenigsberg, T.A., Centers for Disease and Control (CDC) and The Oak Ridge Institute for Science and Education – ORISE, United States; Pana-Cryan, R., Economic Research and Support Office (ERSO), National Institute for Occupation Safety and Health (NIOSH), Centers for Disease Control and Prevention (CDC), United States</t>
  </si>
  <si>
    <t>Ray, T.K.; ERSO, United States; email: cvt1@cdc.gov</t>
  </si>
  <si>
    <t>Enabling GSD task allocation via cloud-based software processes</t>
  </si>
  <si>
    <t>10.1007/978-3-319-61388-8_11</t>
  </si>
  <si>
    <t>57189374744;23396891300;7007118808;</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</si>
  <si>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 © Springer International Publishing AG 2018.</t>
  </si>
  <si>
    <t>Alajrami S., Gallina B., Romanovsky A.</t>
  </si>
  <si>
    <t>https://www.scopus.com/inward/record.uri?eid=2-s2.0-85026325781&amp;doi=10.1007%2f978-3-319-61388-8_11&amp;partnerID=40&amp;md5=21c8a391703883175894ace252f2f713</t>
  </si>
  <si>
    <t>Newcastle University, Newcastle upon Tyne, United Kingdom; Mälaradalen Univeristy, Västerås, Sweden</t>
  </si>
  <si>
    <t>Alajrami, S., Newcastle University, Newcastle upon Tyne, United Kingdom; Gallina, B., Mälaradalen Univeristy, Västerås, Sweden; Romanovsky, A., Newcastle University, Newcastle upon Tyne, United Kingdom</t>
  </si>
  <si>
    <t>Alajrami, S.; Newcastle UniversityUnited Kingdom; email: s.h.alajrami@ncl.ac.uk</t>
  </si>
  <si>
    <t>Endorsement of Feminist Beliefs, Openness, and Mindful Acceptance as Predictors of Decreased Transphobia</t>
  </si>
  <si>
    <t>10.1080/00918369.2019.1651109</t>
  </si>
  <si>
    <t>35938960000;57210555301;</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</si>
  <si>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 © 2019 Taylor &amp; Francis Group, LLC.</t>
  </si>
  <si>
    <t>Platt L.F., Szoka S.L.</t>
  </si>
  <si>
    <t>Journal of Homosexuality</t>
  </si>
  <si>
    <t>https://www.scopus.com/inward/record.uri?eid=2-s2.0-85070901732&amp;doi=10.1080%2f00918369.2019.1651109&amp;partnerID=40&amp;md5=1b61d78c9a909fe38e42a307026e036c</t>
  </si>
  <si>
    <t>Department of Counseling, Rehabilitation Counseling, and Counseling Psychology, West Virginia University, Morgantown, WV, United States</t>
  </si>
  <si>
    <t>Platt, L.F., Department of Counseling, Rehabilitation Counseling, and Counseling Psychology, West Virginia University, Morgantown, WV, United States; Szoka, S.L., Department of Counseling, Rehabilitation Counseling, and Counseling Psychology, West Virginia University, Morgantown, WV, United States</t>
  </si>
  <si>
    <t>Platt, L.F.; Department of Counseling, 504-E Allen Hall, PO Box 6122, United States; email: Lisa.Platt@mail.wvu.edu</t>
  </si>
  <si>
    <t>Enhancing the diagnosis of maxillary transverse discrepancy through 3-D technology and surface-tosurface superimposition. description of the digital workflow with a documented case report</t>
  </si>
  <si>
    <t>10.23804/ejpd.2020.21.03.11</t>
  </si>
  <si>
    <t>57196244134;6602341570;57214914029;57218834038;57204147279;57193009530;</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</si>
  <si>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 © Ariesdue Srl.</t>
  </si>
  <si>
    <t>Lo Giudice A., Nucera R., Ronsivalle V., Di Grazia C., Rugeri M., Quinzi V.</t>
  </si>
  <si>
    <t>European Journal of Paediatric Dentistry</t>
  </si>
  <si>
    <t>https://www.scopus.com/inward/record.uri?eid=2-s2.0-85087412443&amp;doi=10.23804%2fejpd.2020.21.03.11&amp;partnerID=40&amp;md5=6a121a9cb94f7e1bc6f524e79ed06335</t>
  </si>
  <si>
    <t>Department of Orthodontics, School of Dentistry, University of Catania, Policlinico Universitario 'Vittorio Emanuele', Catania, Italy; Department of Biomedical and Dental Sciences and Morphofunctional Imaging, Section of Orthodontics, University of Messina, Policlinico Universitario 'G. Martino,', Messina, Italy; Post-Graduate School of Orthodontics, Department of Life, Health and Environmental Sciences, University of L'Aquila, L'Aquila, Italy</t>
  </si>
  <si>
    <t>Lo Giudice, A., Department of Orthodontics, School of Dentistry, University of Catania, Policlinico Universitario 'Vittorio Emanuele', Catania, Italy; Nucera, R., Department of Biomedical and Dental Sciences and Morphofunctional Imaging, Section of Orthodontics, University of Messina, Policlinico Universitario 'G. Martino,', Messina, Italy; Ronsivalle, V., Department of Orthodontics, School of Dentistry, University of Catania, Policlinico Universitario 'Vittorio Emanuele', Catania, Italy; Di Grazia, C., Department of Orthodontics, School of Dentistry, University of Catania, Policlinico Universitario 'Vittorio Emanuele', Catania, Italy; Rugeri, M., Department of Orthodontics, School of Dentistry, University of Catania, Policlinico Universitario 'Vittorio Emanuele', Catania, Italy; Quinzi, V., Post-Graduate School of Orthodontics, Department of Life, Health and Environmental Sciences, University of L'Aquila, L'Aquila, Italy</t>
  </si>
  <si>
    <t>Lo Giudice, A.; Department of Orthodontics, Italy; email: nino.logiudice@gmail.com</t>
  </si>
  <si>
    <t>Entropy rate estimation for english via a large cognitive experiment using Mechanical Turk</t>
  </si>
  <si>
    <t>10.3390/e21121201</t>
  </si>
  <si>
    <t>57214804815;57200133037;6603209617;</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</si>
  <si>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 = 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iffewer predictions are used, the resulting h value may be underestimated. Our final entropy estimate was h ≈ 1.22 bits per character. © 2019 by the authors.</t>
  </si>
  <si>
    <t>Ren G., Takahashi S., Tanaka-Ishii K.</t>
  </si>
  <si>
    <t>Entropy</t>
  </si>
  <si>
    <t>https://www.scopus.com/inward/record.uri?eid=2-s2.0-85079149227&amp;doi=10.3390%2fe21121201&amp;partnerID=40&amp;md5=07edabb83e35e7c0e80cdb0d98a824e0</t>
  </si>
  <si>
    <t>Sorbonne Université, École Polytechnique Universitaire, Paris, 75005, France; Graduate School of Engineering, The University of Tokyo, Tokyo, 113-8654, Japan; Research Center for Advanced Science and Technology, The University of Tokyo, Tokyo, 153-8904, Japan</t>
  </si>
  <si>
    <t>Ren, G., Sorbonne Université, École Polytechnique Universitaire, Paris, 75005, France; Takahashi, S., Graduate School of Engineering, The University of Tokyo, Tokyo, 113-8654, Japan; Tanaka-Ishii, K., Research Center for Advanced Science and Technology, The University of Tokyo, Tokyo, 153-8904, Japan</t>
  </si>
  <si>
    <t>Tanaka-Ishii, K.; Research Center for Advanced Science and Technology, Japan; email: kumiko@cl.rcast.u-tokyo.ac.jp</t>
  </si>
  <si>
    <t>Environmental risk perception from visual cues: The psychophysics of tornado risk perception</t>
  </si>
  <si>
    <t>10.1088/1748-9326/10/12/124009</t>
  </si>
  <si>
    <t>56150608700;7004721990;55711224900;26324778900;</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</si>
  <si>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 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 © 2015 IOP Publishing Ltd.</t>
  </si>
  <si>
    <t>Dewitt B., Fischhoff B., Davis A., Broomell S.B.</t>
  </si>
  <si>
    <t>Environmental Research Letters</t>
  </si>
  <si>
    <t>https://www.scopus.com/inward/record.uri?eid=2-s2.0-84952893342&amp;doi=10.1088%2f1748-9326%2f10%2f12%2f124009&amp;partnerID=40&amp;md5=1636d2efc9b8867ced65787333aa7218</t>
  </si>
  <si>
    <t>Department of Engineering and Public Policy, Carnegie Mellon University, United States; Department of Social and Decision Sciences, Carnegie Mellon University, United States</t>
  </si>
  <si>
    <t>Dewitt, B., Department of Engineering and Public Policy, Carnegie Mellon University, United States; Fischhoff, B., Department of Engineering and Public Policy, Carnegie Mellon University, United States, Department of Social and Decision Sciences, Carnegie Mellon University, United States; Davis, A., Department of Engineering and Public Policy, Carnegie Mellon University, United States; Broomell, S.B., Department of Social and Decision Sciences, Carnegie Mellon University, United States</t>
  </si>
  <si>
    <t>Dewitt, B.; Department of Engineering and Public Policy, United States; email: barrydewitt@cmu.edu</t>
  </si>
  <si>
    <t>Error Rates, Likelihood Ratios, and Jury Evaluation of Forensic Evidence</t>
  </si>
  <si>
    <t>10.1111/1556-4029.14323</t>
  </si>
  <si>
    <t>15063972400;57191416414;57190071781;</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</si>
  <si>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 © 2020 American Academy of Forensic Sciences</t>
  </si>
  <si>
    <t>Garrett B.L., Crozier W.E., Grady R.</t>
  </si>
  <si>
    <t>Journal of Forensic Sciences</t>
  </si>
  <si>
    <t>https://www.scopus.com/inward/record.uri?eid=2-s2.0-85083777674&amp;doi=10.1111%2f1556-4029.14323&amp;partnerID=40&amp;md5=c5f3f883a0b6ade4e65ae5c5b79dcbea</t>
  </si>
  <si>
    <t>School of Law, Duke University, 210 Science Drive, Durham, NC, United States; Department of Psychological Science and Department of Criminology, Law &amp; Society, University of California-Irvine, 2340 Social Ecology II, Irvine, CA  92617, United States</t>
  </si>
  <si>
    <t>Garrett, B.L., School of Law, Duke University, 210 Science Drive, Durham, NC, United States; Crozier, W.E., School of Law, Duke University, 210 Science Drive, Durham, NC, United States; Grady, R., Department of Psychological Science and Department of Criminology, Law &amp; Society, University of California-Irvine, 2340 Social Ecology II, Irvine, CA  92617, United States</t>
  </si>
  <si>
    <t>Garrett, B.L.; School of Law, 210 Science Drive, United States; email: bgarrett@law.duke.edu</t>
  </si>
  <si>
    <t>Establishing a global software development course: A cultural perspective</t>
  </si>
  <si>
    <t>10.1109/FIE.2013.6685126</t>
  </si>
  <si>
    <t>55847415000;55090056600;</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</si>
  <si>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 © 2013 IEEE.</t>
  </si>
  <si>
    <t>Zeid A., El-Bahey R.</t>
  </si>
  <si>
    <t>Proceedings - Frontiers in Education Conference, FIE</t>
  </si>
  <si>
    <t>https://www.scopus.com/inward/record.uri?eid=2-s2.0-84893229564&amp;doi=10.1109%2fFIE.2013.6685126&amp;partnerID=40&amp;md5=a9bdc885ea7fd02a05084cbf8cb3da51</t>
  </si>
  <si>
    <t>American University of Kuwait, United States</t>
  </si>
  <si>
    <t>Zeid, A., American University of Kuwait, United States; El-Bahey, R., American University of Kuwait, United States</t>
  </si>
  <si>
    <t>American University of KuwaitUnited States</t>
  </si>
  <si>
    <t>Establishing a globally distributed software development system in academic settings: An ergonomic perspective</t>
  </si>
  <si>
    <t>10.1109/IPCC.2013.6623936</t>
  </si>
  <si>
    <t>55090056600;55847415000;</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</si>
  <si>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 © 2013 IEEE.</t>
  </si>
  <si>
    <t>El-Bahey R., Zeid A.</t>
  </si>
  <si>
    <t>https://www.scopus.com/inward/record.uri?eid=2-s2.0-84889000923&amp;doi=10.1109%2fIPCC.2013.6623936&amp;partnerID=40&amp;md5=64a54cd2a3eb3fbd659c2c611110c799</t>
  </si>
  <si>
    <t>El-Bahey, R., American University of Kuwait, United States; Zeid, A., American University of Kuwait, United States</t>
  </si>
  <si>
    <t>Evaluating Alignment Approaches in Superimposed Time-Series and Temporal Event-Sequence Visualizations</t>
  </si>
  <si>
    <t>10.1109/VISUAL.2019.8933584</t>
  </si>
  <si>
    <t>57202889533;57203821877;57215279917;6701576975;25651423500;</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</si>
  <si>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 - 71% vs. 18% for NoAlign and SingleAlign. For understanding the duration between two sentinel events, NoAlign was the clear winner: correctness - 88% vs. 36% for DualStretch - completion time - 55 seconds vs. 101 seconds for DualLeft - and error - 1.5% vs. 8.4% for DualStretch. For understanding precursor and aftereffect events, there was no significant difference among approaches. A free copy of this paper, the evaluation stimuli and data, and source code are available at osf.io/78fs5 © 2019 IEEE.</t>
  </si>
  <si>
    <t>Zhang Y., Bartolomeo S.D., Sheng F., Jimison H., Dunne C.</t>
  </si>
  <si>
    <t>https://www.scopus.com/inward/record.uri?eid=2-s2.0-85078023994&amp;doi=10.1109%2fVISUAL.2019.8933584&amp;partnerID=40&amp;md5=ad65ff84aa8450048f393aad11e4484f</t>
  </si>
  <si>
    <t>Northeastern University, United States</t>
  </si>
  <si>
    <t>Zhang, Y., Northeastern University, United States; Bartolomeo, S.D., Northeastern University, United States; Sheng, F., Northeastern University, United States; Jimison, H., Northeastern University, United States; Dunne, C., Northeastern University, United States</t>
  </si>
  <si>
    <t>Zhang, Y.; Northeastern UniversityUnited States; email: zhang.yixua@husky.neu.edu</t>
  </si>
  <si>
    <t>Evaluating and improving the usability of Mechanical Turk for low-income workers in India</t>
  </si>
  <si>
    <t>10.1145/1926180.1926195</t>
  </si>
  <si>
    <t>37011269200;24468918500;57207171203;7005832437;</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</si>
  <si>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 Copyright 2010 ACM.</t>
  </si>
  <si>
    <t>Khanna S., Ratan A., Davis J., Thies W.</t>
  </si>
  <si>
    <t>Proceedings of the 1st ACM Symposium on Computing for Development, DEV 2010</t>
  </si>
  <si>
    <t>https://www.scopus.com/inward/record.uri?eid=2-s2.0-79952341648&amp;doi=10.1145%2f1926180.1926195&amp;partnerID=40&amp;md5=e659f6af65d3dd7e1054f091088de247</t>
  </si>
  <si>
    <t>IIT Bombay, India; Microsoft Research, India; UC Santa Cruz, India</t>
  </si>
  <si>
    <t>Khanna, S., IIT Bombay, India; Ratan, A., Microsoft Research, India; Davis, J., UC Santa Cruz, India; Thies, W., Microsoft Research, India</t>
  </si>
  <si>
    <t>Khanna, S.; IIT BombayIndia; email: shashank.khanna@gmail.com</t>
  </si>
  <si>
    <t>Evaluating and predicting answer quality in community QA</t>
  </si>
  <si>
    <t>10.1145/1835449.1835518</t>
  </si>
  <si>
    <t>55684215000;7004857316;</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</si>
  <si>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a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 © 2010 ACM.</t>
  </si>
  <si>
    <t>Shah C., Pomerantz J.</t>
  </si>
  <si>
    <t>https://www.scopus.com/inward/record.uri?eid=2-s2.0-77956051072&amp;doi=10.1145%2f1835449.1835518&amp;partnerID=40&amp;md5=f70c4bb8f6970c8377835d42fdc7c2d9</t>
  </si>
  <si>
    <t>School of Communication and Information (SC and I) Rutgers, State University of New Jersey, 4 Huntington St, New Brunswick, NJ 08901, United States; School of Information and Library Science (SILS), University of North Carolina at Chapel Hill, 100 Manning Dr, Chapel Hill, NC 27599, United States</t>
  </si>
  <si>
    <t>Shah, C., School of Communication and Information (SC and I) Rutgers, State University of New Jersey, 4 Huntington St, New Brunswick, NJ 08901, United States; Pomerantz, J., School of Information and Library Science (SILS), University of North Carolina at Chapel Hill, 100 Manning Dr, Chapel Hill, NC 27599, United States</t>
  </si>
  <si>
    <t>Shah, C.; School of Communication and Information (SC and I) Rutgers, 4 Huntington St, New Brunswick, NJ 08901, United States; email: chirags@rutgers.edu</t>
  </si>
  <si>
    <t>Evaluating architectural design decision paradigms in global software development</t>
  </si>
  <si>
    <t>10.1142/S0218194015400380</t>
  </si>
  <si>
    <t>48361123700;7202212797;42162481300;</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</si>
  <si>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 2015 World Scientific Publishing Company.</t>
  </si>
  <si>
    <t>Che M., Perry D.E., Yang G.</t>
  </si>
  <si>
    <t>International Journal of Software Engineering and Knowledge Engineering</t>
  </si>
  <si>
    <t>https://www.scopus.com/inward/record.uri?eid=2-s2.0-84962582504&amp;doi=10.1142%2fS0218194015400380&amp;partnerID=40&amp;md5=b0f35c851896f3ef248354c421a5c45f</t>
  </si>
  <si>
    <t>Department of Electrical and Computer Engineering, University of Texas at Austin, Austin, TX  78712, United States; Department of Computer Science, Texas State University, San Marcos, TX  78666, United States</t>
  </si>
  <si>
    <t>Che, M., Department of Electrical and Computer Engineering, University of Texas at Austin, Austin, TX  78712, United States; Perry, D.E., Department of Electrical and Computer Engineering, University of Texas at Austin, Austin, TX  78712, United States; Yang, G., Department of Computer Science, Texas State University, San Marcos, TX  78666, United States</t>
  </si>
  <si>
    <t>Evaluating factors that challenge global software development</t>
  </si>
  <si>
    <t>Usually, some aspects of any Global Software Development (GSD) project strongly impact the requirements elicitation activities because of the importance of communication to reach a common understanding about the system under construction. For example, cultural diversity and the impossibility of running face-to-face meetings dominate the scenario where communication must be done. In this paper, we analyze aspects that might be a source of communication problems and suggest strategies to reduce misunderstandings among stakeholders, aiming to help achieve more committed requirements.</t>
  </si>
  <si>
    <t>ICSOFT 2008 - Proceedings of the 3rd International Conference on Software and Data Technologies</t>
  </si>
  <si>
    <t>https://www.scopus.com/inward/record.uri?eid=2-s2.0-57749120428&amp;partnerID=40&amp;md5=9304532aa56f7b4eaefb2ae3d53f9131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</si>
  <si>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</si>
  <si>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</si>
  <si>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 Buenos Aires, 1400. 8300 Neuquén, Argentina; email: garanda@uncoma.edu.ar</t>
  </si>
  <si>
    <t>7003393897;35452740600;6602985950;13907995200;</t>
  </si>
  <si>
    <t>Evaluation and user preference study on spatial diversity</t>
  </si>
  <si>
    <t>10.1007/978-3-642-12275-0_18</t>
  </si>
  <si>
    <t>57195524046;7202315611;</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</si>
  <si>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on spatially diversified results. © 2010 Springer-Verlag Berlin Heidelberg.</t>
  </si>
  <si>
    <t>Tang J., Sanderson M.</t>
  </si>
  <si>
    <t>https://www.scopus.com/inward/record.uri?eid=2-s2.0-77952310513&amp;doi=10.1007%2f978-3-642-12275-0_18&amp;partnerID=40&amp;md5=4b8732eb889fab8064bd489303524725</t>
  </si>
  <si>
    <t>Department of Information Studies, University of Sheffield, United Kingdom</t>
  </si>
  <si>
    <t>Tang, J., Department of Information Studies, University of Sheffield, United Kingdom; Sanderson, M., Department of Information Studies, University of Sheffield, United Kingdom</t>
  </si>
  <si>
    <t>Tang, J.; Department of Information Studies, United Kingdom; email: j.tang@sheffield.ac.uk</t>
  </si>
  <si>
    <t>Evaluation of a novel conjunctive exploratory navigation interface for consumer health information: A crowdsourced comparative study</t>
  </si>
  <si>
    <t>10.2196/jmir.3111</t>
  </si>
  <si>
    <t>23049434800;56099698800;7405271191;</t>
  </si>
  <si>
    <t>Background: Numerous consumer health information websites have been developed to provide consumers access to health information. However, lookup search is insufficient for consumers to take full advantage of these rich public information resources. Exploratory search is considered a promising complementary mechanism, but its efficacy has never before been rigorously evaluated for consumer health information retrieval interfaces. Objective: This study aims to (1) introduce a novel Conjunctive Exploratory Navigation Interface (CENI) for supporting effective consumer health information retrieval and navigation, and (2) evaluate the effectiveness of CENI through a search-interface comparative evaluation using crowdsourcing with Amazon Mechanical Turk (AMT). Methods: We collected over 60,000 consumer health questions from NetWellness, one of the first consumer health websites to provide high-quality health information. We designed and developed a novel conjunctive exploratory navigation interface to explore NetWellness health questions with health topics as dynamic and searchable menus. To investigate the effectiveness of CENI, we developed a second interface with keyword-based search only. A crowdsourcing comparative study was carefully designed to compare three search modes of interest: (A) the topic-navigation-based CENI, (B) the keyword-based lookup interface, and (C) either the most commonly available lookup search interface with Google, or the resident advanced search offered by NetWellness. To compare the effectiveness of the three search modes, 9 search tasks were designed with relevant health questions from NetWellness. Each task included a rating of difficulty level and questions for validating the quality of answers. Ninety anonymous and unique AMT workers were recruited as participants. Results: Repeated-measures ANOVA analysis of the data showed the search modes A, B, and C had statistically significant differences among their levels of difficulty (P&lt;.001). Wilcoxon signed-rank test (one-tailed) between A and B showed that A was significantly easier than B (P&lt;.001). Paired t tests (one-tailed) between A and C showed A was significantly easier than C (P&lt;.001). Participant responses on the preferred search modes showed that 47.8% (43/90) participants preferred A, 25.6% (23/90) preferred B, 24.4% (22/90) preferred C. Participant comments on the preferred search modes indicated that CENI was easy to use, provided better organization of health questions by topics, allowed users to narrow down to the most relevant contents quickly, and supported the exploratory navigation by non-experts or those unsure how to initiate their search. Conclusions: We presented a novel conjunctive exploratory navigation interface for consumer health information retrieval and navigation. Crowdsourcing permitted a carefully designed comparative search-interface evaluation to be completed in a timely and cost-effective manner with a relatively large number of participants recruited anonymously. Accounting for possible biases, our study has shown for the first time with crowdsourcing that the combination of exploratory navigation and lookup search is more effective than lookup search alone.</t>
  </si>
  <si>
    <t>Cui L., Carter R., Zhang G.-Q.</t>
  </si>
  <si>
    <t>https://www.scopus.com/inward/record.uri?eid=2-s2.0-84897617190&amp;doi=10.2196%2fjmir.3111&amp;partnerID=40&amp;md5=562924cc14b0e1d0fd5887340c4dfeac</t>
  </si>
  <si>
    <t>Department of Electrical Engineering and Computer Science, Division of Medical Informatics, Case Western Reserve University, 2103 Cornell Road, Cleveland, OH 44106, United States; School of Medicine, Department of Epidemiology and Biostatistics, Case Western Reserve University, Cleveland, OH, United States</t>
  </si>
  <si>
    <t>Cui, L., Department of Electrical Engineering and Computer Science, Division of Medical Informatics, Case Western Reserve University, 2103 Cornell Road, Cleveland, OH 44106, United States; Carter, R., School of Medicine, Department of Epidemiology and Biostatistics, Case Western Reserve University, Cleveland, OH, United States; Zhang, G.-Q., Department of Electrical Engineering and Computer Science, Division of Medical Informatics, Case Western Reserve University, 2103 Cornell Road, Cleveland, OH 44106, United States</t>
  </si>
  <si>
    <t>Zhang, G.-Q.; Department of Electrical Engineering and Computer Science, 2103 Cornell Road, Cleveland, OH 44106, United States; email: gq@case.edu</t>
  </si>
  <si>
    <t>Evaluation of a simulation platform for interaction training: A multi-phased methodology</t>
  </si>
  <si>
    <t>10.1109/FIE.2014.7044255</t>
  </si>
  <si>
    <t>36163107700;7003393897;7004203473;56257636100;6505937694;</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</si>
  <si>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 © 2014 IEEE.</t>
  </si>
  <si>
    <t>Monasor M.J., Vizcaíno A., Piattini M., Noll J., Beecham S.</t>
  </si>
  <si>
    <t>https://www.scopus.com/inward/record.uri?eid=2-s2.0-84938099487&amp;doi=10.1109%2fFIE.2014.7044255&amp;partnerID=40&amp;md5=8fc535f630dea579a98a3fe4140f260f</t>
  </si>
  <si>
    <t>Lero, University of Limerick, Ireland; Alarcos Research Group, University of Castilla-La Mancha, Spain; Lero, Irish Software Engineering Research Centre, University of Limerick, Ireland</t>
  </si>
  <si>
    <t>Monasor, M.J., Lero, University of Limerick, Ireland; Vizcaíno, A., Alarcos Research Group, University of Castilla-La Mancha, Spain; Piattini, M., Alarcos Research Group, University of Castilla-La Mancha, Spain; Noll, J., Lero, Irish Software Engineering Research Centre, University of Limerick, Ireland; Beecham, S., Lero, Irish Software Engineering Research Centre, University of Limerick, Ireland</t>
  </si>
  <si>
    <t>Evaluation of noise annotation lines: Using noise to represent thematic uncertainty in maps</t>
  </si>
  <si>
    <t>10.1080/15230406.2014.949868</t>
  </si>
  <si>
    <t>35208441300;55891033600;8438953000;6701466621;</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</si>
  <si>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 © 2014 Cartography and Geographic Information Society.</t>
  </si>
  <si>
    <t>Kinkeldey C., Mason J., Klippel A., Schiewe J.</t>
  </si>
  <si>
    <t>Cartography and Geographic Information Science</t>
  </si>
  <si>
    <t>https://www.scopus.com/inward/record.uri?eid=2-s2.0-85027942000&amp;doi=10.1080%2f15230406.2014.949868&amp;partnerID=40&amp;md5=5321d5bc9481ce726835b344af274267</t>
  </si>
  <si>
    <t>Lab for Geoinformatics and Geovisualization (g2lab), HafenCity University Hamburg, Überseeallee 16, Hamburg, D-20457, Germany; Department of Geography, GeoVISTA Center, Pennsylvania State University, University Park, PA  16802, United States</t>
  </si>
  <si>
    <t>Kinkeldey, C., Lab for Geoinformatics and Geovisualization (g2lab), HafenCity University Hamburg, Überseeallee 16, Hamburg, D-20457, Germany; Mason, J., Department of Geography, GeoVISTA Center, Pennsylvania State University, University Park, PA  16802, United States; Klippel, A., Department of Geography, GeoVISTA Center, Pennsylvania State University, University Park, PA  16802, United States; Schiewe, J., Lab for Geoinformatics and Geovisualization (g2lab), HafenCity University Hamburg, Überseeallee 16, Hamburg, D-20457, Germany</t>
  </si>
  <si>
    <t>Kinkeldey, C.; Lab for Geoinformatics and Geovisualization (g2lab), Überseeallee 16, Germany</t>
  </si>
  <si>
    <t>Evaluation of oral scanning in comparison to impression using three-dimensional registration</t>
  </si>
  <si>
    <t>10.1117/12.929727</t>
  </si>
  <si>
    <t>55560525800;25821942700;7403187105;35480103800;36668231800;14831091200;57533771200;</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</si>
  <si>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 © 2012 SPIE.</t>
  </si>
  <si>
    <t>Brogle-Kim Y.-C., Deyhle H., Müller B., Schulz G., Bormann T., Beckmann F., Jäger K.</t>
  </si>
  <si>
    <t>https://www.scopus.com/inward/record.uri?eid=2-s2.0-84872542327&amp;doi=10.1117%2f12.929727&amp;partnerID=40&amp;md5=58ece3527514d4d00cdaca50508994cb</t>
  </si>
  <si>
    <t>Biomaterials Science Center, University of Basel, 4031 Basel, Switzerland; School of Life Sciences, University of Applied Sciences Northwestern Switzerland, 4132 Muttenz, Switzerland; Helmholtz Zentrum Geesthacht, 21502 Geesthacht, Germany</t>
  </si>
  <si>
    <t>Brogle-Kim, Y.-C., Biomaterials Science Center, University of Basel, 4031 Basel, Switzerland; Deyhle, H., Biomaterials Science Center, University of Basel, 4031 Basel, Switzerland; Müller, B., Biomaterials Science Center, University of Basel, 4031 Basel, Switzerland; Schulz, G., Biomaterials Science Center, University of Basel, 4031 Basel, Switzerland; Bormann, T., Biomaterials Science Center, University of Basel, 4031 Basel, Switzerland, School of Life Sciences, University of Applied Sciences Northwestern Switzerland, 4132 Muttenz, Switzerland; Beckmann, F., Helmholtz Zentrum Geesthacht, 21502 Geesthacht, Germany; Jäger, K., Biomaterials Science Center, University of Basel, 4031 Basel, Switzerland</t>
  </si>
  <si>
    <t>Deyhle, H.; Biomaterials Science Center, , 4031 Basel, Switzerland; email: hans.deyhle@unibas.ch</t>
  </si>
  <si>
    <t>Evaluation of pharmaceutical pictograms by older “turkers”: A cross-sectional crowdsourced study</t>
  </si>
  <si>
    <t>10.1016/j.sapharm.2020.08.006</t>
  </si>
  <si>
    <t>57226027534;8079106600;57200317115;55354171000;6701805951;</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</si>
  <si>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 © 2020 Elsevier Inc.</t>
  </si>
  <si>
    <t>Lin S.-Y., Thompson H.J., Hart L.A., Fu M.C.C., Demiris G.</t>
  </si>
  <si>
    <t>Research in Social and Administrative Pharmacy</t>
  </si>
  <si>
    <t>https://www.scopus.com/inward/record.uri?eid=2-s2.0-85090488794&amp;doi=10.1016%2fj.sapharm.2020.08.006&amp;partnerID=40&amp;md5=30c52ee98d3024aa8dd4b35d9500324d</t>
  </si>
  <si>
    <t>Department of Biomedical Informatics and Medical Education, School of Medicine, University of Washington, Seattle, WA, United States; Department of Biobehavioral Nursing and Health Informatics, School of Nursing, University of Washington, Seattle, WA, United States; Department of Pharmacy, School of Pharmacy, University of Washington, Seattle, WA, United States; Department of Pulmonary, Critical Care &amp; Sleep Medicine, University of Washington, Seattle, WA, United States; Department of Biobehavioral Health Sciences, School of Nursing, University of Pennsylvania, Philadelphia, PA, United States</t>
  </si>
  <si>
    <t>Lin, S.-Y., Department of Biomedical Informatics and Medical Education, School of Medicine, University of Washington, Seattle, WA, United States; Thompson, H.J., Department of Biobehavioral Nursing and Health Informatics, School of Nursing, University of Washington, Seattle, WA, United States; Hart, L.A., Department of Pharmacy, School of Pharmacy, University of Washington, Seattle, WA, United States; Fu, M.C.C., Department of Pulmonary, Critical Care &amp; Sleep Medicine, University of Washington, Seattle, WA, United States; Demiris, G., Department of Biobehavioral Health Sciences, School of Nursing, University of Pennsylvania, Philadelphia, PA, United States</t>
  </si>
  <si>
    <t>Thompson, H.J.; Department of Biobehavioral Nursing and Health Informatics, United States; email: hilairet@uw.edu</t>
  </si>
  <si>
    <t>Evaluation of task based digital work environment</t>
  </si>
  <si>
    <t>10.1007/3-540-36227-4_54</t>
  </si>
  <si>
    <t>6603158670;7102988160;</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</si>
  <si>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 © Springer-Verlag Berlin Heidelberg 2002.</t>
  </si>
  <si>
    <t>Meyyappan N., Foo S.</t>
  </si>
  <si>
    <t>https://www.scopus.com/inward/record.uri?eid=2-s2.0-84949310238&amp;doi=10.1007%2f3-540-36227-4_54&amp;partnerID=40&amp;md5=ba4233f76450458f9162985a3abd7a9e</t>
  </si>
  <si>
    <t>Division of Information Studies, School of Communication and Information, Nanyang Technological University, Nanyang Link, Singapore, 637718, Singapore</t>
  </si>
  <si>
    <t>Meyyappan, N., Division of Information Studies, School of Communication and Information, Nanyang Technological University, Nanyang Link, Singapore, 637718, Singapore; Foo, S., Division of Information Studies, School of Communication and Information, Nanyang Technological University, Nanyang Link, Singapore, 637718, Singapore</t>
  </si>
  <si>
    <t>Meyyappan, N.; Division of Information Studies, Nanyang Link, Singapore; email: pn839200@ntu.edu.sg</t>
  </si>
  <si>
    <t>eWOM, what are we suspecting? Motivation, truthfulness or identity</t>
  </si>
  <si>
    <t>10.1108/JICES-12-2019-0135</t>
  </si>
  <si>
    <t>57218445535;57212222950;36462928200;</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</si>
  <si>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 © 2020, Emerald Publishing Limited.</t>
  </si>
  <si>
    <t>Zhang X., Wu Y., Wang W.</t>
  </si>
  <si>
    <t>Journal of Information, Communication and Ethics in Society</t>
  </si>
  <si>
    <t>https://www.scopus.com/inward/record.uri?eid=2-s2.0-85106378376&amp;doi=10.1108%2fJICES-12-2019-0135&amp;partnerID=40&amp;md5=70086d132f168494160b753aa6f5df72</t>
  </si>
  <si>
    <t>Department of Information Systems and Analysis, College of Business, Lamar University, Beaumont, TX, United States; Department of Information and Decision Sciences, School of Business, Salisbury University, Salisbury, Maryland, United States; Department of Information Technology Management and Computer Science, College of Information Systems, Trident University International, Cypress, CA, United States</t>
  </si>
  <si>
    <t>Zhang, X., Department of Information Systems and Analysis, College of Business, Lamar University, Beaumont, TX, United States; Wu, Y., Department of Information and Decision Sciences, School of Business, Salisbury University, Salisbury, Maryland, United States; Wang, W., Department of Information Technology Management and Computer Science, College of Information Systems, Trident University International, Cypress, CA, United States</t>
  </si>
  <si>
    <t>Wu, Y.; Department of Information and Decision Sciences, United States; email: ywu@salisbury.edu</t>
  </si>
  <si>
    <t>Experimental investigations on the basis for intellectual property rights</t>
  </si>
  <si>
    <t>10.1037/lhb0000187</t>
  </si>
  <si>
    <t>57190307312;15058037500;25225790100;</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</si>
  <si>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 © 2016 American Psychological Association.</t>
  </si>
  <si>
    <t>Fast A.A., Olson K.R., Mandel G.N.</t>
  </si>
  <si>
    <t>https://www.scopus.com/inward/record.uri?eid=2-s2.0-84979052953&amp;doi=10.1037%2flhb0000187&amp;partnerID=40&amp;md5=15ec0e4349ad6c2600d3912b27e47647</t>
  </si>
  <si>
    <t>Department of Psychology, University of Washington, Guthrie Hall Box 351525, Seattle, WA  98195, United States; Beasley School of Law, Temple University, Philadelphia, PA, United States</t>
  </si>
  <si>
    <t>Fast, A.A., Department of Psychology, University of Washington, Guthrie Hall Box 351525, Seattle, WA  98195, United States; Olson, K.R., Department of Psychology, University of Washington, Guthrie Hall Box 351525, Seattle, WA  98195, United States; Mandel, G.N., Beasley School of Law, Temple University, Philadelphia, PA, United States</t>
  </si>
  <si>
    <t>Olson, K.R.; Department of Psychology, Guthrie Hall Box 351525, United States; email: krolson@uw.edu</t>
  </si>
  <si>
    <t>Explaining job insecurity for temporary agency workers: A comparison between Sweden and Belgium</t>
  </si>
  <si>
    <t>10.1177/0143831X17707824</t>
  </si>
  <si>
    <t>55190322300;8709982900;55189871900;55919027700;</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</si>
  <si>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 © The Author(s) 2017.</t>
  </si>
  <si>
    <t>Håkansson K., Pulignano V., Isidorsson T., Doerflinger N.</t>
  </si>
  <si>
    <t>https://www.scopus.com/inward/record.uri?eid=2-s2.0-85069057397&amp;doi=10.1177%2f0143831X17707824&amp;partnerID=40&amp;md5=87391e15db57b106db8af91368ffd3a2</t>
  </si>
  <si>
    <t>University of Gothenburg, Sweden; KU Leuven Centrum voor Sociologisch Onderzoek (Centre for Sociological Research), Belgium; KU Leuven, Belgium</t>
  </si>
  <si>
    <t>Håkansson, K., University of Gothenburg, Sweden; Pulignano, V., KU Leuven Centrum voor Sociologisch Onderzoek (Centre for Sociological Research), Belgium; Isidorsson, T., University of Gothenburg, Sweden; Doerflinger, N., KU Leuven, Belgium</t>
  </si>
  <si>
    <t>Håkansson, K.; University of GothenburgSweden; email: Kristina.Hakansson@socav.gu.se</t>
  </si>
  <si>
    <t>Exploring an impact sourcing initiative for a community of people with disabilities: A capability analysis</t>
  </si>
  <si>
    <t>10.1007/978-3-030-18400-1_5</t>
  </si>
  <si>
    <t>57205640358;23102861100;57201779450;</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</si>
  <si>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Bjørn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 © IFIP International Federation for Information Processing 2019.</t>
  </si>
  <si>
    <t>Eskelund K., Heeks R., Nicholson B.</t>
  </si>
  <si>
    <t>https://www.scopus.com/inward/record.uri?eid=2-s2.0-85065311495&amp;doi=10.1007%2f978-3-030-18400-1_5&amp;partnerID=40&amp;md5=2b401bbc99e4a64f830c9f58f76cbbcf</t>
  </si>
  <si>
    <t>Alliance Manchester Business School, University of Manchester, Manchester, United Kingdom; Centre for Development Informatics, University of Manchester, Manchester, United Kingdom</t>
  </si>
  <si>
    <t>Eskelund, K., Alliance Manchester Business School, University of Manchester, Manchester, United Kingdom; Heeks, R., Centre for Development Informatics, University of Manchester, Manchester, United Kingdom; Nicholson, B., Alliance Manchester Business School, University of Manchester, Manchester, United Kingdom</t>
  </si>
  <si>
    <t>Eskelund, K.; Alliance Manchester Business School, United Kingdom; email: karsten.eskelund@postgrad.manchester.ac.uk</t>
  </si>
  <si>
    <t>Exploring biases between human and machine generated designs</t>
  </si>
  <si>
    <t>10.1115/1.4041857</t>
  </si>
  <si>
    <t>57193163382;55336251800;15833577900;</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</si>
  <si>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 Copyright © 2019 by ASME.</t>
  </si>
  <si>
    <t>Lopez C.E., Miller S.R., Tucker C.S.</t>
  </si>
  <si>
    <t>Journal of Mechanical Design, Transactions of the ASME</t>
  </si>
  <si>
    <t>https://www.scopus.com/inward/record.uri?eid=2-s2.0-85059069380&amp;doi=10.1115%2f1.4041857&amp;partnerID=40&amp;md5=3baf514d1475dcd186e0bf4d9bc1cfb1</t>
  </si>
  <si>
    <t>ASME Industrial and Manufacturing Engineering, Pennsylvania State University, State College, PA  16802, United States; ASME Engineering Design and Industrial Engineering, Pennsylvania State University, State College, PA  16802, United States; Engineering Design, Pennsylvania State University, 213 N Hammond, State College, PA  16802, United States</t>
  </si>
  <si>
    <t>Lopez, C.E., ASME Industrial and Manufacturing Engineering, Pennsylvania State University, State College, PA  16802, United States; Miller, S.R., ASME Engineering Design and Industrial Engineering, Pennsylvania State University, State College, PA  16802, United States; Tucker, C.S., ASME Engineering Design and Industrial Engineering, Pennsylvania State University, State College, PA  16802, United States, Engineering Design, Pennsylvania State University, 213 N Hammond, State College, PA  16802, United States</t>
  </si>
  <si>
    <t>Tucker, C.S.; ASME Engineering Design and Industrial Engineering, United States; email: ctucker4@psu.edu</t>
  </si>
  <si>
    <t>Exploring collaboration patterns among global software development teams</t>
  </si>
  <si>
    <t>10.1109/ICGSE.2009.14</t>
  </si>
  <si>
    <t>13410422400;6602568315;57215639978;6701519251;57215572330;6701676240;55507874700;</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</si>
  <si>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Tecnológica de Panamá,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 © 2009 IEEE.</t>
  </si>
  <si>
    <t>Serce F.C., Brazile R., Schumacker R., Alpaslan F.-N., Dafoulas G., Swigger K., Lopez V.</t>
  </si>
  <si>
    <t>https://www.scopus.com/inward/record.uri?eid=2-s2.0-71049177481&amp;doi=10.1109%2fICGSE.2009.14&amp;partnerID=40&amp;md5=d2d4be16137c4531b85ad69d5c6c267c</t>
  </si>
  <si>
    <t>Atilim University, Turkey; University of North Texas, United States; University of Alabama, United States; Middle East Tech. Univ., Turkey; Middlesex University, United Kingdom; Universidad Technologica de Panamá, Panama</t>
  </si>
  <si>
    <t>Serce, F.C., Atilim University, Turkey; Brazile, R., University of North Texas, United States; Schumacker, R., University of Alabama, United States; Alpaslan, F.-N., Middle East Tech. Univ., Turkey; Dafoulas, G., Middlesex University, United Kingdom; Swigger, K., University of North Texas, United States; Lopez, V., Universidad Technologica de Panamá, Panama</t>
  </si>
  <si>
    <t>Serce, F. C.; Atilim UniversityTurkey; email: fcserce@atilim.edu.tr</t>
  </si>
  <si>
    <t>Exploring individual and demographic characteristics and their relation to CHNRI Criteria from an international public stakeholder group: An analysis using random intercept and logistic regression modelling</t>
  </si>
  <si>
    <t>10.7189/jogh.09.010701</t>
  </si>
  <si>
    <t>55749878500;7402523815;22033241300;55961977700;8945569100;57215382425;</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</si>
  <si>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Likert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 © 2019 The Author(s).</t>
  </si>
  <si>
    <t>Wazny K., Anderson N., Bassani D.G., Ravenscroft J., Chan K.Y., Rudan I.</t>
  </si>
  <si>
    <t>Journal of Global Health</t>
  </si>
  <si>
    <t>https://www.scopus.com/inward/record.uri?eid=2-s2.0-85062432187&amp;doi=10.7189%2fjogh.09.010701&amp;partnerID=40&amp;md5=77fb67f287f13637044d28a2ee223296</t>
  </si>
  <si>
    <t>Centre for Global Health Research, Usher Institute of Informatics and Population Health Sciences, University of Edinburgh, Edinburgh, United Kingdom; Centre of Population Health Sciences, Usher Institute of Informatics and Population Health Sciences, University of Edinburgh, Edinburgh, United Kingdom; Department of Pediatrics, Hospital for Sick Children and University of Toronto, Toronto, ON, Canada; Centre for Global Child Health and SickKids Research Institute, Hospital for Sick Children, Toronto, ON, Canada; Moray House School of Education, University of Edinburgh, Edinburgh, United Kingdom</t>
  </si>
  <si>
    <t>Wazny, K., Centre for Global Health Research, Usher Institute of Informatics and Population Health Sciences, University of Edinburgh, Edinburgh, United Kingdom; Anderson, N., Centre of Population Health Sciences, Usher Institute of Informatics and Population Health Sciences, University of Edinburgh, Edinburgh, United Kingdom; Bassani, D.G., Department of Pediatrics, Hospital for Sick Children and University of Toronto, Toronto, ON, Canada, Centre for Global Child Health and SickKids Research Institute, Hospital for Sick Children, Toronto, ON, Canada; Ravenscroft, J., Moray House School of Education, University of Edinburgh, Edinburgh, United Kingdom; Chan, K.Y., Centre for Global Health Research, Usher Institute of Informatics and Population Health Sciences, University of Edinburgh, Edinburgh, United Kingdom; Rudan, I., Centre for Global Health Research, Usher Institute of Informatics and Population Health Sciences, University of Edinburgh, Edinburgh, United Kingdom</t>
  </si>
  <si>
    <t>Wazny, K.; University of Edinburgh Usher Institute of Population Health Sciences and Informatics, 30 West Richmond Street, United Kingdom; email: kerri.wazny@alumni.utoronto.ca</t>
  </si>
  <si>
    <t>Exploring patient information needs in type 2 diabetes: A cross sectional study of questions</t>
  </si>
  <si>
    <t>10.1371/journal.pone.0203429</t>
  </si>
  <si>
    <t>6603565653;7202821212;57193624767;6603580980;57201813780;56379730700;36661055300;6603439632;57527477900;7102360660;16317923100;</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</si>
  <si>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 © 2018 Crangle et al. This is an open access article distributed under the terms of the Creative Commons Attribution License, which permits unrestricted use, distribution, and reproduction in any medium, provided the original author and source are credited.</t>
  </si>
  <si>
    <t>Crangle C.E., Bradley C., Carlin P.F., Esterhay R.J., Harper R., Kearney P.M., McCarthy V.J.C., McTear M.F., Savage E., Tuttle M.S., Wallace J.G.</t>
  </si>
  <si>
    <t>https://www.scopus.com/inward/record.uri?eid=2-s2.0-85056590722&amp;doi=10.1371%2fjournal.pone.0203429&amp;partnerID=40&amp;md5=8686cd769f770f7238c915f6f3fcf183</t>
  </si>
  <si>
    <t>Department of Health Management and Systems Sciences, School of Public Health and Information Sciences, University of Louisville, Louisville, KY, United States; Department of General Practice, University College Cork, Cork, Ireland; South Eastern Health and Social Care Trust Research Office, Dundonald, United Kingdom; Department of Endocrinology and Diabetes, Ulster Hospital, South Eastern Health and Social Care Trust, Dundonald, United Kingdom; Department of Epidemiology and Public Health, University College Cork, Cork, Ireland; School of Nursing and Midwifery, University College Cork, Cork, Ireland; School of Computing and Mathematics, University of Ulster at Jordanstown, Jordanstown, United Kingdom; Apelon Inc., Hartford, CT, United States</t>
  </si>
  <si>
    <t>Crangle, C.E., Department of Health Management and Systems Sciences, School of Public Health and Information Sciences, University of Louisville, Louisville, KY, United States; Bradley, C., Department of General Practice, University College Cork, Cork, Ireland; Carlin, P.F., South Eastern Health and Social Care Trust Research Office, Dundonald, United Kingdom; Esterhay, R.J., Department of Health Management and Systems Sciences, School of Public Health and Information Sciences, University of Louisville, Louisville, KY, United States; Harper, R., Department of Endocrinology and Diabetes, Ulster Hospital, South Eastern Health and Social Care Trust, Dundonald, United Kingdom; Kearney, P.M., Department of Epidemiology and Public Health, University College Cork, Cork, Ireland; McCarthy, V.J.C., School of Nursing and Midwifery, University College Cork, Cork, Ireland; McTear, M.F., School of Computing and Mathematics, University of Ulster at Jordanstown, Jordanstown, United Kingdom; Savage, E., School of Nursing and Midwifery, University College Cork, Cork, Ireland; Tuttle, M.S., Apelon Inc., Hartford, CT, United States; Wallace, J.G., School of Computing and Mathematics, University of Ulster at Jordanstown, Jordanstown, United Kingdom</t>
  </si>
  <si>
    <t>Crangle, C.E.; Department of Health Management and Systems Sciences, United States; email: crangle@alumni.stanford.edu</t>
  </si>
  <si>
    <t>Exploring the assumed benefits of global software development</t>
  </si>
  <si>
    <t>10.1109/ICGSE.2006.261229</t>
  </si>
  <si>
    <t>14029867700;14030036700;7801582709;55254995900;</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</si>
  <si>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 © 2006 IEEE.</t>
  </si>
  <si>
    <t>Conchúir E.Ó., Holmström H., Ågerfalk P.J., Fitzgerald B.</t>
  </si>
  <si>
    <t>https://www.scopus.com/inward/record.uri?eid=2-s2.0-38649104441&amp;doi=10.1109%2fICGSE.2006.261229&amp;partnerID=40&amp;md5=817022512e2c3cc406c51aaa70bdd16c</t>
  </si>
  <si>
    <t>Lero, Irish Software Engineering Research Centre, University of Limerick, Limerick, Ireland</t>
  </si>
  <si>
    <t>Conchúir, E.Ó., Lero, Irish Software Engineering Research Centre, University of Limerick, Limerick, Ireland; Holmström, H., Lero, Irish Software Engineering Research Centre, University of Limerick, Limerick, Ireland; Ågerfalk, P.J., Lero, Irish Software Engineering Research Centre, University of Limerick, Limerick, Ireland; Fitzgerald, B., Lero, Irish Software Engineering Research Centre, University of Limerick, Limerick, Ireland</t>
  </si>
  <si>
    <t>Conchúir, E.Ó.; Lero, , Limerick, Ireland; email: eoin.oconchuir@ul.ie</t>
  </si>
  <si>
    <t>Expressive motion with x, y and theta: Laban Effort Features for mobile robots</t>
  </si>
  <si>
    <t>10.1109/ROMAN.2014.6926264</t>
  </si>
  <si>
    <t>26321722700;7402334420;</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</si>
  <si>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 © 2014 IEEE.</t>
  </si>
  <si>
    <t>Knight H., Simmons R.</t>
  </si>
  <si>
    <t>IEEE RO-MAN 2014 - 23rd IEEE International Symposium on Robot and Human Interactive Communication: Human-Robot Co-Existence: Adaptive Interfaces and Systems for Daily Life, Therapy, Assistance and Socially Engaging Interactions</t>
  </si>
  <si>
    <t>https://www.scopus.com/inward/record.uri?eid=2-s2.0-84937578559&amp;doi=10.1109%2fROMAN.2014.6926264&amp;partnerID=40&amp;md5=fafdc15028f52ca5ab96dce600b4d6cd</t>
  </si>
  <si>
    <t>Institute at Carnegie Mellon University, 5000 Forbes Avenue, Pittsburgh, PA  15213, United States</t>
  </si>
  <si>
    <t>Knight, H., Institute at Carnegie Mellon University, 5000 Forbes Avenue, Pittsburgh, PA  15213, United States; Simmons, R., Institute at Carnegie Mellon University, 5000 Forbes Avenue, Pittsburgh, PA  15213, United States</t>
  </si>
  <si>
    <t>External workers’ perception of leadership behaviour – a study of Swedish temporary agency workers and contractors</t>
  </si>
  <si>
    <t>10.1111/1748-8583.12053</t>
  </si>
  <si>
    <t>35281225700;56449390900;23482342400;</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</si>
  <si>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 © 2014 John Wiley &amp; Sons Ltd</t>
  </si>
  <si>
    <t>Svensson S., Vinberg S., Larsson J.</t>
  </si>
  <si>
    <t>Human Resource Management Journal</t>
  </si>
  <si>
    <t>https://www.scopus.com/inward/record.uri?eid=2-s2.0-84964914047&amp;doi=10.1111%2f1748-8583.12053&amp;partnerID=40&amp;md5=7f79594d6bd6d4469161c3e667abf3ed</t>
  </si>
  <si>
    <t>Department of Social Sciences/Sociology, Mid Sweden University, Sweden; Department of Health Sciences, Mid Sweden University, Sweden; Centre for Musculoskeletal Research, Department of Occupational and Public Health Sciences, University of Gävle, Sweden</t>
  </si>
  <si>
    <t>Svensson, S., Department of Social Sciences/Sociology, Mid Sweden University, Sweden; Vinberg, S., Department of Health Sciences, Mid Sweden University, Sweden; Larsson, J., Centre for Musculoskeletal Research, Department of Occupational and Public Health Sciences, University of Gävle, Sweden</t>
  </si>
  <si>
    <t>Svensson, S.; Department of Social Sciences/Sociology, Sweden; email: sven.svensson@miun.se</t>
  </si>
  <si>
    <t>Face recognition and retrieval using cross-age reference coding with cross-age celebrity dataset</t>
  </si>
  <si>
    <t>10.1109/TMM.2015.2420374</t>
  </si>
  <si>
    <t>54792808400;7501954297;7402002744;</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</si>
  <si>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 © 2015 IEEE.</t>
  </si>
  <si>
    <t>Chen B.-C., Chen C.-S., Hsu W.H.</t>
  </si>
  <si>
    <t>https://www.scopus.com/inward/record.uri?eid=2-s2.0-84929321715&amp;doi=10.1109%2fTMM.2015.2420374&amp;partnerID=40&amp;md5=ff87210a217ee1d7c957bd7c99a6b978</t>
  </si>
  <si>
    <t>Institute of Information Science, Academia Sinica, Taipei, 11529, Taiwan; Research Center for Information Technology Innovation (CITI), Institute of Information Science (IIS), Academia Sinica, Taipei, Taiwan; Graduate Institute of Networking and Multimedia, National Taiwan University, Taipei, 10617, Taiwan; Department of Computer Science and Information Engineering, National Taiwan University, Taipei, 10617, Taiwan</t>
  </si>
  <si>
    <t>Chen, B.-C., Institute of Information Science, Academia Sinica, Taipei, 11529, Taiwan; Chen, C.-S., Research Center for Information Technology Innovation (CITI), Institute of Information Science (IIS), Academia Sinica, Taipei, Taiwan; Hsu, W.H., Graduate Institute of Networking and Multimedia, National Taiwan University, Taipei, 10617, Taiwan, Department of Computer Science and Information Engineering, National Taiwan University, Taipei, 10617, Taiwan</t>
  </si>
  <si>
    <t>Factors influencing outbound medical travel from the USA</t>
  </si>
  <si>
    <t>10.1108/TR-06-2018-0083</t>
  </si>
  <si>
    <t>7403186196;56939297300;56939197200;6506766856;</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</si>
  <si>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 © 2019, Emerald Publishing Limited.</t>
  </si>
  <si>
    <t>Collins A., Medhekar A., Wong H.Y., Cobanoglu C.</t>
  </si>
  <si>
    <t>https://www.scopus.com/inward/record.uri?eid=2-s2.0-85061038424&amp;doi=10.1108%2fTR-06-2018-0083&amp;partnerID=40&amp;md5=9bbcc0eb216ab452bf159ef9df25277b</t>
  </si>
  <si>
    <t>Department of Tourism and Hotel Management, School of Applied Technology and Management, Bilkent University, Ankara, Turkey; School of Business and Law, Central Queensland University, Rockhampton, QLD, Australia; Department of Marketing, Deakin University, Melbourne, VIC, Australia; College of Hospitality and Tourism Leadership, University of South Florida Sarasota-Manatee, Sarasota, FL, United States</t>
  </si>
  <si>
    <t>Collins, A., Department of Tourism and Hotel Management, School of Applied Technology and Management, Bilkent University, Ankara, Turkey; Medhekar, A., School of Business and Law, Central Queensland University, Rockhampton, QLD, Australia; Wong, H.Y., Department of Marketing, Deakin University, Melbourne, VIC, Australia; Cobanoglu, C., College of Hospitality and Tourism Leadership, University of South Florida Sarasota-Manatee, Sarasota, FL, United States</t>
  </si>
  <si>
    <t>Cobanoglu, C.; College of Hospitality and Tourism Leadership, United States; email: cihan@cihan.org</t>
  </si>
  <si>
    <t>Factors leading to integration failures in global feature-oriented development: An empirical analysis</t>
  </si>
  <si>
    <t>10.1145/1985793.1985816</t>
  </si>
  <si>
    <t>17344957800;6603734663;</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</si>
  <si>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 2011 ACM.</t>
  </si>
  <si>
    <t>Cataldo M., Herbsleb J.D.</t>
  </si>
  <si>
    <t>https://www.scopus.com/inward/record.uri?eid=2-s2.0-79959859896&amp;doi=10.1145%2f1985793.1985816&amp;partnerID=40&amp;md5=587bc6ef03a45b314e9c0d435ca48689</t>
  </si>
  <si>
    <t>Institute for Software Research, Carnegie Mellon University, Pittsburgh, PA 15213, United States</t>
  </si>
  <si>
    <t>Cataldo, M., Institute for Software Research, Carnegie Mellon University, Pittsburgh, PA 15213, United States; Herbsleb, J.D., Institute for Software Research, Carnegie Mellon University, Pittsburgh, PA 15213, United States</t>
  </si>
  <si>
    <t>Cataldo, M.; Institute for Software Research, , Pittsburgh, PA 15213, United States; email: mcataldo@cs.cmu.edu</t>
  </si>
  <si>
    <t>Fake images: The effects of source, intermediary, and digital media literacy on contextual assessment of image credibility online</t>
  </si>
  <si>
    <t>10.1177/1461444818799526</t>
  </si>
  <si>
    <t>57203479527;57194871550;57189330617;57205301494;57200540234;56978184900;</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</si>
  <si>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 © The Author(s) 2018.</t>
  </si>
  <si>
    <t>Shen C., Kasra M., Pan W., Bassett G.A., Malloch Y., O’Brien J.F.</t>
  </si>
  <si>
    <t>https://www.scopus.com/inward/record.uri?eid=2-s2.0-85059478715&amp;doi=10.1177%2f1461444818799526&amp;partnerID=40&amp;md5=6febc3bd0bdcae01fa283ab753ce3919</t>
  </si>
  <si>
    <t>University of California, Davis, United States; University of Virginia, United States; University of California, Berkeley, United States</t>
  </si>
  <si>
    <t>Shen, C., University of California, Davis, United States; Kasra, M., University of Virginia, United States; Pan, W., University of California, Davis, United States; Bassett, G.A., University of California, Davis, United States; Malloch, Y., University of California, Davis, United States; O’Brien, J.F., University of California, Berkeley, United States</t>
  </si>
  <si>
    <t>Shen, C.; University of CaliforniaUnited States; email: cuishen@ucdavis.edu</t>
  </si>
  <si>
    <t>Family Influence, Critical Consciousness, and Career Calling in Women of Color</t>
  </si>
  <si>
    <t>10.1002/cdq.12154</t>
  </si>
  <si>
    <t>56717229900;55776998100;55647896400;57204902387;57204901434;</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</si>
  <si>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 © 2018 by the National Career Development Association. All rights reserved.</t>
  </si>
  <si>
    <t>Marks L.R., Harrell-Williams L.M., Tate K.A., Coleman M.L., Moore K.</t>
  </si>
  <si>
    <t>Career Development Quarterly</t>
  </si>
  <si>
    <t>https://www.scopus.com/inward/record.uri?eid=2-s2.0-85057721451&amp;doi=10.1002%2fcdq.12154&amp;partnerID=40&amp;md5=13dc9ffc9fc35d92c055d1fb6c2631e6</t>
  </si>
  <si>
    <t>Department of Counseling, Educational Psychology, and Research, University of Memphis, United States; Department of Counselor Education, College at Brockport, State University of New York, United States</t>
  </si>
  <si>
    <t>Marks, L.R., Department of Counseling, Educational Psychology, and Research, University of Memphis, United States; Harrell-Williams, L.M., Department of Counseling, Educational Psychology, and Research, University of Memphis, United States; Tate, K.A., Department of Counselor Education, College at Brockport, State University of New York, United States; Coleman, M.L., Department of Counseling, Educational Psychology, and Research, University of Memphis, United States; Moore, K., Department of Counseling, Educational Psychology, and Research, University of Memphis, United States</t>
  </si>
  <si>
    <t>Marks, L.R.; Department of Counseling, United States; email: LRMarks@memphis.edu</t>
  </si>
  <si>
    <t>Family-centered exploration of the benefits and burdens of digital home assistants</t>
  </si>
  <si>
    <t>10.1145/3290607.3308458</t>
  </si>
  <si>
    <t>57194281917;</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</si>
  <si>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 © 2019 Copyright held by the owner/author(s).</t>
  </si>
  <si>
    <t>Richards O.K.</t>
  </si>
  <si>
    <t>https://www.scopus.com/inward/record.uri?eid=2-s2.0-85067298105&amp;doi=10.1145%2f3290607.3308458&amp;partnerID=40&amp;md5=a646de6015c252e8ba2cf22bf89ff49e</t>
  </si>
  <si>
    <t>Pennsylvania State University, University Park, PA, United States</t>
  </si>
  <si>
    <t>Richards, O.K., Pennsylvania State University, University Park, PA, United States</t>
  </si>
  <si>
    <t>Richards, O.K.; Pennsylvania State UniversityUnited States; email: orichards@psu.edu</t>
  </si>
  <si>
    <t>Fast and easy crowdsourced perceptual audio evaluation</t>
  </si>
  <si>
    <t>10.1109/ICASSP.2016.7471749</t>
  </si>
  <si>
    <t>53979459000;10242155400;24465525500;17434675700;</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</si>
  <si>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 © 2016 IEEE.</t>
  </si>
  <si>
    <t>Cartwright M., Pardo B., Mysore G.J., Hoffman M.</t>
  </si>
  <si>
    <t>https://www.scopus.com/inward/record.uri?eid=2-s2.0-84973335035&amp;doi=10.1109%2fICASSP.2016.7471749&amp;partnerID=40&amp;md5=9c1bb9c2282a7722f03e7edb190dc8ed</t>
  </si>
  <si>
    <t>Northwestern University, United States; Adobe Research, United States</t>
  </si>
  <si>
    <t>Cartwright, M., Northwestern University, United States; Pardo, B., Northwestern University, United States; Mysore, G.J., Adobe Research, United States; Hoffman, M., Adobe Research, United States</t>
  </si>
  <si>
    <t>Father–daughter relationship dynamics &amp; daughters’ body image, eating patterns, and empowerment: An exploratory study</t>
  </si>
  <si>
    <t>10.1080/03630242.2020.1801554</t>
  </si>
  <si>
    <t>57218598241;15066094100;6701616396;57217418000;</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</si>
  <si>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 © 2020 Taylor &amp; Francis Group, LLC.</t>
  </si>
  <si>
    <t>Steinhilber K.M., Ray S., Harkins D.A., Sienkiewicz M.E.</t>
  </si>
  <si>
    <t>Women and Health</t>
  </si>
  <si>
    <t>https://www.scopus.com/inward/record.uri?eid=2-s2.0-85089753324&amp;doi=10.1080%2f03630242.2020.1801554&amp;partnerID=40&amp;md5=ef94a6e9a136d8333c892888b3e91c53</t>
  </si>
  <si>
    <t>Department of Psychology, Suffolk University, Boston, MA, United States</t>
  </si>
  <si>
    <t>Steinhilber, K.M., Department of Psychology, Suffolk University, Boston, MA, United States; Ray, S., Department of Psychology, Suffolk University, Boston, MA, United States; Harkins, D.A., Department of Psychology, Suffolk University, Boston, MA, United States; Sienkiewicz, M.E., Department of Psychology, Suffolk University, Boston, MA, United States</t>
  </si>
  <si>
    <t>Steinhilber, K.M.; Department of Psychology, United States; email: ksteinhilber@su.suffolk.edu</t>
  </si>
  <si>
    <t>Fauxvea: Crowdsourcing Gaze Location Estimates for Visualization Analysis Tasks</t>
  </si>
  <si>
    <t>10.1109/TVCG.2016.2532331</t>
  </si>
  <si>
    <t>36650503400;55921296000;36444979200;55415876300;56652601600;</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</si>
  <si>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 © 2016 IEEE.</t>
  </si>
  <si>
    <t>Gomez S.R., Jianu R., Cabeen R., Guo H., Laidlaw D.H.</t>
  </si>
  <si>
    <t>https://www.scopus.com/inward/record.uri?eid=2-s2.0-85009135121&amp;doi=10.1109%2fTVCG.2016.2532331&amp;partnerID=40&amp;md5=d80c81b55e886084677dadc6bc89b8b9</t>
  </si>
  <si>
    <t>Department of Computer Science, Brown University, Providence, RI  02912, United States; School of Computing and Information Sciences, Florida International University, Miami, FL  33199, United States</t>
  </si>
  <si>
    <t>Gomez, S.R., Department of Computer Science, Brown University, Providence, RI  02912, United States; Jianu, R., School of Computing and Information Sciences, Florida International University, Miami, FL  33199, United States; Cabeen, R., Department of Computer Science, Brown University, Providence, RI  02912, United States; Guo, H., Department of Computer Science, Brown University, Providence, RI  02912, United States; Laidlaw, D.H., Department of Computer Science, Brown University, Providence, RI  02912, United States</t>
  </si>
  <si>
    <t>Feasibility, Acceptability, and Initial Efficacy of Delivering Alcohol Use Cognitive Interventions via Crowdsourcing</t>
  </si>
  <si>
    <t>10.1111/acer.13987</t>
  </si>
  <si>
    <t>55585838700;57207883390;6603049193;7101969531;</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</si>
  <si>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(e.g., 0.5 drinking day/wk),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 © 2019 by the Research Society on Alcoholism</t>
  </si>
  <si>
    <t>Strickland J.C., Hill J.C., Stoops W.W., Rush C.R.</t>
  </si>
  <si>
    <t>https://www.scopus.com/inward/record.uri?eid=2-s2.0-85063160484&amp;doi=10.1111%2facer.13987&amp;partnerID=40&amp;md5=2dc467b8736e77a490c8a5d89cd8978f</t>
  </si>
  <si>
    <t>Department of Psychology, University of Kentucky College of Arts and Sciences, Lexington, KY, United States; Department of Mathematics and Statistics, Washington University in St. Louis College of Arts and Sciences, St. Louis, MO,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t>
  </si>
  <si>
    <t>Strickland, J.C., Department of Psychology, University of Kentucky College of Arts and Sciences, Lexington, KY, United States; Hill, J.C., Department of Mathematics and Statistics, Washington University in St. Louis College of Arts and Sciences, St. Louis, MO, United States; Stoops, W.W.,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 Rush, C.R.,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t>
  </si>
  <si>
    <t>Rush, C.R.; Department of Psychology, United States; email: crush2@email.uky.edu</t>
  </si>
  <si>
    <t>Financial-return Crowdfunding and Regulatory Approaches in the Shadow Banking, FinTech and Collaborative Finance Era</t>
  </si>
  <si>
    <t>10.1515/ecfr-2017-0030</t>
  </si>
  <si>
    <t>57200003187;</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</si>
  <si>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 © 2017 Walter de Gruyter GmbH, Berlin/Boston.</t>
  </si>
  <si>
    <t>Macchiavello E.</t>
  </si>
  <si>
    <t>European Company and Financial Law Review</t>
  </si>
  <si>
    <t>https://www.scopus.com/inward/record.uri?eid=2-s2.0-85046288386&amp;doi=10.1515%2fecfr-2017-0030&amp;partnerID=40&amp;md5=c5a0f481f4e821ede8545674cb8e5aae</t>
  </si>
  <si>
    <t>Banking Law, University of Genoa, Department of Economics and Business, Italy</t>
  </si>
  <si>
    <t>Macchiavello, E., Banking Law, University of Genoa, Department of Economics and Business, Italy</t>
  </si>
  <si>
    <t>Macchiavello, E.; Banking Law, Italy</t>
  </si>
  <si>
    <t>Finding weather photos: Community-supervised methods for editorial curation of online sources</t>
  </si>
  <si>
    <t>10.1145/2818048.2819989</t>
  </si>
  <si>
    <t>7801387993;7202974784;55540793500;23037035500;57143215100;55574825300;</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</si>
  <si>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 © 2016 ACM.</t>
  </si>
  <si>
    <t>Shamma D.A., Kennedy L., Li L.-J., Thomee B., Jin H., Yuan J.</t>
  </si>
  <si>
    <t>https://www.scopus.com/inward/record.uri?eid=2-s2.0-84963632436&amp;doi=10.1145%2f2818048.2819989&amp;partnerID=40&amp;md5=ef07c68b4730d11efd1be40c5aa9722d</t>
  </si>
  <si>
    <t>Yahoo Labs, 110 5th Street, San Francisco, CA, United States; Snapchat, 63 Market Street, Venice, CA, United States; Yahoo Labs, 701 First Avenue, Sunnyvale, CA, United States</t>
  </si>
  <si>
    <t>Shamma, D.A., Yahoo Labs, 110 5th Street, San Francisco, CA, United States; Kennedy, L., Yahoo Labs, 110 5th Street, San Francisco, CA, United States; Li, L.-J., Snapchat, 63 Market Street, Venice, CA, United States; Thomee, B., Yahoo Labs, 110 5th Street, San Francisco, CA, United States; Jin, H., Yahoo Labs, 701 First Avenue, Sunnyvale, CA, United States; Yuan, J., Yahoo Labs, 701 First Avenue, Sunnyvale, CA, United States</t>
  </si>
  <si>
    <t>Flexible working conditions and decreasing levels of trust</t>
  </si>
  <si>
    <t>10.1108/01425451211191850</t>
  </si>
  <si>
    <t>35281225700;</t>
  </si>
  <si>
    <t>Purpose: The purpose of this study is to analyse levels of generalized trust among employees who have adapted to increasing demands for flexibility in their working lives (nonstandard work) compared with employees in traditional employment (standard work). Design/methodology/approach: Data were collected using a self-administered questionnaire distributed to randomly selected individuals in Sweden (2004, n=5,080) and a workplace survey study of temporary agency workers (2008, n=119). Data were analysed using chi-square tests and logistic regression analysis. Findings: The results reveal that people in nonstandard positions display significantly lower levels of generalized trust compared to standard employees, where age, gender, and socio-economic position are constant. Practical implications: Since trust has proved to be a prerequisite for innovativeness, and both flexibility and innovation are officially accepted solutions for the troubles of post-industrial society, the findings point to a possible paradox in the "new economy". Originality/value: The results of this study are unique in that they provide valuable support for the theory that flexible working conditions lead to decreasing levels of trust in society. © Emerald Group Publishing Limited.</t>
  </si>
  <si>
    <t>Svensson S.</t>
  </si>
  <si>
    <t>Employee Relations</t>
  </si>
  <si>
    <t>https://www.scopus.com/inward/record.uri?eid=2-s2.0-83455168975&amp;doi=10.1108%2f01425451211191850&amp;partnerID=40&amp;md5=6eb368460151692e42049bc86e84959c</t>
  </si>
  <si>
    <t>Department of Social Sciences, Mid Sweden University, Östersund, Sweden</t>
  </si>
  <si>
    <t>Svensson, S., Department of Social Sciences, Mid Sweden University, Östersund, Sweden</t>
  </si>
  <si>
    <t>Svensson, S.; Department of Social Sciences, , Östersund, Sweden; email: sven.svensson@miun.se</t>
  </si>
  <si>
    <t>Subbarao, A.; Advance Informatics School, Malaysia; email: anusya_r@yahoo.com</t>
  </si>
  <si>
    <t>Framework for evaluating the version management capabilities of a class of UML modeling tools from the viewpoint of multi-site, multi-partner product line organizations</t>
  </si>
  <si>
    <t>10.1109/HICSS.2010.213</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</si>
  <si>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countries,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 © 2010 IEEE.</t>
  </si>
  <si>
    <t>https://www.scopus.com/inward/record.uri?eid=2-s2.0-77951725271&amp;doi=10.1109%2fHICSS.2010.213&amp;partnerID=40&amp;md5=36b3508a65dec7a6e576419c74bfe47b</t>
  </si>
  <si>
    <t>Frameworks for risk management in GSD projects: A survey</t>
  </si>
  <si>
    <t>10.1109/SITA.2015.7358381</t>
  </si>
  <si>
    <t>57188707516;6602789810;6504105559;7401657472;</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</si>
  <si>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 © 2015 IEEE.</t>
  </si>
  <si>
    <t>Chadli S.Y., Idri A., Fernández-Alemán J.L., Ros J.N.</t>
  </si>
  <si>
    <t>2015 10th International Conference on Intelligent Systems: Theories and Applications, SITA 2015</t>
  </si>
  <si>
    <t>https://www.scopus.com/inward/record.uri?eid=2-s2.0-84962360800&amp;doi=10.1109%2fSITA.2015.7358381&amp;partnerID=40&amp;md5=a141740ac9c3b512c5a051e34fb48145</t>
  </si>
  <si>
    <t>Software Project Management Research Team, Université Mohammed v Rabat, Rabat, Morocco; Dept. Informática y Sistemas, University of Murcia, Murcia, Spain</t>
  </si>
  <si>
    <t>Chadli, S.Y., Software Project Management Research Team, Université Mohammed v Rabat, Rabat, Morocco; Idri, A., Software Project Management Research Team, Université Mohammed v Rabat, Rabat, Morocco; Fernández-Alemán, J.L., Dept. Informática y Sistemas, University of Murcia, Murcia, Spain; Ros, J.N., Dept. Informática y Sistemas, University of Murcia, Murcia, Spain</t>
  </si>
  <si>
    <t>Framing the collaborative economy —Voices of contestation</t>
  </si>
  <si>
    <t>10.1016/j.eist.2016.09.002</t>
  </si>
  <si>
    <t>56809213700;</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</si>
  <si>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 2016 Elsevier B.V.</t>
  </si>
  <si>
    <t>Gruszka K.</t>
  </si>
  <si>
    <t>Environmental Innovation and Societal Transitions</t>
  </si>
  <si>
    <t>https://www.scopus.com/inward/record.uri?eid=2-s2.0-84995777282&amp;doi=10.1016%2fj.eist.2016.09.002&amp;partnerID=40&amp;md5=84d3545a6c1133a4a6ff8195aac8bbdd</t>
  </si>
  <si>
    <t>WU Vienna University of Economics and Business, Welthandelsplatz 1, D5, Vienna, 1020, Austria</t>
  </si>
  <si>
    <t>Gruszka, K., WU Vienna University of Economics and Business, Welthandelsplatz 1, D5, Vienna, 1020, Austria</t>
  </si>
  <si>
    <t>Furniture style compatibility recommendation with cross-class triplet loss</t>
  </si>
  <si>
    <t>10.1007/s11042-018-5747-5</t>
  </si>
  <si>
    <t>57188762510;57188754378;37048901700;24775341200;</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</si>
  <si>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 © 2018, Springer Science+Business Media, LLC, part of Springer Nature.</t>
  </si>
  <si>
    <t>Pan T.-Y., Dai Y.-Z., Hu M.-C., Cheng W.-H.</t>
  </si>
  <si>
    <t>Multimedia Tools and Applications</t>
  </si>
  <si>
    <t>https://www.scopus.com/inward/record.uri?eid=2-s2.0-85041915556&amp;doi=10.1007%2fs11042-018-5747-5&amp;partnerID=40&amp;md5=3b834c826e5f3faca978bfd34888b2c9</t>
  </si>
  <si>
    <t>Department of Computer Science and Information Engineering, National Cheng Kung University, Tainan, 701, Taiwan; Research Center for Information Technology Innovation (CITI), Academia Sinica, Taipei, 115, Taiwan</t>
  </si>
  <si>
    <t>Pan, T.-Y., Department of Computer Science and Information Engineering, National Cheng Kung University, Tainan, 701, Taiwan; Dai, Y.-Z., Department of Computer Science and Information Engineering, National Cheng Kung University, Tainan, 701, Taiwan; Hu, M.-C., Department of Computer Science and Information Engineering, National Cheng Kung University, Tainan, 701, Taiwan; Cheng, W.-H., Research Center for Information Technology Innovation (CITI), Academia Sinica, Taipei, 115, Taiwan</t>
  </si>
  <si>
    <t>Hu, M.-C.; Department of Computer Science and Information Engineering, Taiwan; email: anita_hu@mail.ncku.edu.tw</t>
  </si>
  <si>
    <t>26434399300;57188991787;55584803599;56266004800;56464525800;</t>
  </si>
  <si>
    <t>Khan, A.A.; College of Computer Science and Technology, China; email: arif.khan@nuaa.edu.cn</t>
  </si>
  <si>
    <t>GBER: A social matching app which utilizes time, place, and skills of workers and jobs</t>
  </si>
  <si>
    <t>10.1145/3022198.3026316</t>
  </si>
  <si>
    <t>56236795800;8866503200;7403221405;</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</si>
  <si>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</si>
  <si>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Arita S., Hiyama A., Hirose M.</t>
  </si>
  <si>
    <t>CSCW 2017 - Companion of the 2017 ACM Conference on Computer Supported Cooperative Work and Social Computing</t>
  </si>
  <si>
    <t>https://www.scopus.com/inward/record.uri?eid=2-s2.0-85016045288&amp;doi=10.1145%2f3022198.3026316&amp;partnerID=40&amp;md5=e9c2e6d26a67785fb2cc5ad9d8cb68ec</t>
  </si>
  <si>
    <t>University of Tokyo, 7-3-1 Hongo, Bunkyo, Tokyo, 113-8656, Japan</t>
  </si>
  <si>
    <t>Arita, S., University of Tokyo, 7-3-1 Hongo, Bunkyo, Tokyo, 113-8656, Japan; Hiyama, A., University of Tokyo, 7-3-1 Hongo, Bunkyo, Tokyo, 113-8656, Japan; Hirose, M., University of Tokyo, 7-3-1 Hongo, Bunkyo, Tokyo, 113-8656, Japan</t>
  </si>
  <si>
    <t>Gender, Class, and the Gig Economy: The Case of Platform-Based Food Delivery</t>
  </si>
  <si>
    <t>10.1177/0896920520949631</t>
  </si>
  <si>
    <t>7003323195;57203526149;57191206974;54989480500;</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</si>
  <si>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 © The Author(s) 2020.</t>
  </si>
  <si>
    <t>Milkman R., Elliott-Negri L., Griesbach K., Reich A.</t>
  </si>
  <si>
    <t>Critical Sociology</t>
  </si>
  <si>
    <t>https://www.scopus.com/inward/record.uri?eid=2-s2.0-85090065477&amp;doi=10.1177%2f0896920520949631&amp;partnerID=40&amp;md5=2b9f6616116fce76b8df6069e5ea2f20</t>
  </si>
  <si>
    <t>City University of New York Graduate Center, United States; Max Planck Institute for the Study of Societies, Germany; Columbia University, United States</t>
  </si>
  <si>
    <t>Milkman, R.; Elliott-Negri, L., City University of New York Graduate Center, United States; Griesbach, K., Max Planck Institute for the Study of Societies, Germany; Reich, A., Columbia University, United States</t>
  </si>
  <si>
    <t>Milkman, R.email: Rmilkman@gc.cuny.edu</t>
  </si>
  <si>
    <t>Generating Visually Aligned Sound from Videos</t>
  </si>
  <si>
    <t>10.1109/TIP.2020.3009820</t>
  </si>
  <si>
    <t>57214784540;57189256436;22837202600;57218708796;57218712913;57141834200;</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</si>
  <si>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 © 1992-2012 IEEE.</t>
  </si>
  <si>
    <t>Chen P., Zhang Y., Tan M., Xiao H., Huang D., Gan C.</t>
  </si>
  <si>
    <t>IEEE Transactions on Image Processing</t>
  </si>
  <si>
    <t>https://www.scopus.com/inward/record.uri?eid=2-s2.0-85090140106&amp;doi=10.1109%2fTIP.2020.3009820&amp;partnerID=40&amp;md5=ec5e12acdfc223e9482427d7c478ba72</t>
  </si>
  <si>
    <t>School of Software Engineering, South China University of Technology, Guangzhou, China; MIT-IBM Watson AI Lab, Cambridge, MA, United States; Pazhou Laboratory, Guangzhou, 510335, China</t>
  </si>
  <si>
    <t>Chen, P., School of Software Engineering, South China University of Technology, Guangzhou, China, Pazhou Laboratory, Guangzhou, 510335, China; Zhang, Y., MIT-IBM Watson AI Lab, Cambridge, MA, United States; Tan, M., School of Software Engineering, South China University of Technology, Guangzhou, China; Xiao, H., School of Software Engineering, South China University of Technology, Guangzhou, China; Huang, D., School of Software Engineering, South China University of Technology, Guangzhou, China; Gan, C., MIT-IBM Watson AI Lab, Cambridge, MA, United States</t>
  </si>
  <si>
    <t>Tan, M.; School of Software Engineering, China; email: mingkuitan@scut.edu.cn</t>
  </si>
  <si>
    <t>Generation Y’s positive and negative eWOM: use of social media and mobile technology</t>
  </si>
  <si>
    <t>10.1108/IJCHM-10-2015-0611</t>
  </si>
  <si>
    <t>57220035158;57193440526;6506766856;</t>
  </si>
  <si>
    <t>Purpose: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A survey was adopted to test the factors posited to influence Generation Y consumers in these service contexts. Participants were recruited through Amazon Mechanical Turk , and multi-group structural equation modeling was performed to analyze the data. Findings: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 © 2017, © Emerald Publishing Limited.</t>
  </si>
  <si>
    <t>Zhang T., Abound Omran B., Cobanoglu C.</t>
  </si>
  <si>
    <t>https://www.scopus.com/inward/record.uri?eid=2-s2.0-85014048174&amp;doi=10.1108%2fIJCHM-10-2015-0611&amp;partnerID=40&amp;md5=7a14977bcb4332beb694c33cddfe0b51</t>
  </si>
  <si>
    <t>Department of Hospitality Services, University of Central Florida, Orlando, FL, United States; Department of Food, Agricultural, and Biological Engineering, The Ohio State University, Columbus, OH, United States; College of Hospitality and Technology Leadership, University of South Florida Sarasota-Manatee, Sarasota, FL, United States</t>
  </si>
  <si>
    <t>Zhang, T., Department of Hospitality Services, University of Central Florida, Orlando, FL, United States; Abound Omran, B., Department of Food, Agricultural, and Biological Engineering, The Ohio State University, Columbus, OH, United States; Cobanoglu, C., College of Hospitality and Technology Leadership, University of South Florida Sarasota-Manatee, Sarasota, FL, United States</t>
  </si>
  <si>
    <t>Zhang, T.; Department of Hospitality Services, United States; email: tingting.zhang@ucf.edu</t>
  </si>
  <si>
    <t>Georg Lukács as a communications scholar: cultural and digital labour in the context of Lukács’ Ontology of Social Being</t>
  </si>
  <si>
    <t>10.1177/0163443715613637</t>
  </si>
  <si>
    <t>7202461304;</t>
  </si>
  <si>
    <t>The task of this work is to apply thoughts from Georg Lukács’ final book, the Ontology of Social Being, for the theoretical analysis of cultural and digital labour. It discusses Lukács’ concepts of work and communication and relates them to the analysis of cultural and digital work. It also analyses his conception of the relation of labour and ideology and points out how we can make use of it for critically understanding social media ideologies. Lukács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Lukács’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Lukács’ notion of teleological positing is crucial for understanding the common features of the economy and culture. © 2015, The Author(s) 2015.</t>
  </si>
  <si>
    <t>Fuchs C.</t>
  </si>
  <si>
    <t>Media, Culture and Society</t>
  </si>
  <si>
    <t>https://www.scopus.com/inward/record.uri?eid=2-s2.0-84964963634&amp;doi=10.1177%2f0163443715613637&amp;partnerID=40&amp;md5=1442502e5c5c1ed66784d718200ca34f</t>
  </si>
  <si>
    <t>University of Westminster, United Kingdom</t>
  </si>
  <si>
    <t>Fuchs, C., University of Westminster, United Kingdom</t>
  </si>
  <si>
    <t>Fuchs, C.; University of Westminster, Watford Road, Northwick Park, United Kingdom; email: c.fuchs@westminster.ac.uk</t>
  </si>
  <si>
    <t>German temporary agency workers’ SWB: the impact of POS provided by agencies</t>
  </si>
  <si>
    <t>10.1108/ER-08-2016-0162</t>
  </si>
  <si>
    <t>57196096556;57196096871;</t>
  </si>
  <si>
    <t>Purpose: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Based on a sample of 350 TAWs in Germany, the mediating role of POS provided by agencies is analyzed using structural equation modeling. Findings: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The study is based on cross-sectional data and self-reported measures; this may limit causal inferences. Practical implications: The results highlight the importance of agencies creating POS and reducing perceived job insecurity for improving TAWs’ SWB. Originality/value: The study contributes to previous POS research by focusing on the agencies’ role and by showing the mediating effect of POS on TAWs’ SWB in Germany. © 2017, © Emerald Publishing Limited.</t>
  </si>
  <si>
    <t>Imhof S., Andresen M.</t>
  </si>
  <si>
    <t>https://www.scopus.com/inward/record.uri?eid=2-s2.0-85032962975&amp;doi=10.1108%2fER-08-2016-0162&amp;partnerID=40&amp;md5=a5b3cb529496aaab8f734dee2c83343b</t>
  </si>
  <si>
    <t>Department of Social Sciences, Economics, and Business Administration, University of Bamberg, Bamberg, Germany</t>
  </si>
  <si>
    <t>Imhof, S., Department of Social Sciences, Economics, and Business Administration, University of Bamberg, Bamberg, Germany; Andresen, M., Department of Social Sciences, Economics, and Business Administration, University of Bamberg, Bamberg, Germany</t>
  </si>
  <si>
    <t>Imhof, S.; Department of Social Sciences, Germany; email: susanne.imhof@uni-bamberg.de</t>
  </si>
  <si>
    <t>Getting agile methods to work for Cordys global software product development</t>
  </si>
  <si>
    <t>10.1007/978-3-642-24815-3_8</t>
  </si>
  <si>
    <t>6602763421;53865134400;8873732700;</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</si>
  <si>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be successful in applying agile in globally distributed projects. © 2011 Springer-Verlag.</t>
  </si>
  <si>
    <t>Van Hillegersberg J., Ligtenberg G., Aydin M.N.</t>
  </si>
  <si>
    <t>https://www.scopus.com/inward/record.uri?eid=2-s2.0-80054777160&amp;doi=10.1007%2f978-3-642-24815-3_8&amp;partnerID=40&amp;md5=9baab08d58d049e23116590f8effc0f0</t>
  </si>
  <si>
    <t>University of Twente, School of Management and Governance, P.O. Box 217, 7500 AE Enschede, Netherlands; Cordys Research and Development, Netherlands; Department of Information Technologies, IşIk University, Turkey</t>
  </si>
  <si>
    <t>Van Hillegersberg, J., University of Twente, School of Management and Governance, P.O. Box 217, 7500 AE Enschede, Netherlands; Ligtenberg, G., Cordys Research and Development, Netherlands; Aydin, M.N., Department of Information Technologies, IşIk University, Turkey</t>
  </si>
  <si>
    <t>Van Hillegersberg, J.; University of Twente, School of Management and Governance, P.O. Box 217, 7500 AE Enschede, Netherlands; email: j.vanhillegersberg@utwente.nl</t>
  </si>
  <si>
    <t>Global scientific research commons under the Nagoya Protocol: Towards a collaborative economy model for the sharing of basic research assets</t>
  </si>
  <si>
    <t>10.1016/j.envsci.2015.08.006</t>
  </si>
  <si>
    <t>16032774200;55359128000;24576369900;</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</si>
  <si>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 2015 The Authors.</t>
  </si>
  <si>
    <t>Dedeurwaerdere T., Melindi-Ghidi P., Broggiato A.</t>
  </si>
  <si>
    <t>Environmental Science and Policy</t>
  </si>
  <si>
    <t>https://www.scopus.com/inward/record.uri?eid=2-s2.0-84940953031&amp;doi=10.1016%2fj.envsci.2015.08.006&amp;partnerID=40&amp;md5=a1e08d3ea962ad79ac5ec7971779d597</t>
  </si>
  <si>
    <t>Université catholique de Louvain, Belgium; GREQAM Aix-Marseille Université, France</t>
  </si>
  <si>
    <t>Dedeurwaerdere, T., Université catholique de Louvain, Belgium; Melindi-Ghidi, P., Université catholique de Louvain, Belgium, GREQAM Aix-Marseille Université, France; Broggiato, A., Université catholique de Louvain, Belgium</t>
  </si>
  <si>
    <t>Dedeurwaerdere, T.; Université catholique de LouvainBelgium</t>
  </si>
  <si>
    <t>Bhatti, M.W.; Engineering Management Department, Pakistan; email: mwasim_bhatti@yahoo.com</t>
  </si>
  <si>
    <t>Global software testing under deadline pressure: Vendor-side experiences</t>
  </si>
  <si>
    <t>10.1016/j.infsof.2013.04.005</t>
  </si>
  <si>
    <t>26531894400;7005482239;55636320325;</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</si>
  <si>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 2013 Elsevier B.V. All rights reserved.</t>
  </si>
  <si>
    <t>Shah H., Harrold M.J., Sinha S.</t>
  </si>
  <si>
    <t>https://www.scopus.com/inward/record.uri?eid=2-s2.0-84888352727&amp;doi=10.1016%2fj.infsof.2013.04.005&amp;partnerID=40&amp;md5=ece340e3ac7eefe13b2b960136e9dcbd</t>
  </si>
  <si>
    <t>College of Computing, Georgia Institute of Technology, Atlanta, GA, United States; IBM Research, India IBM Research, India</t>
  </si>
  <si>
    <t>Shah, H., College of Computing, Georgia Institute of Technology, Atlanta, GA, United States; Harrold, M.J., College of Computing, Georgia Institute of Technology, Atlanta, GA, United States; Sinha, S., IBM Research, India IBM Research, India</t>
  </si>
  <si>
    <t>Shah, H.; College of Computing, , Atlanta, GA, United States; email: hinashah@cc.gatech.edu</t>
  </si>
  <si>
    <t>Globalizing software development in the local classroom</t>
  </si>
  <si>
    <t>10.1109/CSEET.2007.24</t>
  </si>
  <si>
    <t>23006200900;9337437600;6603151782;24760088700;6508147413;</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</si>
  <si>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 © 2007 IEEE.</t>
  </si>
  <si>
    <t>Richardson I., Moore S., Paulish D., Casey V., Zage D.</t>
  </si>
  <si>
    <t>Software Engineering Education Conference, Proceedings</t>
  </si>
  <si>
    <t>https://www.scopus.com/inward/record.uri?eid=2-s2.0-34948817726&amp;doi=10.1109%2fCSEET.2007.24&amp;partnerID=40&amp;md5=e3a6ea4aa0b45ee03b0cd93a1ec38af8</t>
  </si>
  <si>
    <t>Dept of Computer Science and Information Systems, Lero - The Irish Software Engineering Research Centre, University of Limerick, Ireland; University of Limerick, Ireland; Siemens Corporate Research, Princeton, NJ, United States; Software Engineering Research Center, Ball State University, Muncie, IN, United States</t>
  </si>
  <si>
    <t>Richardson, I., Dept of Computer Science and Information Systems, Lero - The Irish Software Engineering Research Centre, University of Limerick, Ireland; Moore, S., University of Limerick, Ireland; Paulish, D., Siemens Corporate Research, Princeton, NJ, United States; Casey, V., Dept of Computer Science and Information Systems, Lero - The Irish Software Engineering Research Centre, University of Limerick, Ireland; Zage, D., Software Engineering Research Center, Ball State University, Muncie, IN, United States</t>
  </si>
  <si>
    <t>Richardson, I.; Dept of Computer Science and Information Systems, Ireland; email: ita.richardson@lero.ie</t>
  </si>
  <si>
    <t>Graphical tests for power comparison of competing designs</t>
  </si>
  <si>
    <t>10.1109/TVCG.2012.230</t>
  </si>
  <si>
    <t>18339759200;57647389800;55416216700;7403472483;</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</si>
  <si>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 © 1995-2012 IEEE.</t>
  </si>
  <si>
    <t>Hofmann H., Follett L., Majumder M., Cook D.</t>
  </si>
  <si>
    <t>https://www.scopus.com/inward/record.uri?eid=2-s2.0-84867649659&amp;doi=10.1109%2fTVCG.2012.230&amp;partnerID=40&amp;md5=33541bc8ad63f30668e56db2ee2074df</t>
  </si>
  <si>
    <t>Iowa State University, United States</t>
  </si>
  <si>
    <t>Hofmann, H., Iowa State University, United States; Follett, L., Iowa State University, United States; Majumder, M., Iowa State University, United States; Cook, D., Iowa State University, United States</t>
  </si>
  <si>
    <t>Hofmann, H.; Iowa State UniversityUnited States; email: hofmann@iastate.edu</t>
  </si>
  <si>
    <t>Hacking Public Service Media Funding: A Scenario for Rethinking the License Fee as a Form of Civic Crowdfunding</t>
  </si>
  <si>
    <t>10.1080/14241277.2017.1298109</t>
  </si>
  <si>
    <t>16030283100;56711114900;</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</si>
  <si>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 © 2017 Institute for Media and Communications Management.</t>
  </si>
  <si>
    <t>Bonini T., Pais I.</t>
  </si>
  <si>
    <t>JMM International Journal on Media Management</t>
  </si>
  <si>
    <t>https://www.scopus.com/inward/record.uri?eid=2-s2.0-85019225908&amp;doi=10.1080%2f14241277.2017.1298109&amp;partnerID=40&amp;md5=f2daf78ca13202aa9257939b0e5b057a</t>
  </si>
  <si>
    <t>Department of Social, Political, and Cognitive Sciences, Siena University, Siena, Italy; Department of Sociology, Università Cattolica of Milan, Milan, Italy</t>
  </si>
  <si>
    <t>Bonini, T., Department of Social, Political, and Cognitive Sciences, Siena University, Siena, Italy, Department of Sociology, Università Cattolica of Milan, Milan, Italy; Pais, I., Department of Social, Political, and Cognitive Sciences, Siena University, Siena, Italy, Department of Sociology, Università Cattolica of Milan, Milan, Italy</t>
  </si>
  <si>
    <t>Bonini, T.; Department of Social, Via Roma 56, Italy; email: tiziano.bonini@gmail.com</t>
  </si>
  <si>
    <t>Hierarchical summarization: Scaling up multi-document summarization</t>
  </si>
  <si>
    <t>10.3115/v1/p14-1085</t>
  </si>
  <si>
    <t>24586688200;6603651046;56349815300;55963402300;</t>
  </si>
  <si>
    <t>Multi-document summarization (MDS) systems have been designed for short, unstructured summaries of 10-15 documents, and are inadequate for larger document collections. We propose a new approach to scaling up summarization called hierarchical summarization, 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 © 2014 Association for Computational Linguistics.</t>
  </si>
  <si>
    <t>Christensen J., Soderland S., Bansal G., Mausam</t>
  </si>
  <si>
    <t>https://www.scopus.com/inward/record.uri?eid=2-s2.0-84906929485&amp;doi=10.3115%2fv1%2fp14-1085&amp;partnerID=40&amp;md5=8fd0fb8f5771e1c5a7f041fc03730f12</t>
  </si>
  <si>
    <t>Computer Science and Engineering, University of Washington, Seattle, United States; Computer Science and Engineering, Indian Institute of Technology, Delhi, India</t>
  </si>
  <si>
    <t>Christensen, J., Computer Science and Engineering, University of Washington, Seattle, United States; Soderland, S., Computer Science and Engineering, University of Washington, Seattle, United States; Bansal, G., Computer Science and Engineering, Indian Institute of Technology, Delhi, India; Mausam, Computer Science and Engineering, Indian Institute of Technology, Delhi, India</t>
  </si>
  <si>
    <t>High-level semantic photographic composition analysis and understanding with deep neural networks</t>
  </si>
  <si>
    <t>10.1109/ICMEW.2017.8026247</t>
  </si>
  <si>
    <t>57149094500;57188762510;57193790371;56573319300;37048901700;</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</si>
  <si>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 © 2017 IEEE.</t>
  </si>
  <si>
    <t>Wu M.-T., Pan T.-Y., Tsai W.-L., Kuo H.-C., Hu M.-C.</t>
  </si>
  <si>
    <t>2017 IEEE International Conference on Multimedia and Expo Workshops, ICMEW 2017</t>
  </si>
  <si>
    <t>https://www.scopus.com/inward/record.uri?eid=2-s2.0-85031705095&amp;doi=10.1109%2fICMEW.2017.8026247&amp;partnerID=40&amp;md5=056b8d702403dd79436a1ac0a37313f8</t>
  </si>
  <si>
    <t>Department of Computer Science and Information Engineering, National Cheng Kung University, Taiwan; Institute of Education, National Cheng Kung University, Taiwan</t>
  </si>
  <si>
    <t>Wu, M.-T., Department of Computer Science and Information Engineering, National Cheng Kung University, Taiwan; Pan, T.-Y., Department of Computer Science and Information Engineering, National Cheng Kung University, Taiwan; Tsai, W.-L., Department of Computer Science and Information Engineering, National Cheng Kung University, Taiwan; Kuo, H.-C., Institute of Education, National Cheng Kung University, Taiwan; Hu, M.-C., Department of Computer Science and Information Engineering, National Cheng Kung University, Taiwan</t>
  </si>
  <si>
    <t>Hirability in the Wild: Analysis of Online Conversational Video Resumes</t>
  </si>
  <si>
    <t>10.1109/TMM.2016.2557058</t>
  </si>
  <si>
    <t>57207122948;6602722700;</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</si>
  <si>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 © 1999-2012 IEEE.</t>
  </si>
  <si>
    <t>Nguyen L.S., Gatica-Perez D.</t>
  </si>
  <si>
    <t>https://www.scopus.com/inward/record.uri?eid=2-s2.0-84976577411&amp;doi=10.1109%2fTMM.2016.2557058&amp;partnerID=40&amp;md5=7a3fe4a074d61a269782a86c141c5482</t>
  </si>
  <si>
    <t>Social Computing Group, Idiap Research Institute, Martigny, 1920, Switzerland; Ecole Polytechnique Federale de Lausanne, Idiap Research Institute, Martigny, CH-1920, Switzerland</t>
  </si>
  <si>
    <t>Nguyen, L.S., Social Computing Group, Idiap Research Institute, Martigny, 1920, Switzerland; Gatica-Perez, D., Ecole Polytechnique Federale de Lausanne, Idiap Research Institute, Martigny, CH-1920, Switzerland</t>
  </si>
  <si>
    <t>How brand personality and failure-type shape consumer forgiveness</t>
  </si>
  <si>
    <t>10.1108/JPBM-09-2017-1563</t>
  </si>
  <si>
    <t>57193807349;</t>
  </si>
  <si>
    <t>Purpose: This paper aims to explore the impact of an overlooked variable, brand personality, as a basis for brand forgiveness and recovery following brand failures. Design/methodology/approach: Data were collected via three on-line surveys using Amazon Mechanical Turk, including a total of 475 respondents (125, 113 and 237) and using a 2 × 2 between-subjects factorial design. Findings: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This study contributes to the literature by introducing and testing the role brand personality plays, independent of an existing and strong consumer-brand relationship, in consumer response to brand failure. Further, the mediator of and a moderator for this effect are identified. © 2019, Emerald Publishing Limited.</t>
  </si>
  <si>
    <t>Hassey R.V.</t>
  </si>
  <si>
    <t>https://www.scopus.com/inward/record.uri?eid=2-s2.0-85062649765&amp;doi=10.1108%2fJPBM-09-2017-1563&amp;partnerID=40&amp;md5=8980f6fc702a6b007cae1c2894013181</t>
  </si>
  <si>
    <t>Department of Marketing, Lindner College of Business, Univerisity of Cincinnati, Cincinnati, OH, United States</t>
  </si>
  <si>
    <t>Hassey, R.V., Department of Marketing, Lindner College of Business, Univerisity of Cincinnati, Cincinnati, OH, United States</t>
  </si>
  <si>
    <t>Hassey, R.V.; Department of Marketing, United States; email: hasseyrv@ucmail.uc.edu</t>
  </si>
  <si>
    <t>How can flipped classroom activities support teacher motivation?</t>
  </si>
  <si>
    <t>10.34190/EEL.19.161</t>
  </si>
  <si>
    <t>24464543800;57192082714;</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</si>
  <si>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 © The Authors, 2019. All Rights Reserved.</t>
  </si>
  <si>
    <t>Vold T., Ranglund O.J.</t>
  </si>
  <si>
    <t>https://www.scopus.com/inward/record.uri?eid=2-s2.0-85077504493&amp;doi=10.34190%2fEEL.19.161&amp;partnerID=40&amp;md5=bcbd3d082ab0a68ef013a9fedc3d5c44</t>
  </si>
  <si>
    <t>The Inland Norway University of Applied Sciences, Norway</t>
  </si>
  <si>
    <t>Vold, T., The Inland Norway University of Applied Sciences, Norway; Ranglund, O.J., The Inland Norway University of Applied Sciences, Norway</t>
  </si>
  <si>
    <t>How does a menu's information about local food affect restaurant selection? The roles of corporate social responsibility, transparency, and trust</t>
  </si>
  <si>
    <t>10.1016/j.jhtm.2020.04.007</t>
  </si>
  <si>
    <t>57216501545;57211124823;</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</si>
  <si>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 © 2020 CAUTHE - COUNCIL FOR AUSTRALASIAN TOURISM AND HOSPITALITY EDUCATION</t>
  </si>
  <si>
    <t>Shafieizadeh K., Tao C.-W.W.</t>
  </si>
  <si>
    <t>https://www.scopus.com/inward/record.uri?eid=2-s2.0-85083716760&amp;doi=10.1016%2fj.jhtm.2020.04.007&amp;partnerID=40&amp;md5=7ed0fb38058c31fe6d5d07f3de588ef2</t>
  </si>
  <si>
    <t>School of Hospitality and Tourism Management, Spears School of Business, Oklahoma State University, 365 Human Sciences, Stillwater, OK  74078, United States; School of Hospitality and Tourism Management, Spears School of Business, Oklahoma State University, 389 Human Sciences, Stillwater, OK  74078, United States</t>
  </si>
  <si>
    <t>Shafieizadeh, K., School of Hospitality and Tourism Management, Spears School of Business, Oklahoma State University, 365 Human Sciences, Stillwater, OK  74078, United States; Tao, C.-W.W., School of Hospitality and Tourism Management, Spears School of Business, Oklahoma State University, 389 Human Sciences, Stillwater, OK  74078, United States</t>
  </si>
  <si>
    <t>Shafieizadeh, K.; School of Hospitality and Tourism Management, 365 Human Sciences, United States; email: kiyan.shafieizadeh@okstate.edu</t>
  </si>
  <si>
    <t>How Does the Negative Impact of an Athlete’s Reputational Crisis Spill Over to Endorsed and Competing Brands? The Moderating Effects of Consumer Knowledge</t>
  </si>
  <si>
    <t>10.1177/2167479518783461</t>
  </si>
  <si>
    <t>57191963241;35558881200;56169129200;7202188406;</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</si>
  <si>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 © The Author(s) 2018.</t>
  </si>
  <si>
    <t>Sato S., Ko Y.J., Chang Y., Kay M.</t>
  </si>
  <si>
    <t>Communication and Sport</t>
  </si>
  <si>
    <t>https://www.scopus.com/inward/record.uri?eid=2-s2.0-85049627326&amp;doi=10.1177%2f2167479518783461&amp;partnerID=40&amp;md5=7788d05f1a3ee59ed017d6f179acf609</t>
  </si>
  <si>
    <t>Department of Marketing, Feliciano School of Business, Montclair State University, Montclair, NJ, United States; Department of Tourism, Recreation, and Sport Management, College of Health and Human Performances, University of Florida, Gainesville, FL, United States; School of Kinesiology, University of Minnesota, Minneapolis, MN, United States</t>
  </si>
  <si>
    <t>Sato, S., Department of Marketing, Feliciano School of Business, Montclair State University, Montclair, NJ, United States; Ko, Y.J., Department of Tourism, Recreation, and Sport Management, College of Health and Human Performances, University of Florida, Gainesville, FL, United States; Chang, Y., School of Kinesiology, University of Minnesota, Minneapolis, MN, United States; Kay, M., Department of Marketing, Feliciano School of Business, Montclair State University, Montclair, NJ, United States</t>
  </si>
  <si>
    <t>Sato, S.; Department of Marketing, United States; email: satos@mail.montclair.edu</t>
  </si>
  <si>
    <t>How Much are Digital Platforms Based on Open Collaboration? :An analysis of technological and knowledge practices and their implications for the platform governance of a sample of 100 cases of collaborative digital platforms in Barcelona</t>
  </si>
  <si>
    <t>10.1145/3233391.3233970</t>
  </si>
  <si>
    <t>36461505300;</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</si>
  <si>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 © 2018 Copyright held by the owner/author(s).</t>
  </si>
  <si>
    <t>Morell M.F.</t>
  </si>
  <si>
    <t>Proceedings of the 14th International Symposium on Open Collaboration, OpenSym 2018</t>
  </si>
  <si>
    <t>https://www.scopus.com/inward/record.uri?eid=2-s2.0-85056743721&amp;doi=10.1145%2f3233391.3233970&amp;partnerID=40&amp;md5=d71ae80bb8d3cbc82ff92c5507cba7ce</t>
  </si>
  <si>
    <t>Berkman Center for Internet and Society, Harvard, University Cambridge, United States</t>
  </si>
  <si>
    <t>Morell, M.F., Berkman Center for Internet and Society, Harvard, University Cambridge, United States</t>
  </si>
  <si>
    <t>Morell, M.F.; Berkman Center for Internet and Society, United States; email: mayo.fuster@eui.eu</t>
  </si>
  <si>
    <t>How Online Quality Ratings Influence Patients’ Choice of Medical Providers: Controlled Experimental Survey Study</t>
  </si>
  <si>
    <t>10.2196/jmir.8986</t>
  </si>
  <si>
    <t>44861792500;57215072623;36117797400;7402481134;</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</si>
  <si>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 ©Niam Yaraghi, Weiguang Wang, Guodong (Gordon) Gao, Ritu Agarwal.</t>
  </si>
  <si>
    <t>Yaraghi N., Wang W., Gao G.G., Agarwal R.</t>
  </si>
  <si>
    <t>https://www.scopus.com/inward/record.uri?eid=2-s2.0-85047779311&amp;doi=10.2196%2fjmir.8986&amp;partnerID=40&amp;md5=8335de58d319a6ccb9c4833bca4bd0c6</t>
  </si>
  <si>
    <t>Department of Operations and Information Management, University of Connecticut, Stamford, CT, United States; Center for Technology Innovation, Brookings Institution, 1755 Massachusetts Ave NW, Washington, DC  20036, United States; Department of Decision, Operations and Information Technologies, Robert H Smith School of Business, University of Maryland at College Park, College Park, MD, United States</t>
  </si>
  <si>
    <t>Yaraghi, N., Department of Operations and Information Management, University of Connecticut, Stamford, CT, United States, Center for Technology Innovation, Brookings Institution, 1755 Massachusetts Ave NW, Washington, DC  20036, United States; Wang, W., Department of Decision, Operations and Information Technologies, Robert H Smith School of Business, University of Maryland at College Park, College Park, MD, United States; Gao, G.G., Department of Decision, Operations and Information Technologies, Robert H Smith School of Business, University of Maryland at College Park, College Park, MD, United States; Agarwal, R., Department of Decision, Operations and Information Technologies, Robert H Smith School of Business, University of Maryland at College Park, College Park, MD, United States</t>
  </si>
  <si>
    <t>Yaraghi, N.; Department of Operations and Information Management, United States; email: niam.yaraghi@uconn.edu</t>
  </si>
  <si>
    <t>How to choose groupware tools considering stakeholders' preferences during requirements elicitation?</t>
  </si>
  <si>
    <t>10.1007/978-3-540-74812-0_25</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</si>
  <si>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 © Springer-Verlag Berlin Heidelberg 2007.</t>
  </si>
  <si>
    <t>https://www.scopus.com/inward/record.uri?eid=2-s2.0-38149103254&amp;doi=10.1007%2f978-3-540-74812-0_25&amp;partnerID=40&amp;md5=14cf6cdd4fda0ae1b419ac29200cc466</t>
  </si>
  <si>
    <t>GIISCo Research Group, Universidad Nacional del Comahue, Computing Sciences Department, Buenos Aires 1400, 8300 Neuquén, Argentina; Information Systems and Technologies Department, Escuela de Informática, Universidad de Castilla-La Mancha, Paseo de la Universidad 4, 13071 Ciudad Real, Spain</t>
  </si>
  <si>
    <t>Aranda, G.N., GIISCo Research Group, Universidad Nacional del Comahue, Computing Sciences Department, Buenos Aires 1400, 8300 Neuquén, Argentina; Vizcaíno, A., Information Systems and Technologies Department, Escuela de Informática, Universidad de Castilla-La Mancha, Paseo de la Universidad 4, 13071 Ciudad Real, Spain; Cechich, A., GIISCo Research Group, Universidad Nacional del Comahue, Computing Sciences Department, Buenos Aires 1400, 8300 Neuquén, Argentina; Piattini, M., Information Systems and Technologies Department, Escuela de Informática, Universidad de Castilla-La Mancha, Paseo de la Universidad 4, 13071 Ciudad Real, Spain</t>
  </si>
  <si>
    <t>Aranda, G.N.; GIISCo Research Group, Buenos Aires 1400, 8300 Neuquén, Argentina; email: garanda@uncoma.edu.ar</t>
  </si>
  <si>
    <t>Human Values and Digital Work: An Ethnographic Study of Device Paradigm</t>
  </si>
  <si>
    <t>10.1177/0891241619855130</t>
  </si>
  <si>
    <t>56319250300;</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</si>
  <si>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 © The Author(s) 2019.</t>
  </si>
  <si>
    <t>Chughtai H.</t>
  </si>
  <si>
    <t>Journal of Contemporary Ethnography</t>
  </si>
  <si>
    <t>https://www.scopus.com/inward/record.uri?eid=2-s2.0-85067804321&amp;doi=10.1177%2f0891241619855130&amp;partnerID=40&amp;md5=5ddf8093a8c95110fc1ad010d5f9b004</t>
  </si>
  <si>
    <t>Faculty of Social Sciences, University of Southampton Business School, Southampton, United Kingdom</t>
  </si>
  <si>
    <t>Chughtai, H., Faculty of Social Sciences, University of Southampton Business School, Southampton, United Kingdom</t>
  </si>
  <si>
    <t>Chughtai, H.; Faculty of Social Sciences, United Kingdom; email: h.chughtai@soton.ac.uk</t>
  </si>
  <si>
    <t>I do not own a car any more: An analysis of possessions’ disposal and changes in consumers’ identities</t>
  </si>
  <si>
    <t>10.1111/ijcs.12524</t>
  </si>
  <si>
    <t>55681253700;57208882890;57202745949;57208882050;</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</si>
  <si>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 © 2019 John Wiley &amp; Sons Ltd</t>
  </si>
  <si>
    <t>Sandes F.S., Leandro J., Boaventura P., da Silva Junior A.F.</t>
  </si>
  <si>
    <t>https://www.scopus.com/inward/record.uri?eid=2-s2.0-85066051479&amp;doi=10.1111%2fijcs.12524&amp;partnerID=40&amp;md5=1570dda96617eb6a7c53689a9a6bad15</t>
  </si>
  <si>
    <t>Fundação Getulio Vargas, Escola de Administração de Empresas de São Paulo, São Paulo, Brazil</t>
  </si>
  <si>
    <t>Sandes, F.S., Fundação Getulio Vargas, Escola de Administração de Empresas de São Paulo, São Paulo, Brazil; Leandro, J., Fundação Getulio Vargas, Escola de Administração de Empresas de São Paulo, São Paulo, Brazil; Boaventura, P., Fundação Getulio Vargas, Escola de Administração de Empresas de São Paulo, São Paulo, Brazil; da Silva Junior, A.F., Fundação Getulio Vargas, Escola de Administração de Empresas de São Paulo, São Paulo, Brazil</t>
  </si>
  <si>
    <t>Sandes, F.S.; Fundação Getulio Vargas, Brazil; email: fsandes@gmail.com</t>
  </si>
  <si>
    <t>ICrowd: An adaptive crowdsourcing framework</t>
  </si>
  <si>
    <t>10.1145/2723372.2750550</t>
  </si>
  <si>
    <t>36157705800;55800543300;55665418900;7403999714;7403884576;</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</si>
  <si>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 Copyright © 2015 ACM.</t>
  </si>
  <si>
    <t>Fan J., Li G., Ooi B.C., Tan K.-L., Feng J.</t>
  </si>
  <si>
    <t>https://www.scopus.com/inward/record.uri?eid=2-s2.0-84957558382&amp;doi=10.1145%2f2723372.2750550&amp;partnerID=40&amp;md5=d9b8d07cd37147e679ff8ce4e0d09c04</t>
  </si>
  <si>
    <t>School of Computing, National University of Singapore, Singapore, Singapore; Department of Computer Science, TNList, Tsinghua University, Beijing, China</t>
  </si>
  <si>
    <t>Fan, J., School of Computing, National University of Singapore, Singapore, Singapore; Li, G., Department of Computer Science, TNList, Tsinghua University, Beijing, China; Ooi, B.C., School of Computing, National University of Singapore, Singapore, Singapore; Tan, K.-L., School of Computing, National University of Singapore, Singapore, Singapore; Feng, J., Department of Computer Science, TNList, Tsinghua University, Beijing, China</t>
  </si>
  <si>
    <t>Subbarao, A.; Faculty of Management, Persiaran Multimedia, Malaysia; email: anusya_r@yahoo.com</t>
  </si>
  <si>
    <t>Identifying potential risks and benefits of using cloud in distributed software development</t>
  </si>
  <si>
    <t>10.1007/978-3-642-39259-7_19</t>
  </si>
  <si>
    <t>25930160800;7102005186;24449926400;6603710246;53879717100;</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</si>
  <si>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 © 2013 Springer-Verlag.</t>
  </si>
  <si>
    <t>Oza N., Münch J., Garbajosa J., Yague A., Gonzalez Ortega E.</t>
  </si>
  <si>
    <t>https://www.scopus.com/inward/record.uri?eid=2-s2.0-84884937015&amp;doi=10.1007%2f978-3-642-39259-7_19&amp;partnerID=40&amp;md5=fd29c89ce040252c03923d10980aecee</t>
  </si>
  <si>
    <t>University of Helsinki, Finland; Universidad Politecnica Madrid, Spain; Indra Software Labs., Spain</t>
  </si>
  <si>
    <t>Oza, N., University of Helsinki, Finland; Münch, J., University of Helsinki, Finland; Garbajosa, J., Universidad Politecnica Madrid, Spain; Yague, A., Universidad Politecnica Madrid, Spain; Gonzalez Ortega, E., Indra Software Labs., Spain</t>
  </si>
  <si>
    <t>University of HelsinkiFinland</t>
  </si>
  <si>
    <t>Identifying the stereotypical who, what, and why of physics and biology</t>
  </si>
  <si>
    <t>10.1103/PhysRevPhysEducRes.14.020125</t>
  </si>
  <si>
    <t>57205577672;57192307360;9276686200;</t>
  </si>
  <si>
    <t>Supporting efforts to grow the scientific workforce means articulating and comparing the content of science field stereotypes. To do this, data were collected from the general public [undergraduates (n=121) and Amazon Mechanical Turk workers (n=223)] as well as from people within science [attendees of an undergraduate conference for women in physics (n=34)].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</si>
  <si>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Bruun M., Willoughby S., Smith J.L.</t>
  </si>
  <si>
    <t>Physical Review Physics Education Research</t>
  </si>
  <si>
    <t>https://www.scopus.com/inward/record.uri?eid=2-s2.0-85060648409&amp;doi=10.1103%2fPhysRevPhysEducRes.14.020125&amp;partnerID=40&amp;md5=a52ab3787a23aab71d9f33035942af10</t>
  </si>
  <si>
    <t>Department of Psychology, Montana State University, 406 Traphagen Hall, Bozeman, MT  59717, United States; Department of Physics, Montana State University, Bozeman, MT  59717, United States; Office of Research, University of Colorado, Colorado Springs, CO  80918, United States</t>
  </si>
  <si>
    <t>Bruun, M., Department of Psychology, Montana State University, 406 Traphagen Hall, Bozeman, MT  59717, United States; Willoughby, S., Department of Physics, Montana State University, Bozeman, MT  59717, United States; Smith, J.L., Office of Research, University of Colorado, Colorado Springs, CO  80918, United States</t>
  </si>
  <si>
    <t>Bruun, M.; Department of Psychology, United States; email: meganpbruun@gmail.com</t>
  </si>
  <si>
    <t>Image captioning with compositional neural module networks</t>
  </si>
  <si>
    <t>10.24963/ijcai.2019/496</t>
  </si>
  <si>
    <t>57211752457;8974607800;</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</si>
  <si>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 © 2019 International Joint Conferences on Artificial Intelligence. All rights reserved.</t>
  </si>
  <si>
    <t>Tian J., Oh J.</t>
  </si>
  <si>
    <t>https://www.scopus.com/inward/record.uri?eid=2-s2.0-85074930870&amp;doi=10.24963%2fijcai.2019%2f496&amp;partnerID=40&amp;md5=ecd01ae1b1fd635c172158ac566616ea</t>
  </si>
  <si>
    <t>Carnegie Mellon University, United States</t>
  </si>
  <si>
    <t>Tian, J., Carnegie Mellon University, United States; Oh, J., Carnegie Mellon University, United States</t>
  </si>
  <si>
    <t>Imbalanced collusive security games</t>
  </si>
  <si>
    <t>10.1007/978-3-030-01554-1_34</t>
  </si>
  <si>
    <t>57204147668;7006395526;23008031500;23478550500;</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</si>
  <si>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 © 2018, Springer Nature Switzerland AG.</t>
  </si>
  <si>
    <t>Ou H.-C., Tambe M., Dilkina B., Vayanos P.</t>
  </si>
  <si>
    <t>https://www.scopus.com/inward/record.uri?eid=2-s2.0-85055880130&amp;doi=10.1007%2f978-3-030-01554-1_34&amp;partnerID=40&amp;md5=2e24875dffca72c3dadbbbd27a660c1d</t>
  </si>
  <si>
    <t>Ou, H.-C., Computer Science Department, University of Southern California, Los Angeles, United States; Tambe, M., Computer Science Department, University of Southern California, Los Angeles, United States; Dilkina, B., Computer Science Department, University of Southern California, Los Angeles, United States; Vayanos, P., Computer Science Department, University of Southern California, Los Angeles, United States</t>
  </si>
  <si>
    <t>Ou, H.-C.; Computer Science Department, United States; email: hanchino@usc.edu</t>
  </si>
  <si>
    <t>Impact of Brief Nicotine Messaging on Nicotine-Related Beliefs in a U.S. Sample</t>
  </si>
  <si>
    <t>10.1016/j.amepre.2019.05.015</t>
  </si>
  <si>
    <t>36473951300;57205466508;17342372100;6602689819;6701474715;7102640222;</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</si>
  <si>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 2019 American Journal of Preventive Medicine</t>
  </si>
  <si>
    <t>Villanti A.C., West J.C., Mays D., Donny E.C., Cappella J.N., Strasser A.A.</t>
  </si>
  <si>
    <t>https://www.scopus.com/inward/record.uri?eid=2-s2.0-85067622560&amp;doi=10.1016%2fj.amepre.2019.05.015&amp;partnerID=40&amp;md5=3dcd6775d00384a6902ce6d2c7731259</t>
  </si>
  <si>
    <t>Vermont Center on Behavior and Health, Department of Psychiatry, University of Vermont Larner College of Medicine, Burlington, VT, United States; Department of Oncology, Georgetown University Medical Center, Cancer Prevention and Control Program, Lombardi Comprehensive Cancer Center, Washington, DC, United States; Department of Physiology and Pharmacology, Wake Forest School of Medicine, Winston-Salem, NC, United States; Annenberg School for Communication at the University of Pennsylvania, Philadelphia, PA, United States; Department of Psychiatry, Perelman School of Medicine, University of Pennsylvania, Philadelphia, PA, United States</t>
  </si>
  <si>
    <t>Villanti, A.C., Vermont Center on Behavior and Health, Department of Psychiatry, University of Vermont Larner College of Medicine, Burlington, VT, United States; West, J.C., Vermont Center on Behavior and Health, Department of Psychiatry, University of Vermont Larner College of Medicine, Burlington, VT, United States; Mays, D., Department of Oncology, Georgetown University Medical Center, Cancer Prevention and Control Program, Lombardi Comprehensive Cancer Center, Washington, DC, United States; Donny, E.C., Department of Physiology and Pharmacology, Wake Forest School of Medicine, Winston-Salem, NC, United States; Cappella, J.N., Annenberg School for Communication at the University of Pennsylvania, Philadelphia, PA, United States; Strasser, A.A., Department of Psychiatry, Perelman School of Medicine, University of Pennsylvania, Philadelphia, PA, United States</t>
  </si>
  <si>
    <t>Villanti, A.C.; Vermont Center on Behavior and Health, South Prospect Street, MS 482, United States; email: avillant@uvm.edu</t>
  </si>
  <si>
    <t>Improving and Evaluating Topic Models and Other Models of Text</t>
  </si>
  <si>
    <t>10.1080/01621459.2015.1051182</t>
  </si>
  <si>
    <t>23391932600;55377170500;</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</si>
  <si>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 © 2016 American Statistical Association.</t>
  </si>
  <si>
    <t>Airoldi E.M., Bischof J.M.</t>
  </si>
  <si>
    <t>Journal of the American Statistical Association</t>
  </si>
  <si>
    <t>https://www.scopus.com/inward/record.uri?eid=2-s2.0-85010679783&amp;doi=10.1080%2f01621459.2015.1051182&amp;partnerID=40&amp;md5=e0ed59ea0c0681687084fe17991f539a</t>
  </si>
  <si>
    <t>Department of Statistics, Harvard University, Cambridge, MA, United States; Google, San Francisco, CA, United States</t>
  </si>
  <si>
    <t>Airoldi, E.M., Department of Statistics, Harvard University, Cambridge, MA, United States; Bischof, J.M., Google, San Francisco, CA, United States</t>
  </si>
  <si>
    <t>Airoldi, E.M.; Department of Statistics, United States; email: airoldi@fas.harvard.edu</t>
  </si>
  <si>
    <t>Improving electronic health record note comprehension with NOTEAID: Randomized trial of electronic health record note comprehension interventions with crowdsourced workers</t>
  </si>
  <si>
    <t>10.2196/10793</t>
  </si>
  <si>
    <t>57202285077;7004754669;35785447400;</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</si>
  <si>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 © John P Lalor, Beverly Woolf, Hong Yu.</t>
  </si>
  <si>
    <t>Lalor J.P., Woolf B., Yu H.</t>
  </si>
  <si>
    <t>https://www.scopus.com/inward/record.uri?eid=2-s2.0-85060185447&amp;doi=10.2196%2f10793&amp;partnerID=40&amp;md5=b747e56ae9e6f45c950c78116bc78849</t>
  </si>
  <si>
    <t>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</si>
  <si>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Lalor, J.P., College of Information and Computer Sciences, University of Massachusetts, Amherst, MA, United States; Woolf, B., College of Information and Computer Sciences, University of Massachusetts, Amherst, MA, United States; Yu, H., 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</si>
  <si>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Yu, H.; Department of Computer Science, 1 University Avenue Lowell, United States; email: hong.yu@umassmed.edu</t>
  </si>
  <si>
    <t>Improving social relationships in face-To-face human-Agent interactions: When the agent wants to know user's likes and dislikes</t>
  </si>
  <si>
    <t>10.3115/v1/p15-1103</t>
  </si>
  <si>
    <t>56898789600;22033255800;</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</si>
  <si>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 © 2015 Association for Computationl Linguisticss.</t>
  </si>
  <si>
    <t>Langlet C., Clavel C.</t>
  </si>
  <si>
    <t>ACL-IJCNLP 2015 - 53rd Annual Meeting of the Association for Computational Linguistics and the 7th International Joint Conference on Natural Language Processing of the Asian Federation of Natural Language Processing, Proceedings of the Conference</t>
  </si>
  <si>
    <t>https://www.scopus.com/inward/record.uri?eid=2-s2.0-84943809673&amp;doi=10.3115%2fv1%2fp15-1103&amp;partnerID=40&amp;md5=28246c68b2ae8bf72983951cd47c80d5</t>
  </si>
  <si>
    <t>Institut Mines-Téĺecom, Téĺecom ParisTech, CNRS LTCI, France</t>
  </si>
  <si>
    <t>Langlet, C., Institut Mines-Téĺecom, Téĺecom ParisTech, CNRS LTCI, France; Clavel, C., Institut Mines-Téĺecom, Téĺecom ParisTech, CNRS LTCI, France</t>
  </si>
  <si>
    <t>Improving the Nutritional Impact of the Supplemental Nutrition Assistance Program:: Perspectives From the Participants</t>
  </si>
  <si>
    <t>10.1016/j.amepre.2016.07.024</t>
  </si>
  <si>
    <t>36159629200;55319074400;56803239300;56457771800;</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</si>
  <si>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 2016 American Journal of Preventive Medicine</t>
  </si>
  <si>
    <t>Leung C.W., Musicus A.A., Willett W.C., Rimm E.B.</t>
  </si>
  <si>
    <t>https://www.scopus.com/inward/record.uri?eid=2-s2.0-85010065019&amp;doi=10.1016%2fj.amepre.2016.07.024&amp;partnerID=40&amp;md5=a2663ef9b4cde641a6cb5f6e9c1ab847</t>
  </si>
  <si>
    <t>Center for Health and Community, University of California, San Francisco, San Francisco, California, United States;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t>
  </si>
  <si>
    <t>Leung, C.W., Center for Health and Community, University of California, San Francisco, San Francisco, California, United States; Musicus, A.A., Department of Nutrition, Harvard T.H. Chan School of Public Health, Boston, Massachusetts, United States; Willett, W.C.,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 Rimm, E.B., Department of Nutrition, Harvard T.H. Chan School of Public Health, Boston, Massachusetts, United States, Channing Division of Network Medicine, Department of Medicine, Brigham and Women's Hospital, Harvard Medical School, Boston, Massachusetts, United States</t>
  </si>
  <si>
    <t>Leung, C.W.; Center for Health and Community, San Francisco, 3333 California Street, Suite 465, United States; email: cindyleung@post.harvard.edu</t>
  </si>
  <si>
    <t>Incentive and reputation mechanisms for online crowdsourcing systems</t>
  </si>
  <si>
    <t>10.1109/IWQoS.2015.7404735</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</si>
  <si>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 © 2015 IEEE.</t>
  </si>
  <si>
    <t>2015 IEEE 23rd International Symposium on Quality of Service, IWQoS 2015</t>
  </si>
  <si>
    <t>https://www.scopus.com/inward/record.uri?eid=2-s2.0-84963943930&amp;doi=10.1109%2fIWQoS.2015.7404735&amp;partnerID=40&amp;md5=985404676cc302643bb4cc317367484e</t>
  </si>
  <si>
    <t>Department of Computer Science and Engineering, Chinese University of Hong Kong, Hong Kong, Hong Kong; Department of Computer Science, University of Massachusetts, United States</t>
  </si>
  <si>
    <t>Xie, H., Department of Computer Science and Engineering, Chinese University of Hong Kong, Hong Kong, Hong Kong; Lui, J.C.S., Department of Computer Science and Engineering, Chinese University of Hong Kong, Hong Kong, Hong Kong; Towsley, D., Department of Computer Science, University of Massachusetts, United States</t>
  </si>
  <si>
    <t>Incentives to invest in the human capital of temporary agency workers</t>
  </si>
  <si>
    <t>10.1177/239700220702100303</t>
  </si>
  <si>
    <t>7401845048;26634603700;</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</si>
  <si>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 © Rainer Hampp Verlag.</t>
  </si>
  <si>
    <t>Schmidt S., Thommes K.</t>
  </si>
  <si>
    <t>Zeitschrift fur Personalforschung</t>
  </si>
  <si>
    <t>https://www.scopus.com/inward/record.uri?eid=2-s2.0-34548615110&amp;doi=10.1177%2f239700220702100303&amp;partnerID=40&amp;md5=49fa475d4a6b6fcc1dcac156999b5af6</t>
  </si>
  <si>
    <t>Department of Economics, Department of Business Administration, Friedrich-Schiller-University Jena, Carl-Zeiss-Str. 3, D-07743 Jena, Germany</t>
  </si>
  <si>
    <t>Schmidt, S., Department of Economics, Department of Business Administration, Friedrich-Schiller-University Jena, Carl-Zeiss-Str. 3, D-07743 Jena, Germany; Thommes, K., Department of Economics, Department of Business Administration, Friedrich-Schiller-University Jena, Carl-Zeiss-Str. 3, D-07743 Jena, Germany</t>
  </si>
  <si>
    <t>Schmidt, S.; Department of Economics, Carl-Zeiss-Str. 3, D-07743 Jena, Germany; email: stephanie.schmidt1@web.de</t>
  </si>
  <si>
    <t>Incredible: Is (almost) all web content trustworthy? Analysis of psychological factors related to website credibility evaluation</t>
  </si>
  <si>
    <t>10.1145/2567948.2578997</t>
  </si>
  <si>
    <t>56227006400;36498995100;16246576200;</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</si>
  <si>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 © Copyright 2014 by the International World Wide Web Conferences Steering Committee.</t>
  </si>
  <si>
    <t>Rafalak M., Abramczuk K., Wierzbicki A.</t>
  </si>
  <si>
    <t>WWW 2014 Companion - Proceedings of the 23rd International Conference on World Wide Web</t>
  </si>
  <si>
    <t>https://www.scopus.com/inward/record.uri?eid=2-s2.0-84991000980&amp;doi=10.1145%2f2567948.2578997&amp;partnerID=40&amp;md5=27b49f6e2362c3d28fb1a262f75a958b</t>
  </si>
  <si>
    <t>Polish-Japanese Institute of Information Technology (PJIIT), Warsaw, Poland; University of Warsaw (UW), Warsaw, Poland</t>
  </si>
  <si>
    <t>Rafalak, M., Polish-Japanese Institute of Information Technology (PJIIT), Warsaw, Poland; Abramczuk, K., University of Warsaw (UW), Warsaw, Poland; Wierzbicki, A., Polish-Japanese Institute of Information Technology (PJIIT), Warsaw, Poland</t>
  </si>
  <si>
    <t>Independent and court-ordered forensic neuropsychological examinations: Official statement of the National Academy of Neuropsychology</t>
  </si>
  <si>
    <t>10.1016/j.acn.2005.06.003</t>
  </si>
  <si>
    <t>55942607500;7202739566;7003531566;22978558900;7005247986;7003580345;7005138018;7404016848;57225343898;7003375408;7004898353;57215616281;7006210710;7006022990;</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</si>
  <si>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 2005 National Academy of Neuropsychology. Published by Elsevier Ltd. All rights reserved.</t>
  </si>
  <si>
    <t>Bush S.S., Barth J.T., Pliskin N.H., Arffa S., Axelrod B.N., Blackburn L.B., Faust D., Fisher J.M., Harley J.P., Heilbronner R.L., Larrabee G.J., Perry W., Puente A.E., Silver C.H.</t>
  </si>
  <si>
    <t>Archives of Clinical Neuropsychology</t>
  </si>
  <si>
    <t>https://www.scopus.com/inward/record.uri?eid=2-s2.0-27844584811&amp;doi=10.1016%2fj.acn.2005.06.003&amp;partnerID=40&amp;md5=f70d4ce228576860a271fbf9e989ab47</t>
  </si>
  <si>
    <t>496 Smithtown Bypass, Smithtown, NY 11787, United States</t>
  </si>
  <si>
    <t>Bush, S.S., 496 Smithtown Bypass, Smithtown, NY 11787, United States; Barth, J.T.; Pliskin, N.H.; Arffa, S.; Axelrod, B.N.; Blackburn, L.B.; Faust, D.; Fisher, J.M.; Harley, J.P.; Heilbronner, R.L.; Larrabee, G.J.; Perry, W.; Puente, A.E.; Silver, C.H.</t>
  </si>
  <si>
    <t>Bush, S.S.496 Smithtown Bypass, Smithtown, NY 11787, United States; email: sbushphdnp@medscape.com</t>
  </si>
  <si>
    <t>Independent or synergistic? Effects of varying size and using pictorial images in tobacco health warning labels</t>
  </si>
  <si>
    <t>10.1016/j.drugalcdep.2019.01.034</t>
  </si>
  <si>
    <t>57192990911;57207797639;57528655300;57199401517;57199416864;16041724100;6603568354;7102735341;16029149900;</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</si>
  <si>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 © 2019 Elsevier B.V.</t>
  </si>
  <si>
    <t>Skurka C., Kalaji M., Dorf M.C., Kemp D., Greiner Safi A., Byrne S., Mathios A.D., Avery R.J., Niederdeppe J.</t>
  </si>
  <si>
    <t>https://www.scopus.com/inward/record.uri?eid=2-s2.0-85062900574&amp;doi=10.1016%2fj.drugalcdep.2019.01.034&amp;partnerID=40&amp;md5=80aa9e2d48e7e7b124498e09816e4baa</t>
  </si>
  <si>
    <t>Department of Communication, Cornell University, 450B Mann Library Building, Ithaca, NY  14853, United States; Cornell Law School, 247 Hughes Hall, Ithaca, NY  14853, United States; Stan Richards School of Advertising and Public Relations, University of Texas at Austin, 300 W. Dean Keaton, Austin, TX  78712, United States; Department of Population Medicine and Diagnostic Sciences, Cornell University, S2002 Schurman Hall, Ithaca, NY  14853, United States; College of Human Ecology, Cornell University, 1300 Martha Van Rensselaer Hall, Ithaca, NY  14853, United States; Department of Policy Analysis and Management, Cornell University, 2301G Martha Van Rensselaer Hall, Ithaca, NY  14853, United States</t>
  </si>
  <si>
    <t>Skurka, C., Department of Communication, Cornell University, 450B Mann Library Building, Ithaca, NY  14853, United States; Kalaji, M., Department of Communication, Cornell University, 450B Mann Library Building, Ithaca, NY  14853, United States; Dorf, M.C., Cornell Law School, 247 Hughes Hall, Ithaca, NY  14853, United States; Kemp, D., Stan Richards School of Advertising and Public Relations, University of Texas at Austin, 300 W. Dean Keaton, Austin, TX  78712, United States; Greiner Safi, A., Department of Communication, Cornell University, 450B Mann Library Building, Ithaca, NY  14853, United States, Department of Population Medicine and Diagnostic Sciences, Cornell University, S2002 Schurman Hall, Ithaca, NY  14853, United States; Byrne, S., Department of Communication, Cornell University, 450B Mann Library Building, Ithaca, NY  14853, United States; Mathios, A.D., College of Human Ecology, Cornell University, 1300 Martha Van Rensselaer Hall, Ithaca, NY  14853, United States; Avery, R.J., Department of Policy Analysis and Management, Cornell University, 2301G Martha Van Rensselaer Hall, Ithaca, NY  14853, United States; Niederdeppe, J., Department of Communication, Cornell University, 450B Mann Library Building, Ithaca, NY  14853, United States</t>
  </si>
  <si>
    <t>Skurka, C.; Department of Communication, 450B Mann Library Building, United States; email: cjs396@cornell.edu</t>
  </si>
  <si>
    <t>Industry 4.0 and its impact on the labor market</t>
  </si>
  <si>
    <t>57205616763;</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</si>
  <si>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 Copyright © 2018 International Business Information Management Association (IBIMA).</t>
  </si>
  <si>
    <t>Wefersová J.</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</si>
  <si>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</si>
  <si>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https://www.scopus.com/inward/record.uri?eid=2-s2.0-85063047330&amp;partnerID=40&amp;md5=74766d13816107284de3ddfce04fb5f5</t>
  </si>
  <si>
    <t>Comenius University, Bratislava, Slovakia</t>
  </si>
  <si>
    <t>Wefersová, J., Comenius University, Bratislava, Slovakia</t>
  </si>
  <si>
    <t>Wefersová, J.; Comenius UniversitySlovakia; email: jarmilawefersová@fm.uniba.sk</t>
  </si>
  <si>
    <t>Information overlap in multilingual wikipedia and summarization</t>
  </si>
  <si>
    <t>10.1142/S0218843013500019</t>
  </si>
  <si>
    <t>51664780500;</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</si>
  <si>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 © 2012 World Scientific Publishing Company.</t>
  </si>
  <si>
    <t>Filatova E.</t>
  </si>
  <si>
    <t>International Journal of Cooperative Information Systems</t>
  </si>
  <si>
    <t>https://www.scopus.com/inward/record.uri?eid=2-s2.0-84876492805&amp;doi=10.1142%2fS0218843013500019&amp;partnerID=40&amp;md5=166ddaeb9e9feda239a2a6dc3761d675</t>
  </si>
  <si>
    <t>Computer and Information Sciences Department, Fordham University, 441 East Fordham Road, Bronx NY 10458, United States</t>
  </si>
  <si>
    <t>Filatova, E., Computer and Information Sciences Department, Fordham University, 441 East Fordham Road, Bronx NY 10458, United States</t>
  </si>
  <si>
    <t>Filatova, E.; Computer and Information Sciences Department, 441 East Fordham Road, Bronx NY 10458, United States; email: filatova@cis.fordham.edu</t>
  </si>
  <si>
    <t>Information society needs of managers in a large governmental organisation</t>
  </si>
  <si>
    <t>33167525300;6602173570;</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</si>
  <si>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 © International Forum of Educational Technology &amp; Society (IFETS).</t>
  </si>
  <si>
    <t>Broos E., Cronjé J.C.</t>
  </si>
  <si>
    <t>Educational Technology and Society</t>
  </si>
  <si>
    <t>https://www.scopus.com/inward/record.uri?eid=2-s2.0-68949192823&amp;partnerID=40&amp;md5=e7034fec1bd8865b646df53eb2a30fe2</t>
  </si>
  <si>
    <t>Faculty of Education, University of Pretoria, South Africa; Faculty of Informatics and Design, Cape Peninsula University of Technology, South Africa</t>
  </si>
  <si>
    <t>Broos, E., Faculty of Education, University of Pretoria, South Africa; Cronjé, J.C., Faculty of Informatics and Design, Cape Peninsula University of Technology, South Africa</t>
  </si>
  <si>
    <t>Cronjé, J.C.; Faculty of Informatics and Design, South Africa; email: cronjej@cput.ac.za</t>
  </si>
  <si>
    <t>Innovative business models and responsible consumption - Case study</t>
  </si>
  <si>
    <t>35254476100;26768138200;56967857700;57193274246;</t>
  </si>
  <si>
    <t>This article represents an attempt to analyze economic models that meet the new challenges and trends generated by the new socio-economic context, i.e. circular economy and collaborative economy. The analysis was performed through a study which aims to highlight the attempts made in terms of the adoption of new business models by companies belonging to the textile-apparel sector in Romania and the perspective directions in this field. The work highlights the need for knowledge and awareness of the importance and benefits of the adoption of pro-sustainability business models.</t>
  </si>
  <si>
    <t>Popescu D.I., Popa I., Stefan S.C., Vlasceanu C.</t>
  </si>
  <si>
    <t>Proceedings of the 28th International Business Information Management Association Conference - Vision 2020: Innovation Management, Development Sustainability, and Competitive Economic Growth</t>
  </si>
  <si>
    <t>https://www.scopus.com/inward/record.uri?eid=2-s2.0-85013965132&amp;partnerID=40&amp;md5=92430419805e2725c458768a48121f9b</t>
  </si>
  <si>
    <t>Bucharest University of Economic Studies, Romania</t>
  </si>
  <si>
    <t>Popescu, D.I., Bucharest University of Economic Studies, Romania; Popa, I., Bucharest University of Economic Studies, Romania; Stefan, S.C., Bucharest University of Economic Studies, Romania; Vlasceanu, C., Bucharest University of Economic Studies, Romania</t>
  </si>
  <si>
    <t>Intelligent analysis of software architecture rationale for collaborative software design</t>
  </si>
  <si>
    <t>10.1109/CTS.2015.7210436</t>
  </si>
  <si>
    <t>56747666400;7409293512;</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</si>
  <si>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 2015 IEEE.</t>
  </si>
  <si>
    <t>Chanda N., Liu X.F.</t>
  </si>
  <si>
    <t>2015 International Conference on Collaboration Technologies and Systems, CTS 2015</t>
  </si>
  <si>
    <t>https://www.scopus.com/inward/record.uri?eid=2-s2.0-84959496000&amp;doi=10.1109%2fCTS.2015.7210436&amp;partnerID=40&amp;md5=f625a144a42686e7337ed74fa6cdd727</t>
  </si>
  <si>
    <t>Computer Science Department, Missouri University of Science and Technology, Rolla, MI, United States</t>
  </si>
  <si>
    <t>Chanda, N., Computer Science Department, Missouri University of Science and Technology, Rolla, MI, United States; Liu, X.F., Computer Science Department, Missouri University of Science and Technology, Rolla, MI, United States</t>
  </si>
  <si>
    <t>Interactive production planning and ergonomic assessment with digital human models - Introducing the editor for manual work activities (ema)</t>
  </si>
  <si>
    <t>10.3233/WOR-2012-0741-4428</t>
  </si>
  <si>
    <t>36486233700;42961845800;57189303871;57191255295;55189548300;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</si>
  <si>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2012 - IOS Press and the authors. All rights reserved.</t>
  </si>
  <si>
    <t>Fritzsche L., Leidholdt W., Bauer S., Jäckel T., Moreno A.</t>
  </si>
  <si>
    <t>Work</t>
  </si>
  <si>
    <t>https://www.scopus.com/inward/record.uri?eid=2-s2.0-84859824185&amp;doi=10.3233%2fWOR-2012-0741-4428&amp;partnerID=40&amp;md5=661a38f9a908e456d1938162114cad69</t>
  </si>
  <si>
    <t>Imk Automotive Inc., 5 Research Drive, Greenville, SC 29607, United States; Imk Automotive, GmbH, Annaberger Str. 73, 09111 Chemnitz, Germany</t>
  </si>
  <si>
    <t>Fritzsche, L., Imk Automotive Inc., 5 Research Drive, Greenville, SC 29607, United States; Leidholdt, W., Imk Automotive, GmbH, Annaberger Str. 73, 09111 Chemnitz, Germany; Bauer, S., Imk Automotive, GmbH, Annaberger Str. 73, 09111 Chemnitz, Germany; Jäckel, T., Imk Automotive, GmbH, Annaberger Str. 73, 09111 Chemnitz, Germany; Moreno, A., Imk Automotive, GmbH, Annaberger Str. 73, 09111 Chemnitz, Germany</t>
  </si>
  <si>
    <t>Fritzsche, L.; Imk Automotive Inc., 5 Research Drive, Greenville, SC 29607, United States; email: info@imk-automotive.com</t>
  </si>
  <si>
    <t>Internationalism Under Platform Capitalism: Brexit and the Organisation of UK Fast Food Workers</t>
  </si>
  <si>
    <t>10.1111/1467-923X.12775</t>
  </si>
  <si>
    <t>7003911164;</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</si>
  <si>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 © The Author 2019. The Political Quarterly © The Political Quarterly Publishing Co. Ltd. 2019 Published by John Wiley &amp; Sons Ltd</t>
  </si>
  <si>
    <t>Colás A.</t>
  </si>
  <si>
    <t>Political Quarterly</t>
  </si>
  <si>
    <t>https://www.scopus.com/inward/record.uri?eid=2-s2.0-85074756062&amp;doi=10.1111%2f1467-923X.12775&amp;partnerID=40&amp;md5=faac720d46546402cb352da0689f7b31</t>
  </si>
  <si>
    <t>Colás, A.</t>
  </si>
  <si>
    <t>In-time role-specific notification as formal means to balance agile practices in global software development settings</t>
  </si>
  <si>
    <t>10.1007/978-3-540-85279-7_17</t>
  </si>
  <si>
    <t>19934399000;19933714000;24764488400;19934556100;6701704981;</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</si>
  <si>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 © 2008 Springer-Verlag Berlin Heidelberg.</t>
  </si>
  <si>
    <t>Wahyudin D., Heindl M., Eckhard B., Schatten A., Biffl S.</t>
  </si>
  <si>
    <t>https://www.scopus.com/inward/record.uri?eid=2-s2.0-50949086817&amp;doi=10.1007%2f978-3-540-85279-7_17&amp;partnerID=40&amp;md5=2a4a264512fa6e4e3ef52f01406392ca</t>
  </si>
  <si>
    <t>Institute of Software Technology and Interactive Systems, Vienna University of Technology, Vienna, Austria; Support Center Configuration Management, Siemens Program and Systems Engineering, Vienna, Austria</t>
  </si>
  <si>
    <t>Wahyudin, D., Institute of Software Technology and Interactive Systems, Vienna University of Technology, Vienna, Austria; Heindl, M., Support Center Configuration Management, Siemens Program and Systems Engineering, Vienna, Austria; Eckhard, B., Institute of Software Technology and Interactive Systems, Vienna University of Technology, Vienna, Austria; Schatten, A., Institute of Software Technology and Interactive Systems, Vienna University of Technology, Vienna, Austria; Biffl, S., Institute of Software Technology and Interactive Systems, Vienna University of Technology, Vienna, Austria</t>
  </si>
  <si>
    <t>Wahyudin, D.; Institute of Software Technology and Interactive Systems, , Vienna, Austria; email: Dindin@ifs.tuwien.ac.at</t>
  </si>
  <si>
    <t>Intra-observer reliability and agreement of manual and digital orthodontic model analysis</t>
  </si>
  <si>
    <t>10.1093/ejo/cjx040</t>
  </si>
  <si>
    <t>55580323900;57204209484;12796970100;55841703600;</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</si>
  <si>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orthoXRscan (Dentaurum) and analysed with ivorisRanalyze3D (Computer konkret). Manual model analyses were done with a dial caliper (0.1 mm). Common parameters were measured on each plaster cast and its virtual counterpart five times each by an experienced observer. We assessed intra-observer reliability within method (ICC), agreement/ conformity between methods (Bland-Altman analyses and Lin's concordance correlation), and changing bias (regression analyses). Results: Intra-observer reliability was substantial within each method (ICC ≥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 © The Author(s) 2017.</t>
  </si>
  <si>
    <t>Koretsi V., Tingelhoff L., Proff P., Kirschneck C.</t>
  </si>
  <si>
    <t>European Journal of Orthodontics</t>
  </si>
  <si>
    <t>https://www.scopus.com/inward/record.uri?eid=2-s2.0-85049331934&amp;doi=10.1093%2fejo%2fcjx040&amp;partnerID=40&amp;md5=5a44ab051993fc580bf9ae77765138a1</t>
  </si>
  <si>
    <t>Department of Orthodontics, University Hospital Regensburg, Regensburg, Germany</t>
  </si>
  <si>
    <t>Koretsi, V., Department of Orthodontics, University Hospital Regensburg, Regensburg, Germany; Tingelhoff, L., Department of Orthodontics, University Hospital Regensburg, Regensburg, Germany; Proff, P., Department of Orthodontics, University Hospital Regensburg, Regensburg, Germany; Kirschneck, C., Department of Orthodontics, University Hospital Regensburg, Regensburg, Germany</t>
  </si>
  <si>
    <t>Koretsi, V.; Department of Orthodontics, Germany; email: vasiliki.koretsi@ukr.de</t>
  </si>
  <si>
    <t>37007580400;36198459400;</t>
  </si>
  <si>
    <t>Investigating Knowledge Management Practices at OpenStack</t>
  </si>
  <si>
    <t>10.1007/978-3-030-13472-3_19</t>
  </si>
  <si>
    <t>37102821000;6603889928;36154772500;</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</si>
  <si>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 © 2019, Springer Nature Switzerland AG.</t>
  </si>
  <si>
    <t>Teixeira J.A., Karsten H., Widén G.</t>
  </si>
  <si>
    <t>https://www.scopus.com/inward/record.uri?eid=2-s2.0-85062278366&amp;doi=10.1007%2f978-3-030-13472-3_19&amp;partnerID=40&amp;md5=655b9b9c53048c21d09c39f4f7a374bf</t>
  </si>
  <si>
    <t>Faculty of Social Sciences, Business and Economics, Åbo Akademi University, Turku, Finland</t>
  </si>
  <si>
    <t>Teixeira, J.A., Faculty of Social Sciences, Business and Economics, Åbo Akademi University, Turku, Finland; Karsten, H., Faculty of Social Sciences, Business and Economics, Åbo Akademi University, Turku, Finland; Widén, G., Faculty of Social Sciences, Business and Economics, Åbo Akademi University, Turku, Finland</t>
  </si>
  <si>
    <t>Teixeira, J.A.; Faculty of Social Sciences, Finland; email: jteixeira@abo.fi</t>
  </si>
  <si>
    <t>Investigating relationships among polychronicity, work-family conflict, job satisfaction, and work engagement</t>
  </si>
  <si>
    <t>10.1108/JMP-01-2018-0046</t>
  </si>
  <si>
    <t>7101953875;57191269994;57211265728;57211264943;57211274701;</t>
  </si>
  <si>
    <t>Purpose: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 © 2019, Emerald Publishing Limited.</t>
  </si>
  <si>
    <t>Conte J.M., Aasen B., Jacobson C., O’Loughlin C., Toroslu L.</t>
  </si>
  <si>
    <t>Journal of Managerial Psychology</t>
  </si>
  <si>
    <t>https://www.scopus.com/inward/record.uri?eid=2-s2.0-85073265211&amp;doi=10.1108%2fJMP-01-2018-0046&amp;partnerID=40&amp;md5=dfb9aa72a072d5d2b955cd85ff194d37</t>
  </si>
  <si>
    <t>Department of Psychology, San Diego State University, San Diego, CA, United States</t>
  </si>
  <si>
    <t>Conte, J.M., Department of Psychology, San Diego State University, San Diego, CA, United States; Aasen, B., Department of Psychology, San Diego State University, San Diego, CA, United States; Jacobson, C., Department of Psychology, San Diego State University, San Diego, CA, United States; O’Loughlin, C., Department of Psychology, San Diego State University, San Diego, CA, United States; Toroslu, L., Department of Psychology, San Diego State University, San Diego, CA, United States</t>
  </si>
  <si>
    <t>Conte, J.M.; Department of Psychology, United States; email: jeff.conte@sdsu.edu</t>
  </si>
  <si>
    <t>Involving end users in distributed requirements engineering</t>
  </si>
  <si>
    <t>10.1007/978-3-540-85992-5_20</t>
  </si>
  <si>
    <t>23397425600;12797843900;23396408500;</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</si>
  <si>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 © 2008 Springer Berlin Heidelberg.</t>
  </si>
  <si>
    <t>Lohmann S., Ziegler J., Heim P.</t>
  </si>
  <si>
    <t>https://www.scopus.com/inward/record.uri?eid=2-s2.0-85099426359&amp;doi=10.1007%2f978-3-540-85992-5_20&amp;partnerID=40&amp;md5=3b4b47923d28e5a8a660a3b505977547</t>
  </si>
  <si>
    <t>University of Duisburg-Essen, Lotharstrasse 65, Duisburg 47057, Germany</t>
  </si>
  <si>
    <t>Lohmann, S., University of Duisburg-Essen, Lotharstrasse 65, Duisburg 47057, Germany; Ziegler, J., University of Duisburg-Essen, Lotharstrasse 65, Duisburg 47057, Germany; Heim, P., University of Duisburg-Essen, Lotharstrasse 65, Duisburg 47057, Germany</t>
  </si>
  <si>
    <t>Lohmann, S.; University of Duisburg-Essen, Lotharstrasse 65, Duisburg 47057, Germany; email: lohmann@interactivesystems.info</t>
  </si>
  <si>
    <t>Is Technology-Mediated Parental Monitoring Related to Adolescent Substance Use?</t>
  </si>
  <si>
    <t>10.1080/10826084.2017.1408653</t>
  </si>
  <si>
    <t>56235871700;7006621592;</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</si>
  <si>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 © 2018, © 2018 Taylor &amp; Francis Group, LLC.</t>
  </si>
  <si>
    <t>Rudi J., Dworkin J.</t>
  </si>
  <si>
    <t>https://www.scopus.com/inward/record.uri?eid=2-s2.0-85048271809&amp;doi=10.1080%2f10826084.2017.1408653&amp;partnerID=40&amp;md5=94205d1a71bda78badca2025d55312bc</t>
  </si>
  <si>
    <t>Department of Family Social Science and Institute for Translational Research in Children's Mental Health, University of Minnesota, Saint Paul, MN, United States; Department of Family Social Science, University of Minnesota, Saint Paul, MN, United States</t>
  </si>
  <si>
    <t>Rudi, J., Department of Family Social Science and Institute for Translational Research in Children's Mental Health, University of Minnesota, Saint Paul, MN, United States; Dworkin, J., Department of Family Social Science, University of Minnesota, Saint Paul, MN, United States</t>
  </si>
  <si>
    <t>Rudi, J.; Department of Family Social Science and Institute for Translational Research in Children's Mental Health, 290 McNeal Hall, 1985 Buford Avenue, United States; email: Conne262@umn.edu</t>
  </si>
  <si>
    <t>Job quality and temporary agency work: Challenges for human resource management in triangular employment relations in Germany</t>
  </si>
  <si>
    <t>10.1080/09585190801895528</t>
  </si>
  <si>
    <t>One of the most notable trends in the past decade has been the growth of temporary agency work. With growth rates significantly higher than standard employment, temporary agency work has attracted both public and academic attention, much of it contradictory. While some authors have argued that the flexibility of triangular employment relations allows employers to reduce labour and hiring and training costs, other researchers see agency jobs associated with low wages, minimal benefits, negligible job security, little training and no job prospects. This article intends to advance the debate on this topic by exploring the question as to whether and to what degree and areas the quality of jobs in the temporary work industry is different from regular positions. The focus is on the situation in Germany. Second, it will analyse what options are available for Human Resource Management to enhance job quality and make agency work a more attractive choice for employees. In the final step propositions for further research will be derived that serve as a basis for the development of a new, comprehensive research agenda on job quality, temporary agency work and HRM.</t>
  </si>
  <si>
    <t>https://www.scopus.com/inward/record.uri?eid=2-s2.0-40949148582&amp;doi=10.1080%2f09585190801895528&amp;partnerID=40&amp;md5=bbf2e1528e94457036470be043958b3b</t>
  </si>
  <si>
    <t>University of Halle-Wittenberg, Halle-Wittenberg, Germany</t>
  </si>
  <si>
    <t>Mitlacher, L.W., University of Halle-Wittenberg, Halle-Wittenberg, Germany</t>
  </si>
  <si>
    <t>Mitlacher, L.W.; University of Halle-Wittenberg, Halle-Wittenberg, Germany</t>
  </si>
  <si>
    <t>Job satisfaction and contingent employment</t>
  </si>
  <si>
    <t>10.1007/s10645-011-9180-7</t>
  </si>
  <si>
    <t>22952927100;</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</si>
  <si>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 © 2011 The Author(s).</t>
  </si>
  <si>
    <t>de Graaf-Zijl M.</t>
  </si>
  <si>
    <t>Economist</t>
  </si>
  <si>
    <t>https://www.scopus.com/inward/record.uri?eid=2-s2.0-84860553111&amp;doi=10.1007%2fs10645-011-9180-7&amp;partnerID=40&amp;md5=8f7a6f2a55141e034ba6c3119e0d3773</t>
  </si>
  <si>
    <t>Amsterdam Institute for Advanced Labour Studies, University of Amsterdam, Plantage Muidergracht 12, 1018 TV Amsterdam, Netherlands</t>
  </si>
  <si>
    <t>de Graaf-Zijl, M., Amsterdam Institute for Advanced Labour Studies, University of Amsterdam, Plantage Muidergracht 12, 1018 TV Amsterdam, Netherlands</t>
  </si>
  <si>
    <t>de Graaf-Zijl, M.; Amsterdam Institute for Advanced Labour Studies, Plantage Muidergracht 12, 1018 TV Amsterdam, Netherlands; email: m.degraaf-zijl@uva.nl</t>
  </si>
  <si>
    <t>Job satisfaction and mental health of temporary agency workers in Europe: a systematic review and research agenda</t>
  </si>
  <si>
    <t>10.1080/02678373.2019.1567619</t>
  </si>
  <si>
    <t>36682757800;57205512837;35573625500;</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</si>
  <si>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 © 2019, © 2019 The Author(s). Published by Informa UK Limited, trading as Taylor &amp; Francis Group.</t>
  </si>
  <si>
    <t>Hünefeld L., Gerstenberg S., Hüffmeier J.</t>
  </si>
  <si>
    <t>Work and Stress</t>
  </si>
  <si>
    <t>https://www.scopus.com/inward/record.uri?eid=2-s2.0-85060335195&amp;doi=10.1080%2f02678373.2019.1567619&amp;partnerID=40&amp;md5=8cf7511dd5438992c7248e3ffc9b6e73</t>
  </si>
  <si>
    <t>Federal Institute for Occupational Safety and Health (BAuA), Dortmund, Germany; Hochschule Bremen, City University of Applied Sciences, Bremen, Germany; Institute of Psychology, TU Dortmund University, Dortmund, Germany</t>
  </si>
  <si>
    <t>Hünefeld, L., Federal Institute for Occupational Safety and Health (BAuA), Dortmund, Germany; Gerstenberg, S., Hochschule Bremen, City University of Applied Sciences, Bremen, Germany; Hüffmeier, J., Institute of Psychology, TU Dortmund University, Dortmund, Germany</t>
  </si>
  <si>
    <t>Hünefeld, L.; Federal Institute for Occupational Safety and Health (BAuA)Germany; email: Huenefeld.Lena@baua.bund.de</t>
  </si>
  <si>
    <t>Joint summarization of large-scale collections of web images and videos for storyline reconstruction</t>
  </si>
  <si>
    <t>10.1109/CVPR.2014.538</t>
  </si>
  <si>
    <t>55685918100;7103067039;57203079532;</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</si>
  <si>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 © 2014 IEEE.</t>
  </si>
  <si>
    <t>Kim G., Sigal L., Xing E.P.</t>
  </si>
  <si>
    <t>Proceedings of the IEEE Computer Society Conference on Computer Vision and Pattern Recognition</t>
  </si>
  <si>
    <t>https://www.scopus.com/inward/record.uri?eid=2-s2.0-84911405209&amp;doi=10.1109%2fCVPR.2014.538&amp;partnerID=40&amp;md5=05d4d1e57362f430d44f90ef13cdc9be</t>
  </si>
  <si>
    <t>Disney Research Pittsburgh, United States; Carnegie Mellon University, United States</t>
  </si>
  <si>
    <t>Kim, G., Disney Research Pittsburgh, United States; Sigal, L., Disney Research Pittsburgh, United States; Xing, E.P., Carnegie Mellon University, United States</t>
  </si>
  <si>
    <t>Kim, G.; Disney Research PittsburghUnited States</t>
  </si>
  <si>
    <t>Keeping designers in the loop: Communicating inherent algorithmic trade-offs across multiple objectives</t>
  </si>
  <si>
    <t>10.1145/3357236.3395528</t>
  </si>
  <si>
    <t>57193546914;57203390142;6603886193;56272530400;6602845027;55089020000;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</si>
  <si>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 © 2020 ACM.</t>
  </si>
  <si>
    <t>Yu B., Yuan Y., Terveen L., Wu Z.S., Forlizzi J., Zhu H.</t>
  </si>
  <si>
    <t>DIS 2020 - Proceedings of the 2020 ACM Designing Interactive Systems Conference</t>
  </si>
  <si>
    <t>https://www.scopus.com/inward/record.uri?eid=2-s2.0-85090503687&amp;doi=10.1145%2f3357236.3395528&amp;partnerID=40&amp;md5=929dee314662440525e49804ceecf1ab</t>
  </si>
  <si>
    <t>University of Minnesota - Twin Cities, United States; Carnegie Mellon University, United States</t>
  </si>
  <si>
    <t>Yu, B., University of Minnesota - Twin Cities, United States; Yuan, Y., University of Minnesota - Twin Cities, United States; Terveen, L., University of Minnesota - Twin Cities, United States; Wu, Z.S., University of Minnesota - Twin Cities, United States; Forlizzi, J., Carnegie Mellon University, United States; Zhu, H., Carnegie Mellon University, United States</t>
  </si>
  <si>
    <t>Key barriers of globally distributed software products development</t>
  </si>
  <si>
    <t>53463523200;57201542502;</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</si>
  <si>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 © 2011 IEEE.</t>
  </si>
  <si>
    <t>Helén M., Nahar N.</t>
  </si>
  <si>
    <t>PICMET: Portland International Center for Management of Engineering and Technology, Proceedings</t>
  </si>
  <si>
    <t>https://www.scopus.com/inward/record.uri?eid=2-s2.0-80053372463&amp;partnerID=40&amp;md5=6b9a5c05d1d4ca52659013aa6c5caf63</t>
  </si>
  <si>
    <t>Uponor Corporation, Finland; Dept. of Computer Science and Information Systems, University of Jyvaskyla, Finland</t>
  </si>
  <si>
    <t>Helén, M., Uponor Corporation, Finland; Nahar, N., Dept. of Computer Science and Information Systems, University of Jyvaskyla, Finland</t>
  </si>
  <si>
    <t>Helén, M.; Uponor CorporationFinland</t>
  </si>
  <si>
    <t>Afzal, W.; Department of Computer Sciences, Pakistan; email: wasif.afzal@gmail.com</t>
  </si>
  <si>
    <t>Knowledge-related challenges and solutions in GSD</t>
  </si>
  <si>
    <t>10.1111/j.1468-0394.2011.00608.x</t>
  </si>
  <si>
    <t>22954142600;57254920500;</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</si>
  <si>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 © 2011 Wiley Publishing Ltd.</t>
  </si>
  <si>
    <t>Parviainen P., Tihinen M.</t>
  </si>
  <si>
    <t>Expert Systems</t>
  </si>
  <si>
    <t>https://www.scopus.com/inward/record.uri?eid=2-s2.0-85044375516&amp;doi=10.1111%2fj.1468-0394.2011.00608.x&amp;partnerID=40&amp;md5=4514927c42fb11a39bebdb95a7a71d9e</t>
  </si>
  <si>
    <t>Software Technologies center, VTT Technical Research Centre of Finland, Finland; VTT Technical Research Centre of Finland, Finland</t>
  </si>
  <si>
    <t>Parviainen, P., Software Technologies center, VTT Technical Research Centre of Finland, Finland; Tihinen, M., VTT Technical Research Centre of Finland, Finland</t>
  </si>
  <si>
    <t>Labor control in the gig economy: Evidence from Uber in China</t>
  </si>
  <si>
    <t>10.1177/0022185619854472</t>
  </si>
  <si>
    <t>56488944200;57192488880;57191492741;57210814266;</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</si>
  <si>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 © 2019, Australian Labour and Employment Relations Association (ALERA), SAGE Publications Ltd, Los Angeles, London, New Delhi, Singapore and Washington DC.</t>
  </si>
  <si>
    <t>Wu Q., Zhang H., Li Z., Liu K.</t>
  </si>
  <si>
    <t>https://www.scopus.com/inward/record.uri?eid=2-s2.0-85071599154&amp;doi=10.1177%2f0022185619854472&amp;partnerID=40&amp;md5=a5855d5287f7d9e514bebde5449e50db</t>
  </si>
  <si>
    <t>Renmin University of China, China</t>
  </si>
  <si>
    <t>Wu, Q., Renmin University of China, China; Zhang, H., Renmin University of China, China; Li, Z., Renmin University of China, China; Liu, K., Renmin University of China, China</t>
  </si>
  <si>
    <t>Zhang, H.; Labor Relations, 59 Zhongguancun Avenue, Haidian District, China; email: zhang-hao@ruc.edu.cn</t>
  </si>
  <si>
    <t>Labour geographies of the platform economy: Understanding collective organizing strategies in the context of digitally mediated work</t>
  </si>
  <si>
    <t>10.1111/ilr.12154</t>
  </si>
  <si>
    <t>57202024268;</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</si>
  <si>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 © The author 2020 Journal compilation © International Labour Organization 2020</t>
  </si>
  <si>
    <t>Johnston H.</t>
  </si>
  <si>
    <t>International Labour Review</t>
  </si>
  <si>
    <t>https://www.scopus.com/inward/record.uri?eid=2-s2.0-85083065802&amp;doi=10.1111%2filr.12154&amp;partnerID=40&amp;md5=2d3da753573d1f99f7e65913c383cfd4</t>
  </si>
  <si>
    <t>Department of Geography and Planning, Queen's UniversityON, Canada</t>
  </si>
  <si>
    <t>Johnston, H., Department of Geography and Planning, Queen's UniversityON, Canada</t>
  </si>
  <si>
    <t>Johnston, H.; Department of Geography and Planning, Canada; email: 8hesj@queensu.ca</t>
  </si>
  <si>
    <t>Lay evaluations of police and civilian use of force: Action severity scales</t>
  </si>
  <si>
    <t>10.1037/lhb0000333</t>
  </si>
  <si>
    <t>57209109912;7004103690;</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</si>
  <si>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 © 2019 American Psychological Association.</t>
  </si>
  <si>
    <t>Celestin B.D., Kruschke J.K.</t>
  </si>
  <si>
    <t>https://www.scopus.com/inward/record.uri?eid=2-s2.0-85066499301&amp;doi=10.1037%2flhb0000333&amp;partnerID=40&amp;md5=d2e215706642f2de0fdd95e859f00b18</t>
  </si>
  <si>
    <t>Department of Psychological and Brain Sciences, Indiana University, United States</t>
  </si>
  <si>
    <t>Celestin, B.D., Department of Psychological and Brain Sciences, Indiana University, United States; Kruschke, J.K., Department of Psychological and Brain Sciences, Indiana University, United States</t>
  </si>
  <si>
    <t>Celestin, B.D.; Department of Psychological and Brain Sciences, 1101 East 10th Street, United States; email: bradcelestin@gmail.com</t>
  </si>
  <si>
    <t>Lay Perceptions of Healthy Eating Styles and Their Health Impacts</t>
  </si>
  <si>
    <t>10.1016/j.jneb.2017.12.012</t>
  </si>
  <si>
    <t>57200760039;7801380949;</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</si>
  <si>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 © 2018 Society for Nutrition Education and Behavior</t>
  </si>
  <si>
    <t>Vizireanu M., Hruschka D.</t>
  </si>
  <si>
    <t>https://www.scopus.com/inward/record.uri?eid=2-s2.0-85042385440&amp;doi=10.1016%2fj.jneb.2017.12.012&amp;partnerID=40&amp;md5=12bce12d0605e432e2a5a469ed9ed47f</t>
  </si>
  <si>
    <t>School of Human Evolution and Social Change, Arizona State University, Tempe, AZ, United States; Center for the Study of Los Angeles, Loyola Marymount University, Los Angeles, CA, United States</t>
  </si>
  <si>
    <t>Vizireanu, M., School of Human Evolution and Social Change, Arizona State University, Tempe, AZ, United States; Hruschka, D., Center for the Study of Los Angeles, Loyola Marymount University, Los Angeles, CA, United States</t>
  </si>
  <si>
    <t>Vizireanu, M.; Center for the Study of Los Angeles, University Hall 4116, 1 LMU Drive, United States; email: mariya.vizireanu@lmu.edu</t>
  </si>
  <si>
    <t>Learning about social learning in MOOCs: From statistical analysis to generative model</t>
  </si>
  <si>
    <t>10.1109/TLT.2014.2337900</t>
  </si>
  <si>
    <t>35770243900;7102873398;57213028537;49963826100;55648369400;55364818100;</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</si>
  <si>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 © 2014 IEEE.</t>
  </si>
  <si>
    <t>Brinton C.G., Chiang M., Jain S., Lam H., Liu Z., Wong F.M.F.</t>
  </si>
  <si>
    <t>IEEE Transactions on Learning Technologies</t>
  </si>
  <si>
    <t>https://www.scopus.com/inward/record.uri?eid=2-s2.0-84919829580&amp;doi=10.1109%2fTLT.2014.2337900&amp;partnerID=40&amp;md5=97dae6e423c1530f7618bafeeda33123</t>
  </si>
  <si>
    <t>Department of Electrical Engineering, Princeton University, Princeton, NJ  08540, United States; Microsoft, Bellevue, WA  98004, United States; Department of Mathematics and Statistics, Boston University, Boston, MA  02215, United States</t>
  </si>
  <si>
    <t>Brinton, C.G., Department of Electrical Engineering, Princeton University, Princeton, NJ  08540, United States; Chiang, M., Department of Electrical Engineering, Princeton University, Princeton, NJ  08540, United States; Jain, S., Microsoft, Bellevue, WA  98004, United States; Lam, H., Department of Mathematics and Statistics, Boston University, Boston, MA  02215, United States; Liu, Z., Department of Electrical Engineering, Princeton University, Princeton, NJ  08540, United States; Wong, F.M.F., Department of Electrical Engineering, Princeton University, Princeton, NJ  08540, United States</t>
  </si>
  <si>
    <t>Learning crowdsourced user preferences for visual summarization of image collections</t>
  </si>
  <si>
    <t>10.1109/TMM.2013.2261481</t>
  </si>
  <si>
    <t>17346968200;56574709600;6701775211;</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</si>
  <si>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 © 2013 IEEE.</t>
  </si>
  <si>
    <t>Rudinac S., Larson M., Hanjalic A.</t>
  </si>
  <si>
    <t>https://www.scopus.com/inward/record.uri?eid=2-s2.0-84884543863&amp;doi=10.1109%2fTMM.2013.2261481&amp;partnerID=40&amp;md5=aa51df7c191a4d5bcaf7503f9a897b01</t>
  </si>
  <si>
    <t>Multimedia Information Retrieval Lab, Delft University of Technology, Delft, Netherlands</t>
  </si>
  <si>
    <t>Rudinac, S., Multimedia Information Retrieval Lab, Delft University of Technology, Delft, Netherlands; Larson, M., Multimedia Information Retrieval Lab, Delft University of Technology, Delft, Netherlands; Hanjalic, A., Multimedia Information Retrieval Lab, Delft University of Technology, Delft, Netherlands</t>
  </si>
  <si>
    <t>Multimedia Information Retrieval Lab, , Delft, Netherlands</t>
  </si>
  <si>
    <t>Learning from crowds with active learning and self-healing</t>
  </si>
  <si>
    <t>10.1007/s00521-017-2878-y</t>
  </si>
  <si>
    <t>55988340100;14049181900;57189353164;</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</si>
  <si>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 © 2017, The Natural Computing Applications Forum.</t>
  </si>
  <si>
    <t>Shu Z., Sheng V.S., Li J.</t>
  </si>
  <si>
    <t>https://www.scopus.com/inward/record.uri?eid=2-s2.0-85013467031&amp;doi=10.1007%2fs00521-017-2878-y&amp;partnerID=40&amp;md5=38822a9b7bc2f00b833e8124b5cdf1cd</t>
  </si>
  <si>
    <t>College of Electronics and Information Engineering, South-Central University for Nationalities, 182 Minyuan Road Hongshan District, Wuhan, Hubei, China; School of Electronic and Information Engineering, Suzhou University of Science and Technology, Suzhou, China; Department of Computer Science, University of Central Arkansas, 201 Donaghey Ave, Conway, AR, United States; College of Electronics and Information Engineering, Hubei University of Economics, 8 Yangchahu Road Jiangxia district, Wuhan, Hubei, China</t>
  </si>
  <si>
    <t>Shu, Z., College of Electronics and Information Engineering, South-Central University for Nationalities, 182 Minyuan Road Hongshan District, Wuhan, Hubei, China; Sheng, V.S., School of Electronic and Information Engineering, Suzhou University of Science and Technology, Suzhou, China, Department of Computer Science, University of Central Arkansas, 201 Donaghey Ave, Conway, AR, United States; Li, J., College of Electronics and Information Engineering, Hubei University of Economics, 8 Yangchahu Road Jiangxia district, Wuhan, Hubei, China</t>
  </si>
  <si>
    <t>Shu, Z.; College of Electronics and Information Engineering, 182 Minyuan Road Hongshan District, China; email: zhenyushu@scuec.edu.cn</t>
  </si>
  <si>
    <t>Learning mixtures of submodular functions for image collection summarization</t>
  </si>
  <si>
    <t>54917447400;56111913800;56735046100;7003705752;</t>
  </si>
  <si>
    <t>We address the problem of image collection summarization by learning mixtures of submodular functions. Submodularity is useful for this problem since it naturally represents characteristics such as fidelity and diversity, desirable for any summary. Several previously proposed image summarization scoring methodologies, in fact, instinctively arrived at submodularity. We provide classes of submodular component functions (including some which are instantiated via a deep neural network) over which mixtures may be learnt. We formulate the learning of such mixtures as a supervised problem via large-margin structured prediction. As a loss function, and for automatic summary scoring, we introduce a novel summary evaluation method called V-ROUGE, and test both submodular and non-submodular optimization (using the submodular-supermodular procedure) to learn a mixture of submodular functions. Interestingly, using non-submodular optimization to learn submodular functions provides the best results. We also provide a new data set consisting of 14 real-world image collections along with many human-generated ground truth summaries collected using Amazon Mechanical Turk. We compare our method with previous work on this problem and show that our learning approach outperforms all competitors on this new data set. This paper provides, to our knowledge, the first systematic approach for quantifying the problem of image collection summarization, along with a new data set of image collections and human summaries.</t>
  </si>
  <si>
    <t>Tschiatschek S., Iyer R., Wei H., Bilmes J.</t>
  </si>
  <si>
    <t>https://www.scopus.com/inward/record.uri?eid=2-s2.0-84937855935&amp;partnerID=40&amp;md5=1556aa957e2ead94bb36244f6ede3c2f</t>
  </si>
  <si>
    <t>Department of Electrical Engineering, Graz University of Technology, Austria; Department of Electrical Engineering, University of Washington, United States; LinkedIn, Department of Electrical Engineering, University of Washington, United States</t>
  </si>
  <si>
    <t>Tschiatschek, S., Department of Electrical Engineering, Graz University of Technology, Austria; Iyer, R., Department of Electrical Engineering, University of Washington, United States; Wei, H., LinkedIn, Department of Electrical Engineering, University of Washington, United States; Bilmes, J., Department of Electrical Engineering, Graz University of Technology, Austria</t>
  </si>
  <si>
    <t>Learning to hire? hiring as a dynamic experiential learning process in an online market for contract labor</t>
  </si>
  <si>
    <t>10.1287/mnsc.2017.2871</t>
  </si>
  <si>
    <t>55113432400;</t>
  </si>
  <si>
    <t>We know a job applicant's social category affects an employer's likelihood of hiring the applicant, but we do not know whether, or how, employers update their beliefs regarding these social categories. I portray hiring as a cognitive decision and examine howprior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 © 2017 INFORMS.</t>
  </si>
  <si>
    <t>Leung M.D.</t>
  </si>
  <si>
    <t>https://www.scopus.com/inward/record.uri?eid=2-s2.0-85060892876&amp;doi=10.1287%2fmnsc.2017.2871&amp;partnerID=40&amp;md5=d1f60175648e562ea003a098978f4358</t>
  </si>
  <si>
    <t>Haas School of Business, University of California, Berkeley, CA  94720, United States</t>
  </si>
  <si>
    <t>Leung, M.D., Haas School of Business, University of California, Berkeley, CA  94720, United States</t>
  </si>
  <si>
    <t>Leung, M.D.; Haas School of Business, United States; email: mingdleung@haas.berkeley.edu</t>
  </si>
  <si>
    <t>Legal geographies of labour and postdemocracy: Reinforcing non-standard work in South Korea</t>
  </si>
  <si>
    <t>10.1111/tran.12216</t>
  </si>
  <si>
    <t>35221351800;35366538900;</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</si>
  <si>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 The information, practices and views in this article are those of the author(s) and do not necessarily reflect the opinion of the Royal Geographical Society (with IBG). © 2017 Royal Geographical Society (with the Institute of British Geographers).</t>
  </si>
  <si>
    <t>Doucette J., Kang S.</t>
  </si>
  <si>
    <t>Transactions of the Institute of British Geographers</t>
  </si>
  <si>
    <t>https://www.scopus.com/inward/record.uri?eid=2-s2.0-85047533033&amp;doi=10.1111%2ftran.12216&amp;partnerID=40&amp;md5=29ad95e80b0570edc0d435e0677ea25f</t>
  </si>
  <si>
    <t>Geography, School of Environment, Education, and Development, University of Manchester, Manchester, United Kingdom; Department of Political Science, John Jay College of Criminal Justice, City University of New York, New York, NY, United States</t>
  </si>
  <si>
    <t>Doucette, J., Geography, School of Environment, Education, and Development, University of Manchester, Manchester, United Kingdom; Kang, S., Department of Political Science, John Jay College of Criminal Justice, City University of New York, New York, NY, United States</t>
  </si>
  <si>
    <t>Doucette, J.; Geography, United Kingdom; email: jamie.doucette@manchester.ac.uk</t>
  </si>
  <si>
    <t>Less than adequate: Regulating temporary agency work in the EU in the face of an internal market in services</t>
  </si>
  <si>
    <t>10.1093/cjres/rsp007</t>
  </si>
  <si>
    <t>6506303796;</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</si>
  <si>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 © The Author 2009. Published by Oxford University Press on behalf of the Cambridge Political Economy Society. All rights reserved.</t>
  </si>
  <si>
    <t>Vosko L.F.</t>
  </si>
  <si>
    <t>Cambridge Journal of Regions, Economy and Society</t>
  </si>
  <si>
    <t>https://www.scopus.com/inward/record.uri?eid=2-s2.0-73949106267&amp;doi=10.1093%2fcjres%2frsp007&amp;partnerID=40&amp;md5=3ad70dfdb115fb36939115f926bf3404</t>
  </si>
  <si>
    <t>Political Science York University, 4700 Keele Street, Toronto, ON M3J 1P3, Canada</t>
  </si>
  <si>
    <t>Vosko, L.F., Political Science York University, 4700 Keele Street, Toronto, ON M3J 1P3, Canada</t>
  </si>
  <si>
    <t>Vosko, L. F.; Political Science York University, 4700 Keele Street, Toronto, ON M3J 1P3, Canada; email: lvosko@yorku.ca</t>
  </si>
  <si>
    <t>Leveraging the crowds to disrupt phishing</t>
  </si>
  <si>
    <t>10.1109/CNS.2013.6682695</t>
  </si>
  <si>
    <t>55532105600;57221316205;</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</si>
  <si>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 - also called honey tokens - 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 © 2013 IEEE.</t>
  </si>
  <si>
    <t>Gustafson J., Li J.</t>
  </si>
  <si>
    <t>2013 IEEE Conference on Communications and Network Security, CNS 2013</t>
  </si>
  <si>
    <t>https://www.scopus.com/inward/record.uri?eid=2-s2.0-84893558377&amp;doi=10.1109%2fCNS.2013.6682695&amp;partnerID=40&amp;md5=287b7e83e14b05bf40eacac9ca166fb2</t>
  </si>
  <si>
    <t>Network and Security Research Laboratory, University of Oregon, United States</t>
  </si>
  <si>
    <t>Gustafson, J., Network and Security Research Laboratory, University of Oregon, United States; Li, J., Network and Security Research Laboratory, University of Oregon, United States</t>
  </si>
  <si>
    <t>Li, J.; Network and Security Research Laboratory, University of OregonUnited States; email: lijun@cs.uoregon.edu</t>
  </si>
  <si>
    <t>Locum physicians' professional ethos: A qualitative interview study from Germany</t>
  </si>
  <si>
    <t>10.1186/s12913-018-3118-6</t>
  </si>
  <si>
    <t>36570940200;35316757200;35146988000;55937952300;</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</si>
  <si>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 © 2018 The Author(s).</t>
  </si>
  <si>
    <t>Salloch S., Apitzsch B., Wilkesmann M., Ruiner C.</t>
  </si>
  <si>
    <t>https://www.scopus.com/inward/record.uri?eid=2-s2.0-85046651615&amp;doi=10.1186%2fs12913-018-3118-6&amp;partnerID=40&amp;md5=34a75834281e78dd34211c5cd182e639</t>
  </si>
  <si>
    <t>Institute of Ethics and History of Medicine, University Medicine Greifswald, Ellernholzstr. 1-2, Greifswald, 17487, Germany; Sociological Research Institute (SOFI) Göttingen, Göttingen, 37085, Germany; Faculty of Business, Economics, and Social Sciences, TU Dortmund University, Dortmund, 44221, Germany; Institute of Work Science, Ruhr University Bochum, Bochum, 44801, Germany</t>
  </si>
  <si>
    <t>Salloch, S., Institute of Ethics and History of Medicine, University Medicine Greifswald, Ellernholzstr. 1-2, Greifswald, 17487, Germany; Apitzsch, B., Sociological Research Institute (SOFI) Göttingen, Göttingen, 37085, Germany; Wilkesmann, M., Faculty of Business, Economics, and Social Sciences, TU Dortmund University, Dortmund, 44221, Germany; Ruiner, C., Institute of Work Science, Ruhr University Bochum, Bochum, 44801, Germany</t>
  </si>
  <si>
    <t>Salloch, S.; Institute of Ethics and History of Medicine, Ellernholzstr. 1-2, Germany; email: sabine.salloch@uni-greifswald.de</t>
  </si>
  <si>
    <t>Loki: A privacy-conscious platform for crowdsourced surveys</t>
  </si>
  <si>
    <t>10.1109/COMSNETS.2014.6734877</t>
  </si>
  <si>
    <t>55437759500;55882671700;15044177800;13806846400;</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</si>
  <si>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 © 2014 IEEE.</t>
  </si>
  <si>
    <t>Kandappu T., Sivaraman V., Friedman A., Boreli R.</t>
  </si>
  <si>
    <t>2014 6th International Conference on Communication Systems and Networks, COMSNETS 2014</t>
  </si>
  <si>
    <t>https://www.scopus.com/inward/record.uri?eid=2-s2.0-84896769391&amp;doi=10.1109%2fCOMSNETS.2014.6734877&amp;partnerID=40&amp;md5=98e76af7f1f9c04802b80e49fe0bd28d</t>
  </si>
  <si>
    <t>School of Electrical Engineering and Telecommunications, UNSW, Sydney, Australia; NICTA, Sydney, Australia</t>
  </si>
  <si>
    <t>Kandappu, T., School of Electrical Engineering and Telecommunications, UNSW, Sydney, Australia, NICTA, Sydney, Australia; Sivaraman, V., School of Electrical Engineering and Telecommunications, UNSW, Sydney, Australia; Friedman, A., NICTA, Sydney, Australia; Boreli, R., NICTA, Sydney, Australia</t>
  </si>
  <si>
    <t>School of Electrical Engineering and Telecommunications, , Sydney, Australia</t>
  </si>
  <si>
    <t>Long hours of work in the U.S.: Associations with demographic and organizational characteristics, psychosocial working conditions, and health</t>
  </si>
  <si>
    <t>10.1002/ajim.20388</t>
  </si>
  <si>
    <t>7004023239;57206161497;7102610685;7005636770;</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</si>
  <si>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 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</si>
  <si>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Grosch J.W., Caruso C.C., Rosa R.R., Sauter S.L.</t>
  </si>
  <si>
    <t>American Journal of Industrial Medicine</t>
  </si>
  <si>
    <t>https://www.scopus.com/inward/record.uri?eid=2-s2.0-33750942546&amp;doi=10.1002%2fajim.20388&amp;partnerID=40&amp;md5=83de63e6b8173481286bdcd697c8785d</t>
  </si>
  <si>
    <t>Division of Applied Research and Technology, NIOSH, Cincinnati, OH, United States; Office of the Director, NIOSH, Washington, DC, United States; National Institute for Occupational Safety and Health, MS C-24, 4676 Columbia Parkway, Cincinnati, OH 45226-1998, United States</t>
  </si>
  <si>
    <t>Grosch, J.W., Division of Applied Research and Technology, NIOSH, Cincinnati, OH, United States, National Institute for Occupational Safety and Health, MS C-24, 4676 Columbia Parkway, Cincinnati, OH 45226-1998, United States; Caruso, C.C., Division of Applied Research and Technology, NIOSH, Cincinnati, OH, United States; Rosa, R.R., Office of the Director, NIOSH, Washington, DC, United States; Sauter, S.L., Division of Applied Research and Technology, NIOSH, Cincinnati, OH, United States</t>
  </si>
  <si>
    <t>Grosch, J.W.; National Institute for Occupational Safety and Health, 4676 Columbia Parkway, Cincinnati, OH 45226-1998, United States; email: jkg9@cdc.gov</t>
  </si>
  <si>
    <t>Look Who’s Talking: Mediums of Contact Among Mid-to Later-Life Siblings</t>
  </si>
  <si>
    <t>10.1177/0091415020912956</t>
  </si>
  <si>
    <t>57201090847;55520190100;8089134600;15074433500;</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</si>
  <si>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 © The Author(s) 2020.</t>
  </si>
  <si>
    <t>Hill M.S., Jensen A.C., Coyne S.M., Yorgason J.B.</t>
  </si>
  <si>
    <t>https://www.scopus.com/inward/record.uri?eid=2-s2.0-85082975637&amp;doi=10.1177%2f0091415020912956&amp;partnerID=40&amp;md5=f720b07b4a226f55a1063dde83da2a59</t>
  </si>
  <si>
    <t>Department of School of Family Life, Brigham Young University, Provo, UT, United States</t>
  </si>
  <si>
    <t>Hill, M.S., Department of School of Family Life, Brigham Young University, Provo, UT, United States; Jensen, A.C., Department of School of Family Life, Brigham Young University, Provo, UT, United States; Coyne, S.M., Department of School of Family Life, Brigham Young University, Provo, UT, United States; Yorgason, J.B., Department of School of Family Life, Brigham Young University, Provo, UT, United States</t>
  </si>
  <si>
    <t>Hill, M.S.; Department of School of Family Life, United States; email: melanie.serrao@gmail.com</t>
  </si>
  <si>
    <t>Machinic dispossession and augmented despotism: Digital work in an Amazon warehouse</t>
  </si>
  <si>
    <t>10.1177/1461444819891613</t>
  </si>
  <si>
    <t>26657117900;</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</si>
  <si>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 © The Author(s) 2019.</t>
  </si>
  <si>
    <t>Delfanti A.</t>
  </si>
  <si>
    <t>https://www.scopus.com/inward/record.uri?eid=2-s2.0-85076605663&amp;doi=10.1177%2f1461444819891613&amp;partnerID=40&amp;md5=3fa680491c4a737c5738d9928c64888a</t>
  </si>
  <si>
    <t>University of Toronto, Canada</t>
  </si>
  <si>
    <t>Delfanti, A., University of Toronto, Canada</t>
  </si>
  <si>
    <t>Delfanti, A.; University of TorontoCanada; email: a.delfanti@utoronto.ca</t>
  </si>
  <si>
    <t>Make-or-buy decisions regarding temporary agency work - An empirical analysis of the decision process and expected effects</t>
  </si>
  <si>
    <t>10.1080/09585192.2011.560866</t>
  </si>
  <si>
    <t>26031304800;35084995400;</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</si>
  <si>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 © 2011 Taylor &amp; Francis.</t>
  </si>
  <si>
    <t>Alewell D., Hauff S.</t>
  </si>
  <si>
    <t>https://www.scopus.com/inward/record.uri?eid=2-s2.0-80053120743&amp;doi=10.1080%2f09585192.2011.560866&amp;partnerID=40&amp;md5=3d2b764724d42e66470a238f9c182030</t>
  </si>
  <si>
    <t>Department of Business Administration, University of Hamburg, Hamburg, Germany</t>
  </si>
  <si>
    <t>Alewell, D., Department of Business Administration, University of Hamburg, Hamburg, Germany; Hauff, S., Department of Business Administration, University of Hamburg, Hamburg, Germany</t>
  </si>
  <si>
    <t>Alewell, D.; Department of Business Administration, , Hamburg, Germany; email: dorothea.alewell@wiso.uni-hamburg.de</t>
  </si>
  <si>
    <t>Making Noise Intentional: A Study of Servo Sound Perception</t>
  </si>
  <si>
    <t>10.1145/2909824.3020238</t>
  </si>
  <si>
    <t>57194722639;57189046152;56144702700;7005898423;</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</si>
  <si>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 © 2017 ACM.</t>
  </si>
  <si>
    <t>Moore D., Tennent H., Martelaro N., Ju W.</t>
  </si>
  <si>
    <t>ACM/IEEE International Conference on Human-Robot Interaction</t>
  </si>
  <si>
    <t>https://www.scopus.com/inward/record.uri?eid=2-s2.0-85021804890&amp;doi=10.1145%2f2909824.3020238&amp;partnerID=40&amp;md5=79272a565a90597121b430f6315be981</t>
  </si>
  <si>
    <t>Center for Design Research, Stanford University, Stanford, CA  94305, United States; Department of Information Science, Cornell University, Ithaca, NY  14853, United States</t>
  </si>
  <si>
    <t>Moore, D., Center for Design Research, Stanford University, Stanford, CA  94305, United States; Tennent, H., Department of Information Science, Cornell University, Ithaca, NY  14853, United States; Martelaro, N., Center for Design Research, Stanford University, Stanford, CA  94305, United States; Ju, W., Center for Design Research, Stanford University, Stanford, CA  94305, United States</t>
  </si>
  <si>
    <t>Mapping the sharing economy for sustainability research</t>
  </si>
  <si>
    <t>10.1108/MD-11-2016-0766</t>
  </si>
  <si>
    <t>57195718586;23488964100;</t>
  </si>
  <si>
    <t>Purpose: In order to guide sustainability research on the sharing economy, the purpose of this paper is to develop a comprehensive framework that captures the wide range of activities and business models that are considered to be part of the sharing economy. Design/methodology/approach: Based on a systematic literature review and a content analysis, existing typologies are identified and analyzed for their conceptual intersections. Finally, categorizations from 43 documents are integrated into one framework. Findings: Four main dimensions are identified as being used in different contexts to characterize sharing systems and were combined to form one comprehensive typology: shared good or service, market structure, market orientation, and industry sector. Originality/value: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 © 2018, Emerald Publishing Limited.</t>
  </si>
  <si>
    <t>Plewnia F., Guenther E.</t>
  </si>
  <si>
    <t>Management Decision</t>
  </si>
  <si>
    <t>https://www.scopus.com/inward/record.uri?eid=2-s2.0-85043448640&amp;doi=10.1108%2fMD-11-2016-0766&amp;partnerID=40&amp;md5=a71df70eb8378fe1eb068a4ea3478e7c</t>
  </si>
  <si>
    <t>Faculty of Business and Economics, Technische Universität Dresden, Dresden, Germany</t>
  </si>
  <si>
    <t>Plewnia, F., Faculty of Business and Economics, Technische Universität Dresden, Dresden, Germany; Guenther, E., Faculty of Business and Economics, Technische Universität Dresden, Dresden, Germany</t>
  </si>
  <si>
    <t>Guenther, E.; Faculty of Business and Economics, Germany; email: ema@mailbox.tu-dresden.de</t>
  </si>
  <si>
    <t>Market Collaboration: Finance, Culture, and Ethnography after Neoliberalism</t>
  </si>
  <si>
    <t>10.1111/aman.12052</t>
  </si>
  <si>
    <t>6602852419;</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</si>
  <si>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 © 2013 by the American Anthropological Association.</t>
  </si>
  <si>
    <t>Riles A.</t>
  </si>
  <si>
    <t>American Anthropologist</t>
  </si>
  <si>
    <t>https://www.scopus.com/inward/record.uri?eid=2-s2.0-84888054296&amp;doi=10.1111%2faman.12052&amp;partnerID=40&amp;md5=4fa53e4f7a178817959460154cd92381</t>
  </si>
  <si>
    <t>Cornell Law School and Department of Anthropology, Cornell University, Ithaca, NY 14853, United States</t>
  </si>
  <si>
    <t>Riles, A., Cornell Law School and Department of Anthropology, Cornell University, Ithaca, NY 14853, United States</t>
  </si>
  <si>
    <t>Riles, A.; Cornell Law School and Department of Anthropology, , Ithaca, NY 14853, United States; email: ar254@cornell.edu</t>
  </si>
  <si>
    <t>Measures for predicting task cohesion in a global collaborative learning environment</t>
  </si>
  <si>
    <t>10.1109/ICGSEW.2016.23</t>
  </si>
  <si>
    <t>56520303500;6701676240;36473618000;55511383900;</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</si>
  <si>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 © 2016 IEEE.</t>
  </si>
  <si>
    <t>Castro-Hernandez A., Swigger K., Ponce-Flores M.P., Teran-Villanueva J.D.</t>
  </si>
  <si>
    <t>https://www.scopus.com/inward/record.uri?eid=2-s2.0-84994589109&amp;doi=10.1109%2fICGSEW.2016.23&amp;partnerID=40&amp;md5=87cc95f2eea1ccb33322dc0832d89509</t>
  </si>
  <si>
    <t>Department of Computer Science and Engineering, University of North Texas, United States; Ingeniería en Tecnologías de la Información, Universidad Politécnica de Altamira, Mexico; División de Estudios de Posgrado e Investigación, Instituto Tecnológico de Ciudad Madero, Mexico</t>
  </si>
  <si>
    <t>Castro-Hernandez, A., Department of Computer Science and Engineering, University of North Texas, United States; Swigger, K., Department of Computer Science and Engineering, University of North Texas, United States; Ponce-Flores, M.P., Ingeniería en Tecnologías de la Información, Universidad Politécnica de Altamira, Mexico; Teran-Villanueva, J.D., División de Estudios de Posgrado e Investigación, Instituto Tecnológico de Ciudad Madero, Mexico</t>
  </si>
  <si>
    <t>Measuring the muses: Validating the Kaufman Domains of Creativity Scale (K-DOCS)</t>
  </si>
  <si>
    <t>10.1037/aca0000074</t>
  </si>
  <si>
    <t>56427628300;57204340112;7403022406;</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</si>
  <si>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 © 2016 American Psychological Association.</t>
  </si>
  <si>
    <t>McKay A.S., Karwowski M., Kaufman J.C.</t>
  </si>
  <si>
    <t>Psychology of Aesthetics, Creativity, and the Arts</t>
  </si>
  <si>
    <t>https://www.scopus.com/inward/record.uri?eid=2-s2.0-85007190530&amp;doi=10.1037%2faca0000074&amp;partnerID=40&amp;md5=3ef7f0435cc9742515e86ad02d26b005</t>
  </si>
  <si>
    <t>Department of Psychology, The Pennsylvania State University, United States; Creative Education Lab, The Maria Grzegorzewska University, Poland; Neag School of Education, University of Connecticut, United States</t>
  </si>
  <si>
    <t>McKay, A.S., Department of Psychology, The Pennsylvania State University, United States; Karwowski, M., Creative Education Lab, The Maria Grzegorzewska University, Poland; Kaufman, J.C., Neag School of Education, University of Connecticut, United States</t>
  </si>
  <si>
    <t>McKay, A.S.; Department of Psychology, 142 Moore Building, United States; email: asm273@psu.edu</t>
  </si>
  <si>
    <t>Mediation of the Association Between Mindfulness and Emotional Eating Among Overweight Individuals</t>
  </si>
  <si>
    <t>10.1007/s12671-018-1064-3</t>
  </si>
  <si>
    <t>57202081108;35232426500;57192833760;</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</si>
  <si>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 = 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 © 2018, Springer Science+Business Media, LLC, part of Springer Nature.</t>
  </si>
  <si>
    <t>Watford T.S., Braden A.L., Emley E.A.</t>
  </si>
  <si>
    <t>https://www.scopus.com/inward/record.uri?eid=2-s2.0-85065812960&amp;doi=10.1007%2fs12671-018-1064-3&amp;partnerID=40&amp;md5=71c371aaefa54caa6639ebc6b95565a0</t>
  </si>
  <si>
    <t>Bowling Green State University, Bowling Green, OH  43403, United States</t>
  </si>
  <si>
    <t>Watford, T.S., Bowling Green State University, Bowling Green, OH  43403, United States; Braden, A.L., Bowling Green State University, Bowling Green, OH  43403, United States; Emley, E.A., Bowling Green State University, Bowling Green, OH  43403, United States</t>
  </si>
  <si>
    <t>Watford, T.S.; Bowling Green State UniversityUnited States; email: tanyasw@bgsu.edu</t>
  </si>
  <si>
    <t>Mediatization of social space and the case of uber drivers</t>
  </si>
  <si>
    <t>10.17645/mac.v6i2.1316</t>
  </si>
  <si>
    <t>57193522179;10042937300;</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</si>
  <si>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 © 2018 by the authors.</t>
  </si>
  <si>
    <t>Chan N.K., Humphreys L.</t>
  </si>
  <si>
    <t>https://www.scopus.com/inward/record.uri?eid=2-s2.0-85048471577&amp;doi=10.17645%2fmac.v6i2.1316&amp;partnerID=40&amp;md5=9359e38aa1ae6c647adb83d10ce221bf</t>
  </si>
  <si>
    <t>Department of Communication, Cornell University, Ithaca, NY  14853, United States</t>
  </si>
  <si>
    <t>Chan, N.K., Department of Communication, Cornell University, Ithaca, NY  14853, United States; Humphreys, L., Department of Communication, Cornell University, Ithaca, NY  14853, United States</t>
  </si>
  <si>
    <t>Chan, N.K.; Department of Communication, United States; email: nc478@cornell.edu</t>
  </si>
  <si>
    <t>Methods to detect low quality data and its implication for psychological research</t>
  </si>
  <si>
    <t>10.3758/s13428-018-1035-6</t>
  </si>
  <si>
    <t>36624932600;57194018814;</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</si>
  <si>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 © 2018, Psychonomic Society, Inc.</t>
  </si>
  <si>
    <t>Buchanan E.M., Scofield J.E.</t>
  </si>
  <si>
    <t>https://www.scopus.com/inward/record.uri?eid=2-s2.0-85043685981&amp;doi=10.3758%2fs13428-018-1035-6&amp;partnerID=40&amp;md5=47bad10f292c03442d6a1883d2d287be</t>
  </si>
  <si>
    <t>Department of Psychology, Missouri State University, 901 S. National Ave, Springfield, MO  65804, United States; Department of Psychological Sciences, University of Missouri, Columbia, MO  65211, United States</t>
  </si>
  <si>
    <t>Buchanan, E.M., Department of Psychology, Missouri State University, 901 S. National Ave, Springfield, MO  65804, United States; Scofield, J.E., Department of Psychological Sciences, University of Missouri, Columbia, MO  65211, United States</t>
  </si>
  <si>
    <t>Buchanan, E.M.; Department of Psychology, 901 S. National Ave, United States; email: erinbuchanan@missouristate.edu</t>
  </si>
  <si>
    <t>Microcomputations as micropayments in web-based services</t>
  </si>
  <si>
    <t>10.1145/2611526</t>
  </si>
  <si>
    <t>23034825800;24576636300;56195444700;6602320086;57217795249;</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</si>
  <si>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</si>
  <si>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G.O., Francillon A., Budilivschi V., Čapkun S., Čapkun V.</t>
  </si>
  <si>
    <t>https://www.scopus.com/inward/record.uri?eid=2-s2.0-84901915970&amp;doi=10.1145%2f2611526&amp;partnerID=40&amp;md5=ccdcb45ed0773f4f90ae925f1c1b565e</t>
  </si>
  <si>
    <t>NEC Laboratories Europe, 69115 Heidelberg, Germany; EURECOM, Campus SophiaTech, 06410 Biot, France; Department of Computer Science of ETH Zurich, 8092, Zurich, Switzerland; Department of Accounting and Management Control, HEC Paris, 78351 Jouy-en-Josas, France</t>
  </si>
  <si>
    <t>Karame, G.O., NEC Laboratories Europe, 69115 Heidelberg, Germany; Francillon, A., EURECOM, Campus SophiaTech, 06410 Biot, France; Budilivschi, V., EURECOM, Campus SophiaTech, 06410 Biot, France; Čapkun, S., Department of Computer Science of ETH Zurich, 8092, Zurich, Switzerland; Čapkun, V., Department of Accounting and Management Control, HEC Paris, 78351 Jouy-en-Josas, France</t>
  </si>
  <si>
    <t>Budilivschi, V.; EURECOM, Campus SophiaTech, 06410 Biot, France; email: victor@budilivschi.com</t>
  </si>
  <si>
    <t>MicroLapse: Measuring workers' leniency to prediction errors of microtasks' working times</t>
  </si>
  <si>
    <t>10.1145/3311957.3359466</t>
  </si>
  <si>
    <t>57188821642;54887479100;7408541127;16238221500;</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</si>
  <si>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diferent scales of microtask working times. In this study, we formulate MicroLapse, a function that expresses a maximal error in working time prediction that workers can accept for a given working time length. We collected 60, 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 © 2019 Copyright held by the owner/author(s).</t>
  </si>
  <si>
    <t>Saito S., Nakano T., Kobayashi T., Bigham J.P.</t>
  </si>
  <si>
    <t>https://www.scopus.com/inward/record.uri?eid=2-s2.0-85076108359&amp;doi=10.1145%2f3311957.3359466&amp;partnerID=40&amp;md5=863063a26281bccfca7dab7d96734af7</t>
  </si>
  <si>
    <t>Waseda University, Shinjuku-ku, Tokyo, Japan; Carnegie Mellon University, Pitsburgh, PA, United States</t>
  </si>
  <si>
    <t>Saito, S., Waseda University, Shinjuku-ku, Tokyo, Japan; Nakano, T., Waseda University, Shinjuku-ku, Tokyo, Japan; Kobayashi, T., Waseda University, Shinjuku-ku, Tokyo, Japan; Bigham, J.P., Carnegie Mellon University, Pitsburgh, PA, United States</t>
  </si>
  <si>
    <t>Mindful feeding and child dietary health</t>
  </si>
  <si>
    <t>10.1016/j.eatbeh.2016.12.002</t>
  </si>
  <si>
    <t>57192833760;56428286200;6603316463;</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</si>
  <si>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 2016 Elsevier Ltd</t>
  </si>
  <si>
    <t>Emley E.A., Taylor M.B., Musher-Eizenman D.R.</t>
  </si>
  <si>
    <t>https://www.scopus.com/inward/record.uri?eid=2-s2.0-85008384554&amp;doi=10.1016%2fj.eatbeh.2016.12.002&amp;partnerID=40&amp;md5=0c0db678c18f3a0405485484b8928a10</t>
  </si>
  <si>
    <t>Department of Psychology, Bowling Green State University, Bowling Green, OH  43403, United States</t>
  </si>
  <si>
    <t>Emley, E.A., Department of Psychology, Bowling Green State University, Bowling Green, OH  43403, United States; Taylor, M.B., Department of Psychology, Bowling Green State University, Bowling Green, OH  43403, United States; Musher-Eizenman, D.R., Department of Psychology, Bowling Green State University, Bowling Green, OH  43403, United States</t>
  </si>
  <si>
    <t>Emley, E.A.; Department of Psychology, United States; email: emleye@bgsu.edu</t>
  </si>
  <si>
    <t>Minimizing time-to-rank: A learning and recommendation approach</t>
  </si>
  <si>
    <t>10.24963/ijcai.2019/195</t>
  </si>
  <si>
    <t>57205288942;56028510100;56736099400;57205294082;23011050500;57211760248;</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</si>
  <si>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 © 2019 International Joint Conferences on Artificial Intelligence. All rights reserved.</t>
  </si>
  <si>
    <t>Li H., Sikdar S., Vaish R., Wang J., Xia L., Ye C.</t>
  </si>
  <si>
    <t>https://www.scopus.com/inward/record.uri?eid=2-s2.0-85074943404&amp;doi=10.24963%2fijcai.2019%2f195&amp;partnerID=40&amp;md5=98eecd214ca133f0254c49e0983aed59</t>
  </si>
  <si>
    <t>Duke University, United States; Rensselaer Polytechnic Institute, United States; Stanford University, United States</t>
  </si>
  <si>
    <t>Li, H., Duke University, United States; Sikdar, S., Rensselaer Polytechnic Institute, United States; Vaish, R., Rensselaer Polytechnic Institute, United States; Wang, J., Rensselaer Polytechnic Institute, United States; Xia, L., Rensselaer Polytechnic Institute, United States; Ye, C., Stanford University, United States</t>
  </si>
  <si>
    <t>Vaish, R.; Rensselaer Polytechnic InstituteUnited States; email: vaishr2@rpi.edu</t>
  </si>
  <si>
    <t>Mobile CPU's rise to power: Quantifying the impact of generational mobile CPU design trends on performance, energy, and user satisfaction</t>
  </si>
  <si>
    <t>10.1109/HPCA.2016.7446054</t>
  </si>
  <si>
    <t>56559439200;36455271900;8977946300;</t>
  </si>
  <si>
    <t>In this paper, we assess the past, present, and future of mobile CPU design. We study how mobile CPU designs trends have impacted the end-user, hardware design, and the holistic mobile device. We analyze the evolution often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 © 2016 IEEE.</t>
  </si>
  <si>
    <t>Halpern M., Zhu Y., Reddi V.J.</t>
  </si>
  <si>
    <t>Proceedings - International Symposium on High-Performance Computer Architecture</t>
  </si>
  <si>
    <t>https://www.scopus.com/inward/record.uri?eid=2-s2.0-84965072162&amp;doi=10.1109%2fHPCA.2016.7446054&amp;partnerID=40&amp;md5=98c1daadc87e439e0ae5c4b6f47b474b</t>
  </si>
  <si>
    <t>University of Texas, Department of Electrical and Computer Engineering, Austin, United States</t>
  </si>
  <si>
    <t>Halpern, M., University of Texas, Department of Electrical and Computer Engineering, Austin, United States; Zhu, Y., University of Texas, Department of Electrical and Computer Engineering, Austin, United States; Reddi, V.J., University of Texas, Department of Electrical and Computer Engineering, Austin, United States</t>
  </si>
  <si>
    <t>Model-based task allocation in distributed software development</t>
  </si>
  <si>
    <t>10.1007/978-3-642-13784-6_5</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</si>
  <si>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 © Springer-Verlag Berlin Heidelberg 2010.</t>
  </si>
  <si>
    <t>https://www.scopus.com/inward/record.uri?eid=2-s2.0-84876233625&amp;doi=10.1007%2f978-3-642-13784-6_5&amp;partnerID=40&amp;md5=efa15df6dadd0bb8846bdddd4b3ef7e9</t>
  </si>
  <si>
    <t>Lamersdorf, A., University of Kaiserslautern, Germany; Münch, J., University of Kaiserslautern, Germany, Fraunhofer IESE, Germany</t>
  </si>
  <si>
    <t>Modelling of occupational health and safety aspects in the Digital Factory</t>
  </si>
  <si>
    <t>10.1016/j.compind.2005.01.005</t>
  </si>
  <si>
    <t>55921568000;12753153000;</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</si>
  <si>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In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a macro-ergonomic OHS approach to digital work systems planning developed at the ifab-Institute. © 2005 Elsevier B.V. All rights reserved.</t>
  </si>
  <si>
    <t>Zülch G., Grieger T.</t>
  </si>
  <si>
    <t>Computers in Industry</t>
  </si>
  <si>
    <t>https://www.scopus.com/inward/record.uri?eid=2-s2.0-33644502209&amp;doi=10.1016%2fj.compind.2005.01.005&amp;partnerID=40&amp;md5=cc355fbaf84719b0216fda0d70245a24</t>
  </si>
  <si>
    <t>Institute of Human and Industrial Engineering (ifab), University of Karlsruhe, Kaiserstrasse 12, D-76128 Karlsruhe, Germany; Institute of Human and Industrial Engineering (Ifab), University of Karlsruhe (TH), Germany; Institute of Human and Industrial Engineering, University of Karlsruhe, Germany</t>
  </si>
  <si>
    <t>Zülch, G., Institute of Human and Industrial Engineering (ifab), University of Karlsruhe, Kaiserstrasse 12, D-76128 Karlsruhe, Germany, Institute of Human and Industrial Engineering (Ifab), University of Karlsruhe (TH), Germany; Grieger, T., Institute of Human and Industrial Engineering (ifab), University of Karlsruhe, Kaiserstrasse 12, D-76128 Karlsruhe, Germany, Institute of Human and Industrial Engineering, University of Karlsruhe, Germany</t>
  </si>
  <si>
    <t>Zülch, G.; Institute of Human and Industrial Engineering (ifab), Kaiserstrasse 12, D-76128 Karlsruhe, Germany; email: gert.zuelch@ifab.uni-karlsruhe.de</t>
  </si>
  <si>
    <t>Monolithic zirconia and digital impression: Case report</t>
  </si>
  <si>
    <t>10.7417/T.2017.2011</t>
  </si>
  <si>
    <t>14633518100;55190591300;57194109066;57192235273;57192412137;56868501000;57194828149;54953687400;16736637300;57189637540;</t>
  </si>
  <si>
    <t>Aims. The aim of this study is to present a clinical case of a full arch prosthetic rehabilitation on natural teeth, combining both digital work-flow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long-term evaluation is needed. © Società Editrice Universo (SEU).</t>
  </si>
  <si>
    <t>De Angelis F., Brauner E., Pignatiello G., Mencio F., Rosella D., Papi P., Di Carlo T., Giovannetti A., Pompa G., Di Carlo S.</t>
  </si>
  <si>
    <t>Clinica Terapeutica</t>
  </si>
  <si>
    <t>https://www.scopus.com/inward/record.uri?eid=2-s2.0-85023182005&amp;doi=10.7417%2fT.2017.2011&amp;partnerID=40&amp;md5=2d0146252b7e26a3ca1b4b64f790a288</t>
  </si>
  <si>
    <t>Department of Oral and Maxillo Facial Sciences, Sapienza University of Rome, Italy; Private Dentist, Rome, Italy</t>
  </si>
  <si>
    <t>De Angelis, F., Department of Oral and Maxillo Facial Sciences, Sapienza University of Rome, Italy; Brauner, E., Department of Oral and Maxillo Facial Sciences, Sapienza University of Rome, Italy; Pignatiello, G., Department of Oral and Maxillo Facial Sciences, Sapienza University of Rome, Italy; Mencio, F., Department of Oral and Maxillo Facial Sciences, Sapienza University of Rome, Italy; Rosella, D., Department of Oral and Maxillo Facial Sciences, Sapienza University of Rome, Italy; Papi, P., Department of Oral and Maxillo Facial Sciences, Sapienza University of Rome, Italy; Di Carlo, T., Private Dentist, Rome, Italy; Giovannetti, A., Department of Oral and Maxillo Facial Sciences, Sapienza University of Rome, Italy; Pompa, G., Department of Oral and Maxillo Facial Sciences, Sapienza University of Rome, Italy; Di Carlo, S., Department of Oral and Maxillo Facial Sciences, Sapienza University of Rome, Italy</t>
  </si>
  <si>
    <t>De Angelis, F.; Research fellow, Via Caserta 6, Italy; email: francesca.deangelis@uniroma1.it</t>
  </si>
  <si>
    <t>More is not always better: An experimental individual-level validation of the randomized response technique and the crosswise model</t>
  </si>
  <si>
    <t>10.1371/journal.pone.0201770</t>
  </si>
  <si>
    <t>57192676248;11239614900;</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</si>
  <si>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 © 2018 Höglinger, Jann. This is an open access article distributed under the terms of the Creative Commons Attribution License, which permits unrestricted use, distribution, and reproduction in any medium, provided the original author and source are credited.</t>
  </si>
  <si>
    <t>Höglinger M., Jann B.</t>
  </si>
  <si>
    <t>https://www.scopus.com/inward/record.uri?eid=2-s2.0-85051483958&amp;doi=10.1371%2fjournal.pone.0201770&amp;partnerID=40&amp;md5=beea1b6ce6e6f165d29db07d1c75d887</t>
  </si>
  <si>
    <t>Zurich University of Applied Sciences, Winterthur Institute of Health Economics, Winterthur, Switzerland; University of Bern, Institute of Sociology, Bern, Switzerland</t>
  </si>
  <si>
    <t>Höglinger, M., Zurich University of Applied Sciences, Winterthur Institute of Health Economics, Winterthur, Switzerland, University of Bern, Institute of Sociology, Bern, Switzerland; Jann, B., University of Bern, Institute of Sociology, Bern, Switzerland</t>
  </si>
  <si>
    <t>Höglinger, M.; Zurich University of Applied Sciences, Switzerland; email: marc.hoeglinger@zhaw.ch</t>
  </si>
  <si>
    <t>Moving beyond dichotomies? The collaborative economy scene in Andalusia and the role of public actors in shaping it</t>
  </si>
  <si>
    <t>10.1177/0038026118758539</t>
  </si>
  <si>
    <t>57200723958;57200409265;</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</si>
  <si>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 © The Author(s) 2018.</t>
  </si>
  <si>
    <t>del Moral-Espín L., Fernández-García M.</t>
  </si>
  <si>
    <t>Sociological Review</t>
  </si>
  <si>
    <t>https://www.scopus.com/inward/record.uri?eid=2-s2.0-85055964364&amp;doi=10.1177%2f0038026118758539&amp;partnerID=40&amp;md5=f34814e0281e8c519d1b74044f9bb5f8</t>
  </si>
  <si>
    <t>Pablo de Olavide University, Spain</t>
  </si>
  <si>
    <t>del Moral-Espín, L., Pablo de Olavide University, Spain; Fernández-García, M., Pablo de Olavide University, Spain</t>
  </si>
  <si>
    <t>del Moral-Espín, L.; Universidad Pablo de Olavide, Ed. 44.01.07, Ctra. de Utrera Km.1, Spain; email: ldelesp@upo.es</t>
  </si>
  <si>
    <t>Multimodal and textual analysis of students' digital artifacts</t>
  </si>
  <si>
    <t>57196672963;57209558880;35363832400;</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</si>
  <si>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 © 2005 Asia-Pacific Society for Computers in Education.</t>
  </si>
  <si>
    <t>Natarajan U., Kumar M., Guo L.</t>
  </si>
  <si>
    <t>Proc. Int. Conf. on Computers in Education 2005: "Towards Sustainable and Scalable Educational Innovations Informed by the Learning Sciences"- Sharing Research Results and Exemplary Innovations, ICCE</t>
  </si>
  <si>
    <t>https://www.scopus.com/inward/record.uri?eid=2-s2.0-84856956243&amp;partnerID=40&amp;md5=273fd8c78e156215a64262c7e78c26b5</t>
  </si>
  <si>
    <t>Centre for Research in Pedagogy and Practice, National Institute of Education, Nanyang Technological University, Singapore, Singapore</t>
  </si>
  <si>
    <t>Natarajan, U., Centre for Research in Pedagogy and Practice, National Institute of Education, Nanyang Technological University, Singapore, Singapore; Kumar, M., Centre for Research in Pedagogy and Practice, National Institute of Education, Nanyang Technological University, Singapore, Singapore; Guo, L., Centre for Research in Pedagogy and Practice, National Institute of Education, Nanyang Technological University, Singapore, Singapore</t>
  </si>
  <si>
    <t>Natarajan, U.; Centre for Research in Pedagogy and Practice, , Singapore, Singapore</t>
  </si>
  <si>
    <t>Multimodal learning for identifying opportunities for empathetic responses</t>
  </si>
  <si>
    <t>10.1145/3340555.3353750</t>
  </si>
  <si>
    <t>57211749619;55504636500;57191886836;6603622906;57188866370;</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</si>
  <si>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wizard-of-Oz setting, using the wizard's empathetic responses and annotations collected on Amazon Mechanical Turk as ground-truth labels. Our model outperforms a textbased baseline achieving F1-score of 0.71 on a three-class classification.We further investigate the results and evaluate the capability of such a model to be deployed for real-world human-agent interactions. © 2019 Association for Computing Machinery.</t>
  </si>
  <si>
    <t>Tavabi L., Stefanov K., Gilani S.N., Traum D., Soleymani M.</t>
  </si>
  <si>
    <t>ICMI 2019 - Proceedings of the 2019 International Conference on Multimodal Interaction</t>
  </si>
  <si>
    <t>https://www.scopus.com/inward/record.uri?eid=2-s2.0-85074942580&amp;doi=10.1145%2f3340555.3353750&amp;partnerID=40&amp;md5=de1337d89cc3a9aa4917a6a8f522518b</t>
  </si>
  <si>
    <t>University of Southern California, Institute for Creative Technologies, Los Angeles, CA, United States</t>
  </si>
  <si>
    <t>Tavabi, L., University of Southern California, Institute for Creative Technologies, Los Angeles, CA, United States; Stefanov, K., University of Southern California, Institute for Creative Technologies, Los Angeles, CA, United States; Gilani, S.N., University of Southern California, Institute for Creative Technologies, Los Angeles, CA, United States; Traum, D., University of Southern California, Institute for Creative Technologies, Los Angeles, CA, United States; Soleymani, M., University of Southern California, Institute for Creative Technologies, Los Angeles, CA, United States</t>
  </si>
  <si>
    <t>Multiple jobs? The prevalence, intensity and determinants of multiple jobholding in Canada</t>
  </si>
  <si>
    <t>10.1177/1035304620933399</t>
  </si>
  <si>
    <t>25636716000;</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</si>
  <si>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 J21. © The Author(s) 2020.</t>
  </si>
  <si>
    <t>Glavin P.</t>
  </si>
  <si>
    <t>Economic and Labour Relations Review</t>
  </si>
  <si>
    <t>https://www.scopus.com/inward/record.uri?eid=2-s2.0-85088397818&amp;doi=10.1177%2f1035304620933399&amp;partnerID=40&amp;md5=9e6fc79b9eaeb26001fdb7395ab481b9</t>
  </si>
  <si>
    <t>McMaster University, Canada</t>
  </si>
  <si>
    <t>Glavin, P., McMaster University, Canada</t>
  </si>
  <si>
    <t>Multi-task deep visual-semantic embedding for video thumbnail selection</t>
  </si>
  <si>
    <t>10.1109/CVPR.2015.7298994</t>
  </si>
  <si>
    <t>55145372400;7005396035;55902721000;56438869300;7404182441;</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</si>
  <si>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query-thumbnail pairs can be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 © 2015 IEEE.</t>
  </si>
  <si>
    <t>Liu W., Mei T., Zhang Y., Che C., Luo J.</t>
  </si>
  <si>
    <t>https://www.scopus.com/inward/record.uri?eid=2-s2.0-84947599757&amp;doi=10.1109%2fCVPR.2015.7298994&amp;partnerID=40&amp;md5=b353b770079a5f802de49be346278521</t>
  </si>
  <si>
    <t>Institute of Computing Technology, Chinese Academy of Sciences, Beijing, 100190, China; Microsoft Research, Beijing, 100080, China; University of Chinese Academy of Sciences, Beijing, 100049, China; University of Rochester, Rochester, NY  14627, United States</t>
  </si>
  <si>
    <t>Liu, W., Institute of Computing Technology, Chinese Academy of Sciences, Beijing, 100190, China, University of Chinese Academy of Sciences, Beijing, 100049, China; Mei, T., Microsoft Research, Beijing, 100080, China; Zhang, Y., Institute of Computing Technology, Chinese Academy of Sciences, Beijing, 100190, China; Che, C., Microsoft Research, Beijing, 100080, China; Luo, J., University of Rochester, Rochester, NY  14627, United States</t>
  </si>
  <si>
    <t>Natural language of uncertainty: Numeric hedge words</t>
  </si>
  <si>
    <t>10.1016/j.ijar.2014.11.003</t>
  </si>
  <si>
    <t>7004465663;55628753300;56516587800;39362264200;39362183600;6505773374;14009467500;7005243278;</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</si>
  <si>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 2014 Elsevier Inc. All rights reserved.</t>
  </si>
  <si>
    <t>Ferson S., O'Rawe J., Antonenko A., Siegrist J., Mickley J., Luhmann C.C., Sentz K., Finkel A.M.</t>
  </si>
  <si>
    <t>International Journal of Approximate Reasoning</t>
  </si>
  <si>
    <t>https://www.scopus.com/inward/record.uri?eid=2-s2.0-84922814859&amp;doi=10.1016%2fj.ijar.2014.11.003&amp;partnerID=40&amp;md5=81b4fb31b9c936e9ff7eff3dcb30f93e</t>
  </si>
  <si>
    <t>Applied Biomathematics, 100 North Country Road, Setauket, NY  11733, United States; Genetics Program, Stony Brook University, 100 Nicolls Road, Stony Brook, NY  11794, United States; Linguistics Department, Stony Brook University, Stony Brook, NY  11794, United States; Ecology and Evolutionary Biology, University of Connecticut, 75 N. Eagleville Road, Storrs, CT  06269-3043, United States; Psychology Department, Stony Brook University, Stony Brook, NY  11794, United States; Los Alamos National Laboratory, MS F609, Post Office Box 1663, Los Alamos, NM  87545, United States; University of Pennsylvania Law School, 3501 Sansom Street, Philadelphia, PA  19104, United States</t>
  </si>
  <si>
    <t>Ferson, S., Applied Biomathematics, 100 North Country Road, Setauket, NY  11733, United States; O'Rawe, J., Applied Biomathematics, 100 North Country Road, Setauket, NY  11733, United States, Genetics Program, Stony Brook University, 100 Nicolls Road, Stony Brook, NY  11794, United States; Antonenko, A., Applied Biomathematics, 100 North Country Road, Setauket, NY  11733, United States, Linguistics Department, Stony Brook University, Stony Brook, NY  11794, United States; Siegrist, J., Applied Biomathematics, 100 North Country Road, Setauket, NY  11733, United States; Mickley, J., Applied Biomathematics, 100 North Country Road, Setauket, NY  11733, United States, Ecology and Evolutionary Biology, University of Connecticut, 75 N. Eagleville Road, Storrs, CT  06269-3043, United States; Luhmann, C.C., Psychology Department, Stony Brook University, Stony Brook, NY  11794, United States; Sentz, K., Los Alamos National Laboratory, MS F609, Post Office Box 1663, Los Alamos, NM  87545, United States; Finkel, A.M., University of Pennsylvania Law School, 3501 Sansom Street, Philadelphia, PA  19104, United States</t>
  </si>
  <si>
    <t>Ferson, S.; Applied Biomathematics, 100 North Country Road, United States; email: sandp8@gmail.com</t>
  </si>
  <si>
    <t>Negative memorable experience: North American and British Airbnb guests’ perspectives</t>
  </si>
  <si>
    <t>10.1108/TR-10-2019-0404</t>
  </si>
  <si>
    <t>57193222394;36634092400;57201261179;</t>
  </si>
  <si>
    <t>Purpose: This paper aims to explore the components of a negative memorable Airbnb experience. Design/methodology/approach: Two studies of North American and British nationals were conducted online using an open-ended survey questionnaire with photo-elicitation via Amazon Mechanical Turk (MTurk). The grounded theory was used to analyse the collected data. Findings: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This is one of the first studies to explore the components of a negative memorable experience in the context of Airbnb. © 2020, Erose Sthapit, Peter Björk and Jano Jiménez Barreto.</t>
  </si>
  <si>
    <t>Sthapit E., Björk P., Jiménez Barreto J.</t>
  </si>
  <si>
    <t>https://www.scopus.com/inward/record.uri?eid=2-s2.0-85081329692&amp;doi=10.1108%2fTR-10-2019-0404&amp;partnerID=40&amp;md5=9dacbc0f7e685fa04661317e4d1469d1</t>
  </si>
  <si>
    <t>Department of Research, Development and Innovation Support Services, Haaga-Helia University of Applied Sciences, Helsinki, Finland; Department of Marketing, Hanken School of Economics, Vaasa, Finland; Department of Financing and Commercial Research, UDI Marketing, Autonomous University of Madrid, Madrid, Spain</t>
  </si>
  <si>
    <t>Sthapit, E., Department of Research, Development and Innovation Support Services, Haaga-Helia University of Applied Sciences, Helsinki, Finland; Björk, P., Department of Marketing, Hanken School of Economics, Vaasa, Finland; Jiménez Barreto, J., Department of Financing and Commercial Research, UDI Marketing, Autonomous University of Madrid, Madrid, Spain</t>
  </si>
  <si>
    <t>Sthapit, E.; Department of Research, Finland; email: erose.sthapit@haaga-helia.fi</t>
  </si>
  <si>
    <t>Networked Society and its New Power Actors: Critical Analysis of Hardware, Software, and Communicative Level of Digital Space</t>
  </si>
  <si>
    <t>10.1109/COMSDS.2019.8709647</t>
  </si>
  <si>
    <t>56748045000;57196042322;</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</si>
  <si>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 © 2019 IEEE.</t>
  </si>
  <si>
    <t>Gavra D.P., Dekalov V.V.</t>
  </si>
  <si>
    <t>Proceedings of the 2019 IEEE Communication Strategies in Digital Society Seminar, ComSDS 2019</t>
  </si>
  <si>
    <t>https://www.scopus.com/inward/record.uri?eid=2-s2.0-85066309242&amp;doi=10.1109%2fCOMSDS.2019.8709647&amp;partnerID=40&amp;md5=70e0147371f61940b9cf73d4af9b8409</t>
  </si>
  <si>
    <t>School of Journalism and Mass Communication, Saint Petersburg State University, Saint-Petersburg, Russian Federation</t>
  </si>
  <si>
    <t>Gavra, D.P., School of Journalism and Mass Communication, Saint Petersburg State University, Saint-Petersburg, Russian Federation; Dekalov, V.V., School of Journalism and Mass Communication, Saint Petersburg State University, Saint-Petersburg, Russian Federation</t>
  </si>
  <si>
    <t>Non-Alcoholic Beverage Cues as Specific Comparison Images to Alcohol Image Cues</t>
  </si>
  <si>
    <t>10.1080/10826084.2017.1365087</t>
  </si>
  <si>
    <t>15520038600;56647794800;55954078400;6701676498;</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</si>
  <si>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 © 2018 Taylor &amp; Francis Group, LLC.</t>
  </si>
  <si>
    <t>Veilleux J.C., Lovett D.E., Skinner K.D., Ham L.S.</t>
  </si>
  <si>
    <t>https://www.scopus.com/inward/record.uri?eid=2-s2.0-85030159263&amp;doi=10.1080%2f10826084.2017.1365087&amp;partnerID=40&amp;md5=49bbf6d2187b19efdcd72e65acf338c9</t>
  </si>
  <si>
    <t>University of Arkansas, Department of Psychological Science, Fayetteville, AR, United States</t>
  </si>
  <si>
    <t>Veilleux, J.C., University of Arkansas, Department of Psychological Science, Fayetteville, AR, United States; Lovett, D.E., University of Arkansas, Department of Psychological Science, Fayetteville, AR, United States; Skinner, K.D., University of Arkansas, Department of Psychological Science, Fayetteville, AR, United States; Ham, L.S., University of Arkansas, Department of Psychological Science, Fayetteville, AR, United States</t>
  </si>
  <si>
    <t>Veilleux, J.C.; University of Arkansas, 216 Memorial Hall, United States; email: jcveille@uark.edu</t>
  </si>
  <si>
    <t>Nostalgic Emotional Valence and Its Effects on Help-Seeking in Depression. An Application of the Theory of Planned Behavior</t>
  </si>
  <si>
    <t>10.1080/10410236.2020.1794549</t>
  </si>
  <si>
    <t>57031188100;36573285700;</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</si>
  <si>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 © 2020, © 2020 Taylor &amp; Francis Group, LLC.</t>
  </si>
  <si>
    <t>Hussain S.A., Alhabash S.</t>
  </si>
  <si>
    <t>Health Communication</t>
  </si>
  <si>
    <t>https://www.scopus.com/inward/record.uri?eid=2-s2.0-85088473955&amp;doi=10.1080%2f10410236.2020.1794549&amp;partnerID=40&amp;md5=dcf0d1f590d2210de4a7fac95cc470a1</t>
  </si>
  <si>
    <t>Walter Cronkite School of Journalism and Mass Communication, Arizona State University, United States; Department of Advertising and Public Relations, Michigan State University, United States</t>
  </si>
  <si>
    <t>Hussain, S.A., Walter Cronkite School of Journalism and Mass Communication, Arizona State University, United States; Alhabash, S., Department of Advertising and Public Relations, Michigan State University, United States</t>
  </si>
  <si>
    <t>Hussain, S.A.; Walter Cronkite School of Journalism and Mass Communication, United States; email: sahussa8@asu.edu</t>
  </si>
  <si>
    <t>Notes on the Meaning of Work: Labor, Work, and Action in the 21st Century</t>
  </si>
  <si>
    <t>10.1177/1056492619841705</t>
  </si>
  <si>
    <t>6603092337;</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</si>
  <si>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 © The Author(s) 2019.</t>
  </si>
  <si>
    <t>Fayard A.-L.</t>
  </si>
  <si>
    <t>Journal of Management Inquiry</t>
  </si>
  <si>
    <t>https://www.scopus.com/inward/record.uri?eid=2-s2.0-85065747810&amp;doi=10.1177%2f1056492619841705&amp;partnerID=40&amp;md5=1cee78151a6f6a99aed8c56375402cf2</t>
  </si>
  <si>
    <t>New York University Tandon School of Engineering, Brooklyn, NY, United States</t>
  </si>
  <si>
    <t>Fayard, A.-L., New York University Tandon School of Engineering, Brooklyn, NY, United States</t>
  </si>
  <si>
    <t>Fayard, A.-L.; New York University Tandon School of EngineeringUnited States; email: alfayard@nyu.edu</t>
  </si>
  <si>
    <t>Obtaining and Losing the Bipolarity of the Five-Factor Model Through Factor Analysis</t>
  </si>
  <si>
    <t>10.1037/per0000378</t>
  </si>
  <si>
    <t>55341496600;56048052600;7006496985;</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</si>
  <si>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 © 2019 American Psychological Association.</t>
  </si>
  <si>
    <t>Crego C., Oltmanns J.R., Widiger T.A.</t>
  </si>
  <si>
    <t>https://www.scopus.com/inward/record.uri?eid=2-s2.0-85076356557&amp;doi=10.1037%2fper0000378&amp;partnerID=40&amp;md5=588307c4828f86b32ae7962d4ef43a9c</t>
  </si>
  <si>
    <t>Crego, C.; Oltmanns, J.R.; Widiger, T.A.</t>
  </si>
  <si>
    <t>Crego, C.</t>
  </si>
  <si>
    <t>Obtaining requirements for designing a tool to support distributed development</t>
  </si>
  <si>
    <t>57195363540;7003393897;15123936800;8907776100;</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</si>
  <si>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 © J.UCS.</t>
  </si>
  <si>
    <t>Hernández J.L., Vizcaíno A., Caballero I., Aranda G.</t>
  </si>
  <si>
    <t>https://www.scopus.com/inward/record.uri?eid=2-s2.0-84873538305&amp;partnerID=40&amp;md5=368b7d009e1cf4a4d1109e33742e4511</t>
  </si>
  <si>
    <t>University of Castilla-La Mancha, Ciudad Real, Spain; National University of Comahue, Neuquén, Argentina</t>
  </si>
  <si>
    <t>Hernández, J.L., University of Castilla-La Mancha, Ciudad Real, Spain; Vizcaíno, A., University of Castilla-La Mancha, Ciudad Real, Spain; Caballero, I., University of Castilla-La Mancha, Ciudad Real, Spain; Aranda, G., National University of Comahue, Neuquén, Argentina</t>
  </si>
  <si>
    <t>Hernández, J. L.; University of Castilla-La Mancha, Ciudad Real, Spain; email: JoseLuis.Hernandez@uclm.es</t>
  </si>
  <si>
    <t>On the need for mixed media in distributed requirements negotiations</t>
  </si>
  <si>
    <t>10.1109/TSE.2007.70758</t>
  </si>
  <si>
    <t>57192297254;7003587349;6506231763;</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</si>
  <si>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 © 2008 IEEE.</t>
  </si>
  <si>
    <t>Damian D., Lanubile F., Mallardo T.</t>
  </si>
  <si>
    <t>IEEE Transactions on Software Engineering</t>
  </si>
  <si>
    <t>https://www.scopus.com/inward/record.uri?eid=2-s2.0-40449107990&amp;doi=10.1109%2fTSE.2007.70758&amp;partnerID=40&amp;md5=1bc3e464376bdf1f44000871c38d6e28</t>
  </si>
  <si>
    <t>Department of Computer Science, University Victoria, 3800 Finnerty Road, Victoria, BC V8P 5C2, Canada; Department of Computer Science, University of Bari, Via Orabona 4, 70125-Bari, Italy</t>
  </si>
  <si>
    <t>Damian, D., Department of Computer Science, University Victoria, 3800 Finnerty Road, Victoria, BC V8P 5C2, Canada; Lanubile, F., Department of Computer Science, University of Bari, Via Orabona 4, 70125-Bari, Italy; Mallardo, T., Department of Computer Science, University of Bari, Via Orabona 4, 70125-Bari, Italy</t>
  </si>
  <si>
    <t>Damian, D.; Department of Computer Science, 3800 Finnerty Road, Victoria, BC V8P 5C2, Canada; email: danielad@cs.uvic.ca</t>
  </si>
  <si>
    <t>On the relationship between process maturity and geographic distribution: An empirical analysis of their impact on software quality</t>
  </si>
  <si>
    <t>10.1145/1595696.1595714</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</si>
  <si>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 Copyright 2009 ACM.</t>
  </si>
  <si>
    <t>ESEC-FSE'09 - Proceedings of the Joint 12th European Software Engineering Conference and 17th ACM SIGSOFT Symposium on the Foundations of Software Engineering</t>
  </si>
  <si>
    <t>https://www.scopus.com/inward/record.uri?eid=2-s2.0-77949381833&amp;doi=10.1145%2f1595696.1595714&amp;partnerID=40&amp;md5=e0a7fc3a23d6f6518fd41856a789319c</t>
  </si>
  <si>
    <t>Bosch Corporate Research, Pittsburgh, PA, United States; Robert Bosch Engineering and Business Solutions, Bangalore, India</t>
  </si>
  <si>
    <t>Cataldo, M., Bosch Corporate Research, Pittsburgh, PA, United States; Nambiar, S., Robert Bosch Engineering and Business Solutions, Bangalore, India</t>
  </si>
  <si>
    <t>Online brand community and its outcomes</t>
  </si>
  <si>
    <t>10.13106/jafeb.2018.vol5.no4.107</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</si>
  <si>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 © KODISA.</t>
  </si>
  <si>
    <t>Journal of Asian Finance, Economics and Business</t>
  </si>
  <si>
    <t>https://www.scopus.com/inward/record.uri?eid=2-s2.0-85057307409&amp;doi=10.13106%2fjafeb.2018.vol5.no4.107&amp;partnerID=40&amp;md5=ac28f08c764ffaa51b6b48048bb81f37</t>
  </si>
  <si>
    <t>School of Business, Kwangwoon University, 20 Kwangwoon-ro, Nowon-gu, Seoul, 01897, South Korea</t>
  </si>
  <si>
    <t>Ha, Y., School of Business, Kwangwoon University, 20 Kwangwoon-ro, Nowon-gu, Seoul, 01897, South Korea</t>
  </si>
  <si>
    <t>Ha, Y.; School of Business, 20 Kwangwoon-ro, South Korea; email: hys@kw.ac.kr</t>
  </si>
  <si>
    <t>Online collaboration: Collaborative behavior patterns and factors affecting globally distributed team performance</t>
  </si>
  <si>
    <t>10.1016/j.chb.2010.09.017</t>
  </si>
  <si>
    <t>13410422400;6701676240;6701519251;6602568315;57215572330;55507874700;</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</si>
  <si>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 2010 Elsevier Ltd. All rights reserved.</t>
  </si>
  <si>
    <t>Sere F.C., Swigger K., Alpaslan F.N., Brazile R., Dafoulas G., Lopez V.</t>
  </si>
  <si>
    <t>https://www.scopus.com/inward/record.uri?eid=2-s2.0-78449274120&amp;doi=10.1016%2fj.chb.2010.09.017&amp;partnerID=40&amp;md5=be0b46d851573afb7e70fff32d263c31</t>
  </si>
  <si>
    <t>Department of Information Systems Engineering, Atilim University, Ankara, Turkey; Department of Computer Sciences and Engineering, University of North Texas, Denton, TX, United States; Department of Computer Engineering, Middle East Technical University, Ankara, Turkey; School of Computing Science, Middlesex University, London, United Kingdom; Facultad de Ingeniería de Sistemas Computacionales, Universidad Tecnologica de Panama, Panama</t>
  </si>
  <si>
    <t>Sere, F.C., Department of Information Systems Engineering, Atilim University, Ankara, Turkey; Swigger, K., Department of Computer Sciences and Engineering, University of North Texas, Denton, TX, United States; Alpaslan, F.N., Department of Computer Engineering, Middle East Technical University, Ankara, Turkey; Brazile, R., Department of Computer Sciences and Engineering, University of North Texas, Denton, TX, United States; Dafoulas, G., School of Computing Science, Middlesex University, London, United Kingdom; Lopez, V., Facultad de Ingeniería de Sistemas Computacionales, Universidad Tecnologica de Panama, Panama</t>
  </si>
  <si>
    <t>Sere, F. C.; Department of Information Systems Engineering, , Ankara, Turkey; email: fcserce@atilim.edu.tr</t>
  </si>
  <si>
    <t>Online Randomized Controlled Trials of Restaurant Sodium Warning Labels</t>
  </si>
  <si>
    <t>10.1016/j.amepre.2019.06.024</t>
  </si>
  <si>
    <t>55319074400;56799914400;36194739500;14013877200;</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</si>
  <si>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 2019 American Journal of Preventive Medicine</t>
  </si>
  <si>
    <t>Musicus A.A., Moran A.J., Lawman H.G., Roberto C.A.</t>
  </si>
  <si>
    <t>https://www.scopus.com/inward/record.uri?eid=2-s2.0-85074898533&amp;doi=10.1016%2fj.amepre.2019.06.024&amp;partnerID=40&amp;md5=34ed4973ea2e4f5e454343b2ccb11b06</t>
  </si>
  <si>
    <t>Department of Nutrition, Harvard T.H. Chan School of Public Health, Boston, MA, United States; Department of Health Policy and Management, Johns Hopkins Bloomberg School of Public Health, Baltimore, MD, United States; Division of Chronic Disease Prevention, Philadelphia Department of Public Health, Philadelphia, PA, United States; Department of Medical Ethics and Health Policy, Perelman School of Medicine at the University of Pennsylvania, Philadelphia, PA, United States</t>
  </si>
  <si>
    <t>Musicus, A.A., Department of Nutrition, Harvard T.H. Chan School of Public Health, Boston, MA, United States; Moran, A.J., Department of Health Policy and Management, Johns Hopkins Bloomberg School of Public Health, Baltimore, MD, United States; Lawman, H.G., Division of Chronic Disease Prevention, Philadelphia Department of Public Health, Philadelphia, PA, United States; Roberto, C.A., Department of Medical Ethics and Health Policy, Perelman School of Medicine at the University of Pennsylvania, Philadelphia, PA, United States</t>
  </si>
  <si>
    <t>Musicus, A.A.; Department of Nutrition, 655 Huntington Avenue, Building II, Room 320, United States; email: aam231@mail.harvard.edu</t>
  </si>
  <si>
    <t>Online work force analyzes social media to identify consequences of an unplanned school closure - Using technology to prepare for the next pandemic</t>
  </si>
  <si>
    <t>10.1371/journal.pone.0163207</t>
  </si>
  <si>
    <t>7006325861;57191665380;6603339563;57191651848;36553793200;57191666477;</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</si>
  <si>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</si>
  <si>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Rainey J.J., Kenney J., Wilburn B., Putman A., Zheteyeva Y., O'Sullivan M.</t>
  </si>
  <si>
    <t>https://www.scopus.com/inward/record.uri?eid=2-s2.0-84992337504&amp;doi=10.1371%2fjournal.pone.0163207&amp;partnerID=40&amp;md5=9a5bc88e6947914e24ad84f8f54c8dee</t>
  </si>
  <si>
    <t>Division of Global Migration and Quarantine, Centers for Disease Control and Prevention, Atlanta, GA, United States; Oak Ridge Institute for Science and Education (ORISE), Oak Ridge, TN, United States</t>
  </si>
  <si>
    <t>Rainey, J.J., Division of Global Migration and Quarantine, Centers for Disease Control and Prevention, Atlanta, GA, United States; Kenney, J., Division of Global Migration and Quarantine, Centers for Disease Control and Prevention, Atlanta, GA, United States; Wilburn, B., Oak Ridge Institute for Science and Education (ORISE), Oak Ridge, TN, United States; Putman, A., Division of Global Migration and Quarantine, Centers for Disease Control and Prevention, Atlanta, GA, United States; Zheteyeva, Y., Division of Global Migration and Quarantine, Centers for Disease Control and Prevention, Atlanta, GA, United States; O'Sullivan, M., Division of Global Migration and Quarantine, Centers for Disease Control and Prevention, Atlanta, GA, United States</t>
  </si>
  <si>
    <t>OpinionBlocks: A crowd-powered, self-improving interactive visual analytic system for understanding opinion text</t>
  </si>
  <si>
    <t>10.1007/978-3-642-40480-1_8</t>
  </si>
  <si>
    <t>54794984600;35207357500;7403506666;35175918500;10739396100;8572455700;</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</si>
  <si>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 © 2013 IFIP International Federation for Information Processing.</t>
  </si>
  <si>
    <t>Hu M., Yang H., Zhou M.X., Gou L., Li Y., Haber E.</t>
  </si>
  <si>
    <t>https://www.scopus.com/inward/record.uri?eid=2-s2.0-84883291749&amp;doi=10.1007%2f978-3-642-40480-1_8&amp;partnerID=40&amp;md5=89d77ef25366bbf8eef2cd3a8e20116a</t>
  </si>
  <si>
    <t>Georgia Institute of Technology, United States; IBM Almaden Research Center, United States</t>
  </si>
  <si>
    <t>Hu, M., Georgia Institute of Technology, United States; Yang, H., IBM Almaden Research Center, United States; Zhou, M.X., IBM Almaden Research Center, United States; Gou, L., IBM Almaden Research Center, United States; Li, Y., IBM Almaden Research Center, United States; Haber, E., IBM Almaden Research Center, United States</t>
  </si>
  <si>
    <t>Georgia Institute of TechnologyUnited States</t>
  </si>
  <si>
    <t>Optimal scheduling of electric vehicles car-sharing service with multi-temporal and multi-task operation</t>
  </si>
  <si>
    <t>10.1016/j.energy.2020.117929</t>
  </si>
  <si>
    <t>57104343400;57189222199;35617559600;</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</si>
  <si>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 2020 Elsevier Ltd</t>
  </si>
  <si>
    <t>Lai K., Chen T., Natarajan B.</t>
  </si>
  <si>
    <t>Energy</t>
  </si>
  <si>
    <t>https://www.scopus.com/inward/record.uri?eid=2-s2.0-85085746459&amp;doi=10.1016%2fj.energy.2020.117929&amp;partnerID=40&amp;md5=6fbad274302571b574264e5e1fb51176</t>
  </si>
  <si>
    <t>Department of Electrical and Computer Engineering, Kansas State University, Manhattan, KS  66506, United States; School of Electrical Engineering, Southeast University, Nanjing, 210000, China</t>
  </si>
  <si>
    <t>Lai, K., Department of Electrical and Computer Engineering, Kansas State University, Manhattan, KS  66506, United States; Chen, T., School of Electrical Engineering, Southeast University, Nanjing, 210000, China; Natarajan, B., Department of Electrical and Computer Engineering, Kansas State University, Manhattan, KS  66506, United States</t>
  </si>
  <si>
    <t>Chen, T.; School of Electrical Engineering, China; email: taoc@seu.edu.cn</t>
  </si>
  <si>
    <t>Optimal testing for crowd workers</t>
  </si>
  <si>
    <t>57188813507;55963402300;57203081636;</t>
  </si>
  <si>
    <t>Requesters on crowdsourcing platforms, such as Amazon Mechanical Turk, routinely insert gold questions to verify that a worker is diligent and is providing high-quality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non-adaptive policies used by most requesters. Furthermore, our method is fully automated, easy to apply, and runs mostly out of the box. Copyright © 2016, International Foundation for Autonomous Agents and Multiagent Systems (www.ifaamas.org). All rights reserved.</t>
  </si>
  <si>
    <t>Bragg J., Mausam, Weld D.S.</t>
  </si>
  <si>
    <t>https://www.scopus.com/inward/record.uri?eid=2-s2.0-85014193511&amp;partnerID=40&amp;md5=019f88319c5d670a8dc9cdaae3f2bc9b</t>
  </si>
  <si>
    <t>University of Washington, Seattle, WA, United States; Indian Institute of Technology, New Delhi, India</t>
  </si>
  <si>
    <t>Bragg, J., University of Washington, Seattle, WA, United States; Mausam, Indian Institute of Technology, New Delhi, India; Weld, D.S., University of Washington, Seattle, WA, United States</t>
  </si>
  <si>
    <t>LAP, 1 Avenue Chahid Boukhlouf Med Ben Elhadi, 05000 Batna, Algeria</t>
  </si>
  <si>
    <t>Organizational commitment and the well-being of temporary agency workers: A longitudinal study</t>
  </si>
  <si>
    <t>10.1177/0018726708101991</t>
  </si>
  <si>
    <t>8839130300;16031068900;</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</si>
  <si>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 Copyright © 2009 The Tavistock Institute.</t>
  </si>
  <si>
    <t>Moser K., Galais N.</t>
  </si>
  <si>
    <t>https://www.scopus.com/inward/record.uri?eid=2-s2.0-62949143885&amp;doi=10.1177%2f0018726708101991&amp;partnerID=40&amp;md5=52439ea3ef2d03fdab012b25827844f9</t>
  </si>
  <si>
    <t>Department of Organizational and Social Psychology, University of Erlangen, Nuremberg, Germany</t>
  </si>
  <si>
    <t>Moser, K., Department of Organizational and Social Psychology, University of Erlangen, Nuremberg, Germany; Galais, N.</t>
  </si>
  <si>
    <t>Moser, K.; Department of Organizational and Social Psychology, , Nuremberg, Germany; email: klaus.moser@wiso.uni-erlangen.de</t>
  </si>
  <si>
    <t>Organizational culture, perceived societal and organizational discrimination</t>
  </si>
  <si>
    <t>10.1108/EDI-10-2018-0191</t>
  </si>
  <si>
    <t>57206940170;6507940902;</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</si>
  <si>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</si>
  <si>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Kartolo A.B., Kwantes C.T.</t>
  </si>
  <si>
    <t>Equality, Diversity and Inclusion</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</si>
  <si>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</si>
  <si>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</si>
  <si>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</si>
  <si>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Kartolo, A.B.; Department of Psychology, Canada; email: kartolo@uwindsor.ca</t>
  </si>
  <si>
    <t>Out-of-body experience: Sex-based harassment linked to general dissociation, sexual dissociation, and sexual communication</t>
  </si>
  <si>
    <t>10.1108/EDI-11-2018-0211</t>
  </si>
  <si>
    <t>57191270597;57186199300;7003678150;</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</si>
  <si>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 © 2019, Emerald Publishing Limited.</t>
  </si>
  <si>
    <t>Adams-Clark A.A., Rosenthal M.N., Freyd J.J.</t>
  </si>
  <si>
    <t>https://www.scopus.com/inward/record.uri?eid=2-s2.0-85067012139&amp;doi=10.1108%2fEDI-11-2018-0211&amp;partnerID=40&amp;md5=cf97437de0acd6d52518fb544a855939</t>
  </si>
  <si>
    <t>Adams-Clark, A.A., Department of Psychology, University of Oregon, Eugene, OR, United States; Rosenthal, M.N., Department of Psychology, University of Oregon, Eugene, OR, United States; Freyd, J.J., Department of Psychology, University of Oregon, Eugene, OR, United States</t>
  </si>
  <si>
    <t>Adams-Clark, A.A.; Department of Psychology, United States; email: aadamscl@uoregon.edu</t>
  </si>
  <si>
    <t>Overcoming challenges in global software development: The role of brokers</t>
  </si>
  <si>
    <t>10.1109/RCIS.2014.6861027</t>
  </si>
  <si>
    <t>51663653100;6507773935;57193896682;56110947200;</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</si>
  <si>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 © 2014 IEEE.</t>
  </si>
  <si>
    <t>Manteli C., Van Den Hooff B., Van Vliet H., Van Duinkerken W.</t>
  </si>
  <si>
    <t>Proceedings - International Conference on Research Challenges in Information Science</t>
  </si>
  <si>
    <t>https://www.scopus.com/inward/record.uri?eid=2-s2.0-84906739763&amp;doi=10.1109%2fRCIS.2014.6861027&amp;partnerID=40&amp;md5=315be78f1438c1b4f2793c29cbf95142</t>
  </si>
  <si>
    <t>VU University Amsterdam, Netherlands; Olery BV, Netherlands</t>
  </si>
  <si>
    <t>Manteli, C., VU University Amsterdam, Netherlands; Van Den Hooff, B., VU University Amsterdam, Netherlands; Van Vliet, H., VU University Amsterdam, Netherlands; Van Duinkerken, W., Olery BV, Netherlands</t>
  </si>
  <si>
    <t>Overnight large-scale subjective video quality assessment using automatic test generation and crowdsourcing Internet marketplaces</t>
  </si>
  <si>
    <t>10.1117/12.2528012</t>
  </si>
  <si>
    <t>6507055687;36989451100;36989381200;57212679422;</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</si>
  <si>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 © 2019 SPIE.</t>
  </si>
  <si>
    <t>Shoham T., Gill D., Carmel S., Julius D.</t>
  </si>
  <si>
    <t>https://www.scopus.com/inward/record.uri?eid=2-s2.0-85077303383&amp;doi=10.1117%2f12.2528012&amp;partnerID=40&amp;md5=8798b033d9f9b86654be2d317fc1d65e</t>
  </si>
  <si>
    <t>Beamr Imaging Ltd. (Israel), Israel</t>
  </si>
  <si>
    <t>Shoham, T., Beamr Imaging Ltd. (Israel), Israel; Gill, D., Beamr Imaging Ltd. (Israel), Israel; Carmel, S., Beamr Imaging Ltd. (Israel), Israel; Julius, D., Beamr Imaging Ltd. (Israel), Israel</t>
  </si>
  <si>
    <t>P2P rooftop rentals in Barcelona: a descriptive analysis</t>
  </si>
  <si>
    <t>10.1108/IJTC-03-2020-0043</t>
  </si>
  <si>
    <t>57218881521;57208443398;57218881526;57214668072;</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</si>
  <si>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 © 2020, International Tourism Studies Association.</t>
  </si>
  <si>
    <t>Anguera-Torrell O., Arcos-Pumarola J., Cerdan Schwitzguébel A., Encinar-Prat L.</t>
  </si>
  <si>
    <t>International Journal of Tourism Cities</t>
  </si>
  <si>
    <t>https://www.scopus.com/inward/record.uri?eid=2-s2.0-85090595156&amp;doi=10.1108%2fIJTC-03-2020-0043&amp;partnerID=40&amp;md5=e44899bcf2483e694f957a50785b073a</t>
  </si>
  <si>
    <t>School of Tourism, Hospitality and Gastronomy CETT, University of Barcelona, Barcelona, Barcelona, Spain</t>
  </si>
  <si>
    <t>Anguera-Torrell, O., School of Tourism, Hospitality and Gastronomy CETT, University of Barcelona, Barcelona, Barcelona, Spain; Arcos-Pumarola, J., School of Tourism, Hospitality and Gastronomy CETT, University of Barcelona, Barcelona, Barcelona, Spain; Cerdan Schwitzguébel, A., School of Tourism, Hospitality and Gastronomy CETT, University of Barcelona, Barcelona, Barcelona, Spain; Encinar-Prat, L., School of Tourism, Hospitality and Gastronomy CETT, University of Barcelona, Barcelona, Barcelona, Spain</t>
  </si>
  <si>
    <t>Cerdan Schwitzguébel, A.; School of Tourism, Spain; email: aurelie.cerdan@cett.cat</t>
  </si>
  <si>
    <t>Parental optimism and perceived control over children’s initiation of tobacco, cannabis, and opioid use</t>
  </si>
  <si>
    <t>10.3390/ijerph17176181</t>
  </si>
  <si>
    <t>36682032800;6603496275;57210908454;</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</si>
  <si>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 &lt;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 © 2020 by the authors. Licensee MDPI, Basel, Switzerland.</t>
  </si>
  <si>
    <t>Chadi N., Winickoff J.P., Drouin O.</t>
  </si>
  <si>
    <t>https://www.scopus.com/inward/record.uri?eid=2-s2.0-85089848770&amp;doi=10.3390%2fijerph17176181&amp;partnerID=40&amp;md5=a0918ce81796c22ede32c0d5c62ce0cb</t>
  </si>
  <si>
    <t>Sainte-Justine University Hospital Centre, Division of Adolescent Medicine, Department of Pediatrics, University of Montreal, Montreal, QC  H3T 1C5, Canada; Massachusetts General Hospital, Department of Pediatrics, Harvard Medical School, Boston, MA  02114, United States; Sainte-Justine University Hospital Centre, Division of General Pediatrics, Department of Pediatrics, University of Montreal, Montreal, QC  H3T 1C5, Canada</t>
  </si>
  <si>
    <t>Chadi, N., Sainte-Justine University Hospital Centre, Division of Adolescent Medicine, Department of Pediatrics, University of Montreal, Montreal, QC  H3T 1C5, Canada; Winickoff, J.P., Massachusetts General Hospital, Department of Pediatrics, Harvard Medical School, Boston, MA  02114, United States; Drouin, O., Sainte-Justine University Hospital Centre, Division of General Pediatrics, Department of Pediatrics, University of Montreal, Montreal, QC  H3T 1C5, Canada</t>
  </si>
  <si>
    <t>Chadi, N.; Sainte-Justine University Hospital Centre, Canada; email: nicholas.chadi@umontreal.ca</t>
  </si>
  <si>
    <t>Party cues in the news: Democratic elites, republican backlash, and the dynamics of climate skepticism</t>
  </si>
  <si>
    <t>10.1017/S0007123420000113</t>
  </si>
  <si>
    <t>57201338729;56071614400;</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</si>
  <si>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 Copyright © Cambridge University Press 2020.</t>
  </si>
  <si>
    <t>Merkley E., Stecula D.A.</t>
  </si>
  <si>
    <t>British Journal of Political Science</t>
  </si>
  <si>
    <t>https://www.scopus.com/inward/record.uri?eid=2-s2.0-85088572647&amp;doi=10.1017%2fS0007123420000113&amp;partnerID=40&amp;md5=4564dbb15128cf1a012f16eab7ac8517</t>
  </si>
  <si>
    <t>Munk School of Global Affairs and Public Policy, University of Toronto, Canada; Department of Political Science, Colorado State University, Fort Collins, CO, United States</t>
  </si>
  <si>
    <t>Merkley, E., Munk School of Global Affairs and Public Policy, University of Toronto, Canada; Stecula, D.A., Department of Political Science, Colorado State University, Fort Collins, CO, United States</t>
  </si>
  <si>
    <t>Merkley, E.; Munk School of Global Affairs and Public Policy, Canada; email: eric.merkley@utoronto.ca</t>
  </si>
  <si>
    <t>Passing the 10-year mark - A multi-year, multi-technology analysis of Ni-Cd field data</t>
  </si>
  <si>
    <t>10.1109/INTLEC.2010.5525695</t>
  </si>
  <si>
    <t>6507793073;7006214136;36551082400;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</si>
  <si>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 © 2010 IEEE.</t>
  </si>
  <si>
    <t>Lansburg S., Brenier A., Boulais R.</t>
  </si>
  <si>
    <t>INTELEC, International Telecommunications Energy Conference (Proceedings)</t>
  </si>
  <si>
    <t>https://www.scopus.com/inward/record.uri?eid=2-s2.0-77957873168&amp;doi=10.1109%2fINTLEC.2010.5525695&amp;partnerID=40&amp;md5=195b48995667e1b1abf9eea2714654ad</t>
  </si>
  <si>
    <t>Saft America, Inc., Valdosta, GA 31601, United States</t>
  </si>
  <si>
    <t>Lansburg, S., Saft America, Inc., Valdosta, GA 31601, United States; Brenier, A., Saft America, Inc., Valdosta, GA 31601, United States; Boulais, R., Saft America, Inc., Valdosta, GA 31601, United States</t>
  </si>
  <si>
    <t>Lansburg, S.; Saft America, Inc., Valdosta, GA 31601, United States; email: stuart.lansburg@saftbatteries.com</t>
  </si>
  <si>
    <t>Paying for procurement: analysis of landman compensation surveys</t>
  </si>
  <si>
    <t>10.1080/00036846.2019.1646879</t>
  </si>
  <si>
    <t>36480036200;57212687394;</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</si>
  <si>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Abbreviation: AAPL: American Association of Professional Landmen; RPL: registered professional landman; CPL: certified professional landman; PLM: professional land manager. © 2019, © 2019 Informa UK Limited, trading as Taylor &amp; Francis Group.</t>
  </si>
  <si>
    <t>Fitzgerald T., Aven F.F., Jr.</t>
  </si>
  <si>
    <t>Applied Economics</t>
  </si>
  <si>
    <t>https://www.scopus.com/inward/record.uri?eid=2-s2.0-85077346621&amp;doi=10.1080%2f00036846.2019.1646879&amp;partnerID=40&amp;md5=608f9076e278b9b9bc5356c719c0d458</t>
  </si>
  <si>
    <t>Rawls College of Business, Texas Tech University, Lubbock, TX, United States; H-E-B School of Business, University of the Incarnate Word, San Antonio, TX, United States</t>
  </si>
  <si>
    <t>Fitzgerald, T., Rawls College of Business, Texas Tech University, Lubbock, TX, United States; Aven, F.F., Jr., H-E-B School of Business, University of the Incarnate Word, San Antonio, TX, United States</t>
  </si>
  <si>
    <t>Fitzgerald, T.; Rawls College of Business, United States; email: timothy.fitzgerald@ttu.edu</t>
  </si>
  <si>
    <t>Peer review and competition in the Art Exhibition Game</t>
  </si>
  <si>
    <t>10.1073/pnas.1603723113</t>
  </si>
  <si>
    <t>39061004400;7005787552;7005232363;</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</si>
  <si>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 Tier journals. Differences and similarities between the Art Exhibition Game and scholarly peer review are discussed and the implications for the design of new incentive systems for scientists are explained.</t>
  </si>
  <si>
    <t>Balietti S., Goldstone R.L., Helbing D.</t>
  </si>
  <si>
    <t>Proceedings of the National Academy of Sciences of the United States of America</t>
  </si>
  <si>
    <t>https://www.scopus.com/inward/record.uri?eid=2-s2.0-84979642641&amp;doi=10.1073%2fpnas.1603723113&amp;partnerID=40&amp;md5=2f7dd64be19071c0f5eaf7cf5774dd69</t>
  </si>
  <si>
    <t>Network Science Institute, Northeastern University, Boston, MA  02115, United States; Institute for Quantitative Social Science, Harvard University, Cambridge, MA  02138, United States; D'Amore-McKim School of Business, Northeastern University, Boston, MA  02115, United States; Department of Psychological and Brain Sciences, Percepts and Concepts Laboratory, Indiana University, Bloomington, IN  47405, United States; Department of Humanities, Social and Political Sciences, Eidgenossische Technische Hochschule (ETH) Zürich, Zurich, 8092, Switzerland</t>
  </si>
  <si>
    <t>Balietti, S., Network Science Institute, Northeastern University, Boston, MA  02115, United States, Institute for Quantitative Social Science, Harvard University, Cambridge, MA  02138, United States, D'Amore-McKim School of Business, Northeastern University, Boston, MA  02115, United States; Goldstone, R.L., Department of Psychological and Brain Sciences, Percepts and Concepts Laboratory, Indiana University, Bloomington, IN  47405, United States; Helbing, D., Department of Humanities, Social and Political Sciences, Eidgenossische Technische Hochschule (ETH) Zürich, Zurich, 8092, Switzerland</t>
  </si>
  <si>
    <t>Balietti, S.; Network Science Institute, United States; email: s.balietti@neu.edu</t>
  </si>
  <si>
    <t>Personal digital archiving for journalists: a “private” solution to a public problem</t>
  </si>
  <si>
    <t>10.1108/LHT-09-2017-0184</t>
  </si>
  <si>
    <t>57075483400;</t>
  </si>
  <si>
    <t>Purpose: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The author has reviewed the personal digital archiving literature and analyzed how it might be specifically tailored to the unique needs of journalists. Findings: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The needs of journalists do vary greatly based on the nature and format of their work and its publication venue, making it difficult to offer a single set of standards or recommendations. Originality/value: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 © 2018, Emerald Publishing Limited.</t>
  </si>
  <si>
    <t>King R.</t>
  </si>
  <si>
    <t>Library Hi Tech</t>
  </si>
  <si>
    <t>https://www.scopus.com/inward/record.uri?eid=2-s2.0-85046666066&amp;doi=10.1108%2fLHT-09-2017-0184&amp;partnerID=40&amp;md5=450209dcf544520a1735e5c846cb3bd8</t>
  </si>
  <si>
    <t>Library, Long Island University, New York City, NY, United States</t>
  </si>
  <si>
    <t>King, R., Library, Long Island University, New York City, NY, United States</t>
  </si>
  <si>
    <t>King, R.; Library, United States; email: rachel.king@liu.edu</t>
  </si>
  <si>
    <t>Peru: Assessing its strong macroeconomic performance through labor market indicators</t>
  </si>
  <si>
    <t>57207842291;57207844834;</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</si>
  <si>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 Copyright © 2018 International Business Information Management Association (IBIMA).</t>
  </si>
  <si>
    <t>Pastor G., Larios Meoño J.F.</t>
  </si>
  <si>
    <t>https://www.scopus.com/inward/record.uri?eid=2-s2.0-85063044526&amp;partnerID=40&amp;md5=22e827d42fb005b6dc7195faca02f39f</t>
  </si>
  <si>
    <t>Fundación Ariel, Lima, Peru; Department of Economics and Finance, and Economics and Intl. Business, Universidad San Ignacio de Loyola, Lima, Peru</t>
  </si>
  <si>
    <t>Pastor, G., Fundación Ariel, Lima, Peru; Larios Meoño, J.F., Department of Economics and Finance, and Economics and Intl. Business, Universidad San Ignacio de Loyola, Lima, Peru</t>
  </si>
  <si>
    <t>Picking the right project: Assigning student teams in a GSD course</t>
  </si>
  <si>
    <t>10.1109/CSEET.2013.6595246</t>
  </si>
  <si>
    <t>25723019000;6507337548;14020046300;35617677400;</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</si>
  <si>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 © 2013 IEEE.</t>
  </si>
  <si>
    <t>Bosnić I., Čavrak I., Orlić M., Žagar M.</t>
  </si>
  <si>
    <t>https://www.scopus.com/inward/record.uri?eid=2-s2.0-84884958783&amp;doi=10.1109%2fCSEET.2013.6595246&amp;partnerID=40&amp;md5=710da5771e16317b37de7eae4ba29dd5</t>
  </si>
  <si>
    <t>University of Zagreb, Faculty of Electrical Engineering and Computing, Croatia</t>
  </si>
  <si>
    <t>Bosnić, I., University of Zagreb, Faculty of Electrical Engineering and Computing, Croatia; Čavrak, I., University of Zagreb, Faculty of Electrical Engineering and Computing, Croatia; Orlić, M., University of Zagreb, Faculty of Electrical Engineering and Computing, Croatia; Žagar, M., University of Zagreb, Faculty of Electrical Engineering and Computing, Croatia</t>
  </si>
  <si>
    <t>University of Zagreb, Croatia</t>
  </si>
  <si>
    <t>Plan-Driven Approaches Are Alive and Kicking in Agile Global Software Development</t>
  </si>
  <si>
    <t>10.1109/ESEM.2019.8870168</t>
  </si>
  <si>
    <t>36572242200;57192671569;23006200900;6505937694;</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</si>
  <si>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 © 2019 IEEE.</t>
  </si>
  <si>
    <t>Marinho M., Noll J., Richardson I., Beecham S.</t>
  </si>
  <si>
    <t>International Symposium on Empirical Software Engineering and Measurement</t>
  </si>
  <si>
    <t>https://www.scopus.com/inward/record.uri?eid=2-s2.0-85072300812&amp;doi=10.1109%2fESEM.2019.8870168&amp;partnerID=40&amp;md5=b11dee97a86490e2402e1deee8f8654d</t>
  </si>
  <si>
    <t>Department of Computer Science, Federal Rural University of Pernambuco, Recife, Brazil; University of East London, London, United Kingdom; Lero, the Irish Software Research Centre, University of Limerick, Limerick, Ireland</t>
  </si>
  <si>
    <t>Marinho, M., Department of Computer Science, Federal Rural University of Pernambuco, Recife, Brazil; Noll, J., University of East London, London, United Kingdom; Richardson, I., Lero, the Irish Software Research Centre, University of Limerick, Limerick, Ireland; Beecham, S., Lero, the Irish Software Research Centre, University of Limerick, Limerick, Ireland</t>
  </si>
  <si>
    <t>Platform Ideologies: Ideological Production in Digital Intermediation Platforms and Structural Effectivity in the “Sharing Economy”</t>
  </si>
  <si>
    <t>10.1177/1527476418808029</t>
  </si>
  <si>
    <t>56174234400;57205121192;</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</si>
  <si>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 © The Author(s) 2018.</t>
  </si>
  <si>
    <t>Karatzogianni A., Matthews J.</t>
  </si>
  <si>
    <t>Television and New Media</t>
  </si>
  <si>
    <t>https://www.scopus.com/inward/record.uri?eid=2-s2.0-85058626406&amp;doi=10.1177%2f1527476418808029&amp;partnerID=40&amp;md5=5562bf7406bdf89081cfdfe1adaa1a42</t>
  </si>
  <si>
    <t>University of Leicester, United Kingdom; University of Paris VIII, Saint-Denis, France</t>
  </si>
  <si>
    <t>Karatzogianni, A., University of Leicester, United Kingdom; Matthews, J., University of Paris VIII, Saint-Denis, France</t>
  </si>
  <si>
    <t>Karatzogianni, A.; University of LeicesterUnited Kingdom; email: athina.k@leicester.ac.uk</t>
  </si>
  <si>
    <t>Platform labor: on the gendered and racialized exploitation of low-income service work in the ‘on-demand’ economy</t>
  </si>
  <si>
    <t>10.1080/1369118X.2017.1294194</t>
  </si>
  <si>
    <t>16069820500;</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</si>
  <si>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 © 2017 The Author(s). Published by Informa UK Limited, trading as Taylor &amp; Francis Group.</t>
  </si>
  <si>
    <t>van Doorn N.</t>
  </si>
  <si>
    <t>https://www.scopus.com/inward/record.uri?eid=2-s2.0-85013769509&amp;doi=10.1080%2f1369118X.2017.1294194&amp;partnerID=40&amp;md5=29cc580b9ff34393537ce24792a8d59c</t>
  </si>
  <si>
    <t>Department of Media Studies, University of Amsterdam, Amsterdam, Netherlands</t>
  </si>
  <si>
    <t>van Doorn, N., Department of Media Studies, University of Amsterdam, Amsterdam, Netherlands</t>
  </si>
  <si>
    <t>van Doorn, N.; Department of Media Studies, Turfdraagsterpad 9, Netherlands; email: nielsvandoorn@uva.nl</t>
  </si>
  <si>
    <t>Platform pleading: Analyzing employment disputes in the technology sector</t>
  </si>
  <si>
    <t>36714166500;</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</si>
  <si>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 © 2019, University of Washington School of Law. All rights reserved.</t>
  </si>
  <si>
    <t>Seiner J.A.</t>
  </si>
  <si>
    <t>Washington Law Review</t>
  </si>
  <si>
    <t>https://www.scopus.com/inward/record.uri?eid=2-s2.0-85079032803&amp;partnerID=40&amp;md5=fbf3b3f34cd289a16e7f3c0b05b5cc7c</t>
  </si>
  <si>
    <t>University of South Carolina School of Law, United States</t>
  </si>
  <si>
    <t>Seiner, J.A., University of South Carolina School of Law, United States</t>
  </si>
  <si>
    <t>Seiner, J.A.; University of South Carolina School of LawUnited States</t>
  </si>
  <si>
    <t>Platform work: From digital promises to labour challenges</t>
  </si>
  <si>
    <t>10.1285/i20356609v12i3p611</t>
  </si>
  <si>
    <t>6506110894;57195330426;57190434368;</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</si>
  <si>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 © 2019-University of Salento.</t>
  </si>
  <si>
    <t>Arcidiacono D., Borghi P., Ciarini A.</t>
  </si>
  <si>
    <t>Partecipazione e Conflitto</t>
  </si>
  <si>
    <t>https://www.scopus.com/inward/record.uri?eid=2-s2.0-85087829541&amp;doi=10.1285%2fi20356609v12i3p611&amp;partnerID=40&amp;md5=7d7f74106f32bbea3cb7ddcc2a4a3234</t>
  </si>
  <si>
    <t>University of Catania, Italy; University of Milan, Italy; Sapienza University of Rome, Italy</t>
  </si>
  <si>
    <t>Arcidiacono, D., University of Catania, Italy; Borghi, P., University of Milan, Italy; Ciarini, A., Sapienza University of Rome, Italy</t>
  </si>
  <si>
    <t>Arcidiacono, D.; University of CataniaItaly; email: dlarcid@unict.it</t>
  </si>
  <si>
    <t>Popular acceptance of inequality due to innate brute luck and support for classical benefit-based taxation</t>
  </si>
  <si>
    <t>10.1016/j.jpubeco.2017.09.007</t>
  </si>
  <si>
    <t>14055193200;</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</si>
  <si>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 2017 Elsevier B.V.</t>
  </si>
  <si>
    <t>Weinzierl M.</t>
  </si>
  <si>
    <t>Journal of Public Economics</t>
  </si>
  <si>
    <t>https://www.scopus.com/inward/record.uri?eid=2-s2.0-85033690963&amp;doi=10.1016%2fj.jpubeco.2017.09.007&amp;partnerID=40&amp;md5=67c52f01bfc6641bba171104fe59aaa5</t>
  </si>
  <si>
    <t>Harvard Business School, United States; NBER, United States</t>
  </si>
  <si>
    <t>Weinzierl, M., Harvard Business School, United States, NBER, United States</t>
  </si>
  <si>
    <t>Positive Feelings After Casual Sex: The Role of Gender and Traditional Gender-Role Beliefs</t>
  </si>
  <si>
    <t>10.1080/00224499.2016.1208801</t>
  </si>
  <si>
    <t>56372282100;7005055045;</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</si>
  <si>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 = 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 Copyright © The Society for the Scientific Study of Sexuality.</t>
  </si>
  <si>
    <t>Woerner J., Abbey A.</t>
  </si>
  <si>
    <t>Journal of Sex Research</t>
  </si>
  <si>
    <t>https://www.scopus.com/inward/record.uri?eid=2-s2.0-84980369142&amp;doi=10.1080%2f00224499.2016.1208801&amp;partnerID=40&amp;md5=0ecceb353944b22ae1726494a755764a</t>
  </si>
  <si>
    <t>Department of Psychology, Wayne State University, United States</t>
  </si>
  <si>
    <t>Woerner, J., Department of Psychology, Wayne State University, United States; Abbey, A., Department of Psychology, Wayne State University, United States</t>
  </si>
  <si>
    <t>Woerner, J.; Department of Psychology, 5057 Woodward, United States; email: woerner@wayne.edu</t>
  </si>
  <si>
    <t>Precision telemedicine through crowdsourced machine learning: Testing variability of crowd workers for video-based autism feature recognition</t>
  </si>
  <si>
    <t>10.3390/jpm10030086</t>
  </si>
  <si>
    <t>57191498961;57218776057;57208624014;57218775787;57191505004;55991998800;57202463700;57207466293;57202464121;57194055814;57190141053;56353182800;7202196193;</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</si>
  <si>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(p= 0.358, p =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 © 2020 by the authors. Licensee MDPI, Basel, Switzerland.</t>
  </si>
  <si>
    <t>Washington P., Leblanc E., Dunlap K., Penev Y., Kline A., Paskov K., Sun M.W., Chrisman B., Stockham N., Varma M., Voss C., Haber N., Wall D.P.</t>
  </si>
  <si>
    <t>Journal of Personalized Medicine</t>
  </si>
  <si>
    <t>https://www.scopus.com/inward/record.uri?eid=2-s2.0-85090255825&amp;doi=10.3390%2fjpm10030086&amp;partnerID=40&amp;md5=58900f774ce23b6c5ee6d014633e915b</t>
  </si>
  <si>
    <t>Department of Bioengineering, Stanford University, 443 Via Ortega, Stanford, CA  94305, United States; Department of Pediatrics (Systems Medicine), Stanford University, 1265 Welch Rd, Stanford, CA  94305, United States; Department of Biomedical Data Science, Stanford University, 1265 Welch Rd, Stanford, CA  94305, United States; Department of Neuroscience, Stanford University, 213 Quarry Rd, Stanford, CA  94305, United States; Department of Computer Science, Stanford University, 353 Jane Stanford Way, Stanford, CA  94305, United States; School of Education, Stanford University, 485 Lasuen Mall, Stanford, CA  94305, United States</t>
  </si>
  <si>
    <t>Washington, P., Department of Bioengineering, Stanford University, 443 Via Ortega, Stanford, CA  94305, United States; Leblanc, E., Department of Pediatrics (Systems Medicine), Stanford University, 1265 Welch Rd, Stanford, CA  94305, United States; Dunlap, K., Department of Pediatrics (Systems Medicine), Stanford University, 1265 Welch Rd, Stanford, CA  94305, United States; Penev, Y., Department of Pediatrics (Systems Medicine), Stanford University, 1265 Welch Rd, Stanford, CA  94305, United States; Kline, A., Department of Pediatrics (Systems Medicine), Stanford University, 1265 Welch Rd, Stanford, CA  94305, United States; Paskov, K., Department of Biomedical Data Science, Stanford University, 1265 Welch Rd, Stanford, CA  94305, United States; Sun, M.W., Department of Biomedical Data Science, Stanford University, 1265 Welch Rd, Stanford, CA  94305, United States; Chrisman, B., Department of Bioengineering, Stanford University, 443 Via Ortega, Stanford, CA  94305, United States; Stockham, N., Department of Neuroscience, Stanford University, 213 Quarry Rd, Stanford, CA  94305, United States; Varma, M., Department of Computer Science, Stanford University, 353 Jane Stanford Way, Stanford, CA  94305, United States; Voss, C., Department of Computer Science, Stanford University, 353 Jane Stanford Way, Stanford, CA  94305, United States; Haber, N., School of Education, Stanford University, 485 Lasuen Mall, Stanford, CA  94305, United States; Wall, D.P., Department of Pediatrics (Systems Medicine), Stanford University, 1265 Welch Rd, Stanford, CA  94305, United States, Department of Biomedical Data Science, Stanford University, 1265 Welch Rd, Stanford, CA  94305, United States</t>
  </si>
  <si>
    <t>Wall, D.P.; Department of Pediatrics (Systems Medicine), 1265 Welch Rd, United States; email: dpwall@stanford.edu</t>
  </si>
  <si>
    <t>Predicting user satisfaction in spoken dialog system evaluation with collaborative filtering</t>
  </si>
  <si>
    <t>10.1109/JSTSP.2012.2229965</t>
  </si>
  <si>
    <t>55716602700;6603027744;7202279063;</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</si>
  <si>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 © 2007-2012 IEEE.</t>
  </si>
  <si>
    <t>Yang Z., Levow G.-A., Meng H.</t>
  </si>
  <si>
    <t>IEEE Journal on Selected Topics in Signal Processing</t>
  </si>
  <si>
    <t>https://www.scopus.com/inward/record.uri?eid=2-s2.0-84872169460&amp;doi=10.1109%2fJSTSP.2012.2229965&amp;partnerID=40&amp;md5=0bea5b8f36bcc7a084a8555b85ea0944</t>
  </si>
  <si>
    <t>Department of Electrical Engineering, University of Southern California, Los Angeles, CA 90089, United States; Department of Linguistics, University of Washington, Seattle, WA 98195, United States; Human-Computer Communications Laboratory, Chinese University of Hong Kong, Shatin, N.T., Hong Kong</t>
  </si>
  <si>
    <t>Yang, Z., Department of Electrical Engineering, University of Southern California, Los Angeles, CA 90089, United States; Levow, G.-A., Department of Linguistics, University of Washington, Seattle, WA 98195, United States; Meng, H., Human-Computer Communications Laboratory, Chinese University of Hong Kong, Shatin, N.T., Hong Kong</t>
  </si>
  <si>
    <t>Yang, Z.; Department of Electrical Engineering, , Los Angeles, CA 90089, United States; email: zhaojuny@usc.edu</t>
  </si>
  <si>
    <t>Preliminary evaluation of a tag-based knowledge condensation tool in agile and distributed teams</t>
  </si>
  <si>
    <t>10.1109/ICGSE.2017.14</t>
  </si>
  <si>
    <t>57031868500;7201919645;56000822700;</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</si>
  <si>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 © 2017 IEEE.</t>
  </si>
  <si>
    <t>Borrego G., Moran A.L., Palacio R.</t>
  </si>
  <si>
    <t>Proceedings - 2017 IEEE 12th International Conference on Global Software Engineering, ICGSE 2017</t>
  </si>
  <si>
    <t>https://www.scopus.com/inward/record.uri?eid=2-s2.0-85027727858&amp;doi=10.1109%2fICGSE.2017.14&amp;partnerID=40&amp;md5=4c61f55806f59f8939444494e8321ed4</t>
  </si>
  <si>
    <t>Facultad de Ciencias, Universidad Autónoma de Baja California, Ensenada, Mexico; Departamento de Computación y Diseño, Instituto Tecnológico de Sonora, Navojoa, Mexico</t>
  </si>
  <si>
    <t>Borrego, G., Facultad de Ciencias, Universidad Autónoma de Baja California, Ensenada, Mexico; Moran, A.L., Facultad de Ciencias, Universidad Autónoma de Baja California, Ensenada, Mexico; Palacio, R., Departamento de Computación y Diseño, Instituto Tecnológico de Sonora, Navojoa, Mexico</t>
  </si>
  <si>
    <t>Preparing the Global Software Engineer</t>
  </si>
  <si>
    <t>10.1109/ICGSE.2015.20</t>
  </si>
  <si>
    <t>55537101900;57220472811;8116545800;35615244100;7201966420;</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</si>
  <si>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&amp;amp; reflections on the course to unpack their perceptions of software engineering, the perceived relevance of a global learning experience and its role in reshaping their identities as global software engineers. © 2015 IEEE.</t>
  </si>
  <si>
    <t>Peters A.-K., Hussain W., Cajander A., Clear T., Daniels M.</t>
  </si>
  <si>
    <t>https://www.scopus.com/inward/record.uri?eid=2-s2.0-84957888728&amp;doi=10.1109%2fICGSE.2015.20&amp;partnerID=40&amp;md5=29388cbd6080c3b5b7943113f9229f20</t>
  </si>
  <si>
    <t>Department of Computer Science, Uppsala University, Uppsala, Sweden; School of Computer and Mathematical Sciences, Auckland University of Technology, Auckland, New Zealand</t>
  </si>
  <si>
    <t>Peters, A.-K., Department of Computer Science, Uppsala University, Uppsala, Sweden; Hussain, W., School of Computer and Mathematical Sciences, Auckland University of Technology, Auckland, New Zealand; Cajander, A., Department of Computer Science, Uppsala University, Uppsala, Sweden; Clear, T., School of Computer and Mathematical Sciences, Auckland University of Technology, Auckland, New Zealand; Daniels, M., Department of Computer Science, Uppsala University, Uppsala, Sweden</t>
  </si>
  <si>
    <t>Prevailing public perceptions of the ethics of gene therapy</t>
  </si>
  <si>
    <t>10.1089/hum.2014.030</t>
  </si>
  <si>
    <t>55216196900;56330954700;24765377200;7003845298;</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</si>
  <si>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 © Copyright 2014, Mary Ann Liebert, Inc. 2014.</t>
  </si>
  <si>
    <t>Robillard J.M., Roskams-Edris D., Kuzeljevic B., Illes J.</t>
  </si>
  <si>
    <t>Human Gene Therapy</t>
  </si>
  <si>
    <t>https://www.scopus.com/inward/record.uri?eid=2-s2.0-84906228308&amp;doi=10.1089%2fhum.2014.030&amp;partnerID=40&amp;md5=0d690a438f73ec87b042edb6b1c4ec62</t>
  </si>
  <si>
    <t>National Core for Neuroethics, Child and Family Research Institute, University of British Columbia, 2211 Wesbrook Mall, Vancouver, BC, V6T 2B5, Canada; Clinical Research Support Unit, Child and Family Research Institute, University of British Columbia, Vancouver, BC, V6T 2B5, Canada</t>
  </si>
  <si>
    <t>Robillard, J.M., National Core for Neuroethics, Child and Family Research Institute, University of British Columbia, 2211 Wesbrook Mall, Vancouver, BC, V6T 2B5, Canada; Roskams-Edris, D., National Core for Neuroethics, Child and Family Research Institute, University of British Columbia, 2211 Wesbrook Mall, Vancouver, BC, V6T 2B5, Canada; Kuzeljevic, B., Clinical Research Support Unit, Child and Family Research Institute, University of British Columbia, Vancouver, BC, V6T 2B5, Canada; Illes, J., National Core for Neuroethics, Child and Family Research Institute, University of British Columbia, 2211 Wesbrook Mall, Vancouver, BC, V6T 2B5, Canada</t>
  </si>
  <si>
    <t>Robillard, J.M.; National Core for Neuroethics, Child and Family Research Institute, University of British Columbia, 2211 Wesbrook Mall, Vancouver, BC, V6T 2B5, Canada; email: jrobilla@mail.ubc.ca</t>
  </si>
  <si>
    <t>Privacy, power, and invisible labor on Amazon Mechanical Turk</t>
  </si>
  <si>
    <t>10.1145/3290605.3300512</t>
  </si>
  <si>
    <t>57194287276;6505959682;</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</si>
  <si>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 © 2019 Copyright held by the owner/author(s).</t>
  </si>
  <si>
    <t>Sannon S., Cosley D.</t>
  </si>
  <si>
    <t>https://www.scopus.com/inward/record.uri?eid=2-s2.0-85067603998&amp;doi=10.1145%2f3290605.3300512&amp;partnerID=40&amp;md5=a370c3de44be9e9c44585789f8d053f3</t>
  </si>
  <si>
    <t>Cornell University, Ithaca, NY, United States</t>
  </si>
  <si>
    <t>Sannon, S., Cornell University, Ithaca, NY, United States; Cosley, D., Cornell University, Ithaca, NY, United States</t>
  </si>
  <si>
    <t>PriWe: Recommendation for Privacy Settings of Mobile Apps Based on Crowdsourced Users' Expectations</t>
  </si>
  <si>
    <t>10.1109/MobServ.2015.30</t>
  </si>
  <si>
    <t>56073527600;7403354073;57840180800;56416809100;</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</si>
  <si>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 sourcing driven by users who contribute privacy permission settings of their apps in smartphones. PriWe leverages the crowd 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 © 2015 IEEE.</t>
  </si>
  <si>
    <t>Liu R., Cao J., Yang L., Zhang K.</t>
  </si>
  <si>
    <t>Proceedings - 2015 IEEE 3rd International Conference on Mobile Services, MS 2015</t>
  </si>
  <si>
    <t>https://www.scopus.com/inward/record.uri?eid=2-s2.0-84954138926&amp;doi=10.1109%2fMobServ.2015.30&amp;partnerID=40&amp;md5=f65c6576893e77cec8f6305507c4afe8</t>
  </si>
  <si>
    <t>Department of Computing, Hong Kong Polytechnic Univerisity, Hong Kong; Department of Information Engineering, Chinese University of Hong Kong, Hong Kong</t>
  </si>
  <si>
    <t>Liu, R., Department of Computing, Hong Kong Polytechnic Univerisity, Hong Kong; Cao, J., Department of Computing, Hong Kong Polytechnic Univerisity, Hong Kong; Yang, L., Department of Computing, Hong Kong Polytechnic Univerisity, Hong Kong; Zhang, K., Department of Information Engineering, Chinese University of Hong Kong, Hong Kong</t>
  </si>
  <si>
    <t>Product Pricing in a Peer-to-Peer Economy</t>
  </si>
  <si>
    <t>10.1080/07421222.2016.1205933</t>
  </si>
  <si>
    <t>55613239891;</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</si>
  <si>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 © 2016, Published with license by Taylor &amp; Francis © Thomas A. Weber.</t>
  </si>
  <si>
    <t>Weber T.A.</t>
  </si>
  <si>
    <t>https://www.scopus.com/inward/record.uri?eid=2-s2.0-84990975382&amp;doi=10.1080%2f07421222.2016.1205933&amp;partnerID=40&amp;md5=d7771884b02e8a427a04a7c649b5af1c</t>
  </si>
  <si>
    <t>Swiss Federal Institute of Technology in Lausanne, Switzerland</t>
  </si>
  <si>
    <t>Weber, T.A., Swiss Federal Institute of Technology in Lausanne, Switzerland</t>
  </si>
  <si>
    <t>Weber, T.A.; Swiss Federal Institute of Technology in LausanneSwitzerland; email: thomas.weber@epfl.ch</t>
  </si>
  <si>
    <t>Project managers in global software development teams: A study of the effects on productivity and performance</t>
  </si>
  <si>
    <t>10.1007/s11219-012-9191-x</t>
  </si>
  <si>
    <t>25653963200;26537201300;16069494100;16031087300;7006312550;</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</si>
  <si>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 © 2012 Springer Science+Business Media New York.</t>
  </si>
  <si>
    <t>Colomo-Palacios R., Casado-Lumbreras C., Soto-Acosta P., García-Peñalvo F.J., Tovar E.</t>
  </si>
  <si>
    <t>https://www.scopus.com/inward/record.uri?eid=2-s2.0-84893947995&amp;doi=10.1007%2fs11219-012-9191-x&amp;partnerID=40&amp;md5=2e3a3a419c07567ad9eebb6367fd9981</t>
  </si>
  <si>
    <t>Ricardo Colomo-Palacios, Leganes, Madrid, Spain</t>
  </si>
  <si>
    <t>Colomo-Palacios, R., Ricardo Colomo-Palacios, Leganes, Madrid, Spain; Casado-Lumbreras, C., Ricardo Colomo-Palacios, Leganes, Madrid, Spain; Soto-Acosta, P., Ricardo Colomo-Palacios, Leganes, Madrid, Spain; García-Peñalvo, F.J., Ricardo Colomo-Palacios, Leganes, Madrid, Spain; Tovar, E., Ricardo Colomo-Palacios, Leganes, Madrid, Spain</t>
  </si>
  <si>
    <t>Colomo-Palacios, R.; Ricardo Colomo-Palacios, Leganes, Madrid, Spain; email: ricardo.colomo@uc3m.es</t>
  </si>
  <si>
    <t>Protecting health during COVID-19 and beyond: A global examination of paid sick leave design in 193 countries*</t>
  </si>
  <si>
    <t>10.1080/17441692.2020.1764076</t>
  </si>
  <si>
    <t>17343928300;54382141100;57216858214;57216528608;57216860756;56481168600;57215355810;8686271200;</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</si>
  <si>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 © 2020, © 2020 Informa UK Limited, trading as Taylor &amp; Francis Group.</t>
  </si>
  <si>
    <t>Heymann J., Raub A., Waisath W., McCormack M., Weistroffer R., Moreno G., Wong E., Earle A.</t>
  </si>
  <si>
    <t>Global Public Health</t>
  </si>
  <si>
    <t>https://www.scopus.com/inward/record.uri?eid=2-s2.0-85084981726&amp;doi=10.1080%2f17441692.2020.1764076&amp;partnerID=40&amp;md5=8010ed916be0f4dd26d75fc804a7beb3</t>
  </si>
  <si>
    <t>WORLD Policy Analysis Center, University of California, Los Angeles (UCLA), Los Angeles, CA, United States</t>
  </si>
  <si>
    <t>Heymann, J., WORLD Policy Analysis Center, University of California, Los Angeles (UCLA), Los Angeles, CA, United States; Raub, A., WORLD Policy Analysis Center, University of California, Los Angeles (UCLA), Los Angeles, CA, United States; Waisath, W., WORLD Policy Analysis Center, University of California, Los Angeles (UCLA), Los Angeles, CA, United States; McCormack, M., WORLD Policy Analysis Center, University of California, Los Angeles (UCLA), Los Angeles, CA, United States; Weistroffer, R., WORLD Policy Analysis Center, University of California, Los Angeles (UCLA), Los Angeles, CA, United States; Moreno, G., WORLD Policy Analysis Center, University of California, Los Angeles (UCLA), Los Angeles, CA, United States; Wong, E., WORLD Policy Analysis Center, University of California, Los Angeles (UCLA), Los Angeles, CA, United States; Earle, A., WORLD Policy Analysis Center, University of California, Los Angeles (UCLA), Los Angeles, CA, United States</t>
  </si>
  <si>
    <t>Heymann, J.; WORLD Policy Analysis Center, 621 Charles E Young Dr S, United States; email: jody.heymann@ph.ucla.edu</t>
  </si>
  <si>
    <t>Prototype GOD: Prototype Generic Objects Dataset for an Object Detection System based on Bird's -Eye View</t>
  </si>
  <si>
    <t>10.1109/ICTC.2018.8539407</t>
  </si>
  <si>
    <t>36062164700;57205299263;37043905800;24480216000;</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</si>
  <si>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 © 2018 IEEE.</t>
  </si>
  <si>
    <t>Yoon Y.-S., Hwang J.-W., Jung S.-U., Park J.</t>
  </si>
  <si>
    <t>9th International Conference on Information and Communication Technology Convergence: ICT Convergence Powered by Smart Intelligence, ICTC 2018</t>
  </si>
  <si>
    <t>https://www.scopus.com/inward/record.uri?eid=2-s2.0-85059482851&amp;doi=10.1109%2fICTC.2018.8539407&amp;partnerID=40&amp;md5=753f18d425e88f25f191cbacf51348db</t>
  </si>
  <si>
    <t>Knowledge E-Learning Research Group, Electronics and Telecommunications Research Institute, Daejeon, South Korea; Visual Intelligence Research Group, Electronics and Telecommunications Research Institute, Daejeon, South Korea</t>
  </si>
  <si>
    <t>Yoon, Y.-S., Knowledge E-Learning Research Group, Electronics and Telecommunications Research Institute, Daejeon, South Korea; Hwang, J.-W., Visual Intelligence Research Group, Electronics and Telecommunications Research Institute, Daejeon, South Korea; Jung, S.-U., Knowledge E-Learning Research Group, Electronics and Telecommunications Research Institute, Daejeon, South Korea; Park, J., Visual Intelligence Research Group, Electronics and Telecommunications Research Institute, Daejeon, South Korea</t>
  </si>
  <si>
    <t>Psychological Contract Development, Distributive Justice, and Performance of Independent Contractors: The Role of Negotiation Behaviors and the Fulfillment of Resources</t>
  </si>
  <si>
    <t>10.1177/1548051816645745</t>
  </si>
  <si>
    <t>35102479700;56274363800;6508181625;20734268000;</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</si>
  <si>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vis-à-vis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 © 2016, © The Authors 2016.</t>
  </si>
  <si>
    <t>Lemmon G., Wilson M.S., Posig M., Glibkowski B.C.</t>
  </si>
  <si>
    <t>Journal of Leadership and Organizational Studies</t>
  </si>
  <si>
    <t>https://www.scopus.com/inward/record.uri?eid=2-s2.0-84988940103&amp;doi=10.1177%2f1548051816645745&amp;partnerID=40&amp;md5=f566859a950ae48c40c7965c5162d84f</t>
  </si>
  <si>
    <t>DePaul University, Chicago, IL, United States; Hope College, Holland, MI, United States; Stonehill College, Easton, MA, United States</t>
  </si>
  <si>
    <t>Lemmon, G., DePaul University, Chicago, IL, United States; Wilson, M.S., Hope College, Holland, MI, United States; Posig, M., DePaul University, Chicago, IL, United States; Glibkowski, B.C., Stonehill College, Easton, MA, United States</t>
  </si>
  <si>
    <t>Lemmon, G.; Department of Management, 1 E. Jackson, Suite 7000, United States; email: gracelemmon@gmail.com</t>
  </si>
  <si>
    <t>Psychological flexibility in the context of COVID-19 adversity: Associations with distress</t>
  </si>
  <si>
    <t>10.1016/j.jcbs.2020.07.011</t>
  </si>
  <si>
    <t>55191350500;57195437095;55805096500;57218617538;</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</si>
  <si>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 © 2020 Association for Contextual Behavioral Science</t>
  </si>
  <si>
    <t>Kroska E.B., Roche A.I., Adamowicz J.L., Stegall M.S.</t>
  </si>
  <si>
    <t>https://www.scopus.com/inward/record.uri?eid=2-s2.0-85089809364&amp;doi=10.1016%2fj.jcbs.2020.07.011&amp;partnerID=40&amp;md5=844f10cbc918ab338d7551763e1944eb</t>
  </si>
  <si>
    <t>University of Iowa, Department of Psychological and Brain Sciences, United States</t>
  </si>
  <si>
    <t>Kroska, E.B., University of Iowa, Department of Psychological and Brain Sciences, United States; Roche, A.I., University of Iowa, Department of Psychological and Brain Sciences, United States; Adamowicz, J.L., University of Iowa, Department of Psychological and Brain Sciences, United States; Stegall, M.S., University of Iowa, Department of Psychological and Brain Sciences, United States</t>
  </si>
  <si>
    <t>Kroska, E.B.G60 PBSB, 340 Iowa Ave, United States; email: emily-kroska@uiowa.edu</t>
  </si>
  <si>
    <t>Public awareness of circular economy in southern Poland: Case of the Malopolska region</t>
  </si>
  <si>
    <t>10.1016/j.jclepro.2018.06.100</t>
  </si>
  <si>
    <t>55439827500;55891669900;56009341600;57202775472;</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</si>
  <si>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 2018 Elsevier Ltd</t>
  </si>
  <si>
    <t>Smol M., Avdiushchenko A., Kulczycka J., Nowaczek A.</t>
  </si>
  <si>
    <t>Journal of Cleaner Production</t>
  </si>
  <si>
    <t>https://www.scopus.com/inward/record.uri?eid=2-s2.0-85049321607&amp;doi=10.1016%2fj.jclepro.2018.06.100&amp;partnerID=40&amp;md5=ec3ba1d8c6143dd6215a50a52a658a44</t>
  </si>
  <si>
    <t>Mineral and Energy Economy Research Institute, Polish Academy of Sciences, Cracow, Poland; AGH University of Science and Technology, Cracow, Poland</t>
  </si>
  <si>
    <t>Smol, M., Mineral and Energy Economy Research Institute, Polish Academy of Sciences, Cracow, Poland; Avdiushchenko, A., AGH University of Science and Technology, Cracow, Poland; Kulczycka, J., AGH University of Science and Technology, Cracow, Poland; Nowaczek, A., Mineral and Energy Economy Research Institute, Polish Academy of Sciences, Cracow, Poland</t>
  </si>
  <si>
    <t>Smol, M.Wybickiego 7A, Poland; email: smol@meeri.pl</t>
  </si>
  <si>
    <t>Public Perception of Helical Rim Deformities and Their Correction With Ear Molding</t>
  </si>
  <si>
    <t>10.1097/SCS.0000000000006400</t>
  </si>
  <si>
    <t>57212668301;57194458625;56651699500;27667949000;7202248305;</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</si>
  <si>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 t test and percent improvement from baseline. RESULTS: A total of 59 ears met criteria for evaluation by 497 MTurk respondents. Average age of patients at the time of treatment was 34.2 ± 16.8 days and mean therapy duration was 31.3 ± 13.1 days. A paired t 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</si>
  <si>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Patel V., Mazzaferro D.M., Swanson J.W., Taylor J.A., Bartlett S.P.</t>
  </si>
  <si>
    <t>The Journal of craniofacial surgery</t>
  </si>
  <si>
    <t>https://www.scopus.com/inward/record.uri?eid=2-s2.0-85084272289&amp;doi=10.1097%2fSCS.0000000000006400&amp;partnerID=40&amp;md5=bb7a1ad705aaaa41f61aa978db315c0c</t>
  </si>
  <si>
    <t>Division of Plastic Surgery, Children's Hospital of Philadelphia, Philadelphia, United States</t>
  </si>
  <si>
    <t>Patel, V., Division of Plastic Surgery, Children's Hospital of Philadelphia, Philadelphia, United States; Mazzaferro, D.M.; Swanson, J.W.; Taylor, J.A.; Bartlett, S.P.</t>
  </si>
  <si>
    <t>QASCA: A Quality-Aware task assignment system for crowdsourcing applications</t>
  </si>
  <si>
    <t>10.1145/2723372.2749430</t>
  </si>
  <si>
    <t>57189985436;38863309000;55800543300;7201955416;7403884576;</t>
  </si>
  <si>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t>
  </si>
  <si>
    <t>Zhengy Y., Wang J., Li G., Chengy R., Feng J.</t>
  </si>
  <si>
    <t>https://www.scopus.com/inward/record.uri?eid=2-s2.0-84957566214&amp;doi=10.1145%2f2723372.2749430&amp;partnerID=40&amp;md5=68b1dc7ad9b4e2c48d2971e856000c83</t>
  </si>
  <si>
    <t>Tsinghua University, China; University of Hong Kong, Hong Kong; UC Berkeley, United States</t>
  </si>
  <si>
    <t>Zhengy, Y., University of Hong Kong, Hong Kong; Wang, J., UC Berkeley, United States; Li, G., Tsinghua University, China; Chengy, R., University of Hong Kong, Hong Kong; Feng, J., Tsinghua University, China</t>
  </si>
  <si>
    <t>QoE aware video content adaptation and delivery</t>
  </si>
  <si>
    <t>10.1109/WoWMoM.2016.7523556</t>
  </si>
  <si>
    <t>55515170800;16175292100;7003494086;</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</si>
  <si>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±0.5 MOS points. This approach can be effectively used to select the video qualities minimizing bandwidth costs while delivering predefined level of perceived quality to the end users. © 2016 IEEE.</t>
  </si>
  <si>
    <t>Kamaraju P., Lungaro P., Segall Z.</t>
  </si>
  <si>
    <t>WoWMoM 2016 - 17th International Symposium on a World of Wireless, Mobile and Multimedia Networks</t>
  </si>
  <si>
    <t>https://www.scopus.com/inward/record.uri?eid=2-s2.0-84983801298&amp;doi=10.1109%2fWoWMoM.2016.7523556&amp;partnerID=40&amp;md5=69adfea7752d09d8bfb49a4504d3c669</t>
  </si>
  <si>
    <t>Department of Computer Science and Electrical Engineering, University of Maryland, Baltimore County, United States; Mobile Service Lab, Royal Institute of Technology (KTH), Kista, Sweden</t>
  </si>
  <si>
    <t>Kamaraju, P., Department of Computer Science and Electrical Engineering, University of Maryland, Baltimore County, United States; Lungaro, P., Mobile Service Lab, Royal Institute of Technology (KTH), Kista, Sweden; Segall, Z., Mobile Service Lab, Royal Institute of Technology (KTH), Kista, Sweden</t>
  </si>
  <si>
    <t>Quality indicators on global software development projects: Does "getting to know you" really matter?</t>
  </si>
  <si>
    <t>10.1109/ICGSE.2009.8</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</si>
  <si>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 © 2009 IEEE.</t>
  </si>
  <si>
    <t>https://www.scopus.com/inward/record.uri?eid=2-s2.0-71049121505&amp;doi=10.1109%2fICGSE.2009.8&amp;partnerID=40&amp;md5=12b2e0c52b974228ba633da35b3f472b</t>
  </si>
  <si>
    <t>Pace University, New York, NY, United States; University of Delhi, Delhi, India; Institute of Technology of Cambodia, Phnom Penh, Cambodia; Mahidol University, Bangkok, Thailand</t>
  </si>
  <si>
    <t>Gotel, O., Pace University, New York, NY, United States; Kulkarni, V., University of Delhi, Delhi, India; Say, M., Institute of Technology of Cambodia, Phnom Penh, Cambodia; Scharff, C., Pace University, New York, NY, United States; Sunetnanta, T., Mahidol University, Bangkok, Thailand</t>
  </si>
  <si>
    <t>Quality indicators on global software development projects: Does 'getting to know you' really matter?</t>
  </si>
  <si>
    <t>10.1002/smr.474</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</si>
  <si>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 2010 John Wiley &amp; Sons, Ltd.</t>
  </si>
  <si>
    <t>Gotel O., Kulkarni V., Say M., Scharff C., Thanwadee Sunetnanta</t>
  </si>
  <si>
    <t>https://www.scopus.com/inward/record.uri?eid=2-s2.0-84863304469&amp;doi=10.1002%2fsmr.474&amp;partnerID=40&amp;md5=f462371dd6492db4b4fc64e796504099</t>
  </si>
  <si>
    <t>Gotel, O., Pace University, New York, NY, United States; Kulkarni, V., University of Delhi, Delhi, India; Say, M., Institute of Technology of Cambodia, Phnom Penh, Cambodia; Scharff, C., Pace University, New York, NY, United States; Thanwadee Sunetnanta, Mahidol University, Bangkok, Thailand</t>
  </si>
  <si>
    <t>Gotel, O.; Pace University, New York, NY, United States; email: olly@gotel.net</t>
  </si>
  <si>
    <t>Quantifying the semantics of search behavior before stock market moves</t>
  </si>
  <si>
    <t>10.1073/pnas.1324054111</t>
  </si>
  <si>
    <t>55698738300;14066361400;35375959000;55185006100;</t>
  </si>
  <si>
    <t>Technology is becoming deeply interwoven into the fabric of society. The Internet has become a central source of information for many people when making day-to-day decisions. Here, we present a method to mine the vast data Internet users create when searching for information online, to identify topics of interest before stock market moves. In an analysis of historic data from 2004 until 2012, we draw on records from the search engine Google and online encyclopedia Wikipedia as well as judgments from the service Amazon Mechanical Turk. We find evidence of links between Internet searches relating to politics or business and subsequent stock market moves. In particular, we find that an increase in search volume for these topics tends to precede stock market falls. We suggest that extensions of these analyses could offer insight into large-scale information flow before a range of real-world events.</t>
  </si>
  <si>
    <t>Curme C., Preis T., Stanley H.E., Moat H.S.</t>
  </si>
  <si>
    <t>https://www.scopus.com/inward/record.uri?eid=2-s2.0-84905986134&amp;doi=10.1073%2fpnas.1324054111&amp;partnerID=40&amp;md5=c5d791a4b70786beddd93089dbe15d50</t>
  </si>
  <si>
    <t>Center for Polymer Studies, Department of Physics, Boston University, Boston, MA 02215, United States; Warwick Business School, University of Warwick, Coventry CV4 7AL, United Kingdom</t>
  </si>
  <si>
    <t>Curme, C., Center for Polymer Studies, Department of Physics, Boston University, Boston, MA 02215, United States, Warwick Business School, University of Warwick, Coventry CV4 7AL, United Kingdom; Preis, T., Warwick Business School, University of Warwick, Coventry CV4 7AL, United Kingdom; Stanley, H.E., Center for Polymer Studies, Department of Physics, Boston University, Boston, MA 02215, United States; Moat, H.S., Warwick Business School, University of Warwick, Coventry CV4 7AL, United Kingdom</t>
  </si>
  <si>
    <t>Curme, C.; Center for Polymer Studies, Department of Physics, Boston University, Boston, MA 02215, United States; email: ccurme@bu.edu</t>
  </si>
  <si>
    <t>Quantifying the Valuation of Animal Welfare Among Americans</t>
  </si>
  <si>
    <t>10.1007/s10806-020-09824-1</t>
  </si>
  <si>
    <t>57210625794;56120360900;56600122900;26639761300;56027840900;16308889100;55145989300;</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</si>
  <si>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 © 2020, Springer Nature B.V.</t>
  </si>
  <si>
    <t>Weathers S.T., Caviola L., Scherer L., Pfister S., Fischer B., Bump J.B., Jaacks L.M.</t>
  </si>
  <si>
    <t>Journal of Agricultural and Environmental Ethics</t>
  </si>
  <si>
    <t>https://www.scopus.com/inward/record.uri?eid=2-s2.0-85081689887&amp;doi=10.1007%2fs10806-020-09824-1&amp;partnerID=40&amp;md5=123d67ff0a38233dc86de237c0e72b0c</t>
  </si>
  <si>
    <t>Department of Global Health and Population, Harvard T.H. Chan School of Public Health, 655 Huntington Avenue, Boston, MA  02115, United States; Department of Psychology, Harvard University, 33 Kirkland St, Cambridge, 02138, United States; Institute of Environmental Sciences (CML), Leiden University, Einsteinweg 2, Leiden, 2333 CC, Netherlands; Institute of Environmental Engineering, ETH Zurich, John-von-Neumann-Weg 9, Zurich, 8093, Switzerland; Department of Philosophy, Texas State University, 601 University Dr., San Marcos, TX  78666, United States</t>
  </si>
  <si>
    <t>Weathers, S.T., Department of Global Health and Population, Harvard T.H. Chan School of Public Health, 655 Huntington Avenue, Boston, MA  02115, United States; Caviola, L., Department of Psychology, Harvard University, 33 Kirkland St, Cambridge, 02138, United States; Scherer, L., Institute of Environmental Sciences (CML), Leiden University, Einsteinweg 2, Leiden, 2333 CC, Netherlands; Pfister, S., Institute of Environmental Engineering, ETH Zurich, John-von-Neumann-Weg 9, Zurich, 8093, Switzerland; Fischer, B., Department of Philosophy, Texas State University, 601 University Dr., San Marcos, TX  78666, United States; Bump, J.B., Department of Global Health and Population, Harvard T.H. Chan School of Public Health, 655 Huntington Avenue, Boston, MA  02115, United States; Jaacks, L.M., Department of Global Health and Population, Harvard T.H. Chan School of Public Health, 655 Huntington Avenue, Boston, MA  02115, United States</t>
  </si>
  <si>
    <t>Jaacks, L.M.; Department of Global Health and Population, 655 Huntington Avenue, United States; email: jaacks@hsph.harvard.edu</t>
  </si>
  <si>
    <t>Query relaxation for entity-relationship search</t>
  </si>
  <si>
    <t>10.1007/978-3-642-21064-8_5</t>
  </si>
  <si>
    <t>25823803400;6603292414;56270327600;</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</si>
  <si>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 © 2011 Springer-Verlag Berlin Heidelberg.</t>
  </si>
  <si>
    <t>Elbassuoni S., Ramanath M., Weikum G.</t>
  </si>
  <si>
    <t>https://www.scopus.com/inward/record.uri?eid=2-s2.0-79960062347&amp;doi=10.1007%2f978-3-642-21064-8_5&amp;partnerID=40&amp;md5=8aa9e35021c32de0d99b4534039a0370</t>
  </si>
  <si>
    <t>Max-Planck Institute for Informatics, Germany</t>
  </si>
  <si>
    <t>Elbassuoni, S., Max-Planck Institute for Informatics, Germany; Ramanath, M., Max-Planck Institute for Informatics, Germany; Weikum, G., Max-Planck Institute for Informatics, Germany</t>
  </si>
  <si>
    <t>Elbassuoni, S.; Max-Planck Institute for InformaticsGermany; email: elbass@mpii.de</t>
  </si>
  <si>
    <t>QueryVis: Logic-based Diagrams help Users Understand Complicated SQL Queries Faster</t>
  </si>
  <si>
    <t>10.1145/3318464.3389767</t>
  </si>
  <si>
    <t>57217108338;57217106245;25651423500;56022857000;35242128300;6602907494;</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</si>
  <si>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2 - 3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 © 2020 Association for Computing Machinery.</t>
  </si>
  <si>
    <t>Leventidis A., Zhang J., Dunne C., Gatterbauer W., Jagadish H.V., Riedewald M.</t>
  </si>
  <si>
    <t>https://www.scopus.com/inward/record.uri?eid=2-s2.0-85086228289&amp;doi=10.1145%2f3318464.3389767&amp;partnerID=40&amp;md5=1b0041c92dfcef6fc3a06690cdbd6217</t>
  </si>
  <si>
    <t>Northeastern University, Boston, MA, United States; University of Michigan, Ann Arbor, MI, United States</t>
  </si>
  <si>
    <t>Leventidis, A., Northeastern University, Boston, MA, United States; Zhang, J., Northeastern University, Boston, MA, United States; Dunne, C., Northeastern University, Boston, MA, United States; Gatterbauer, W., Northeastern University, Boston, MA, United States; Jagadish, H.V., University of Michigan, Ann Arbor, MI, United States; Riedewald, M., Northeastern University, Boston, MA, United States</t>
  </si>
  <si>
    <t>Race and the beauty premium: Mechanical Turk workers’ evaluations of Twitter accounts</t>
  </si>
  <si>
    <t>10.1080/1369118X.2018.1543443</t>
  </si>
  <si>
    <t>57190379998;54387329400;8454031800;57207528871;15751636900;</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</si>
  <si>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proﬁle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 2018, © 2018 Informa UK Limited, trading as Taylor &amp; Francis Group.</t>
  </si>
  <si>
    <t>Groggel A., Nilizadeh S., Ahn Y.-Y., Kapadia A., Rojas F.</t>
  </si>
  <si>
    <t>https://www.scopus.com/inward/record.uri?eid=2-s2.0-85057345738&amp;doi=10.1080%2f1369118X.2018.1543443&amp;partnerID=40&amp;md5=b58a1a8bdf5199901e58c66791165700</t>
  </si>
  <si>
    <t>Sociology Department, Indiana University Bloomington, Bloomington, IN, United States; Carnegie Mellon University Silicon Valley, Moffett Field, CA, United States; Department of Informatics, School of Informatics, Computing, and Engineering, Indiana University Bloomington, Bloomington, IN, United States; Department of Computer Science, School of Informatics, Computing, and Engineering, Indiana University Bloomington, Bloomington, IN, United States; Department of Computer Science and Engineering, University of Texas at Arlington, Arlington, TX, United States</t>
  </si>
  <si>
    <t>Groggel, A., Sociology Department, Indiana University Bloomington, Bloomington, IN, United States; Nilizadeh, S., Carnegie Mellon University Silicon Valley, Moffett Field, CA, United States, Department of Computer Science and Engineering, University of Texas at Arlington, Arlington, TX, United States; Ahn, Y.-Y., Department of Informatics, School of Informatics, Computing, and Engineering, Indiana University Bloomington, Bloomington, IN, United States; Kapadia, A., Department of Computer Science, School of Informatics, Computing, and Engineering, Indiana University Bloomington, Bloomington, IN, United States; Rojas, F., Sociology Department, Indiana University Bloomington, Bloomington, IN, United States</t>
  </si>
  <si>
    <t>Groggel, A.1020 E. Kirkwood Ave., United States; email: agroggel@iu.edu</t>
  </si>
  <si>
    <t>Ranking domain-specific highlights by analyzing edited videos</t>
  </si>
  <si>
    <t>10.1007/978-3-319-10590-1_51</t>
  </si>
  <si>
    <t>8321522800;36099817000;7004774929;</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</si>
  <si>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 © 2014 Springer International Publishing.</t>
  </si>
  <si>
    <t>Sun M., Farhadi A., Seitz S.</t>
  </si>
  <si>
    <t>https://www.scopus.com/inward/record.uri?eid=2-s2.0-84906494692&amp;doi=10.1007%2f978-3-319-10590-1_51&amp;partnerID=40&amp;md5=aa2c7c03ad2b8c149d96cc60d96ba3f7</t>
  </si>
  <si>
    <t>University of Washington, Seattle, WA, United States</t>
  </si>
  <si>
    <t>Sun, M., University of Washington, Seattle, WA, United States; Farhadi, A., University of Washington, Seattle, WA, United States; Seitz, S., University of Washington, Seattle, WA, United States</t>
  </si>
  <si>
    <t>Real user evaluation of spoken dialogue systems using Amazon Mechanical Turk</t>
  </si>
  <si>
    <t>14018134000;55941961500;26631804000;14018373500;24342255600;7403385716;7404515229;</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</si>
  <si>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 Copyright © 2011 ISCA.</t>
  </si>
  <si>
    <t>Jurčíček F., Keizer S., Gašić M., Mairesse F., Thomson B., Yu K., Young S.</t>
  </si>
  <si>
    <t>https://www.scopus.com/inward/record.uri?eid=2-s2.0-84865718200&amp;partnerID=40&amp;md5=b971eb0a84af22af9335ad57c6fe61ca</t>
  </si>
  <si>
    <t>Engineering Department, Cambridge University, CB2 1PZ, United Kingdom</t>
  </si>
  <si>
    <t>Jurčíček, F., Engineering Department, Cambridge University, CB2 1PZ, United Kingdom; Keizer, S., Engineering Department, Cambridge University, CB2 1PZ, United Kingdom; Gašić, M., Engineering Department, Cambridge University, CB2 1PZ, United Kingdom; Mairesse, F., Engineering Department, Cambridge University, CB2 1PZ, United Kingdom; Thomson, B., Engineering Department, Cambridge University, CB2 1PZ, United Kingdom; Yu, K., Engineering Department, Cambridge University, CB2 1PZ, United Kingdom; Young, S., Engineering Department, Cambridge University, CB2 1PZ, United Kingdom</t>
  </si>
  <si>
    <t>Jurčíček, F.; Engineering Department, , CB2 1PZ, United Kingdom; email: fj228@eng.cam.ac.uk</t>
  </si>
  <si>
    <t>Real-time natural language corrections for assistive robotic manipulators</t>
  </si>
  <si>
    <t>10.1177/0278364917706418</t>
  </si>
  <si>
    <t>56940439300;57192421412;14822513400;57203090257;14035150500;</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</si>
  <si>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 © The Author(s) 2017.</t>
  </si>
  <si>
    <t>Broad A., Arkin J., Ratliff N., Howard T., Argall B.</t>
  </si>
  <si>
    <t>International Journal of Robotics Research</t>
  </si>
  <si>
    <t>https://www.scopus.com/inward/record.uri?eid=2-s2.0-85044212812&amp;doi=10.1177%2f0278364917706418&amp;partnerID=40&amp;md5=eeae8aa63278759d70f6c4dad90e42c9</t>
  </si>
  <si>
    <t>Department of Electrical Engineering and Computer Science, Northwestern University, United States; Rehabilitation Institute of Chicago, United States; Department of Computer Science, University of Rochester, United States; Lula Robotics Inc., United States</t>
  </si>
  <si>
    <t>Broad, A., Department of Electrical Engineering and Computer Science, Northwestern University, United States, Rehabilitation Institute of Chicago, United States; Arkin, J., Department of Computer Science, University of Rochester, United States; Ratliff, N., Lula Robotics Inc., United States; Howard, T., Department of Computer Science, University of Rochester, United States; Argall, B., Department of Electrical Engineering and Computer Science, Northwestern University, United States, Rehabilitation Institute of Chicago, United States</t>
  </si>
  <si>
    <t>Broad, A.; Department of Electrical Engineering and Computer Science, United States; email: alex.broad@u.northwestern.edu</t>
  </si>
  <si>
    <t>Reaping the benefits of meaningful work: The mediating versus moderating role of work engagement</t>
  </si>
  <si>
    <t>10.1002/smi.2710</t>
  </si>
  <si>
    <t>55723899700;56381775000;</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</si>
  <si>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 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 Copyright © 2016 John Wiley &amp; Sons, Ltd.</t>
  </si>
  <si>
    <t>Johnson M.J., Jiang L.</t>
  </si>
  <si>
    <t>https://www.scopus.com/inward/record.uri?eid=2-s2.0-85026828446&amp;doi=10.1002%2fsmi.2710&amp;partnerID=40&amp;md5=8cc8bc4fde86e5bd8a0420b2263eeaf1</t>
  </si>
  <si>
    <t>Central Michigan University, Mount Pleasant, MI, United States; University of Wisconsin Oshkosh, Oshkosh, WI, United States</t>
  </si>
  <si>
    <t>Johnson, M.J., Central Michigan University, Mount Pleasant, MI, United States; Jiang, L., University of Wisconsin Oshkosh, Oshkosh, WI, United States</t>
  </si>
  <si>
    <t>Johnson, M.J.; Central Michigan UniversityUnited States; email: johns43m@cmich.edu</t>
  </si>
  <si>
    <t>Reducing internalized binegativity: Development and efficacy of an online intervention</t>
  </si>
  <si>
    <t>10.1037/sgd0000314</t>
  </si>
  <si>
    <t>6603039278;57192893655;57093058300;57202989141;55240286200;57204564700;57194683158;</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</si>
  <si>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 © 2018 American Psychological Association.</t>
  </si>
  <si>
    <t>Israel T., Choi A.Y., Goodman J.A., Matsuno E., Lin Y.-J., Kary K.G., Merrill C.R.S.</t>
  </si>
  <si>
    <t>https://www.scopus.com/inward/record.uri?eid=2-s2.0-85056173690&amp;doi=10.1037%2fsgd0000314&amp;partnerID=40&amp;md5=3bcc5efed2f036176d5f5a037b1b9298</t>
  </si>
  <si>
    <t>Department of Counseling, Clinical, and School Psychology, University of California, Santa Barbara, United States; Counseling and Psychological Services, University of San Francisco, United States; Department of Counseling, Clinical, School Psychology, University of California, Santa Barbara, United States</t>
  </si>
  <si>
    <t>Israel, T., Department of Counseling, Clinical, and School Psychology, University of California, Santa Barbara, United States; Choi, A.Y., Department of Counseling, Clinical, and School Psychology, University of California, Santa Barbara, United States; Goodman, J.A., Department of Counseling, Clinical, and School Psychology, University of California, Santa Barbara, United States; Matsuno, E., Department of Counseling, Clinical, and School Psychology, University of California, Santa Barbara, United States; Lin, Y.-J., Counseling and Psychological Services, University of San Francisco, United States; Kary, K.G., Department of Counseling, Clinical, School Psychology, University of California, Santa Barbara, United States; Merrill, C.R.S., Department of Counseling, Clinical, School Psychology, University of California, Santa Barbara, United States</t>
  </si>
  <si>
    <t>Israel, T.; Department of Counseling, United States; email: tisrael@ucsb.edu</t>
  </si>
  <si>
    <t>Reducing Internalized Transnegativity: Randomized Controlled Trial of an Online Intervention</t>
  </si>
  <si>
    <t>10.1037/sgd0000447</t>
  </si>
  <si>
    <t>6603039278;57192893655;55240286200;57202989141;57093058300;57204564700;57194683158;</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</si>
  <si>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=.43) and increasing pride (d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 © 2020. American Psychological Association</t>
  </si>
  <si>
    <t>Israel T., Choi A.Y., Lin Y.J., Matsuno E., Goodman J.A., Kary K.G., Merrill C.R.S.</t>
  </si>
  <si>
    <t>https://www.scopus.com/inward/record.uri?eid=2-s2.0-85089984762&amp;doi=10.1037%2fsgd0000447&amp;partnerID=40&amp;md5=1f6af90de393c7c9dfccac731d2f5e76</t>
  </si>
  <si>
    <t>University of California, Santa Barbara, United States; Cambridge Health Alliance, Harvard Medical School, United States; Los Angeles County Department of Mental Health, Los Angeles, CA, United States; Palo Alto University, United States; Bates College, United States; Stanford University, United States</t>
  </si>
  <si>
    <t>Israel, T., University of California, Santa Barbara, United States; Choi, A.Y., Cambridge Health Alliance, Harvard Medical School, United States; Lin, Y.J., Los Angeles County Department of Mental Health, Los Angeles, CA, United States; Matsuno, E., Palo Alto University, United States; Goodman, J.A., Bates College, United States; Kary, K.G., Stanford University, United States; Merrill, C.R.S., University of California, Santa Barbara, United States</t>
  </si>
  <si>
    <t>Matsuno, E.; Palo Alto UniversityUnited States; email: emmie.matsuno@gmail.com</t>
  </si>
  <si>
    <t>Re-examining a model for measuring Facebook interaction and relationship quality</t>
  </si>
  <si>
    <t>10.1108/SBM-10-2018-0082</t>
  </si>
  <si>
    <t>56957169600;</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</si>
  <si>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 © 2019, Emerald Publishing Limited.</t>
  </si>
  <si>
    <t>Achen R.M.</t>
  </si>
  <si>
    <t>https://www.scopus.com/inward/record.uri?eid=2-s2.0-85074035131&amp;doi=10.1108%2fSBM-10-2018-0082&amp;partnerID=40&amp;md5=0bf683c32593205b6c354790f0f7dc56</t>
  </si>
  <si>
    <t>School of Kinesiology and Recreation, Illinois State University, Normal, IL, United States</t>
  </si>
  <si>
    <t>Achen, R.M., School of Kinesiology and Recreation, Illinois State University, Normal, IL, United States</t>
  </si>
  <si>
    <t>Achen, R.M.; School of Kinesiology and Recreation, United States; email: rmachen@ilstu.edu</t>
  </si>
  <si>
    <t>Referral patterns of Israeli pediatricians of common primary care office procedures</t>
  </si>
  <si>
    <t>10.1186/s13584-015-0046-3</t>
  </si>
  <si>
    <t>7202940048;54388479100;7005752413;23393641400;</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</si>
  <si>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 © 2015 Zimmerman et al.</t>
  </si>
  <si>
    <t>Zimmerman D.R., Amitai Y., Grossman Z., Stein-Zamir C.</t>
  </si>
  <si>
    <t>Israel Journal of Health Policy Research</t>
  </si>
  <si>
    <t>https://www.scopus.com/inward/record.uri?eid=2-s2.0-84949684610&amp;doi=10.1186%2fs13584-015-0046-3&amp;partnerID=40&amp;md5=7f0cd7e27f12fb5bd42edeae681f6c8b</t>
  </si>
  <si>
    <t>Jerusalem District Health Office - Ministry of Health, 86 Jaffa Road, Jerusalem, 94341, Israel; Meuchedet Health Services, 31 Yitzchak Mirsky St., Jerusalem, 97284, Israel; Bar Ilan University, Department of Management, Max and Anna Webb St., Ramat Gan, 52900, Israel;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</si>
  <si>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Jerusalem, 94341, Israel; Amitai, Y., Meuchedet Health Services, 31 Yitzchak Mirsky St., Jerusalem, 97284, Israel; Grossman, Z., Bar Ilan University, Department of Management, Max and Anna Webb St., Ramat Gan, 52900, Israel; Stein-Zamir, C.,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</si>
  <si>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Israel; email: Deena.Zimmerman@lbjr.health.gov.il</t>
  </si>
  <si>
    <t>Reflecting the choice and usage of communication tools in global software development projects with media synchronicity theory</t>
  </si>
  <si>
    <t>10.1002/smr.566</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</si>
  <si>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 conveyance of information and convergence of understanding -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 2011 John Wiley &amp; Sons, Ltd.</t>
  </si>
  <si>
    <t>https://www.scopus.com/inward/record.uri?eid=2-s2.0-84871312158&amp;doi=10.1002%2fsmr.566&amp;partnerID=40&amp;md5=7509b82bbd9050970183862a9ff21c6a</t>
  </si>
  <si>
    <t>School of Science, Software Business and Engineering Institute, Aalto University, P. O. Box 19210, FIN-ALTO, Finland</t>
  </si>
  <si>
    <t>Niinimäki, T., School of Science, Software Business and Engineering Institute, Aalto University, P. O. Box 19210, FIN-ALTO, Finland; Piri, A., School of Science, Software Business and Engineering Institute, Aalto University, P. O. Box 19210, FIN-ALTO, Finland; Lassenius, C., School of Science, Software Business and Engineering Institute, Aalto University, P. O. Box 19210, FIN-ALTO, Finland; Paasivaara, M., School of Science, Software Business and Engineering Institute, Aalto University, P. O. Box 19210, FIN-ALTO, Finland</t>
  </si>
  <si>
    <t>Niinimäki, T.; School of Science, P. O. Box 19210, FIN-ALTO, Finland; email: tuomas.niinimaki@aalto.fi</t>
  </si>
  <si>
    <t>Relation between PTSD symptom clusters and positive memory characteristics: A network perspective</t>
  </si>
  <si>
    <t>10.1016/j.janxdis.2019.102157</t>
  </si>
  <si>
    <t>54392860100;18434223400;57190379600;43762132500;35072405300;</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</si>
  <si>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</si>
  <si>
    <t>Contractor A.A., Greene T., Dolan M., Weiss N.H., Armour C.</t>
  </si>
  <si>
    <t>https://www.scopus.com/inward/record.uri?eid=2-s2.0-85075027143&amp;doi=10.1016%2fj.janxdis.2019.102157&amp;partnerID=40&amp;md5=9665dccfec27b7c29b4eea124a2978e8</t>
  </si>
  <si>
    <t>Department of Psychology, University of North Texas, Denton, TX, United States; Department of Community Mental Health, University of Haifa, Israel; Department of Psychology, University of Rhode Island, Kingston, RI, United States; School of Psychology, Queens University Belfast, Northern Ireland, United Kingdom</t>
  </si>
  <si>
    <t>Contractor, A.A., Department of Psychology, University of North Texas, Denton, TX, United States; Greene, T., Department of Community Mental Health, University of Haifa, Israel; Dolan, M., Department of Psychology, University of North Texas, Denton, TX, United States; Weiss, N.H., Department of Psychology, University of Rhode Island, Kingston, RI, United States; Armour, C., School of Psychology, Queens University Belfast, Northern Ireland, United Kingdom</t>
  </si>
  <si>
    <t>Relevance criteria for e-Commerce: A crowdsourcing-based experimental analysis</t>
  </si>
  <si>
    <t>10.1145/1571941.1572115</t>
  </si>
  <si>
    <t>23011639800;6603594721;</t>
  </si>
  <si>
    <t>We discuss the concept of relevance criteria in the context of e-Commerce search. A vast body of research literature describes the beyond-topical criteria used to determine the relevance of the document to the need. We argue that in an e-Commerce scenario there are some differences, and novel and different criteria can be used to determine relevance. We experimentally validate this hypothesis by means of Amazon Mechanical Turk using a crowdsourcing approach.</t>
  </si>
  <si>
    <t>Alonso O., Mizzaro S.</t>
  </si>
  <si>
    <t>Proceedings - 32nd Annual International ACM SIGIR Conference on Research and Development in Information Retrieval, SIGIR 2009</t>
  </si>
  <si>
    <t>https://www.scopus.com/inward/record.uri?eid=2-s2.0-72449180422&amp;doi=10.1145%2f1571941.1572115&amp;partnerID=40&amp;md5=d57682742052fe266bf87f9f57470cda</t>
  </si>
  <si>
    <t>A9.com, Palo Alto, CA, United States; Dept. of Mathematics and Computer Science, University of Udine, Udine, Italy</t>
  </si>
  <si>
    <t>Alonso, O., A9.com, Palo Alto, CA, United States; Mizzaro, S., Dept. of Mathematics and Computer Science, University of Udine, Udine, Italy</t>
  </si>
  <si>
    <t>Alonso, O.; A9.com, Palo Alto, CA, United States; email: oralonso@gmail.com</t>
  </si>
  <si>
    <t>Reliability of a new measure to assess modern screen time in adults</t>
  </si>
  <si>
    <t>10.1186/s12889-019-7745-6</t>
  </si>
  <si>
    <t>57214705277;23388260400;22949871300;7004325319;</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</si>
  <si>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 © 2019 The Author(s).</t>
  </si>
  <si>
    <t>Vizcaino M., Buman M., Desroches C.T., Wharton C.</t>
  </si>
  <si>
    <t>BMC Public Health</t>
  </si>
  <si>
    <t>https://www.scopus.com/inward/record.uri?eid=2-s2.0-85074226734&amp;doi=10.1186%2fs12889-019-7745-6&amp;partnerID=40&amp;md5=b1c13eb92fd4236e17d9b5fd84c28b9f</t>
  </si>
  <si>
    <t>Radical Simplicity Lab, College of Health Solutions, Arizona State University, 550 N 3rd Street, Phoenix, AZ  85004, United States; College of Health Solutions, Arizona State University, Phoenix, United States; School of Sustainability, School of Historical Philosophical and Religious Studies, Arizona State University, Tempe, United States</t>
  </si>
  <si>
    <t>Vizcaino, M., Radical Simplicity Lab, College of Health Solutions, Arizona State University, 550 N 3rd Street, Phoenix, AZ  85004, United States; Buman, M., College of Health Solutions, Arizona State University, Phoenix, United States; Desroches, C.T., School of Sustainability, School of Historical Philosophical and Religious Studies, Arizona State University, Tempe, United States; Wharton, C., Radical Simplicity Lab, College of Health Solutions, Arizona State University, 550 N 3rd Street, Phoenix, AZ  85004, United States</t>
  </si>
  <si>
    <t>Wharton, C.; Radical Simplicity Lab, 550 N 3rd Street, United States; email: cwharton@asu.edu</t>
  </si>
  <si>
    <t>Reliable crowdsourcing for multi-class labeling using coding theory</t>
  </si>
  <si>
    <t>10.1109/JSTSP.2014.2316116</t>
  </si>
  <si>
    <t>40662045900;15050053300;35571661500;</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</si>
  <si>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 © 2007-2012 IEEE.</t>
  </si>
  <si>
    <t>Vempaty A., Varshney L.R., Varshney P.K.</t>
  </si>
  <si>
    <t>https://www.scopus.com/inward/record.uri?eid=2-s2.0-84904601689&amp;doi=10.1109%2fJSTSP.2014.2316116&amp;partnerID=40&amp;md5=dc6f9322fcb37fe0821611be68665371</t>
  </si>
  <si>
    <t>Department of Electrical Engineering and Computer Science, Syracuse University, Syracuse, NY 13244, United States; IBM, Thomas J. Watson Research Center, Yorktown Heights, NY 10598, United States; Department of Electrical and Computer Engineering, Coordinated Science Laboratory, University of Illinois at Urbana-Champaign, Urbana, IL 61801, United States</t>
  </si>
  <si>
    <t>Vempaty, A., Department of Electrical Engineering and Computer Science, Syracuse University, Syracuse, NY 13244, United States; Varshney, L.R., IBM, Thomas J. Watson Research Center, Yorktown Heights, NY 10598, United States, Department of Electrical and Computer Engineering, Coordinated Science Laboratory, University of Illinois at Urbana-Champaign, Urbana, IL 61801, United States; Varshney, P.K., Department of Electrical Engineering and Computer Science, Syracuse University, Syracuse, NY 13244, United States</t>
  </si>
  <si>
    <t>Repeat what after whom? Exploring variable selectivity in a cross-dialectal shadowing task</t>
  </si>
  <si>
    <t>10.3389/fpsyg.2015.00546</t>
  </si>
  <si>
    <t>56565920100;25521345600;</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</si>
  <si>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 © 2015 Walker and Campbell-Kibler.</t>
  </si>
  <si>
    <t>Walker A., Campbell-Kibler K.</t>
  </si>
  <si>
    <t>https://www.scopus.com/inward/record.uri?eid=2-s2.0-84930946477&amp;doi=10.3389%2ffpsyg.2015.00546&amp;partnerID=40&amp;md5=086c2802fffd7837f567976671c84dd9</t>
  </si>
  <si>
    <t>Department of English, College of Liberal Arts and Human Sciences, Virginia Polytechnic Institute and State University, Blacksburg, VA, United States; Department of Linguistics, The Ohio State University, Columbus, OH, United States</t>
  </si>
  <si>
    <t>Walker, A., Department of English, College of Liberal Arts and Human Sciences, Virginia Polytechnic Institute and State University, Blacksburg, VA, United States; Campbell-Kibler, K., Department of Linguistics, The Ohio State University, Columbus, OH, United States</t>
  </si>
  <si>
    <t>Walker, A.; Department of English, 409 Shanks Hall, 181 Turner St NW, United States</t>
  </si>
  <si>
    <t>Report Now. Report Effectively. Conceptualizing the Industry Practice for Cybercrime Reporting</t>
  </si>
  <si>
    <t>10.1109/eCrime47957.2019.9037577</t>
  </si>
  <si>
    <t>57190088664;35225065100;7801476504;23399087500;</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</si>
  <si>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 © 2019 IEEE.</t>
  </si>
  <si>
    <t>Bidgoli M., Knijnenburg B.P., Grossklags J., Wardman B.</t>
  </si>
  <si>
    <t>eCrime Researchers Summit, eCrime</t>
  </si>
  <si>
    <t>https://www.scopus.com/inward/record.uri?eid=2-s2.0-85083191555&amp;doi=10.1109%2feCrime47957.2019.9037577&amp;partnerID=40&amp;md5=47115add6bbd9c9e2452f18baa30ddc7</t>
  </si>
  <si>
    <t>PayPal Inc., Scottsdale, AZ, United States; School of Computing Clemson University, Clemson, SC, United States; Technical University of Munich, Department of Informatics, Munich, Germany</t>
  </si>
  <si>
    <t>Bidgoli, M., PayPal Inc., Scottsdale, AZ, United States; Knijnenburg, B.P., School of Computing Clemson University, Clemson, SC, United States; Grossklags, J., Technical University of Munich, Department of Informatics, Munich, Germany; Wardman, B., PayPal Inc., Scottsdale, AZ, United States</t>
  </si>
  <si>
    <t>Reputation as a sufficient condition for data quality on Amazon Mechanical Turk</t>
  </si>
  <si>
    <t>10.3758/s13428-013-0434-y</t>
  </si>
  <si>
    <t>14527451300;13008531800;16642142700;</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</si>
  <si>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 © 2013, Psychonomic Society, Inc.</t>
  </si>
  <si>
    <t>Peer E., Vosgerau J., Acquisti A.</t>
  </si>
  <si>
    <t>https://www.scopus.com/inward/record.uri?eid=2-s2.0-84901256745&amp;doi=10.3758%2fs13428-013-0434-y&amp;partnerID=40&amp;md5=107718cdcb20a67d184253c416db572d</t>
  </si>
  <si>
    <t>Graduate School of Business Administration, Bar-Ilan University, Ramat-Gan, 52900, Israel; School of Economics and Management, Tilburg University, Tilburg, Netherlands; Heinz College, Carnegie Mellon University, Pittsburgh, PA, United States</t>
  </si>
  <si>
    <t>Peer, E., Graduate School of Business Administration, Bar-Ilan University, Ramat-Gan, 52900, Israel; Vosgerau, J., School of Economics and Management, Tilburg University, Tilburg, Netherlands; Acquisti, A., Heinz College, Carnegie Mellon University, Pittsburgh, PA, United States</t>
  </si>
  <si>
    <t>Peer, E.; Graduate School of Business Administration, Israel; email: eyal.peer@biu.ac.il</t>
  </si>
  <si>
    <t>Requirements understanding: A challenge in global software development industrial surveys in kingdom of Saudi Arabia</t>
  </si>
  <si>
    <t>10.1109/COMPSAC.2012.41</t>
  </si>
  <si>
    <t>24802024700;57214747469;57213608541;</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</si>
  <si>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 © 2012 IEEE.</t>
  </si>
  <si>
    <t>Alnuem M.A., Ahmad A., Khan H.</t>
  </si>
  <si>
    <t>Proceedings - International Computer Software and Applications Conference</t>
  </si>
  <si>
    <t>https://www.scopus.com/inward/record.uri?eid=2-s2.0-84870839769&amp;doi=10.1109%2fCOMPSAC.2012.41&amp;partnerID=40&amp;md5=a470bd2a25d8e597bb132c2217a6709c</t>
  </si>
  <si>
    <t>Department of Information Systems, King Saud University, Riyadh, Saudi Arabia; Institute of Computer Technology, Vienna University of Technology, Vienna, Austria; King Saud University, Riyadh, Saudi Arabia</t>
  </si>
  <si>
    <t>Alnuem, M.A., Department of Information Systems, King Saud University, Riyadh, Saudi Arabia; Ahmad, A., Institute of Computer Technology, Vienna University of Technology, Vienna, Austria; Khan, H., King Saud University, Riyadh, Saudi Arabia</t>
  </si>
  <si>
    <t>Alnuem, M.A.; Department of Information Systems, , Riyadh, Saudi Arabia; email: malnuem@ksu.edu.sa</t>
  </si>
  <si>
    <t>Research in DRM architecture based on watermarking and PKI</t>
  </si>
  <si>
    <t>10.1117/12.576510</t>
  </si>
  <si>
    <t>57248799000;8911881100;7201474340;57203291040;</t>
  </si>
  <si>
    <t>Analyze the virtue and disadvantage of the present digital copyright protecting system, design a kind of security protocol model of digital copyright protection, which equilibrium consider the digital media's use validity, integrality, security of transmission, and trade equity, make a detailed formalize description to the protocol model, analyze the relationship of the entities involved in the digital work copyright protection. The analysis of the security and capability of the protocol model shows that the model is good at security and practicability.</t>
  </si>
  <si>
    <t>Liu L.-G., Chen X.-S., Xiao D.-J., Miao Y.</t>
  </si>
  <si>
    <t>https://www.scopus.com/inward/record.uri?eid=2-s2.0-18944385275&amp;doi=10.1117%2f12.576510&amp;partnerID=40&amp;md5=f59fd928d22d47b6852805a2d2a6a37d</t>
  </si>
  <si>
    <t>Department of Computer Science and Technology, Huazhong University of Science and Technology, Wuhan 430074, Hubei, China</t>
  </si>
  <si>
    <t>Liu, L.-G., Department of Computer Science and Technology, Huazhong University of Science and Technology, Wuhan 430074, Hubei, China; Chen, X.-S., Department of Computer Science and Technology, Huazhong University of Science and Technology, Wuhan 430074, Hubei, China; Xiao, D.-J., Department of Computer Science and Technology, Huazhong University of Science and Technology, Wuhan 430074, Hubei, China; Miao, Y., Department of Computer Science and Technology, Huazhong University of Science and Technology, Wuhan 430074, Hubei, China</t>
  </si>
  <si>
    <t>Liu, L.-G.; Department of Computer Science and Technology, , Wuhan 430074, Hubei, China; email: 2000_cs@163.com</t>
  </si>
  <si>
    <t>Revealing and Receiving Sexual Health Information</t>
  </si>
  <si>
    <t>10.1080/10410236.2019.1669128</t>
  </si>
  <si>
    <t>43461138200;55360880800;55391420500;</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</si>
  <si>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 © 2019 Taylor &amp; Francis Group, LLC.</t>
  </si>
  <si>
    <t>Coffelt T.A., Ritland R., LeFebvre L.</t>
  </si>
  <si>
    <t>https://www.scopus.com/inward/record.uri?eid=2-s2.0-85073918902&amp;doi=10.1080%2f10410236.2019.1669128&amp;partnerID=40&amp;md5=1be82e39f4383417892ede9ffe26b170</t>
  </si>
  <si>
    <t>Communication Studies Program, Iowa State University, United States; Department of English, Iowa State University, United States; Communication Studies, University of Alabama, United States</t>
  </si>
  <si>
    <t>Coffelt, T.A., Communication Studies Program, Iowa State University, United States; Ritland, R., Department of English, Iowa State University, United States; LeFebvre, L., Communication Studies, University of Alabama, United States</t>
  </si>
  <si>
    <t>Coffelt, T.A.; Iowa State University, 253 Ross Hall, United States; email: tcoffelt@iastate.edu</t>
  </si>
  <si>
    <t>Reversed solutionism: The two-sided control of crowdwork</t>
  </si>
  <si>
    <t>10.1285/i20356609v12i3p640</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</si>
  <si>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 © 2019-University of Salento.</t>
  </si>
  <si>
    <t>https://www.scopus.com/inward/record.uri?eid=2-s2.0-85087800271&amp;doi=10.1285%2fi20356609v12i3p640&amp;partnerID=40&amp;md5=8657d44a6e0fe51c808e68a797cf9ea6</t>
  </si>
  <si>
    <t>Technical University of Darmstadt, Germany</t>
  </si>
  <si>
    <t>Heiland, H., Technical University of Darmstadt, Germany</t>
  </si>
  <si>
    <t>Heiland, H.; Technical University of DarmstadtGermany; email: heiner.heiland@tu-darmstadt.de</t>
  </si>
  <si>
    <t>Review of a proposed methodology for bibliometric and visualization analyses for organizations: application to the collaboration economy</t>
  </si>
  <si>
    <t>10.1057/s41270-019-00052-9</t>
  </si>
  <si>
    <t>56816944900;57202782755;</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</si>
  <si>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 © 2019, Springer Nature Limited.</t>
  </si>
  <si>
    <t>Ertz M., Leblanc-Proulx S.</t>
  </si>
  <si>
    <t>Journal of Marketing Analytics</t>
  </si>
  <si>
    <t>https://www.scopus.com/inward/record.uri?eid=2-s2.0-85065567498&amp;doi=10.1057%2fs41270-019-00052-9&amp;partnerID=40&amp;md5=1777dbe23d059d4749e5490dc8bd26ea</t>
  </si>
  <si>
    <t>LaboNFC, Université du Québec à Chicoutimi, Boulevard de l’Université 555, Chicoutimi, QC  G7H 2B1, Canada</t>
  </si>
  <si>
    <t>Ertz, M., LaboNFC, Université du Québec à Chicoutimi, Boulevard de l’Université 555, Chicoutimi, QC  G7H 2B1, Canada; Leblanc-Proulx, S., LaboNFC, Université du Québec à Chicoutimi, Boulevard de l’Université 555, Chicoutimi, QC  G7H 2B1, Canada</t>
  </si>
  <si>
    <t>Ertz, M.; LaboNFC, Boulevard de l’Université 555, Canada; email: Myriam_Ertz@uqac.ca</t>
  </si>
  <si>
    <t>Review of global software development (GSD) trends in Malaysia and future directions</t>
  </si>
  <si>
    <t>10.1109/ISCAIE.2017.8074940</t>
  </si>
  <si>
    <t>57190968564;36052560100;36618409800;43061517900;57200160000;</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</si>
  <si>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 © 2017 IEEE.</t>
  </si>
  <si>
    <t>Khan A.R., Akbar R., Ten D.W.H., Rehman M., Adnan K.</t>
  </si>
  <si>
    <t>ISCAIE 2017 - 2017 IEEE Symposium on Computer Applications and Industrial Electronics</t>
  </si>
  <si>
    <t>https://www.scopus.com/inward/record.uri?eid=2-s2.0-85040021419&amp;doi=10.1109%2fISCAIE.2017.8074940&amp;partnerID=40&amp;md5=52cdb78e3b47ab58c4a081238622bc89</t>
  </si>
  <si>
    <t>Faculty of Information and Communication Technology, Universiti Tunku Abdul Rahman, Kampar, Perak, Malaysia</t>
  </si>
  <si>
    <t>Khan, A.R., Faculty of Information and Communication Technology, Universiti Tunku Abdul Rahman, Kampar, Perak, Malaysia; Akbar, R., Faculty of Information and Communication Technology, Universiti Tunku Abdul Rahman, Kampar, Perak, Malaysia; Ten, D.W.H., Faculty of Information and Communication Technology, Universiti Tunku Abdul Rahman, Kampar, Perak, Malaysia; Rehman, M., Faculty of Information and Communication Technology, Universiti Tunku Abdul Rahman, Kampar, Perak, Malaysia; Adnan, K., Faculty of Information and Communication Technology, Universiti Tunku Abdul Rahman, Kampar, Perak, Malaysia</t>
  </si>
  <si>
    <t>Risk analysis of global software development and proposed solutions</t>
  </si>
  <si>
    <t>10.1080/00051144.2010.11828358</t>
  </si>
  <si>
    <t>56160326900;7201441575;</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</si>
  <si>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</si>
  <si>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Yu L., Mishra A.</t>
  </si>
  <si>
    <t>Automatika</t>
  </si>
  <si>
    <t>https://www.scopus.com/inward/record.uri?eid=2-s2.0-77952931897&amp;doi=10.1080%2f00051144.2010.11828358&amp;partnerID=40&amp;md5=fd1a9a933827549cdb2266e1008be831</t>
  </si>
  <si>
    <t>Computer Science and Informatics, Indiana University South Bend, South Bend, IN, United States; Department of Computer and Software Engineering, Atilim University, Incek, 06836, Ankara, Turkey</t>
  </si>
  <si>
    <t>Yu, L., Computer Science and Informatics, Indiana University South Bend, South Bend, IN, United States; Mishra, A., Department of Computer and Software Engineering, Atilim University, Incek, 06836, Ankara, Turkey</t>
  </si>
  <si>
    <t>Yu, L.; Computer Science and Informatics, , South Bend, IN, United States; email: ligyu@iusb.edu</t>
  </si>
  <si>
    <t>Risk and protective factors in problem gambling: an examination of psychological resilience</t>
  </si>
  <si>
    <t>10.1080/14459795.2018.1545242</t>
  </si>
  <si>
    <t>55463272100;53463089800;57203650768;57203648629;</t>
  </si>
  <si>
    <t>Psychological resilience–successful adaptation when faced with adversity–is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self-efficacy–both modifiable protective factors–moderated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 © 2018, © 2018 Informa UK Limited, trading as Taylor &amp; Francis Group.</t>
  </si>
  <si>
    <t>Mishra S., Beshai S., Wuth A., Refaie N.</t>
  </si>
  <si>
    <t>International Gambling Studies</t>
  </si>
  <si>
    <t>https://www.scopus.com/inward/record.uri?eid=2-s2.0-85057329699&amp;doi=10.1080%2f14459795.2018.1545242&amp;partnerID=40&amp;md5=c412ee0911ba1f18490dfa30bd3064a1</t>
  </si>
  <si>
    <t>Faculty of Business Administration, University of Regina, Regina, Canada; Department of Psychology, University of Regina, Regina, Canada</t>
  </si>
  <si>
    <t>Mishra, S., Faculty of Business Administration, University of Regina, Regina, Canada; Beshai, S., Department of Psychology, University of Regina, Regina, Canada; Wuth, A., Department of Psychology, University of Regina, Regina, Canada; Refaie, N., Department of Psychology, University of Regina, Regina, Canada</t>
  </si>
  <si>
    <t>Mishra, S.; Faculty of Business Administration, 3737 Wascana Parkway, Canada; email: mishrs@gmail.com</t>
  </si>
  <si>
    <t>Risk management in global software development process planning</t>
  </si>
  <si>
    <t>10.1109/SEAA.2011.64</t>
  </si>
  <si>
    <t>24477159300;36175728100;6601991368;</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</si>
  <si>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 © 2011 IEEE.</t>
  </si>
  <si>
    <t>Betz S., Hickl S., Oberweis A.</t>
  </si>
  <si>
    <t>https://www.scopus.com/inward/record.uri?eid=2-s2.0-82955234089&amp;doi=10.1109%2fSEAA.2011.64&amp;partnerID=40&amp;md5=48d556355192704aa9dc2b57cc52cf1c</t>
  </si>
  <si>
    <t>Institute AIFB, Karlsruhe Institute of Technology, Karlsruhe, Germany</t>
  </si>
  <si>
    <t>Betz, S., Institute AIFB, Karlsruhe Institute of Technology, Karlsruhe, Germany; Hickl, S., Institute AIFB, Karlsruhe Institute of Technology, Karlsruhe, Germany; Oberweis, A., Institute AIFB, Karlsruhe Institute of Technology, Karlsruhe, Germany</t>
  </si>
  <si>
    <t>Betz, S.; Institute AIFB, , Karlsruhe, Germany; email: stefanie.betz@kit.edu</t>
  </si>
  <si>
    <t>Running field experiments using Facebook split test</t>
  </si>
  <si>
    <t>10.1016/j.jbusres.2020.06.053</t>
  </si>
  <si>
    <t>55847806900;23980211300;</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</si>
  <si>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 © 2020 Elsevier Inc.</t>
  </si>
  <si>
    <t>Orazi D.C., Johnston A.C.</t>
  </si>
  <si>
    <t>https://www.scopus.com/inward/record.uri?eid=2-s2.0-85087303405&amp;doi=10.1016%2fj.jbusres.2020.06.053&amp;partnerID=40&amp;md5=363c3c99d36558305b8bad85b69d715e</t>
  </si>
  <si>
    <t>Dept. of Marketing, Monash University, Australia; Dept. of Info System, Statistics, &amp; Management, University of Alabama, United States</t>
  </si>
  <si>
    <t>Orazi, D.C., Dept. of Marketing, Monash University, Australia; Johnston, A.C., Dept. of Info System, Statistics, &amp; Management, University of Alabama, United States</t>
  </si>
  <si>
    <t>Orazi, D.C.; Department of Marketing, 21 Sir Monash Street, Australia; email: davide.orazi@monash.edu</t>
  </si>
  <si>
    <t>Scaling drug indication curation through crowdsourcing</t>
  </si>
  <si>
    <t>10.1093/database/bav016</t>
  </si>
  <si>
    <t>25723325100;37019596600;21233306400;51665764900;56888579000;6603840406;23474115300;</t>
  </si>
  <si>
    <t>Motivated by the high cost of human curation of biological databases, there is an increasing interest in using computational approaches to assist human curators and accelerate the manual curation process. Towards the goal of cataloging drug indications from FDA drug labels, we recently developed LabeledIn, a human-curated drug indication resource for 250 clinical drugs. Its development required over 40 h of human effort across 20 weeks, despite using well-defined annotation guidelines. In this study, we aim to investigate the feasibility of scaling drug indication annotation through a crowdsourcing technique where an unknown network of workers can be recruited through the technical environment of Amazon Mechanical Turk (MTurk). To translate the expert-curation task of cataloging indications into human intelligence tasks (HITs) suitable for the average workers on MTurk, we first simplify the complex task such that each HIT only involves a worker making a binary judgment of whether a highlighted disease, in context of a given drug label, is an indication. In addition, this study is novel in the crowdsourcing interface design where the annotation guidelines are encoded into user options. For evaluation, we assess the ability of our proposed method to achieve high-quality annotations in a time-efficient and cost-effective manner. We posted over 3000 HITs drawn from 706 drug labels on MTurk. Within 8 h of posting, we collected 18 775 judgments from 74 workers, and achieved an aggregated accuracy of 96% on 450 control HITs (where gold-standard answers are known), at a cost of $1.75 per drug label. On the basis of these results, we conclude that our crowdsourcing approach not only results in significant cost and time saving, but also leads to accuracy comparable to that of domain experts.</t>
  </si>
  <si>
    <t>Khare R., Burger J.D., Aberdeen J.S., Tresner-Kirsch D.W., Corrales T.J., Hirchman L., Lu Z.</t>
  </si>
  <si>
    <t>Database</t>
  </si>
  <si>
    <t>https://www.scopus.com/inward/record.uri?eid=2-s2.0-84943187305&amp;doi=10.1093%2fdatabase%2fbav016&amp;partnerID=40&amp;md5=1689243368c3af1d8ffae342ffcc91a2</t>
  </si>
  <si>
    <t>National Center for Biotechnology Information (NCBI), 8600 Rockville Pike, Bethesda, MD  20894, United States; MITRE Corporation, 202 Burlington Road, Bedford, MA  01730, United States; Montgomery Blair High School, 57 University Blvd E., Silver Spring, MD  20901, United States</t>
  </si>
  <si>
    <t>Khare, R., National Center for Biotechnology Information (NCBI), 8600 Rockville Pike, Bethesda, MD  20894, United States; Burger, J.D., MITRE Corporation, 202 Burlington Road, Bedford, MA  01730, United States; Aberdeen, J.S., MITRE Corporation, 202 Burlington Road, Bedford, MA  01730, United States; Tresner-Kirsch, D.W., MITRE Corporation, 202 Burlington Road, Bedford, MA  01730, United States; Corrales, T.J., National Center for Biotechnology Information (NCBI), 8600 Rockville Pike, Bethesda, MD  20894, United States, Montgomery Blair High School, 57 University Blvd E., Silver Spring, MD  20901, United States; Hirchman, L., MITRE Corporation, 202 Burlington Road, Bedford, MA  01730, United States; Lu, Z., National Center for Biotechnology Information (NCBI), 8600 Rockville Pike, Bethesda, MD  20894, United States</t>
  </si>
  <si>
    <t>Lu, Z.; National Center for Biotechnology Information (NCBI), 8600 Rockville Pike, United States</t>
  </si>
  <si>
    <t>Scenario-based assessment of process pattern languages</t>
  </si>
  <si>
    <t>10.1007/978-3-642-02152-7_19</t>
  </si>
  <si>
    <t>22635957000;34873876100;7003813593;</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</si>
  <si>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 © 2009 Springer Berlin Heidelberg.</t>
  </si>
  <si>
    <t>Välimäki A., Vesiluoma S., Koskimies K.</t>
  </si>
  <si>
    <t>https://www.scopus.com/inward/record.uri?eid=2-s2.0-70149104793&amp;doi=10.1007%2f978-3-642-02152-7_19&amp;partnerID=40&amp;md5=1c625a9493cb26313e8dae869d1cb99b</t>
  </si>
  <si>
    <t>Metso Automation Inc, Finland; Teleca AB, Finland; Tampere University of Technology, Finland</t>
  </si>
  <si>
    <t>Välimäki, A., Metso Automation Inc, Finland; Vesiluoma, S., Teleca AB, Finland; Koskimies, K., Tampere University of Technology, Finland</t>
  </si>
  <si>
    <t>Välimäki, A.; Metso Automation IncFinland; email: Antti.Valimaki@metso.com</t>
  </si>
  <si>
    <t>Scenarios for sustainable futures beyond GDP growth 2050</t>
  </si>
  <si>
    <t>10.1016/j.futures.2019.05.001</t>
  </si>
  <si>
    <t>35763334600;57189299578;36524676200;57192192869;6701455127;57207891792;25651733400;57220392366;36955159200;35366863800;6504637628;24437435200;57207891641;36999865100;55829781900;56798567100;</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</si>
  <si>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 © 2019 The Authors</t>
  </si>
  <si>
    <t>Svenfelt Å., Alfredsson E.C., Bradley K., Fauré E., Finnveden G., Fuehrer P., Gunnarsson-Östling U., Isaksson K., Malmaeus M., Malmqvist T., Skånberg K., Stigson P., Aretun Å., Buhr K., Hagbert P., Öhlund E.</t>
  </si>
  <si>
    <t>Futures</t>
  </si>
  <si>
    <t>https://www.scopus.com/inward/record.uri?eid=2-s2.0-85066049333&amp;doi=10.1016%2fj.futures.2019.05.001&amp;partnerID=40&amp;md5=16fe4b576ff799c9c5c7f9c6658906fb</t>
  </si>
  <si>
    <t>KTH Royal Institute of Technology, Department of Sustainable Development, Environmental Sciences and Engineering, Stockholm, SE-100 44, Sweden; KTH Royal Institute of Technology, Department of Urban Planning and Environment, Division of Urban and Regional Studies, Stockholm, SE-100 44, Sweden; Södertörn University, School of Social Sciences, Huddinge, Sweden; VTI Swedish National Road and Transport Research Institute, MAP Unit, Stockholm, SE-102 15, Sweden; IVL Swedish Environmental Research Institute, Sweden; Södertörn University, School of Natural Science, Technology and Environmental Studies, Huddinge, SE-141 89, Sweden</t>
  </si>
  <si>
    <t>Svenfelt, Å., KTH Royal Institute of Technology, Department of Sustainable Development, Environmental Sciences and Engineering, Stockholm, SE-100 44, Sweden; Alfredsson, E.C., KTH Royal Institute of Technology, Department of Sustainable Development, Environmental Sciences and Engineering, Stockholm, SE-100 44, Sweden; Bradley, K., KTH Royal Institute of Technology, Department of Urban Planning and Environment, Division of Urban and Regional Studies, Stockholm, SE-100 44, Sweden; Fauré, E., KTH Royal Institute of Technology, Department of Sustainable Development, Environmental Sciences and Engineering, Stockholm, SE-100 44, Sweden; Finnveden, G., KTH Royal Institute of Technology, Department of Sustainable Development, Environmental Sciences and Engineering, Stockholm, SE-100 44, Sweden; Fuehrer, P., Södertörn University, School of Social Sciences, Huddinge, Sweden; Gunnarsson-Östling, U., KTH Royal Institute of Technology, Department of Sustainable Development, Environmental Sciences and Engineering, Stockholm, SE-100 44, Sweden; Isaksson, K., KTH Royal Institute of Technology, Department of Urban Planning and Environment, Division of Urban and Regional Studies, Stockholm, SE-100 44, Sweden, VTI Swedish National Road and Transport Research Institute, MAP Unit, Stockholm, SE-102 15, Sweden; Malmaeus, M., IVL Swedish Environmental Research Institute, Sweden; Malmqvist, T., KTH Royal Institute of Technology, Department of Sustainable Development, Environmental Sciences and Engineering, Stockholm, SE-100 44, Sweden; Skånberg, K., KTH Royal Institute of Technology, Department of Sustainable Development, Environmental Sciences and Engineering, Stockholm, SE-100 44, Sweden; Stigson, P., IVL Swedish Environmental Research Institute, Sweden; Aretun, Å., VTI Swedish National Road and Transport Research Institute, MAP Unit, Stockholm, SE-102 15, Sweden; Buhr, K., IVL Swedish Environmental Research Institute, Sweden; Hagbert, P., KTH Royal Institute of Technology, Department of Urban Planning and Environment, Division of Urban and Regional Studies, Stockholm, SE-100 44, Sweden; Öhlund, E., Södertörn University, School of Natural Science, Technology and Environmental Studies, Huddinge, SE-141 89, Sweden</t>
  </si>
  <si>
    <t>Svenfelt, Å.; KTH Royal Institute of Technology, Sweden; email: asa.svenfelt@abe.kth.se</t>
  </si>
  <si>
    <t>57224970103;57210805618;57210788575;57195195220;</t>
  </si>
  <si>
    <t>Pardo-Calvache, C.J.; Grupo de Investigación GTI, Calle 5 # 4, 70, Colombia; email: cpardo@unicauca.edu.co</t>
  </si>
  <si>
    <t>Self-attention starGAN for multi-domain image-to-image translation</t>
  </si>
  <si>
    <t>10.1007/978-3-030-30508-6_43</t>
  </si>
  <si>
    <t>57204977875;56828347100;54883408900;8385897200;56190105400;22433292200;</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</si>
  <si>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 © Springer Nature Switzerland AG 2019.</t>
  </si>
  <si>
    <t>He Z., Yang Z., Mao X., Lv J., Li Q., Liu W.</t>
  </si>
  <si>
    <t>https://www.scopus.com/inward/record.uri?eid=2-s2.0-85072851609&amp;doi=10.1007%2f978-3-030-30508-6_43&amp;partnerID=40&amp;md5=3b72a410e542c7fd94fc1bc1916fbdc8</t>
  </si>
  <si>
    <t>School of Computer Science and Technology, Guangdong University of Technology, Guangzhou, China; Department of Computing, The Hong Kong Polytechnic University, Hong Kong; School of Computer Science and Engineering, South China University of Technology, Guangzhou, China</t>
  </si>
  <si>
    <t>He, Z., School of Computer Science and Technology, Guangdong University of Technology, Guangzhou, China; Yang, Z., School of Computer Science and Technology, Guangdong University of Technology, Guangzhou, China; Mao, X., Department of Computing, The Hong Kong Polytechnic University, Hong Kong; Lv, J., School of Computer Science and Engineering, South China University of Technology, Guangzhou, China; Li, Q., Department of Computing, The Hong Kong Polytechnic University, Hong Kong; Liu, W., School of Computer Science and Technology, Guangdong University of Technology, Guangzhou, China</t>
  </si>
  <si>
    <t>Yang, Z.; School of Computer Science and Technology, China; email: zhengyang5-c@my.cityu.edu.hk</t>
  </si>
  <si>
    <t>Self-reported willingness to share political news articles in online surveys correlates with actual sharing on Twitter</t>
  </si>
  <si>
    <t>10.1371/journal.pone.0228882</t>
  </si>
  <si>
    <t>36761144000;50061672800;23095594600;</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</si>
  <si>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 © 2020 Mosleh et al. This is an open access article distributed under the terms of the Creative Commons Attribution License, which permits unrestricted use, distribution, and reproduction in any medium, provided the original author and source are credited.</t>
  </si>
  <si>
    <t>Mosleh M., Pennycook G., Rand D.G.</t>
  </si>
  <si>
    <t>https://www.scopus.com/inward/record.uri?eid=2-s2.0-85079239252&amp;doi=10.1371%2fjournal.pone.0228882&amp;partnerID=40&amp;md5=c013febbc7a947a93d1e996d3472d06f</t>
  </si>
  <si>
    <t>Sloan School of Managment, Massachusetts Institute of Technology, Cambridge, MA, United States; Hill/Levene Schools of Business, University of Regina, Regina, SK, Canada; Department of Brain and Cognitive Sciences, Massachusetts Institute of Technology, Cambridge, MA, United States</t>
  </si>
  <si>
    <t>Mosleh, M., Sloan School of Managment, Massachusetts Institute of Technology, Cambridge, MA, United States; Pennycook, G., Hill/Levene Schools of Business, University of Regina, Regina, SK, Canada; Rand, D.G., Sloan School of Managment, Massachusetts Institute of Technology, Cambridge, MA, United States, Department of Brain and Cognitive Sciences, Massachusetts Institute of Technology, Cambridge, MA, United States</t>
  </si>
  <si>
    <t>Mosleh, M.; Sloan School of Managment, United States; email: mmosleh@mit.edu</t>
  </si>
  <si>
    <t>Semantic labeling of nonspeech audio clips</t>
  </si>
  <si>
    <t>10.1155/2010/404860</t>
  </si>
  <si>
    <t>56242668800;57206546848;57203105418;</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</si>
  <si>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 © 2010 Xiaojuan Ma et al.</t>
  </si>
  <si>
    <t>Ma X., Fellbaum C., Cook P.</t>
  </si>
  <si>
    <t>Eurasip Journal on Audio, Speech, and Music Processing</t>
  </si>
  <si>
    <t>https://www.scopus.com/inward/record.uri?eid=2-s2.0-77951468763&amp;doi=10.1155%2f2010%2f404860&amp;partnerID=40&amp;md5=472016c127bd25cc2d3803a1ac602001</t>
  </si>
  <si>
    <t>Computer Science Department, Princeton University, 35 Olden St., Princeton, NJ 08544, United States</t>
  </si>
  <si>
    <t>Ma, X., Computer Science Department, Princeton University, 35 Olden St., Princeton, NJ 08544, United States; Fellbaum, C., Computer Science Department, Princeton University, 35 Olden St., Princeton, NJ 08544, United States; Cook, P., Computer Science Department, Princeton University, 35 Olden St., Princeton, NJ 08544, United States</t>
  </si>
  <si>
    <t>Ma, X.; Computer Science Department, 35 Olden St., Princeton, NJ 08544, United States; email: xm@cs.princeton.edu</t>
  </si>
  <si>
    <t>Semantic matching evaluation of user responses to electronics questions in autotutor</t>
  </si>
  <si>
    <t>10.1145/3330430.3333649</t>
  </si>
  <si>
    <t>57210734862;55581949700;35203826400;55206725200;57192310299;7004173078;</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</si>
  <si>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 © 2019 Copyright held by the owner/author(s). Publication rights licensed to ACM.</t>
  </si>
  <si>
    <t>Carmon C.M., Hampton A.J., Morgan B., Cai Z., Wang L., Graesser A.C.</t>
  </si>
  <si>
    <t>Proceedings of the 6th 2019 ACM Conference on Learning at Scale, L@S 2019</t>
  </si>
  <si>
    <t>https://www.scopus.com/inward/record.uri?eid=2-s2.0-85083954217&amp;doi=10.1145%2f3330430.3333649&amp;partnerID=40&amp;md5=f339cc2c0f455ca0225b1bc6818cb650</t>
  </si>
  <si>
    <t>University of Memphis, Memphis, TN, United States</t>
  </si>
  <si>
    <t>Carmon, C.M., University of Memphis, Memphis, TN, United States; Hampton, A.J., University of Memphis, Memphis, TN, United States; Morgan, B., University of Memphis, Memphis, TN, United States; Cai, Z., University of Memphis, Memphis, TN, United States; Wang, L., University of Memphis, Memphis, TN, United States; Graesser, A.C., University of Memphis, Memphis, TN, United States</t>
  </si>
  <si>
    <t>Sentence detection using multiple annotations</t>
  </si>
  <si>
    <t>55604486100;7201603693;</t>
  </si>
  <si>
    <t>In this paper, we develop a sentence boundary detection system which incorporates a prosodic model, word and preterminal-level language models, and a global sentence-length model. An important aspect of this research was the investigation of crowdsourced punctuation annotations as a source of multiple references for evaluation purposes. In order to evaluate the system we propose a BLEU-like metric which compares a hypothesis to multiple references. Experiments on both transcription and ASR output show that the global sentence length model can improve the performance by 7.2% on reference transcripts and 3.8% on ASR output.</t>
  </si>
  <si>
    <t>Lee A., Glass J.</t>
  </si>
  <si>
    <t>13th Annual Conference of the International Speech Communication Association 2012, INTERSPEECH 2012</t>
  </si>
  <si>
    <t>https://www.scopus.com/inward/record.uri?eid=2-s2.0-84878577465&amp;partnerID=40&amp;md5=db747aedaeae05df977ecedb5a865521</t>
  </si>
  <si>
    <t>MIT Computer Science and Artificial Intelligence Laboratory, Cambridge, MA 02139, United States</t>
  </si>
  <si>
    <t>Lee, A., MIT Computer Science and Artificial Intelligence Laboratory, Cambridge, MA 02139, United States; Glass, J., MIT Computer Science and Artificial Intelligence Laboratory, Cambridge, MA 02139, United States</t>
  </si>
  <si>
    <t>Setting weights for fifteen CHNRI criteria at the global and regional level using public stakeholders: An Amazon Mechanical Turk study</t>
  </si>
  <si>
    <t>10.7189/jogh.09.010702</t>
  </si>
  <si>
    <t>55749878500;55961977700;8945569100;22033241300;7402523815;57215382425;</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</si>
  <si>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Turk (AMT), an online crowdsourcing platform, we collected demographic information and conducted a Likertscale format survey about the importance of the CHNRI criteria from 1051 stakeholders. The Kruskal-Wallis test, with Dunn's test for posthoc comparisons, was used to examine regional differences and Wilcoxon rank-sum test was used to analyse differences between stakeholders with health training/ 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 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 © 2019 The Author(s).</t>
  </si>
  <si>
    <t>Wazny K., Ravenscroft J., Chan K.Y., Bassani D.G., Anderson N., Rudan I.</t>
  </si>
  <si>
    <t>https://www.scopus.com/inward/record.uri?eid=2-s2.0-85064970387&amp;doi=10.7189%2fjogh.09.010702&amp;partnerID=40&amp;md5=524f539285d6f0619a61c3057eb03e94</t>
  </si>
  <si>
    <t>Centre for Global Health Research, Usher Institute of Population Health Sciences and Informatics, University of Edinburgh, Edinburgh, United Kingdom; Moray House School of Education, University of Edinburgh, Edinburgh, United Kingdom;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t>
  </si>
  <si>
    <t>Wazny, K.,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Ravenscroft, J., Moray House School of Education, University of Edinburgh, Edinburgh, United Kingdom, Centre for Population Health Sciences, Usher Institute of Population Health Sciences and Informatics, University of Edinburgh, Edinburgh, United Kingdom; Chan, K.Y.,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Bassani, D.G.,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 Anderson, N., Centre for Global Child Health and SickKids Research Institute, Hospital for Sick Children, Toronto, ON, Canada, Centre for Population Health Sciences, Usher Institute of Population Health Sciences and Informatics, University of Edinburgh, Edinburgh, United Kingdom; Rudan, I.,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t>
  </si>
  <si>
    <t>Wazny, K.; University of Edinburgh, 30 West Richmond Street, United Kingdom; email: kerri.wazny@alumni.utoronto.ca</t>
  </si>
  <si>
    <t>Sexist Ideology and Endorsement of Men’s Control Over Women’s Decisions in Reproductive Health</t>
  </si>
  <si>
    <t>10.1177/0361684317744531</t>
  </si>
  <si>
    <t>57201911324;9840578800;</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</si>
  <si>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 © 2017, © The Author(s) 2017.</t>
  </si>
  <si>
    <t>Petterson A., Sutton R.M.</t>
  </si>
  <si>
    <t>Psychology of Women Quarterly</t>
  </si>
  <si>
    <t>https://www.scopus.com/inward/record.uri?eid=2-s2.0-85046413854&amp;doi=10.1177%2f0361684317744531&amp;partnerID=40&amp;md5=ab91a31b6ea9d970da7bda4f9e6bcfa0</t>
  </si>
  <si>
    <t>School of Psychology, University of Kent, Canterbury, Kent, United Kingdom</t>
  </si>
  <si>
    <t>Petterson, A., School of Psychology, University of Kent, Canterbury, Kent, United Kingdom; Sutton, R.M., School of Psychology, University of Kent, Canterbury, Kent, United Kingdom</t>
  </si>
  <si>
    <t>Petterson, A.; School of Psychology, United Kingdom; email: a.l.petterson@kent.ac.uk</t>
  </si>
  <si>
    <t>Sexual Passion in Committed Relationships: Measurement and Conceptual Issues</t>
  </si>
  <si>
    <t>10.1111/famp.12385</t>
  </si>
  <si>
    <t>7005846234;57193769290;57193579620;57194554469;</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</si>
  <si>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 © 2018 Family Process Institute</t>
  </si>
  <si>
    <t>Busby D.M., Chiu H.-Y., Leonhardt N.D., Iliff E.</t>
  </si>
  <si>
    <t>https://www.scopus.com/inward/record.uri?eid=2-s2.0-85052513063&amp;doi=10.1111%2ffamp.12385&amp;partnerID=40&amp;md5=73b31b76a1c6572c47dfa229e05b2979</t>
  </si>
  <si>
    <t>School of Family Life, Brigham Young University, Provo, United States; Department of Psychology, The Pennsylvania State University, University Park, PA, United States</t>
  </si>
  <si>
    <t>Busby, D.M., School of Family Life, Brigham Young University, Provo, United States; Chiu, H.-Y., Department of Psychology, The Pennsylvania State University, University Park, PA, United States; Leonhardt, N.D., School of Family Life, Brigham Young University, Provo, United States; Iliff, E., School of Family Life, Brigham Young University, Provo, United States</t>
  </si>
  <si>
    <t>Busby, D.M.; School of Family Life, United States; email: dean_busby@byu.edu</t>
  </si>
  <si>
    <t>Gleim, M.R.; College of Business and Innovation, Mail Stop #103, United States; email: mark.gleim@utoledo.edu</t>
  </si>
  <si>
    <t>Sharing and neoliberal discourse: The economic function of sharing in the digital on-demand economy</t>
  </si>
  <si>
    <t>10.1016/j.geoforum.2016.10.005</t>
  </si>
  <si>
    <t>56722892900;</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</si>
  <si>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 2016</t>
  </si>
  <si>
    <t>Cockayne D.G.</t>
  </si>
  <si>
    <t>https://www.scopus.com/inward/record.uri?eid=2-s2.0-84992147571&amp;doi=10.1016%2fj.geoforum.2016.10.005&amp;partnerID=40&amp;md5=fb352cfec13a17c03447322c91ec9a40</t>
  </si>
  <si>
    <t>Department of Geography and Environmental Management, University of Waterloo, 200 University Avenue West, Waterloo, ON  N2L 3G1, Canada</t>
  </si>
  <si>
    <t>Cockayne, D.G., Department of Geography and Environmental Management, University of Waterloo, 200 University Avenue West, Waterloo, ON  N2L 3G1, Canada</t>
  </si>
  <si>
    <t>Sharing economy: A comprehensive literature review</t>
  </si>
  <si>
    <t>10.1016/j.ijhm.2020.102470</t>
  </si>
  <si>
    <t>57079458800;</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</si>
  <si>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 © 2020 Elsevier Ltd</t>
  </si>
  <si>
    <t>Hossain M.</t>
  </si>
  <si>
    <t>International Journal of Hospitality Management</t>
  </si>
  <si>
    <t>https://www.scopus.com/inward/record.uri?eid=2-s2.0-85079375551&amp;doi=10.1016%2fj.ijhm.2020.102470&amp;partnerID=40&amp;md5=872e5d27e48b06c47da185da3cadd01a</t>
  </si>
  <si>
    <t>Center for Entrepreneurship, College of Business and Economics, Qatar University, PO Box 2713, Doha, Qatar</t>
  </si>
  <si>
    <t>Hossain, M., Center for Entrepreneurship, College of Business and Economics, Qatar University, PO Box 2713, Doha, Qatar</t>
  </si>
  <si>
    <t>Sharing economy: A systematic thematic analysis of the literature</t>
  </si>
  <si>
    <t>10.3233/IP-190190</t>
  </si>
  <si>
    <t>56692563100;14031783800;57217833934;57210163908;57217833794;57217829230;</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</si>
  <si>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 © 2020-IOS Press and the authors. All rights reserved.</t>
  </si>
  <si>
    <t>Mallinson D.J., Morçöl G., Yoo E., Azim S.F., Levine E., Shafi S.</t>
  </si>
  <si>
    <t>Information Polity</t>
  </si>
  <si>
    <t>https://www.scopus.com/inward/record.uri?eid=2-s2.0-85087623462&amp;doi=10.3233%2fIP-190190&amp;partnerID=40&amp;md5=fb8869a3061c5fa82e003eacd017dccd</t>
  </si>
  <si>
    <t>Penn State Harrisburg, School of Public Affairs, 777 W. Harrisburg Pike, Middletown, PA  17057, United States</t>
  </si>
  <si>
    <t>Mallinson, D.J., Penn State Harrisburg, School of Public Affairs, 777 W. Harrisburg Pike, Middletown, PA  17057, United States; Morçöl, G., Penn State Harrisburg, School of Public Affairs, 777 W. Harrisburg Pike, Middletown, PA  17057, United States; Yoo, E., Penn State Harrisburg, School of Public Affairs, 777 W. Harrisburg Pike, Middletown, PA  17057, United States; Azim, S.F., Penn State Harrisburg, School of Public Affairs, 777 W. Harrisburg Pike, Middletown, PA  17057, United States; Levine, E., Penn State Harrisburg, School of Public Affairs, 777 W. Harrisburg Pike, Middletown, PA  17057, United States; Shafi, S., Penn State Harrisburg, School of Public Affairs, 777 W. Harrisburg Pike, Middletown, PA  17057, United States</t>
  </si>
  <si>
    <t>Mallinson, D.J.; Penn State Harrisburg, 777 W. Harrisburg Pike, United States; email: mallinson@psu.edu</t>
  </si>
  <si>
    <t>Sharing policies in multiuser privacy scenarios: Incorporating context, preferences, and arguments in decision making</t>
  </si>
  <si>
    <t>10.1145/3038920</t>
  </si>
  <si>
    <t>36602496800;26032199400;36515667700;12761885800;</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</si>
  <si>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 © 2017 ACM.</t>
  </si>
  <si>
    <t>Fogues R.L., Murukannaiah P.K., Singh M.P., Such J.M.</t>
  </si>
  <si>
    <t>https://www.scopus.com/inward/record.uri?eid=2-s2.0-85016481114&amp;doi=10.1145%2f3038920&amp;partnerID=40&amp;md5=94afb83bfac6bfb551cdd1045726ec27</t>
  </si>
  <si>
    <t>Departamento de Sistemas Informaticos, Universitat Politecnica de Valencia, Valencia, 46022, Spain; Department of Software Engineering, Rochester Institute of Technology, Rochester, NY  14623, United States; Department of Computer Science, North Carolina State University, Raleigh, NC  27695, United States; Department of Informatics, King's College London, London, WC2R 2LS, United Kingdom</t>
  </si>
  <si>
    <t>Fogues, R.L., Departamento de Sistemas Informaticos, Universitat Politecnica de Valencia, Valencia, 46022, Spain; Murukannaiah, P.K., Department of Software Engineering, Rochester Institute of Technology, Rochester, NY  14623, United States; Singh, M.P., Department of Computer Science, North Carolina State University, Raleigh, NC  27695, United States; Such, J.M., Department of Informatics, King's College London, London, WC2R 2LS, United Kingdom</t>
  </si>
  <si>
    <t>Signaling when no one is watching: A reputation heuristics account of outrage and punishment in one-shot anonymous interactions</t>
  </si>
  <si>
    <t>10.1037/pspi0000186</t>
  </si>
  <si>
    <t>56044438100;23095594600;</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</si>
  <si>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 © 2019 American Psychological Association.</t>
  </si>
  <si>
    <t>Jordan J.J., Rand D.G.</t>
  </si>
  <si>
    <t>Journal of Personality and Social Psychology</t>
  </si>
  <si>
    <t>https://www.scopus.com/inward/record.uri?eid=2-s2.0-85064415422&amp;doi=10.1037%2fpspi0000186&amp;partnerID=40&amp;md5=78d589ec68d44e39ab037a14cb0d4752</t>
  </si>
  <si>
    <t>Kellogg School of Management, Northwestern University, Evanston, IL, United States; Sloan School, Massachusetts Institute of Technology, Cambridge, MA, United States</t>
  </si>
  <si>
    <t>Jordan, J.J., Kellogg School of Management, Northwestern University, Evanston, IL, United States; Rand, D.G., Sloan School, Massachusetts Institute of Technology, Cambridge, MA, United States</t>
  </si>
  <si>
    <t>Jordan, J.J.; Kellogg School of Management, 2211 Campus Drive, United States; email: jillian.jordan@kellogg.northwestern.edu</t>
  </si>
  <si>
    <t>Signaling, selection and transition: empirical evidence on stepping-stones and vicious cycles in temporary agency work</t>
  </si>
  <si>
    <t>10.1080/09585192.2015.1020444</t>
  </si>
  <si>
    <t>25947522200;56567740400;56568282000;</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</si>
  <si>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 © 2015 Taylor &amp; Francis.</t>
  </si>
  <si>
    <t>Hopp C., Minten A., Toporova N.</t>
  </si>
  <si>
    <t>https://www.scopus.com/inward/record.uri?eid=2-s2.0-84953346644&amp;doi=10.1080%2f09585192.2015.1020444&amp;partnerID=40&amp;md5=babf507cc576100ed90c846cf1600c32</t>
  </si>
  <si>
    <t>Chair of Technology Entrepreneurship, School of Business and Economics, RWTH Aachen University, Aachen, Germany; Chair of Human Resource Management, School of Business and Economics, RWTH Aachen University, Aachen, Germany; Chair of Management Accounting, School of Business and Economics, RWTH Aachen University, Aachen, Germany</t>
  </si>
  <si>
    <t>Hopp, C., Chair of Technology Entrepreneurship, School of Business and Economics, RWTH Aachen University, Aachen, Germany; Minten, A., Chair of Human Resource Management, School of Business and Economics, RWTH Aachen University, Aachen, Germany; Toporova, N., Chair of Management Accounting, School of Business and Economics, RWTH Aachen University, Aachen, Germany</t>
  </si>
  <si>
    <t>Hopp, C.; Chair of Technology Entrepreneurship, Germany; email: hopp@time.rwth-aachen.de</t>
  </si>
  <si>
    <t>Similarities and Differences in Tobacco Control Research Findings from Convenience and Probability Samples</t>
  </si>
  <si>
    <t>10.1093/abm/kay059</t>
  </si>
  <si>
    <t>56121380600;57216327764;57190064181;36843741400;56091805400;54382912100;57190064729;7005054371;</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</si>
  <si>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∼U.S.$620,000) and an online convenience sample of 4,137 U.S. adults recruited through Amazon Mechanical Turk (MTurk) in December 2014 (cost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 2018 Society of Behavioral Medicine. All rights reserved.</t>
  </si>
  <si>
    <t>Jeong M., Zhang D., Morgan J.C., Ross J.C., Osman A., Boynton M.H., Mendel J.R., Brewer N.T.</t>
  </si>
  <si>
    <t>Annals of Behavioral Medicine</t>
  </si>
  <si>
    <t>https://www.scopus.com/inward/record.uri?eid=2-s2.0-85066319398&amp;doi=10.1093%2fabm%2fkay059&amp;partnerID=40&amp;md5=767467ea46452b1dbb0870143571e559</t>
  </si>
  <si>
    <t>Department of Health Behavior, Gillings School of Global Public Health, University of North Carolina, 324 Rosenau Hall CB 7440, Chapel Hill, NC  27599, United States; Lineberger Comprehensive Cancer Center, University of North Carolina, Chapel Hill, NC, United States; Department of Oncology, Georgetown University School of Medicine, Washington, DC, United States; Wake Forest School of Medicine, Winston-Salem, NC, United States</t>
  </si>
  <si>
    <t>Jeong, M., Department of Health Behavior, Gillings School of Global Public Health, University of North Carolina, 324 Rosenau Hall CB 7440, Chapel Hill, NC  27599, United States, Lineberger Comprehensive Cancer Center, University of North Carolina, Chapel Hill, NC, United States; Zhang, D., Department of Oncology, Georgetown University School of Medicine, Washington, DC, United States; Morgan, J.C., Department of Health Behavior, Gillings School of Global Public Health, University of North Carolina, 324 Rosenau Hall CB 7440, Chapel Hill, NC  27599, United States; Ross, J.C., Wake Forest School of Medicine, Winston-Salem, NC, United States; Osman, A., Lineberger Comprehensive Cancer Center, University of North Carolina, Chapel Hill, NC, United States; Boynton, M.H., Department of Health Behavior, Gillings School of Global Public Health, University of North Carolina, 324 Rosenau Hall CB 7440, Chapel Hill, NC  27599, United States, Lineberger Comprehensive Cancer Center, University of North Carolina, Chapel Hill, NC, United States; Mendel, J.R., Lineberger Comprehensive Cancer Center, University of North Carolina, Chapel Hill, NC, United States; Brewer, N.T., Department of Health Behavior, Gillings School of Global Public Health, University of North Carolina, 324 Rosenau Hall CB 7440, Chapel Hill, NC  27599, United States, Lineberger Comprehensive Cancer Center, University of North Carolina, Chapel Hill, NC, United States</t>
  </si>
  <si>
    <t>Brewer, N.T.; Department of Health Behavior, 324 Rosenau Hall CB 7440, United States; email: ntb@unc.edu</t>
  </si>
  <si>
    <t>Simulation-based workforce assignment considering position in a social network</t>
  </si>
  <si>
    <t>10.1177/0037549711405249</t>
  </si>
  <si>
    <t>26641699500;36976316200;57189728235;7102761609;53363884500;6701770186;</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</si>
  <si>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 © 2012, Simulation Councils Inc. All rights reserved.</t>
  </si>
  <si>
    <t>Celik N., Xi H., Xu D., Son Y.-J., Lemaire R., Provan K.</t>
  </si>
  <si>
    <t>SIMULATION</t>
  </si>
  <si>
    <t>https://www.scopus.com/inward/record.uri?eid=2-s2.0-84864469748&amp;doi=10.1177%2f0037549711405249&amp;partnerID=40&amp;md5=cfc411d5ff748ec3980e424ad4c4c84b</t>
  </si>
  <si>
    <t>Industrial Engineering, The University of Miami, Coral Gables, FL, United States; Systems and Industrial Engineering, The University of Arizona, Tucson, AZ, United States; Eller College of Management, The University of Arizona, Tucson, AZ, United States</t>
  </si>
  <si>
    <t>Celik, N., Industrial Engineering, The University of Miami, Coral Gables, FL, United States; Xi, H., Systems and Industrial Engineering, The University of Arizona, Tucson, AZ, United States; Xu, D., Systems and Industrial Engineering, The University of Arizona, Tucson, AZ, United States; Son, Y.-J., Systems and Industrial Engineering, The University of Arizona, Tucson, AZ, United States; Lemaire, R., Eller College of Management, The University of Arizona, Tucson, AZ, United States; Provan, K., Eller College of Management, The University of Arizona, Tucson, AZ, United States</t>
  </si>
  <si>
    <t>Son, Y.-J.; Systems and Industrial Engineering, , Tucson, AZ, United States</t>
  </si>
  <si>
    <t>Skills needs, integrative pedagogy and case-based instruction</t>
  </si>
  <si>
    <t>10.1108/JWL-12-2019-0140</t>
  </si>
  <si>
    <t>8924855300;55037195800;</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</si>
  <si>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 © 2020, Emerald Publishing Limited.</t>
  </si>
  <si>
    <t>Lyons P., Bandura R.P.</t>
  </si>
  <si>
    <t>Journal of Workplace Learning</t>
  </si>
  <si>
    <t>https://www.scopus.com/inward/record.uri?eid=2-s2.0-85089007120&amp;doi=10.1108%2fJWL-12-2019-0140&amp;partnerID=40&amp;md5=2372ddea533f1ace45fc57ace6c11494</t>
  </si>
  <si>
    <t>Department of Management, Frostburg State University, Frostburg, MD, United States; Department of Accounting, Frostburg State University, Frostburg, MD, United States</t>
  </si>
  <si>
    <t>Lyons, P., Department of Management, Frostburg State University, Frostburg, MD, United States; Bandura, R.P., Department of Accounting, Frostburg State University, Frostburg, MD, United States</t>
  </si>
  <si>
    <t>Lyons, P.; Department of Management, United States; email: plyons@frostburg.edu</t>
  </si>
  <si>
    <t>Social Functions of Anger: A Competitive Mediation Model of New Product Reviews</t>
  </si>
  <si>
    <t>10.1111/jpim.12425</t>
  </si>
  <si>
    <t>56022661100;56589320900;6701315140;</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</si>
  <si>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 © 2017 Product Development &amp; Management Association</t>
  </si>
  <si>
    <t>Xiao Y., Zhang H., Cervone D.</t>
  </si>
  <si>
    <t>Journal of Product Innovation Management</t>
  </si>
  <si>
    <t>https://www.scopus.com/inward/record.uri?eid=2-s2.0-85045953397&amp;doi=10.1111%2fjpim.12425&amp;partnerID=40&amp;md5=1b21724389040b3c4f5b24dcf5074ce9</t>
  </si>
  <si>
    <t>University of Tennessee, Knoxville, United States; New Jersey Institute of Technology (NJIT), United States; University of Illinois at Chicago, United States</t>
  </si>
  <si>
    <t>Xiao, Y., University of Tennessee, Knoxville, United States; Zhang, H., New Jersey Institute of Technology (NJIT), United States; Cervone, D., University of Illinois at Chicago, United States</t>
  </si>
  <si>
    <t>Xiao, Y.; Department of Marketing and Supply Chain Management, 916 Volunteer Blvd., SMC 321, United States; email: sxiao@utk.edu</t>
  </si>
  <si>
    <t>Socio-economic risks of atypical employment relationships: Evidence from the German labour market</t>
  </si>
  <si>
    <t>10.1093/esr/jcp012</t>
  </si>
  <si>
    <t>57213036333;</t>
  </si>
  <si>
    <t>In this article, I examine the impact of atypical working arrangements on both objective and subjective dimensions of social inequality. The analysed types of atypical employment are fixed-term contracts, temporary agency work, and part-time employment, respectively. It is argued that these working arrangements are not homogeneous with respect to their socio-economic consequences, because they modify different aspects of the standard employment relationship. In order to investigate the effects of these types of employment, I use data from the German Socio-Economic Panel 20012005 on non-self-employed respondents. The results show that fixed-term contracts and agency work (being forms of external flexibility) have more severe negative socio-economic consequences than part-time employment (being a form of internal flexibility). Given that weak labour market groups face an increased risk of holding temporary jobs, the empirical findings clearly indicate the substantial impact of atypical employment on the extent and the structure of social inequality.</t>
  </si>
  <si>
    <t>Giesecke J.</t>
  </si>
  <si>
    <t>European Sociological Review</t>
  </si>
  <si>
    <t>https://www.scopus.com/inward/record.uri?eid=2-s2.0-73449112320&amp;doi=10.1093%2fesr%2fjcp012&amp;partnerID=40&amp;md5=0c29929bbac82525f9ba0a46e0a97083</t>
  </si>
  <si>
    <t>Social Science Research Center Berlin (WZB), Reichpietschufer 50, 10785 Berlin, Germany</t>
  </si>
  <si>
    <t>Giesecke, J., Social Science Research Center Berlin (WZB), Reichpietschufer 50, 10785 Berlin, Germany</t>
  </si>
  <si>
    <t>Giesecke, J.; Social Science Research Center Berlin (WZB), Reichpietschufer 50, 10785 Berlin, Germany; email: johannes.giesecke@wzb.eu</t>
  </si>
  <si>
    <t>Beecham, S.; Lero - The Irish Software Research Centre, Ireland; email: sarah.beecham@lero.ie</t>
  </si>
  <si>
    <t>Software architecture evaluation in global software development projects</t>
  </si>
  <si>
    <t>10.1007/978-3-642-05290-3_51</t>
  </si>
  <si>
    <t>7801419975;</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</si>
  <si>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 © Springer-Verlag 2009.</t>
  </si>
  <si>
    <t>Salger F.</t>
  </si>
  <si>
    <t>https://www.scopus.com/inward/record.uri?eid=2-s2.0-78149305974&amp;doi=10.1007%2f978-3-642-05290-3_51&amp;partnerID=40&amp;md5=c1db720874be3c8f6d5314bed4f31809</t>
  </si>
  <si>
    <t>Capgemini Sd and M, Carl-Wery-Straße 42, 81739 Munich, Germany</t>
  </si>
  <si>
    <t>Salger, F., Capgemini Sd and M, Carl-Wery-Straße 42, 81739 Munich, Germany</t>
  </si>
  <si>
    <t>Salger, F.; Capgemini Sd and M, Carl-Wery-Straße 42, 81739 Munich, Germany; email: frank.salger@capgemini-sdm.com</t>
  </si>
  <si>
    <t>Software cost estimation based on use case points for global software development</t>
  </si>
  <si>
    <t>10.1109/CSIT.2013.6588782</t>
  </si>
  <si>
    <t>24337669100;</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</si>
  <si>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 © 2013 IEEE.</t>
  </si>
  <si>
    <t>Azzeh M.</t>
  </si>
  <si>
    <t>2013 5th International Conference on Computer Science and Information Technology, CSIT 2013 - Proceedings</t>
  </si>
  <si>
    <t>https://www.scopus.com/inward/record.uri?eid=2-s2.0-84884828127&amp;doi=10.1109%2fCSIT.2013.6588782&amp;partnerID=40&amp;md5=f2ff60ba712a0aad6b7c4108656d86e2</t>
  </si>
  <si>
    <t>Department of Software Engineering, Applied Science University, Amman, Jordan</t>
  </si>
  <si>
    <t>Azzeh, M., Department of Software Engineering, Applied Science University, Amman, Jordan</t>
  </si>
  <si>
    <t>Azzeh, M.; Department of Software Engineering, , Amman, Jordan; email: m.y.azzeh@asu.edu.jo</t>
  </si>
  <si>
    <t>Ilyas, M.; Software Engineering Research Group (SERG_UOM), Pakistan; email: milyasmkd@uom.edu.pk</t>
  </si>
  <si>
    <t>Chatzipetrou, P.; Department of Informatics, , Thessaloniki, Greece; email: pchatzip@csd.auth.gr</t>
  </si>
  <si>
    <t>56593302500;6602789810;7401657472;6504105559;36462477200;35452740600;22982044800;</t>
  </si>
  <si>
    <t>Bajta, M.E.; Software Project Management Research Team, Morocco; email: manal.elbajta@gmail.com</t>
  </si>
  <si>
    <t>Software quality across borders: Three case studies on company internal alignment</t>
  </si>
  <si>
    <t>10.1016/j.infsof.2013.06.004</t>
  </si>
  <si>
    <t>18036900900;55796788400;36629991200;35583996400;35547332200;6602528674;</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</si>
  <si>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 2013 Published by Elsevier B.V. All rights reserved.</t>
  </si>
  <si>
    <t>Barney S., Mohankumar V., Chatzipetrou P., Aurum A., Wohlin C., Angelis L.</t>
  </si>
  <si>
    <t>https://www.scopus.com/inward/record.uri?eid=2-s2.0-84888326403&amp;doi=10.1016%2fj.infsof.2013.06.004&amp;partnerID=40&amp;md5=a8ebaf54bbe5e6212a0eb4a113fff8dd</t>
  </si>
  <si>
    <t>Blekinge Institute of Technology, Sweden; School of Information Systems, Technology and Management, University of New South Wales, Australia; Department of Informatics, Aristotle University of Thessaloniki, Greece</t>
  </si>
  <si>
    <t>Barney, S., Blekinge Institute of Technology, Sweden, School of Information Systems, Technology and Management, University of New South Wales, Australia; Mohankumar, V., School of Information Systems, Technology and Management, University of New South Wales, Australia; Chatzipetrou, P., Department of Informatics, Aristotle University of Thessaloniki, Greece; Aurum, A., School of Information Systems, Technology and Management, University of New South Wales, Australia; Wohlin, C., Blekinge Institute of Technology, Sweden; Angelis, L., Department of Informatics, Aristotle University of Thessaloniki, Greece</t>
  </si>
  <si>
    <t>Barney, S.; School of Information Systems, Australia; email: sebastian@unswalumni.com</t>
  </si>
  <si>
    <t>Solution Selection in Digital Construction Design - A Lazy User Theory Perspective</t>
  </si>
  <si>
    <t>10.1016/j.proeng.2015.10.097</t>
  </si>
  <si>
    <t>55295869300;57038976900;57039028700;</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</si>
  <si>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 2015 The Authors. Published by Elsevier Ltd.</t>
  </si>
  <si>
    <t>Merschbrock C., Tollnes T., Nordahl-Rolfsen C.</t>
  </si>
  <si>
    <t>Procedia Engineering</t>
  </si>
  <si>
    <t>https://www.scopus.com/inward/record.uri?eid=2-s2.0-84953320854&amp;doi=10.1016%2fj.proeng.2015.10.097&amp;partnerID=40&amp;md5=1551bb2d264ae665b3984ecb6ff28d11</t>
  </si>
  <si>
    <t>Oslo and Akershus University College, P.O. Box 4, St. Olavs plass, Oslo, NO-0130, Norway</t>
  </si>
  <si>
    <t>Merschbrock, C., Oslo and Akershus University College, P.O. Box 4, St. Olavs plass, Oslo, NO-0130, Norway; Tollnes, T., Oslo and Akershus University College, P.O. Box 4, St. Olavs plass, Oslo, NO-0130, Norway; Nordahl-Rolfsen, C., Oslo and Akershus University College, P.O. Box 4, St. Olavs plass, Oslo, NO-0130, Norway</t>
  </si>
  <si>
    <t>Merschbrock, C.; Oslo and Akershus University College, P.O. Box 4, St. Olavs plass, Norway; email: christoph.merschbrock@hioa.no</t>
  </si>
  <si>
    <t>Speaking on Data’s Behalf: What Researchers Say and How Audiences Choose</t>
  </si>
  <si>
    <t>10.1177/0193841X19834968</t>
  </si>
  <si>
    <t>7201941508;57200676314;57214927679;57207849587;57203661234;</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</si>
  <si>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of.001 and.65,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 © The Author(s) 2019.</t>
  </si>
  <si>
    <t>Chandler J.J., Martinez I., Finucane M.M., Terziev J.G., Resch A.M.</t>
  </si>
  <si>
    <t>Evaluation Review</t>
  </si>
  <si>
    <t>https://www.scopus.com/inward/record.uri?eid=2-s2.0-85063030326&amp;doi=10.1177%2f0193841X19834968&amp;partnerID=40&amp;md5=d60e3bd29e556b901c7064e997222b34</t>
  </si>
  <si>
    <t>Mathematica Policy Research, Ann Arbor, MI, United States; Institute for Social Research, University of Michigan, Ann Arbor, MI, United States; Mathematica Policy Research, Washington, DC, United States; Mathematica Policy Research, Cambridge, MA, United States</t>
  </si>
  <si>
    <t>Chandler, J.J., Mathematica Policy Research, Ann Arbor, MI, United States, Institute for Social Research, University of Michigan, Ann Arbor, MI, United States; Martinez, I., Mathematica Policy Research, Washington, DC, United States; Finucane, M.M., Mathematica Policy Research, Cambridge, MA, United States; Terziev, J.G., Mathematica Policy Research, Washington, DC, United States; Resch, A.M., Mathematica Policy Research, Washington, DC, United States</t>
  </si>
  <si>
    <t>Chandler, J.J.; Mathematica Policy ResearchUnited States; email: jchandler@mathematica-mpr.com</t>
  </si>
  <si>
    <t>Spoken language understanding for a nutrition dialogue system</t>
  </si>
  <si>
    <t>10.1109/TASLP.2017.2694699</t>
  </si>
  <si>
    <t>56600620200;7201603693;</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</si>
  <si>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 user study with worker ratings of 83% semantic tagging accuracy. © 2014 IEEE.</t>
  </si>
  <si>
    <t>Korpusik M., Glass J.</t>
  </si>
  <si>
    <t>IEEE/ACM Transactions on Audio Speech and Language Processing</t>
  </si>
  <si>
    <t>https://www.scopus.com/inward/record.uri?eid=2-s2.0-85020757683&amp;doi=10.1109%2fTASLP.2017.2694699&amp;partnerID=40&amp;md5=0fd378e0775f089f29248e0ddbcaf50e</t>
  </si>
  <si>
    <t>MIT Computer Science and Artificial Intelligence Laboratory, Cambridge, MA  02139, United States</t>
  </si>
  <si>
    <t>Korpusik, M., MIT Computer Science and Artificial Intelligence Laboratory, Cambridge, MA  02139, United States; Glass, J., MIT Computer Science and Artificial Intelligence Laboratory, Cambridge, MA  02139, United States</t>
  </si>
  <si>
    <t>Korpusik, M.; MIT Computer Science and Artificial Intelligence LaboratoryUnited States; email: korpusik@mit.edu</t>
  </si>
  <si>
    <t>Staffing agencies in work relationships with independent contractors</t>
  </si>
  <si>
    <t>10.1108/ER-03-2019-0159</t>
  </si>
  <si>
    <t>55937952300;35146988000;35316757200;</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</si>
  <si>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 © 2019, Emerald Publishing Limited.</t>
  </si>
  <si>
    <t>Ruiner C., Wilkesmann M., Apitzsch B.</t>
  </si>
  <si>
    <t>https://www.scopus.com/inward/record.uri?eid=2-s2.0-85077622280&amp;doi=10.1108%2fER-03-2019-0159&amp;partnerID=40&amp;md5=98ef8c5f9d9cb25990592bce4e426a90</t>
  </si>
  <si>
    <t>University of Hohenheim, Stuttgart, Germany; Department of Sociology, TU Dortmund, Dortmund, Germany; SOFI, Gottingen, Germany</t>
  </si>
  <si>
    <t>Ruiner, C., University of Hohenheim, Stuttgart, Germany; Wilkesmann, M., Department of Sociology, TU Dortmund, Dortmund, Germany; Apitzsch, B., SOFI, Gottingen, Germany</t>
  </si>
  <si>
    <t>Ruiner, C.; University of HohenheimGermany; email: caroline.ruiner@uni-hohenheim.de</t>
  </si>
  <si>
    <t>Statistical machine translation based text normalization with crowdsourcing</t>
  </si>
  <si>
    <t>10.1109/ICASSP.2013.6639305</t>
  </si>
  <si>
    <t>42062203500;42062724100;55967970900;7201770266;</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</si>
  <si>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 © 2013 IEEE.</t>
  </si>
  <si>
    <t>Schlippe T., Zhu C., Lemcke D., Schultz T.</t>
  </si>
  <si>
    <t>https://www.scopus.com/inward/record.uri?eid=2-s2.0-84890508104&amp;doi=10.1109%2fICASSP.2013.6639305&amp;partnerID=40&amp;md5=ed1c76f06964b951ac6da49f836a434d</t>
  </si>
  <si>
    <t>Cognitive Systems Lab, Karlsruhe Institute of Technology (KIT), Germany</t>
  </si>
  <si>
    <t>Schlippe, T., Cognitive Systems Lab, Karlsruhe Institute of Technology (KIT), Germany; Zhu, C., Cognitive Systems Lab, Karlsruhe Institute of Technology (KIT), Germany; Lemcke, D., Cognitive Systems Lab, Karlsruhe Institute of Technology (KIT), Germany; Schultz, T., Cognitive Systems Lab, Karlsruhe Institute of Technology (KIT), Germany</t>
  </si>
  <si>
    <t>Cognitive Systems Lab, Germany</t>
  </si>
  <si>
    <t>Stimulating online reviews by combining financial incentives and social norms</t>
  </si>
  <si>
    <t>10.1287/mnsc.2016.2715</t>
  </si>
  <si>
    <t>55502077800;37048817200;7003835815;14048289300;</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</si>
  <si>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 © 2017 INFORMS.</t>
  </si>
  <si>
    <t>Burtch G., Hong Y., Bapna R., Griskevicius V.</t>
  </si>
  <si>
    <t>https://www.scopus.com/inward/record.uri?eid=2-s2.0-85047260367&amp;doi=10.1287%2fmnsc.2016.2715&amp;partnerID=40&amp;md5=832fd0265c5d2a50c5f0da229ff32fb1</t>
  </si>
  <si>
    <t>Information and Decision Sciences Department, Carlson School of Management, University of Minnesota, Minneapolis, MN  55455, United States; Department of Information Systems, W.P. Carey School of Business, Arizona State University, Tempe, AZ  85287, United States; Marketing Department, Carlson School of Management, University of Minnesota, Minneapolis, MN  55455, United States</t>
  </si>
  <si>
    <t>Burtch, G., Information and Decision Sciences Department, Carlson School of Management, University of Minnesota, Minneapolis, MN  55455, United States; Hong, Y., Department of Information Systems, W.P. Carey School of Business, Arizona State University, Tempe, AZ  85287, United States; Bapna, R., Information and Decision Sciences Department, Carlson School of Management, University of Minnesota, Minneapolis, MN  55455, United States; Griskevicius, V., Marketing Department, Carlson School of Management, University of Minnesota, Minneapolis, MN  55455, United States</t>
  </si>
  <si>
    <t>Stories we tell about labor: Turkopticon and the trouble with "design"</t>
  </si>
  <si>
    <t>10.1145/2858036.2858592</t>
  </si>
  <si>
    <t>8438130700;36096079700;</t>
  </si>
  <si>
    <t>This paper argues that designers committed to advancing justice and other non-market values must attend not only to the design of objects, processes, and situations, but also to the wider economic and cultural imaginaries of design as a social role. The paper illustrates the argument through the case of Turkopticon, originally an activist tool for workers in Amazon Mechanical Turk (AMT), built by the authors and maintained since 2009. The paper analyzes public depictions of Turkopticon which cast designers as creative innovators and AMT workers as without agency or capacity to change their situation. We argue that designers' elevated status as workers in knowledge economies can have practical consequences for the politics of their design work. We explain the consequences of this status for Turkopticon and how we adapted our approach in response over the long term. We argue for analyses of power in design work that account for and develop counters to hegemonic beliefs and practices about design as high-status labor.</t>
  </si>
  <si>
    <t>Irani L.C., Silberman M.S.</t>
  </si>
  <si>
    <t>https://www.scopus.com/inward/record.uri?eid=2-s2.0-85015094381&amp;doi=10.1145%2f2858036.2858592&amp;partnerID=40&amp;md5=731b71d8b80ad66b7bf1c6d9c9ffc3f1</t>
  </si>
  <si>
    <t>UC San Diego, San Diego, CA  92093, United States; IG Metall, Frankfurt, 60322, Germany</t>
  </si>
  <si>
    <t>Irani, L.C., UC San Diego, San Diego, CA  92093, United States; Silberman, M.S., IG Metall, Frankfurt, 60322, Germany</t>
  </si>
  <si>
    <t>Strategic behavior and learning in all-pay auctions: an empirical study using crowdsourced data</t>
  </si>
  <si>
    <t>10.1007/s10458-019-09402-4</t>
  </si>
  <si>
    <t>15130847200;14622661200;7005471821;36722085500;</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</si>
  <si>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 © 2019, Springer Science+Business Media, LLC, part of Springer Nature.</t>
  </si>
  <si>
    <t>Bachrach Y., Kash I.A., Key P., Oren J.</t>
  </si>
  <si>
    <t>Autonomous Agents and Multi-Agent Systems</t>
  </si>
  <si>
    <t>https://www.scopus.com/inward/record.uri?eid=2-s2.0-85062006617&amp;doi=10.1007%2fs10458-019-09402-4&amp;partnerID=40&amp;md5=8d4efe02dda658273db29bbb5f362ae1</t>
  </si>
  <si>
    <t>DeepMind, 6 Pancras Square, London, N1C 4AG, United Kingdom; The University of Illinois at Chicago, Chicago, IL, United States; Cambridge, United Kingdom; Yahoo! Research, Haifa, Israel</t>
  </si>
  <si>
    <t>Bachrach, Y., DeepMind, 6 Pancras Square, London, N1C 4AG, United Kingdom; Kash, I.A., The University of Illinois at Chicago, Chicago, IL, United States; Key, P., Cambridge, United Kingdom; Oren, J., Yahoo! Research, Haifa, Israel</t>
  </si>
  <si>
    <t>Oren, J.; Yahoo! ResearchIsrael; email: joren@oath.com</t>
  </si>
  <si>
    <t>Strategies to recommend groupware tools according to virtual team characteristics</t>
  </si>
  <si>
    <t>10.1109/COGINF.2008.4639165</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</si>
  <si>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 © 2008 IEEE.</t>
  </si>
  <si>
    <t>Proceedings of the 7th IEEE International Conference on Cognitive Informatics, ICCI 2008</t>
  </si>
  <si>
    <t>https://www.scopus.com/inward/record.uri?eid=2-s2.0-56349107044&amp;doi=10.1109%2fCOGINF.2008.4639165&amp;partnerID=40&amp;md5=c31c3bd544cd40d3709e5ae514db2061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</si>
  <si>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</si>
  <si>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</si>
  <si>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Buenos Aires, 1400, 8300 Neuquén, Argentina; email: garanda@uncoma.edu.ar</t>
  </si>
  <si>
    <t>Studying object naming with online photos and caption</t>
  </si>
  <si>
    <t>10.1145/2814815.2814817</t>
  </si>
  <si>
    <t>56567617400;7402590507;7404407842;</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</si>
  <si>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-nd that visual context has interpretable e-ects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 ©10.1145/2814815.2814817.</t>
  </si>
  <si>
    <t>Mathews A., Xie L., He X.</t>
  </si>
  <si>
    <t>MMCommons 2015 - Proceedings of the 2015 Workshop on Community-Organized Multimodal Mining: Opportunities for Novel Solutions, co-located with ACM MM 2015</t>
  </si>
  <si>
    <t>https://www.scopus.com/inward/record.uri?eid=2-s2.0-84958597864&amp;doi=10.1145%2f2814815.2814817&amp;partnerID=40&amp;md5=906857de8091b45f195c4bdd99a99579</t>
  </si>
  <si>
    <t>Australian National University, NICTA, Australia</t>
  </si>
  <si>
    <t>Mathews, A., Australian National University, NICTA, Australia; Xie, L., Australian National University, NICTA, Australia; He, X., Australian National University, NICTA, Australia</t>
  </si>
  <si>
    <t>Subcontracting microwork</t>
  </si>
  <si>
    <t>10.1145/3025453.3025687</t>
  </si>
  <si>
    <t>8619759600;16238221500;36616888500;57188813507;37661870500;57201447589;52964500900;</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</si>
  <si>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 © 2017 ACM.</t>
  </si>
  <si>
    <t>Morris M.R., Bigham J.P., Brewer R., Bragg J., Kulkarni A., Li J., Savage S.</t>
  </si>
  <si>
    <t>https://www.scopus.com/inward/record.uri?eid=2-s2.0-85044370052&amp;doi=10.1145%2f3025453.3025687&amp;partnerID=40&amp;md5=442c9f3bf4061b2c1af512d625600149</t>
  </si>
  <si>
    <t>Microsoft Research, Redmond, WA, United States; Carnegie Mellon University, Pittsburgh, PA, United States; Northwestern University, Evanston, IL, United States; University of Washington, Seattle, WA, United States; University of California, Berkeley, CA, United States; West Virginia University, Morgantown, WV, United States</t>
  </si>
  <si>
    <t>Morris, M.R., Microsoft Research, Redmond, WA, United States; Bigham, J.P., Carnegie Mellon University, Pittsburgh, PA, United States; Brewer, R., Northwestern University, Evanston, IL, United States; Bragg, J., University of Washington, Seattle, WA, United States; Kulkarni, A., University of California, Berkeley, CA, United States; Li, J., Carnegie Mellon University, Pittsburgh, PA, United States; Savage, S., West Virginia University, Morgantown, WV, United States</t>
  </si>
  <si>
    <t>Successful collaborative software projects for medical devices in an FDA regulated environment: Myth or reality?</t>
  </si>
  <si>
    <t>10.1109/ICGSE.2007.40</t>
  </si>
  <si>
    <t>6503949820;24478172100;24477044700;</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</si>
  <si>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 © 2007 IEEE.</t>
  </si>
  <si>
    <t>Sudershana S., Villca-Roque A., Baldanza J.</t>
  </si>
  <si>
    <t>Proceedings - International Conference on Global Software Engineering, ICGSE 2007</t>
  </si>
  <si>
    <t>https://www.scopus.com/inward/record.uri?eid=2-s2.0-41249089791&amp;doi=10.1109%2fICGSE.2007.40&amp;partnerID=40&amp;md5=6680be0687164c188287e7af401b61e8</t>
  </si>
  <si>
    <t>IEEE; Software Development Group, Roche Molecular Systems Inc., Pleasanton, CA 94588, United States</t>
  </si>
  <si>
    <t>Sudershana, S., Software Development Group, Roche Molecular Systems Inc., Pleasanton, CA 94588, United States; Villca-Roque, A., IEEE, Software Development Group, Roche Molecular Systems Inc., Pleasanton, CA 94588, United States; Baldanza, J., Software Development Group, Roche Molecular Systems Inc., Pleasanton, CA 94588, United States</t>
  </si>
  <si>
    <t>Sudershana, S.; Software Development Group, , Pleasanton, CA 94588, United States; email: subita.sudershana@roche.com</t>
  </si>
  <si>
    <t>Supervising neural attention models for video captioning by human gaze data</t>
  </si>
  <si>
    <t>10.1109/CVPR.2017.648</t>
  </si>
  <si>
    <t>57201326268;57201323076;57201385071;57201375438;57188971590;55685918100;</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</si>
  <si>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 © 2017 IEEE.</t>
  </si>
  <si>
    <t>Yu Y., Choi J., Kim Y., Yoo K., Lee S.-H., Kim G.</t>
  </si>
  <si>
    <t>https://www.scopus.com/inward/record.uri?eid=2-s2.0-85044540858&amp;doi=10.1109%2fCVPR.2017.648&amp;partnerID=40&amp;md5=97bb0024563ecc7e2ab0bd4606f5b521</t>
  </si>
  <si>
    <t>Department of Computer Science and Engineering, United States; Department of Brain &amp; Cognitive Sciences, Seoul National University, Seoul, South Korea</t>
  </si>
  <si>
    <t>Yu, Y., Department of Computer Science and Engineering, United States; Choi, J., Department of Computer Science and Engineering, United States; Kim, Y., Department of Brain &amp; Cognitive Sciences, Seoul National University, Seoul, South Korea; Yoo, K., Department of Brain &amp; Cognitive Sciences, Seoul National University, Seoul, South Korea; Lee, S.-H., Department of Brain &amp; Cognitive Sciences, Seoul National University, Seoul, South Korea; Kim, G., Department of Computer Science and Engineering, United States</t>
  </si>
  <si>
    <t>Supply and demand aware synthetic data generation for on-demand traffic with real-world characteristics</t>
  </si>
  <si>
    <t>10.1145/3151547.3151554</t>
  </si>
  <si>
    <t>55972967700;57191419667;35513450400;7004151568;57224277092;</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</si>
  <si>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 © 2017 Association for Computing Machinery.</t>
  </si>
  <si>
    <t>Ali R.Y., Li Y., Shekhar S., Athavale S., Marsman E.</t>
  </si>
  <si>
    <t>https://www.scopus.com/inward/record.uri?eid=2-s2.0-85045378944&amp;doi=10.1145%2f3151547.3151554&amp;partnerID=40&amp;md5=5c0400fe59d89531659c7a7084f4fd57</t>
  </si>
  <si>
    <t>Computer Science and Engineering Dept., University of Minnesota, Minneapolis, MN, United States; Ford Motor Company, Palo Alto, CA, United States; Ford Motor Company, Dearborn, MI, United States</t>
  </si>
  <si>
    <t>Ali, R.Y., Computer Science and Engineering Dept., University of Minnesota, Minneapolis, MN, United States; Li, Y., Computer Science and Engineering Dept., University of Minnesota, Minneapolis, MN, United States; Shekhar, S., Computer Science and Engineering Dept., University of Minnesota, Minneapolis, MN, United States; Athavale, S., Ford Motor Company, Palo Alto, CA, United States; Marsman, E., Ford Motor Company, Dearborn, MI, United States</t>
  </si>
  <si>
    <t>Supporting the social practices of distributed pair programming</t>
  </si>
  <si>
    <t>10.1007/978-3-540-92831-7_8</t>
  </si>
  <si>
    <t>55937967900;12140786200;</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</si>
  <si>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2008 Springer Berlin Heidelberg.</t>
  </si>
  <si>
    <t>Schümmer T., Lukosch S.</t>
  </si>
  <si>
    <t>https://www.scopus.com/inward/record.uri?eid=2-s2.0-70350625367&amp;doi=10.1007%2f978-3-540-92831-7_8&amp;partnerID=40&amp;md5=546f707f832e0ea3353ba4d9ab0b26f6</t>
  </si>
  <si>
    <t>Department for Mathematics and Computer Science, FernUniversität in Hagen, Hagen 58084, Germany; Faculty of Technology Policy and Management, Systems Engineering Department, Delft University of Technology, Jaffalaan 5, Delft 2628BX, Netherlands</t>
  </si>
  <si>
    <t>Schümmer, T., Department for Mathematics and Computer Science, FernUniversität in Hagen, Hagen 58084, Germany; Lukosch, S., Faculty of Technology Policy and Management, Systems Engineering Department, Delft University of Technology, Jaffalaan 5, Delft 2628BX, Netherlands</t>
  </si>
  <si>
    <t>Schümmer, T.; Department for Mathematics and Computer Science, , Hagen 58084, Germany; email: till.schuemmer@fernuni-hagen.de</t>
  </si>
  <si>
    <t>Survey of web-based crowdsourcing frameworks for subjective quality assessment</t>
  </si>
  <si>
    <t>10.1109/MMSP.2014.6958831</t>
  </si>
  <si>
    <t>57218403122;35302321000;20433948000;55365252700;35748325000;36950162600;8636751500;</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</si>
  <si>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 © 2014 IEEE.</t>
  </si>
  <si>
    <t>Hoßfeld T., Hirth M., Korshunov P., Hanhart P., Gardlo B., Keimel C., Timmerer C.</t>
  </si>
  <si>
    <t>2014 IEEE International Workshop on Multimedia Signal Processing, MMSP 2014</t>
  </si>
  <si>
    <t>https://www.scopus.com/inward/record.uri?eid=2-s2.0-84914141916&amp;doi=10.1109%2fMMSP.2014.6958831&amp;partnerID=40&amp;md5=613aa9db5933d43f16c2e43d49c79f32</t>
  </si>
  <si>
    <t>University of Würzburg, Institute of Computer Science, Communication Networks, Germany; Multimedia Signal Processing Group, Ecole Polytechnique Fédérale de Lausanne - EPFL, Switzerland; Telecommunications Research Center Vienna - FTW, Austria; Technische Universität München, Institute for Data Processing, Germany; Multimedia Communication, Alpen-Adria-Universität Klagenfurt, Austria</t>
  </si>
  <si>
    <t>Hoßfeld, T., University of Würzburg, Institute of Computer Science, Communication Networks, Germany; Hirth, M., University of Würzburg, Institute of Computer Science, Communication Networks, Germany; Korshunov, P., Multimedia Signal Processing Group, Ecole Polytechnique Fédérale de Lausanne - EPFL, Switzerland; Hanhart, P., Multimedia Signal Processing Group, Ecole Polytechnique Fédérale de Lausanne - EPFL, Switzerland; Gardlo, B., Telecommunications Research Center Vienna - FTW, Austria; Keimel, C., Technische Universität München, Institute for Data Processing, Germany; Timmerer, C., Multimedia Communication, Alpen-Adria-Universität Klagenfurt, Austria</t>
  </si>
  <si>
    <t>Synchronous training in distributed software development team</t>
  </si>
  <si>
    <t>10.1109/MITE.2015.7375337</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</si>
  <si>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 © 2015 IEEE.</t>
  </si>
  <si>
    <t>Proceedings of the 2015 IEEE 3rd International Conference on MOOCs, Innovation and Technology in Education, MITE 2015</t>
  </si>
  <si>
    <t>https://www.scopus.com/inward/record.uri?eid=2-s2.0-84963837834&amp;doi=10.1109%2fMITE.2015.7375337&amp;partnerID=40&amp;md5=342f0f31832eaa0d8b3949328283b035</t>
  </si>
  <si>
    <t>Department of Computer Science, Cochin University of Science and Technology, College of Engineering Karunagappally, India; Division of Information Technology, SOE, Cochin University of Science and Technology, Kochi, India</t>
  </si>
  <si>
    <t>Manoj Ray, D., Department of Computer Science, Cochin University of Science and Technology, College of Engineering Karunagappally, India; Samuel, P., Division of Information Technology, SOE, Cochin University of Science and Technology, Kochi, India</t>
  </si>
  <si>
    <t>Systematic review: online crowdsourcing to assess perceptual speech outcomes</t>
  </si>
  <si>
    <t>10.1016/j.jss.2018.06.032</t>
  </si>
  <si>
    <t>57202950554;57202960321;57191662639;</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</si>
  <si>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 2018 Elsevier Inc.</t>
  </si>
  <si>
    <t>Sescleifer A.M., Francoisse C.A., Lin A.Y.</t>
  </si>
  <si>
    <t>https://www.scopus.com/inward/record.uri?eid=2-s2.0-85049955389&amp;doi=10.1016%2fj.jss.2018.06.032&amp;partnerID=40&amp;md5=5f21ec1ff8a9d43fb7fe1a7c4055987c</t>
  </si>
  <si>
    <t>Division of Plastic Surgery, Saint Louis University School of Medicine, St. Louis, Missouri, United States; SSM Health Cardinal Glennon Children's Hospital at SLU, St. Louis, Missouri, United States</t>
  </si>
  <si>
    <t>Sescleifer, A.M., Division of Plastic Surgery, Saint Louis University School of Medicine, St. Louis, Missouri, United States; Francoisse, C.A., Division of Plastic Surgery, Saint Louis University School of Medicine, St. Louis, Missouri, United States; Lin, A.Y., Division of Plastic Surgery, Saint Louis University School of Medicine, St. Louis, Missouri, United States, SSM Health Cardinal Glennon Children's Hospital at SLU, St. Louis, Missouri, United States</t>
  </si>
  <si>
    <t>Lin, A.Y.; Division of Plastic Surgery, 1465 South Grand Boulevard, United States; email: alexander.lin@health.slu.edu</t>
  </si>
  <si>
    <t>Systematic street view sampling: High quality annotation of power infrastructure in rural Ontario</t>
  </si>
  <si>
    <t>10.1109/CRV.2018.00028</t>
  </si>
  <si>
    <t>56853323700;57202033563;57205557773;55320974700;57190496220;</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</si>
  <si>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 © 2018 IEEE.</t>
  </si>
  <si>
    <t>Dick K., Charih F., Souley Dosso Y., Russell L., Green J.R.</t>
  </si>
  <si>
    <t>Proceedings - 2018 15th Conference on Computer and Robot Vision, CRV 2018</t>
  </si>
  <si>
    <t>https://www.scopus.com/inward/record.uri?eid=2-s2.0-85060510774&amp;doi=10.1109%2fCRV.2018.00028&amp;partnerID=40&amp;md5=2e3f36c3ec57bf92a6e416f35648d773</t>
  </si>
  <si>
    <t>Department of Systems and Computer Engineering, Carleton University, Ottawa, Canada</t>
  </si>
  <si>
    <t>Dick, K., Department of Systems and Computer Engineering, Carleton University, Ottawa, Canada; Charih, F., Department of Systems and Computer Engineering, Carleton University, Ottawa, Canada; Souley Dosso, Y., Department of Systems and Computer Engineering, Carleton University, Ottawa, Canada; Russell, L., Department of Systems and Computer Engineering, Carleton University, Ottawa, Canada; Green, J.R., Department of Systems and Computer Engineering, Carleton University, Ottawa, Canada</t>
  </si>
  <si>
    <t>Systems perspective of amazon mechanical turk for organizational research: Review and recommendations</t>
  </si>
  <si>
    <t>10.3389/fpsyg.2017.01359</t>
  </si>
  <si>
    <t>57188977578;34870886500;56059742200;</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</si>
  <si>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 © 2017 Keith, Tay and Harms.</t>
  </si>
  <si>
    <t>Keith M.G., Tay L., Harms P.D.</t>
  </si>
  <si>
    <t>https://www.scopus.com/inward/record.uri?eid=2-s2.0-85027109319&amp;doi=10.3389%2ffpsyg.2017.01359&amp;partnerID=40&amp;md5=963798bd36c4a9a151e49e78df8ea4ea</t>
  </si>
  <si>
    <t>Department of Psychological Sciences, Purdue, University, West Lafayette, IN, United States; Department of Management, The University of Alabama, Tuscaloosa, AL, United States</t>
  </si>
  <si>
    <t>Keith, M.G., Department of Psychological Sciences, Purdue, University, West Lafayette, IN, United States; Tay, L., Department of Psychological Sciences, Purdue, University, West Lafayette, IN, United States; Harms, P.D., Department of Management, The University of Alabama, Tuscaloosa, AL, United States</t>
  </si>
  <si>
    <t>Keith, M.G.; Department of Psychological Sciences, United States; email: keith7@purdue.edu</t>
  </si>
  <si>
    <t>TAckling bogus self-employment: Some lessons from Romania</t>
  </si>
  <si>
    <t>10.1142/S108494671750011X</t>
  </si>
  <si>
    <t>7406217338;56472792300;</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</si>
  <si>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 © 2017 World Scientific Publishing Company.</t>
  </si>
  <si>
    <t>Williams C.C., Horodnic I.A.</t>
  </si>
  <si>
    <t>Journal of Developmental Entrepreneurship</t>
  </si>
  <si>
    <t>https://www.scopus.com/inward/record.uri?eid=2-s2.0-85020489378&amp;doi=10.1142%2fS108494671750011X&amp;partnerID=40&amp;md5=c066c0d675c394bafcec8f0ffcf0b1c8</t>
  </si>
  <si>
    <t>Sheffield University Management School (SUMS), University of Sheffield, Conduit Road, Sheffield, S10 1FL, United Kingdom; Faculty of Economics and Business Administration, Alexandru Ioan Cuza University of Iasi, Carol I Blvd., No.11, Iasi, 700506, Romania</t>
  </si>
  <si>
    <t>Williams, C.C., Sheffield University Management School (SUMS), University of Sheffield, Conduit Road, Sheffield, S10 1FL, United Kingdom; Horodnic, I.A., Faculty of Economics and Business Administration, Alexandru Ioan Cuza University of Iasi, Carol I Blvd., No.11, Iasi, 700506, Romania</t>
  </si>
  <si>
    <t>Task assignment optimization in collaborative crowdsourcing</t>
  </si>
  <si>
    <t>10.1109/ICDM.2015.119</t>
  </si>
  <si>
    <t>57214739908;36179359200;54785602500;6603379512;55423914800;</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</si>
  <si>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 © 2015 IEEE.</t>
  </si>
  <si>
    <t>Rahman H., Roy S.B., Thirumuruganathan S., Amer-Yahia S., Das G.</t>
  </si>
  <si>
    <t>Proceedings - IEEE International Conference on Data Mining, ICDM</t>
  </si>
  <si>
    <t>https://www.scopus.com/inward/record.uri?eid=2-s2.0-84963621661&amp;doi=10.1109%2fICDM.2015.119&amp;partnerID=40&amp;md5=a88136a3a5a319a877ea316f0da882ad</t>
  </si>
  <si>
    <t>UT Arlington, United States; UW Tacoma, United States; CNRS, LIG, France</t>
  </si>
  <si>
    <t>Rahman, H., UT Arlington, United States; Roy, S.B., UW Tacoma, United States; Thirumuruganathan, S., UT Arlington, United States; Amer-Yahia, S., CNRS, LIG, France; Das, G., UT Arlington, United States</t>
  </si>
  <si>
    <t>TDP: An optimal-latency budget allocation strategy for crowdsourced MAXIMUM operations</t>
  </si>
  <si>
    <t>10.1145/2723372.2749440</t>
  </si>
  <si>
    <t>34877865200;54993306200;7005594983;</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</si>
  <si>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 Copyright © 2015 ACM.</t>
  </si>
  <si>
    <t>Verroios V., Lofgren P., Garcia-Molina H.</t>
  </si>
  <si>
    <t>https://www.scopus.com/inward/record.uri?eid=2-s2.0-84957591785&amp;doi=10.1145%2f2723372.2749440&amp;partnerID=40&amp;md5=5a269651e125e8a44905cc53f5d029fe</t>
  </si>
  <si>
    <t>Verroios, V., Stanford University, United States; Lofgren, P., Stanford University, United States; Garcia-Molina, H., Stanford University, United States</t>
  </si>
  <si>
    <t>Teaching a global software development course: Student experiences using onsite exercise simulation</t>
  </si>
  <si>
    <t>10.1145/2889160.2889198</t>
  </si>
  <si>
    <t>8944909700;56879928000;6602246534;</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</si>
  <si>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 © 2016 ACM.</t>
  </si>
  <si>
    <t>Lappalainen J., Tripathi N., Similä J.</t>
  </si>
  <si>
    <t>https://www.scopus.com/inward/record.uri?eid=2-s2.0-85026627065&amp;doi=10.1145%2f2889160.2889198&amp;partnerID=40&amp;md5=66f2d06b9e2a30ec38706cfa03c76c65</t>
  </si>
  <si>
    <t>Department of Information Processing Science, P.O. Box 300090014, Finland</t>
  </si>
  <si>
    <t>Lappalainen, J., Department of Information Processing Science, P.O. Box 300090014, Finland; Tripathi, N., Department of Information Processing Science, P.O. Box 300090014, Finland; Similä, J., Department of Information Processing Science, P.O. Box 300090014, Finland</t>
  </si>
  <si>
    <t>Technocapitalism, the Intangible Economy, and Economic Centralization</t>
  </si>
  <si>
    <t>10.1163/15691497-12341538</t>
  </si>
  <si>
    <t>57199841568;</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</si>
  <si>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 © 2020 by Koninklijke Brill NV, Leiden, The Netherlands.</t>
  </si>
  <si>
    <t>Stubbs A.</t>
  </si>
  <si>
    <t>Perspectives on Global Development and Technology</t>
  </si>
  <si>
    <t>https://www.scopus.com/inward/record.uri?eid=2-s2.0-85083509623&amp;doi=10.1163%2f15691497-12341538&amp;partnerID=40&amp;md5=a03115121230159ff2f226b378872378</t>
  </si>
  <si>
    <t>Loyola University Chicago, Chicago, IL, United States</t>
  </si>
  <si>
    <t>Stubbs, A., Loyola University Chicago, Chicago, IL, United States</t>
  </si>
  <si>
    <t>Stubbs, A.; Loyola University ChicagoUnited States; email: astubbs@luc.edu</t>
  </si>
  <si>
    <t>Technology selection to improve global collaboration</t>
  </si>
  <si>
    <t>10.1109/ICGSE.2006.261236</t>
  </si>
  <si>
    <t>8907776100;8907775900;7003393897;7004203473;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</si>
  <si>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 © 2006 IEEE.</t>
  </si>
  <si>
    <t>Aranda G.N., Cechich A., Vizcaíno A., Piattini M.</t>
  </si>
  <si>
    <t>https://www.scopus.com/inward/record.uri?eid=2-s2.0-38649107042&amp;doi=10.1109%2fICGSE.2006.261236&amp;partnerID=40&amp;md5=c60f1d0c599c97b60cfafa8bac100efd</t>
  </si>
  <si>
    <t>GIISCo Research Group, Universidad Nacional dei Comahue Computing Sciences, Department Buenos Aires, 1400 - 8300 Neuquén, Argentina; ALARCOS Research Group, Information Systems and Technologies Department, Univ. de Castilla-La Mancha, Paseo de la Universidad 4, 13071 Ciudad Real, Spain</t>
  </si>
  <si>
    <t>Aranda, G.N., GIISCo Research Group, Universidad Nacional dei Comahue Computing Sciences, Department Buenos Aires, 1400 - 8300 Neuquén, Argentina; Cechich, A., ALARCOS Research Group, Information Systems and Technologies Department, Univ. de Castilla-La Mancha, Paseo de la Universidad 4, 13071 Ciudad Real, Spain; Vizcaíno, A., GIISCo Research Group, Universidad Nacional dei Comahue Computing Sciences, Department Buenos Aires, 1400 - 8300 Neuquén, Argentina; Piattini, M., ALARCOS Research Group, Information Systems and Technologies Department, Univ. de Castilla-La Mancha, Paseo de la Universidad 4, 13071 Ciudad Real, Spain</t>
  </si>
  <si>
    <t>Aranda, G.N.; GIISCo Research Group, , 1400 - 8300 Neuquén, Argentina; email: garanda@uncoma.edu.ar</t>
  </si>
  <si>
    <t>Temporal framing and the hidden-zero effect: rate-dependent outcomes on delay discounting</t>
  </si>
  <si>
    <t>10.1002/jeab.328</t>
  </si>
  <si>
    <t>57201704244;55189634600;14627885100;56982747100;35344485200;</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</si>
  <si>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 = 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 © 2018 Society for the Experimental Analysis of Behavior</t>
  </si>
  <si>
    <t>Naudé G.P., Kaplan B.A., Reed D.D., Henley A.J., DiGennaro Reed F.D.</t>
  </si>
  <si>
    <t>https://www.scopus.com/inward/record.uri?eid=2-s2.0-85045855293&amp;doi=10.1002%2fjeab.328&amp;partnerID=40&amp;md5=8d21edbdbee0cb578fe66b1f8b9d49f0</t>
  </si>
  <si>
    <t>Naudé, G.P., University of Kansas, United States; Kaplan, B.A., University of Kansas, United States; Reed, D.D., University of Kansas, United States; Henley, A.J., University of Kansas, United States; DiGennaro Reed, F.D., University of Kansas, United States</t>
  </si>
  <si>
    <t>Reed, D.D.; University of KansasUnited States; email: dreed@ku.edu</t>
  </si>
  <si>
    <t>Temporary agency work and firm competitiveness: Evidence from German manufacturing firms</t>
  </si>
  <si>
    <t>10.1111/irel.12062</t>
  </si>
  <si>
    <t>48161626800;42862336500;</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</si>
  <si>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 © 2014 Regents of the University of California.</t>
  </si>
  <si>
    <t>Nielen S., Schiersch A.</t>
  </si>
  <si>
    <t>Industrial Relations</t>
  </si>
  <si>
    <t>https://www.scopus.com/inward/record.uri?eid=2-s2.0-84901826926&amp;doi=10.1111%2firel.12062&amp;partnerID=40&amp;md5=155a3ddd661949fb0b6b8bc07ec22c67</t>
  </si>
  <si>
    <t>Institute of Applied Economic Research Tübingen, Tübingen, Germany; German Institute for Economic Research, Berlin, Germany</t>
  </si>
  <si>
    <t>Nielen, S., Institute of Applied Economic Research Tübingen, Tübingen, Germany; Schiersch, A., German Institute for Economic Research, Berlin, Germany</t>
  </si>
  <si>
    <t>Temporary Agency Work and Firm Performance: A Replication Study with Extensions</t>
  </si>
  <si>
    <t>10.1515/jbnst-2018-0038</t>
  </si>
  <si>
    <t>23394057700;57191627610;</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</si>
  <si>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 © 2020 Oldenbourg Wissenschaftsverlag GmbH, Published by De Gruyter Oldenbourg, Berlin/Boston 2020.</t>
  </si>
  <si>
    <t>Pfeifer C., Weche J.P.</t>
  </si>
  <si>
    <t>Jahrbucher fur Nationalokonomie und Statistik</t>
  </si>
  <si>
    <t>https://www.scopus.com/inward/record.uri?eid=2-s2.0-85067983028&amp;doi=10.1515%2fjbnst-2018-0038&amp;partnerID=40&amp;md5=696b10a8a15bb28f93ce584b2971991e</t>
  </si>
  <si>
    <t>Institute of Economics, Leuphana University Lueneburg, Scharnhorststr. 1, Lüneburg, 21335, Germany; Forschungsinstitut Zur Zukunft der Arbeit (IZA), Bonn, Germany; Monopolies Commission, Bonn, Germany</t>
  </si>
  <si>
    <t>Pfeifer, C., Institute of Economics, Leuphana University Lueneburg, Scharnhorststr. 1, Lüneburg, 21335, Germany, Forschungsinstitut Zur Zukunft der Arbeit (IZA), Bonn, Germany; Weche, J.P., Institute of Economics, Leuphana University Lueneburg, Scharnhorststr. 1, Lüneburg, 21335, Germany, Monopolies Commission, Bonn, Germany</t>
  </si>
  <si>
    <t>Pfeifer, C.; Institute of Economics, Scharnhorststr. 1, Germany; email: pfeifer@leuphana.de</t>
  </si>
  <si>
    <t>The ‘gig economy’: employee, self-employed or the need for a special employment regulation?</t>
  </si>
  <si>
    <t>10.1177/1024258917701381</t>
  </si>
  <si>
    <t>57194327859;</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</si>
  <si>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 © 2017, © The Author(s) 2017.</t>
  </si>
  <si>
    <t>Todolí-Signes A.</t>
  </si>
  <si>
    <t>https://www.scopus.com/inward/record.uri?eid=2-s2.0-85019663910&amp;doi=10.1177%2f1024258917701381&amp;partnerID=40&amp;md5=7c5dbaf6767e97e5c82e52dc504b710b</t>
  </si>
  <si>
    <t>Employment Law Department, Faculty of Law, University of the Balearic Islands, Palma, Spain</t>
  </si>
  <si>
    <t>Todolí-Signes, A., Employment Law Department, Faculty of Law, University of the Balearic Islands, Palma, Spain</t>
  </si>
  <si>
    <t>Todolí-Signes, A.; Departamento de Derecho del Trabajo, Av. dels Tarongers, Spain; email: Adrian.todoli@uv.es</t>
  </si>
  <si>
    <t>The ‘Gig’ Economy and its Impact on Social Security: The Spanish example</t>
  </si>
  <si>
    <t>10.1177/1388262717745751</t>
  </si>
  <si>
    <t>57196477712;</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</si>
  <si>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 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 given the current difficulties confronting the Spanish economy – is examined. Some recommendations relating to these three issues are outlined as concluding remarks. © The Author(s) 2017.</t>
  </si>
  <si>
    <t>Corujo B.S.</t>
  </si>
  <si>
    <t>European Journal of Social Security</t>
  </si>
  <si>
    <t>https://www.scopus.com/inward/record.uri?eid=2-s2.0-85069168017&amp;doi=10.1177%2f1388262717745751&amp;partnerID=40&amp;md5=7d91b27cc610a5e35cedb441e5774d20</t>
  </si>
  <si>
    <t>Universidad Autónoma de Madrid, Spain</t>
  </si>
  <si>
    <t>Corujo, B.S., Universidad Autónoma de Madrid, Spain</t>
  </si>
  <si>
    <t>Corujo, B.S.; Universidad Autónoma de MadridSpain; email: borja.suarez@uam.es</t>
  </si>
  <si>
    <t>The art and science of persuasion: Not all crowdfunding campaign videos are the same</t>
  </si>
  <si>
    <t>10.1145/2998181.2998229</t>
  </si>
  <si>
    <t>57193544796;23397392600;37113785000;7202947384;</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</si>
  <si>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 © 2017 ACM.</t>
  </si>
  <si>
    <t>Dey S., Karahalios K., Duff B., Fu W.-T.</t>
  </si>
  <si>
    <t>https://www.scopus.com/inward/record.uri?eid=2-s2.0-85014781728&amp;doi=10.1145%2f2998181.2998229&amp;partnerID=40&amp;md5=031f7bc6922b90219f64eec4aea37b54</t>
  </si>
  <si>
    <t>Dept. of Computer Science, University of Illinois, Urbana-Champaign, United States; Charles H. Sandage Dept. of Advertising, University of Illinois, Urbana-Champaign, United States</t>
  </si>
  <si>
    <t>Dey, S., Dept. of Computer Science, University of Illinois, Urbana-Champaign, United States; Karahalios, K., Dept. of Computer Science, University of Illinois, Urbana-Champaign, United States; Duff, B., Charles H. Sandage Dept. of Advertising, University of Illinois, Urbana-Champaign, United States; Fu, W.-T., Dept. of Computer Science, University of Illinois, Urbana-Champaign, United States</t>
  </si>
  <si>
    <t>The Authentic (and Angry) Audience: How comment authenticity and sentiment impact news evaluation</t>
  </si>
  <si>
    <t>10.1080/21670811.2018.1490656</t>
  </si>
  <si>
    <t>56159433100;</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</si>
  <si>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 © 2020, © 2018 Informa UK Limited, trading as Taylor &amp; Francis Group.</t>
  </si>
  <si>
    <t>Waddell T.F.</t>
  </si>
  <si>
    <t>Digital Journalism</t>
  </si>
  <si>
    <t>https://www.scopus.com/inward/record.uri?eid=2-s2.0-85052060241&amp;doi=10.1080%2f21670811.2018.1490656&amp;partnerID=40&amp;md5=1af6b545d79143b77766270ddaaa2b21</t>
  </si>
  <si>
    <t>Department of Journalism, College of Journalism and Communications, University of Florida, Gainesville, FL, United States</t>
  </si>
  <si>
    <t>Waddell, T.F., Department of Journalism, College of Journalism and Communications, University of Florida, Gainesville, FL, United States</t>
  </si>
  <si>
    <t>Waddell, T.F.; Department of Journalism, United States; email: frank.waddell@ufl.edu</t>
  </si>
  <si>
    <t>The body appreciation scale-2: Item refinement and psychometric evaluation</t>
  </si>
  <si>
    <t>10.1016/j.bodyim.2014.09.006</t>
  </si>
  <si>
    <t>6602931155;8707598900;</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</si>
  <si>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 2014 Elsevier Ltd.</t>
  </si>
  <si>
    <t>Tylka T.L., Wood-Barcalow N.L.</t>
  </si>
  <si>
    <t>https://www.scopus.com/inward/record.uri?eid=2-s2.0-84922457809&amp;doi=10.1016%2fj.bodyim.2014.09.006&amp;partnerID=40&amp;md5=185c523ebf747c795182bd3921cf4c9c</t>
  </si>
  <si>
    <t>Department of Psychology, The Ohio State University, Columbus and Marion Campuses, Marion, OH, United States; The Center for Balanced Living, Worthington, OH, United States</t>
  </si>
  <si>
    <t>Tylka, T.L., Department of Psychology, The Ohio State University, Columbus and Marion Campuses, Marion, OH, United States; Wood-Barcalow, N.L., The Center for Balanced Living, Worthington, OH, United States</t>
  </si>
  <si>
    <t>Tylka, T.L.; Department of Psychology, Ohio State University, 1465 Mt. Vernon Avenue, United States</t>
  </si>
  <si>
    <t>The Camøno: A Communitarian Walking Trail in the Sharing Economy</t>
  </si>
  <si>
    <t>10.1080/21568316.2018.1504318</t>
  </si>
  <si>
    <t>22943963400;55745934400;</t>
  </si>
  <si>
    <t>To overcome socioeconomic decline, Danish coastal communities attempt to harness the potentials of the collaborative economy with novel forms of communitarian initiatives in tourism. This paper assesses the emergent business model of the Camøno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Camøno,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 © 2018, © 2018 Informa UK Limited, trading as Taylor &amp; Francis Group.</t>
  </si>
  <si>
    <t>Gyimóthy S., Meged J.W.</t>
  </si>
  <si>
    <t>Tourism Planning and Development</t>
  </si>
  <si>
    <t>https://www.scopus.com/inward/record.uri?eid=2-s2.0-85051969419&amp;doi=10.1080%2f21568316.2018.1504318&amp;partnerID=40&amp;md5=18b7e2b2a38a3f5bfbb37111eda3d5f2</t>
  </si>
  <si>
    <t>Department of Culture &amp; Global Studies, Aalborg University, Copenhagen, Denmark; Department of People and Technology, Roskilde University, Roskilde, Denmark</t>
  </si>
  <si>
    <t>Gyimóthy, S., Department of Culture &amp; Global Studies, Aalborg University, Copenhagen, Denmark; Meged, J.W., Department of People and Technology, Roskilde University, Roskilde, Denmark</t>
  </si>
  <si>
    <t>Gyimóthy, S.; Department of Culture &amp; Global Studies, Denmark; email: gyimothy@cgs.aau.dk</t>
  </si>
  <si>
    <t>The collaborative economy and taxi services: Moving towards new business models in Spain</t>
  </si>
  <si>
    <t>10.1016/j.rtbm.2020.100503</t>
  </si>
  <si>
    <t>23396399300;44060959700;57217227781;</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</si>
  <si>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 © 2020 Elsevier Ltd</t>
  </si>
  <si>
    <t>de-Miguel-Molina M., de-Miguel-Molina B., Catalá-Pérez D.</t>
  </si>
  <si>
    <t>Research in Transportation Business and Management</t>
  </si>
  <si>
    <t>https://www.scopus.com/inward/record.uri?eid=2-s2.0-85086836386&amp;doi=10.1016%2fj.rtbm.2020.100503&amp;partnerID=40&amp;md5=cbbe2811824c2eb8d4a756819925baee</t>
  </si>
  <si>
    <t>Department of Management, Universitat Politècnica de València, Spain</t>
  </si>
  <si>
    <t>de-Miguel-Molina, M., Department of Management, Universitat Politècnica de València, Spain; de-Miguel-Molina, B., Department of Management, Universitat Politècnica de València, Spain; Catalá-Pérez, D., Department of Management, Universitat Politècnica de València, Spain</t>
  </si>
  <si>
    <t>de-Miguel-Molina, M.; Department of Management, Spain; email: mademi@omp.upv.es</t>
  </si>
  <si>
    <t>The collaborative economy based analysis of demand: Study of airbnb case in Spain and Portugal</t>
  </si>
  <si>
    <t>10.4067/S0718-18762018000300105</t>
  </si>
  <si>
    <t>57193833640;55333058000;</t>
  </si>
  <si>
    <t>The rise of the collaborative economy has just started to become a reality in the economy of the countries in the European Union. The aim of this article is to use Goal-Question-Metric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 © 2018 Universidad de Talca - Chile.</t>
  </si>
  <si>
    <t>Palos-Sanchez P.R., Correia M.B.</t>
  </si>
  <si>
    <t>https://www.scopus.com/inward/record.uri?eid=2-s2.0-85048802477&amp;doi=10.4067%2fS0718-18762018000300105&amp;partnerID=40&amp;md5=044b4c74f4deef7c11e7e1c04f42744f</t>
  </si>
  <si>
    <t>International University of La Rioja, Department of Business Organization and Marketing, Logroño, Spain; University of the Algarve, School of Management, Hospitality and Tourism, Faro, Portugal; Centro de Investigação, Desenvolvimento e Inovação em Turismo (CiTUR), Portugal; University of Lisbon, Centro de Estudos de Gestão do Instituto Superior Técnico (CEG-IST), Lisbon, Portugal</t>
  </si>
  <si>
    <t>Palos-Sanchez, P.R., International University of La Rioja, Department of Business Organization and Marketing, Logroño, Spain; Correia, M.B., University of the Algarve, School of Management, Hospitality and Tourism, Faro, Portugal, Centro de Investigação, Desenvolvimento e Inovação em Turismo (CiTUR), Portugal, University of Lisbon, Centro de Estudos de Gestão do Instituto Superior Técnico (CEG-IST), Lisbon, Portugal</t>
  </si>
  <si>
    <t>The common law constitution at work: R (on the application of UNISON) v lord chancellor</t>
  </si>
  <si>
    <t>10.1111/1468-2230.12343</t>
  </si>
  <si>
    <t>14719002600;</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</si>
  <si>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 © 2018 The Author. The Modern Law Review and 2018 The Modern Law Review Limited.</t>
  </si>
  <si>
    <t>Bogg A.</t>
  </si>
  <si>
    <t>Modern Law Review</t>
  </si>
  <si>
    <t>https://www.scopus.com/inward/record.uri?eid=2-s2.0-85046353049&amp;doi=10.1111%2f1468-2230.12343&amp;partnerID=40&amp;md5=73fc4f55c885b76edf899454454d2291</t>
  </si>
  <si>
    <t>University of Bristol, United Kingdom</t>
  </si>
  <si>
    <t>Bogg, A., University of Bristol, United Kingdom</t>
  </si>
  <si>
    <t>Bogg, A.; University of BristolUnited Kingdom; email: alan.bogg@bristol.ac.uk</t>
  </si>
  <si>
    <t>The conceptualization of the sharing economy as a business model</t>
  </si>
  <si>
    <t>10.5755/j01.ee.30.3.21253</t>
  </si>
  <si>
    <t>57210604333;34880555800;57194409744;</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</si>
  <si>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 © 2019, Kauno Technologijos Universitetas. All rights reserved.</t>
  </si>
  <si>
    <t>Šiuškaitė D., Pilinkienė V., Zvirdauskas D.</t>
  </si>
  <si>
    <t>Engineering Economics</t>
  </si>
  <si>
    <t>https://www.scopus.com/inward/record.uri?eid=2-s2.0-85071094560&amp;doi=10.5755%2fj01.ee.30.3.21253&amp;partnerID=40&amp;md5=21fb1180817a9d8e159c3c782dacd472</t>
  </si>
  <si>
    <t>Kaunas University of Technology, K. Donelaicio st. 73, Kaunas, LT-44029, Lithuania; School of Economics and Business, Kaunas University of Technology, Lithuania</t>
  </si>
  <si>
    <t>Šiuškaitė, D., Kaunas University of Technology, K. Donelaicio st. 73, Kaunas, LT-44029, Lithuania; Pilinkienė, V., School of Economics and Business, Kaunas University of Technology, Lithuania; Zvirdauskas, D., Kaunas University of Technology, K. Donelaicio st. 73, Kaunas, LT-44029, Lithuania</t>
  </si>
  <si>
    <t>The Dark Triad and the derogation of mating competitors</t>
  </si>
  <si>
    <t>10.1016/j.paid.2014.02.003</t>
  </si>
  <si>
    <t>57192403244;7403165625;</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</si>
  <si>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 2014 Elsevier Ltd.</t>
  </si>
  <si>
    <t>Goncalves M.K., Campbell L.</t>
  </si>
  <si>
    <t>https://www.scopus.com/inward/record.uri?eid=2-s2.0-84901261144&amp;doi=10.1016%2fj.paid.2014.02.003&amp;partnerID=40&amp;md5=daf3733c60b49b5daae684f2ba297569</t>
  </si>
  <si>
    <t>University of Western Ontario, Canada</t>
  </si>
  <si>
    <t>Goncalves, M.K., University of Western Ontario, Canada; Campbell, L., University of Western Ontario, Canada</t>
  </si>
  <si>
    <t>Campbell, L.; University of Western Ontario, London, ON N6A 5C2, Canada; email: lcampb23@uwo.ca</t>
  </si>
  <si>
    <t>The development and evaluation of a brief form of the normative male alexithymia scale (NMAS-BF)</t>
  </si>
  <si>
    <t>10.1037/cou0000312</t>
  </si>
  <si>
    <t>7004046438;27667752800;</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</si>
  <si>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(α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 © 2018 American Psychological Association.</t>
  </si>
  <si>
    <t>Levant R.F., Parent M.C.</t>
  </si>
  <si>
    <t>https://www.scopus.com/inward/record.uri?eid=2-s2.0-85054229902&amp;doi=10.1037%2fcou0000312&amp;partnerID=40&amp;md5=5aeb5901abfecc4901a5f23ff4014ded</t>
  </si>
  <si>
    <t>Counseling Psychology Program, Department of Psychology, University of Akron, United States; Counseling Psychology and Counselor Education, Department of Educational Psychology, University of Texas at Austin, United States</t>
  </si>
  <si>
    <t>Levant, R.F., Counseling Psychology Program, Department of Psychology, University of Akron, United States; Parent, M.C., Counseling Psychology and Counselor Education, Department of Educational Psychology, University of Texas at Austin, United States</t>
  </si>
  <si>
    <t>Levant, R.F.; Department of Psychology, 302 Buchtel Mall, United States; email: levant@uakron.edu</t>
  </si>
  <si>
    <t>The effect of governance on global software development: An empirical research in transactive memory systems</t>
  </si>
  <si>
    <t>10.1016/j.infsof.2014.04.012</t>
  </si>
  <si>
    <t>51663653100;6507773935;57193896682;</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</si>
  <si>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 2014 Elsevier B.V. All rights reserved.</t>
  </si>
  <si>
    <t>Manteli C., Van Den Hooff B., Van Vliet H.</t>
  </si>
  <si>
    <t>https://www.scopus.com/inward/record.uri?eid=2-s2.0-84905122109&amp;doi=10.1016%2fj.infsof.2014.04.012&amp;partnerID=40&amp;md5=354ed28a4a928a6581c43cd5138e61d6</t>
  </si>
  <si>
    <t>VU University, de Boelelaan, 1081 Amsterdam, Netherlands</t>
  </si>
  <si>
    <t>Manteli, C., VU University, de Boelelaan, 1081 Amsterdam, Netherlands; Van Den Hooff, B., VU University, de Boelelaan, 1081 Amsterdam, Netherlands; Van Vliet, H., VU University, de Boelelaan, 1081 Amsterdam, Netherlands</t>
  </si>
  <si>
    <t>Manteli, C.; VU University, de Boelelaan, 1081 Amsterdam, Netherlands; email: c.manteli@vu.nl</t>
  </si>
  <si>
    <t>The Effect of Proximity in Social Data Charts on Perceived Unity</t>
  </si>
  <si>
    <t>10.1109/VAST.2018.8802449</t>
  </si>
  <si>
    <t>57186602900;36467926700;</t>
  </si>
  <si>
    <t>Social data charts-visual presentations of quantitative data about peer behaviors-may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structure-the statistical distribution of the social data, and (2) the proximity in the visual structure of the chart-the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 © 2018 IEEE.</t>
  </si>
  <si>
    <t>Promann M., Brunswicker S.</t>
  </si>
  <si>
    <t>2018 IEEE Conference on Visual Analytics Science and Technology, VAST 2018 - Proceedings</t>
  </si>
  <si>
    <t>https://www.scopus.com/inward/record.uri?eid=2-s2.0-85071906814&amp;doi=10.1109%2fVAST.2018.8802449&amp;partnerID=40&amp;md5=d15af733c0f51a0185c7dbbab7053ceb</t>
  </si>
  <si>
    <t>Promann, M., Purdue University, United States; Brunswicker, S., Purdue University, United States</t>
  </si>
  <si>
    <t>The effects of temporary agency work contract transitions on well-being</t>
  </si>
  <si>
    <t>10.1007/s00420-016-1158-y</t>
  </si>
  <si>
    <t>6507178503;55531209100;57190246826;</t>
  </si>
  <si>
    <t>Purpose: 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Methods: Temporary agency workers longitudinal data (n = 289) was used, and three groups were compared: (1) maintaining a temporary agency contract (n = 187), (2) obtaining a direct contract (n = 57), and (3) remaining unemployed (n = 45). Results: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Conclusions: A temporary agency contract does not have an inevitable negative effect on workers’ well-being. © 2016, Springer-Verlag Berlin Heidelberg.</t>
  </si>
  <si>
    <t>Chambel M.J., Lopes S., Batista J.</t>
  </si>
  <si>
    <t>International Archives of Occupational and Environmental Health</t>
  </si>
  <si>
    <t>https://www.scopus.com/inward/record.uri?eid=2-s2.0-84978665397&amp;doi=10.1007%2fs00420-016-1158-y&amp;partnerID=40&amp;md5=4e4d73610775b0716310b22df534d258</t>
  </si>
  <si>
    <t>Faculdade de Psicologia, Universidade de Lisboa, Lisbon, Portugal</t>
  </si>
  <si>
    <t>Chambel, M.J., Faculdade de Psicologia, Universidade de Lisboa, Lisbon, Portugal; Lopes, S., Faculdade de Psicologia, Universidade de Lisboa, Lisbon, Portugal; Batista, J., Faculdade de Psicologia, Universidade de Lisboa, Lisbon, Portugal</t>
  </si>
  <si>
    <t>Chambel, M.J.; Faculdade de Psicologia, Portugal; email: mjchambel@psicologia.ulisboa.pt</t>
  </si>
  <si>
    <t>The effects of tourists’ knowledge-sharing motivation on online tourist community loyalty: the moderating role of ambient stimuli</t>
  </si>
  <si>
    <t>10.1080/13683500.2016.1145197</t>
  </si>
  <si>
    <t>56472069200;26325461500;</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</si>
  <si>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 © 2016, © 2016 Informa UK Limited, trading as Taylor &amp; Francis Group.</t>
  </si>
  <si>
    <t>Lee K.-H., Hyun S.S.</t>
  </si>
  <si>
    <t>Current Issues in Tourism</t>
  </si>
  <si>
    <t>https://www.scopus.com/inward/record.uri?eid=2-s2.0-84959045168&amp;doi=10.1080%2f13683500.2016.1145197&amp;partnerID=40&amp;md5=ca158af7f07ae360153d2a36776a268d</t>
  </si>
  <si>
    <t>Department of Family and Consumer Sciences, Hospitality and Food Management Program, Ball State University, AT Building 235, Muncie, IN  47306, United States; School of Tourism, Hanyang University, 17 Haengdang-dong, Seongdonggu, Seoul, 133–791, South Korea</t>
  </si>
  <si>
    <t>Lee, K.-H., Department of Family and Consumer Sciences, Hospitality and Food Management Program, Ball State University, AT Building 235, Muncie, IN  47306, United States; Hyun, S.S., School of Tourism, Hanyang University, 17 Haengdang-dong, Seongdonggu, Seoul, 133–791, South Korea</t>
  </si>
  <si>
    <t>Hyun, S.S.; School of Tourism, 17 Haengdang-dong, Seongdonggu, South Korea; email: sshyun@hanyang.ac.kr</t>
  </si>
  <si>
    <t>The function and future of the Folder</t>
  </si>
  <si>
    <t>10.1093/iwc/iww042</t>
  </si>
  <si>
    <t>24167373600;24166223100;</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</si>
  <si>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 The Author 2017. Published by Oxford University Press on behalf of The British Computer Society.</t>
  </si>
  <si>
    <t>Whitham R., Cruickshank L.</t>
  </si>
  <si>
    <t>Interacting with Computers</t>
  </si>
  <si>
    <t>https://www.scopus.com/inward/record.uri?eid=2-s2.0-85031816674&amp;doi=10.1093%2fiwc%2fiww042&amp;partnerID=40&amp;md5=14a9455a284b3336fa72b08b5f86f68b</t>
  </si>
  <si>
    <t>ImaginationLancaster, LICA Building, Lancaster University, Bailrigg, Lancaster, LA1 4YW, United Kingdom</t>
  </si>
  <si>
    <t>Whitham, R., ImaginationLancaster, LICA Building, Lancaster University, Bailrigg, Lancaster, LA1 4YW, United Kingdom; Cruickshank, L., ImaginationLancaster, LICA Building, Lancaster University, Bailrigg, Lancaster, LA1 4YW, United Kingdom</t>
  </si>
  <si>
    <t>Whitham, R.; ImaginationLancaster, United Kingdom; email: r.whitham@lancaster.ac.uk</t>
  </si>
  <si>
    <t>The gendered affordances of Craigslist “new-in-town girls wanted” ads</t>
  </si>
  <si>
    <t>10.1177/1461444819849897</t>
  </si>
  <si>
    <t>57200536150;34868596300;</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</si>
  <si>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 © The Author(s) 2019.</t>
  </si>
  <si>
    <t>Schwartz B., Neff G.</t>
  </si>
  <si>
    <t>https://www.scopus.com/inward/record.uri?eid=2-s2.0-85066825135&amp;doi=10.1177%2f1461444819849897&amp;partnerID=40&amp;md5=fe599f1714d4d1f412c747f7ed3a6045</t>
  </si>
  <si>
    <t>Oxford Internet Institute, United Kingdom</t>
  </si>
  <si>
    <t>Schwartz, B., Oxford Internet Institute, United Kingdom; Neff, G., Oxford Internet Institute, United Kingdom</t>
  </si>
  <si>
    <t>Schwartz, B.; Oxford Internet InstituteUnited Kingdom; email: gina.neff@oii.ox.ac.uk</t>
  </si>
  <si>
    <t>The Ideal Thigh: A Crowdsourcing-Based Assessment of Ideal Thigh Aesthetic and Implications for Gluteal Fat Grafting</t>
  </si>
  <si>
    <t>10.1093/asj/sjx191</t>
  </si>
  <si>
    <t>57203309105;55108349700;55173594500;57192427587;7202070309;8207702900;</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</si>
  <si>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 © 2018 The American Society for Aesthetic Plastic Surgery, Inc.</t>
  </si>
  <si>
    <t>Vartanian E., Gould D.J., Hammoudeh Z.S., Azadgoli B., Stevens W.G., Macias L.H.</t>
  </si>
  <si>
    <t>https://www.scopus.com/inward/record.uri?eid=2-s2.0-85051190200&amp;doi=10.1093%2fasj%2fsjx191&amp;partnerID=40&amp;md5=28f9e79e33150565d9b0077e338581d4</t>
  </si>
  <si>
    <t>Division of Plastic and Reconstructive Surgery, Keck School of Medicine, University of Southern California, Los Angeles, CA, United States; 4644 Lincoln Boulevard, Marina del Rey, CA  90292, United States</t>
  </si>
  <si>
    <t>Vartanian, E., Division of Plastic and Reconstructive Surgery, Keck School of Medicine, University of Southern California, Los Angeles, CA, United States; Gould, D.J., Division of Plastic and Reconstructive Surgery, Keck School of Medicine, University of Southern California, Los Angeles, CA, United States; Hammoudeh, Z.S., Division of Plastic and Reconstructive Surgery, Keck School of Medicine, University of Southern California, Los Angeles, CA, United States; Azadgoli, B., Division of Plastic and Reconstructive Surgery, Keck School of Medicine, University of Southern California, Los Angeles, CA, United States; Stevens, W.G., Division of Plastic and Reconstructive Surgery, Keck School of Medicine, University of Southern California, Los Angeles, CA, United States; Macias, L.H., Division of Plastic and Reconstructive Surgery, Keck School of Medicine, University of Southern California, Los Angeles, CA, United States, 4644 Lincoln Boulevard, Marina del Rey, CA  90292, United States</t>
  </si>
  <si>
    <t>Macias, L.H.4644 Lincoln Boulevard, United States; email: lhmacias@gmail.com</t>
  </si>
  <si>
    <t>The impact of media selection on stakeholder communication in agile global software development: A preliminary industrial case study</t>
  </si>
  <si>
    <t>10.1145/1982143.1982177</t>
  </si>
  <si>
    <t>57196693937;56220907900;39861207200;</t>
  </si>
  <si>
    <t>Fernando B.A.J., Hall T., Fitzpatrick A.</t>
  </si>
  <si>
    <t>https://www.scopus.com/inward/record.uri?eid=2-s2.0-79958748569&amp;doi=10.1145%2f1982143.1982177&amp;partnerID=40&amp;md5=4f8da4e20982f24311591da49148cdfe</t>
  </si>
  <si>
    <t>Brunel University, Uxbridge, UB8 3PH, United Kingdom; Pitney Bowes, Watford, WD25 7GS, United Kingdom</t>
  </si>
  <si>
    <t>Fernando, B.A.J., Brunel University, Uxbridge, UB8 3PH, United Kingdom; Hall, T., Brunel University, Uxbridge, UB8 3PH, United Kingdom; Fitzpatrick, A., Pitney Bowes, Watford, WD25 7GS, United Kingdom</t>
  </si>
  <si>
    <t>Fernando, B. A. J.; Brunel University, Uxbridge, UB8 3PH, United Kingdom; email: bajfernando@gmail.com</t>
  </si>
  <si>
    <t>The new gendered labour of synchronisation: Temporal labour in the new world of work</t>
  </si>
  <si>
    <t>10.1177/1440783319879244</t>
  </si>
  <si>
    <t>15066366400;56921125600;</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</si>
  <si>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 © The Author(s) 2019.</t>
  </si>
  <si>
    <t>Woodman D., Cook J.</t>
  </si>
  <si>
    <t>Journal of Sociology</t>
  </si>
  <si>
    <t>https://www.scopus.com/inward/record.uri?eid=2-s2.0-85074607415&amp;doi=10.1177%2f1440783319879244&amp;partnerID=40&amp;md5=d114c1655416302249d18376ddbad208</t>
  </si>
  <si>
    <t>University of Melbourne, Australia; University of Newcastle, Australia</t>
  </si>
  <si>
    <t>Woodman, D., University of Melbourne, Australia; Cook, J., University of Newcastle, Australia</t>
  </si>
  <si>
    <t>Cook, J.; University of NewcastleAustralia; email: julia.cook@newcastle.edu.au</t>
  </si>
  <si>
    <t>The platform as factory: Crowdwork and the hidden labour behind artificial intelligence</t>
  </si>
  <si>
    <t>10.1177/0309816819899410</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</si>
  <si>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 © The Author(s) 2020.</t>
  </si>
  <si>
    <t>Capital and Class</t>
  </si>
  <si>
    <t>https://www.scopus.com/inward/record.uri?eid=2-s2.0-85078204268&amp;doi=10.1177%2f0309816819899410&amp;partnerID=40&amp;md5=8e138a41f8a6e2893bc8155e81c7e957</t>
  </si>
  <si>
    <t>Leuphana University of Lüneburg, Germany</t>
  </si>
  <si>
    <t>Altenried, M., Leuphana University of Lüneburg, Germany</t>
  </si>
  <si>
    <t>Altenried, M.; Leuphana University of LüneburgGermany; email: moritz.altenried@leuphana.de</t>
  </si>
  <si>
    <t>The platform economy as a working opportunity for older people: The case of the Hungarian carpooling company Oszkár</t>
  </si>
  <si>
    <t>10.1108/JEC-09-2019-0092</t>
  </si>
  <si>
    <t>8306295200;57210557033;</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</si>
  <si>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Oszkár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Research limitations/implications: Compiling data on the gig economy faces a number of obstacles, as enterprises are disincentivized from revealing all their data. Social implications: Older people are more likely to be employed in lower-quality jobs, such as own-account self-employed. They are also increasingly more likely to become gig workers. Originality/value: The paper articulates the importance of remaining active as one ages and moreover challenges the traditional belief that gig jobs mainly offer opportunities to the younger generations. © 2019, Emerald Publishing Limited.</t>
  </si>
  <si>
    <t>Berde É., Tőkés L.</t>
  </si>
  <si>
    <t>Journal of Enterprising Communities</t>
  </si>
  <si>
    <t>https://www.scopus.com/inward/record.uri?eid=2-s2.0-85079446826&amp;doi=10.1108%2fJEC-09-2019-0092&amp;partnerID=40&amp;md5=6ae43fc9491947a83fadd28c6e1ab599</t>
  </si>
  <si>
    <t>Department of Microeconomics, Corvinus University of Budapest, Budapest, Hungary; Department of Macroeconomics, Corvinus University of Budapest, Budapest, Hungary; Demographic and Economic Research Center (Inside the School of Economics), Corvinus University of Budapest, Budapest, Hungary; Demographic and Economic Research Center (Inside the School of Economics), Corvinus University of Budapest, Budapest, Hungary</t>
  </si>
  <si>
    <t>Berde, É., Department of Microeconomics, Corvinus University of Budapest, Budapest, Hungary, Demographic and Economic Research Center (Inside the School of Economics), Corvinus University of Budapest, Budapest, Hungary; Tőkés, L., Department of Macroeconomics, Corvinus University of Budapest, Budapest, Hungary, Demographic and Economic Research Center (Inside the School of Economics), Corvinus University of Budapest, Budapest, Hungary</t>
  </si>
  <si>
    <t>Berde, É.; Department of Microeconomics, Hungary; email: eva.berde@uni-corvinus.hu</t>
  </si>
  <si>
    <t>The promise and pitfalls of using crowdsourcing in research prioritization for back pain: Cross-sectional surveys</t>
  </si>
  <si>
    <t>10.2196/JMIR.8821</t>
  </si>
  <si>
    <t>57197122671;54411420900;57200989896;57200989567;56064048200;12772371000;7202395186;57192212708;54399086800;7202956552;7006612269;14825375400;</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</si>
  <si>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 ©Matthew A Bartek, Anjali R Truitt, Sierra Widmer-Rodriguez, Jordan Tuia, Zoya A Bauer, Bryan A Comstock, Todd C Edwards, Sarah O Lawrence, Sarah E Monsell, Donald L Patrick, Jeffrey G Jarvik, Danielle C Lavallee.</t>
  </si>
  <si>
    <t>Bartek M.A., Truitt A.R., Widmer-Rodriguez S., Tuia J., Bauer Z.A., Comstock B.A., Edwards T.C., Lawrence S.O., Monsell S.E., Patrick D.L., Jarvik J.G., Lavallee D.C.</t>
  </si>
  <si>
    <t>https://www.scopus.com/inward/record.uri?eid=2-s2.0-85042767851&amp;doi=10.2196%2fJMIR.8821&amp;partnerID=40&amp;md5=31c68e582fc0b8c4dbf7c70c6c0cd879</t>
  </si>
  <si>
    <t>Surgical Outcomes Research Center, Department of Surgery, University of Washington, Seattle, WA, United States; Comparative Effectiveness, Cost and Outcomes Research Center, Department of Radiology, University of Washington, Seattle, WA, United States; Center for Biomedical Statistics, Department of Biostatistics, University of Washington, Seattle, WA, United States; Department of Heath Services, School of Public Health, University of Washington, Seattle, WA, United States</t>
  </si>
  <si>
    <t>Bartek, M.A., Surgical Outcomes Research Center, Department of Surgery, University of Washington, Seattle, WA, United States; Truitt, A.R., Surgical Outcomes Research Center, Department of Surgery, University of Washington, Seattle, WA, United States; Widmer-Rodriguez, S., Surgical Outcomes Research Center, Department of Surgery, University of Washington, Seattle, WA, United States; Tuia, J., Surgical Outcomes Research Center, Department of Surgery, University of Washington, Seattle, WA, United States; Bauer, Z.A., Comparative Effectiveness, Cost and Outcomes Research Center, Department of Radiology, University of Washington, Seattle, WA, United States; Comstock, B.A., Center for Biomedical Statistics, Department of Biostatistics, University of Washington, Seattle, WA, United States; Edwards, T.C., Department of Heath Services, School of Public Health, University of Washington, Seattle, WA, United States; Lawrence, S.O., Surgical Outcomes Research Center, Department of Surgery, University of Washington, Seattle, WA, United States; Monsell, S.E., Center for Biomedical Statistics, Department of Biostatistics, University of Washington, Seattle, WA, United States; Patrick, D.L., Department of Heath Services, School of Public Health, University of Washington, Seattle, WA, United States; Jarvik, J.G., Comparative Effectiveness, Cost and Outcomes Research Center, Department of Radiology, University of Washington, Seattle, WA, United States; Lavallee, D.C., Surgical Outcomes Research Center, Department of Surgery, University of Washington, Seattle, WA, United States</t>
  </si>
  <si>
    <t>Bartek, M.A.; Surgical Outcomes Research Center, 1107 NE 45th St Suite 502, United States; email: bartek@uw.edu</t>
  </si>
  <si>
    <t>The promise of Mechanical Turk: How online labor markets can help theorists run behavioral experiments</t>
  </si>
  <si>
    <t>10.1016/j.jtbi.2011.03.004</t>
  </si>
  <si>
    <t>23095594600;</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</si>
  <si>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I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 2011 Elsevier Ltd.</t>
  </si>
  <si>
    <t>Rand D.G.</t>
  </si>
  <si>
    <t>Journal of Theoretical Biology</t>
  </si>
  <si>
    <t>https://www.scopus.com/inward/record.uri?eid=2-s2.0-84857918066&amp;doi=10.1016%2fj.jtbi.2011.03.004&amp;partnerID=40&amp;md5=def3be94fed9f4f77947e119f82389e3</t>
  </si>
  <si>
    <t>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</si>
  <si>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</si>
  <si>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 Cambridge, MA 02138, United States; email: drand@fas.harvard.edu</t>
  </si>
  <si>
    <t>The Public's Perception on Breast and Nipple Reconstruction: A Crowdsourcing-Based Assessment</t>
  </si>
  <si>
    <t>10.1093/asj/sjy281</t>
  </si>
  <si>
    <t>57192427587;55108349700;57203309105;39561477400;</t>
  </si>
  <si>
    <t>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 © 2018 Published by Oxford University Press on behalf of The American Society for Aesthetic Plastic Surgery 2018.</t>
  </si>
  <si>
    <t>Azadgoli B., Gould D.J., Vartanian E., Patel K.M.</t>
  </si>
  <si>
    <t>https://www.scopus.com/inward/record.uri?eid=2-s2.0-85071507491&amp;doi=10.1093%2fasj%2fsjy281&amp;partnerID=40&amp;md5=b0dcbcaa8261e1e5748c7db9bcb987f3</t>
  </si>
  <si>
    <t>Division of Plastic and Reconstructive Surgery, Keck School of Medicine, University of Southern California, 1510 San Pablo Street, Suite 415, Los Angeles, CA  90033, United States</t>
  </si>
  <si>
    <t>Azadgoli, B., Division of Plastic and Reconstructive Surgery, Keck School of Medicine, University of Southern California, 1510 San Pablo Street, Suite 415, Los Angeles, CA  90033, United States; Gould, D.J., Division of Plastic and Reconstructive Surgery, Keck School of Medicine, University of Southern California, 1510 San Pablo Street, Suite 415, Los Angeles, CA  90033, United States; Vartanian, E., Division of Plastic and Reconstructive Surgery, Keck School of Medicine, University of Southern California, 1510 San Pablo Street, Suite 415, Los Angeles, CA  90033, United States; Patel, K.M., Division of Plastic and Reconstructive Surgery, Keck School of Medicine, University of Southern California, 1510 San Pablo Street, Suite 415, Los Angeles, CA  90033, United States</t>
  </si>
  <si>
    <t>Patel, K.M.; Division of Plastic and Reconstructive Surgery, 1510 San Pablo Street, Suite 415, United States; email: ketan.patel@med.usc.edu</t>
  </si>
  <si>
    <t>The regulatory challenges of 'Uberization' in China: Classifying ride-hailing drivers</t>
  </si>
  <si>
    <t>56471311500;</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</si>
  <si>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 © 2017 Kluwer Law International BV, The Netherlands.</t>
  </si>
  <si>
    <t>Zou M.</t>
  </si>
  <si>
    <t>https://www.scopus.com/inward/record.uri?eid=2-s2.0-85040780009&amp;partnerID=40&amp;md5=de090283aa270e35e61726dc06cae2d3</t>
  </si>
  <si>
    <t>Faculty of Law, The Chinese University of Hong Kong, Hong Kong</t>
  </si>
  <si>
    <t>Zou, M., Faculty of Law, The Chinese University of Hong Kong, Hong Kong</t>
  </si>
  <si>
    <t>Zou, M.; Faculty of Law, Hong Kong; email: mimizou@cuhk.edu.hk</t>
  </si>
  <si>
    <t>Burke, A.; Trinity Business School, Ireland; email: andrew.burke@tcd.ie</t>
  </si>
  <si>
    <t>The role of leadership and its effect on the temporal patterns of global software development teams</t>
  </si>
  <si>
    <t>10.4108/icst.collaboratecom.2012.250391</t>
  </si>
  <si>
    <t>55608646200;6701676240;</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</si>
  <si>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 © 2012 ICST.</t>
  </si>
  <si>
    <t>Broooks I., Swigger K.</t>
  </si>
  <si>
    <t>CollaborateCom 2012 - Proceedings of the 8th International Conference on Collaborative Computing: Networking, Applications and Worksharing</t>
  </si>
  <si>
    <t>https://www.scopus.com/inward/record.uri?eid=2-s2.0-84874423729&amp;doi=10.4108%2ficst.collaboratecom.2012.250391&amp;partnerID=40&amp;md5=f0f670a1c86f8b6793f9049af8dbf0b2</t>
  </si>
  <si>
    <t>Computer Science and Engineering, University of North Texas, Denton, NT, United States</t>
  </si>
  <si>
    <t>Broooks, I., Computer Science and Engineering, University of North Texas, Denton, NT, United States; Swigger, K., Computer Science and Engineering, University of North Texas, Denton, NT, United States</t>
  </si>
  <si>
    <t>Broooks, I.; Computer Science and Engineering, , Denton, NT, United States; email: ibrooks@gmail.com</t>
  </si>
  <si>
    <t>The role of multiracial identity integration in the relation between racial discrimination and depression in multiracial young adults</t>
  </si>
  <si>
    <t>10.1037/pro0000315</t>
  </si>
  <si>
    <t>56717229900;24176106500;56606218700;57216771217;</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</si>
  <si>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 © 2020 American Psychological Association.</t>
  </si>
  <si>
    <t>Marks L.R., Thurston I.B., Kamody R.C., Schaeffer-Smith M.</t>
  </si>
  <si>
    <t>Professional Psychology: Research and Practice</t>
  </si>
  <si>
    <t>https://www.scopus.com/inward/record.uri?eid=2-s2.0-85084575623&amp;doi=10.1037%2fpro0000315&amp;partnerID=40&amp;md5=35720296ecd7c7d696ec6267d40538b3</t>
  </si>
  <si>
    <t>Florida State University, United States; Texas A and M University, United States; Yale School of Medicine, United States; University of Memphis, United States</t>
  </si>
  <si>
    <t>Marks, L.R., Florida State University, United States; Thurston, I.B., Texas A and M University, United States; Kamody, R.C., Yale School of Medicine, United States; Schaeffer-Smith, M., University of Memphis, United States</t>
  </si>
  <si>
    <t>Marks, L.R.; Department of Educational Psychology and Learning Systems, 1114 West Call Street, United States; email: laura.reidmarks@fsu.edu</t>
  </si>
  <si>
    <t>The role of temporary agency work in different industrial relations systems - A comparison between Germany and the USA</t>
  </si>
  <si>
    <t>10.1111/j.1467-8543.2007.00629.x</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</si>
  <si>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 © Blackwell Publishing Ltd/London School of Economics 2007.</t>
  </si>
  <si>
    <t>https://www.scopus.com/inward/record.uri?eid=2-s2.0-34547606827&amp;doi=10.1111%2fj.1467-8543.2007.00629.x&amp;partnerID=40&amp;md5=ebb7a2e48d5901768c001e609cdc3681</t>
  </si>
  <si>
    <t>University of Mannheim, Department of HRM, Germany; DAX-30 Company, France</t>
  </si>
  <si>
    <t>Mitlacher, L.W., University of Mannheim, Department of HRM, Germany, DAX-30 Company, France</t>
  </si>
  <si>
    <t>Mitlacher, L.W.; DAX-30 CompanyFrance</t>
  </si>
  <si>
    <t>The Security Expertise Assessment Measure (SEAM): Developing a scale for hacker expertise</t>
  </si>
  <si>
    <t>10.1016/j.cose.2016.04.001</t>
  </si>
  <si>
    <t>36006443100;55387782200;55574180587;6603695997;</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</si>
  <si>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 2016 Published by Elsevier Ltd.</t>
  </si>
  <si>
    <t>Giboney J.S., Proudfoot J.G., Goel S., Valacich J.S.</t>
  </si>
  <si>
    <t>Computers and Security</t>
  </si>
  <si>
    <t>https://www.scopus.com/inward/record.uri?eid=2-s2.0-84962911175&amp;doi=10.1016%2fj.cose.2016.04.001&amp;partnerID=40&amp;md5=39108f6ea82641fe745e6df92cc88a2a</t>
  </si>
  <si>
    <t>University at Albany, 1400 Washington Ave, Albany, NY  12222, United States; Bentley University, 175 Forest Street, Waltham, MA  02452, United States; University of Arizona, 1130 E. Helen St., Tucson, AZ  85721, United States</t>
  </si>
  <si>
    <t>Giboney, J.S., University at Albany, 1400 Washington Ave, Albany, NY  12222, United States; Proudfoot, J.G., Bentley University, 175 Forest Street, Waltham, MA  02452, United States; Goel, S., University at Albany, 1400 Washington Ave, Albany, NY  12222, United States; Valacich, J.S., University of Arizona, 1130 E. Helen St., Tucson, AZ  85721, United States</t>
  </si>
  <si>
    <t>Giboney, J.S.; University at Albany, 1400 Washington Ave, United States; email: jgiboney@albany.edu</t>
  </si>
  <si>
    <t>The sharing economy as the commons of the 21st century</t>
  </si>
  <si>
    <t>10.1093/cjres/rsx001</t>
  </si>
  <si>
    <t>36524676200;6603848381;</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</si>
  <si>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 © The Author 2017. Published by Oxford University Press on behalf of the Cambridge Political Economy Society.</t>
  </si>
  <si>
    <t>Bradley K., Pargman D.</t>
  </si>
  <si>
    <t>https://www.scopus.com/inward/record.uri?eid=2-s2.0-85021803189&amp;doi=10.1093%2fcjres%2frsx001&amp;partnerID=40&amp;md5=afd120b46a08435e4fcf26250daaff15</t>
  </si>
  <si>
    <t>Department of Urban Planning and Environment, KTH Royal Institute of Technology, Stockholm, 100 44, Sweden; Department of Media Technology and Interaction Design, KTH Royal Institute of Technology, Stockholm, 100 44, Sweden</t>
  </si>
  <si>
    <t>Bradley, K., Department of Urban Planning and Environment, KTH Royal Institute of Technology, Stockholm, 100 44, Sweden; Pargman, D., Department of Media Technology and Interaction Design, KTH Royal Institute of Technology, Stockholm, 100 44, Sweden</t>
  </si>
  <si>
    <t>The smartphone in the memory clinic: A study of patient and care partner’s utilisation habits</t>
  </si>
  <si>
    <t>10.1080/09602011.2018.1459307</t>
  </si>
  <si>
    <t>16311843800;57201640393;56719392700;55846466900;55650321100;26665651700;</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</si>
  <si>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 © 2018, © 2018 Informa UK Limited, trading as Taylor &amp; Francis Group.</t>
  </si>
  <si>
    <t>Benge J.F., Dinh K.L., Logue E., Phenis R., Dasse M.N., Scullin M.K.</t>
  </si>
  <si>
    <t>Neuropsychological Rehabilitation</t>
  </si>
  <si>
    <t>https://www.scopus.com/inward/record.uri?eid=2-s2.0-85045428532&amp;doi=10.1080%2f09602011.2018.1459307&amp;partnerID=40&amp;md5=97f27dd2118303d785741fbb664ff151</t>
  </si>
  <si>
    <t>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Division of Neuropsychology, Department of Neurology, Baylor Scott &amp; White Round Rock Clinic, Round Rock, TX, United States; Department of Psychology and Neuroscience, Baylor University, Waco, TX, United States</t>
  </si>
  <si>
    <t>Benge, J.F.,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Dinh, K.L., Division of Neuropsychology, Department of Neurology, Baylor Scott &amp; White Round Rock Clinic, Round Rock, TX, United States; Logue, E., Division of Neuropsychology, Department of Neurology, Baylor Scott &amp; White Round Rock Clinic, Round Rock, TX, United States; Phenis, R.,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Dasse, M.N., Department of Psychology and Neuroscience, Baylor University, Waco, TX, United States; Scullin, M.K., Department of Psychology and Neuroscience, Baylor University, Waco, TX, United States</t>
  </si>
  <si>
    <t>Benge, J.F.; Division of Neuropsychology, 2401 S. 31st Street, United States; email: Jared.Benge@BSWHealth.org</t>
  </si>
  <si>
    <t>The step further smile virtual planning: Milled versus prototyped mock-ups for the evaluation of the designed smile characteristics</t>
  </si>
  <si>
    <t>10.1186/s12903-020-01145-z</t>
  </si>
  <si>
    <t>57196244134;54955670700;57189697200;6701849088;57217196801;25825125500;</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</si>
  <si>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 © 2020 Oxford University Press. All rights reserved.</t>
  </si>
  <si>
    <t>Giudice A.L., Ortensi L., Farronato M., Lucchese A., Castro E.L., Isola G.</t>
  </si>
  <si>
    <t>BMC Oral Health</t>
  </si>
  <si>
    <t>https://www.scopus.com/inward/record.uri?eid=2-s2.0-85086008415&amp;doi=10.1186%2fs12903-020-01145-z&amp;partnerID=40&amp;md5=559c1b1df9a867b7bb9d73f7945d0008</t>
  </si>
  <si>
    <t>Department of General Surgery and Medical-Surgical Specialties, Section of Orthodontics, School of Dentistry, University of Catania, Policlinico Universitario "vittorio Emanuele", Via Santa Sofia 78, Catania, 95123, Italy; Department of General Surgery and Medical-Surgical Specialties, Section of Prosthodontist, School of Dentistry, University of Catania, Policlinico Universitario "vittorio Emanuele", Via Santa Sofia 78, Catania, 98123, Italy; Department of Medicine, Surgery and Dentistry, Section of Orthodontics, University of Milan, Milan, Italy; Department of Orthodontics, Vita-Salute San Raffaele University, Milan, Italy; Private Practice, Catania, Italy; Department of General Surgery and Medical-Surgical Specialties, School of Dentistry, University of Catania, Catania, Italy</t>
  </si>
  <si>
    <t>Giudice, A.L., Department of General Surgery and Medical-Surgical Specialties, Section of Orthodontics, School of Dentistry, University of Catania, Policlinico Universitario "vittorio Emanuele", Via Santa Sofia 78, Catania, 95123, Italy; Ortensi, L., Department of General Surgery and Medical-Surgical Specialties, Section of Prosthodontist, School of Dentistry, University of Catania, Policlinico Universitario "vittorio Emanuele", Via Santa Sofia 78, Catania, 98123, Italy; Farronato, M., Department of Medicine, Surgery and Dentistry, Section of Orthodontics, University of Milan, Milan, Italy; Lucchese, A., Department of Orthodontics, Vita-Salute San Raffaele University, Milan, Italy; Castro, E.L., Private Practice, Catania, Italy; Isola, G., Department of General Surgery and Medical-Surgical Specialties, School of Dentistry, University of Catania, Catania, Italy</t>
  </si>
  <si>
    <t>Giudice, A.L.; Department of General Surgery and Medical-Surgical Specialties, Via Santa Sofia 78, Italy; email: nino.logiudice@gmail.com</t>
  </si>
  <si>
    <t>The zero-hour contract in platform work Should we ban it or embrace it? [El contrato de cero horas en el trabajo en plataformas digitales ¿Debe prohibirse o aceptarse?]</t>
  </si>
  <si>
    <t>10.7238/idp.v0i28.3176</t>
  </si>
  <si>
    <t>57214604570;</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</si>
  <si>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 © 2019 Universitat Oberta de Catalunya. All rights reserved.</t>
  </si>
  <si>
    <t>Fabrellas A.G.</t>
  </si>
  <si>
    <t>Revista de Internet, Derecho y Politica</t>
  </si>
  <si>
    <t>https://www.scopus.com/inward/record.uri?eid=2-s2.0-85078845157&amp;doi=10.7238%2fidp.v0i28.3176&amp;partnerID=40&amp;md5=db4f485d22def2db9eba2613de659670</t>
  </si>
  <si>
    <t>Department of Law in ESADE, URL Universitat Ramon Llull, ESADE Law School, Avenida Pedralbes, Barcelona, 60-62 08034, Spain</t>
  </si>
  <si>
    <t>Fabrellas, A.G., Department of Law in ESADE, URL Universitat Ramon Llull, ESADE Law School, Avenida Pedralbes, Barcelona, 60-62 08034, Spain</t>
  </si>
  <si>
    <t>Fabrellas, A.G.; Department of Law in ESADE, Avenida Pedralbes, Spain; email: anna.gines@esade.edu</t>
  </si>
  <si>
    <t>Time constraints in the alcohol purchase task</t>
  </si>
  <si>
    <t>10.1037/pha0000110</t>
  </si>
  <si>
    <t>55189634600;14627885100;7404112504;56982747100;35344485200;8921927800;6603748923;</t>
  </si>
  <si>
    <t>Hypothetical purchase tasks have advanced behavioral economic evaluations of demand by circumvent ing practical and ethical restrictions associated with delivering drug reinforcers to participants. Numerou studies examining the reliability and validity of purchase task methodology suggest that it is a valuabl method for assessing demand that warrants continued use and evaluation.Within the literature examinin purchase tasks, the alcohol purchase task (APT) has received the most investigation, and currentl represents the most experimentally validated variant. However, inconsistencies in purchase task meth odology between studies exist, even within APT studies, and, to date, none have assessed the influenc of experimental economic constraints on responding. This study examined changes in Q0 (reporte consumption when drinks are free), breakpoint (price that suppresses consumption), and α (rate of chang in demand elasticity) in the presence of different hypothetical durations of access to alcohol in an APT One hundred seventy-nine participants (94 males, 85 females) from Amazon Mechanical Turk complete 3 APTs that varied in the duration of time at a party (i.e., access to alcoholic beverages) as described i the APT instructions (i.e., vignette). The 3 durations included 5-hr (used by Murphy et al., 2013), 1-h and 9-hr time frames. We found that hypothetical duration of access was significantly related to Q0 an breakpoint at the individual level. Additionally, group-level mean α decreased significantly wit increases in duration of access, thus indicating relatively higher demand for alcohol with longer duration of access.We discuss implications for conducting hypothetical purchase task research and alcohol misus prevention efforts. Public Health Significance This study examines the degree to which hypothetical alcohol consumption event duration impacts relative consumption of alcohol drinks in a commonly used purchase task. Results suggest that drinking duration affects alcohol demand in unexpected ways. Assessing effects of duration on alcohol demand may help provide novel insights into pregaming drinking as well as extended event drinking. © 2017 American Psychological Association.</t>
  </si>
  <si>
    <t>Kaplan B.A., Reed D.D., Murphy J.G., Henley A.J., DiGennaro Reed F.D., Roma P.G., Hursh S.R.</t>
  </si>
  <si>
    <t>https://www.scopus.com/inward/record.uri?eid=2-s2.0-85013801833&amp;doi=10.1037%2fpha0000110&amp;partnerID=40&amp;md5=f25423fa5a928800bf74f0511a63b8e7</t>
  </si>
  <si>
    <t>Department of Applied Behavioral Science, University of Kansas, United States; Department of Psychology, The University of Memphis, United States; Institutes for Behavior Resources, Inc., Department of Psychiatry and Behavioral Sciences, Johns Hopkins University School of Medicine, United States</t>
  </si>
  <si>
    <t>Kaplan, B.A., Department of Applied Behavioral Science, University of Kansas, United States; Reed, D.D., Department of Applied Behavioral Science, University of Kansas, United States; Murphy, J.G., Department of Psychology, The University of Memphis, United States; Henley, A.J., Department of Applied Behavioral Science, University of Kansas, United States; DiGennaro Reed, F.D., Department of Applied Behavioral Science, University of Kansas, United States; Roma, P.G., Institutes for Behavior Resources, Inc., Department of Psychiatry and Behavioral Sciences, Johns Hopkins University School of Medicine, United States; Hursh, S.R., Institutes for Behavior Resources, Inc., Department of Psychiatry and Behavioral Sciences, Johns Hopkins University School of Medicine, United States</t>
  </si>
  <si>
    <t>Reed, D.D.; Department of Applied Behavioral Science, 1000 Sunnyside Avenue, United States; email: dreed@ku.edu</t>
  </si>
  <si>
    <t>To take or not to take: the association between perceived addiction risk, expected analgesic response and likelihood of trying novel pain relievers in self-identified chronic pain patients</t>
  </si>
  <si>
    <t>10.1111/add.13922</t>
  </si>
  <si>
    <t>29167564800;57035145100;7405662150;35472535800;7006819000;7403979517;9840557400;</t>
  </si>
  <si>
    <t>Background and aims: 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 This cross-sectional on-line study determined state/trait associations with addiction-related medication decisions in CPP. Setting: US-based CPP participated via Amazon Mechanical Turk; data were collected and analyzed in Baltimore, Maryland. Participants: A total of 263 CPP (70.6% female) participated in the study from 12–13 December 2014. Measurements: CPP responded to the Benefit versus Addiction Risk Questionnaire (BARQ) assessing likelihood of taking a hypothetical once-daily oral analgesic medication as a function of two factors: risk of addiction (0–50%) and duration of expected complete pain relief (3, 30 or 365 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 Across hypothetical addiction risk assessed in the BARQ, the likelihood of taking a novel analgesic medication was elevated significantly in patients with high (≥18; n = 137) versus low (&lt;18; n = 126) SOAPP-R scores [P &lt; 0.001; 3-day: Cohen's d = 0.66, 95% confidence interval (CI) = 0.63, 0.69; 30-day: d = 0.74, 95% CI = 0.71, 0.78; 365-day: d = 0.75, 95% CI = 0.72, 0.79]. Conclusions: In the United States, self-identified chronic pain patients (CPP) at higher risk for opioid misuse were more likely to report willingness to try a novel analgesic despite increasing addiction risk than CPP with low risk of opioid misuse. © 2017 Society for the Study of Addiction</t>
  </si>
  <si>
    <t>Tompkins D.A., Huhn A.S., Johnson P.S., Smith M.T., Strain E.C., Edwards R.R., Johnson M.W.</t>
  </si>
  <si>
    <t>https://www.scopus.com/inward/record.uri?eid=2-s2.0-85027533218&amp;doi=10.1111%2fadd.13922&amp;partnerID=40&amp;md5=23b7e9c98bc926491515300722c3c88a</t>
  </si>
  <si>
    <t>Department of Psychiatry and Behavioral Sciences, Johns Hopkins University School of Medicine, Baltimore, MD, United States; Department of Psychology, California State University, Chico, Chico, CA, United States; Department of Anesthesiology, Perioperative, and Pain Medicine, Harvard Medical School, Brigham and Women's Hospital, Boston, MA, United States</t>
  </si>
  <si>
    <t>Tompkins, D.A., Department of Psychiatry and Behavioral Sciences, Johns Hopkins University School of Medicine, Baltimore, MD, United States; Huhn, A.S., Department of Psychiatry and Behavioral Sciences, Johns Hopkins University School of Medicine, Baltimore, MD, United States; Johnson, P.S., Department of Psychology, California State University, Chico, Chico, CA, United States; Smith, M.T., Department of Psychiatry and Behavioral Sciences, Johns Hopkins University School of Medicine, Baltimore, MD, United States; Strain, E.C., Department of Psychiatry and Behavioral Sciences, Johns Hopkins University School of Medicine, Baltimore, MD, United States; Edwards, R.R., Department of Anesthesiology, Perioperative, and Pain Medicine, Harvard Medical School, Brigham and Women's Hospital, Boston, MA, United States; Johnson, M.W., Department of Psychiatry and Behavioral Sciences, Johns Hopkins University School of Medicine, Baltimore, MD, United States</t>
  </si>
  <si>
    <t>Tompkins, D.A.; Department of Psychiatry and Behavioral Sciences, United States; email: dtompki1@jhmi.edu</t>
  </si>
  <si>
    <t>Too sick, not sick enough?: Effects of treatment type and timing on depression stigma</t>
  </si>
  <si>
    <t>10.1097/NMD.0000000000000121</t>
  </si>
  <si>
    <t>33367621800;</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</si>
  <si>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 © 2014 by Lippincott Williams &amp; Wilkins.</t>
  </si>
  <si>
    <t>Henshaw E.J.</t>
  </si>
  <si>
    <t>Journal of Nervous and Mental Disease</t>
  </si>
  <si>
    <t>https://www.scopus.com/inward/record.uri?eid=2-s2.0-84897580385&amp;doi=10.1097%2fNMD.0000000000000121&amp;partnerID=40&amp;md5=6dd77e11c12dbbbcb1d4ef291872a1df</t>
  </si>
  <si>
    <t>Department of Psychology, Denison University, Granville, OH 43023, United States</t>
  </si>
  <si>
    <t>Henshaw, E.J., Department of Psychology, Denison University, Granville, OH 43023, United States</t>
  </si>
  <si>
    <t>Henshaw, E.J.; Department of Psychology, Denison University, Granville, OH 43023, United States; email: henshawe@denison.edu</t>
  </si>
  <si>
    <t>Palacio, R.R.; Facultad de Ingeniería Ensenada, , Ensenada, Mexico; email: rpalacio5@itson.mx</t>
  </si>
  <si>
    <t>Department of Computer Science, , Victoria, BC, Canada</t>
  </si>
  <si>
    <t>Portillo-Rodríguez, J.; Alarcos Research Group, Paseo de la Universidad, 4, 13071 Ciudad Real, Spain; email: javier.portillo@uclm.es</t>
  </si>
  <si>
    <t>Toward a deep understanding of what makes a scientific visualization memorable</t>
  </si>
  <si>
    <t>10.1109/SciVis.2018.8823764</t>
  </si>
  <si>
    <t>57220557865;55817312800;</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</si>
  <si>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 © 2018 IEEE.</t>
  </si>
  <si>
    <t>Li R., Chen J.</t>
  </si>
  <si>
    <t>2018 IEEE Scientific Visualization Conference, SciVis 2018 - Proceedings</t>
  </si>
  <si>
    <t>https://www.scopus.com/inward/record.uri?eid=2-s2.0-85072960277&amp;doi=10.1109%2fSciVis.2018.8823764&amp;partnerID=40&amp;md5=69ed00125fca61fdd28554bf37bc2b5c</t>
  </si>
  <si>
    <t>Ohio State University, United States</t>
  </si>
  <si>
    <t>Li, R., Ohio State University, United States; Chen, J., Ohio State University, United States</t>
  </si>
  <si>
    <t>Toward an Agile Approach to Managing the Effect of Requirements on Software Architecture during Global Software Development</t>
  </si>
  <si>
    <t>10.1155/2016/8198039</t>
  </si>
  <si>
    <t>55631604800;29067884400;54418458700;</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</si>
  <si>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 © 2016 Abdulaziz Alsahli et al.</t>
  </si>
  <si>
    <t>Alsahli A., Khan H., Alyahya S.</t>
  </si>
  <si>
    <t>https://www.scopus.com/inward/record.uri?eid=2-s2.0-84985917012&amp;doi=10.1155%2f2016%2f8198039&amp;partnerID=40&amp;md5=08a4647d357a87f0dd0e521693ea62cb</t>
  </si>
  <si>
    <t>Department of Information Systems, College of Computer and Information Sciences, King Saud University, P.O. Box 51178, Riyadh, 11543, Saudi Arabia</t>
  </si>
  <si>
    <t>Alsahli, A., Department of Information Systems, College of Computer and Information Sciences, King Saud University, P.O. Box 51178, Riyadh, 11543, Saudi Arabia; Khan, H., Department of Information Systems, College of Computer and Information Sciences, King Saud University, P.O. Box 51178, Riyadh, 11543, Saudi Arabia; Alyahya, S., Department of Information Systems, College of Computer and Information Sciences, King Saud University, P.O. Box 51178, Riyadh, 11543, Saudi Arabia</t>
  </si>
  <si>
    <t>Alsahli, A.; Department of Information Systems, P.O. Box 51178, Saudi Arabia; email: alsahli9@ymail.com</t>
  </si>
  <si>
    <t>Toward High-Performance Communications Interfaces for Science Problem Solving</t>
  </si>
  <si>
    <t>10.1007/s10956-010-9218-7</t>
  </si>
  <si>
    <t>7003592124;35794834100;</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</si>
  <si>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 © 2010 Springer Science+Business Media, LLC.</t>
  </si>
  <si>
    <t>Oviatt S.L., Cohen A.O.</t>
  </si>
  <si>
    <t>Journal of Science Education and Technology</t>
  </si>
  <si>
    <t>https://www.scopus.com/inward/record.uri?eid=2-s2.0-78649327791&amp;doi=10.1007%2fs10956-010-9218-7&amp;partnerID=40&amp;md5=9419b0c6bd33e38fa1b1c73ceed37329</t>
  </si>
  <si>
    <t>Incaa Designs, 11140 Wing Point Drive N.E., Bainbridge Island, WA 98110, United States; Duke University, Durham, NC, United States</t>
  </si>
  <si>
    <t>Oviatt, S.L., Incaa Designs, 11140 Wing Point Drive N.E., Bainbridge Island, WA 98110, United States; Cohen, A.O., Duke University, Durham, NC, United States</t>
  </si>
  <si>
    <t>Oviatt, S. L.; Incaa Designs, 11140 Wing Point Drive N.E., Bainbridge Island, WA 98110, United States; email: oviatt@incaadesigns.org</t>
  </si>
  <si>
    <t>Towards a multi-criteria development distribution model: An analysis of existing task distribution approaches</t>
  </si>
  <si>
    <t>10.1109/ICGSE.2008.15</t>
  </si>
  <si>
    <t>6505467826;7102005186;6602660776;</t>
  </si>
  <si>
    <t>Distributing development tasks in the context of global software development bears both many risks and many opportunities. Nowadays, distributed development is often driven by only a few factors or even just a single factor such as workforce costs. Risks and other relevant factors such as workforce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 © 2008 IEEE.</t>
  </si>
  <si>
    <t>Lamersdorf A., Münch J., Rombach D.</t>
  </si>
  <si>
    <t>https://www.scopus.com/inward/record.uri?eid=2-s2.0-56349132875&amp;doi=10.1109%2fICGSE.2008.15&amp;partnerID=40&amp;md5=2682fb623e51af6794732671e0df0d5a</t>
  </si>
  <si>
    <t>University of Kaiserslautern; Fraunhofer IESE; University of Kaiserslautern, Fraunhofer IESE</t>
  </si>
  <si>
    <t>Lamersdorf, A., University of Kaiserslautern; Münch, J., Fraunhofer IESE; Rombach, D., University of Kaiserslautern, Fraunhofer IESE</t>
  </si>
  <si>
    <t>Towards a recommender engine for personalized visualizations</t>
  </si>
  <si>
    <t>10.1007/978-3-319-20267-9_14</t>
  </si>
  <si>
    <t>55787506700;24400384200;36190219700;14632237600;</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</si>
  <si>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 © Springer International Publishing Switzerland 2015.</t>
  </si>
  <si>
    <t>Mutlu B., Veas E., Trattner C., Sabol V.</t>
  </si>
  <si>
    <t>https://www.scopus.com/inward/record.uri?eid=2-s2.0-84937485454&amp;doi=10.1007%2f978-3-319-20267-9_14&amp;partnerID=40&amp;md5=69eaa0828ef044b7e280f42024ceb608</t>
  </si>
  <si>
    <t>Know-Center GmbH, Inffeldgasse 13, Graz, 8010, Austria</t>
  </si>
  <si>
    <t>Mutlu, B., Know-Center GmbH, Inffeldgasse 13, Graz, 8010, Austria; Veas, E., Know-Center GmbH, Inffeldgasse 13, Graz, 8010, Austria; Trattner, C., Know-Center GmbH, Inffeldgasse 13, Graz, 8010, Austria; Sabol, V., Know-Center GmbH, Inffeldgasse 13, Graz, 8010, Austria</t>
  </si>
  <si>
    <t>Mutlu, B.; Know-Center GmbH, Inffeldgasse 13, Austria</t>
  </si>
  <si>
    <t>Towards a reduction in architectural knowledge vaporization during agile global software development</t>
  </si>
  <si>
    <t>10.1016/j.infsof.2019.04.008</t>
  </si>
  <si>
    <t>57031868500;7201919645;56000822700;7003393897;35452740600;</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</si>
  <si>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 © 2019 Elsevier B.V.</t>
  </si>
  <si>
    <t>Borrego G., Morán A.L., Palacio R.R., Vizcaíno A., García F.O.</t>
  </si>
  <si>
    <t>https://www.scopus.com/inward/record.uri?eid=2-s2.0-85065016737&amp;doi=10.1016%2fj.infsof.2019.04.008&amp;partnerID=40&amp;md5=125b57c8830a2dfac4bda9befcd89899</t>
  </si>
  <si>
    <t>Universidad Autónoma de Baja California, Mexico; Instituto Tecnológico de Sonora, Mexico; Universidad Castilla-La Mancha, Spain</t>
  </si>
  <si>
    <t>Borrego, G., Universidad Autónoma de Baja California, Mexico; Morán, A.L., Universidad Autónoma de Baja California, Mexico; Palacio, R.R., Instituto Tecnológico de Sonora, Mexico; Vizcaíno, A., Universidad Castilla-La Mancha, Spain; García, F.O., Universidad Castilla-La Mancha, Spain</t>
  </si>
  <si>
    <t>Borrego, G.; Universidad Autónoma de Baja CaliforniaMexico; email: gilberto.borrego@uabc.edu.mx</t>
  </si>
  <si>
    <t>Towards an online emotional support agent: Identifying emotional support strategies via crowdsourcing</t>
  </si>
  <si>
    <t>57191375318;6603145749;</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</si>
  <si>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 © 2018 International Foundation for Autonomous Agents and Multiagent Systems (www.ifaamas.org). All rights reserved.</t>
  </si>
  <si>
    <t>Medeiros L., Bosse T.</t>
  </si>
  <si>
    <t>https://www.scopus.com/inward/record.uri?eid=2-s2.0-85054726668&amp;partnerID=40&amp;md5=9b6cfdb9c44cfb9187da787c7100cf73</t>
  </si>
  <si>
    <t>Vrije Universiteit Amsterdam, De Boelelaan 1081a, Amsterdam, 1081 HV, Netherlands</t>
  </si>
  <si>
    <t>Medeiros, L., Vrije Universiteit Amsterdam, De Boelelaan 1081a, Amsterdam, 1081 HV, Netherlands; Bosse, T., Vrije Universiteit Amsterdam, De Boelelaan 1081a, Amsterdam, 1081 HV, Netherlands</t>
  </si>
  <si>
    <t>Towards Comprehensible Explanations of Phenomena in Home Automation Systems</t>
  </si>
  <si>
    <t>10.1109/PERCOMW.2018.8480147</t>
  </si>
  <si>
    <t>37098237000;57189332857;7003440590;57204631184;54685183800;</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</si>
  <si>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 © 2018 IEEE.</t>
  </si>
  <si>
    <t>Wander M., Matkovic V., Weis T., Bischof M., Schwittmann L.</t>
  </si>
  <si>
    <t>2018 IEEE International Conference on Pervasive Computing and Communications Workshops, PerCom Workshops 2018</t>
  </si>
  <si>
    <t>https://www.scopus.com/inward/record.uri?eid=2-s2.0-85056456341&amp;doi=10.1109%2fPERCOMW.2018.8480147&amp;partnerID=40&amp;md5=6d917193eb8ade55e197a23ecf7c56ce</t>
  </si>
  <si>
    <t>University of Duisburg-Essen, Duisburg, Germany</t>
  </si>
  <si>
    <t>Wander, M., University of Duisburg-Essen, Duisburg, Germany; Matkovic, V., University of Duisburg-Essen, Duisburg, Germany; Weis, T., University of Duisburg-Essen, Duisburg, Germany; Bischof, M., University of Duisburg-Essen, Duisburg, Germany; Schwittmann, L., University of Duisburg-Essen, Duisburg, Germany</t>
  </si>
  <si>
    <t>Towards Personalized Image Captioning via Multimodal Memory Networks</t>
  </si>
  <si>
    <t>10.1109/TPAMI.2018.2824816</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</si>
  <si>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 © 1979-2012 IEEE.</t>
  </si>
  <si>
    <t>IEEE Transactions on Pattern Analysis and Machine Intelligence</t>
  </si>
  <si>
    <t>https://www.scopus.com/inward/record.uri?eid=2-s2.0-85045334233&amp;doi=10.1109%2fTPAMI.2018.2824816&amp;partnerID=40&amp;md5=86c999aef6d3f24e0b9bdb70145c8949</t>
  </si>
  <si>
    <t>Lunit Incorporation, Seoul, 135080, South Korea; Department of Computer Science and Engineering, Center of Superintelligence, Seoul National University, Seoul, 08826, South Korea</t>
  </si>
  <si>
    <t>Park, C.C., Lunit Incorporation, Seoul, 135080, South Korea; Kim, B., Department of Computer Science and Engineering, Center of Superintelligence, Seoul National University, Seoul, 08826, South Korea; Kim, G., Department of Computer Science and Engineering, Center of Superintelligence, Seoul National University, Seoul, 08826, South Korea</t>
  </si>
  <si>
    <t>Kim, G.; Department of Computer Science and Engineering, South Korea; email: gunhee@snu.ac.kr</t>
  </si>
  <si>
    <t>Trade union or trait d'union? Setting targets for general practitioners: A regional case study</t>
  </si>
  <si>
    <t>10.1002/hpm.2903</t>
  </si>
  <si>
    <t>57188999302;56993684500;8428788200;</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</si>
  <si>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 © 2019 John Wiley &amp; Sons, Ltd.</t>
  </si>
  <si>
    <t>Barsanti S., Vola F., Bonciani M.</t>
  </si>
  <si>
    <t>International Journal of Health Planning and Management</t>
  </si>
  <si>
    <t>https://www.scopus.com/inward/record.uri?eid=2-s2.0-85074849471&amp;doi=10.1002%2fhpm.2903&amp;partnerID=40&amp;md5=5240d873d8533e4174787dcd2043fdc1</t>
  </si>
  <si>
    <t>Institute of Management, Laboratorio Management e Sanità, Scuola Superiore Sant'Anna di Pisa, Pisa, Italy</t>
  </si>
  <si>
    <t>Barsanti, S., Institute of Management, Laboratorio Management e Sanità, Scuola Superiore Sant'Anna di Pisa, Pisa, Italy; Vola, F., Institute of Management, Laboratorio Management e Sanità, Scuola Superiore Sant'Anna di Pisa, Pisa, Italy; Bonciani, M., Institute of Management, Laboratorio Management e Sanità, Scuola Superiore Sant'Anna di Pisa, Pisa, Italy</t>
  </si>
  <si>
    <t>Barsanti, S.; Institute of Management, Italy; email: s.barsanti@santannapisa.it</t>
  </si>
  <si>
    <t>Transforming assessment of speech in children with cleft palate via online crowdsourcing</t>
  </si>
  <si>
    <t>10.1371/journal.pone.0227686</t>
  </si>
  <si>
    <t>57202950554;57202960321;57213191153;57213189656;57191662639;</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</si>
  <si>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 © 2020 Sescleifer et al. This is an open access article distributed under the terms of the Creative Commons Attribution License, which permits unrestricted use, distribution, and reproduction in any medium, provided the original author and source are credited.</t>
  </si>
  <si>
    <t>Sescleifer A.M., Francoisse C.A., Webber J.C., Rector J.D., Lin A.Y.</t>
  </si>
  <si>
    <t>https://www.scopus.com/inward/record.uri?eid=2-s2.0-85077678082&amp;doi=10.1371%2fjournal.pone.0227686&amp;partnerID=40&amp;md5=d6254e49fa2fa3f9c5facb93de1ec1d1</t>
  </si>
  <si>
    <t>Division of Plastic Surgery, Saint Louis University School of Medicine, Saint Louis, MO, United States; St. Louis Cleft-Craniofacial Center, Division of Pediatric Plastic Surgery, SSM Health Cardinal Glennon Children's Hospital at SLU, Saint Louis, MO, United States; Rector Consulting, San Francisco, CA, United States</t>
  </si>
  <si>
    <t>Sescleifer, A.M., Division of Plastic Surgery, Saint Louis University School of Medicine, Saint Louis, MO, United States; Francoisse, C.A., Division of Plastic Surgery, Saint Louis University School of Medicine, Saint Louis, MO, United States; Webber, J.C., St. Louis Cleft-Craniofacial Center, Division of Pediatric Plastic Surgery, SSM Health Cardinal Glennon Children's Hospital at SLU, Saint Louis, MO, United States; Rector, J.D., Rector Consulting, San Francisco, CA, United States; Lin, A.Y., Division of Plastic Surgery, Saint Louis University School of Medicine, Saint Louis, MO, United States, St. Louis Cleft-Craniofacial Center, Division of Pediatric Plastic Surgery, SSM Health Cardinal Glennon Children's Hospital at SLU, Saint Louis, MO, United States</t>
  </si>
  <si>
    <t>Triangular love–hate: management and control in creative crowdworking</t>
  </si>
  <si>
    <t>10.1111/ntwe.12080</t>
  </si>
  <si>
    <t>57193546384;6507315481;35192216600;57189849155;</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</si>
  <si>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 © 2017 John Wiley &amp; Sons Ltd</t>
  </si>
  <si>
    <t>Schörpf P., Flecker J., Schönauer A., Eichmann H.</t>
  </si>
  <si>
    <t>https://www.scopus.com/inward/record.uri?eid=2-s2.0-85014799561&amp;doi=10.1111%2fntwe.12080&amp;partnerID=40&amp;md5=95b242c7af2540cc6041f9cc31b8d587</t>
  </si>
  <si>
    <t>Schörpf, P.; Flecker, J.; Schönauer, A.; Eichmann, H.</t>
  </si>
  <si>
    <t>Triggers of HR outsourcing decisions - an empirical analysis of German firms</t>
  </si>
  <si>
    <t>10.1080/09585190902985228</t>
  </si>
  <si>
    <t>26031304800;35084995400;26634603700;26634411700;</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</si>
  <si>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buthave to be triggered. We analyze theoretically and empirically which triggers are relevant. In our definition, HR outsourcing includes a broad range of internal HR functions and the respective, externally procured personnel services (e.g., temporary agency work, payroll accounting, interim management, outplacement services, HR consulting, placement services and others). © 2009 Taylor &amp; Francis.</t>
  </si>
  <si>
    <t>Alewell D., Hauff S., Thommes K., Weiland K.</t>
  </si>
  <si>
    <t>https://www.scopus.com/inward/record.uri?eid=2-s2.0-70349751518&amp;doi=10.1080%2f09585190902985228&amp;partnerID=40&amp;md5=4d4d9dbcaed97ad5ec9cc7c0fbe5a6fd</t>
  </si>
  <si>
    <t>University of Hamburg, Hamburg, Germany; University of Jena, Jena, Germany</t>
  </si>
  <si>
    <t>Alewell, D., University of Hamburg, Hamburg, Germany; Hauff, S., University of Hamburg, Hamburg, Germany; Thommes, K., University of Jena, Jena, Germany; Weiland, K., University of Jena, Jena, Germany</t>
  </si>
  <si>
    <t>Alewell, D.; University of HamburgGermany; email: dorothea.alewell@wiso.uni-hamburg.de</t>
  </si>
  <si>
    <t>Tropical cyclone intensity estimation using multi-dimensional convolutional neural networks from geostationary satellite data</t>
  </si>
  <si>
    <t>10.3390/rs12010108</t>
  </si>
  <si>
    <t>57209571798;9036557400;55418553100;57190373951;57111518400;</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</si>
  <si>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 © 2019 by the authors.</t>
  </si>
  <si>
    <t>Lee J., Im J., Cha D.H., Park H., Sim S.</t>
  </si>
  <si>
    <t>Remote Sensing</t>
  </si>
  <si>
    <t>https://www.scopus.com/inward/record.uri?eid=2-s2.0-85081906306&amp;doi=10.3390%2frs12010108&amp;partnerID=40&amp;md5=76ba27bf667e6c249a58b5b06bc4bf7c</t>
  </si>
  <si>
    <t>School of Urban and Environmental Engineering in Ulsan National Institute of Science and Technology, Ulsan, 44919, South Korea; Institute of Industrial Science in the University of Tokyo, A building, 4 Chome-6-1 Komaba, Meguro City, Tokyo, 153-8505, Japan</t>
  </si>
  <si>
    <t>Lee, J., School of Urban and Environmental Engineering in Ulsan National Institute of Science and Technology, Ulsan, 44919, South Korea; Im, J., School of Urban and Environmental Engineering in Ulsan National Institute of Science and Technology, Ulsan, 44919, South Korea; Cha, D.H., School of Urban and Environmental Engineering in Ulsan National Institute of Science and Technology, Ulsan, 44919, South Korea; Park, H., Institute of Industrial Science in the University of Tokyo, A building, 4 Chome-6-1 Komaba, Meguro City, Tokyo, 153-8505, Japan; Sim, S., School of Urban and Environmental Engineering in Ulsan National Institute of Science and Technology, Ulsan, 44919, South Korea</t>
  </si>
  <si>
    <t>Im, J.; School of Urban and Environmental Engineering in Ulsan National Institute of Science and TechnologySouth Korea; email: ersgis@unist.ac.kr</t>
  </si>
  <si>
    <t>TruCentive: A game-theoretic incentive platform for trustworthy mobile crowdsourcing parking services</t>
  </si>
  <si>
    <t>10.1109/ITSC.2012.6338894</t>
  </si>
  <si>
    <t>8727599400;24773975100;10739214500;6508285312;55158432800;35318101200;</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</si>
  <si>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 © 2012 IEEE.</t>
  </si>
  <si>
    <t>Hoh B., Yan T., Ganesan D., Tracton K., Iwuchukwu T., Lee J.-S.</t>
  </si>
  <si>
    <t>IEEE Conference on Intelligent Transportation Systems, Proceedings, ITSC</t>
  </si>
  <si>
    <t>https://www.scopus.com/inward/record.uri?eid=2-s2.0-84871209282&amp;doi=10.1109%2fITSC.2012.6338894&amp;partnerID=40&amp;md5=0e8d0f3ef27ca5b576e31eb1be55587b</t>
  </si>
  <si>
    <t>Dept. of Computer Science, University of Massachusetts, Amherst, MA 01003, United States; Nokia Research Center, Palo Alto, CA 94304, United States</t>
  </si>
  <si>
    <t>Hoh, B., Nokia Research Center, Palo Alto, CA 94304, United States; Yan, T., Dept. of Computer Science, University of Massachusetts, Amherst, MA 01003, United States; Ganesan, D., Dept. of Computer Science, University of Massachusetts, Amherst, MA 01003, United States; Tracton, K., Nokia Research Center, Palo Alto, CA 94304, United States; Iwuchukwu, T., Nokia Research Center, Palo Alto, CA 94304, United States; Lee, J.-S., Nokia Research Center, Palo Alto, CA 94304, United States</t>
  </si>
  <si>
    <t>Hoh, B.; Nokia Research Center, Palo Alto, CA 94304, United States; email: baik.hoh@nokia.com</t>
  </si>
  <si>
    <t>Berg, L.; National Institute for Consumption Research (SIFO), Norway; email: liberg@oslomet.no</t>
  </si>
  <si>
    <t>Trusted strangers: Carework platforms’ cultural entrepreneurship in the on-demand economy</t>
  </si>
  <si>
    <t>10.1177/1461444818773727</t>
  </si>
  <si>
    <t>56525189600;57189221402;</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</si>
  <si>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 © The Author(s) 2018.</t>
  </si>
  <si>
    <t>Ticona J., Mateescu A.</t>
  </si>
  <si>
    <t>https://www.scopus.com/inward/record.uri?eid=2-s2.0-85047405937&amp;doi=10.1177%2f1461444818773727&amp;partnerID=40&amp;md5=b6a357641075d6b9d16fd6d91a9d980f</t>
  </si>
  <si>
    <t>Data &amp; Society Research Institute, United States</t>
  </si>
  <si>
    <t>Ticona, J., Data &amp; Society Research Institute, United States; Mateescu, A., Data &amp; Society Research Institute, United States</t>
  </si>
  <si>
    <t>Ticona, J.; Data &amp; Society Research InstituteUnited States; email: Julia@datasociety.net</t>
  </si>
  <si>
    <t>Tuning crowdsourced human computation</t>
  </si>
  <si>
    <t>10.1109/ICDE.2017.148</t>
  </si>
  <si>
    <t>57194615720;57194609486;57211759701;56442948300;35242128300;</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</si>
  <si>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 © 2017 IEEE.</t>
  </si>
  <si>
    <t>Cao C., Tu J., Liu Z., Chen L., Jagadish H.V.</t>
  </si>
  <si>
    <t>https://www.scopus.com/inward/record.uri?eid=2-s2.0-85021213839&amp;doi=10.1109%2fICDE.2017.148&amp;partnerID=40&amp;md5=c7e9af322ec4d607af1a45ebc23c56dd</t>
  </si>
  <si>
    <t>Hong Kong University of Science and Technology, Hong Kong; University of Michigan, Ann Arbor, MI, United States</t>
  </si>
  <si>
    <t>Cao, C., Hong Kong University of Science and Technology, Hong Kong; Tu, J., Hong Kong University of Science and Technology, Hong Kong; Liu, Z., Hong Kong University of Science and Technology, Hong Kong; Chen, L., Hong Kong University of Science and Technology, Hong Kong; Jagadish, H.V., University of Michigan, Ann Arbor, MI, United States</t>
  </si>
  <si>
    <t>Turking in a Global Labour Market</t>
  </si>
  <si>
    <t>10.1007/s10606-015-9241-6</t>
  </si>
  <si>
    <t>55957973300;56592902600;57209931428;37035791400;</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</si>
  <si>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 © 2016, Springer Science+Business Media Dordrecht.</t>
  </si>
  <si>
    <t>Martin D., O’Neill J., Gupta N., Hanrahan B.V.</t>
  </si>
  <si>
    <t>https://www.scopus.com/inward/record.uri?eid=2-s2.0-84954307977&amp;doi=10.1007%2fs10606-015-9241-6&amp;partnerID=40&amp;md5=51a1c4527aa7c85060a2ce0fcf50e1e6</t>
  </si>
  <si>
    <t>Xerox Research Centre Europe, Meylan, France; Microsoft India, Bangalore, India; Nottingham University, Nottingham, United Kingdom; Pennsylvania State University, University Park, PA, United States</t>
  </si>
  <si>
    <t>Martin, D., Xerox Research Centre Europe, Meylan, France; O’Neill, J., Microsoft India, Bangalore, India; Gupta, N., Nottingham University, Nottingham, United Kingdom; Hanrahan, B.V., Pennsylvania State University, University Park, PA, United States</t>
  </si>
  <si>
    <t>Martin, D.; Xerox Research Centre EuropeFrance; email: David.Martin@xrce.xerox.com</t>
  </si>
  <si>
    <t>Unboxing cluster heatmaps</t>
  </si>
  <si>
    <t>10.1186/s12859-016-1442-6</t>
  </si>
  <si>
    <t>26424631700;19639463900;22937810100;35235175500;</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</si>
  <si>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 © 2017 The Author(s).</t>
  </si>
  <si>
    <t>Engle S., Whalen S., Joshi A., Pollard K.S.</t>
  </si>
  <si>
    <t>BMC Bioinformatics</t>
  </si>
  <si>
    <t>https://www.scopus.com/inward/record.uri?eid=2-s2.0-85013813125&amp;doi=10.1186%2fs12859-016-1442-6&amp;partnerID=40&amp;md5=b1dae8a6e50719e825efdde134de7cc4</t>
  </si>
  <si>
    <t>University of San Francisco, San Francisco, CA  94117, United States; Gladstone Institutes, San Francisco, CA  94158, United States; University of California, Institute for Computational Health Sciences, Division of Biostatistics, Institute for Human Genetics, San Francisco, CA  94158, United States</t>
  </si>
  <si>
    <t>Engle, S., University of San Francisco, San Francisco, CA  94117, United States; Whalen, S., Gladstone Institutes, San Francisco, CA  94158, United States; Joshi, A., University of San Francisco, San Francisco, CA  94117, United States; Pollard, K.S., Gladstone Institutes, San Francisco, CA  94158, United States, University of California, Institute for Computational Health Sciences, Division of Biostatistics, Institute for Human Genetics, San Francisco, CA  94158, United States</t>
  </si>
  <si>
    <t>Engle, S.; University of San FranciscoUnited States; email: sjengle@usfca.edu</t>
  </si>
  <si>
    <t>Unconstrained face recognition: Establishing baseline human performance via crowdsourcing</t>
  </si>
  <si>
    <t>10.1109/BTAS.2014.6996296</t>
  </si>
  <si>
    <t>56022035300;56494585000;55505668200;36071504600;</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</si>
  <si>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 © 2014 IEEE.</t>
  </si>
  <si>
    <t>Best-Rowden L., Bisht S., Klontz J.C., Jain A.K.</t>
  </si>
  <si>
    <t>IJCB 2014 - 2014 IEEE/IAPR International Joint Conference on Biometrics</t>
  </si>
  <si>
    <t>https://www.scopus.com/inward/record.uri?eid=2-s2.0-84921746656&amp;doi=10.1109%2fBTAS.2014.6996296&amp;partnerID=40&amp;md5=ebe40055ef035606f3e9b65b9fc2510a</t>
  </si>
  <si>
    <t>Michigan State University, East Lansing, MI, United States; Cornell University, Ithaca, NY, United States; Noblis, Falls Church, VA, United States</t>
  </si>
  <si>
    <t>Best-Rowden, L., Michigan State University, East Lansing, MI, United States; Bisht, S., Cornell University, Ithaca, NY, United States; Klontz, J.C., Noblis, Falls Church, VA, United States; Jain, A.K., Michigan State University, East Lansing, MI, United States</t>
  </si>
  <si>
    <t>Best-Rowden, L.; Michigan State UniversityUnited States; email: bestrow1@cse.msu.edu</t>
  </si>
  <si>
    <t>Understanding public support for eugenic policies: Results from survey data</t>
  </si>
  <si>
    <t>10.1016/j.soscij.2019.01.003</t>
  </si>
  <si>
    <t>36919720500;</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</si>
  <si>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 © 2020 Western Social Science Association.</t>
  </si>
  <si>
    <t>Zigerell L.J.</t>
  </si>
  <si>
    <t>https://www.scopus.com/inward/record.uri?eid=2-s2.0-85061968869&amp;doi=10.1016%2fj.soscij.2019.01.003&amp;partnerID=40&amp;md5=a121b27c468d4fc94c6e3727cf501e3c</t>
  </si>
  <si>
    <t>Illinois State University, Schroeder Hall 401, Normal, IL  61790-4600, United States</t>
  </si>
  <si>
    <t>Zigerell, L.J., Illinois State University, Schroeder Hall 401, Normal, IL  61790-4600, United States</t>
  </si>
  <si>
    <t>Zigerell, L.J.; Illinois State University, Schroeder Hall 401, United States; email: ljzigerell@ilstu.edu</t>
  </si>
  <si>
    <t>Understanding the functions of teleconferences for coordinating global software development projects</t>
  </si>
  <si>
    <t>10.1111/j.1365-2575.2010.00364.x</t>
  </si>
  <si>
    <t>22837256400;</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</si>
  <si>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 © 2010 Blackwell Publishing Ltd.</t>
  </si>
  <si>
    <t>Wiredu G.O.</t>
  </si>
  <si>
    <t>https://www.scopus.com/inward/record.uri?eid=2-s2.0-79551495454&amp;doi=10.1111%2fj.1365-2575.2010.00364.x&amp;partnerID=40&amp;md5=038e570dd7cd35c170aee7457f4cd9a7</t>
  </si>
  <si>
    <t>School of Technology, Ghana Institute of Management and Public Administration, Greenhill, Accra, Ghana</t>
  </si>
  <si>
    <t>Wiredu, G.O., School of Technology, Ghana Institute of Management and Public Administration, Greenhill, Accra, Ghana</t>
  </si>
  <si>
    <t>Wiredu, G.O.; School of Technology, , Greenhill, Accra, Ghana; email: gwiredu@gimpa.edu.gh</t>
  </si>
  <si>
    <t>Understanding the Level of Trust in Twitter based on the three Psychological Facets - Predictability, Dependability and Faith</t>
  </si>
  <si>
    <t>10.1109/COMSNETS.2019.8711430</t>
  </si>
  <si>
    <t>57193602275;55628533537;</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</si>
  <si>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 © 2019 IEEE.</t>
  </si>
  <si>
    <t>Narayan A., Das A.</t>
  </si>
  <si>
    <t>2019 11th International Conference on Communication Systems and Networks, COMSNETS 2019</t>
  </si>
  <si>
    <t>https://www.scopus.com/inward/record.uri?eid=2-s2.0-85066465592&amp;doi=10.1109%2fCOMSNETS.2019.8711430&amp;partnerID=40&amp;md5=60447868e2ce16fd708cc7e8d4c7a828</t>
  </si>
  <si>
    <t>Indian Institute of Information Technology, Sri City, Sri City, Andhra Pradesh, India</t>
  </si>
  <si>
    <t>Narayan, A., Indian Institute of Information Technology, Sri City, Sri City, Andhra Pradesh, India; Das, A., Indian Institute of Information Technology, Sri City, Sri City, Andhra Pradesh, India</t>
  </si>
  <si>
    <t>Understanding the link between collaborative economy and sustainable behaviour: An empirical investigation</t>
  </si>
  <si>
    <t>10.1016/j.jclepro.2017.11.110</t>
  </si>
  <si>
    <t>56347417900;7004065406;36059867800;</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</si>
  <si>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 2017 Elsevier Ltd</t>
  </si>
  <si>
    <t>Toni M., Renzi M.F., Mattia G.</t>
  </si>
  <si>
    <t>https://www.scopus.com/inward/record.uri?eid=2-s2.0-85038832643&amp;doi=10.1016%2fj.jclepro.2017.11.110&amp;partnerID=40&amp;md5=2607ebde30b80c27aba666e75c890abb</t>
  </si>
  <si>
    <t>University of Roma Tre, Via Silvio D'Amico, 77, Rome, 00145, Italy</t>
  </si>
  <si>
    <t>Toni, M., University of Roma Tre, Via Silvio D'Amico, 77, Rome, 00145, Italy; Renzi, M.F., University of Roma Tre, Via Silvio D'Amico, 77, Rome, 00145, Italy; Mattia, G., University of Roma Tre, Via Silvio D'Amico, 77, Rome, 00145, Italy</t>
  </si>
  <si>
    <t>Toni, M.; University of Roma Tre, Via Silvio D'Amico, 77, Italy; email: martina.toni@uniroma3.it</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</si>
  <si>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</si>
  <si>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J.UCS.</t>
  </si>
  <si>
    <t>https://www.scopus.com/inward/record.uri?eid=2-s2.0-76049107422&amp;partnerID=40&amp;md5=74d43294e649c84a1c47f778b09467fe</t>
  </si>
  <si>
    <t>FernUniversität in Hagen, Department for Mathematics and Computer Science, Cooperative Systems, Germany; Delft University of Technology, Faculty of Technology, Policy, and Management, Systems Engineering Section, Netherlands</t>
  </si>
  <si>
    <t>Schümmer, T., FernUniversität in Hagen, Department for Mathematics and Computer Science, Cooperative Systems, Germany; Lukosch, S., Delft University of Technology, Faculty of Technology, Policy, and Management, Systems Engineering Section, Netherlands</t>
  </si>
  <si>
    <t>Schümmer, T.; FernUniversität in Hagen, Germany; email: till.schuemmer@fernuni-hagen.de</t>
  </si>
  <si>
    <t>Unfairness by Design? The Perceived Fairness of Digital Labor on Crowdworking Platforms</t>
  </si>
  <si>
    <t>10.1007/s10551-017-3607-2</t>
  </si>
  <si>
    <t>26431891300;55634225900;56202663800;</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</si>
  <si>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 © 2017, Springer Science+Business Media B.V.</t>
  </si>
  <si>
    <t>Fieseler C., Bucher E., Hoffmann C.P.</t>
  </si>
  <si>
    <t>Journal of Business Ethics</t>
  </si>
  <si>
    <t>https://www.scopus.com/inward/record.uri?eid=2-s2.0-85021137379&amp;doi=10.1007%2fs10551-017-3607-2&amp;partnerID=40&amp;md5=243722fe73c78b419195b30c8964799f</t>
  </si>
  <si>
    <t>Nordic Centre for Internet and Society, Norwegian Business School (BI), Nydalsveien 37, Oslo, 0442, Norway; Institute of Communication and Media Studies, University of Leipzig, Burgstrasse 21, Leipzig, 04109, Germany</t>
  </si>
  <si>
    <t>Fieseler, C., Nordic Centre for Internet and Society, Norwegian Business School (BI), Nydalsveien 37, Oslo, 0442, Norway; Bucher, E., Nordic Centre for Internet and Society, Norwegian Business School (BI), Nydalsveien 37, Oslo, 0442, Norway; Hoffmann, C.P., Institute of Communication and Media Studies, University of Leipzig, Burgstrasse 21, Leipzig, 04109, Germany</t>
  </si>
  <si>
    <t>Fieseler, C.; Nordic Centre for Internet and Society, Nydalsveien 37, Norway; email: christian.fieseler@bi.no</t>
  </si>
  <si>
    <t>Unhappy with well-being research in the temporary work context: mapping review and research agenda</t>
  </si>
  <si>
    <t>10.1080/09585192.2017.1384395</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</si>
  <si>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 © 2017 Informa UK Limited, trading as Taylor &amp; Francis Group.</t>
  </si>
  <si>
    <t>https://www.scopus.com/inward/record.uri?eid=2-s2.0-85031827479&amp;doi=10.1080%2f09585192.2017.1384395&amp;partnerID=40&amp;md5=a23719b42a93f8ad49dba5667fa41a71</t>
  </si>
  <si>
    <t>Department of Social Sciences, Economics, and Business Administration, Otto-Friedrich-University of Bamberg, Bamberg, Germany</t>
  </si>
  <si>
    <t>Imhof, S., Department of Social Sciences, Economics, and Business Administration, Otto-Friedrich-University of Bamberg, Bamberg, Germany; Andresen, M., Department of Social Sciences, Economics, and Business Administration, Otto-Friedrich-University of Bamberg, Bamberg, Germany</t>
  </si>
  <si>
    <t>Andresen, M.; Department of Social Sciences, Germany; email: Maike.Andresen@uni-bamberg.de</t>
  </si>
  <si>
    <t>Use or Consequences: Probing the cognitive difference between two measures of divergent thinking</t>
  </si>
  <si>
    <t>10.3389/fpsyg.2018.02327</t>
  </si>
  <si>
    <t>23481468700;55044203700;</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</si>
  <si>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 © 2018 Hass and Beaty.</t>
  </si>
  <si>
    <t>Hass R.W., Beaty R.E.</t>
  </si>
  <si>
    <t>https://www.scopus.com/inward/record.uri?eid=2-s2.0-85057327064&amp;doi=10.3389%2ffpsyg.2018.02327&amp;partnerID=40&amp;md5=0bdfea5feaa242acb51540aa6637a4cf</t>
  </si>
  <si>
    <t>College of Humanities and Sciences, Thomas Jefferson University-East Falls, Philadelphia, PA, United States; Department of Psychology, Pennsylvania State University, University Park, PA, United States</t>
  </si>
  <si>
    <t>Hass, R.W., College of Humanities and Sciences, Thomas Jefferson University-East Falls, Philadelphia, PA, United States; Beaty, R.E., Department of Psychology, Pennsylvania State University, University Park, PA, United States</t>
  </si>
  <si>
    <t>Hass, R.W.; College of Humanities and Sciences, United States; email: richard.hass@jefferson.edu</t>
  </si>
  <si>
    <t>User effort minimization through adaptive diversification</t>
  </si>
  <si>
    <t>10.1145/2623330.2623610</t>
  </si>
  <si>
    <t>57213529678;26666009300;6507537461;6603952545;</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</si>
  <si>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 © 2014 ACM.</t>
  </si>
  <si>
    <t>Hasan M., Kashyap A., Hristidis V., Tsotras V.</t>
  </si>
  <si>
    <t>https://www.scopus.com/inward/record.uri?eid=2-s2.0-84907025334&amp;doi=10.1145%2f2623330.2623610&amp;partnerID=40&amp;md5=f45adaf31002c39fdaf754f50239e451</t>
  </si>
  <si>
    <t>Computer Science and Engineering, UC Riverside, Riverside, CA, United States</t>
  </si>
  <si>
    <t>Hasan, M., Computer Science and Engineering, UC Riverside, Riverside, CA, United States; Kashyap, A., Computer Science and Engineering, UC Riverside, Riverside, CA, United States; Hristidis, V., Computer Science and Engineering, UC Riverside, Riverside, CA, United States; Tsotras, V., Computer Science and Engineering, UC Riverside, Riverside, CA, United States</t>
  </si>
  <si>
    <t>Using crowdsourcing for TREC relevance assessment</t>
  </si>
  <si>
    <t>10.1016/j.ipm.2012.01.004</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</si>
  <si>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 2011 Elsevier Ltd. All rights reserved..</t>
  </si>
  <si>
    <t>Information Processing and Management</t>
  </si>
  <si>
    <t>https://www.scopus.com/inward/record.uri?eid=2-s2.0-84865695467&amp;doi=10.1016%2fj.ipm.2012.01.004&amp;partnerID=40&amp;md5=8c8697710dd6243df589532bdd239c9e</t>
  </si>
  <si>
    <t>Microsoft Corp., 1065 La Avenida, Mountain View, CA 94043, United States; Dept. of Maths and Computer Science, University of Udine, Via delle Scienze, 206, 33100 Udine, Italy</t>
  </si>
  <si>
    <t>Alonso, O., Microsoft Corp., 1065 La Avenida, Mountain View, CA 94043, United States; Mizzaro, S., Dept. of Maths and Computer Science, University of Udine, Via delle Scienze, 206, 33100 Udine, Italy</t>
  </si>
  <si>
    <t>Mizzaro, S.; Dept. of Maths and Computer Science, Via delle Scienze, 206, 33100 Udine, Italy; email: mizzaro@uniud.it</t>
  </si>
  <si>
    <t>Using emotional noise to uncloud audio-visual emotion perceptual evaluation</t>
  </si>
  <si>
    <t>10.1109/ICME.2013.6607537</t>
  </si>
  <si>
    <t>18837246900;57500274200;11539478500;</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</si>
  <si>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 © 2013 IEEE.</t>
  </si>
  <si>
    <t>Provost E.M., Zhu I., Narayanan S.</t>
  </si>
  <si>
    <t>https://www.scopus.com/inward/record.uri?eid=2-s2.0-84885577453&amp;doi=10.1109%2fICME.2013.6607537&amp;partnerID=40&amp;md5=3be31c5b4918944f1565e1ddbfcc2d33</t>
  </si>
  <si>
    <t>Electrical Engineering and Computer Science, University of Michigan, Ann Arbor, MI, United States; Electrical Engineering, University of Southern California, Los Angeles, CA, United States</t>
  </si>
  <si>
    <t>Provost, E.M., Electrical Engineering and Computer Science, University of Michigan, Ann Arbor, MI, United States; Zhu, I., Electrical Engineering and Computer Science, University of Michigan, Ann Arbor, MI, United States; Narayanan, S., Electrical Engineering, University of Southern California, Los Angeles, CA, United States</t>
  </si>
  <si>
    <t>Electrical Engineering and Computer Science, , Ann Arbor, MI, United States</t>
  </si>
  <si>
    <t>Using simulation games to teach global software engineering courses</t>
  </si>
  <si>
    <t>10.1109/FIE.2015.7344110</t>
  </si>
  <si>
    <t>55847415000;</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</si>
  <si>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 © 2015 IEEE.</t>
  </si>
  <si>
    <t>Zeid A.</t>
  </si>
  <si>
    <t>https://www.scopus.com/inward/record.uri?eid=2-s2.0-84960459768&amp;doi=10.1109%2fFIE.2015.7344110&amp;partnerID=40&amp;md5=8c05383776ea4b57521163d873215e67</t>
  </si>
  <si>
    <t>Department of Computer Science and Information Systems, American University of Kuwait, Kuwait</t>
  </si>
  <si>
    <t>Zeid, A., Department of Computer Science and Information Systems, American University of Kuwait, Kuwait</t>
  </si>
  <si>
    <t>Zeid, A.; Department of Computer Science and Information Systems, Kuwait; email: azeid@auk.edu.kw</t>
  </si>
  <si>
    <t>Using Stakeholder Theory to examine drivers' Stake in Uber</t>
  </si>
  <si>
    <t>10.1145/3173574.3173657</t>
  </si>
  <si>
    <t>57202047153;57189048073;57190254083;37035791400;</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</si>
  <si>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 © 2018 ACM.</t>
  </si>
  <si>
    <t>Ma N.F., Yuan C.W., Ghafurian M., Hanrahan B.V.</t>
  </si>
  <si>
    <t>https://www.scopus.com/inward/record.uri?eid=2-s2.0-85046978387&amp;doi=10.1145%2f3173574.3173657&amp;partnerID=40&amp;md5=470de0686253dd25e5f1d77134b412ea</t>
  </si>
  <si>
    <t>Pennsylvania State University, United States; Fu Jen University, Taiwan</t>
  </si>
  <si>
    <t>Ma, N.F., Pennsylvania State University, United States; Yuan, C.W., Fu Jen University, Taiwan; Ghafurian, M., Pennsylvania State University, United States; Hanrahan, B.V., Pennsylvania State University, United States</t>
  </si>
  <si>
    <t>Using street imagery and crowdsourcing internet marketplaces to measure motorcycle helmet use in Bangkok, Thailand</t>
  </si>
  <si>
    <t>10.1136/injuryprev-2018-043061</t>
  </si>
  <si>
    <t>24466995900;57207458525;55703474700;7101784214;</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</si>
  <si>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 © Author(s) (or their employer(s)) 2020. No commercial re-use. See rights and permissions. Published by BMJ.</t>
  </si>
  <si>
    <t>Merali H.S., Lin L.-Y., Li Q., Bhalla K.</t>
  </si>
  <si>
    <t>https://www.scopus.com/inward/record.uri?eid=2-s2.0-85062512812&amp;doi=10.1136%2finjuryprev-2018-043061&amp;partnerID=40&amp;md5=26e73d7908728ed7486a226c43f66c94</t>
  </si>
  <si>
    <t>Division of Pediatric Emergency Medicine, McMaster Children's Hospital, Hamilton, ON  L8S 4K1, Canada; Department of Computer Science, Johns Hopkins University, Baltimore, MD, United States; Department of International Health, Johns Hopkins Bloomberg School of Public Health, Baltimore, MD, United States; Department of Public Health Sciences, University of Chicago, Chicago, IL, United States</t>
  </si>
  <si>
    <t>Merali, H.S., Division of Pediatric Emergency Medicine, McMaster Children's Hospital, Hamilton, ON  L8S 4K1, Canada; Lin, L.-Y., Department of Computer Science, Johns Hopkins University, Baltimore, MD, United States; Li, Q., Department of International Health, Johns Hopkins Bloomberg School of Public Health, Baltimore, MD, United States; Bhalla, K., Department of Public Health Sciences, University of Chicago, Chicago, IL, United States</t>
  </si>
  <si>
    <t>Merali, H.S.; Division of Pediatric Emergency Medicine, Canada; email: meralih@mcmaster.ca</t>
  </si>
  <si>
    <t>Utilizing Five Factor Model facets to conceptualize counterproductive, unethical, and organizational citizenship workplace behaviors</t>
  </si>
  <si>
    <t>10.1016/j.paid.2018.06.056</t>
  </si>
  <si>
    <t>56180162100;55769052200;54908207700;57191344456;57676357200;6504308155;</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</si>
  <si>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 © 2018 Elsevier Ltd</t>
  </si>
  <si>
    <t>Helle A.C., DeShong H.L., Lengel G.J., Meyer N.A., Butler J., Mullins-Sweatt S.N.</t>
  </si>
  <si>
    <t>https://www.scopus.com/inward/record.uri?eid=2-s2.0-85049724829&amp;doi=10.1016%2fj.paid.2018.06.056&amp;partnerID=40&amp;md5=f1eadd7ec57e89103850eefce0b781d7</t>
  </si>
  <si>
    <t>Oklahoma State University, Department of Psychology, 116 North Murray Hall, Stillwater, OK  74078, United States; Permanent address: Mississippi State University, Department of Psychology, P.O. Box 6161, Mississippi State, MS  39762, United States; Permanant address: Drake University, Department of Psychology and Neuroscience, 318 Olin Hall, 2507 University Avenue, Des Moines, IA  50311, United States</t>
  </si>
  <si>
    <t>Helle, A.C., Oklahoma State University, Department of Psychology, 116 North Murray Hall, Stillwater, OK  74078, United States; DeShong, H.L., Oklahoma State University, Department of Psychology, 116 North Murray Hall, Stillwater, OK  74078, United States, Permanent address: Mississippi State University, Department of Psychology, P.O. Box 6161, Mississippi State, MS  39762, United States; Lengel, G.J., Oklahoma State University, Department of Psychology, 116 North Murray Hall, Stillwater, OK  74078, United States, Permanant address: Drake University, Department of Psychology and Neuroscience, 318 Olin Hall, 2507 University Avenue, Des Moines, IA  50311, United States; Meyer, N.A., Oklahoma State University, Department of Psychology, 116 North Murray Hall, Stillwater, OK  74078, United States; Butler, J., Oklahoma State University, Department of Psychology, 116 North Murray Hall, Stillwater, OK  74078, United States; Mullins-Sweatt, S.N., Oklahoma State University, Department of Psychology, 116 North Murray Hall, Stillwater, OK  74078, United States</t>
  </si>
  <si>
    <t>Mullins-Sweatt, S.N.; Oklahoma State University, 116 North Murray Hall, United States; email: stephanie.sweatt@okstate.edu</t>
  </si>
  <si>
    <t>Validation of a Novel Delay Discounting of Text Messaging Questionnaire</t>
  </si>
  <si>
    <t>10.1007/s40732-016-0167-2</t>
  </si>
  <si>
    <t>14627885100;57127177700;7004200283;55189634600;57519711600;</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</si>
  <si>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 © 2016, Association for Behavior Analysis International.</t>
  </si>
  <si>
    <t>Reed D.D., Becirevic A., Atchley P., Kaplan B.A., Liese B.S.</t>
  </si>
  <si>
    <t>https://www.scopus.com/inward/record.uri?eid=2-s2.0-84964194299&amp;doi=10.1007%2fs40732-016-0167-2&amp;partnerID=40&amp;md5=59ae96230bd91c237bfbedec075a4ad1</t>
  </si>
  <si>
    <t>4048 Dole Human Development Center, University of Kansas, 1000 Sunnyside Avenue, Lawrence, KS  66045, United States</t>
  </si>
  <si>
    <t>Reed, D.D., 4048 Dole Human Development Center, University of Kansas, 1000 Sunnyside Avenue, Lawrence, KS  66045, United States; Becirevic, A., 4048 Dole Human Development Center, University of Kansas, 1000 Sunnyside Avenue, Lawrence, KS  66045, United States; Atchley, P., 4048 Dole Human Development Center, University of Kansas, 1000 Sunnyside Avenue, Lawrence, KS  66045, United States; Kaplan, B.A., 4048 Dole Human Development Center, University of Kansas, 1000 Sunnyside Avenue, Lawrence, KS  66045, United States; Liese, B.S., 4048 Dole Human Development Center, University of Kansas, 1000 Sunnyside Avenue, Lawrence, KS  66045, United States</t>
  </si>
  <si>
    <t>Reed, D.D.; 4048 Dole Human Development Center, 1000 Sunnyside Avenue, United States; email: dreed@ku.edu</t>
  </si>
  <si>
    <t>Vendors' perspectives of coordination in the information technology offshore outsourcing industry: An exploratory study from the philippines</t>
  </si>
  <si>
    <t>10.1145/2818048.2819991</t>
  </si>
  <si>
    <t>57144309900;12238974100;6505859363;</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</si>
  <si>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 © 2016 ACM.</t>
  </si>
  <si>
    <t>Ambe A.M.H., Brereton M.F., Rittenbruch M.</t>
  </si>
  <si>
    <t>https://www.scopus.com/inward/record.uri?eid=2-s2.0-84963585282&amp;doi=10.1145%2f2818048.2819991&amp;partnerID=40&amp;md5=0b6cef2e6a95b02e819feef18699ef65</t>
  </si>
  <si>
    <t>MSU-Iligan Institute of Technology, Iligan City, Philippines; Queensland University of Technology, Brisbane, Australia</t>
  </si>
  <si>
    <t>Ambe, A.M.H., MSU-Iligan Institute of Technology, Iligan City, Philippines; Brereton, M.F., Queensland University of Technology, Brisbane, Australia; Rittenbruch, M., Queensland University of Technology, Brisbane, Australia</t>
  </si>
  <si>
    <t>Vessel Ligation Fundamentals: A Comparison of Technical Evaluations by Crowdsourced Nonclinical Personnel and Surgical Faculty</t>
  </si>
  <si>
    <t>10.1016/j.jsurg.2017.09.030</t>
  </si>
  <si>
    <t>53864811300;57677530500;56190379400;6602546254;55605776335;35071978900;</t>
  </si>
  <si>
    <t>Background: Evaluation of fundamental surgical skills is invaluable to the training of medical students and junior residents. This study assessed the effectiveness of crowdsourcing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(α).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(α = 0.95) than the strength of correlation between any 2 individual expert evaluators (α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 2017 Association of Program Directors in Surgery</t>
  </si>
  <si>
    <t>Hu Y., Jiang B., Kim H., Schroen A.T., Smith P.W., Rasmussen S.K.</t>
  </si>
  <si>
    <t>https://www.scopus.com/inward/record.uri?eid=2-s2.0-85039073541&amp;doi=10.1016%2fj.jsurg.2017.09.030&amp;partnerID=40&amp;md5=347c93e4f5b1028da145a74ecf91926a</t>
  </si>
  <si>
    <t>Department of Surgery, University of Virginia School of Medicine, Charlottesville, Virginia, United States</t>
  </si>
  <si>
    <t>Hu, Y., Department of Surgery, University of Virginia School of Medicine, Charlottesville, Virginia, United States; Jiang, B., Department of Surgery, University of Virginia School of Medicine, Charlottesville, Virginia, United States; Kim, H., Department of Surgery, University of Virginia School of Medicine, Charlottesville, Virginia, United States; Schroen, A.T., Department of Surgery, University of Virginia School of Medicine, Charlottesville, Virginia, United States; Smith, P.W., Department of Surgery, University of Virginia School of Medicine, Charlottesville, Virginia, United States; Rasmussen, S.K., Department of Surgery, University of Virginia School of Medicine, Charlottesville, Virginia, United States</t>
  </si>
  <si>
    <t>Rasmussen, S.K.; Department of Surgery, PO Box 800709, United States; email: skr3f@virginia.edu</t>
  </si>
  <si>
    <t>Visualized Emotion Ontology: A model for representing visual cues of emotions</t>
  </si>
  <si>
    <t>10.1186/s12911-018-0634-6</t>
  </si>
  <si>
    <t>57201747053;55806425500;7403280493;55975296400;56800475700;8245410000;</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</si>
  <si>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 © 2018 The Author(s).</t>
  </si>
  <si>
    <t>Lin R., Amith M., Liang C., Duan R., Chen Y., Tao C.</t>
  </si>
  <si>
    <t>BMC Medical Informatics and Decision Making</t>
  </si>
  <si>
    <t>https://www.scopus.com/inward/record.uri?eid=2-s2.0-85050818948&amp;doi=10.1186%2fs12911-018-0634-6&amp;partnerID=40&amp;md5=1aa69b672c1ee727e9c265a53891a704</t>
  </si>
  <si>
    <t>Krieger School of Arts and Sciences, Johns Hopkins University, Baltimore, MD, United States; School of Biomedical Informatics, University of Texas, Health Science Center, Houston, TX, United States; Health Informatics and Information Management, Louisiana Tech University, Ruston, LA, United States; Perelman School of Medicine, University of Pennsylvania, Philadelphia, PA, United States</t>
  </si>
  <si>
    <t>Lin, R., Krieger School of Arts and Sciences, Johns Hopkins University, Baltimore, MD, United States; Amith, M., School of Biomedical Informatics, University of Texas, Health Science Center, Houston, TX, United States; Liang, C., Health Informatics and Information Management, Louisiana Tech University, Ruston, LA, United States; Duan, R., Perelman School of Medicine, University of Pennsylvania, Philadelphia, PA, United States; Chen, Y., Perelman School of Medicine, University of Pennsylvania, Philadelphia, PA, United States; Tao, C., School of Biomedical Informatics, University of Texas, Health Science Center, Houston, TX, United States</t>
  </si>
  <si>
    <t>Tao, C.; School of Biomedical Informatics, United States; email: cui.tao@uth.tmc.edu</t>
  </si>
  <si>
    <t>'Voice' and 'Choice' in modern working practices: Problems with the Taylor Review</t>
  </si>
  <si>
    <t>10.1093/indlaw/dwx028</t>
  </si>
  <si>
    <t>55928413300;14719002600;15078346800;</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</si>
  <si>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 © Industrial Law Society; All rights reserved.</t>
  </si>
  <si>
    <t>Bales K., Bogg A., Novitz T.</t>
  </si>
  <si>
    <t>https://www.scopus.com/inward/record.uri?eid=2-s2.0-85044372020&amp;doi=10.1093%2findlaw%2fdwx028&amp;partnerID=40&amp;md5=9551f2f59a84fb3cf58f846cfd4386e9</t>
  </si>
  <si>
    <t>Bales, K., University of Bristol, United Kingdom; Bogg, A., University of Bristol, United Kingdom; Novitz, T., University of Bristol, United Kingdom</t>
  </si>
  <si>
    <t>Vroom!: A search engine for sounds by vocal imitation queries</t>
  </si>
  <si>
    <t>10.1145/3343413.3377963</t>
  </si>
  <si>
    <t>57170952000;57215964634;57215972806;10242155400;24450312900;</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</si>
  <si>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 © 2020 ACM.</t>
  </si>
  <si>
    <t>Zhang Y., Hu J., Zhang Y., Pardo B., Duan Z.</t>
  </si>
  <si>
    <t>CHIIR 2020 - Proceedings of the 2020 Conference on Human Information Interaction and Retrieval</t>
  </si>
  <si>
    <t>https://www.scopus.com/inward/record.uri?eid=2-s2.0-85082451822&amp;doi=10.1145%2f3343413.3377963&amp;partnerID=40&amp;md5=6490f9678a3284e7572b24767b725a9e</t>
  </si>
  <si>
    <t>University of Rochester, Rochester, NY, United States; Georgia Institute of Technology, Atlanta, GA, United States; Northwestern University, Evanston, IL, United States</t>
  </si>
  <si>
    <t>Zhang, Y., University of Rochester, Rochester, NY, United States; Hu, J., University of Rochester, Rochester, NY, United States; Zhang, Y., Georgia Institute of Technology, Atlanta, GA, United States; Pardo, B., Northwestern University, Evanston, IL, United States; Duan, Z., University of Rochester, Rochester, NY, United States</t>
  </si>
  <si>
    <t>Zhang, Y.; University of RochesterUnited States; email: yichi.zhang@rochester.edu</t>
  </si>
  <si>
    <t>Wage slave or entrepreneur?: Contesting the dualism of legal worker identities</t>
  </si>
  <si>
    <t>10.15779/Z38M84X</t>
  </si>
  <si>
    <t>57191175873;</t>
  </si>
  <si>
    <t>Today, whether a worker is legally classified as an "employee" or an "independent contractor" determines whether he or she is entitled to employment and labor law protections. With the proliferation of the on-demand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 Copyright © 2016 Devon W. Carbado.</t>
  </si>
  <si>
    <t>Dubal V.B.</t>
  </si>
  <si>
    <t>California Law Review</t>
  </si>
  <si>
    <t>https://www.scopus.com/inward/record.uri?eid=2-s2.0-85017260203&amp;doi=10.15779%2fZ38M84X&amp;partnerID=40&amp;md5=3c7a26b49129b42c9d7eedfe0bf80efe</t>
  </si>
  <si>
    <t>Department of Law, University of California, Hastings College of the Law (UC Hastings), United States</t>
  </si>
  <si>
    <t>Dubal, V.B., Department of Law, University of California, Hastings College of the Law (UC Hastings), United States</t>
  </si>
  <si>
    <t>Dubal, V.B.; Department of Law, United States</t>
  </si>
  <si>
    <t>What if the rival drives a porsche? Luxury car spending as a costly signal in male intrasexual competition</t>
  </si>
  <si>
    <t>10.1177/1474704916678217</t>
  </si>
  <si>
    <t>56902553700;37107975100;55660346600;57192948207;</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</si>
  <si>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 © The Author(s) 2016.</t>
  </si>
  <si>
    <t>Hennighausen C., Hudders L., Lange B.P., Fink H.</t>
  </si>
  <si>
    <t>https://www.scopus.com/inward/record.uri?eid=2-s2.0-85009349900&amp;doi=10.1177%2f1474704916678217&amp;partnerID=40&amp;md5=8bc711635f7e7d9281bd904f248f1b11</t>
  </si>
  <si>
    <t>Department of Media Psychology, University of Wuerzburg, Wuerzburg, Germany; Department of Communication Studies, Ghent University, Ghent, Belgium</t>
  </si>
  <si>
    <t>Hennighausen, C., Department of Media Psychology, University of Wuerzburg, Wuerzburg, Germany; Hudders, L., Department of Communication Studies, Ghent University, Ghent, Belgium; Lange, B.P., Department of Media Psychology, University of Wuerzburg, Wuerzburg, Germany; Fink, H., Department of Media Psychology, University of Wuerzburg, Wuerzburg, Germany</t>
  </si>
  <si>
    <t>Hennighausen, C.; Department of Media Psychology, Oswald-Kuelpe-Weg 82, Campus Hubland Nord, Germany; email: christine.hennighausen@gmail.com</t>
  </si>
  <si>
    <t>When Should a Brand Cut Ties With a Scandalized Endorser?</t>
  </si>
  <si>
    <t>10.1177/2167479519826054</t>
  </si>
  <si>
    <t>57191963241;57197459012;14631369800;7202188406;</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</si>
  <si>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 © The Author(s) 2019.</t>
  </si>
  <si>
    <t>Sato S., Arai A., Tsuji Y., Kay M.</t>
  </si>
  <si>
    <t>https://www.scopus.com/inward/record.uri?eid=2-s2.0-85061186350&amp;doi=10.1177%2f2167479519826054&amp;partnerID=40&amp;md5=4f9185d224474b68592eaeec8072b027</t>
  </si>
  <si>
    <t>Department of Marketing, Feliciano School of Business, Montclair State University, Montclair, NJ, United States; Department of Management, Tokyo University of Science, Tokyo, Japan; Department of Global Business, College of Business, Rikkyo University, Tokyo, Japan</t>
  </si>
  <si>
    <t>Sato, S., Department of Marketing, Feliciano School of Business, Montclair State University, Montclair, NJ, United States; Arai, A., Department of Management, Tokyo University of Science, Tokyo, Japan; Tsuji, Y., Department of Global Business, College of Business, Rikkyo University, Tokyo, Japan; Kay, M., Department of Marketing, Feliciano School of Business, Montclair State University, Montclair, NJ, United States</t>
  </si>
  <si>
    <t>Sato, S.; Department of Marketing, United States; email: satoshintaro@aoni.waseda.jp</t>
  </si>
  <si>
    <t>When temporary agency work is not so temporary</t>
  </si>
  <si>
    <t>10.1177/0143831X18805931</t>
  </si>
  <si>
    <t>6507178503;37361664500;</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</si>
  <si>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 © The Author(s) 2018.</t>
  </si>
  <si>
    <t>Chambel M.J., Sobral F.</t>
  </si>
  <si>
    <t>https://www.scopus.com/inward/record.uri?eid=2-s2.0-85059019777&amp;doi=10.1177%2f0143831X18805931&amp;partnerID=40&amp;md5=81583d28439efe3d32bea84639072afc</t>
  </si>
  <si>
    <t>Faculdade de Psicologia, Universidade de Lisboa, CicPsi, Portugal; Universidade Católica Portuguesa, CEDH, Porto, Portugal</t>
  </si>
  <si>
    <t>Chambel, M.J., Faculdade de Psicologia, Universidade de Lisboa, CicPsi, Portugal; Sobral, F., Universidade Católica Portuguesa, CEDH, Porto, Portugal</t>
  </si>
  <si>
    <t>Why are ratings so high in the sharing economy? Evidence based on guest perspectives</t>
  </si>
  <si>
    <t>10.1080/13683500.2019.1602597</t>
  </si>
  <si>
    <t>26665255800;24280548000;</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</si>
  <si>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 © 2019, © 2019 Informa UK Limited, trading as Taylor &amp; Francis Group.</t>
  </si>
  <si>
    <t>Bulchand-Gidumal J., Melián-González S.</t>
  </si>
  <si>
    <t>https://www.scopus.com/inward/record.uri?eid=2-s2.0-85063959595&amp;doi=10.1080%2f13683500.2019.1602597&amp;partnerID=40&amp;md5=43c77a100f5a1197f4ea60606bdd6f3b</t>
  </si>
  <si>
    <t>TIDES Institute of Tourism and Sustainable Development, University of Las Palmas de Gran Canaria, Las Palmas, Spain</t>
  </si>
  <si>
    <t>Bulchand-Gidumal, J., TIDES Institute of Tourism and Sustainable Development, University of Las Palmas de Gran Canaria, Las Palmas, Spain; Melián-González, S., TIDES Institute of Tourism and Sustainable Development, University of Las Palmas de Gran Canaria, Las Palmas, Spain</t>
  </si>
  <si>
    <t>Bulchand-Gidumal, J.; TIDES Institute of Tourism and Sustainable Development, Spain; email: jacques.bulchand@ulpgc.es</t>
  </si>
  <si>
    <t>Why individuals participate in micro-task crowdsourcing work environment: Revealing crowdworkers’ perceptions</t>
  </si>
  <si>
    <t>10.17705/1jais.00441</t>
  </si>
  <si>
    <t>55879216100;7201961114;</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</si>
  <si>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 © 2016 by the Association for Information Systems.</t>
  </si>
  <si>
    <t>Deng X.N., Joshi K.D.</t>
  </si>
  <si>
    <t>Journal of the Association for Information Systems</t>
  </si>
  <si>
    <t>https://www.scopus.com/inward/record.uri?eid=2-s2.0-84994200783&amp;doi=10.17705%2f1jais.00441&amp;partnerID=40&amp;md5=0a61d96ea6d8622165c1a774edf11a66</t>
  </si>
  <si>
    <t>California State University, Dominguez Hills, United States; Washington State University, United States</t>
  </si>
  <si>
    <t>Deng, X.N., California State University, Dominguez Hills, United States; Joshi, K.D., Washington State University, United States</t>
  </si>
  <si>
    <t>Why the development outcome does not meet the product owners’ expectations?</t>
  </si>
  <si>
    <t>10.1007/978-3-319-18612-2_8</t>
  </si>
  <si>
    <t>38861954000;56020104900;18835430700;10739382800;</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</si>
  <si>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 © Springer International Publishing Switzerland 2015.</t>
  </si>
  <si>
    <t>Lehtinen T.O.A., Virtanen R., Heikkilä V.T., Itkonen J.</t>
  </si>
  <si>
    <t>https://www.scopus.com/inward/record.uri?eid=2-s2.0-84942814499&amp;doi=10.1007%2f978-3-319-18612-2_8&amp;partnerID=40&amp;md5=2f821cea4b8a6eebae3de8aa250cd9f8</t>
  </si>
  <si>
    <t>Department of Computer Science, Aalto University School of Science, P.O. BOX 15400, Aalto, Fl-00076, Finland</t>
  </si>
  <si>
    <t>Lehtinen, T.O.A., Department of Computer Science, Aalto University School of Science, P.O. BOX 15400, Aalto, Fl-00076, Finland; Virtanen, R., Department of Computer Science, Aalto University School of Science, P.O. BOX 15400, Aalto, Fl-00076, Finland; Heikkilä, V.T., Department of Computer Science, Aalto University School of Science, P.O. BOX 15400, Aalto, Fl-00076, Finland; Itkonen, J., Department of Computer Science, Aalto University School of Science, P.O. BOX 15400, Aalto, Fl-00076, Finland</t>
  </si>
  <si>
    <t>Lehtinen, T.O.A.; Department of Computer Science, Aalto University School of Science, P.O. BOX 15400, Finland</t>
  </si>
  <si>
    <t>Word embedding evaluation datasets and wikipedia title embedding for Chinese</t>
  </si>
  <si>
    <t>57201994865;55190820000;</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</si>
  <si>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 © LREC 2018 - 11th International Conference on Language Resources and Evaluation. All rights reserved.</t>
  </si>
  <si>
    <t>Chen C.-Y., Ma W.-Y.</t>
  </si>
  <si>
    <t>LREC 2018 - 11th International Conference on Language Resources and Evaluation</t>
  </si>
  <si>
    <t>https://www.scopus.com/inward/record.uri?eid=2-s2.0-85055439276&amp;partnerID=40&amp;md5=7f2354f4d36a39ce854c251a1c29c1c1</t>
  </si>
  <si>
    <t>Institute of Information Science, Academia Sinica, 128 Academia Road, Section 2, Nankang, Taipei, 115, Taiwan</t>
  </si>
  <si>
    <t>Chen, C.-Y., Institute of Information Science, Academia Sinica, 128 Academia Road, Section 2, Nankang, Taipei, 115, Taiwan; Ma, W.-Y., Institute of Information Science, Academia Sinica, 128 Academia Road, Section 2, Nankang, Taipei, 115, Taiwan</t>
  </si>
  <si>
    <t>Work datafication and digital work behavior analysis as a source of social good</t>
  </si>
  <si>
    <t>10.1109/CCNC46108.2020.9045185</t>
  </si>
  <si>
    <t>6701646762;6603431672;6603425981;55930485700;16069663700;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</si>
  <si>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 © 2020 IEEE.</t>
  </si>
  <si>
    <t>Bertolotti F., Fabbri T., Mandreoli F., Martoglia R., Scapolan A.C.</t>
  </si>
  <si>
    <t>2020 IEEE 17th Annual Consumer Communications and Networking Conference, CCNC 2020</t>
  </si>
  <si>
    <t>https://www.scopus.com/inward/record.uri?eid=2-s2.0-85085506273&amp;doi=10.1109%2fCCNC46108.2020.9045185&amp;partnerID=40&amp;md5=88f68f8ab85476b62a40979f1ea5507e</t>
  </si>
  <si>
    <t>Bertolotti, F., University of Modena and Reggio Emilia, Italy; Fabbri, T., University of Modena and Reggio Emilia, Italy; Mandreoli, F., University of Modena and Reggio Emilia, Italy; Martoglia, R., University of Modena and Reggio Emilia, Italy; Scapolan, A.C., University of Modena and Reggio Emilia, Italy</t>
  </si>
  <si>
    <t>Worker demographics and earnings on amazon mechanical turk: An exploratory analysis</t>
  </si>
  <si>
    <t>10.1145/3290607.3312970</t>
  </si>
  <si>
    <t>55498092800;57015531400;37035791400;23392090500;57194016939;52964500900;16238221500;</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</si>
  <si>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 © 2019 Copyright is held by the author/owner(s).</t>
  </si>
  <si>
    <t>Hara K., Milland K., Hanrahan B.V., Callison-Burch C., Adams A., Savage S., Bigham J.P.</t>
  </si>
  <si>
    <t>https://www.scopus.com/inward/record.uri?eid=2-s2.0-85067282460&amp;doi=10.1145%2f3290607.3312970&amp;partnerID=40&amp;md5=e34d0ae3eef41cc1f2f2d9ad70d04708</t>
  </si>
  <si>
    <t>Singapore Management University, Singapore; University of Toronto, Canada; Pennsylvania State University, United States; University of Pennsylvania, United States; University of Oxford, United Kingdom; West Virginia University, United States; Carnegie Mellon University, United States</t>
  </si>
  <si>
    <t>Hara, K., Singapore Management University, Singapore; Milland, K., University of Toronto, Canada; Hanrahan, B.V., Pennsylvania State University, United States; Callison-Burch, C., University of Pennsylvania, United States; Adams, A., University of Oxford, United Kingdom; Savage, S., West Virginia University, United States; Bigham, J.P., Carnegie Mellon University, United States</t>
  </si>
  <si>
    <t>Working together: critical care nurses experiences of temporary staffing within Swedish health care: A qualitative study</t>
  </si>
  <si>
    <t>10.1016/j.iccn.2016.08.010</t>
  </si>
  <si>
    <t>57197618049;36449851900;</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</si>
  <si>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 2016 Elsevier Ltd</t>
  </si>
  <si>
    <t>Berg Jansson A., Engström Å.</t>
  </si>
  <si>
    <t>Intensive and Critical Care Nursing</t>
  </si>
  <si>
    <t>https://www.scopus.com/inward/record.uri?eid=2-s2.0-85012297244&amp;doi=10.1016%2fj.iccn.2016.08.010&amp;partnerID=40&amp;md5=c8274e31ee9071293acfca497f0fa517</t>
  </si>
  <si>
    <t>Division of Industrial Work Environment, Department of Human Work Science, Luleå University of Technology, Sweden; Division of Nursing, Department of Health Science, Luleå University of Technology, Luleå, SE-971 87, Sweden</t>
  </si>
  <si>
    <t>Berg Jansson, A., Division of Industrial Work Environment, Department of Human Work Science, Luleå University of Technology, Sweden; Engström, Å., Division of Nursing, Department of Health Science, Luleå University of Technology, Luleå, SE-971 87, Sweden</t>
  </si>
  <si>
    <t>Engström, Å.; Division of Nursing, Sweden; email: asa.engstrom@ltu.se</t>
  </si>
  <si>
    <t>Working with machines: The impact of algorithmic and data-driven management on human workers</t>
  </si>
  <si>
    <t>10.1145/2702123.2702548</t>
  </si>
  <si>
    <t>35573951200;57015481700;57015549700;10046192800;</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</si>
  <si>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 © Copyright 2015 ACM.</t>
  </si>
  <si>
    <t>Lee M.K., Kusbit D., Metsky E., Dabbish L.</t>
  </si>
  <si>
    <t>https://www.scopus.com/inward/record.uri?eid=2-s2.0-84950985107&amp;doi=10.1145%2f2702123.2702548&amp;partnerID=40&amp;md5=bb02d79b0ba3bd552eb4c8fd6a9bcc60</t>
  </si>
  <si>
    <t>Human-Computer Interaction Institute, Carnegie Mellon University, United States; Heinz College, Carnegie Mellon University, United States</t>
  </si>
  <si>
    <t>Lee, M.K., Human-Computer Interaction Institute, Carnegie Mellon University, United States; Kusbit, D., Human-Computer Interaction Institute, Carnegie Mellon University, United States; Metsky, E., Human-Computer Interaction Institute, Carnegie Mellon University, United States; Dabbish, L., Human-Computer Interaction Institute, Carnegie Mellon University, United States, Heinz College, Carnegie Mellon University, United States</t>
  </si>
  <si>
    <t>Your uber is arriving: Managing on-demand workers through surge pricing, forecast communication, and worker incentives</t>
  </si>
  <si>
    <t>10.1287/mnsc.2018.3050</t>
  </si>
  <si>
    <t>57148267000;57209279366;</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</si>
  <si>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 © 2019 INFORMS.</t>
  </si>
  <si>
    <t>Guda H., Subramaniana U.</t>
  </si>
  <si>
    <t>https://www.scopus.com/inward/record.uri?eid=2-s2.0-85065775413&amp;doi=10.1287%2fmnsc.2018.3050&amp;partnerID=40&amp;md5=5d937d4ca433084fedeb2473bc43dd8a</t>
  </si>
  <si>
    <t>Naveen Jindal School of Management, University of Texas at Dallas, Richardson, TX  75080, United States</t>
  </si>
  <si>
    <t>Guda, H., Naveen Jindal School of Management, University of Texas at Dallas, Richardson, TX  75080, United States; Subramaniana, U., Naveen Jindal School of Management, University of Texas at Dallas, Richardson, TX  75080, United States</t>
  </si>
  <si>
    <t>A topology of groups: What GitHub can tell us about online collaboration</t>
  </si>
  <si>
    <t>10.1016/j.techfore.2020.120291</t>
  </si>
  <si>
    <t>57219121975;55451279500;36718694000;</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</si>
  <si>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 © 2020 The Authors</t>
  </si>
  <si>
    <t>Zöller N., Morgan J.H., Schröder T.</t>
  </si>
  <si>
    <t>Technological Forecasting and Social Change</t>
  </si>
  <si>
    <t>https://www.scopus.com/inward/record.uri?eid=2-s2.0-85091337765&amp;doi=10.1016%2fj.techfore.2020.120291&amp;partnerID=40&amp;md5=0f7ed77007d74f4b494d4dec4f79489c</t>
  </si>
  <si>
    <t>Institute for Urban Futures, Potsdam University of Applied Sciences, Germany; Department of Sociology, Duke University, United States</t>
  </si>
  <si>
    <t>Zöller, N., Institute for Urban Futures, Potsdam University of Applied Sciences, Germany; Morgan, J.H., Institute for Urban Futures, Potsdam University of Applied Sciences, Germany, Department of Sociology, Duke University, United States; Schröder, T., Institute for Urban Futures, Potsdam University of Applied Sciences, Germany</t>
  </si>
  <si>
    <t>Zöller, N.; Institute for Urban Futures, Germany; email: zoeller@fh-potsdam.de</t>
  </si>
  <si>
    <t>Can we trust online crowdworkers?: Comparing online and offline participants in a preference test of virtual agents</t>
  </si>
  <si>
    <t>10.1145/3383652.3423860</t>
  </si>
  <si>
    <t>57015381900;57204673011;56188105900;7004505316;</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</si>
  <si>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pools-in-lab, Prolific, and AMT-having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 © 2020 ACM.</t>
  </si>
  <si>
    <t>Jonell P., Kucherenko T., Torre I., Beskow J.</t>
  </si>
  <si>
    <t>Proceedings of the 20th ACM International Conference on Intelligent Virtual Agents, IVA 2020</t>
  </si>
  <si>
    <t>https://www.scopus.com/inward/record.uri?eid=2-s2.0-85096979963&amp;doi=10.1145%2f3383652.3423860&amp;partnerID=40&amp;md5=c285a0e5d0c41feaa6e618bdfe618d31</t>
  </si>
  <si>
    <t>Kth Royal Institute of Technology, Sweden</t>
  </si>
  <si>
    <t>Jonell, P., Kth Royal Institute of Technology, Sweden; Kucherenko, T., Kth Royal Institute of Technology, Sweden; Torre, I., Kth Royal Institute of Technology, Sweden; Beskow, J., Kth Royal Institute of Technology, Sweden</t>
  </si>
  <si>
    <t>Data analytics in tax research: Analyzing worker agreements and compensation data to distinguish between independent contractors and employees using irs factors</t>
  </si>
  <si>
    <t>10.2308/issues-18-061</t>
  </si>
  <si>
    <t>6508047569;57208149967;</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</si>
  <si>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 © 2020, American Accounting Association. All rights reserved.</t>
  </si>
  <si>
    <t>Borthick A.F., Smeal L.N.</t>
  </si>
  <si>
    <t>Issues in Accounting Education</t>
  </si>
  <si>
    <t>https://www.scopus.com/inward/record.uri?eid=2-s2.0-85091964273&amp;doi=10.2308%2fissues-18-061&amp;partnerID=40&amp;md5=0e272031a0c923f6c641a8613ad2cb10</t>
  </si>
  <si>
    <t>Georgia State University, Robinson College of Business, School of Accountancy, Atlanta, GA, United States</t>
  </si>
  <si>
    <t>Borthick, A.F., Georgia State University, Robinson College of Business, School of Accountancy, Atlanta, GA, United States; Smeal, L.N., Georgia State University, Robinson College of Business, School of Accountancy, Atlanta, GA, United States</t>
  </si>
  <si>
    <t>HRM 4.0 and New Managerial Competences Profile: The COMAU Case</t>
  </si>
  <si>
    <t>10.3389/fpsyg.2020.578251</t>
  </si>
  <si>
    <t>57220212233;56610125800;35103381000;</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</si>
  <si>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 © Copyright © 2020 Fregnan, Ivaldi and Scaratti.</t>
  </si>
  <si>
    <t>Fregnan E., Ivaldi S., Scaratti G.</t>
  </si>
  <si>
    <t>https://www.scopus.com/inward/record.uri?eid=2-s2.0-85097276712&amp;doi=10.3389%2ffpsyg.2020.578251&amp;partnerID=40&amp;md5=d6b53350741589fc720bef1325e09131</t>
  </si>
  <si>
    <t>Department of Psychology, Catholic University of the Sacred Heart, Milan, Italy; Comau S.p.A, Grugliasco, Italy; Department of Human and Social Sciences, University of Bergamo, Bergamo, Italy</t>
  </si>
  <si>
    <t>Fregnan, E., Department of Psychology, Catholic University of the Sacred Heart, Milan, Italy, Comau S.p.A, Grugliasco, Italy; Ivaldi, S., Department of Human and Social Sciences, University of Bergamo, Bergamo, Italy; Scaratti, G., Department of Psychology, Catholic University of the Sacred Heart, Milan, Italy</t>
  </si>
  <si>
    <t>Fregnan, E.; Department of Psychology, Italy; email: ezio.fregnan@unicatt.it</t>
  </si>
  <si>
    <t>Precarization via Digitalization? Work Arrangements in the On-Demand Platform Economy in Hungary and Slovakia</t>
  </si>
  <si>
    <t>10.3389/fsoc.2020.00003</t>
  </si>
  <si>
    <t>14822106400;35318352100;57211919277;</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</si>
  <si>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 © Copyright © 2020 Kahancová, Meszmann and Sedláková.</t>
  </si>
  <si>
    <t>Kahancová M., Meszmann T.T., Sedláková M.</t>
  </si>
  <si>
    <t>Frontiers in Sociology</t>
  </si>
  <si>
    <t>https://www.scopus.com/inward/record.uri?eid=2-s2.0-85092447475&amp;doi=10.3389%2ffsoc.2020.00003&amp;partnerID=40&amp;md5=0b641e89f7e95cb981eadad2bf945640</t>
  </si>
  <si>
    <t>Central European Labour Studies Institute, Bratislava, Slovakia</t>
  </si>
  <si>
    <t>Kahancová, M., Central European Labour Studies Institute, Bratislava, Slovakia; Meszmann, T.T., Central European Labour Studies Institute, Bratislava, Slovakia; Sedláková, M., Central European Labour Studies Institute, Bratislava, Slovakia</t>
  </si>
  <si>
    <t>Kahancová, M.; Central European Labour Studies InstituteSlovakia; email: marta.kahancova@celsi.sk</t>
  </si>
  <si>
    <t>já ok</t>
  </si>
  <si>
    <t>x</t>
  </si>
  <si>
    <t>57190939535;57213441821;57190941577;26633262900;</t>
  </si>
  <si>
    <t>The effects of technological supervision on gig workers: organizational control and motivation of Uber, taxi, and limousine drivers</t>
  </si>
  <si>
    <t>10.1080/09585192.2020.1867614</t>
  </si>
  <si>
    <t>36185774400;6602291198;7202665999;6603090826;</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</si>
  <si>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 © 2021 Informa UK Limited, trading as Taylor &amp; Francis Group.</t>
  </si>
  <si>
    <t>Norlander P., Jukic N., Varma A., Nestorov S.</t>
  </si>
  <si>
    <t>https://www.scopus.com/inward/record.uri?eid=2-s2.0-85099436290&amp;doi=10.1080%2f09585192.2020.1867614&amp;partnerID=40&amp;md5=56a2cebe7fd55664e9ed3dcfb015b545</t>
  </si>
  <si>
    <t>Quinlan School of Business, Loyola University Chicago, Chicago, IL, United States</t>
  </si>
  <si>
    <t>Norlander, P., Quinlan School of Business, Loyola University Chicago, Chicago, IL, United States; Jukic, N., Quinlan School of Business, Loyola University Chicago, Chicago, IL, United States; Varma, A., Quinlan School of Business, Loyola University Chicago, Chicago, IL, United States; Nestorov, S., Quinlan School of Business, Loyola University Chicago, Chicago, IL, United States</t>
  </si>
  <si>
    <t>Varma, A.; Quinlan School of Business, United States; email: pnorlander@luc.edu</t>
  </si>
  <si>
    <t>57216602809;53984257400;55887539400;56580449600;36088700700;</t>
  </si>
  <si>
    <t>Voice through exit: Changing working conditions by independent contractors’ participation</t>
  </si>
  <si>
    <t>10.1177/0143831X17738041</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</si>
  <si>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 © The Author(s) 2017.</t>
  </si>
  <si>
    <t>https://www.scopus.com/inward/record.uri?eid=2-s2.0-85097021557&amp;doi=10.1177%2f0143831X17738041&amp;partnerID=40&amp;md5=2f6755df189165c778d27f341736b157</t>
  </si>
  <si>
    <t>Ruhr-University Bochum, Germany; TU Dortmund University, Germany; Sociological Research Institute (SOFI, Göttingen, Germany</t>
  </si>
  <si>
    <t>Ruiner, C., Ruhr-University Bochum, Germany; Wilkesmann, M., TU Dortmund University, Germany; Apitzsch, B., Sociological Research Institute (SOFI, Göttingen, Germany</t>
  </si>
  <si>
    <t>Ruiner, C.; Ruhr-University BochumGermany; email: caroline.ruiner@rub.de</t>
  </si>
  <si>
    <t>56992105300;57194202577;57191171688;57220532454;56936179300;57188860666;57529524900;55961447900;57612326400;</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</si>
  <si>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 © 2013 IEEE.</t>
  </si>
  <si>
    <t>Khan R.A., Idris M.Y., Khan S.U., Ilyas M., Ali S., Ud Din A., Murtaza G., Khan A.W., Jan S.U.</t>
  </si>
  <si>
    <t>https://www.scopus.com/inward/record.uri?eid=2-s2.0-85075803438&amp;doi=10.1109%2fACCESS.2019.2924404&amp;partnerID=40&amp;md5=e231d7fffeeac141fdff55cd09e4c4e3</t>
  </si>
  <si>
    <t>Department of Computer Science and IT, Software Engineering Research Group, University of Malakand, Chakdara, Pakistan; School of Computing, Faculty of Engineering, Universiti Teknologi Malaysia, Johor Bahru, Malaysia; Beijing Key Laboratory of Petroleum Data Mining, China University of Petroleum, Beijing, China; Sheikh Zayed Islamic Centre, University of Peshawar, Peshawar, Pakistan; Department of Computer Science, Shaheed Benazir Bhutto University, Dir Upper, Pakistan; Department of Computer Science, University of Science and Technology Bannu, Bannu, Pakistan</t>
  </si>
  <si>
    <t>Khan, R.A., Department of Computer Science and IT, Software Engineering Research Group, University of Malakand, Chakdara, Pakistan; Idris, M.Y., School of Computing, Faculty of Engineering, Universiti Teknologi Malaysia, Johor Bahru, Malaysia; Khan, S.U., Department of Computer Science and IT, Software Engineering Research Group, University of Malakand, Chakdara, Pakistan; Ilyas, M., Department of Computer Science and IT, Software Engineering Research Group, University of Malakand, Chakdara, Pakistan; Ali, S., Beijing Key Laboratory of Petroleum Data Mining, China University of Petroleum, Beijing, China; Ud Din, A., Sheikh Zayed Islamic Centre, University of Peshawar, Peshawar, Pakistan; Murtaza, G., Department of Computer Science, Shaheed Benazir Bhutto University, Dir Upper, Pakistan; Khan, A.W., Department of Computer Science, University of Science and Technology Bannu, Bannu, Pakistan; Jan, S.U., Department of Computer Science and IT, Software Engineering Research Group, University of Malakand, Chakdara, Pakistan</t>
  </si>
  <si>
    <t>Identification of Cultural Influences on Requirements Engineering Activities</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</si>
  <si>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 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 © 2020 ACM.</t>
  </si>
  <si>
    <t>Proceedings - 2020 ACM/IEEE 42nd International Conference on Software Engineering: Companion, ICSE-Companion 2020</t>
  </si>
  <si>
    <t>https://www.scopus.com/inward/record.uri?eid=2-s2.0-85098557038&amp;doi=10.1145%2f3377812.3390804&amp;partnerID=40&amp;md5=4f41f65b6314aecfd601db6188a30650</t>
  </si>
  <si>
    <t>RMIT University, School of Science, Melbourne, Australia</t>
  </si>
  <si>
    <t>Alsanoosy, T., RMIT University, School of Science, Melbourne, Australia; Spichkova, M., RMIT University, School of Science, Melbourne, Australia; Harland, J., RMIT University, School of Science, Melbourne, Australia</t>
  </si>
  <si>
    <t>57221476029;55507524000;55961447900;57191171688;</t>
  </si>
  <si>
    <t>Recruitment in the gig economy: attraction and selection on digital platforms</t>
  </si>
  <si>
    <t>10.1080/09585192.2020.1867613</t>
  </si>
  <si>
    <t>57191821869;8643475500;26664889100;</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</si>
  <si>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 © 2021 Informa UK Limited, trading as Taylor &amp; Francis Group.</t>
  </si>
  <si>
    <t>Williams P., McDonald P., Mayes R.</t>
  </si>
  <si>
    <t>https://www.scopus.com/inward/record.uri?eid=2-s2.0-85099314141&amp;doi=10.1080%2f09585192.2020.1867613&amp;partnerID=40&amp;md5=834d6eb8545c26d20c49b9252ab50a56</t>
  </si>
  <si>
    <t>QUT Business School, Queensland University of Technology, Brisbane, Australia</t>
  </si>
  <si>
    <t>Williams, P., QUT Business School, Queensland University of Technology, Brisbane, Australia; McDonald, P., QUT Business School, Queensland University of Technology, Brisbane, Australia; Mayes, R., QUT Business School, Queensland University of Technology, Brisbane, Australia</t>
  </si>
  <si>
    <t>Williams, P.; School of Management, 2 George Street, Australia; email: p54.williams@qut.edu.au</t>
  </si>
  <si>
    <t>“Toxic friends”? The farther away, the less stressful: the impact of social distance to a dissociative group on consumer choices</t>
  </si>
  <si>
    <t>10.1108/EJM-11-2018-0818</t>
  </si>
  <si>
    <t>55766063600;55318781000;</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</si>
  <si>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 © 2020, Emerald Publishing Limited.</t>
  </si>
  <si>
    <t>Wen N., Guo W.</t>
  </si>
  <si>
    <t>https://www.scopus.com/inward/record.uri?eid=2-s2.0-85094632239&amp;doi=10.1108%2fEJM-11-2018-0818&amp;partnerID=40&amp;md5=1adc516ee8119728873bfd0193c5f1d1</t>
  </si>
  <si>
    <t>Department of Marketing, California State University Northridge, Los Angeles, CA, United States; Department of Marketing, Acadia University, Wolfville, Canada</t>
  </si>
  <si>
    <t>Wen, N., Department of Marketing, California State University Northridge, Los Angeles, CA, United States; Guo, W., Department of Marketing, Acadia University, Wolfville, Canada</t>
  </si>
  <si>
    <t>Wen, N.; Department of Marketing, United States; email: na.wen@csun.edu</t>
  </si>
  <si>
    <t>30,000 Minimum Wages: The Economic Effects of Collective Bargaining Extensions</t>
  </si>
  <si>
    <t>10.1111/bjir.12564</t>
  </si>
  <si>
    <t>18037738900;</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</si>
  <si>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 © 2020 John Wiley &amp; Sons Ltd.</t>
  </si>
  <si>
    <t>Martins P.S.</t>
  </si>
  <si>
    <t>https://www.scopus.com/inward/record.uri?eid=2-s2.0-85092011754&amp;doi=10.1111%2fbjir.12564&amp;partnerID=40&amp;md5=a56edece845b1933084e00c37bf1efef</t>
  </si>
  <si>
    <t>Queen Mary University of London, NovaSBE, IZA and GLO, United Kingdom</t>
  </si>
  <si>
    <t>Martins, P.S., Queen Mary University of London, NovaSBE, IZA and GLO, United Kingdom</t>
  </si>
  <si>
    <t>Martins, P.S.; Queen Mary University of London, United Kingdom</t>
  </si>
  <si>
    <t>A case study on performance assessment framework for Agile processes</t>
  </si>
  <si>
    <t>10.1504/IJBPM.2021.112126</t>
  </si>
  <si>
    <t>57221483983;37010337500;</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</si>
  <si>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 © 2021 Inderscience Enterprises Ltd.</t>
  </si>
  <si>
    <t>Pooley A., Chan J.H.</t>
  </si>
  <si>
    <t>International Journal of Business Performance Management</t>
  </si>
  <si>
    <t>https://www.scopus.com/inward/record.uri?eid=2-s2.0-85099241882&amp;doi=10.1504%2fIJBPM.2021.112126&amp;partnerID=40&amp;md5=54e7775734a8c027e5a4a1e9aab7f903</t>
  </si>
  <si>
    <t>Oslr, Ucl BaseKX, 103c Camley Street, King's Cross, London, N1C 4PF, United Kingdom; Faculty of Business, Old Royal Naval College, University of Greenwich, Greenwich, London, SE10 9LS, United Kingdom</t>
  </si>
  <si>
    <t>Pooley, A., Oslr, Ucl BaseKX, 103c Camley Street, King's Cross, London, N1C 4PF, United Kingdom; Chan, J.H., Faculty of Business, Old Royal Naval College, University of Greenwich, Greenwich, London, SE10 9LS, United Kingdom</t>
  </si>
  <si>
    <t>Chan, J.H.; Faculty of Business, United Kingdom; email: cj21@gre.ac.uk</t>
  </si>
  <si>
    <t>A Conversational Agent Framework with Multi-modal Personality Expression</t>
  </si>
  <si>
    <t>10.1145/3439795</t>
  </si>
  <si>
    <t>57221470249;35517853300;22834257200;</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</si>
  <si>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 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 © 2021 ACM.</t>
  </si>
  <si>
    <t>Sonlu S., Güdükbay U., Durupinar F.</t>
  </si>
  <si>
    <t>ACM Transactions on Graphics</t>
  </si>
  <si>
    <t>https://www.scopus.com/inward/record.uri?eid=2-s2.0-85099223537&amp;doi=10.1145%2f3439795&amp;partnerID=40&amp;md5=b052093094f95e8d9d74efcf93db4f40</t>
  </si>
  <si>
    <t>Department of Computer Engineering, Bilkent University, Bilkent, Ankara, 06800, Turkey; Department of Computer Science, University of Massachusetts, 100 Morrisey Boulevard, Boston, MA  02125, United States</t>
  </si>
  <si>
    <t>Sonlu, S., Department of Computer Engineering, Bilkent University, Bilkent, Ankara, 06800, Turkey; Güdükbay, U., Department of Computer Engineering, Bilkent University, Bilkent, Ankara, 06800, Turkey; Durupinar, F., Department of Computer Science, University of Massachusetts, 100 Morrisey Boulevard, Boston, MA  02125, United States</t>
  </si>
  <si>
    <t>A digital tool based on genetic algorithms and limit analysis for the seismic assessment of historic masonry buildings</t>
  </si>
  <si>
    <t>10.1016/j.prostr.2020.10.124</t>
  </si>
  <si>
    <t>57291731800;57189093421;36519903600;55258457900;7004615647;</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</si>
  <si>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 2020 The Authors. Published by Elsevier B.V.</t>
  </si>
  <si>
    <t>Turco C., Funari M.F., Spadea S., Ciantia M., Lourenço P.B.</t>
  </si>
  <si>
    <t>Procedia Structural Integrity</t>
  </si>
  <si>
    <t>https://www.scopus.com/inward/record.uri?eid=2-s2.0-85099709924&amp;doi=10.1016%2fj.prostr.2020.10.124&amp;partnerID=40&amp;md5=54a578ada0e152d4b757260d51cb4f62</t>
  </si>
  <si>
    <t>School of Science and Engineering, University of Dundee, Nethergate, Dundee, DD1 4HN, United Kingdom; ISISE, Institute of Science and Innovation forBio-Sustainability (IB-S), University of Minho, Guimarães, Portugal</t>
  </si>
  <si>
    <t>Turco, C., School of Science and Engineering, University of Dundee, Nethergate, Dundee, DD1 4HN, United Kingdom; Funari, M.F., ISISE, Institute of Science and Innovation forBio-Sustainability (IB-S), University of Minho, Guimarães, Portugal; Spadea, S., School of Science and Engineering, University of Dundee, Nethergate, Dundee, DD1 4HN, United Kingdom; Ciantia, M., School of Science and Engineering, University of Dundee, Nethergate, Dundee, DD1 4HN, United Kingdom; Lourenço, P.B., ISISE, Institute of Science and Innovation forBio-Sustainability (IB-S), University of Minho, Guimarães, Portugal</t>
  </si>
  <si>
    <t>Turco, C.; School of Science and Engineering, United Kingdom</t>
  </si>
  <si>
    <t>A protocol for chronic pain outcome measurement enhancement by linking PROMIS-29 scale to legacy measures and improving chronic pain stratification</t>
  </si>
  <si>
    <t>10.1186/s12891-020-03696-2</t>
  </si>
  <si>
    <t>7201563481;15043869200;57200070210;55408235700;57203072109;</t>
  </si>
  <si>
    <t>Background: 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 Methods: 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(PROMIS®-29) and legacy measures used for chronic pain such as the Roland-Morris Disability Questionnaire (RMDQ) and the Oswestry Disability Index (ODI). We will assess the best method of score linking and create crosswalk tables. 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 Aim 3 will evaluate the strengths and limitations of MTurk as a data collection platform for estimating chronic pain by comparing its data to other data sources. Discussion: 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 Trial registration: ClinicalTrials.gov: NCT04426812; June 10, 2020. © 2020 The Author(s).</t>
  </si>
  <si>
    <t>Herman P.M., Edelen M.O., Rodriguez A., Hilton L.G., Hays R.D.</t>
  </si>
  <si>
    <t>BMC Musculoskeletal Disorders</t>
  </si>
  <si>
    <t>https://www.scopus.com/inward/record.uri?eid=2-s2.0-85092448257&amp;doi=10.1186%2fs12891-020-03696-2&amp;partnerID=40&amp;md5=6673b389688212d38fa9042329c87c93</t>
  </si>
  <si>
    <t>Rand Corporation, Santa Monica, CA, United States; Rand Corporation, Boston, MA, United States; Government and Public Services, Deloitte Consulting, Llp, Los Angeles, CA, United States; Division of General Internal Medicine and Health Services Research, Ucla Department of Medicine, Los Angeles, CA, United States</t>
  </si>
  <si>
    <t>Herman, P.M., Rand Corporation, Santa Monica, CA, United States; Edelen, M.O., Rand Corporation, Boston, MA, United States; Rodriguez, A., Rand Corporation, Boston, MA, United States; Hilton, L.G., Government and Public Services, Deloitte Consulting, Llp, Los Angeles, CA, United States; Hays, R.D., Rand Corporation, Santa Monica, CA, United States, Division of General Internal Medicine and Health Services Research, Ucla Department of Medicine, Los Angeles, CA, United States</t>
  </si>
  <si>
    <t>Herman, P.M.; Rand CorporationUnited States; email: pherman@rand.org</t>
  </si>
  <si>
    <t>Advancing understanding of the classification of broad autism phenotype and attention-deficit/hyperactivity disorder symptom dimensions within the Hierarchical Taxonomy of Psychopathology</t>
  </si>
  <si>
    <t>10.1002/pmh.1498</t>
  </si>
  <si>
    <t>56394154500;57208243799;57190065200;55923453900;</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</si>
  <si>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 © 2020 John Wiley &amp; Sons, Ltd.</t>
  </si>
  <si>
    <t>Stanton K., DeLucia E.A., Brown M.F.D., McDonnell C.G.</t>
  </si>
  <si>
    <t>Personality and Mental Health</t>
  </si>
  <si>
    <t>https://www.scopus.com/inward/record.uri?eid=2-s2.0-85096755713&amp;doi=10.1002%2fpmh.1498&amp;partnerID=40&amp;md5=7a94ed750c4019f46655c31102f4b21a</t>
  </si>
  <si>
    <t>Department of Psychology, Virginia Polytechnic Institute and State University, Blacksburg, VA, United States; Department of Psychology, Western University, London, ON, Canada</t>
  </si>
  <si>
    <t>Stanton, K., Department of Psychology, Virginia Polytechnic Institute and State University, Blacksburg, VA, United States, Department of Psychology, Western University, London, ON, Canada; DeLucia, E.A., Department of Psychology, Virginia Polytechnic Institute and State University, Blacksburg, VA, United States; Brown, M.F.D., Department of Psychology, Western University, London, ON, Canada; McDonnell, C.G., Department of Psychology, Virginia Polytechnic Institute and State University, Blacksburg, VA, United States</t>
  </si>
  <si>
    <t>Stanton, K.; Department of Psychology, United States; email: kaseyjstanton@gmail.com</t>
  </si>
  <si>
    <t>Bidirectional long short-term memory for surgical skill classification of temporally segmented tasks</t>
  </si>
  <si>
    <t>10.1007/s11548-020-02269-x</t>
  </si>
  <si>
    <t>57216523485;55185037400;14319319500;7006132582;</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</si>
  <si>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 © 2020, CARS.</t>
  </si>
  <si>
    <t>Kelly J.D., Petersen A., Lendvay T.S., Kowalewski T.M.</t>
  </si>
  <si>
    <t>International Journal of Computer Assisted Radiology and Surgery</t>
  </si>
  <si>
    <t>https://www.scopus.com/inward/record.uri?eid=2-s2.0-85091768922&amp;doi=10.1007%2fs11548-020-02269-x&amp;partnerID=40&amp;md5=c14bf667e872a21a5dec5d91b89989af</t>
  </si>
  <si>
    <t>Department of Mechanical Engineering, University of Minnesota, Minneapolis, MN, United States; Division of Biostatistics, University of Minnesota, Minneapolis, MN, United States; Department of Urology, Seattle Children’s Hospital, Seattle, WA, United States</t>
  </si>
  <si>
    <t>Kelly, J.D., Department of Mechanical Engineering, University of Minnesota, Minneapolis, MN, United States; Petersen, A., Division of Biostatistics, University of Minnesota, Minneapolis, MN, United States; Lendvay, T.S., Department of Urology, Seattle Children’s Hospital, Seattle, WA, United States; Kowalewski, T.M., Department of Mechanical Engineering, University of Minnesota, Minneapolis, MN, United States</t>
  </si>
  <si>
    <t>Kelly, J.D.; Department of Mechanical Engineering, United States; email: kell1917@umn.edu</t>
  </si>
  <si>
    <t>DSM-5 Level 1 cross-cutting measure in an online sample: evaluating its latent dimensionality and utility detecting nonspecific psychological distress</t>
  </si>
  <si>
    <t>10.1016/j.psychres.2020.113529</t>
  </si>
  <si>
    <t>57192654870;57192014249;</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</si>
  <si>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(externalizing/serious mental illness and internalizing/affective) factors accounting for 67.3% and 73.7% of the variance, respectively. CFAs indicated good fit for both models, though statistical comparison of the models via χ2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 © 2020</t>
  </si>
  <si>
    <t>Lace J.W., Merz Z.C.</t>
  </si>
  <si>
    <t>https://www.scopus.com/inward/record.uri?eid=2-s2.0-85094577074&amp;doi=10.1016%2fj.psychres.2020.113529&amp;partnerID=40&amp;md5=7725fc40c50678908321c0b0969a057c</t>
  </si>
  <si>
    <t>Cleveland Clinic, Department of Neurology, Section of Neuropsychology, Cleveland, OH, United States; Moses H. Cone Memorial Hospital, LeBauer Department of Neurology, Greensboro, NC, United States</t>
  </si>
  <si>
    <t>Lace, J.W., Cleveland Clinic, Department of Neurology, Section of Neuropsychology, Cleveland, OH, United States; Merz, Z.C., Moses H. Cone Memorial Hospital, LeBauer Department of Neurology, Greensboro, NC, United States</t>
  </si>
  <si>
    <t>Lace, J.W.; Cleveland Clinic, United States; email: john.lace@slu.edu</t>
  </si>
  <si>
    <t>Effects of website interactivity on skin cancer-related intentions and user experience: Factorial randomized experiment</t>
  </si>
  <si>
    <t>10.2196/18299</t>
  </si>
  <si>
    <t>57199730339;54785361000;6602428312;14120496300;</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</si>
  <si>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 © 2021 Journal of Medical Internet Research. All rights reserved.</t>
  </si>
  <si>
    <t>Niu Z., Willoughby J.F., Coups E.J., Stapleton J.L.</t>
  </si>
  <si>
    <t>https://www.scopus.com/inward/record.uri?eid=2-s2.0-85099837558&amp;doi=10.2196%2f18299&amp;partnerID=40&amp;md5=7ca87c2acc86c74597cdc4314152b327</t>
  </si>
  <si>
    <t>Section of Behavioral Sciences, Division of Medical Oncology, Rutgers Institute of New Jersey, New Brunswick, NJ, United States; The Edward R Murrow College of Communication, Washington State University, Pullman, WA, United States; Medical Data Analytics, Parsippany, NJ, United States; Department of Health, Behavior and Society, College of Public Health, University of Kentucky, Lexington, KY, United States</t>
  </si>
  <si>
    <t>Niu, Z., Section of Behavioral Sciences, Division of Medical Oncology, Rutgers Institute of New Jersey, New Brunswick, NJ, United States; Willoughby, J.F., The Edward R Murrow College of Communication, Washington State University, Pullman, WA, United States; Coups, E.J., Medical Data Analytics, Parsippany, NJ, United States; Stapleton, J.L., Department of Health, Behavior and Society, College of Public Health, University of Kentucky, Lexington, KY, United States</t>
  </si>
  <si>
    <t>Niu, Z.; Section of Behavioral Sciences, 195 Little Albany Street, United States; email: niuzm321@gmail.com</t>
  </si>
  <si>
    <t>Empathy from private or public self-consciousness in socially responsible consumption</t>
  </si>
  <si>
    <t>10.1002/nvsm.1695</t>
  </si>
  <si>
    <t>21233851100;57219114847;</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</si>
  <si>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 © 2020 John Wiley &amp; Sons Ltd</t>
  </si>
  <si>
    <t>Luan C.-C., Chen T.-H.</t>
  </si>
  <si>
    <t>International Journal of Nonprofit and Voluntary Sector Marketing</t>
  </si>
  <si>
    <t>https://www.scopus.com/inward/record.uri?eid=2-s2.0-85091323242&amp;doi=10.1002%2fnvsm.1695&amp;partnerID=40&amp;md5=33d545779aee16e1f1d08cf16a074d2f</t>
  </si>
  <si>
    <t>Department of Management Science, National Chiao Tung University, Hsinchu City, Taiwan</t>
  </si>
  <si>
    <t>Luan, C.-C., Department of Management Science, National Chiao Tung University, Hsinchu City, Taiwan; Chen, T.-H., Department of Management Science, National Chiao Tung University, Hsinchu City, Taiwan</t>
  </si>
  <si>
    <t>Luan, C.-C.; Department of Management Science, Taiwan; email: cluan@nctu.edu.tw</t>
  </si>
  <si>
    <t>Evaluating the Effect of Timeline Shape on Visualization Task Performance</t>
  </si>
  <si>
    <t>10.1145/3313831.3376237</t>
  </si>
  <si>
    <t>57203821877;57189032228;57217108338;57211752985;57196008098;51663254900;12239551400;14057526900;25651423500;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</si>
  <si>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(n=192) in which we evaluate how timeline shape affects task completion time, correctness, and user preference. We tested 12 combinations of 4 shapes - - horizontal line, vertical line, circle, and spiral A- and 3 data types A-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https://osf.io/qr5yu/ © 2020 ACM.</t>
  </si>
  <si>
    <t>Di Bartolomeo S., Pandey A., Leventidis A., Saffo D., Syeda U.H., Carstensdottir E., Seif El-Nasr M., Borkin M.A., Dunne C.</t>
  </si>
  <si>
    <t>https://www.scopus.com/inward/record.uri?eid=2-s2.0-85091280783&amp;doi=10.1145%2f3313831.3376237&amp;partnerID=40&amp;md5=a6e19247ec578aca4e107387589c9572</t>
  </si>
  <si>
    <t>Northeastern University, Boston, MA, United States</t>
  </si>
  <si>
    <t>Di Bartolomeo, S., Northeastern University, Boston, MA, United States; Pandey, A., Northeastern University, Boston, MA, United States; Leventidis, A., Northeastern University, Boston, MA, United States; Saffo, D., Northeastern University, Boston, MA, United States; Syeda, U.H., Northeastern University, Boston, MA, United States; Carstensdottir, E., Northeastern University, Boston, MA, United States; Seif El-Nasr, M., Northeastern University, Boston, MA, United States; Borkin, M.A., Northeastern University, Boston, MA, United States; Dunne, C., Northeastern University, Boston, MA, United States</t>
  </si>
  <si>
    <t>Examining the Perceptions of People with Disabilities on the Use of Accessibility Standards in Web Interface Design</t>
  </si>
  <si>
    <t>10.1109/FIE44824.2020.9274056</t>
  </si>
  <si>
    <t>57214838090;57214442462;57214469146;8646349700;57219277886;</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</si>
  <si>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 © 2020 IEEE.</t>
  </si>
  <si>
    <t>Lin Cheoh J., Beigpourian B., Wei S., Ferguson D., Ohland M.</t>
  </si>
  <si>
    <t>https://www.scopus.com/inward/record.uri?eid=2-s2.0-85098571550&amp;doi=10.1109%2fFIE44824.2020.9274056&amp;partnerID=40&amp;md5=567f06ff10b57e76e5f1bff6a648d2e5</t>
  </si>
  <si>
    <t>Purdue University, Department of Computer Science, West Lafayette, United States</t>
  </si>
  <si>
    <t>Lin Cheoh, J., Purdue University, Department of Computer Science, West Lafayette, United States; Beigpourian, B., Purdue University, Department of Computer Science, West Lafayette, United States; Wei, S., Purdue University, Department of Computer Science, West Lafayette, United States; Ferguson, D., Purdue University, Department of Computer Science, West Lafayette, United States; Ohland, M., Purdue University, Department of Computer Science, West Lafayette, United States</t>
  </si>
  <si>
    <t>Exploring the Moderation of Meaning in Life in Barriers and Coping Efficacy Among Women</t>
  </si>
  <si>
    <t>10.1177/0894845318803193</t>
  </si>
  <si>
    <t>56717229900;55647896400;56302514800;</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</si>
  <si>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 © Curators of the University of Missouri 2018.</t>
  </si>
  <si>
    <t>Marks L.R., Tate K.A., Taylor J.M.</t>
  </si>
  <si>
    <t>https://www.scopus.com/inward/record.uri?eid=2-s2.0-85058953012&amp;doi=10.1177%2f0894845318803193&amp;partnerID=40&amp;md5=b87fa67c74750351d15d1954c3a15f36</t>
  </si>
  <si>
    <t>Department of Counseling, Educational Psychology, and Research, The University of Memphis, Memphis, TN, United States; The College at Brockport, State University of New York, Brockport, NY, United States; The University of Utah, Salt Lake City, UT, United States</t>
  </si>
  <si>
    <t>Marks, L.R., Department of Counseling, Educational Psychology, and Research, The University of Memphis, Memphis, TN, United States; Tate, K.A., The College at Brockport, State University of New York, Brockport, NY, United States; Taylor, J.M., The University of Utah, Salt Lake City, UT, United States</t>
  </si>
  <si>
    <t>Marks, L.R.; Department of Counseling, United States; email: lrmarks@memphis.edu</t>
  </si>
  <si>
    <t>Face Commands - User-Defined Facial Gestures for Smart Glasses</t>
  </si>
  <si>
    <t>10.1109/ISMAR50242.2020.00064</t>
  </si>
  <si>
    <t>57113271300;21743317500;55919094200;35305757100;9638451700;</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</si>
  <si>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(N=37). Based on the proposed gestures, we report usage scenarios and complexity, proposed associations between gestures/tasks, a user-defined gesture set, and insights from the participants. We also conducted a technical feasibility study (N=13)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F1 score of 0.911 using a convolutional neural network (CNN). We also report the results of user-independent training and a one-hour recording of the experimenter testing two of the gestures. © 2020 IEEE.</t>
  </si>
  <si>
    <t>Masai K., Kunze K., Sakamoto D., Sugiura Y., Sugimoto M.</t>
  </si>
  <si>
    <t>Proceedings - 2020 IEEE International Symposium on Mixed and Augmented Reality, ISMAR 2020</t>
  </si>
  <si>
    <t>https://www.scopus.com/inward/record.uri?eid=2-s2.0-85099311252&amp;doi=10.1109%2fISMAR50242.2020.00064&amp;partnerID=40&amp;md5=9910075905ca947bc996c3afe154633b</t>
  </si>
  <si>
    <t>Keio University, Japan; Keio Media Design, Japan</t>
  </si>
  <si>
    <t>Masai, K., Keio University, Japan; Kunze, K., Keio Media Design, Japan; Sakamoto, D., Keio University, Japan; Sugiura, Y., Keio University, Japan; Sugimoto, M., Keio University, Japan</t>
  </si>
  <si>
    <t>Geometry-Aware Generation of Adversarial Point Clouds</t>
  </si>
  <si>
    <t>10.1109/TPAMI.2020.3044712</t>
  </si>
  <si>
    <t>57219585934;57219545007;56949359800;57217604244;55266990400;</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</si>
  <si>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(GeoA3GeoA3). The results of GeoA3GeoA3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Geo+A3Geo+A3-IterNormPro, with Iterative Normal Projection (IterNorPro) that solves a new objective function Geo+A3Geo+A3,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 © 1979-2012 IEEE.</t>
  </si>
  <si>
    <t>Wen Y., Lin J., Chen K., Chen C.L.P., Jia K.</t>
  </si>
  <si>
    <t>https://www.scopus.com/inward/record.uri?eid=2-s2.0-85098750867&amp;doi=10.1109%2fTPAMI.2020.3044712&amp;partnerID=40&amp;md5=70d7291660540cef90ecf6c763a6bb5c</t>
  </si>
  <si>
    <t>Pazhou Lab, Guangzhou, 510335, China; Peng Cheng Laboratory, Shenzhen, 518005, China</t>
  </si>
  <si>
    <t>Wen, Y., Pazhou Lab, Guangzhou, 510335, China, Peng Cheng Laboratory, Shenzhen, 518005, China; Lin, J., Pazhou Lab, Guangzhou, 510335, China, Peng Cheng Laboratory, Shenzhen, 518005, China; Chen, K., Pazhou Lab, Guangzhou, 510335, China, Peng Cheng Laboratory, Shenzhen, 518005, China; Chen, C.L.P., Pazhou Lab, Guangzhou, 510335, China; Jia, K., Pazhou Lab, Guangzhou, 510335, China, Peng Cheng Laboratory, Shenzhen, 518005, China</t>
  </si>
  <si>
    <t>Jia, K.; Pazhou LabChina; email: kuijia@scut.edu.cn</t>
  </si>
  <si>
    <t>Gig Workers during the COVID-19 Crisis in France: Financial Precarity and Mental Well-Being</t>
  </si>
  <si>
    <t>10.1007/s11524-020-00480-4</t>
  </si>
  <si>
    <t>20733549400;56315869500;57195230635;56243457000;</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</si>
  <si>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 © 2020, The New York Academy of Medicine.</t>
  </si>
  <si>
    <t>Apouey B., Roulet A., Solal I., Stabile M.</t>
  </si>
  <si>
    <t>Journal of Urban Health</t>
  </si>
  <si>
    <t>https://www.scopus.com/inward/record.uri?eid=2-s2.0-85091376837&amp;doi=10.1007%2fs11524-020-00480-4&amp;partnerID=40&amp;md5=59f27a0584293263aa31af445b91d6e1</t>
  </si>
  <si>
    <t>Paris School of Economics-CNRS, Paris, France; INSEAD and CEPR, Fontainebleau, France; ESSEC Business School, Cergy, France</t>
  </si>
  <si>
    <t>Apouey, B., Paris School of Economics-CNRS, Paris, France; Roulet, A., INSEAD and CEPR, Fontainebleau, France; Solal, I., ESSEC Business School, Cergy, France; Stabile, M., INSEAD and CEPR, Fontainebleau, France</t>
  </si>
  <si>
    <t>Innovative tools for tourism and cultural tourism impact assessment</t>
  </si>
  <si>
    <t>10.3390/SU12187470</t>
  </si>
  <si>
    <t>24166708600;57219209787;24167251300;57189993131;</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</si>
  <si>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 © 2020 by the authors.</t>
  </si>
  <si>
    <t>Kalvet T., Olesk M., Tiits M., Raun J.</t>
  </si>
  <si>
    <t>https://www.scopus.com/inward/record.uri?eid=2-s2.0-85091707539&amp;doi=10.3390%2fSU12187470&amp;partnerID=40&amp;md5=a74f204e3eca1b9ab835c7774dc463a0</t>
  </si>
  <si>
    <t>Institute of Baltic Studies, Lai 30, Tartu, 51005, Estonia; Department of Business Administration, Tallinn University of Technology 5, Tallinn, 19086, Estonia; Department of Geography, Institute of Ecology and Earth Sciences, Faculty of Science and Technology, University of Tartu, Tartu, 51005, Estonia</t>
  </si>
  <si>
    <t>Kalvet, T., Institute of Baltic Studies, Lai 30, Tartu, 51005, Estonia, Department of Business Administration, Tallinn University of Technology 5, Tallinn, 19086, Estonia; Olesk, M., Institute of Baltic Studies, Lai 30, Tartu, 51005, Estonia; Tiits, M., Institute of Baltic Studies, Lai 30, Tartu, 51005, Estonia, Department of Business Administration, Tallinn University of Technology 5, Tallinn, 19086, Estonia; Raun, J., Department of Geography, Institute of Ecology and Earth Sciences, Faculty of Science and Technology, University of Tartu, Tartu, 51005, Estonia</t>
  </si>
  <si>
    <t>Kalvet, T.; Institute of Baltic Studies, Lai 30, Estonia; email: tarmo@ibs.ee</t>
  </si>
  <si>
    <t>It is what you have, not what you lose: Effects of perceived gains and losses on goal orientation across adulthood</t>
  </si>
  <si>
    <t>10.1093/geronb/gbz163</t>
  </si>
  <si>
    <t>56340077500;7102941726;</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</si>
  <si>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 © 2020 The Author(s) 2020. Published by Oxford University Press on behalf of The Gerontological Society of America.. All rights reserved.</t>
  </si>
  <si>
    <t>Gong X., Freund A.M.</t>
  </si>
  <si>
    <t>Journals of Gerontology - Series B Psychological Sciences and Social Sciences</t>
  </si>
  <si>
    <t>https://www.scopus.com/inward/record.uri?eid=2-s2.0-85096202740&amp;doi=10.1093%2fgeronb%2fgbz163&amp;partnerID=40&amp;md5=4a1f17b0b5f15a39c3b17ec0d13a1667</t>
  </si>
  <si>
    <t>Department of Psychology, University of Zurich, Switzerland; University Research Priority Program Dynamics of Healthy Aging, University of Zurich, Switzerland</t>
  </si>
  <si>
    <t>Gong, X., Department of Psychology, University of Zurich, Switzerland; Freund, A.M., Department of Psychology, University of Zurich, Switzerland, University Research Priority Program Dynamics of Healthy Aging, University of Zurich, Switzerland</t>
  </si>
  <si>
    <t>Freund, A.M.; Department of Psychology, Binzmuehlestrasse 14/11, Switzerland; email: freund@psychologie.uzh.ch</t>
  </si>
  <si>
    <t>Justice expectations in crowd and platform-mediated work</t>
  </si>
  <si>
    <t>10.1177/1035304620959750</t>
  </si>
  <si>
    <t>55212804500;57219149685;</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</si>
  <si>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 J88; J3. © The Author(s) 2020.</t>
  </si>
  <si>
    <t>Pfeiffer S., Kawalec S.</t>
  </si>
  <si>
    <t>https://www.scopus.com/inward/record.uri?eid=2-s2.0-85091430401&amp;doi=10.1177%2f1035304620959750&amp;partnerID=40&amp;md5=3a1030d89ef6137e98a439c150273404</t>
  </si>
  <si>
    <t>Friedrich-Alexander-Universität Erlangen-Nürnberg, Germany; Institut für Arbeitsmarkt- und Berufsforschung Nürnberg, Germany</t>
  </si>
  <si>
    <t>Pfeiffer, S., Friedrich-Alexander-Universität Erlangen-Nürnberg, Germany; Kawalec, S., Institut für Arbeitsmarkt- und Berufsforschung Nürnberg, Germany</t>
  </si>
  <si>
    <t>Pfeiffer, S.; Friedrich-Alexander-Universität Erlangen-NürnbergGermany; email: sabine.pfeiffer@fau.de</t>
  </si>
  <si>
    <t>Mathematical support for financing social innovations</t>
  </si>
  <si>
    <t>10.3390/math8122144</t>
  </si>
  <si>
    <t>24822113400;55522721900;57216970772;</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</si>
  <si>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 © 2020 by the authors. Licensee MDPI, Basel, Switzerland.</t>
  </si>
  <si>
    <t>Popov E., Veretennikova A., Safronova A.</t>
  </si>
  <si>
    <t>Mathematics</t>
  </si>
  <si>
    <t>https://www.scopus.com/inward/record.uri?eid=2-s2.0-85097296679&amp;doi=10.3390%2fmath8122144&amp;partnerID=40&amp;md5=6e7f23a2cbff1a9e723ba67756058f99</t>
  </si>
  <si>
    <t>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t>
  </si>
  <si>
    <t>Popov, E.,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Veretennikova, A.,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 Safronova, A., Institute of Economics, The Ural Branch of Russian Academy of Science, Yekaterinburg, 620014, Russian Federation</t>
  </si>
  <si>
    <t>Veretennikova, A.; Ural Institute of Management of the Russian Presidential Academy of National Economy and Public AdministrationRussian Federation; email: vay_uiec@mail.ru</t>
  </si>
  <si>
    <t>Motivations of collaborative obtainers and providers in Europe</t>
  </si>
  <si>
    <t>10.1080/0144929X.2020.1851770</t>
  </si>
  <si>
    <t>16240447500;55579010500;56816944900;</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</si>
  <si>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 © 2020 Informa UK Limited, trading as Taylor &amp; Francis Group.</t>
  </si>
  <si>
    <t>Torrent-Sellens J., Cugueró-Escofet N., Ertz M.</t>
  </si>
  <si>
    <t>Behaviour and Information Technology</t>
  </si>
  <si>
    <t>https://www.scopus.com/inward/record.uri?eid=2-s2.0-85096905744&amp;doi=10.1080%2f0144929X.2020.1851770&amp;partnerID=40&amp;md5=c419affd9ef4c8e9cb5e6b5ab1bf9e4b</t>
  </si>
  <si>
    <t>Faculty of Economics and Business, Open University of Catalonia, Barcelona, Spain; LaboNFC, Department of Economics and Administrative Sciences, University of Quebec in ChicoutimiQC, Canada</t>
  </si>
  <si>
    <t>Torrent-Sellens, J., Faculty of Economics and Business, Open University of Catalonia, Barcelona, Spain; Cugueró-Escofet, N., Faculty of Economics and Business, Open University of Catalonia, Barcelona, Spain; Ertz, M., LaboNFC, Department of Economics and Administrative Sciences, University of Quebec in ChicoutimiQC, Canada</t>
  </si>
  <si>
    <t>Ertz, M.; LaboNFC, Canada; email: Myriam_Ertz@uqac.ca</t>
  </si>
  <si>
    <t>Perceptions of provider’s epistemic authority in response to variant of uncertain significance-related recommendations</t>
  </si>
  <si>
    <t>10.1002/jgc4.1337</t>
  </si>
  <si>
    <t>55249938100;55251507300;6603689664;7006016885;7202288188;</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</si>
  <si>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 2 provider types). GCs were attributed higher EA than gastrointestinal oncologists (p = &lt;.001). Active recommendations (comprehensive, check back, wrong) were attributed lower EA (M = 3.67, SD = 0.79) compared to the inactive (stand by, disregard) (M = 3.89, SD = 0.67) (p-value = &lt;.001). The wrong recommendation was attributed lowest EA compared to the four correct recommendations (mean difference = −0.34, −0.45, −0.35, and −0.44, respectively; p =.002), which, when dropped from the analysis, showed no difference between the correct active and inactive recommendations (3.78 vs. 3.89, p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 © 2020 National Society of Genetic Counselors</t>
  </si>
  <si>
    <t>Makhnoon S., Mork M., Arun B., Volk R.J., Peterson S.K.</t>
  </si>
  <si>
    <t>https://www.scopus.com/inward/record.uri?eid=2-s2.0-85092141172&amp;doi=10.1002%2fjgc4.1337&amp;partnerID=40&amp;md5=caed3cffa78c166de63672121d1a1f3e</t>
  </si>
  <si>
    <t>Department of Behavioral Science, UT MD Anderson Cancer Center, Houston, TX, United States; Department of Clinical Cancer Genetics, UT MD Anderson Cancer Center, Houston, TX, United States; Department of Health Services Research, UT MD Anderson Cancer Center, Houston, TX, United States</t>
  </si>
  <si>
    <t>Makhnoon, S., Department of Behavioral Science, UT MD Anderson Cancer Center, Houston, TX, United States; Mork, M., Department of Clinical Cancer Genetics, UT MD Anderson Cancer Center, Houston, TX, United States; Arun, B., Department of Clinical Cancer Genetics, UT MD Anderson Cancer Center, Houston, TX, United States; Volk, R.J., Department of Health Services Research, UT MD Anderson Cancer Center, Houston, TX, United States; Peterson, S.K., Department of Behavioral Science, UT MD Anderson Cancer Center, Houston, TX, United States</t>
  </si>
  <si>
    <t>Makhnoon, S.; Department of Behavioral Science, United States; email: smakhnoon@mdanderson.org</t>
  </si>
  <si>
    <t>Platform work during the COVID-19 pandemic: a case study of Glovo couriers in Poland</t>
  </si>
  <si>
    <t>10.1080/14616696.2020.1826554</t>
  </si>
  <si>
    <t>14020310800;</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</si>
  <si>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 © 2020 European Sociological Association.</t>
  </si>
  <si>
    <t>Polkowska D.</t>
  </si>
  <si>
    <t>European Societies</t>
  </si>
  <si>
    <t>https://www.scopus.com/inward/record.uri?eid=2-s2.0-85092078402&amp;doi=10.1080%2f14616696.2020.1826554&amp;partnerID=40&amp;md5=7008dae93a3d99765050ca5b0e1ddc54</t>
  </si>
  <si>
    <t>Institute of Sociology, Maria Curie-Sklodowska University, Lublin, Poland</t>
  </si>
  <si>
    <t>Polkowska, D., Institute of Sociology, Maria Curie-Sklodowska University, Lublin, Poland</t>
  </si>
  <si>
    <t>Polkowska, D.; Institute of Sociology, Poland; email: dominika.polkowska@umcs.pl</t>
  </si>
  <si>
    <t>Predicting Indian consumers' purchase intention from Western apparel brands</t>
  </si>
  <si>
    <t>10.1108/JFMM-02-2020-0017</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</si>
  <si>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 © 2020, Emerald Publishing Limited.</t>
  </si>
  <si>
    <t>https://www.scopus.com/inward/record.uri?eid=2-s2.0-85092507780&amp;doi=10.1108%2fJFMM-02-2020-0017&amp;partnerID=40&amp;md5=f1f0ce68ee718e7000aba459e064d3b8</t>
  </si>
  <si>
    <t>Consumer and Design Sciences, Auburn University, Auburn, AL, United States</t>
  </si>
  <si>
    <t>Chakraborty, S., Consumer and Design Sciences, Auburn University, Auburn, AL, United States; Sadachar, A., Consumer and Design Sciences, Auburn University, Auburn, AL, United States</t>
  </si>
  <si>
    <t>Chakraborty, S.; Consumer and Design Sciences, United States; email: szc0140@auburn.edu</t>
  </si>
  <si>
    <t>Predictors of playing augmented reality mobile games while walking based on the theory of planned behavior: Web-based survey</t>
  </si>
  <si>
    <t>10.2196/mhealth.8470</t>
  </si>
  <si>
    <t>57193203187;36096086000;8729573300;</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</si>
  <si>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 © Hyeseung Elizabeth Koh, Jeeyun Oh, Michael Mackert.</t>
  </si>
  <si>
    <t>Koh H.E., Oh J., Mackert M.</t>
  </si>
  <si>
    <t>JMIR mHealth and uHealth</t>
  </si>
  <si>
    <t>https://www.scopus.com/inward/record.uri?eid=2-s2.0-85055289721&amp;doi=10.2196%2fmhealth.8470&amp;partnerID=40&amp;md5=8764b34eced3bbccf93444aeaf370999</t>
  </si>
  <si>
    <t>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</si>
  <si>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The Center for Health Communication, Moody College of Communication, The University of Texas at Austin, Austin, TX, United States, Stan Richards School of Advertising and Public Relations, Moody College of Communication, The University of Texas at Austin, Austin, TX, United States; Oh, J., The Center for Health Communication, Moody College of Communication, The University of Texas at Austin, Austin, TX, United States, Stan Richards School of Advertising and Public Relations, Moody College of Communication, The University of Texas at Austin, Austin, TX, United States; Mackert, M., 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</si>
  <si>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Stan Richards School of Advertising and Public Relations, 300 West Dean Keeton, A1200, BMC 4.338, United States; email: kohhye@utexas.edu</t>
  </si>
  <si>
    <t>Preliminary investigation of the association between COVID-19 and suicidal thoughts and behaviors in the U.S.</t>
  </si>
  <si>
    <t>10.1016/j.jpsychires.2020.12.037</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</si>
  <si>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 © 2020 Elsevier Ltd</t>
  </si>
  <si>
    <t>Journal of Psychiatric Research</t>
  </si>
  <si>
    <t>https://www.scopus.com/inward/record.uri?eid=2-s2.0-85098082020&amp;doi=10.1016%2fj.jpsychires.2020.12.037&amp;partnerID=40&amp;md5=d8864e0aa2952a280d77774668e92623</t>
  </si>
  <si>
    <t>University of Notre Dame, Department of Psychology, Notre Dame, IN, United States; Alpert Medical School of Brown University, Department of Psychiatry and Human Behavior, Providence, RI, United States</t>
  </si>
  <si>
    <t>Ammerman, B.A., University of Notre Dame, Department of Psychology, Notre Dame, IN, United States; Burke, T.A., Alpert Medical School of Brown University, Department of Psychiatry and Human Behavior, Providence, RI, United States; Jacobucci, R., University of Notre Dame, Department of Psychology, Notre Dame, IN, United States; McClure, K., University of Notre Dame, Department of Psychology, Notre Dame, IN, United States</t>
  </si>
  <si>
    <t>Ammerman, B.A.; University of Notre Dame, United States; email: bammerm1@nd.edu</t>
  </si>
  <si>
    <t>Role of situational method engineering to improve visual information systems in agile distributed environment</t>
  </si>
  <si>
    <t>10.1007/s11042-020-09896-1</t>
  </si>
  <si>
    <t>53984257400;35068957300;57219801825;57203224747;</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</si>
  <si>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 © 2020, Springer Science+Business Media, LLC, part of Springer Nature.</t>
  </si>
  <si>
    <t>Hafeez Y., Asghar S., Arif B., Ali S.</t>
  </si>
  <si>
    <t>https://www.scopus.com/inward/record.uri?eid=2-s2.0-85095585967&amp;doi=10.1007%2fs11042-020-09896-1&amp;partnerID=40&amp;md5=8016aea90b1c61612ba872b51ce28f41</t>
  </si>
  <si>
    <t>University Institute of Information Technology, PMAS Arid Agriculture University, Rawalpindi, Pakistan; Department of Computer Science, COMSATS University, Islamabad Campus, Islamabad, Pakistan</t>
  </si>
  <si>
    <t>Hafeez, Y., University Institute of Information Technology, PMAS Arid Agriculture University, Rawalpindi, Pakistan; Asghar, S., Department of Computer Science, COMSATS University, Islamabad Campus, Islamabad, Pakistan; Arif, B., University Institute of Information Technology, PMAS Arid Agriculture University, Rawalpindi, Pakistan; Ali, S., University Institute of Information Technology, PMAS Arid Agriculture University, Rawalpindi, Pakistan</t>
  </si>
  <si>
    <t>Ali, S.; University Institute of Information Technology, Pakistan; email: sadiaalief@gmail.com</t>
  </si>
  <si>
    <t>Satisfaction and word-of-mouth moderated by choice: a service industry perspective</t>
  </si>
  <si>
    <t>10.1108/JCM-08-2019-3369</t>
  </si>
  <si>
    <t>57197707847;57219002767;</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</si>
  <si>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 © 2020, Emerald Publishing Limited.</t>
  </si>
  <si>
    <t>Leon S., Choi H.</t>
  </si>
  <si>
    <t>Journal of Consumer Marketing</t>
  </si>
  <si>
    <t>https://www.scopus.com/inward/record.uri?eid=2-s2.0-85090941035&amp;doi=10.1108%2fJCM-08-2019-3369&amp;partnerID=40&amp;md5=dbe78805597503b372b0108c7df09908</t>
  </si>
  <si>
    <t>Department of Marketing and SCM, Appalachian State University, Boone, NC, United States; Department of CIS, Appalachian State University, Boone, NC, United States</t>
  </si>
  <si>
    <t>Leon, S., Department of Marketing and SCM, Appalachian State University, Boone, NC, United States; Choi, H., Department of CIS, Appalachian State University, Boone, NC, United States</t>
  </si>
  <si>
    <t>Leon, S.; Department of Marketing and SCM, United States; email: leonsm@appstate.edu</t>
  </si>
  <si>
    <t>The Effects of Perceived Neighborhood Immigrant Population Size on Preferences for Redistribution in New York City: A Pilot Study</t>
  </si>
  <si>
    <t>10.3389/fsoc.2019.00018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</si>
  <si>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 © Copyright © 2019 Steele and Perkins.</t>
  </si>
  <si>
    <t>https://www.scopus.com/inward/record.uri?eid=2-s2.0-85087276170&amp;doi=10.3389%2ffsoc.2019.00018&amp;partnerID=40&amp;md5=7652f0b90b94642551683ed78be6ae52</t>
  </si>
  <si>
    <t>John Jay College of Criminal Justice, City University of New York, New York, NY, United States; SUNY Purchase, New York, , NY, United States</t>
  </si>
  <si>
    <t>Steele, L.G., John Jay College of Criminal Justice, City University of New York, New York, NY, United States; Perkins, K.M., SUNY Purchase, New York, , NY, United States</t>
  </si>
  <si>
    <t>Steele, L.G.; John Jay College of Criminal Justice, United States; email: lsteele@alumni.princeton.edu</t>
  </si>
  <si>
    <t>The Geriatric Feelings of Burdensomeness Scale (GFBS)</t>
  </si>
  <si>
    <t>10.1080/07317115.2020.1838982</t>
  </si>
  <si>
    <t>57192593047;56973383900;56861967300;57194173420;7006250133;</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</si>
  <si>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 © 2020 Taylor &amp; Francis Group, LLC.</t>
  </si>
  <si>
    <t>Lutz J., Katz E., Gallegos J., Spalding R., Edelstein B.</t>
  </si>
  <si>
    <t>Clinical Gerontologist</t>
  </si>
  <si>
    <t>https://www.scopus.com/inward/record.uri?eid=2-s2.0-85096849229&amp;doi=10.1080%2f07317115.2020.1838982&amp;partnerID=40&amp;md5=515f635a6ff11627f7833dfc98beaa40</t>
  </si>
  <si>
    <t>Center for the Study and Prevention of Suicide, Department of Psychiatry, University of Rochester Medical Center, Rochester, NY, United States; Department of Psychology, West Virginia University, Morgantown, WV, United States</t>
  </si>
  <si>
    <t>Lutz, J., Center for the Study and Prevention of Suicide, Department of Psychiatry, University of Rochester Medical Center, Rochester, NY, United States; Katz, E., Department of Psychology, West Virginia University, Morgantown, WV, United States; Gallegos, J., Department of Psychology, West Virginia University, Morgantown, WV, United States; Spalding, R., Department of Psychology, West Virginia University, Morgantown, WV, United States; Edelstein, B., Department of Psychology, West Virginia University, Morgantown, WV, United States</t>
  </si>
  <si>
    <t>Lutz, J.; Center for the Study and Prevention of Suicide, United States; email: Julie_Lutz@urmc.rochester.edu</t>
  </si>
  <si>
    <t>The impact of a cascade testing video on recipients’ knowledge, cognitive message processing, and affective reactions: A formative evaluation</t>
  </si>
  <si>
    <t>10.1002/jgc4.1345</t>
  </si>
  <si>
    <t>57220058109;8416105400;37097385600;35184786000;24578136400;13404374600;</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</si>
  <si>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 © 2020 National Society of Genetic Counselors</t>
  </si>
  <si>
    <t>Aeilts A.M., Carpenter K.M., Hovick S.R., Byrne L., Shoben A.B., Senter L.</t>
  </si>
  <si>
    <t>https://www.scopus.com/inward/record.uri?eid=2-s2.0-85096695152&amp;doi=10.1002%2fjgc4.1345&amp;partnerID=40&amp;md5=1eb0b4b5ed2933e4966e814b65fe03af</t>
  </si>
  <si>
    <t>Division of Human Genetics, Department of Internal Medicine, The Ohio State University, Columbus, OH, United States; Comprehensive Cancer Center, The Ohio State University, Columbus, OH, United States; College of Medicine, The Ohio State University, Columbus, OH, United States; School of Communication, The Ohio State University, Columbus, OH, United States; Division of Biostatistics, College of Public Health, The Ohio State University, Columbus, OH, United States</t>
  </si>
  <si>
    <t>Aeilts, A.M., Division of Human Genetics, Department of Internal Medicine, The Ohio State University, Columbus, OH, United States, Comprehensive Cancer Center, The Ohio State University, Columbus, OH, United States; Carpenter, K.M., College of Medicine, The Ohio State University, Columbus, OH, United States; Hovick, S.R., School of Communication, The Ohio State University, Columbus, OH, United States; Byrne, L., Division of Human Genetics, Department of Internal Medicine, The Ohio State University, Columbus, OH, United States, Comprehensive Cancer Center, The Ohio State University, Columbus, OH, United States; Shoben, A.B., Division of Biostatistics, College of Public Health, The Ohio State University, Columbus, OH, United States; Senter, L., Division of Human Genetics, Department of Internal Medicine, The Ohio State University, Columbus, OH, United States, Comprehensive Cancer Center, The Ohio State University, Columbus, OH, United States</t>
  </si>
  <si>
    <t>Aeilts, A.M.; Division of Human Genetics, United States; email: amber.aeilts@osumc.edu</t>
  </si>
  <si>
    <t>The Outsourcing of Online Dating: Investigating the Lived Experiences of Online Dating Assistants Working in the Contemporary Gig Economy</t>
  </si>
  <si>
    <t>10.1177/2056305120957290</t>
  </si>
  <si>
    <t>57200439888;23390858200;7202389095;57219232028;</t>
  </si>
  <si>
    <t>A small cottage industry emerging within the larger gig economy is online dating assistant (ODA)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 © The Author(s) 2020.</t>
  </si>
  <si>
    <t>Rochadiat A.M.P., Tong S.T., Hancock J.T., Stuart-Ulin C.R.</t>
  </si>
  <si>
    <t>Social Media and Society</t>
  </si>
  <si>
    <t>https://www.scopus.com/inward/record.uri?eid=2-s2.0-85091762046&amp;doi=10.1177%2f2056305120957290&amp;partnerID=40&amp;md5=3b9011c25f598e8b9a84c7a496a70589</t>
  </si>
  <si>
    <t>California State University, United States; Wayne State University, United States; Stanford University, United States; Canada</t>
  </si>
  <si>
    <t>Rochadiat, A.M.P., California State University, United States; Tong, S.T., Wayne State University, United States; Hancock, J.T., Stanford University, United States; Stuart-Ulin, C.R., Canada</t>
  </si>
  <si>
    <t>Tong, S.T.; Wayne State UniversityUnited States; email: stephanie.tong@wayne.edu</t>
  </si>
  <si>
    <t>The Perils of Laundering Control through Customers: A Study of Control and Resistance in the Ride-hail Industry</t>
  </si>
  <si>
    <t>10.1177/0019793920972679</t>
  </si>
  <si>
    <t>57214332428;</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</si>
  <si>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 © The Author(s) 2020.</t>
  </si>
  <si>
    <t>Maffie M.D.</t>
  </si>
  <si>
    <t>https://www.scopus.com/inward/record.uri?eid=2-s2.0-85097288004&amp;doi=10.1177%2f0019793920972679&amp;partnerID=40&amp;md5=ed7d2690ba48124839cc3f52b3331de2</t>
  </si>
  <si>
    <t>School of Labor and Employment Relations, Pennsylvania State University, United States</t>
  </si>
  <si>
    <t>Maffie, M.D., School of Labor and Employment Relations, Pennsylvania State University, United States</t>
  </si>
  <si>
    <t>Maffie, M.D.; School of Labor and Employment Relations, United States; email: maffie@psu.edu</t>
  </si>
  <si>
    <t>The social and health implications of digital work intensification. Associations between exposure to information and communication technologies, health and work ability in different socio-economic strata</t>
  </si>
  <si>
    <t>10.1007/s00420-020-01588-5</t>
  </si>
  <si>
    <t>57219471157;57219471438;8653061800;6701424819;56506960100;</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</si>
  <si>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 © 2020, The Author(s).</t>
  </si>
  <si>
    <t>Borle P., Boerner-Zobel F., Voelter-Mahlknecht S., Hasselhorn H.M., Ebener M.</t>
  </si>
  <si>
    <t>https://www.scopus.com/inward/record.uri?eid=2-s2.0-85092907196&amp;doi=10.1007%2fs00420-020-01588-5&amp;partnerID=40&amp;md5=d148665a4993fffc52fdfd6299526f3a</t>
  </si>
  <si>
    <t>Charité - Universitätsmedizin Berlin, corporate member of Freie Universität Berlin, Humboldt-Universität zu Berlin, and Berlin Institute of Health, Institute of Occupational Medicine, Augustenburger Platz 1, Berlin, 13353, Germany; Department of Occupational Health Science, University of Wuppertal, Wuppertal, Germany</t>
  </si>
  <si>
    <t>Borle, P., Charité - Universitätsmedizin Berlin, corporate member of Freie Universität Berlin, Humboldt-Universität zu Berlin, and Berlin Institute of Health, Institute of Occupational Medicine, Augustenburger Platz 1, Berlin, 13353, Germany; Boerner-Zobel, F., Charité - Universitätsmedizin Berlin, corporate member of Freie Universität Berlin, Humboldt-Universität zu Berlin, and Berlin Institute of Health, Institute of Occupational Medicine, Augustenburger Platz 1, Berlin, 13353, Germany; Voelter-Mahlknecht, S., Charité - Universitätsmedizin Berlin, corporate member of Freie Universität Berlin, Humboldt-Universität zu Berlin, and Berlin Institute of Health, Institute of Occupational Medicine, Augustenburger Platz 1, Berlin, 13353, Germany; Hasselhorn, H.M., Department of Occupational Health Science, University of Wuppertal, Wuppertal, Germany; Ebener, M., Department of Occupational Health Science, University of Wuppertal, Wuppertal, Germany</t>
  </si>
  <si>
    <t>Borle, P.; Charité - Universitätsmedizin Berlin, Augustenburger Platz 1, Germany; email: prem.borle@charite.de</t>
  </si>
  <si>
    <t>User-centered design of a web-based crowdsourcing-integrated semantic text annotation tool for building a mental health knowledge base</t>
  </si>
  <si>
    <t>10.1016/j.jbi.2020.103571</t>
  </si>
  <si>
    <t>57208508404;57200049112;7103200005;</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</si>
  <si>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F1-scores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 © 2020 Elsevier Inc.</t>
  </si>
  <si>
    <t>He X., Zhang H., Bian J.</t>
  </si>
  <si>
    <t>https://www.scopus.com/inward/record.uri?eid=2-s2.0-85091260371&amp;doi=10.1016%2fj.jbi.2020.103571&amp;partnerID=40&amp;md5=10fea05ae8aaf16be016bb661c6276ad</t>
  </si>
  <si>
    <t>Department of Health Outcomes and Biomedical Informatics, College of Medicine, University of Florida, Gainesville, FL, United States</t>
  </si>
  <si>
    <t>He, X., Department of Health Outcomes and Biomedical Informatics, College of Medicine, University of Florida, Gainesville, FL, United States; Zhang, H., Department of Health Outcomes and Biomedical Informatics, College of Medicine, University of Florida, Gainesville, FL, United States; Bian, J., Department of Health Outcomes and Biomedical Informatics, College of Medicine, University of Florida, Gainesville, FL, United States</t>
  </si>
  <si>
    <t>Bian, J.; Health Outcomes &amp; Biomedical Informatics, 2197 Mowry Road, Room 122 PO Box 100177, United States; email: bianjiang@ufl.edu</t>
  </si>
  <si>
    <t>What is this URL's Destination? Empirical Evaluation of Users' URL Reading</t>
  </si>
  <si>
    <t>10.1145/3313831.3376168</t>
  </si>
  <si>
    <t>57203370367;23037455300;25646765500;</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</si>
  <si>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 © 2020 ACM.</t>
  </si>
  <si>
    <t>Albakry S., Vaniea K., Wolters M.K.</t>
  </si>
  <si>
    <t>https://www.scopus.com/inward/record.uri?eid=2-s2.0-85091288993&amp;doi=10.1145%2f3313831.3376168&amp;partnerID=40&amp;md5=59ff30d4ae1e0bb13ca6981b5d38df58</t>
  </si>
  <si>
    <t>University of Edinburgh, Edinburgh, United Kingdom</t>
  </si>
  <si>
    <t>Albakry, S., University of Edinburgh, Edinburgh, United Kingdom; Vaniea, K., University of Edinburgh, Edinburgh, United Kingdom; Wolters, M.K., University of Edinburgh, Edinburgh, United Kingdom</t>
  </si>
  <si>
    <t>When food-delivery platform workers consent to algorithmic management: a Foucauldian perspective</t>
  </si>
  <si>
    <t>10.1111/ntwe.12177</t>
  </si>
  <si>
    <t>57220179078;</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</si>
  <si>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 © 2020 Brian Towers (BRITOW) and John Wiley &amp; Sons Ltd</t>
  </si>
  <si>
    <t>Galière S.</t>
  </si>
  <si>
    <t>https://www.scopus.com/inward/record.uri?eid=2-s2.0-85097195590&amp;doi=10.1111%2fntwe.12177&amp;partnerID=40&amp;md5=a056af8ee7107264597f9c1cf3546231</t>
  </si>
  <si>
    <t>Sophia Galiere Université d'Angers, France</t>
  </si>
  <si>
    <t>Galière, S., Sophia Galiere Université d'Angers, France</t>
  </si>
  <si>
    <t>Galière, S.; Sophia Galiere Université d'AngersFrance; email: sophia.galiere@univ-angers.fr</t>
  </si>
  <si>
    <t>When ignorance is bliss: The role of curiosity in online games adoption</t>
  </si>
  <si>
    <t>10.1016/j.entcom.2020.100398</t>
  </si>
  <si>
    <t>57211069547;55507420500;57196052500;</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</si>
  <si>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 © 2020 Elsevier B.V.</t>
  </si>
  <si>
    <t>Dahabiyeh L., Najjar M.S., Agrawal D.</t>
  </si>
  <si>
    <t>Entertainment Computing</t>
  </si>
  <si>
    <t>https://www.scopus.com/inward/record.uri?eid=2-s2.0-85097766139&amp;doi=10.1016%2fj.entcom.2020.100398&amp;partnerID=40&amp;md5=eef913dba77b6aa848e998ac63e56fca</t>
  </si>
  <si>
    <t>Management Information Systems Department, School of Business, The University of Jordan, Amman, Jordan; Department of Business Information and Technology, Fogelman College of Business and Economics, The University of Memphis, Memphis, TN, United States; Department of Information Technology and Cybersecurity, College of Business, Missouri State University, Springfield, MO, United States</t>
  </si>
  <si>
    <t>Dahabiyeh, L., Management Information Systems Department, School of Business, The University of Jordan, Amman, Jordan; Najjar, M.S., Department of Business Information and Technology, Fogelman College of Business and Economics, The University of Memphis, Memphis, TN, United States; Agrawal, D., Department of Information Technology and Cybersecurity, College of Business, Missouri State University, Springfield, MO, United States</t>
  </si>
  <si>
    <t>Dahabiyeh, L.; Management Information Systems Department, Queen Rania St., Jordan; email: laila.dahabiyeh@ju.edu.jo</t>
  </si>
  <si>
    <t>Coluna16</t>
  </si>
  <si>
    <t>Coluna17</t>
  </si>
  <si>
    <t>Coluna18</t>
  </si>
  <si>
    <t>Coluna19</t>
  </si>
  <si>
    <t>Coluna20</t>
  </si>
  <si>
    <t>Coluna21</t>
  </si>
  <si>
    <t>Coluna22</t>
  </si>
  <si>
    <t>Coluna23</t>
  </si>
  <si>
    <t>Coluna24</t>
  </si>
  <si>
    <t>Coluna25</t>
  </si>
  <si>
    <t>Coluna26</t>
  </si>
  <si>
    <t>Coluna27</t>
  </si>
  <si>
    <t>Coluna28</t>
  </si>
  <si>
    <t>Coluna29</t>
  </si>
  <si>
    <t>Coluna30</t>
  </si>
  <si>
    <t>Coluna31</t>
  </si>
  <si>
    <t>Coluna32</t>
  </si>
  <si>
    <t>Coluna33</t>
  </si>
  <si>
    <t>Coluna34</t>
  </si>
  <si>
    <t>Coluna35</t>
  </si>
  <si>
    <t>Coluna36</t>
  </si>
  <si>
    <t>Coluna37</t>
  </si>
  <si>
    <t>Coluna38</t>
  </si>
  <si>
    <t>Coluna39</t>
  </si>
  <si>
    <t>Coluna40</t>
  </si>
  <si>
    <t>Coluna41</t>
  </si>
  <si>
    <t>Coluna42</t>
  </si>
  <si>
    <t>Coluna43</t>
  </si>
  <si>
    <t>Coluna44</t>
  </si>
  <si>
    <t>Coluna45</t>
  </si>
  <si>
    <t>Coluna46</t>
  </si>
  <si>
    <t>Coluna47</t>
  </si>
  <si>
    <t>Coluna48</t>
  </si>
  <si>
    <t>Coluna49</t>
  </si>
  <si>
    <t>Coluna50</t>
  </si>
  <si>
    <t>Coluna51</t>
  </si>
  <si>
    <t>Coluna52</t>
  </si>
  <si>
    <t>Coluna53</t>
  </si>
  <si>
    <t>Coluna54</t>
  </si>
  <si>
    <t>WOS titer 
29-8-22</t>
  </si>
  <si>
    <t>Code</t>
  </si>
  <si>
    <t>Collected attributes</t>
  </si>
  <si>
    <t>Criteria</t>
  </si>
  <si>
    <t>CG_D</t>
  </si>
  <si>
    <t>CG_I</t>
  </si>
  <si>
    <t>Specific</t>
  </si>
  <si>
    <t>CG_O</t>
  </si>
  <si>
    <t>CG_S</t>
  </si>
  <si>
    <t>Measurable</t>
  </si>
  <si>
    <t>Achievable</t>
  </si>
  <si>
    <t>CG_QL</t>
  </si>
  <si>
    <t>CG_QT</t>
  </si>
  <si>
    <t>CG_QQ</t>
  </si>
  <si>
    <t>CG_B</t>
  </si>
  <si>
    <t>CG_In</t>
  </si>
  <si>
    <t>CG_out</t>
  </si>
  <si>
    <t>Relevant</t>
  </si>
  <si>
    <t>SCALE group 2</t>
  </si>
  <si>
    <t>Indirect</t>
  </si>
  <si>
    <t>Qualitative</t>
  </si>
  <si>
    <t>Subjective</t>
  </si>
  <si>
    <t>(1) Very Poor - Poor - Acceptable - Good - Very Good (5)</t>
  </si>
  <si>
    <t>Communication is the biggest challenge for Global Software Development”. For this reason, Global Software Development - Aware shows scenarios with problems that arise due to the lack of communication in general, or the lack of informal communication, or the lack of face-to-face communication. [L94]
 Communication is a fundamental activity in the Requirement Change Managemente process, and it becomes more important during the implementation of the requested requirement changes in the agile Global Software Development paradigm. Additionally, they stated that, although the agile development process is less documentation oriented, effective, and frequent communication is still a key ARCM activity. They have also highlighted the importance of frequent and effective communication amongst ARCM teams. [L50]
 Lack of effective and proper way of communication [L68]</t>
  </si>
  <si>
    <t>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t>
  </si>
  <si>
    <t>sf14</t>
  </si>
  <si>
    <t>Lack of effective and proper way of communication</t>
  </si>
  <si>
    <t>Explicit and standard communication pattern in GSD environment</t>
  </si>
  <si>
    <t>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</si>
  <si>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Language</t>
  </si>
  <si>
    <t>Direct</t>
  </si>
  <si>
    <t>Objective</t>
  </si>
  <si>
    <t>Outside</t>
  </si>
  <si>
    <t>Beginner (A1, A2), Intermediate (B1, B2), Advanced (C1, C2)</t>
  </si>
  <si>
    <t>Language is another potential barrier to communication the capability of the team to communicate in a shared spoken language is key. English is the lingua franca in GLOBAL SOFTWARE environment. Training in English as a Foreign Language is a strategy organizations are adopting to bring poor speakers up to speed. [L36]
 Language difference is defined as the usage a different language among distributed team members. In the current years, the English language has been widely used as a professional language at both national and international platforms [L84]</t>
  </si>
  <si>
    <t>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t>
  </si>
  <si>
    <t>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t>
  </si>
  <si>
    <t>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</si>
  <si>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t>
  </si>
  <si>
    <t>Culture</t>
  </si>
  <si>
    <t>Quantitative</t>
  </si>
  <si>
    <t>(1) Very Low - Low - Moderate - High - Very High (5)</t>
  </si>
  <si>
    <t>Each culture has its standards, styles and moral principles, which can provoke communication related issues when individual belonging from different cultural background communicate with one another [L84]</t>
  </si>
  <si>
    <t>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t>
  </si>
  <si>
    <t>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t>
  </si>
  <si>
    <t>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t>
  </si>
  <si>
    <t>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t>
  </si>
  <si>
    <t>Cultural dispersion is the difference in a team member’s language, cultural background and national context Difference in national and cultural background and customs, religion, politics, language</t>
  </si>
  <si>
    <t>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t>
  </si>
  <si>
    <t>Temporal Issues</t>
  </si>
  <si>
    <t>“It is defined as time differences between teams that work in several remote locations. It occurs as a result of several factors that include two individuals located in two different locations that have a different time zone [7]. Due to time differences, communication between team members is much less and knowledge sharing is not adequate between them. Delayed feedback and responses are considered problematic for the team member located in different locations [28]. Temporal distances cause many problems in GLOBAL SOFTWARE DEVELOPMENT and lead to delays in exchange for points of view. It prevents and restricts the possibility of synchronous interaction, cooperation and confidence assessment. [L84]
 Differences between teams working at multiple remote sites [L06]</t>
  </si>
  <si>
    <t>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t>
  </si>
  <si>
    <t>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t>
  </si>
  <si>
    <t>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</si>
  <si>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t>
  </si>
  <si>
    <t>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t>
  </si>
  <si>
    <t>Temporal dispersion occurs when there is a difference in working times among distributed teams members There are difference in working time among distributed team members</t>
  </si>
  <si>
    <t>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t>
  </si>
  <si>
    <t>Fear</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</si>
  <si>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 [L26]</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</si>
  <si>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t>
  </si>
  <si>
    <t>Motivation</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</si>
  <si>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 [L26] Lack of motivational activities</t>
  </si>
  <si>
    <t>Motivating the practitioners</t>
  </si>
  <si>
    <t>sf25</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</si>
  <si>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</si>
  <si>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Trust</t>
  </si>
  <si>
    <t>Trust is defined as the ‘‘the willingness of a party to be vulnerable to the actions of another party based on the expectation that the other will perform a particular action important to the trustor, irrespective of the ability to monitor or control that other party” [L22]
 The tool indicates different scenarios where there is a problem because of lack of trust, and several possible ways of solving this are shown, such as all of the members spending a weekend together, or travelling to visit their colleague. [L94]
 Personal or impersonal, including cognitive trust, which refers to beliefs about others’ competence and reliability. This can lead individuals to engage in less self-protective actions and be more likely to take risks. [L85]</t>
  </si>
  <si>
    <t>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t>
  </si>
  <si>
    <t>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t>
  </si>
  <si>
    <t>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t>
  </si>
  <si>
    <t>Trust relationship among teams</t>
  </si>
  <si>
    <t>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t>
  </si>
  <si>
    <t>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t>
  </si>
  <si>
    <t>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t>
  </si>
  <si>
    <t>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</si>
  <si>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t>
  </si>
  <si>
    <t>Cooperation/ collaboration</t>
  </si>
  <si>
    <t>Collaboration among distributed teams. Reluctance to share information. [L93] [L09]
 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managed.[L26]</t>
  </si>
  <si>
    <t>Collaboration among distributed teams</t>
  </si>
  <si>
    <t>Client reluctant to share information</t>
  </si>
  <si>
    <t>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t>
  </si>
  <si>
    <t>True cost</t>
  </si>
  <si>
    <t>The poor cost and time estimation lead the project to failure. The effort, cost, and required time must be determined. [L59]
 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[L09]</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</si>
  <si>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t>
  </si>
  <si>
    <t>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</si>
  <si>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t>
  </si>
  <si>
    <t>Project management</t>
  </si>
  <si>
    <t>Skilled leadership that has the expertise to assess and analyze the impact of demanded changes, and also will make the right decision at the right time. [L59]
 , “lack of integration planning and lack of management” is the fifth barrier for software integration in GSD. The components delivered for integration are not well prepared or delivered in time as planned, which may result errors in the build process.
  The integration order if wrongly planned may also result in integration errors. The time planned for integration may be underestimated resulting in delaying the overall project. The teams may be formed without planning, lacking the required knowledge and skills. They may have no work breakdown, progress reporting and estimation technique, resulting in integration and management problems. There is a limited understanding of managerial decision about integration. The management of shared artifacts in Global Software Development is a critical task to ensure effective integration of the components developed by distributed teams. An effective integration plan is necessary for all Global Software Development projects, especially for large one, to be successful at integration stage.[L32]</t>
  </si>
  <si>
    <t>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t>
  </si>
  <si>
    <t>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t>
  </si>
  <si>
    <t>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</si>
  <si>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Risk management</t>
  </si>
  <si>
    <t>Inside</t>
  </si>
  <si>
    <t>There are micro and macro-risk elements which need to be carefully assessed and addressed. Micro-risks can often be correctly determined and alternative strategies put in place to mitigate their potential impact. Macro-risks on the other hand may not even be considered. [L26]
 Similarly, “minimize project failure risk at Global software development sites” was reported as a critical success factor for the successful implementation of Requeriment Change Management activities in Global software development. Kazi et al. reported that for the successful Requeriment Change Managementprocess, it is important to analyze the need and the root cause of change. They further stated that the estimation of required cost and time is the key factor in software projects, and poor estimations for the Requeriment Change Management process might lead the project towards failure. [L59]</t>
  </si>
  <si>
    <t>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t>
  </si>
  <si>
    <t>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</si>
  <si>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Defined Roles and Responsibilities/ organizational</t>
  </si>
  <si>
    <t>Quali-quanti</t>
  </si>
  <si>
    <t>It is important to assign the right responsibility and task to the right person and the right time, and should be clearly defined, articulated and effectively disseminated for all team members. [L26]
 We further found the “roles and responsibilities of Global software development teams” as a significant factor for the Requirements change management process in Global software development . Mahmood et al. underlined that it is important to assign the right responsibility and task to the right person and the right time. Keshta et al. further argued that the responsibilities of Requirements change management practitioners should be clearly defined to avoid the misconceptions during Requirements change management implementation. [L59]</t>
  </si>
  <si>
    <t>sf7</t>
  </si>
  <si>
    <t>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t>
  </si>
  <si>
    <t>Work dispersion refers to a variety of work environment, such as engineering process, management policy and control
 Difference in task and expertise distribution
 Difference in tool adoption and practices</t>
  </si>
  <si>
    <t>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t>
  </si>
  <si>
    <t>Team Selection</t>
  </si>
  <si>
    <t>Technical requirements</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</si>
  <si>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 [L26]</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</si>
  <si>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</si>
  <si>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 [L26]</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</si>
  <si>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t>
  </si>
  <si>
    <t>Skills Management</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</si>
  <si>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 [L26]</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</si>
  <si>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t>
  </si>
  <si>
    <t>Knowledge Transfer</t>
  </si>
  <si>
    <t>A process of exchange of explicit or tacit knowledge between two agents, during which one agent purposefully receives and uses the knowledge provided by another. [L85] 
 INSUFFICIENT KNOWLEDGE TRANSFER. Knowledge transfer is referred to as ‘‘the unidirectional exchange of knowledge’’, typically having an unambiguous goal. Insufficient knowledge transfer is the most notable challenge occurred among the distributed teams due to lack of effective communication. [L84]</t>
  </si>
  <si>
    <t>Previous research has defined knowledge transfer as: ‘‘a process of exchange of explicit or tacit knowledge between two agents, during which one agent purposefully receives and uses the knowledge provided by another’’ [7]. IInvigorate sharing knowledge and new values with teams</t>
  </si>
  <si>
    <t>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t>
  </si>
  <si>
    <t>Learning and sharing the work materials of employees</t>
  </si>
  <si>
    <t>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</si>
  <si>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t>
  </si>
  <si>
    <t>LACK OF COORDINATION. Team coordination comprises of an initial communication issue, lack of mutual understanding and lack of cross-team communication among the globally distributed teams. Some team members do not want to interact with one another which may lead to the lack of team coordination. Due to inadequate coordination, the significance of the teamwork can be affected, which provoke the communication issues in Global software development. [L84]
 Team coordination is defined as ‘‘activities required to maintain consistency within a work product or to manage dependencies within the workflow’’. There are many different types of dependencies between task and task holders, such as shared resources, task assignments, simultaneous constraints and task–subtask relationship. These dependencies lead to a need for coordination among stakeholders working on a related set of tasks. When these coordination needs are not satisfied, they will have coordination challenges. [L26]</t>
  </si>
  <si>
    <t>Coordination. The student faces situations where s/he should distribute work between team members, with due consideration given to some features such as time-overlap, members’ profiles, or previous experience working together.</t>
  </si>
  <si>
    <t>Co-ordination of teams to achieve the project goals</t>
  </si>
  <si>
    <t>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t>
  </si>
  <si>
    <t>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</si>
  <si>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t>
  </si>
  <si>
    <t>(Proper allocation of resources in Global software development sites) was reported as an essential success factor for deploying the active project management activities in the geographically distributed development environment. Khan et al. reported that it is important to assign the right task and responsibilities to the relevant person. Moreover, McGee and Greer suggested that the roles and responsibilities of the team members must be clearly defined, which is vital for controlling and managing conceptions during the implementation of project management activities. [L59]
 Lack of project transparency (coordination). [L97]
 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 [L26]</t>
  </si>
  <si>
    <t>Lack of project transparency (coordination)</t>
  </si>
  <si>
    <t>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t>
  </si>
  <si>
    <t>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</si>
  <si>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Reporting Requirement</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</si>
  <si>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[L39]</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</si>
  <si>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t>
  </si>
  <si>
    <t>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t>
  </si>
  <si>
    <t>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</si>
  <si>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t>
  </si>
  <si>
    <t>Information Management</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</si>
  <si>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 [L26]</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</si>
  <si>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</si>
  <si>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Teamness/ teamwork</t>
  </si>
  <si>
    <t>Team issues</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</si>
  <si>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[L94]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 [L26]</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</si>
  <si>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t>
  </si>
  <si>
    <t>Team participation and communication relationship</t>
  </si>
  <si>
    <t>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t>
  </si>
  <si>
    <t>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</si>
  <si>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</si>
  <si>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Requirements change management process evaluation in distributed sites is a crucial success factor for the successful execution of the Requirements change management process in Global software development sites. Abdullah and Khan indicated that the evaluation of the Requirements change management process in overseas locations is significant to access and improve the existing Requirements change management process. Ali and Lai also highlighted the significance of Requirements change management process evaluation in geographically distributed development sites. [L59]
 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 [L26]</t>
  </si>
  <si>
    <t>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t>
  </si>
  <si>
    <t>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</si>
  <si>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(Software Support)</t>
  </si>
  <si>
    <t>Tools and technology to facilitate knowledge transfer within the teams [L85].
 Organization infrastruture [L60].
 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[L09].
 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tools and a well-documented Configuration Management procedure is also essential for efficient team operation in the global environment [L26].</t>
  </si>
  <si>
    <t>Tools and technology: tools</t>
  </si>
  <si>
    <t>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</si>
  <si>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t>
  </si>
  <si>
    <t>Technical Support/ Issues</t>
  </si>
  <si>
    <t>Technical issue is another major barrier in Global software developmentcommunication that includes all the challenges that are associated with the technology used to initiate communication among distributed team members. In Global software development environment, each team member will be dependent on communicating by using different technology oriented techniques. Whenever the technical issue occurs in their communication, it may cause hindrance and misunderstanding. It is considered as a dynamic risk for project success [L84]. 
 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 [L26].</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</si>
  <si>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t>
  </si>
  <si>
    <t>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</si>
  <si>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Global software development-Aware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[L94].
 Quality of communication tools and network speed between sites [L37].
 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 [L26].</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</si>
  <si>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t>
  </si>
  <si>
    <t>Lack of collaborative tools</t>
  </si>
  <si>
    <t>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</si>
  <si>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Programmer experience in project domain</t>
  </si>
  <si>
    <t>Language and tool experience</t>
  </si>
  <si>
    <t>Experience of the personnel in similar projects [L37].</t>
  </si>
  <si>
    <t>Experience of the personnel in similar projects</t>
  </si>
  <si>
    <t>Low 1 - 5 High</t>
  </si>
  <si>
    <t>Participation in helping each other, Mutual support of team members, Suggestions and contribution of teams on project outcomes [L85].</t>
  </si>
  <si>
    <t>Participation in helping each other, Mutual support of team members, Suggestions and contribution of teams on project outcomes</t>
  </si>
  <si>
    <t>Completion of assigned or agreed-upon responsibilities</t>
  </si>
  <si>
    <t>Completion of assigned or agree-upon tasks on time</t>
  </si>
  <si>
    <t>Completing tasks fully and on time</t>
  </si>
  <si>
    <t>Independence of thought and action</t>
  </si>
  <si>
    <t>Communicate clearly and with civility with team</t>
  </si>
  <si>
    <t>Poor 1 - 5</t>
  </si>
  <si>
    <t>Communicate clearly and with civility with stakeholders</t>
  </si>
  <si>
    <t>Leadership</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</si>
  <si>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[L16].
 Process improvement leadership [L60].</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</si>
  <si>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</si>
  <si>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Ability to understand concepts and views</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</si>
  <si>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and type of experience with technology use. The personal profile also provides more data about skills and knowledge, such as previous work experience and academic studies. This information will allow the trustor to perceive a trustee’s capabilities in a rapid and explicit manner. This kind of information could be useful when assigning tasks, and more so when these tasks are critical to a project [L86].</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</si>
  <si>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t>
  </si>
  <si>
    <t>roles and responsibilities</t>
  </si>
  <si>
    <t>Clear assignment of roles and responsibilities, reported as a significant success factor for successful RCM process implementation at GSD sites. Kumar reported that it is important to assign particular tasks and responsibilities to the right teams. Moreover, Niazi et al suggested that the roles and responsibilities of the team members must be clearly defined, which is vital for controlling and managing the misconceptions during the implementation of RCM process activities [L93].
 Moreover, Roles and responsibilities is an effective factor that can effectively influence the Requirements change management process. Paasivaara conducted a case study and argued that the assignment of appropriate roles and responsibilities to a team member is critical for the success and progress of the Requirements change management process [L50].</t>
  </si>
  <si>
    <t>SF4 Accountability</t>
  </si>
  <si>
    <t>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</si>
  <si>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goal for change</t>
  </si>
  <si>
    <t>Transparency of Vision and goal</t>
  </si>
  <si>
    <t>Vision and mission of demanded changes [L93].
 Goals and responsibilities of teams on business process [L85].
 Paasivaara and Lassenius reported that Vision and goal for change is an important success factor that can positively influence the Requirements change management activities in the Global software development domain. They underlined that the goal and vision of change should be clear for all Requirements change management process practitioners. Wickramaarachchi and Lai reported that knowing the scope and purpose of change management is important for the successful implementation of the requested changes [L50].</t>
  </si>
  <si>
    <t>Vision and mission of demanded changes</t>
  </si>
  <si>
    <t>Goals and responsibilities of teams on business process</t>
  </si>
  <si>
    <t>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</si>
  <si>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Types of training: Induction Program, Training on Application Functionality, On the job Training, Trainee ramp up [L72].
 The “education and support to distributed team members” is essential to address the Requirements change management activities in Global software developmentcontext effectively. Hussain indicated that without proper education and senior practitioners' support, Requirements change management practitioners could not be capable of evaluating the root cause of demanded requirement changes. The Requirements change management practitioners must have a robust understanding of Requirements change management activities, which is possible with the arrangements of learning sessions. Hsieh highlighted that organizational management must provide training and certification opportunities to Requirements change management team members. To successfully deploy the Requirements change management practices, it is significant to conduct workshops and seminars to motivate the team members to participate in the Requirements change management program [L59].</t>
  </si>
  <si>
    <t>Induction Program, Training on Application Functionality, On the job Training, Trainee ramp up</t>
  </si>
  <si>
    <t>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</si>
  <si>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To perform ARCM activities in a GSD environment, an F5 (Training and monitoring) environment should be developed. Thus, training sessions with senior members and independent external experts should be established. While implementing the requested requirement changes,</t>
  </si>
  <si>
    <t>geographically distributed CCB (change control block)</t>
  </si>
  <si>
    <t>While implementing the requested requirement changes, Geographically distributed CCB (change control block) should be established. AL_Zaidi and Qureshi reported that an effective change control block is important for overseas sites to verify and determine the reasoning behind the requested changes. Jain and Suman also highlighted the importance of change control block for overseas sites [L50].
 Tracking and control Requirements change management activities at distributed sites were reported as an essential factor for the successful implementation of Requirements change management activities in Global software development context. The management of demanded requirement changes across the geographical boundaries is critical. Hanisch and Corbitt indicated that it is significant to track the root cause of demanded changes for effective Requirements change management. They further suggested establishing an active change control blockat all the distributed sites for monitoring and controlling the Requirements change management activities in the offshore software development environment [L59].</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</si>
  <si>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t>
  </si>
  <si>
    <t>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</si>
  <si>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resistance management</t>
  </si>
  <si>
    <t>Resistance management is a critical factor for Requirements change management. The political environment influences the management effect of organisations on the Requirements change management process because some organisations are reluctant to change the requirements. However, the management of resistance is important in eliciting the desired requirements and effectively carrying out change management activities [L50].</t>
  </si>
  <si>
    <t>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t>
  </si>
  <si>
    <t>Noll et al. reported that Formalised relationship between development teams is important in the Requirements change management process, particularly when the agile development process is used in the context of a Global software development environment. Garbajosa et al. emphasised that the relationships of overseas team members should be formalised to share and accommodate secret requirements and build trust [L50].
 Arduous relationship among team members (global service climate) [L60].</t>
  </si>
  <si>
    <t>Arduous relationship among team members (global service climate)</t>
  </si>
  <si>
    <t>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</si>
  <si>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underlined that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and Paasivaara and Lassenius have also highlighted the importance of skilled practitioners in agile development and Global software development [L50].</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</si>
  <si>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t>
  </si>
  <si>
    <t>Effects of IT human capability</t>
  </si>
  <si>
    <t>DELAYED IN RESPONSE/FEEDBACK.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overall project procedure due to delay in response or feedback [L84].</t>
  </si>
  <si>
    <t>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t>
  </si>
  <si>
    <t>Traceability of data, working in heterogeneous data environment traceability of data is a key issue identified during literature study, as source of data is missing to trace specific data.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marking traceability as a major issue suggested that traceability can only be assessed by checking the quality and quantity of links among related data resources from different software tools [L44].</t>
  </si>
  <si>
    <t>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</si>
  <si>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Requirements change management, process awareness, was cited as the significant success factor for the effective implementation of Requirements change management activities. Aranda et al highlighted that organizational management must provide training and certification opportunities to Requirements change management team members. To successfully deploy the Requirements change management practices, it is much important to held workshops and seminars to motivate the team members to participate in Requirements change management programs. Moreover, Martin et al underlined the importance of Requirements change management practitioners' awareness about the Requirements change management process activities [L93].
 According to the primary selected studies, Requirements change management process awareness in Global software development domain is a significant success factor for the implementation of Requirements change management activities. Sommerville and Ransom highlighted that organizational management must provide training and certification opportunities to Requirements change management team members [L59].</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</si>
  <si>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t>
  </si>
  <si>
    <t>Processes and methodologies, was reported as a significant success factor for the implementation of the Requirements change management process in the Global software development domain. Khan et al specified the importance of using the appropriate process and methodologies for deploying the Requirements change management process activities. The team members should use formal processes, frameworks, and best practices. Ali et al further mentioned that the failure of the Requirements change management program might be resulted because of the unavailability of formal Requirements change management processes and methodologies [L93].
 The “standard and procedures” are reported as one of the critical success factors. Xiong et al. and Ghosh et al. underlined the significance of standards and procedures. Keshta et al. argued that the standards and procedures guide the practitioners about “what to do” and “how to do it.” The practitioner should adopt formal standards and procedures for the success. Khan et al. underlined that the unavailability of standards and procedures is the critical factor of Requirements change management failure in Global software development context [L59].</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</si>
  <si>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t>
  </si>
  <si>
    <t>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</si>
  <si>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 [L39].
 Identification and validation of demanded changes at offshore sites. Ali et al and Alnuem et al underlined that the RCM process started from the change identification and validation phases. The identification of change is the key activity, which indicates why, how, and when change is needed [L93].
 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 [L59].</t>
  </si>
  <si>
    <t>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</si>
  <si>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</si>
  <si>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Reduced opportunities for synchronous communication were also a significant risk factor in Global software development. Due to the temporal distance, the use of synchronous communication becomes less. It can be unsafe to use asynchrony’s communication tool for communication and collaboration practices. There might be a probability to unnoticed or lost an email, so an individual has confusion which increases the likelihood of misunderstanding [L84].</t>
  </si>
  <si>
    <t>In the period of global software engineering, where offshore development has taken place at the same time global software testing was also trending and got much response. As global software testing has increased with the passage of time then most probably it is expected to reach over 20% annually.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Rooksby has claimed; whereas software testing is need to be refined in the software industry there should be much appreciation in which conditions software products were tested by the teams with less facilities. A qualitative study has been conducted by Taipale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discussed that company’s facts and figures and restrictions creates an impact on the execution of software testing [L54].
 We found that “improper/no unit testing” with 32% frequency is also a critical barrier for software integration in Global software development environment. In Global software development, the software components developed independently need proper testing before delivering it for integration with other components. Unfortunately, in many cases, components delivered for integration are not tested correctly and create build and integration errors in the later stage. Sometimes, interfaces are adjusted for 2 components/ modules without considering other components/modules using those interfaces. Components are delivered untested due to pressure caused by time constraints on the development teams. Similarly in case of reusable and COTS components, they should be properly unit tested before integrating them into the final system as they are developed for some specific use cases. In almost 80% of the projects, integrator finds defects during integration due to improper unit testing [L32].</t>
  </si>
  <si>
    <t>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t>
  </si>
  <si>
    <t>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</si>
  <si>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In Global software development geographical distance has a negative influence on communication. Whenever the geographical distance increases, communication risk also increases and leads toward the miscommunication. Geographical distance is defined as an effort needed for one individual to visit another individual located at a remote location. In general, less geographical distance provides more opportunities for distributed teams to communicate with one another more frequently. Therefore, based on the above literature, we could develop the following hypothesis [L84].
 Geographical dimension occurs when project members locate in different physical places, from where it is not possible for them to perform direct communication as they do not work in the same room Team including members locate in different physical places [L06].</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</si>
  <si>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t>
  </si>
  <si>
    <t>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</si>
  <si>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In Global software development, the development sites are located across several geographical locations in different time zones. Therefore, the team members may be unable to properly communicate and coordinate. Communication barriers, coordination gaps, different cultural norms and values, and time differences make it challenging to obtain instant feedback from the distributed sites. Timely responses across the geographically distributed sites are significant to successfully perform change management activities [L69].
 Organizational dispersion occurs when a team consists of members from different organizations or independent organizational units. Difference in team identity. Difference in organizational objective and strategy [L06].
 Information misinterpretation due to repeatedly readjust to variety of methods Frequently readjusting to alternative methods of their business units. Loss of tacit knowledge due to replace of onshore with offshore staff. Delay due to changes in staff [L09].</t>
  </si>
  <si>
    <t>Organizational changes</t>
  </si>
  <si>
    <t>Information misinterpretation due to repeatedly readjust to variety of methods
 Frequently readjusting to alternative methods of their business units
 Loss of tacit knowledge due to replace of onshore with offshore staff 
 Delay due to changes in staff</t>
  </si>
  <si>
    <t>Organizational dispersion occurs when a team consists of members from different organizations or independent organizational units. Difference in team identity. Difference in organizational objective and strategy.</t>
  </si>
  <si>
    <t>Turnover</t>
  </si>
  <si>
    <t>"STAFFING - One of the biggest challenges of knowledge transfer is that project suffers from changes in staff. This situation leads to lose of tacit knowledge to organization.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To be successful with Global software development,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In order to provide effective Knowledge transfer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[L09].</t>
  </si>
  <si>
    <t>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t>
  </si>
  <si>
    <t>Novelty</t>
  </si>
  <si>
    <t>Degree of novelty of the product for involved persons [L37].
 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[L09].</t>
  </si>
  <si>
    <t>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</si>
  <si>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Changing vendor</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</si>
  <si>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[L09].</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</si>
  <si>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t>
  </si>
  <si>
    <t>Transactive Memory System (TMS)</t>
  </si>
  <si>
    <t>When codifiability of knowledge is higher, then the knowledge can be easily transferred to knowledge recipients and in some cases employees do not find updated Knowledge transfer documents in their project repository and this leads to delay in project delivery [L09].</t>
  </si>
  <si>
    <t>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t>
  </si>
  <si>
    <t>Knowledge Codifiability</t>
  </si>
  <si>
    <t>One of the significant challenges of knowledge transfer is knowledge codifiability. In organizational project repository, complex knowledge is not codified in high level manner and if complex knowledge is not codified in high level manner then it‘s difficult to understand [L09].</t>
  </si>
  <si>
    <t>The barrier “lack of proper documentation,” with 39% frequency, is also one of the critical barriers for integration. Sengupta et al state that “the root cause of most integration problems is inadequate documentation.” Many of the project documentations are hard for the client organization because most of the knowledge concentrates and remains hidden in the vendor organization. In case of OTS components, the documentation is incomplete or does not explore the actual component correctly. The consequence is that it requires extra ordinary efforts during integration. In some cases, even if the documentation exists, it is obsolete and outdated and plays no role other than introducing new people to the course grain. Thus, the important phase of integrating the software components developed by global teams or purchased from third parties, greatly suffers from incomplete, outdated, low quality, and unreliable documentation [L32].</t>
  </si>
  <si>
    <t>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t>
  </si>
  <si>
    <t>Lack of compatibility. The Global software development teams may use diverse platforms and tools for development of software components or subsystem. These components/subsystems raise compatibility problems during integration. The first issue is backward compatibility concern when a component has different development versions. The second problem is functional compatibility, especially in case of OTS, because the components may be developed in different context. Modifications and rectifications made in 1 subsystem may affect another subsystem and may introduce new compatibility bugs during integration. The compatibility problem during integration also occurs when the client and vendor use different development tools. Integration of a module becomes more complicated when 2 or more developers make incompatible changes to the same module. In case of OTS, components from different vendors are often incompatible because there are no stable standards and the components are not certified. Thus, components which are individually compatible but create compatibility problems when integrated with other components may increase maintenance, tailoring and integration cost [L32].
 Data integration.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[L44].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</si>
  <si>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t>
  </si>
  <si>
    <t>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t>
  </si>
  <si>
    <t>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</si>
  <si>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</si>
  <si>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[L39].
 Architecture mismatch.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 In many systems, that need to be integrated, their architecture is not fully described and documented. Due to which the de facto standard is used and this creates inappropriate dependencies and increases coupling which propagate problems during development.In Global software development, lack of proper management of the architecture and lack of involvement of all concerned parties during architecture design causes many problems which are detected late during integration. Architecture decisions are done without keeping in view the whole system. Architecturally different components need huge integration efforts when the components are supplied by different suppliers [L32].</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</si>
  <si>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</si>
  <si>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t>
  </si>
  <si>
    <t>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</si>
  <si>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Heterogeneous development environment and platforms. In Global software development,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 The integration effort depends on the stability of the application platform supporting the modules interconnection. This, in turn, depends on its support for the usage of application programming interfaces. In Global software development, mostly a common infrastructure is not shared across sites, which hinders the integration of components developed at those sites. Another big problem for integration is that the environment for integration is not well prepared. The unit testing of system takes place in different environment using different version of hardware and software.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 [L32].
 Data heterogeneity was considered in literature as a critical challenge in DevOps environment. As heterogeneity is a key problem for well-integrated and interoperable software processing environments to assess data quality. One of the methods to resolve such issue is using linked data approach, which refers to link heterogeneous data on a single platform in such a way that it is machine readable. Perera et al. also highlighted that while considering various heterogeneous approaches, data heterogeneity often ignored, which effects quality of data [L44].</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</si>
  <si>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t>
  </si>
  <si>
    <t>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</si>
  <si>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Wrong OTS(off the shelf) product selection and customization.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 The matter becomes more complicated if the source code is not available and customization is required. In case of open source software (OSS), there are also problems in the selection, maintenance, integration, and licensing of OTS(off the shelf) components. In short, the components should be properly evaluated and tested to prevent integration problems in the later stages [L32].</t>
  </si>
  <si>
    <t>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t>
  </si>
  <si>
    <t>Superordinate competencies. This subcategory supplements describes the additional competences necessary competences to be able to be successful in the digitalized working world. Besides the classic job profiles. This includes social and technical skills [L16]. In agile development client, software developers and management teams are arranging daily face to face meetings for discussing about the work progress so that new thoughts and feedback can be exchanged. Hazzan declared that variety of software development in Global software development can be improved by using agile methodology and to divide roles to the relevant persons are very important and helpful technique to manage the multiplicity in works [L54].
 Lack of resources, knowledge, and skills. Lack of suitable infrastructure for integration and nonavailability of skilled human resource to solve integration issues in time hinder the integration process. Lack of time to properly test the components and modules, because the developer code to the last minute, may also create problems during integration. The distribution of resources geographically increase the overall communication, coordination, and integration cost. The lack of sharing a common infrastructure may hurdle the integration process and increase the overall time and cost of the project. The source code is also a big resource and its nonavailability may make the retesting and bug‐fixing process very hard. This mostly happens in case of COTS and reusable components when customization is necessary. Tools and technologies evolve constantly for which new professional knowledge, skills, and guidance are required. Thus, the employees need to be properly trained to possess the required professional knowledge [L32].</t>
  </si>
  <si>
    <t>Superordinate competencies. This subcategory supplements describes the additional competences necessary competences to be able to be successful in the digitalized working world. Besides the classic job profiles. This includes social and technical skills</t>
  </si>
  <si>
    <t>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t>
  </si>
  <si>
    <t>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t>
  </si>
  <si>
    <t>Lack of proper component interfaces. It is the interface through which a component requests for services or provides services. Proper types and number of arguments are required for the interfaces to work correctly. Inconsistencies between components/modules create problems during integration stage. In Global software development, extra efforts are required for making the interfaces and documentation to convey the precise information required for integration. The definition and implementation of interfaces is also an issue in colocated projects but the matter becomes more complicated in Global software development environment. The teams may hardly communicate and coordinate their internal tasks and communication between the components developed by these teams becomes an issue in almost all large projects making the integration task complicated [L32].</t>
  </si>
  <si>
    <t>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t>
  </si>
  <si>
    <t>Personnal relationships</t>
  </si>
  <si>
    <t>Efficient outsourcing relationships between organizational management [L90]. Have they met or talked personally? - relationship between person at different sites [L37].
 Lack of employee’s Respect issues [L109]</t>
  </si>
  <si>
    <t>Efficient outsourcing relationships between organizational management</t>
  </si>
  <si>
    <t>Have they met or talked personally? - relationship between person at different sites</t>
  </si>
  <si>
    <t>Experience and region</t>
  </si>
  <si>
    <t>Criticality</t>
  </si>
  <si>
    <t>Complexity</t>
  </si>
  <si>
    <t>Formality of the description</t>
  </si>
  <si>
    <t>1 - 5 Proper</t>
  </si>
  <si>
    <t>Proper maturity</t>
  </si>
  <si>
    <t>Tools and technology: process maturity</t>
  </si>
  <si>
    <t>Small 1 - 5</t>
  </si>
  <si>
    <t>Degree of change in the requirements during the project [L37].
 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[L39].</t>
  </si>
  <si>
    <t>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t>
  </si>
  <si>
    <t>Putting time pressure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Mostly it irritates when team members of different cultural languages are working together as a pair. Costello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[L54].
 Pressure on people working on the project [L37].</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</si>
  <si>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</si>
  <si>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 [L39].</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</si>
  <si>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t>
  </si>
  <si>
    <t>Integration was not centrally controlled</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</si>
  <si>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 [L39].</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</si>
  <si>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t>
  </si>
  <si>
    <t>1 - 5 Explicit</t>
  </si>
  <si>
    <t>Error and inconsistent data</t>
  </si>
  <si>
    <t>Error and inconsistent data was mentioned as key challenge in available literature, while working in DevOps environment. Since, continuous deployment leads all importance towards development of process, which cause error and inconsistency in data.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[L44].</t>
  </si>
  <si>
    <t>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t>
  </si>
  <si>
    <t>Misspelling in data entry</t>
  </si>
  <si>
    <t>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To validate the performance of product efficiency, data must counter checked, to resolve such issues. The links between different sites should be strong enough to find data entry source [L44].</t>
  </si>
  <si>
    <t>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t>
  </si>
  <si>
    <t>Missing information and other invalid data</t>
  </si>
  <si>
    <t>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Although, not practicing lean terminology, which helps in the elimination of useless data from development environment, also create certain challenge of invalid data and missing of information. This challenge can be resolved by automated data validation process or by practicing lean in development and operational environment [L44].</t>
  </si>
  <si>
    <t>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t>
  </si>
  <si>
    <t>Data Harmonization in literature is suggested to be a common issue while working in DevOps environment. During continuous deploying life cycle, integration of multiple source of information to leverage the combined information outcomes, is an expensive task. Once the system is ready, to change the format of data is critical due to change impact on other sources of data. Many companies are doing research on building a data mapping software technique, in order to make transition from one format to another in user friendly way.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[L44].</t>
  </si>
  <si>
    <t>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t>
  </si>
  <si>
    <t>Visualization of Data</t>
  </si>
  <si>
    <t>Data visualization tools</t>
  </si>
  <si>
    <t>Visualization of Data it can be claimed from literature study that, without suitable visualization and understanding of large integrated data sets in heterogeneous data environment, it is critical day by day to understand purpose of data.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[L44].</t>
  </si>
  <si>
    <t>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t>
  </si>
  <si>
    <t>Data aggregation</t>
  </si>
  <si>
    <t>Sharing project details</t>
  </si>
  <si>
    <t>Learning, and sharing the technical information and work materials of teams [L85].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
 Data Aggregation is one of the key challenges in mining process, determined from literature studies. A data searched, reported and presented from different source is important, to gain specific business objectives. Consistent approach is required to present and aggregate data, which is a challenging factor in DevOps environment [L44].</t>
  </si>
  <si>
    <t>Learning, and sharing the technical information and work materials of teams</t>
  </si>
  <si>
    <t>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t>
  </si>
  <si>
    <t>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</si>
  <si>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Data Provenance Problem</t>
  </si>
  <si>
    <t>Data Provenance Problem. Data provenance means location of particular data when and where that data was generated.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However, measuring provenance of data is challenging as too many checks sometimes create difficulty for developers and operators to work in friendly environment of software development [L44].</t>
  </si>
  <si>
    <t>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t>
  </si>
  <si>
    <t>Storage of transition logs, while considering data validity and security, storage of transition logs is also main challenge determined by literature study in DevOps environment. Nowadays world is generating data in zeta bytes causing issue of storage logs. New engineers must be aware of big data concerns in industry [L44].</t>
  </si>
  <si>
    <t>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t>
  </si>
  <si>
    <t>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t>
  </si>
  <si>
    <t>New visualization techniques and their assessments</t>
  </si>
  <si>
    <t>New visualization techniques and their assessments, in order to implement new visualization techniques or integration of new techniques with the existing system is determined as a challenging factor in literature. As all security and privacy, protocols have to update according to new data visualization techniques. There are no proper assessment criteria to assess new techniques and avoid uncertainty issues. The new visualization tools must follow all privacy guidelines suggested by developers. Such tools if implemented properly with whole team discussion may help to reduce time and cost. However, still assessment of such visualization techniques for DevOps data quality assessment might not be possible due to lack of knowledge and training sessions conducted to discuss and promote such techniques [L44].</t>
  </si>
  <si>
    <t>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t>
  </si>
  <si>
    <t>Contract management (poor)</t>
  </si>
  <si>
    <t>Long-term lack of awareness about activities at remote locations</t>
  </si>
  <si>
    <t>Lack of awareness 1 - 5</t>
  </si>
  <si>
    <t>Quality assurance procedure and plan</t>
  </si>
  <si>
    <t>Lack of detailed requirements specification documentation for global teams (L46)
 Evaluating the project quality with respect to the service [L85]</t>
  </si>
  <si>
    <t>Evaluating the project quality with respect to the service</t>
  </si>
  <si>
    <t>Incremental integration and regular deliveries</t>
  </si>
  <si>
    <t>Modularization of the work</t>
  </si>
  <si>
    <t>Insufficient 1 - 5 proper</t>
  </si>
  <si>
    <t>Scrum role experience</t>
  </si>
  <si>
    <t>Soft skils: analytical</t>
  </si>
  <si>
    <t>Behavioral skills: time management/planning</t>
  </si>
  <si>
    <t>Behavioral skills: conflict management</t>
  </si>
  <si>
    <t>Behavioral skills: dealing with changing/ flexibility</t>
  </si>
  <si>
    <t>Flexibility and beneficial decisions of teams in knowledge transfer effectiveness</t>
  </si>
  <si>
    <t>Behavioral skills: handling stress</t>
  </si>
  <si>
    <t>Behavioral skills: problem solving</t>
  </si>
  <si>
    <t>INABILITY TO SEE THE PROBLEMS. The team member may have a predetermined idea or point of view that influences the capability to precisely communicate to other team members in various situations. In Global software development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[L84].</t>
  </si>
  <si>
    <t>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t>
  </si>
  <si>
    <t>Behavioral skills: diplomacy</t>
  </si>
  <si>
    <t>Create, retrieve, update, delete (CRUD) operations, interfacing with differente layers of development framework</t>
  </si>
  <si>
    <t>Religion and political factor</t>
  </si>
  <si>
    <t>Somehow religion and political factors also relate to inter-culture as every country has its law, rules, and regulations to follow by the citizens. Different religions have their festivals or events that demand holidays to organize and celebrate, however; in GSD that kind of holiday is not allowed for the employees, and this acts as discouragement. \cite {L54}</t>
  </si>
  <si>
    <t>According to Kazi et al. the requirements are timely updated owing to the evolving needs of customers, stakeholders, the organization, and the work environment. Furthermore, Albayrak and Erensal emphasized that the updated requirements are a sign of customer's satisfaction, achievements of business goals, and competence in the market. Moreover, Abdullah and Khan and Verner et al. underlined that the in-time and effective management of updated requirements is the root to achieve the project goal [L59].</t>
  </si>
  <si>
    <t>Updated software requirements specification</t>
  </si>
  <si>
    <t>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</si>
  <si>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Change impact analysis, was the highest cited success factor for the successful implementation of Requirements change management process activities in the Global software development domain. According to Bibi et al, the impact analysis of a specific change request is important to estimate its effect on cost, time, and the quality of the system. Lopes et al suggested that the demanded changes should have an impact on the whole project activities. However, determining the impact is vital for the successful implementation of the Requirements change management process, which corresponds to the successful project execution. Besides, Kavanagh et al stated that the poor analysis of the scope of demanded changes causes the poor estimation of time, cost, and efforts, which may lead to the failure of the project. However, the proper change impact analysis is significant for the successful implementation of Requirements change management process activities [L93].
 According to Damian et al, understanding what needs to be changed is a significant factor in the RCM process that helps clarify how the demanded change can be implemented. Furthermore, Kumar stated that it is important to verify the significance of change requests to identify their impacts on budget, quality, time, and other project activities [L69].
 The “change impact analysis in all sites” was the most common reported success factor for Requirements change management process execution in the Global software development environment. Verner et al. highlighted that owing to distributed and parallel development activities in Global software development, the analysis of the impact of demanded changes in all the development sites is significant to estimate the scope, effort, cost, and required time to implement the changes. Tomyim and Pohthong suggested that the demanded change should have an impact on the whole project, and determining the effect is the key activity in the Requirements change management procedure for successful change implementation and project execution. Hanisch and Corbitt underlined that the poor analysis of the scope of demanded changes could cause the poor estimation of time, cost, and effort that could bring the project towards the failure [L59].</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</si>
  <si>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t>
  </si>
  <si>
    <t>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t>
  </si>
  <si>
    <t>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</si>
  <si>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We further found that “management support” requirement change could frequently occur during the system development process, and organizational management must commit and support the change management activities. Khan et al. highlighted that the involvement of top and lower level management is essential to implement the Requirements change management process successfully. Besides, Carrillo de Gea et al. suggested that the participation and commitment of the management could be helpful for requirement elicitation and change management [L59].</t>
  </si>
  <si>
    <t>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t>
  </si>
  <si>
    <t>Khan et al. define management commitment as ‘‘the degree at which the higher and lower level management in an organization financially support, realize and are involved in SPI activities’’ [L60].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lack of collaboration and communication [L84].</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</si>
  <si>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t>
  </si>
  <si>
    <t>Khan et al. [71] define management commitment as ‘‘the degree at which the higher and lower level management in an organization financially support, realize and are involved in SPI activities’’</t>
  </si>
  <si>
    <t>Do active research on new technologies and practices (P7 co1 emp) Consider long-term effect of design choices (P7 co2 emp) Emphasize reuse (P7 co3 emp)</t>
  </si>
  <si>
    <t>Site characteristics, including analyst capability, programmer capability, language and tool experience, personnel continuity, and customer proximity, are a variable factor in the task allocation decision 
 [L61].</t>
  </si>
  <si>
    <t>Site characteristics, including analyst capability, programmer capability, language and tool experience, personnel continuity, and customer proximity, are a variable factor in the task allocation decision</t>
  </si>
  <si>
    <t>Task‐site dependencies, including application experience and platform experience, are also considered during task allocation [L61].
 Tack allocation and team division [L108]</t>
  </si>
  <si>
    <t>Task‐site dependencies, including application experience and platform experience, are also considered during task allocation</t>
  </si>
  <si>
    <t>Process ownership is also considered by the task allocation literature as an important attribute in task allocation. It is defined as placing ownership with those who are closest to the process, who experience its bottlenecks and inefficiencies. Literature on process ownership associate it with software process improvement as having a major effect on it. Process owners are responsible for getting the work done by workers who may not be in the same organizational unit. They are accountable for the process and are responsible for designing it, ensuring the execution and high performance of the process [L61].</t>
  </si>
  <si>
    <t>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t>
  </si>
  <si>
    <t>Workload at distributed sites</t>
  </si>
  <si>
    <t>DIFFICULTY IN THE DISTRIBUTION OF TASKS. Distribution of task refer to the number of tasks distributed among the team members working at remote sites. As teams are distributed geographically and the communication among the distributed teams is less, task and responsibilities are not allocated properly. This may lead to lack of shared understanding and confusion among the team members [L84].</t>
  </si>
  <si>
    <t>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t>
  </si>
  <si>
    <t>Task size</t>
  </si>
  <si>
    <t>Simple 1 - 5 Complex</t>
  </si>
  <si>
    <t>Participation and support to solve issues (managerial practices)</t>
  </si>
  <si>
    <t>This category consists of ideas to increase the acceptance of, and commitment to, both the organization and the transformation process. This can be achieved by the employee’s participation in organizational processes- and structures [L16].
 Personal attachment and support towards the project Team members’ ability to provide assistance in solving problems [L85].</t>
  </si>
  <si>
    <t>This category consists of ideas to increase the acceptance of, and commitment to, both the organization and the transformation process. This can be achieved by the employee’s participation in organizational processes- and structures</t>
  </si>
  <si>
    <t>Personal attachment and support towards the project Team members’ ability to provide assistance in solving problems</t>
  </si>
  <si>
    <t>Persistent, conscientious responsiveness information (managerial practices)</t>
  </si>
  <si>
    <t>Persistent, conscientious responsiveness information of teams</t>
  </si>
  <si>
    <t>Persistent, conscientious responsiveness information of teams on project outcomes Establishing pertinent information towards the project outcome [L85].</t>
  </si>
  <si>
    <t>Persistent, conscientious responsiveness information of teams on project outcomes Establishing pertinent information towards the project outcome</t>
  </si>
  <si>
    <t>Understanding the project requirements (managerial practices)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</si>
  <si>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This ultimately leads to a critical situation and onsite team will have an impression that provided knowledge transfer was not understood by offshore team and they do not give any feedback regarding their lack of understanding.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Software documentation plays a vital role during knowledge transfer; A major challenge during Knowledge transfer is that sometimes documentation like (e.g., design documents, code examples or tutorials or) were slightly out-of-date and not updated in project repositories and ultimately they do not feel like a primary source of information. The reason is that employees generally take that maintaining documentation is time consuming so they neglect to update in a project repository [L09].</t>
  </si>
  <si>
    <t>Capacity to absorb technical and business knowledge (managerial practices)</t>
  </si>
  <si>
    <t>Understand the process with respect to the implementation (managerial practices)</t>
  </si>
  <si>
    <t>Understanding the process</t>
  </si>
  <si>
    <t>Understanding the process with respect to knowledge transfer effectiveness on project outcome</t>
  </si>
  <si>
    <t>Clear objective to initiate the project in GSD environment (service leadership)</t>
  </si>
  <si>
    <t>Knowledge incentive toward client business process (service leadership)</t>
  </si>
  <si>
    <t>Knowledge incentive directed towards business process and project outcome</t>
  </si>
  <si>
    <t>Build up a pilot knowledge between teams (service leadership)</t>
  </si>
  <si>
    <t>Information flow and pilot knowledge of the teams</t>
  </si>
  <si>
    <t>Project functionality toward client’s business process (service leadership)</t>
  </si>
  <si>
    <t>Project performance on expected functionality Project functionality towards client’s business process</t>
  </si>
  <si>
    <t>Understanding the goals, tasks, and responsibilities over the client’s business process (service leadership)</t>
  </si>
  <si>
    <t>Knowledge of client language and culture</t>
  </si>
  <si>
    <t>Gathering the information and experience among teams</t>
  </si>
  <si>
    <t>Brainstorming actions for organizations (service leadership)</t>
  </si>
  <si>
    <t>Flexibility and beneficial decisions among teams (global service climate)</t>
  </si>
  <si>
    <t>Participation, acceptance, and learning incentive of innovative technology (global service climate)</t>
  </si>
  <si>
    <t>Participation, acceptance, and learning incentive of innovative technology L85</t>
  </si>
  <si>
    <t>Enhancement in technology and applications for knowledge transfer</t>
  </si>
  <si>
    <t>Advance &amp; Uniform Development Environment and Training</t>
  </si>
  <si>
    <t>Training and education sessions</t>
  </si>
  <si>
    <t>Efficient Incremental/Continuous integration</t>
  </si>
  <si>
    <t>Efficient specification for Interface Compatibility</t>
  </si>
  <si>
    <t>Proper Documentation &amp; Configuration Management</t>
  </si>
  <si>
    <t>Careful evaluation of the COTS/OTS Components</t>
  </si>
  <si>
    <t>L66 - Almost all types and size of software are composed from more than one software components/ modules. These components may be developed inhouse or may be outsourced offshore or onshore. Similarly the components may be purchased from the market as a “commercial off the shelf (COTS)” component or from the large pole of open source community as a “off the shelf (OTS)” component. There is a need to identify the positive factors that may ease the integration process and the barriers that hurdle it in the above different scenarios [7, 8]</t>
  </si>
  <si>
    <t>Use of Standard Model for Process, Data and Product’s Components</t>
  </si>
  <si>
    <t>Use of Efficient Metrics</t>
  </si>
  <si>
    <t>Tools and technology: quality metrics</t>
  </si>
  <si>
    <t>Specific Integration Timing</t>
  </si>
  <si>
    <t>Physical conditions: climatic condition/weather</t>
  </si>
  <si>
    <t>Physical conditions: unexpected geological condition</t>
  </si>
  <si>
    <t>Physical conditions: working and workspace atmosphere</t>
  </si>
  <si>
    <t>Project: Requirement estimation</t>
  </si>
  <si>
    <t>Internal project communication.
 Intrainformation and interinformation sharing across distributed sites. Requirements change management is considered to be a rich communication activity in software development and an efficient information sharing mechanism that facilitates the management of the information, integration, and coordination of Requirements change management activities across distributed sites. Therefore, Martin et al argued that appropriate information sharing has a significant positive impact on the Requirements change management activities conducted in the Global software development environment [L69]</t>
  </si>
  <si>
    <t>Internal project communication</t>
  </si>
  <si>
    <t>SF3 (intrainformation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</si>
  <si>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Tools and technology: process selection</t>
  </si>
  <si>
    <t>Improper selection of communication technology is also influenced by temporal distance. In the cited literature, more than 23% of the studies considered it a crucial risk factor in Global software development. Whenever the large time difference occurs between the remote team video conferencing and any communicating technology such as Skype is not suitable. So, the best recommended technology for communication between the team members is email.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[L84].</t>
  </si>
  <si>
    <t>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t>
  </si>
  <si>
    <t>Tools and technology: management performance</t>
  </si>
  <si>
    <t>Tools and technology: management decision</t>
  </si>
  <si>
    <t>Tools and technology: testing accuracy</t>
  </si>
  <si>
    <t>Trust: among team members</t>
  </si>
  <si>
    <t>LARGE TEAM SIZE. Team size refers to the number of people working together as a team to achieve certain goals. Team size is a major factor in software development project.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Global software development. Usually Global software development projects consist of large teams. Therefore, many projects often fail due to the inappropriate communication among the large teams distributed at remote sites [L84].</t>
  </si>
  <si>
    <t>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t>
  </si>
  <si>
    <t>Team: the value of team cohesion</t>
  </si>
  <si>
    <t>LOSS OF TEAM SPIRIT. Team spirit is defined as the feeling of satisfaction and honesty that coexists between the team members, and motivates them to do well or to be the best. The team develops a proper work environment whenever there is trust and understanding between the team members and knows one another. On the contrary, in Global software development teams are dispersed geographically, belonging to different cultural norms which may decrease the opportunity of effective communication and acquiring the benefits of collocated environment and which may lead towards the loss of team spirit and project failure [L84].</t>
  </si>
  <si>
    <t>Feeling of togetherness or closeness within the teams</t>
  </si>
  <si>
    <t>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</si>
  <si>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Team: capability to adopt to other team members</t>
  </si>
  <si>
    <t>Team: experience of work in the given team</t>
  </si>
  <si>
    <t>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[L84].</t>
  </si>
  <si>
    <t>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</si>
  <si>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Lack of face to face meeting</t>
  </si>
  <si>
    <t>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t>
  </si>
  <si>
    <t>Lack of proper negotiations and user involvement</t>
  </si>
  <si>
    <t>1 - 5 Proper negotiations</t>
  </si>
  <si>
    <t>1 - 5 Precise estimate</t>
  </si>
  <si>
    <t>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t>
  </si>
  <si>
    <t>Tools and technology: techniques</t>
  </si>
  <si>
    <t>Advance and uniform RCM infrastructure at GSD sites</t>
  </si>
  <si>
    <t>1 - 5 Advance &amp; Uniform</t>
  </si>
  <si>
    <t>Supporting tools and good infrastructure</t>
  </si>
  <si>
    <t>Poor user stories and their specifications (software methodology)</t>
  </si>
  <si>
    <t>Rewards and recognitions</t>
  </si>
  <si>
    <t>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t>
  </si>
  <si>
    <t>Individual initiatives, Mentoring by core team, Employee work life balance</t>
  </si>
  <si>
    <t>Mismatch between organizational structure and architectural design</t>
  </si>
  <si>
    <t>Alignment between architectural decisions to organization structure</t>
  </si>
  <si>
    <t>Organizational and architectural issues may arise due to the differences in organizational culture, lack of appropriate architecture etc., which leads towards misinterpretation and lack of communication among globally distributed team members [L84].
 Lack of alignment between architectural decisions to organization structure and not reflecting architectural changes to organization; Challenges brought by misalignment between organization and architecture; Challenges brought by personnel changes; Difficulties ensuring compliance of modular design throughout the lifecycle and changes in organization; Inability to retain experts from all domains required for change implementation [L83].</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</si>
  <si>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t>
  </si>
  <si>
    <t>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</si>
  <si>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Instability manifests itself as changing team structures, changing responsibilities between sites, changes in personnel and in roles of existing personnel [L83]. Country instability KHAN S.U. 2011-1</t>
  </si>
  <si>
    <t>Instability manifests itself as changing team structures, changing responsibilities between sites, changes in personnel and in roles of existing personnel.</t>
  </si>
  <si>
    <t>Lack of control over software quality</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</si>
  <si>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 [L83].</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</si>
  <si>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t>
  </si>
  <si>
    <t>Include business goals in design. Base architectural decisions on available resources. Establish quality management practices [L83].</t>
  </si>
  <si>
    <t>Include business goals in design (P6 co1 slr) Base architectural decisions on available resources (P6 co2 emp) Establish quality management practices (P6 co3 emp)</t>
  </si>
  <si>
    <t>Poor architectural knowledge management between sites</t>
  </si>
  <si>
    <t>Understanding architectural decisions can be aided by distributing knowledge on architectural artefacts across sites. However, in GSD, sharing artefacts is not enough, as issues arise not just from lack of access, but also from a lack of knowledge as to what needs to be shared. This issue is most notable in documentation. Different sites may have very different levels of education, and are accustomed to different notations and detail given in the documentation.
 Difficulties in effective creation and sharing of architectural artifacts.
 Difficulties in maintaining a common view of the project. 
 Inconsistent usage of electronic systems for knowledge sharing due to preference of social networks.Insufficient architectural documentation. Insufficient documentation practices. Insufficient knowledge management practices between projects and across organization. Disagreement in design choices. Problems recognizing and caused by conflicting assumptions on softwar. Insufficient understanding of architectural decisions in teams and other stakeholder groups. Incorrect assumptions made during design. Communication issues due to distances. Unclear ownership of architectural elements [L83].</t>
  </si>
  <si>
    <t>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</si>
  <si>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 [L83].</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</si>
  <si>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t>
  </si>
  <si>
    <t>Insufficiently defined or lack of conformance to shared practices across sites</t>
  </si>
  <si>
    <t>Inconsistent versioning. Insufficient interface specifications. Ignorance of or incorrect use of principles, rules and guidelines for architectural design and knowledge management. Lack of stability in architecture leads to difficulties in applying design rules and dividing tasks. A lack of conformance to architectural specification [L83].</t>
  </si>
  <si>
    <t>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t>
  </si>
  <si>
    <t>Standardize a set of architectural practices across locations</t>
  </si>
  <si>
    <t>Ensure that teams develop code based on common design agreements. Use common architectural practices and ensure they are well-defined. Consider a service oriented approach. Take advantage of Agile methods. Use prototyping. Ensure fit to requirements [L83].</t>
  </si>
  <si>
    <t>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t>
  </si>
  <si>
    <t>Problems associated with architectural design decision and identifying dependencies</t>
  </si>
  <si>
    <t>Insufficient decoupling, cross-component features. Challenges brought by the complexity of software. Difficulties defining logical entities and finding interface boundaries in architecture. Insufficient or no methods for identifying, understanding or preventing dependencies (between decisions, components or other software artefacts) within architecture. Inability to recognize dependencies between or created by architectural decisions. Lack of time and schedule pressures affect architectural decisions. A lack of compliance to the business process [L83].</t>
  </si>
  <si>
    <t>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t>
  </si>
  <si>
    <t>Apply architectural design practices for global software development</t>
  </si>
  <si>
    <t>Implement well-defined interfaces to increase modularization and aid loose coupling. Make interface design a priority. Ensure components that will be dispersed to distributed teams are loosely coupled or otherwise plan component breakdown to independent modules based on distribution of teams. Strive for high modularity and separation of concerns. Locate dependencies within architecture [L83].</t>
  </si>
  <si>
    <t>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t>
  </si>
  <si>
    <t>Use (call) graphs/matrices to depict and detect coupling. Use visualization of decisions/metrics. Use collaborative modeling. Use a variety of diagrams promote awareness. Don’t over-rely on UML diagrams [L83].</t>
  </si>
  <si>
    <t>Use (call) graphs/matrices to depict and detect coupling (P8 co1 slr) Use visualization of decisions/metrics (P8 co2 slr) Use collaborative modeling (P8 co3 slr) Use a variety of diagrams promote awareness (P8 co4 slr) Don’t over-rely on UML diagrams (P8 co5 slr)</t>
  </si>
  <si>
    <t>Issues with task allocation in a distributed setting</t>
  </si>
  <si>
    <t>Tasks allocation across Global software development sites [L69].
 Allocation of core team. Allocation of whole team [L72].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[L83].</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</si>
  <si>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t>
  </si>
  <si>
    <t>Allocation of core team. Allocation of whole team</t>
  </si>
  <si>
    <t>RCM tasks allocation across GSD sites</t>
  </si>
  <si>
    <t>Implement architecturebased task allocation in global software development</t>
  </si>
  <si>
    <t>Identify where the domain expertise lies and allocate tasks accordingly. Retain tightly coupled work items at one site. Acquire and arrange resources based on architecture. Base work allocation on available resources and minimize need for communication between sites. Let the architecture determine how tasks are allocated, and who is responsible for each task [L83].</t>
  </si>
  <si>
    <t>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</si>
  <si>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Lack of governance and compliance to processes</t>
  </si>
  <si>
    <t>Tool usage, project governance plan, knowledge transfer, metrics and continual improvement, planning for Subject Matter Expert time [L72].
 Difficulties with making the organization reporting structure match the geographic distribution of tasks. Overlooking organization management. Challenges due to inconsistent standardization, tools and equipment between sites. Schedule is prioritized over processes. Challenges fitting practical work to defined processes. Problems caused due to not involving a technical architect. Impractical condensing of knowledge due to high dependency on one lead architect [L83].</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</si>
  <si>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t>
  </si>
  <si>
    <t>Implement software development governance for global software development</t>
  </si>
  <si>
    <t>In particular, P3 (Implement software development governance for GSD) contains one concern which encourages engaging developers across sites. 
 While this relates to governance, the reason why interviewees gave this particular recommendation is strongly linked to commitment and motivation – giving a feeling of responsibility. 
 Assign responsibilities for prioritization, managing architectural work and sharing knowledge to teams. Break work items to easily manageable pieces (consider one subsystem, can be handled by one person). Define clear responsibilities for architecture team to handle changes that span through several components and/or sites. Ensure each site has representative architect. Engage developers across sites in architectural work [L83].</t>
  </si>
  <si>
    <t>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t>
  </si>
  <si>
    <t>Difficulties in managing people and handling soft issues</t>
  </si>
  <si>
    <t>Lack of commitment to software development processes and guidelines. Lack of commitment or interest in work items (distributed across sites). Misaligned interests and undesirability of tasks make task distribution challenging. Challenges in development work due to cultural differences in getting things done and reporting progress [L83].</t>
  </si>
  <si>
    <t>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t>
  </si>
  <si>
    <t>Every culture has their standards, styles and moral principle that can provoke communication-related issues when individual belonging from different cultural background communicate with one another. Socio-cultural distance includes national, organizational, political and religious background and moral values due to which the probability of misunderstanding increases, which may negatively impact the team performance. In Global software development team members having different culture are usually working on the same project but on the distributed sites, that make it difficult for the teams to collaborate effectively. Furthermore, socio-cultural issues in the frame of reference of Europe are complicated due to several dozens of distinct cultures inside Europe. The differences in working patterns are also considered as one of the reasons for working in multi-cultural teams, as various underlying culture will affect the way people think and feel about different concerns [L84].</t>
  </si>
  <si>
    <t>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</si>
  <si>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The difference in team member’s attitude will be considered as a crucial communication challenge in Global software development that arises due to personnel attitudes, mindset and knowledge [L84].</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</si>
  <si>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t>
  </si>
  <si>
    <t>Customer issues</t>
  </si>
  <si>
    <t>LACK OF CUSTOMER INVOLVEMENT, the customer may be far away from the development team, and it is difficult for them to travel in order to elaborate the requirements in detail. Because of the distance between the customer and the developer, frequent communication between them is a difficult task to do. Customers usually don’t show full involvement while discussing the requirements in detail during the development process, which may lead to a weak relationship between the developer and the customer. This may have a negative impact on the quality of the project.
 This category involves the communication with the customer who elaborates on the requirements about the desired project.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[L84].</t>
  </si>
  <si>
    <t>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</si>
  <si>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Increased cost and logistics of holding face to face meetings</t>
  </si>
  <si>
    <t>Cost and logistics of meetings</t>
  </si>
  <si>
    <t>In Global software development, sometimes it is essential to conduct face to face meeting with the teams located at a remote location, mostly in the initial phases of the project. It can be very costly and timetaking to travel frequently at a remote location. Moreover, logistical issues such as visa insurance, flight connectivity, travelling charges also contributes to the problems caused by geographical distance among remote sites. Also, authors highlighted that additional and hidden cost caused due to geographical distance is considered as one of the major risks in Global software development [L84].</t>
  </si>
  <si>
    <t>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t>
  </si>
  <si>
    <t>Increase effort to initiate contact</t>
  </si>
  <si>
    <t>INCREASE EFFORT TO INITIATE CONTACT.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[L84].</t>
  </si>
  <si>
    <t>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t>
  </si>
  <si>
    <t>Less time overlapping</t>
  </si>
  <si>
    <t>LESS TIME OVERLAPPING. One of the drawbacks of less time overlapping regarding temporal distance in Global software development is that the time period of the work is decreased among the sites which lead to less work done. This leads to excessive work in limited amount of time and also increases the communication overhead. Less overlapping working hours increases the possibility of using asynchrony’s communication, as the overlapping working hours is the only time in which the usage of synchrony’s communication is feasible [L84].</t>
  </si>
  <si>
    <t>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t>
  </si>
  <si>
    <t>Reduced communication frequency</t>
  </si>
  <si>
    <t>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</si>
  <si>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Lack of adequate communication</t>
  </si>
  <si>
    <t>Insufficient 1 - 5 proper/adequate</t>
  </si>
  <si>
    <t>Lack of mutual undestanding</t>
  </si>
  <si>
    <t>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t>
  </si>
  <si>
    <t>Inability to effective communication</t>
  </si>
  <si>
    <t>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</si>
  <si>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t>
  </si>
  <si>
    <t>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</si>
  <si>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Connectivity issues that hinder communication</t>
  </si>
  <si>
    <t>Connectivity issues</t>
  </si>
  <si>
    <t>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</si>
  <si>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Limited infrastructure, tools, and techniques</t>
  </si>
  <si>
    <t>Advanced and uniform communication infrastructure</t>
  </si>
  <si>
    <t>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</si>
  <si>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Low quality of telecommunication bandwidth</t>
  </si>
  <si>
    <t>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t>
  </si>
  <si>
    <t>Lack of ICT/ Technological cohesion</t>
  </si>
  <si>
    <t>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</si>
  <si>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Lack of uniform processes</t>
  </si>
  <si>
    <t>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</si>
  <si>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Miscommunication of customer requirements</t>
  </si>
  <si>
    <t>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</si>
  <si>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Specialty and knowledge creation ability among the teams</t>
  </si>
  <si>
    <t>Clear vision to solve their professional problems towards the project outcome</t>
  </si>
  <si>
    <t>Explicit and standard communication pattern for knowledge transfer effectiveness</t>
  </si>
  <si>
    <t>Specialty and knowledge creation ability of the teams</t>
  </si>
  <si>
    <t>knowledge transfer benefits on mediating role of project outcome</t>
  </si>
  <si>
    <t>Assessment of teams knowledge transfer effectiveness on project outcome</t>
  </si>
  <si>
    <t>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t>
  </si>
  <si>
    <t>Benevolence</t>
  </si>
  <si>
    <t>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t>
  </si>
  <si>
    <t>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t>
  </si>
  <si>
    <t>Accountability</t>
  </si>
  <si>
    <t>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t>
  </si>
  <si>
    <t>Interpersonal and intercultural competencies: negotiation skills</t>
  </si>
  <si>
    <t>Interpersonal and intercultural competencies: reasoning skills</t>
  </si>
  <si>
    <t>Interpersonal and intercultural competencies: knowledge of communication protocols and customs</t>
  </si>
  <si>
    <t>1 - 5 Proper knowledge</t>
  </si>
  <si>
    <t>Interpersonal and intercultural competencies: communication skills using a common terminology in a second language</t>
  </si>
  <si>
    <t>Interpersonal and intercultural competencies: ability to
 motivate others and create trust,</t>
  </si>
  <si>
    <t>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t>
  </si>
  <si>
    <t>Anxiety (personality dimensions)</t>
  </si>
  <si>
    <t>Self-control (personality dimensions)</t>
  </si>
  <si>
    <t>Sensitivity (personality dimensions)</t>
  </si>
  <si>
    <t>Emotional stability (personality dimensions)</t>
  </si>
  <si>
    <t>Frequent information sharing among oversees practitioners</t>
  </si>
  <si>
    <t>Up-to-date progress reporting L93
 An organized frequent meeting among distributed teams</t>
  </si>
  <si>
    <t>Up-to-date progress reporting</t>
  </si>
  <si>
    <t>Different techniques of requirements elicitation</t>
  </si>
  <si>
    <t>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t>
  </si>
  <si>
    <t>Lack of Informal communication</t>
  </si>
  <si>
    <t>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t>
  </si>
  <si>
    <t>Inexperienced staff (HR management)</t>
  </si>
  <si>
    <t>Experienced staff</t>
  </si>
  <si>
    <t>Lack of agile training (HR management)</t>
  </si>
  <si>
    <t>Poor project scope</t>
  </si>
  <si>
    <t>Lack of organizational commitments</t>
  </si>
  <si>
    <t>Lack of scaling tools and standards</t>
  </si>
  <si>
    <t>Error management</t>
  </si>
  <si>
    <t>This subcategory regards the organization’s culture in dealing with mistakes. A constructive error culture is seen as a prerequisite for a successful digital transformation, especially during the transition phase</t>
  </si>
  <si>
    <t>This subcategory describes the competence in the handling of date. This includes large data volumes and data security</t>
  </si>
  <si>
    <t>In this subcategory includes all aspects of one’s professional qualification are supplemented. The focus is here on the changing learning conditions due to caused by digitization, including changing job profiles, working materials- and systems, and business models</t>
  </si>
  <si>
    <t>Gathering the information and experiences among teams.</t>
  </si>
  <si>
    <t>Sharing the knowledge and experiences among team members</t>
  </si>
  <si>
    <t>Team members ability to provide assistance to solving problems</t>
  </si>
  <si>
    <t>Personal attachment and support towards the project.</t>
  </si>
  <si>
    <t>Learning and sharing the technical information and work materials 
of teams</t>
  </si>
  <si>
    <t>Tools and technology to facilitate knowledge transfer within teams.</t>
  </si>
  <si>
    <t>C296</t>
  </si>
  <si>
    <t>Work-Life Balance Issues (Women)</t>
  </si>
  <si>
    <t>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t>
  </si>
  <si>
    <t>C297</t>
  </si>
  <si>
    <t>C298</t>
  </si>
  <si>
    <t>C299</t>
  </si>
  <si>
    <t>C300</t>
  </si>
  <si>
    <t>C301</t>
  </si>
  <si>
    <t>C302</t>
  </si>
  <si>
    <t>C303</t>
  </si>
  <si>
    <t>C304</t>
  </si>
  <si>
    <t>C305</t>
  </si>
  <si>
    <t>C306</t>
  </si>
  <si>
    <t>C307</t>
  </si>
  <si>
    <t>C308</t>
  </si>
  <si>
    <t>C309</t>
  </si>
  <si>
    <t>C310</t>
  </si>
  <si>
    <t>Sexism (Women)</t>
  </si>
  <si>
    <t>Lack of Recognition (Women)</t>
  </si>
  <si>
    <t>Lack of Peer Parity (Women)</t>
  </si>
  <si>
    <t>Women personalize failures, feel ashamed and inferior (Women)</t>
  </si>
  <si>
    <t>Glass Ceiling (Women)</t>
  </si>
  <si>
    <t>Pay inequality between genders (Women)</t>
  </si>
  <si>
    <t>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t>
  </si>
  <si>
    <t>Pay inequality between genders (*)
Inferior career growth opportunities (*)
Men lift only their counterparts to top layer
Lack of transparency about the laddering criteria</t>
  </si>
  <si>
    <t>Prove-it Again (Women)</t>
  </si>
  <si>
    <t>Maternal Wall (Women)</t>
  </si>
  <si>
    <t>Team knowledge</t>
  </si>
  <si>
    <t>Total number of technical skills</t>
  </si>
  <si>
    <t>Cooperation and competition within the teams’ to fulfill the goals</t>
  </si>
  <si>
    <t>Religion and political attitudes</t>
  </si>
  <si>
    <t>Requirements stability</t>
  </si>
  <si>
    <t>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</si>
  <si>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t>
  </si>
  <si>
    <t>Task Information</t>
  </si>
  <si>
    <t>Degree of task information</t>
  </si>
  <si>
    <t>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</si>
  <si>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Personal information</t>
  </si>
  <si>
    <t>Degree of personal information</t>
  </si>
  <si>
    <t>Communication Concreteness</t>
  </si>
  <si>
    <t>Degree of communication concreteness</t>
  </si>
  <si>
    <t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t>
  </si>
  <si>
    <t>Degree of affective intensity</t>
  </si>
  <si>
    <t>Affective intensity</t>
  </si>
  <si>
    <t>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t>
  </si>
  <si>
    <t>Total number of technical skills (one employee)</t>
  </si>
  <si>
    <t>Skilled human resources (type of skill or expertise of practitioners)</t>
  </si>
  <si>
    <t>Degree of infrastructure</t>
  </si>
  <si>
    <t>Limited support for real-time systems and large systems</t>
  </si>
  <si>
    <t>Formalised relationship between development teams</t>
  </si>
  <si>
    <t>Lack of formal communication</t>
  </si>
  <si>
    <t>Limited support for reusability</t>
  </si>
  <si>
    <t>Lack of long-term planning</t>
  </si>
  <si>
    <t>Accelarated delivery</t>
  </si>
  <si>
    <t>C311</t>
  </si>
  <si>
    <t>C312</t>
  </si>
  <si>
    <t>C313</t>
  </si>
  <si>
    <t>C314</t>
  </si>
  <si>
    <t>C315</t>
  </si>
  <si>
    <t>Efficient utilization of time and computing resources</t>
  </si>
  <si>
    <t>E-waste minimization</t>
  </si>
  <si>
    <t>Green and sustainable management of product lige cycle</t>
  </si>
  <si>
    <t>Minimal reengineering</t>
  </si>
  <si>
    <t>Polymorphic design</t>
  </si>
  <si>
    <t xml:space="preserve">Technical incompatibilities among distributed sites cause hindrance in communication due to the technological issues. A project having various distributed teams introduces the probability of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 [L84] </t>
  </si>
  <si>
    <t>Establisiong proper infrastructure to facilitate communication and ensuring that it works properly.</t>
  </si>
  <si>
    <t>Encouraging synchronous communication in form of chatting, telephone calls, and videoconferencing.</t>
  </si>
  <si>
    <t>Adapting and understanding the culture of other stackholders means knowing about the traditions, beliefs, ethos and native language.</t>
  </si>
  <si>
    <t>Focusing on improving the communication language, for example, offering English language courses.</t>
  </si>
  <si>
    <t>Appoiting cultural liaisons or proxies (individuals who are familiar with the culture of client and vendor)</t>
  </si>
  <si>
    <t>Establising proximity development center in the region having no or a little time zone difference from the region of client.</t>
  </si>
  <si>
    <t>Trying to find natural overlapping of working hours. Assessing the around-the-clock capability of working</t>
  </si>
  <si>
    <t>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t>
  </si>
  <si>
    <t>Conducting social events</t>
  </si>
  <si>
    <t>Facilitating socialization among the practitioners from the beginning of the project, like arranging face-to-face start-off meetings to establish personal relationships.</t>
  </si>
  <si>
    <t>Facilitating direct communication among the stakeholders.
Ensuring that stakeholders introduce themselves to one another right from the beginning of the project.</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</si>
  <si>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t>
  </si>
  <si>
    <t>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t>
  </si>
  <si>
    <t>Having clearly delineated and comprehended requirements enginnering processes.</t>
  </si>
  <si>
    <t>Regularly checking and notifying the progress about mutually agreed upon artifacts.</t>
  </si>
  <si>
    <t>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t>
  </si>
  <si>
    <t>Represent elements of task uncertainty that have been the basis of many studies of organizational structure and process.</t>
  </si>
  <si>
    <t>Defined as the commitment of each team member to remain united in the persuit of the team's goals and to each member's affective needs</t>
  </si>
  <si>
    <t>C316</t>
  </si>
  <si>
    <t>Empowerment</t>
  </si>
  <si>
    <t>Defined as the collective belief in a group that it can be effective and its role in determining group effectiveness.</t>
  </si>
  <si>
    <t>Article Title</t>
  </si>
  <si>
    <t>DATABASE WOS 9-2-21</t>
  </si>
  <si>
    <t>Book Editors</t>
  </si>
  <si>
    <t>Conference Title</t>
  </si>
  <si>
    <t>Conference Date</t>
  </si>
  <si>
    <t>Conference Location</t>
  </si>
  <si>
    <t>Conference Sponsor</t>
  </si>
  <si>
    <t>Conference Host</t>
  </si>
  <si>
    <t>Author Keywords</t>
  </si>
  <si>
    <t>Keywords Plus</t>
  </si>
  <si>
    <t>Addresses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</si>
  <si>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</si>
  <si>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</si>
  <si>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</si>
  <si>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</si>
  <si>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</si>
  <si>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</si>
  <si>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</si>
  <si>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</si>
  <si>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</si>
  <si>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</si>
  <si>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</si>
  <si>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</si>
  <si>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</si>
  <si>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</si>
  <si>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</si>
  <si>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</si>
  <si>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</si>
  <si>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</si>
  <si>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</si>
  <si>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</si>
  <si>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</si>
  <si>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</si>
  <si>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</si>
  <si>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</si>
  <si>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</si>
  <si>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</si>
  <si>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</si>
  <si>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</si>
  <si>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</si>
  <si>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</si>
  <si>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</si>
  <si>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</si>
  <si>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</si>
  <si>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</si>
  <si>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</si>
  <si>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</si>
  <si>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</si>
  <si>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</si>
  <si>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</si>
  <si>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</si>
  <si>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</si>
  <si>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</si>
  <si>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</si>
  <si>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</si>
  <si>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</si>
  <si>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</si>
  <si>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</si>
  <si>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A Systematic Literature Mapping: risk-based testing in software development</t>
  </si>
  <si>
    <t>Wos2022new</t>
  </si>
  <si>
    <t>10.25100/iyc.23il.9503</t>
  </si>
  <si>
    <t>J</t>
  </si>
  <si>
    <t>Bastidas, Maria, I; Pardo, Cesar J.; Ardila, Carlos A.</t>
  </si>
  <si>
    <t>INGENIERIA Y COMPETITIVIDAD</t>
  </si>
  <si>
    <t>Risk-based testing (RBT) is a type of test that helps identify product risks from the start of development, incorporating techniques that allow them to be identified and classified according to their impact and probability to create test cases for those selected requirements. However, in software development organizations the identified risks are related to the planning or cost of the project to guarantee product delivery and do not consider other risks as input for the creation of test cases and quality evaluation. of the product. Therefore, the objective of systematic mapping is based on identifying and determining the state of the art of publications related to RBT used in the software industry, in addition to metrics that incorporate or evaluate the performance of these types of tests and their benefits. The results show the proposals found on the software industry RBT and the importance of use as other types of software testing. Also, we present a preview of the Framework to support the RBT in global software development.</t>
  </si>
  <si>
    <t>CALVACHE, CESAR JESUS PARDO/M-5644-2019</t>
  </si>
  <si>
    <t>CALVACHE, CESAR JESUS PARDO/0000-0002-6907-2905</t>
  </si>
  <si>
    <t>0123-3033</t>
  </si>
  <si>
    <t>JAN-JUL</t>
  </si>
  <si>
    <t>e9503</t>
  </si>
  <si>
    <t>WOS:000624969300003</t>
  </si>
  <si>
    <t>Analysis and Evaluating the Effect of Harmonic Distortion Levels in Industry</t>
  </si>
  <si>
    <t>10.1109/ICECE51984.2021.9406283</t>
  </si>
  <si>
    <t>C</t>
  </si>
  <si>
    <t>IEEE</t>
  </si>
  <si>
    <t>Riaz, Muhammad Tanveer; Afzal, Muhammad Muneeb; Aaqib, Sheikh Muhammad; Ali, Haider</t>
  </si>
  <si>
    <t>2021 4TH INTERNATIONAL CONFERENCE ON ENERGY CONSERVATION AND EFFICIENCY (ICECE 2021)</t>
  </si>
  <si>
    <t>4th International Conference on Energy Conservation and Efficiency (ICECE)</t>
  </si>
  <si>
    <t>MAR 16-17, 2021</t>
  </si>
  <si>
    <t>Lahore, PAKISTAN</t>
  </si>
  <si>
    <t>IEEE,IEEE Lahore Sect,IEEE Power &amp; Energy Soc,CERAD,Univ Engn &amp; Technol</t>
  </si>
  <si>
    <t>Power Quality is an escalating concern for power engineers since the use of increased electronic devices. The primary reason for deteriorating Power Quality is high levels of Harmonics. Harmonic glitches in the industry are produced from numerous sources, mainly Variable Frequency Drives and Rectified Loads. Harmonics produce various unwanted effects; consequently, it is imperative to identify harmonic distortions, recognize all effects pertaining to harmonics, and analysis of power system quality with tools and equipment that are available for reliable power system operation. In this study, the harmonic analysis will be presented in Industry using Fluke Energy Analyzer. The measured THD values for the Voltage and current will be used to model and analyze overall harmonics in the complete three-phase distribution system of Textile Plant through simulation using ETAP software. A model in ETAP software is presented to demonstrate the applicability of the proposed techniques for harmonics reduction and Power factor correction (PFC) at the same time.</t>
  </si>
  <si>
    <t>Riaz, Muhammad Tanveer/AAT-9172-2021</t>
  </si>
  <si>
    <t>Riaz, Muhammad Tanveer/0000-0002-4391-9821; Sheikh Muhammad, Aaqib/0000-0001-8638-1032</t>
  </si>
  <si>
    <t>978-1-6654-0374-0</t>
  </si>
  <si>
    <t>WOS:000685203600008</t>
  </si>
  <si>
    <t>Are You There, Moriarty? Feasibility Study of Internet-based Location for Location-based Access Control Systems</t>
  </si>
  <si>
    <t>10.5220/0010541101110124</t>
  </si>
  <si>
    <t>DiVimercati, SDC; Samarati, P</t>
  </si>
  <si>
    <t>Sukmana, Muhammad I. H.; Kohlen, Kai-Oliver; Goedecken, Carl; Schulze, Pascal; Meinel, Christoph</t>
  </si>
  <si>
    <t>SECRYPT 2021: PROCEEDINGS OF THE 18TH INTERNATIONAL CONFERENCE ON SECURITY AND CRYPTOGRAPHY</t>
  </si>
  <si>
    <t>18th International Conference on Security and Cryptography (SECRYPT)</t>
  </si>
  <si>
    <t>JUL 06-08, 2021</t>
  </si>
  <si>
    <t>ELECTR NETWORK</t>
  </si>
  <si>
    <t>As the Internet becomes more ubiquitous, everyone could access the data and services anytime, anywhere. However, it raises the challenge to enforce physical access control for the data or services to only be accessed in specific locations. Location-based access control (LBAC) systems could provide physical access control by only authorizing access to the services or data for the requesters at the allowed locations. In this paper, we continue our previous work and assess the feasibility of using Internet-based location for LBAC systems by inferring the information from the requester's Internet-connected device to determine whether the requester is in the allowed location. We develop Internet-based location access control (ILAC) system to determine and verify the requester's location using two delay-based geolocation algorithms and third-party open-source intelligence services. The evaluation conducted in the Amazon Mechanical Turk proves the Internet-based location has great potential as a location information input for LBAC systems with country-level accuracy.</t>
  </si>
  <si>
    <t>978-989-758-524-1</t>
  </si>
  <si>
    <t>WOS:000720102500009</t>
  </si>
  <si>
    <t>Artificial intelligence in the workplace State of research, concepts and empirical evidence regarding autonomy</t>
  </si>
  <si>
    <t>10.5771/0038-6073-2021-4-551</t>
  </si>
  <si>
    <t>Giering, Oliver; Kirchner, Stefan</t>
  </si>
  <si>
    <t>SOZIALE WELT-ZEITSCHRIFT FUR SOZIALWISSENSCHAFTLICHE FORSCHUNG UND PRAXIS</t>
  </si>
  <si>
    <t>The current debate about artificial intelligence (AI) often expects a radical change in the working world, which also affects the quality of work. So far, many far-reaching expectations face very little empirical evidence. Moreover, it is often not considered that the use of AI at the workplace requires certain digital work tools, which themselves can influence core aspects of work quality, such as autonomy. This paper introduces the current state of research on AI alongside approaches on possible relationships between AI and autonomy as a core dimension of work quality. We empirically investigate these relationships using the SOEP-IS 2019 dataset, with variables for autonomy, for various digital work tools, and for AI use. Our empirical results show only a superficial positive relationship between AI usage and autonomy. Our analyses confirm that the use of AI is systematically related to specific digital work tools, some of which show a significantly stronger relationship with autonomy than AI usage itself. The paper presents empirical findings on the importance of AI for autonomy and finds no evidence for radical differences at the workplaces. We conclude by discussing how empirical research and theories can be advanced in a context where parts of the debate on AI are oriented toward fictions of radical change.</t>
  </si>
  <si>
    <t>0038-6073</t>
  </si>
  <si>
    <t>WOS:000773033200007</t>
  </si>
  <si>
    <t>Asset ownership &amp; incentives to undertake non-contractible actions: The case of trucking</t>
  </si>
  <si>
    <t>10.1111/jscm.12263</t>
  </si>
  <si>
    <t>Miller, Jason; Skowronski, Keith; Saldanha, John</t>
  </si>
  <si>
    <t>JOURNAL OF SUPPLY CHAIN MANAGEMENT</t>
  </si>
  <si>
    <t>Firms must continually adjust their operations and those of their supply chain members in response to a continually evolving external environment. Many of these modifications are non-contractible in that firms cannot devise and enforce contracts on these behaviors. In this research, we extend property rights theory of the firm (PRTF) by suggesting that small entrepreneurs' ownership of assets used to perform delegated tasks does not always incentivize small entrepreneurs to undertake non-contractible actions (NCAs) as assumed by canonical PRTF. We argue that the ability of asset ownership to incentivize small entrepreneurs to undertake NCAs will be muted when undertaking NCAs reduces small entrepreneurs' productivity. We test our hypotheses by examining how trucking companies' use of independent contractors affected the rate at which they improved compliance with different types of safety rules following a major regulatory change. Consistent with our arguments, we find that the use of independent contractors slowed carriers' rate of firm-wide improvement on compliance with hours-of-service and vehicle maintenance rules relative to driving safety rules. These results, which remain after extensive robustness testing, have important implications for theory and practice.</t>
  </si>
  <si>
    <t>Saldanha, John/0000-0003-1345-1743; Miller, Jason/0000-0001-5731-640X; Skowronski, Keith/0000-0001-9067-5164</t>
  </si>
  <si>
    <t>1523-2409</t>
  </si>
  <si>
    <t>1745-493X</t>
  </si>
  <si>
    <t>JAN</t>
  </si>
  <si>
    <t>JUN 2021</t>
  </si>
  <si>
    <t>WOS:000660391300001</t>
  </si>
  <si>
    <t>BLURRING BOUNDARIES BETWEEN PRODUCTION AND CONSUMPTION IN PLATFORM-BASED LABOR MARKETS. AN EMPIRICAL ANALYSIS</t>
  </si>
  <si>
    <t>Kliestik, T</t>
  </si>
  <si>
    <t>Nica, Elvira; Sabie, Oana Matilda; Potcovaru, Ana-Madalina; Dumitrescu, Oana Catalina; Mitea, Dana Elena Raluca</t>
  </si>
  <si>
    <t>GLOBALIZATION AND ITS SOCIO-ECONOMIC CONSEQUENCES</t>
  </si>
  <si>
    <t>18th International Scientific Conference on Globalization and Its Socio-Economic Consequences</t>
  </si>
  <si>
    <t>OCT 10-11, 2018</t>
  </si>
  <si>
    <t>Rajecke Teplice, SLOVAKIA</t>
  </si>
  <si>
    <t>Univ Zilina, Fac Operat &amp; Econ Transport &amp; Commun, Dept Econ</t>
  </si>
  <si>
    <t>We follow recent research (e.g. Mair and Reischauer, 2017) showing that the global sharing economy has activated economic and socially significant underlying forces, altering current markets. Using the data from BLS, ChunkofChange, Edison Research, Marketplace, National Technology Readiness, The Office for National Statistics (UK), and Statista, we performed analyses and made estimates regarding annual on-demand economy spending (billions), the proportion of the gig economy, and the share of generational groups who think that the gig economy is good thing for everyone in the U.S. Empirical and secondary data are employed to support the claim that sharing economy entities operate a digital platform that enables workers to share resources. Culture shapes the option of organizational configurations and gives a reason for the heterogeneity of sharing economy entities. The sharing economy is a network of markets in which workers utilize diverse types of compensation to carry out the reallocation of and access to resources, facilitated by a digital platform administered by a company. A sharing economy entity supplies the infrastructure that people employ to distribute resources. The underlying forces of the sharing economy entail processes of market transformation, may encompass mechanisms of market emergence, and may comprise deliberate and unexpected effects of organizations' behavior. Sharing economy entities adhere to rule-like instructions ascendant in their cultural setting, resemble widespread requirements in their economic systems, and use manifold routines to assimilate digital platform users.</t>
  </si>
  <si>
    <t>978-80-8154-249-7</t>
  </si>
  <si>
    <t>WOS:000681676300101</t>
  </si>
  <si>
    <t>'Business Risk-Assumption' as a Criterion for the Determination of EU Employment Status: A Critical Evaluation</t>
  </si>
  <si>
    <t>10.1093/indlaw/dwaa031</t>
  </si>
  <si>
    <t>Georgiou, Despoina</t>
  </si>
  <si>
    <t>INDUSTRIAL LAW JOURNAL</t>
  </si>
  <si>
    <t>In the European legal order, the criterion of 'business risk-assumption' is increasingly being used by the ECJ as an element that would point to the existence of an independent working relationship. To what type of risks is the Court referring to? What are the normative underpinnings of this criterion and is it still effective in classifying modern-day workers? This paper responds to these questions by analysing and critically evaluating the use of 'business risk-assumption' as a criterion for the determination of EU employment status. More precisely, in section 2, I revisit the classical paradigm that led to the adoption of this criterion and demonstrate how it has been superseded by recent changes in market structures. In section 3, I show why employment status cannot just be left up to the parties and advocate for the need for an alternative 'risk'-based criterion that would mitigate the deficiencies of the current framework, precipitating the fair mutualisation of risks between the parties. Finally, in section 4, I present and critically evaluate alternative 'risk'-related criteria that have been proposed in the literature. After analysing the advantages and disadvantages of each approach, I argue in favour of a classification criterion based on the 'involuntary assumption of risks' measured by the 'inability of a person to spread his risks'. If adopted, the proffered criterion would lead to the expansion of the EU nomen juris of 'worker', allowing for the protection of vulnerable quasi-subordinate persons that are excluded from the current EU 'worker' definition.</t>
  </si>
  <si>
    <t>0305-9332</t>
  </si>
  <si>
    <t>1464-3669</t>
  </si>
  <si>
    <t>MAR 19</t>
  </si>
  <si>
    <t>dwaa031</t>
  </si>
  <si>
    <t>JAN 2021</t>
  </si>
  <si>
    <t>WOS:000755471100001</t>
  </si>
  <si>
    <t>CONTRACTUAL AUTONOMY, PUBLIC POLICY AND THE PROTECTIVE DOMAIN OF LABOUR LAW</t>
  </si>
  <si>
    <t>Bomball, Pauline</t>
  </si>
  <si>
    <t>MELBOURNE UNIVERSITY LAW REVIEW</t>
  </si>
  <si>
    <t>Recent changes in the nature of work relationships have drawn into sharp focus the way that employing entities may disguise employees as independent contractors and thereby remove those employees from the protective domain of labour law. In many cases, the avoidance of labour statutes is facilitated by the use of contractual terms that disclaim employment status. Clarity is required as to the circumstances in which a court may intervene to thwart such avoidance techniques, particularly by disregarding, or assigning limited weight to, the express terms of a work contract. An analysis of the Australian case law reveals inconsistencies in the judicial treatment of express terms in work contracts. This article argues that these inconsistencies are symptomatic of an underlying tension between the concepts of contractual autonomy and public policy in the law of the employment contract. When a court places limited weight upon, or disregards altogether, some of the express terms of a work contract, the court is engaged in a form of judicial intervention in a private bargain. This article analyses the concepts of contractual autonomy and public policy, and uses this analysis to develop a conceptual framework that rationalises and justifies such judicial intervention.</t>
  </si>
  <si>
    <t>0025-8938</t>
  </si>
  <si>
    <t>1839-3810</t>
  </si>
  <si>
    <t>WOS:000675700600001</t>
  </si>
  <si>
    <t>COVID-19 pandemic exposes the vulnerability of the sharing economy: a novel accounting framework</t>
  </si>
  <si>
    <t>10.1080/09669582.2020.1868484</t>
  </si>
  <si>
    <t>Chen, Guangwu; Cheng, Mingming; Edwards, Deborah; Xu, Lixiao</t>
  </si>
  <si>
    <t>JOURNAL OF SUSTAINABLE TOURISM</t>
  </si>
  <si>
    <t>The outbreak of the COVID-19 pandemic has resulted in a global economic recession, but little is known about the impact it has had on the informal economy, including the peer-to-peer rental market. This study assessed the financial loss of Airbnb listings for its hosts in Greater Sydney, Australia. Findings show that comparing August 2020 to January 2020, the pandemic resulted in 89.5 per cent income loss for Airbnb hosts (about 14 million) with hosts suffering about 6.5 times more than the Airbnb platform itself. However, many Airbnb hosts are not eligible for the financial aid being offered by the NSW State Government or the Australian Federal Government. The study further demonstrates the vulnerability of the sharing economy during a time of crisis. It contributes empirical evidence to the widening public debate on the sharing economy's contribution to sustainable tourism and decent work (SDG 8), and reduced inequalities (SDG 10), and, most importantly, it raises concerns over taxation and social protections for informal employees. Methodologically, this study contributes to the literature by presenting a comprehensive income accounting framework to analyse this segment of the workforce's financial performance, which can serve as benchmark for tax estimation and financial aids.</t>
  </si>
  <si>
    <t>Edwards, Deborah C/M-6845-2013; Cheng, Mingming/AFP-1907-2022; Chen, Guangwu/Y-6560-2019</t>
  </si>
  <si>
    <t>Edwards, Deborah C/0000-0002-8345-9700; Cheng, Mingming/0000-0003-3706-3374; Chen, Guangwu/0000-0003-2225-2711</t>
  </si>
  <si>
    <t>0966-9582</t>
  </si>
  <si>
    <t>1747-7646</t>
  </si>
  <si>
    <t>MAY 4</t>
  </si>
  <si>
    <t>SI</t>
  </si>
  <si>
    <t>DEC 2020</t>
  </si>
  <si>
    <t>WOS:000607103400001</t>
  </si>
  <si>
    <t>L111</t>
  </si>
  <si>
    <t>Decision-Making Taxonomy of DevOps Success Factors Using Preference Ranking Organization Method of Enrichment Evaluation</t>
  </si>
  <si>
    <t>10.1155/2022/2600160</t>
  </si>
  <si>
    <t>Rafi, Saima; Akbar, Muhammad Azeem; AlSanad, Abeer Abdulaziz; AlSuwaidan, Lulwah; Abdulaziz AL-ALShaikh, Halah; AlSagri, Hatoon S.</t>
  </si>
  <si>
    <t>MATHEMATICAL PROBLEMS IN ENGINEERING</t>
  </si>
  <si>
    <t>Due to multitudes factors like rapid change in technology, customer needs, and business trends, the software organizations are facing pressure to deliver quality software on time. To address this concern, the software industry is continually looking the solution to improve processing timeline. Thus, the Development and Operations (DevOps) has gained a wide popularity in recent era, and several organizations are adopting it, to leverage its perceived benefits. However, companies are facing several problems while executing the DevOps practices. The objective of this work is to identify the DevOps success factors that will help in DevOps process improvement. To accomplish this research firstly, a systematic literature review is conducted to identify the factors having positive influence on DevOps. Secondly, success factors were mapped with DevOps principles, i.e., culture, automation, measurement, and sharing. Thirdly, the identified success factors and their mapping were further verified with industry experts via questionnaire survey. In the last step, the PROMETHEE-II method has been adopted to prioritize and investigate logical relationship of success factors concerning their criticality for DevOps process. This study's outcomes portray the taxonomy of the success factors, which help the experts design the new strategies that are effective for DevOps process improvement.</t>
  </si>
  <si>
    <t>, HALAH/0000-0003-3037-9114</t>
  </si>
  <si>
    <t>1024-123X</t>
  </si>
  <si>
    <t>1563-5147</t>
  </si>
  <si>
    <t>JAN 10</t>
  </si>
  <si>
    <t>WOS:000773754600007</t>
  </si>
  <si>
    <t>DEVELOPMENT OF SHARING ECONOMY-BASED BUSINESS MODELS IN THE TOURISM SECTOR</t>
  </si>
  <si>
    <t>10.21272/mmi.2021.3-04</t>
  </si>
  <si>
    <t>Navickas, Valentinas; Petroke, Ieva; Baciuliene, Vaida; Kljucnikov, Aleksandr</t>
  </si>
  <si>
    <t>MARKETING AND MANAGEMENT OF INNOVATIONS</t>
  </si>
  <si>
    <t>The sharing economy is rapidly gaining popularity, especially in the tourism sector. The sharing economy transforms functioning business models, giving businesses new economic activities and development opportunities. However, while sharing economy-based models are spreading in the world, not only the advantages but also the disadvantages are seen. This paper summarizes the arguments within the scientific discussion on the economic characteristics of sharing economy. It identifies the actions determining the development of sharing economy in the tourism sector. Since it is known that the sharing economy is developing rapidly, the development o f the sharing economy is usually analyzed as a whole, regardless of the different sectors. However, the developmen t of the sharing economy in the tourism sector is found to be the fastest. Besides, there is the largest number of stakeholders. Systematization of scientific treatises and approaches concerning the investigated issue indicated tha t the main drivers for the sharing economy development in the tourism sector are the Internet and technology among tourists, the cyclical nature of the economy, the change of societal values, and environmental friendliness. The methodological base of this research was secondary data analysis. The research empirically confirmed and theoretically proved that the sharing economy in the tourism sector develops rapidly, attracts more and more consumers in the tourism sector, and outpaces traditional business models. The obtained results could be used for analyzing the most favorable conditions to develop new business models in the market, analyze the response of market participants (consumers and traditional business model), promote new business initiatives in the tourism sector, research the sharing economy phenomenon in narrower tourism (transport, entertainment, and touris t information platforms).</t>
  </si>
  <si>
    <t>Navickas, Valentinas/I-9119-2018; Ključnikov, Aleksandr/K-6273-2018; Navickas, Valentinas/GPX-0310-2022</t>
  </si>
  <si>
    <t xml:space="preserve">Ključnikov, Aleksandr/0000-0003-0350-2658; </t>
  </si>
  <si>
    <t>2218-4511</t>
  </si>
  <si>
    <t>WOS:000704886600004</t>
  </si>
  <si>
    <t>DIFFUSION OF INNOVATIONS AS A KEY DRIVER OF THE DIGITAL ECONOMY DEVELOPMENT</t>
  </si>
  <si>
    <t>10.30525/2256-0742/2021-7-1-84-92</t>
  </si>
  <si>
    <t>Polyakov, Maxim; Kovshun, Nataliia</t>
  </si>
  <si>
    <t>BALTIC JOURNAL OF ECONOMIC STUDIES</t>
  </si>
  <si>
    <t>The research objective includes detailing of the essence and structural changes of the digital economy (DE) at the national level; an explanation of the features of digital innovations; the role substantiation of diffusion of innovations (DI) as a key driver for DE development. The research methodology is based on: structural, institutional, historical, comparative, functional analysis, formalization method. The need to achieve all-encompassing digitalization nature and the systematic use of digital technologies, as well as the transition to digital models of organization through the diffusion of technologies, is taken into account. The research results are the detailing of the essence and structural features of DE. DE is considered as a new type of economy, characterized by the widespread adoption of digital technologies, cyber-physical systems, intelligent solutions, network technologies. The DE nature is revealed from the position of several approaches: technological; structural; component-resource; functional. The DE features (network nature, a new type of entrepreneurship, a new class of specialists, new institutions, etc.) are highlighted, as well as the negative consequences of the transition to such an economy; overcoming of these negative consequences requires smart policy with a focus on productivity growth, structural changes and growth incentives. The DE structure, including parts of the Internet economy (e-Commerce, e-Health, e-Education, e-Banking, etc.) and new forms of providing various services, is characterized. The IT sector growth is indicated as the DE core, where new jobs, infrastructure, cost are created, and the technology business is developed. The structural proportions of DE are largely determined by technological trends (on-demand economy, sharing economy, Internet of Things, etc.). Digital platforms as new intermediary mechanisms, as well as the Big Data market, are one of the key structural components of DE. The subject and features of digital innovations are highlighted. On this basis, the DI role in the DE development is substantiated, taking into account the provision of all-encompassing digitalization nature, stimulation of innovations, ensuring the benefits and economic growth, as well as the creation of economies of scale, chain and cumulative effects. Practical recommendations on the intensification of DI processes in the context of DE building include: targeted government support that concerns the IT and other sectors; establishment of technology transfer and commercialization centers, technology platforms and technology leadership programs; quality improvement of education and training; infrastructure role expanding of universities; development of research, innovation, entrepreneurial networks, professional communities, industry associations. In this context, it is necessary to strengthen support for small and medium-sized innovative businesses that should become a provider of new technologies. It is advisable to create portals for oriented R&amp;D and adoption of technologies; knowledge management platforms during technology transfer process; industry knowledge bases; portals for experts work activity management for project evaluation. Value/originality. The article details the essence and reveals the structural features of DE, describes the specifics of digital innovations, as well as presents DI as a key driver for the development of such an economy.</t>
  </si>
  <si>
    <t>Kovshun, Nataliia/0000-0003-0573-2932</t>
  </si>
  <si>
    <t>2256-0742</t>
  </si>
  <si>
    <t>2256-0963</t>
  </si>
  <si>
    <t>WOS:000636482900010</t>
  </si>
  <si>
    <t>Digital platforms and development: a survey of the literature</t>
  </si>
  <si>
    <t>10.1080/2157930X.2021.1975361</t>
  </si>
  <si>
    <t>Fu, Xiaolan; Avenyo, Elvis; Ghauri, Pervez</t>
  </si>
  <si>
    <t>INNOVATION AND DEVELOPMENT</t>
  </si>
  <si>
    <t>The digital economy has led to significant socio-economic transformations in all aspects of our society and livelihoods. While there is a growing literature on the effect of digital platforms on development, none consolidates the available evidence from a development perspective. In this systematic literature review, we grouped the available literature into three main themes and critically synthesize and analyse the role of digital technology and digital platforms on the development of the modern economy. To enable the inclusion of a wide array of published papers, we allowed for relevant quantitative, qualitative, and mixed methods studies globally. This approach allows us to reflect on the role of digital platforms for development more broadly as well as discuss opportunities for future research.</t>
  </si>
  <si>
    <t>Avenyo, Elvis Korku/ABA-6109-2021</t>
  </si>
  <si>
    <t>Avenyo, Elvis Korku/0000-0002-1858-3318; Fu, Xiaolan/0000-0002-6176-6339</t>
  </si>
  <si>
    <t>2157-930X</t>
  </si>
  <si>
    <t>2157-9318</t>
  </si>
  <si>
    <t>SEP 2</t>
  </si>
  <si>
    <t>2-3</t>
  </si>
  <si>
    <t>SEP 2021</t>
  </si>
  <si>
    <t>WOS:000700790200001</t>
  </si>
  <si>
    <t>Do the Online Activities of Amazon Mechanical Turk Workers Mirror Those of the General Population? A Comparison of Two Survey Samples</t>
  </si>
  <si>
    <t>Shaw, Aaron; Hargittai, Eszter</t>
  </si>
  <si>
    <t>INTERNATIONAL JOURNAL OF COMMUNICATION</t>
  </si>
  <si>
    <t>Amazon Mechanical Turk (AMT) offers a relatively low-cost alternative to traditional expensive survey samples, which likely explains its popularity among survey researchers. An important question about using such samples is whether they are representative of the larger Internet user population. Though prior research has addressed this question about demographic characteristics, little work has examined how AMT workers compare with others regarding their online activities-namely, social media experiences and online active engagement. This article analyzes survey data administered concurrently on an AMT and a national sample of U.S. adults to show that AMT workers are significantly more likely to use numerous social media, from Twitter to Pinterest and Reddit, as well as have significantly more experiences contributing their own online content, from posting videos to participating in various online forums and signing online petitions. The article discusses the implications of these findings for research that uses AMT as a sampling frame when examining questions related to social media use and active online engagement.</t>
  </si>
  <si>
    <t>1932-8036</t>
  </si>
  <si>
    <t>WOS:000729944300127</t>
  </si>
  <si>
    <t>E-commerce and labour tax avoidance</t>
  </si>
  <si>
    <t>10.1016/j.cpa.2020.102202</t>
  </si>
  <si>
    <t>Ma Argiles-Bosch, Josep; Ravenda, Diego; Garcia-Blandon, Josep</t>
  </si>
  <si>
    <t>CRITICAL PERSPECTIVES ON ACCOUNTING</t>
  </si>
  <si>
    <t>This study evidences one of the adverse effects of e-commerce on labour tax avoidance, and more precisely in the loss of firms' social security contributions. With a sample of French e commerce and traditional retail firms, we find that labour tax avoidance is significantly higher in e-commerce than in traditional retail firms. Results are robust to all measures of labour tax avoidance used in this study, to different estimation methods, sample selection criteria and sensitivity analyses. We discuss and conclude on the adverse effects of the digital economy and e-commerce on employees' welfare and social wellbeing. (c) 2020 Elsevier Ltd. All rights reserved.</t>
  </si>
  <si>
    <t>Argilés-Bosch, Josep Maria/AAA-1387-2019; Garcia-Blandon, Josep/K-2009-2017</t>
  </si>
  <si>
    <t>Garcia-Blandon, Josep/0000-0001-7091-0593</t>
  </si>
  <si>
    <t>1045-2354</t>
  </si>
  <si>
    <t>1095-9955</t>
  </si>
  <si>
    <t>DEC</t>
  </si>
  <si>
    <t>NOV 2021</t>
  </si>
  <si>
    <t>WOS:000723823700004</t>
  </si>
  <si>
    <t>L112</t>
  </si>
  <si>
    <t>Effect of Temporal Patterns on Task Cohesion in Global Software Development Teams</t>
  </si>
  <si>
    <t>10.13053/CyS-26-2-4256</t>
  </si>
  <si>
    <t>Castro-Hernandez, Alberto; Perez-Rosas, Veronica; Swigger, Kathleen</t>
  </si>
  <si>
    <t>COMPUTACION Y SISTEMAS</t>
  </si>
  <si>
    <t>This work focuses on the analysis of temporal measures and their ability to predict task cohesion within global software development projects. Messages were collected from three software development projects that involved students from two different countries. The similarities and quantities of these interactions were computed and analyzed at individual and group levels. We proposed pacing similarity, pacing rate and synchrony, a set of temporal metrics measuring frequency and rhythm of team member's interactions. Results showed a statistically significant negative correlation between pacing rate and task cohesion, which suggests that frequent communications increases the cohesion between team members. The study also found a positive correlation between synchrony and task cohesion, which indicates the importance of establishing a communication rhythm within members a team. In addition, the temporal models at individual and group-levels were found to be good predictors of task cohesion, which indicates the existence of a strong effect of frequent and rhythmic communications on cohesion related to the task.</t>
  </si>
  <si>
    <t>1405-5546</t>
  </si>
  <si>
    <t>2007-9737</t>
  </si>
  <si>
    <t>WOS:000822515500023</t>
  </si>
  <si>
    <t>Establishing factors affecting the tax morale of individuals working in the gig economy</t>
  </si>
  <si>
    <t>10.1108/JGR-01-2021-0007</t>
  </si>
  <si>
    <t>Fadzil, Farah Nabila Md; Azmi, Anna Che</t>
  </si>
  <si>
    <t>JOURNAL OF GLOBAL RESPONSIBILITY</t>
  </si>
  <si>
    <t>Purpose The purpose of this study is to provide insights into the factors affecting the tax morale of workers in the gig economy. Tax morale is defined as the willingness and motivation to comply with tax laws. Design/methodology/approach Data was collected from gig economy workers through a questionnaire survey and analysed using second-generation multivariate analysis (partial least squares-structural equation modelling). Findings The findings reveal that while the extent of the dependency on the gig economy has a positive relationship with tax morale, the level of education has a negative relationship. However, in contrast to reflective moral attentiveness, perceptual moral attentiveness positively influence tax morale. Originality/value As no earlier study has examined factors affecting tax morale in the context of the gig economy, this research will be beneficial to tax authorities and policymakers. This study also offers insights into multidimensional aspects of the tax morale of those working in the gig economy.</t>
  </si>
  <si>
    <t>Azmi, Anna A Che/B-8235-2010</t>
  </si>
  <si>
    <t>Azmi, Anna A Che/0000-0002-1361-340X</t>
  </si>
  <si>
    <t>2041-2568</t>
  </si>
  <si>
    <t>2041-2576</t>
  </si>
  <si>
    <t>MAR 28</t>
  </si>
  <si>
    <t>WOS:000716368700001</t>
  </si>
  <si>
    <t>eWOM in reward-based crowdfunding platforms: a behavioral approach</t>
  </si>
  <si>
    <t>10.4995/CARMA2020.2020.11413</t>
  </si>
  <si>
    <t>Domenech, J; Vicente, MR</t>
  </si>
  <si>
    <t>Comeig Ramirez, Irene; Sendra Pons, Pau</t>
  </si>
  <si>
    <t>3RD INTERNATIONAL CONFERENCE ON ADVANCED RESEARCH METHODS AND ANALYTICS (CARMA 2020)</t>
  </si>
  <si>
    <t>3rd International Conference on Advanced Research Methods and Analytics (CARMA)</t>
  </si>
  <si>
    <t>JUL 08-09, 2020</t>
  </si>
  <si>
    <t>Univ Politecnica Valencia, ELECTR NETWORK</t>
  </si>
  <si>
    <t>Univ Politecnica Valencia, Fac Adm &amp; Direccion Empresas,Dept Economia &amp; Ciencias Sociales,DevStat</t>
  </si>
  <si>
    <t>Univ Politecnica Valencia</t>
  </si>
  <si>
    <t>Electronic word of mouth (eWOM) plays a crucial role in influencing purchasing decisions of consumers in situations governed by asymmetric information. In this context, investors in reward-based crowdfunding platforms might modify their purchasing intentions according to recommendations of peers and/or experts. The goal of this paper is to analyze the power of eWOM to shape consumers' purchasing decisions. We do so by conducting an experiment through Amazon Mechanical Turk (AMT). This online experimental tool allows for an instant access to a large and culturally diverse subject pool, facilitating behavioral research requiring large amounts of subjects. By recreating a reward-based crowdfunding webpage and tracking how consumers' choices vary due to recommendations of other buyers and experts, this research confirms eWOM power in modifying purchasing decisions, as well as the prevalence of other buyers' recommendations over those of experts. Additionally, it is tested AA/IT as a crowdsourcing platform that enables scholars to carry out online research related to economics and social sciences.</t>
  </si>
  <si>
    <t>978-84-9048-832-4</t>
  </si>
  <si>
    <t>WOS:000759227700005</t>
  </si>
  <si>
    <t>Exploring the Influence of E-Hailing Applications on the Taxi Industry-From the Perspective of the Drivers</t>
  </si>
  <si>
    <t>10.3390/ijgi10020077</t>
  </si>
  <si>
    <t>Gan, Yitong; Fan, Hongchao; Jiao, Wei; Sun, Mengqi</t>
  </si>
  <si>
    <t>ISPRS INTERNATIONAL JOURNAL OF GEO-INFORMATION</t>
  </si>
  <si>
    <t>In China, the traditional taxi industry is conforming to the trend of the times, with taxi drivers working with e-hailing applications. This reform is of great significance, not only for the taxi industry, but also for the transportation industry, cities, and society as a whole. Our goal was to analyze the changes in driving behavior since taxi drivers joined e-hailing platforms. Therefore, this paper mined taxi trajectory data from Shanghai and compared the data of May 2015 with those of May 2017 to represent the before-app stage and the full-use stage, respectively. By extracting two-trip events (i.e., vacant trip and occupied trip) and two-spot events (i.e., pick-up spot and drop-off spot), taxi driving behavior changes were analyzed temporally, spatially, and efficiently. The results reveal that e-hailing applications mine more long-distance rides and new pick-up locations for drivers. Moreover, driver initiative have increased at night since using e-hailing applications. Furthermore, mobile payment facilities save time that would otherwise be taken sorting out change. Although e-hailing apps can help citizens get taxis faster, from the driver's perspective, the apps do not reduce their cruising time. In general, e-hailing software reduces the unoccupied ratio of taxis and improves the operating ratio. Ultimately, new driving behaviors can increase the driver's revenue. This work is meaningful for the formulation of reasonable traffic laws and for urban traffic decision-making.</t>
  </si>
  <si>
    <t>Sun, Mengqi/0000-0001-6387-3122; Gan, Yitong/0000-0002-9437-4403</t>
  </si>
  <si>
    <t>2220-9964</t>
  </si>
  <si>
    <t>FEB</t>
  </si>
  <si>
    <t>WOS:000622557700001</t>
  </si>
  <si>
    <t>Factors Influencing Continuance Intention to Use Linked In: An Indian Perspective</t>
  </si>
  <si>
    <t>10.9756/INTJECSE/V14I4.373</t>
  </si>
  <si>
    <t>Rana, Abhishek Kumar; Pati, Akshay Kumar; Chopra, Komal</t>
  </si>
  <si>
    <t>INTERNATIONAL JOURNAL OF EARLY CHILDHOOD SPECIAL EDUCATION</t>
  </si>
  <si>
    <t>With the rapid advancements in technology and the advent of the gig economy, social networking sites have emerged as the go-to place to stay connected. Various SNS's such as Facebook, Linked In, Instagram have gained immense popularity amongst the millennials and Gen Z. The rapid adoption of LinkedIn as a professional networking platform, particularly by the Indian masses, has been discussed using the extended TAM model. The research investigates the various factors involved in the continuance intention post-adoption of LinkedIn in this context by the Indian users through an exploratory factor approach analysis (EFA). Incorporating the refined research model and thus the obtained empirical data can be studied to understand the various factors, namely Perceived Usefulness, Critical Mass, Perceived Playfulness; Trustworthiness &amp; Perceived ease of use, and its relationship towards the adoption and continuance intention of using LinkedIn. A primary research survey was conducted, and 227 responses were captured for data analysis. The five factors were analyzed and could explain the continuance intention of using LinkedIn among Indian users.</t>
  </si>
  <si>
    <t>1308-5581</t>
  </si>
  <si>
    <t>WOS:000830701900041</t>
  </si>
  <si>
    <t>FLEXIBILITY IN THE ON-DEMAND SECTOR: THE STRUCTURAL EXPANSION AND SEGMENTATION OF CONTINGENT WORK</t>
  </si>
  <si>
    <t>Popescu, Catalin Kanty; Pera, Aurel; Bogdan, Alexandru; Curteanu, Adrian Bogdan; Ciurlau, Florin Cristian</t>
  </si>
  <si>
    <t>This article reviews recent literature (e.g. Shapiro, 2018) concerning flexibility in the on-demand sector. Using data from ADP, Pew Research Center, SMB Group, and U.S. Bureau of Labor Statistics and U.S. Census, we performed analyses and made estimates regarding gig work (online selling appeal to different segments of the population), the proportion of U.S. adults in various groups who have earned money in the last year by using digital work or task platforms or selling something online, the total number of U.S. employees interested in some type of flexibility (by age), the percentage of contingent workers in the U.S. workforce, and views of the benefits of Internet-enabled gig work. Empirical and secondary data are used to support the claim that flexibility in the on-demand sector is restricted to two main functions: workers' capacity to self-organize and to refuse or comply with job orders. Being able to turn down an order indicates that, even when logged on, employees can reject orders that yield too little profit. Self-scheduling enables employees to take time off smoothly and without having to ask permission. Workers' awareness and backgrounds inform the competent estimations they perform in professional immediate decisions. Control, basically, depends of employees' eagerness to follow through to the estimated judgments that firm project onto them.</t>
  </si>
  <si>
    <t>WOS:000681676300110</t>
  </si>
  <si>
    <t>Freelance in four countries of the Western Balkans</t>
  </si>
  <si>
    <t>Borislav, Dukanovic; Dusan, Markovic; Natasa, Krivokapic; Banovic, Silva</t>
  </si>
  <si>
    <t>IPSI BGD TRANSACTIONS ON INTERNET RESEARCH</t>
  </si>
  <si>
    <t>In this paper, the authors analyze the advantages and limitations of freelancing in four countries of Western Balkan. This work is based on the research with a total sample of 1031 respondents; 408 respondents from Serbia, 201 from Montenegro, 221 from North Macedonia, and 201 from Bosnia and Herzegovina. For the needs of the research, a special questionnaire was constructed and conducted by an electronic survey. The first goal of the research is to describe the functioning of freelancers in four countries, and the second is to describe the similarities and differences between countries of Western Balkan. In general, freelancers in all four countries have positive attitudes towards freelancing, although there are differences between them. Freelancers are especially satisfied with their income, and in Bosnia and Herzegovina with flexible working hours. No statistically significant differences were found among freelancers from four countries of Western Balkan in the structure of jobs they have worked in the last two years, nor in the assessment of the positive effects of new technologies on new forms of employment. They do not differ either in understanding that the work in the Gig Economy had less negative than positive effects on their private lives and in the fact that there are no differences in the assessment of the positive effects of freelance on the quality of life. They are no differences in terms of the proposed measures to improve the position of workers in the Gig Economy. Unfortunately, there are also no differences in basic social rights (lack of health, disability, and pension insurance). The most significant differences have been noted between freelancers from Montenegro and freelancers from the other three countries. Freelancers from Montenegro see less positive contributions working in the Gig Economy than others, and they significantly more often believe that the Gig Economy can't reduce unemployment and prevent brain drain abroad. The authors explain the negative attitudes of freelancers from Montenegro towards their work in the Gig Economy with the lower prevalence of freelancers, poorer job structure, and lower-income with an unfavorable socioeconomic status.</t>
  </si>
  <si>
    <t>1820-4503</t>
  </si>
  <si>
    <t>JUL</t>
  </si>
  <si>
    <t>WOS:000826657200003</t>
  </si>
  <si>
    <t>L113</t>
  </si>
  <si>
    <t>Getting on track for digital work: Digital transformation in an administrative court before and during COVID-19</t>
  </si>
  <si>
    <t>10.1093/jpo/joab015</t>
  </si>
  <si>
    <t>Bjorkdahl, Joakim; Kronblad, Charlotta</t>
  </si>
  <si>
    <t>JOURNAL OF PROFESSIONS AND ORGANIZATION</t>
  </si>
  <si>
    <t>This article analyses organizational change and new ways of working in one of our most institutionalized and professionalized contexts-the courts. Here, digital technologies and the implementation of digital work practices carry great promise as they enable more accessible and qualitative services to be produced more efficiently and effectively. While prior studies have shown that institutionalized and professionalized actors are reluctant to respond to change, attempts to change work practices through digital technologies remain understudied. In particular, we do not know how COVID-19 has influenced the motivation and implementation of digitalized work. This article draws on a large Swedish administrative court and its attempts to digitalize its work starting in 2018. We find that several barriers first inhibited a successful transformation of work practices. These barriers were connected to the institution of the court and the institutionalized profession of judges, which worked together in preventing organizational change. However, COVID-19 radically accelerated the digital implementation of work practices and gave rise to two separate re-assessment processes. The first established new motivations for digitalized work, and the second allowed for a new perception of value in digital work. These processes effectively broke down perceived barriers and substantially facilitated a more successful digital transformation of working practices.</t>
  </si>
  <si>
    <t>kronblad, charlotta/0000-0003-3933-4799</t>
  </si>
  <si>
    <t>2051-8803</t>
  </si>
  <si>
    <t>2051-8811</t>
  </si>
  <si>
    <t>OCT</t>
  </si>
  <si>
    <t>OCT 2021</t>
  </si>
  <si>
    <t>WOS:000744271500008</t>
  </si>
  <si>
    <t>GIG ECONOMY, ALTERNATIVE FORMS OF WORK IN RURAL AREAS, IN THE CURRENT ECONOMIC AND SOCIAL CONTEXT</t>
  </si>
  <si>
    <t>Rosenberg, Sarina; Cristea, Dragos; Neculita, Mihaela; Simionov, Ira-Adeline; Petrea, Stefan-Mihai; Mogodan, Alina</t>
  </si>
  <si>
    <t>SCIENTIFIC PAPERS-SERIES MANAGEMENT ECONOMIC ENGINEERING IN AGRICULTURE AND RURAL DEVELOPMENT</t>
  </si>
  <si>
    <t>In the current economic and social context, dominated by the influences of the rapid development of technology and communications, the labour market is undergoing structural changes, job demand and supply are reshaping, labour arrangements are resizing in form and volume. Another factor that significantly affects the structure and dynamics of the labour market is the current health crisis. The negative impact on the various economic sectors affected by the crisis implicitly entails changes in the balance between job demand and supply, as well as the reassessment and decision to choose effective work arrangements. GIG economy, representing all atypical forms of work, presents an increasingly complicated and difficult to predict dynamics, as a result of the economic and social impact of current factors of influence. The purpose of the article is to analyze and predict the dynamics of different forms of work in the Romanian rural areas, starting with the forms of full time, permanent contracts to contingent forms of work. The analysis method used in this paper is the quantitative one. From the analysis performed, it can be deduced observations and results that define the general framework of all forms of work in Romanian rural environment and the dynamic tendencies of the different forms of work commitment during the analyzed period. Full time contracts, regardless of how they are registered, as a determined or indefinite period, have the largest share of the total number registered at national level in rural areas. On the other side, part-time contracts register different dynamic trends, in the sense that the permanent ones have an ascending trend, and the contingent forms register a sudden collapse in the period 2017-2018, by approximately 400% compared to previous years. Part time permanent jobs increase with 67.43% in 2020 compared to 2010.</t>
  </si>
  <si>
    <t>Cristea, Dragos/AAY-2781-2020</t>
  </si>
  <si>
    <t>Cristea, Dragos/0000-0001-8227-4854</t>
  </si>
  <si>
    <t>2284-7995</t>
  </si>
  <si>
    <t>2285-3952</t>
  </si>
  <si>
    <t>WOS:000664986400061</t>
  </si>
  <si>
    <t>Gig' unionism or collective action in the platform economy</t>
  </si>
  <si>
    <t>10.5209/crla.78648</t>
  </si>
  <si>
    <t>Kohler, Holm-Detlev</t>
  </si>
  <si>
    <t>CUADERNOS DE RELACIONES LABORALES</t>
  </si>
  <si>
    <t>The platform economy (' gig ' economy) in its two variants as localized services (Uber, Deliveroo, Glovo) and as work in the cloud (Crowdwork, Amazon Turk, Upwork) is a new growing business model that presents important challenges for trade unions. The paper analyses the characteristics of the platform economy from a union organizing perspective using the union power resources approach. In a second step, experiences with collective action and union organizing in this sector are examined based on empirical studies, documents and activist websites and the author's conversations with platform workers. The difficulties and potentialities of union action in the platform economy are identified. The conclusions classify the distinct forms of collective organization and reflect on the impacts of this business model beyond the sector itself for the future of digital capitalism.</t>
  </si>
  <si>
    <t>1131-8635</t>
  </si>
  <si>
    <t>1988-2572</t>
  </si>
  <si>
    <t>WOS:000839296000004</t>
  </si>
  <si>
    <t>L114</t>
  </si>
  <si>
    <t>GLOBAL SOFTWARE DEVELOPMENT: A REVIEW OF ITS PRACTICES</t>
  </si>
  <si>
    <t>10.22452/mjcs.vol34no1.5</t>
  </si>
  <si>
    <t>Ali, Naveed; Lai, Richard</t>
  </si>
  <si>
    <t>MALAYSIAN JOURNAL OF COMPUTER SCIENCE</t>
  </si>
  <si>
    <t>Global Software Development (GSD) is multi-site software development with software teams scattered across different places around the world. To gain the benefits of the lower cost of software development and access to international talents, many organizations are using GSD. However, earlier studies reported that achieving these benefits can be difficult and GSD involves risks. This paper presents a systematic review of GSD and aim to provide the findings about the current practices, benefits, associated risks, and difficulties associated with it.The review was conducted in accordance with the systematic review procedures and processes defined by Kitchenham. By following these guidelines, six digital libraries to gather information on the prevalent trends and practices in GSD were searched. The outcomes presented in this study are based on 204 studies, published in peer-reviewed conferences and journals. Our findings will enable readers to understand the current practices, benefits, risks and difficulties associated with GSD. As a result, they can form realistic expectations before making a decision to engage in GSD or not, and formulate better pre-contract and post-contract planning in order to increase the chances of project success. A merit of this paper as compared to previous survey papers on GSD is that it reports the issues related to cultural diversity, requirements engineering and software architecture.</t>
  </si>
  <si>
    <t>0127-9084</t>
  </si>
  <si>
    <t>WOS:000614619200004</t>
  </si>
  <si>
    <t>Internet Platform Employment in China : Legal Challenges and Implications for Gig Workers through the Lens of Court Decisions</t>
  </si>
  <si>
    <t>Wang, Tianyu; Cooke, Fang Lee</t>
  </si>
  <si>
    <t>RELATIONS INDUSTRIELLES-INDUSTRIAL RELATIONS</t>
  </si>
  <si>
    <t>Despite the magnitude of the platform economy in China, the existing labour law security mechanism is limited and is evidently incapable of addressing problems arising from platform employment. We analyzed 102 cases of court decisions, between 2014 and 2019, relating to disputes between Internet network platforms and labour providers, with special attention not only to the legal challenges but also to the social risks incurred by this rapidly expanding yet largely unregulated segment of the labour market. We propose that the concept of socialization of contract service should be central to platform employment and suggest that a multi-level platform employment security network be developed to provide a better balance between economic efficiency and social justice.</t>
  </si>
  <si>
    <t>0034-379X</t>
  </si>
  <si>
    <t>FAL</t>
  </si>
  <si>
    <t>WOS:000759877400008</t>
  </si>
  <si>
    <t>Learning with Understanding the Continuity Concept: A Teaching experiment with Brazilian Pre-service Mathematics Teachers</t>
  </si>
  <si>
    <t>10.29333/iejme/8462</t>
  </si>
  <si>
    <t>da Fonseca, Vilmar Gomes; Correia Batalha Henriques, Ana Claudia</t>
  </si>
  <si>
    <t>INTERNATIONAL ELECTRONIC JOURNAL OF MATHEMATICS EDUCATION</t>
  </si>
  <si>
    <t>The literature emphasizes the interest and need to learn the concept of continuity with understanding, although this meaning it is not consensual nor specified how it may emerge and be developed in the learning process. In this paper we report the results of a study aiming to analyse Brazilian preservice mathematics teachers' understanding of the continuity of a function concept, in a context of a teaching experiment which design is based on a theoretical model for learning with understanding that consider three dimensions: the meanings of continuity concept, the use of its different representations and their application in problem solving that involves it. Data collection includes participant observation with audio and video recording of the lessons, students' written and digital work on the tasks proposed during the teaching experiment, and interviews applied to the students. The qualitative and interpretative data analysis showed that students, in general, assigned different meanings to the continuity, which emerged from their concept image. At the end of the teaching experiment, they show an adequate conception of this concept, being able to articulate different representations and perform treatments and conversions to interpret and represent the (dis)continuity of a function, and to correctly apply the criteria of existence of the concept of continuity and the intermediate value theorem in the analysis of errors and in the proving of mathematical propositions, and in solving problems that call for mathematical modelling. Thus, as they revealed a learning with understanding of the continuity concept, the study also provides information to propose innovative mathematics teaching and learning methodologies aimed at improving that learning.</t>
  </si>
  <si>
    <t>1306-3030</t>
  </si>
  <si>
    <t>em0606</t>
  </si>
  <si>
    <t>WOS:000821941600024</t>
  </si>
  <si>
    <t>Mapping the development of contextual knowledge in the area of the sharing economy</t>
  </si>
  <si>
    <t>10.12775/EiP.2020.037</t>
  </si>
  <si>
    <t>Waligora, Anna; Leszczynski, Grzegorz; Zmyslony, Piotr; Kot, Mateusz</t>
  </si>
  <si>
    <t>EKONOMIA I PRAWO-ECONOMICS AND LAW</t>
  </si>
  <si>
    <t>Motivation: Contemporary economics provides to the practice of the social world functioning increasingly precise knowledge about how the modern economy and economics change. Although it seems that it is knowledge necessary to make science more useful for the social world, it creates a risk of blurring the general picture of the studied problems. One of the modern phenomena analysed in economic theory and tested in economic practice is the sharing economy (SE). Because it is a relatively new subject of economic analysis, it seems important to closely follow the development of academic work concerning SE (also on the basis of the knowledge provided by the social world). Aim: The authors of the paper have focused on achieving the following research objectives: (1) identification of literature output in the area of SE, (2) assessment of cooperation between researchers dealing with SE topics and (3) diagnosis of thematic areas related to the studied phenomenon. The basis for the works on the research objectives was a set of 1411 papers related to SE, published in 2011-2018, in the Scopus database. For the research, quantitative analysis with elements of qualitative analysis was used. Results: Based on the research conducted, the following conclusions were formulated: (1) the current literature on the SE phenomenon is fragmentary, (2) the cooperation, if any, between researchers dealing with SE is ephemeral, (3) SE contexts are focused on specific socio-economic phenomena.</t>
  </si>
  <si>
    <t>Zmyslony, Piotr/O-5456-2019</t>
  </si>
  <si>
    <t>Zmyslony, Piotr/0000-0002-1168-0254; Leszczynski, Grzegorz/0000-0003-2989-9729; Kot, Mateusz/0000-0001-8292-9961; Waligora, Anna/0000-0003-1361-4709</t>
  </si>
  <si>
    <t>1898-2255</t>
  </si>
  <si>
    <t>2392-1625</t>
  </si>
  <si>
    <t>SEP</t>
  </si>
  <si>
    <t>WOS:000610786600010</t>
  </si>
  <si>
    <t>Measuring English Pragmatics Skills through Game-Based Performance</t>
  </si>
  <si>
    <t>Jackson, G. Tanner; Inglese, Patricia; Wain, Jennifer; Timpe-Laughlin, Veronika; Grace, Lindsay</t>
  </si>
  <si>
    <t>BULLETIN OF THE TECHNICAL COMMITTEE ON LEARNING TECHNOLOGY</t>
  </si>
  <si>
    <t>The current work describes efforts related to the evaluation of a game-based assessment called Awkward Annie which targets English language pragmatics by having players intentionally select the most awkward responses. Results are explored from 328 native English speaking adults collected through Amazon Mechanical Turk. This article explores a conceptual model of potential relations between individual differences, user experience, game performance, and English pragmatic skills. Specifically, results suggest that a foundational understanding of how to be inappropriate has significant implications for user experience and game performance, both of which are related to overall English pragmatics skills.</t>
  </si>
  <si>
    <t>2306-0212</t>
  </si>
  <si>
    <t>WOS:000619177700004</t>
  </si>
  <si>
    <t>On the Spillover Effects of Online Product Reviews on Purchases: Evidence from Clickstream Data</t>
  </si>
  <si>
    <t>10.1287/isre.2021.0998</t>
  </si>
  <si>
    <t>Kwark, Young; Lee, Gene Moo; Pavlou, Paul A.; Qiu, Liangfei</t>
  </si>
  <si>
    <t>INFORMATION SYSTEMS RESEARCH</t>
  </si>
  <si>
    <t>We study the spillover effects of the online reviews of other covisited products on the purchases of a focal product using clickstream data from a large retailer. The proposed spillover effects are moderated by (a) whether the related (covisited) products are complementary or substitutive, (b) the choice of media channel (mobile or personal computer (PC)) used, (c) whether the related products are from the same or a different brand, (d) consumer experience, and (e) the variance of the review ratings. To identify complementary and substitutive products, we develop supervised machine-learning models based on product characteristics, such as product category and brand, and novel text-based similarity measures. We train and validate the machine-learning models using product pair labels from Amazon Mechanical Turk. Our results show that the mean rating of substitutive (complementary) products has a negative (positive) effect on purchasing of the focal product. Interestingly, the magnitude of the spillover effects of the mean ratings of covisited (substitutive and complementary) products is significantly larger than the effects on the focal product, especially for complementary products. The spillover effect of ratings is stronger for consumers who use mobile devices versus PCs. We find the negative effect of the mean ratings of substitutive products across different brands on purchasing of a focal product to be significantly higher than within the same brand. Lastly, the effect of the mean ratings is stronger for less experienced consumers and for ratings with lower variance. We discuss implications on leveraging the spillover effect of the online product reviews of related products to encourage online purchases.</t>
  </si>
  <si>
    <t>Pavlou, Paul/0000-0002-8830-5727; Lee, Gene Moo/0000-0003-0657-6898; Qiu, Liangfei/0000-0002-8771-9389</t>
  </si>
  <si>
    <t>1047-7047</t>
  </si>
  <si>
    <t>1526-5536</t>
  </si>
  <si>
    <t>WOS:000744138200013</t>
  </si>
  <si>
    <t>Personal Care Aides as Household Employees and Independent Contractors: Estimating the Size and Job Characteristics of the Workforce</t>
  </si>
  <si>
    <t>10.1093/geroni/igab049</t>
  </si>
  <si>
    <t>Kim, Joy Jeounghee</t>
  </si>
  <si>
    <t>INNOVATION IN AGING</t>
  </si>
  <si>
    <t>Background and Objectives: Although studies pointed out that the number of personal care aides (PCAs) at risk of being in informal employment arrangements is sizeable, little is known about its size and worker characteristics. This study aimed to estimate the share of PCAs working as household employees or independent contractors. It also aimed to compare their basic job characteristics against the job characteristics of those working as agency and government employees. Research Design and Methods: Using data from the 2014-2018 American Community Surveys, a sample of 43,287 PCAs working for pay in the home- and community-based service (HCBS) industry was identified, and their job characteristics-full-time weekly work (i.e., working at least 35 hours per week), year-round work (i.e., working at least 50 weeks a year), and annual gross earning-were analyzed by their employment arrangement. Results: Analyses found that (a) close to a quarter of aides in the HCBS industry work as household employees or independent contractors while their share in the workforce varies by state and that (b) the work hours and earnings of full-time year-round working household employees or independent contractors are greater than those of their agency counterparts. The results shed light on why some aides may work as household employees or independent contractors. Discussion and Implications: The presence of household employees and independent contractors has important implications for PCAs' job characteristics and labor shortage in the U.S. home care industry. Considering the potentially negative consequences for both the aides' economic security and the quality of care that consumers can receive, attention should be paid to ways to bring the aides into a more formal employment arrangement.</t>
  </si>
  <si>
    <t>Kim, Joy Jeounghee/0000-0001-9305-7142</t>
  </si>
  <si>
    <t>2399-5300</t>
  </si>
  <si>
    <t>igab049</t>
  </si>
  <si>
    <t>WOS:000743607000001</t>
  </si>
  <si>
    <t>Platform work and fixed-term employment regulation</t>
  </si>
  <si>
    <t>10.1177/2031952520959335</t>
  </si>
  <si>
    <t>Rosin, Annika</t>
  </si>
  <si>
    <t>EUROPEAN LABOUR LAW JOURNAL</t>
  </si>
  <si>
    <t>Although platform work has been studied by many labour law researchers, mainly the unclear labour law status of platform workers as well as possible new avenues to ensure their protection have been discussed. However, platform work is similar to already-regulated atypical work arrangements and the possibilities of the application of these regulations needs to be analysed. The aim of this article is to analyse the applicability of the Fixed-Term Work Directive (1999/70/EC (FTWD)) to platform workers. The question of whether platform work can be regarded as fixed-term employment according to the FTWD is analysed, and also whether the measures to prevent the abuse of successive fixed-term contracts ensure that platform workers avoid being placed in a precarious position. In the example of four platforms (Uber, Deliveroo, TaskRabbit and Amazon Mechanical Turk), it is argued that many platform workers can be regarded as fixed-term workers for the purposes of the FTWD. The existence of a bilateral fixed-term employment relationship between the platform and the worker can be detected in the case of platforms providing transportation and food delivery services. A bilateral relationship also forms between the client and the worker in the case of platforms providing universal services. In the case of crowdwork, a tripartite temporary agency work relationship forms between the platform, the worker and the user, and the Temporary Agency Work Directive (2008/104/EC), rather than the FTWD, should be applied. The measures foreseen in the FTWD to prevent the abuse of successive fixed-term contracts effectively protect platform workers. Nevertheless, if the Member State only restricts the total period of successive contracts, their working conditions are not improved.</t>
  </si>
  <si>
    <t>2031-9525</t>
  </si>
  <si>
    <t>2399-5556</t>
  </si>
  <si>
    <t>JUN</t>
  </si>
  <si>
    <t>WOS:000670477600003</t>
  </si>
  <si>
    <t>Platform work in Europe: Lessons learned, legal developments and challenges ahead</t>
  </si>
  <si>
    <t>10.1177/20319525211062557</t>
  </si>
  <si>
    <t>Aloisi, Antonio</t>
  </si>
  <si>
    <t>Several years since first emerging in Europe, platform work continues to represent a 'social dilemma' for workers, social partners, policymakers and society as a whole. As a result of intense litigation, analysis and reporting, much is known about the contractual and working conditions in this growing labour market segment. While the European Union (EU) institutions are considering adopting a new Directive based on Art. 153 TFEU, there are a number of significant top-down and bottom-up national cases worth discussing. Workers across Europe have been reclassified by many courts; some governments have taken regulatory initiatives to address the risk of precariousness and have implemented new comprehensive legal instruments to safeguard a level playing field for both workers and platforms. This article discusses how existing and new domestic and EU labour law provisions can improve the labour conditions of platform workers. Its overarching goal is to address possible policy gaps and the implications for EU social law by exploring the lessons that can be drawn from recent policies and legal developments. Section two briefly touches upon the policymaking initiatives in France, Spain and Italy. Moreover, it presents and reviews the main outcomes of litigation at the domestic level, focusing on the pervasive role played by algorithmic management. After introducing the Pillar of Social Rights (EPSR), section three critically analyses two key achievements at the EU level: the Directive on transparent and predictable working conditions and the Recommendation on access to social protection for workers and the self-employed. Section four explores the elasticity of the triad of Directives that regulate atypical forms of employment (part-time, fixed-term and temporary agency work). It is argued that the narrow construction of the Directives' scope of application could represent an obstacle. However, an adaptive and purposive approach by the Court of Justice of the European Union (CJEU) could result in the classification of platform workers as falling within the scope of the social acquis in certain fields. Finally, section five concludes by providing concrete policy proposals focussed on cross-border issues, algorithmic transparency, the introduction of a presumption of employment status and collective bargaining.</t>
  </si>
  <si>
    <t>ALOISI, Antonio/0000-0002-1887-7359</t>
  </si>
  <si>
    <t>MAR</t>
  </si>
  <si>
    <t>WOS:000755307900002</t>
  </si>
  <si>
    <t>POLICY, LEGAL AND REGULATION RESEARCH IN THE SHARING ECONOMY: A BIBLIOMETRIC ANALYSIS AND SYSTEMATIC LITERATURE REVIEW</t>
  </si>
  <si>
    <t>Nawi, Nor Fadzlina; Anuar, Azyyati; Manshor, Nurul Mazrah; Latif, Rozita Abdul</t>
  </si>
  <si>
    <t>IIUM LAW JOURNAL</t>
  </si>
  <si>
    <t>The sharing economy has changed the way we think about services, assets, and ownership. This phenomenon has shaped a new economic model which emphasises sharing over property ownership. Shared platforms such as Airbnb, Grab, and Uber are increasing in size and popularity exponentially, causing certain political and legal issues associated with such growth. In this regard, this paper aims to investigate the evolution of policy, legal and regulatory research in the sharing economy from the year 1995 to the year 2020 and focuses on new research topics in this field. To achieve this goal, the study utilised extensive bibliometric analysis to identify and analyse 343 articles published in SCOPUS indexed journals from 2004 to 2020. The result shows that research on the sharing economy has increased since 2000. However, the total number of publications in SCOPUS journal relating to policies and regulations still lags behind as compared to the publications in other disciplines. Most of the published research is in the form of concept papers and empirical research. Nevertheless, it is still inadequate. This study summarises the evolution of publications over time and outlines the interests of current research and the potential directions for future research, including addressing policy and organisational research issues in the sharing economy.</t>
  </si>
  <si>
    <t>0128-2530</t>
  </si>
  <si>
    <t>2289-7852</t>
  </si>
  <si>
    <t>WOS:000783349600001</t>
  </si>
  <si>
    <t>PROTECTING GIG WORKERS' INTERESTS IN MALAYSIA THROUGH REGISTERED ASSOCIATION UNDER SOCIETIES ACT 1966</t>
  </si>
  <si>
    <t>Radzi, Mohd Shahril Nizam Md; Bidin, Asiah; Musa, Murshamshul Kamariah; Hamid, Noor Ashikin</t>
  </si>
  <si>
    <t>The gig economy model has had a significant impact on global economic growth. Through contracts for services, job seekers or gig workers will have opportunities to work in many sectors with limited advantages and benefits. This gig economy model has posed challenges to employment and industrial relations due to the gig workers' status as independent contractors. In the absence of trade unions to speak on their behalf, the service providers may neglect and manipulate their rights and interests. This paper aims to explore the alternative body to protect the interest of the gig workers and to be the main stakeholders in the gig economy. This article uses doctrinal legal research to analyse the best platform for gig workers to unionise. This article analysed legal documents, namely legal provisions from various legislations and case law using the content analysis approach, and thereafter proposed the best legal structure to protect gig workers' rights to unionise. This article found that the registered society structured under the Societies Act 1966 is the most suitable platform which can play an important role similar to trade unions in its functions to represent gig workers' interest in Malaysia.</t>
  </si>
  <si>
    <t>Radzi, Mohd Shahril Nizam Md/AAV-1317-2020</t>
  </si>
  <si>
    <t>Radzi, Mohd Shahril Nizam Md/0000-0003-4842-9394</t>
  </si>
  <si>
    <t>WOS:000783349600006</t>
  </si>
  <si>
    <t>Reasons for individual and concurrent use of vaped nicotine and cannabis: their similarities, differences, and association with product use</t>
  </si>
  <si>
    <t>10.1186/s42238-021-00097-7</t>
  </si>
  <si>
    <t>Smith, Danielle M.; Kozlowski, Lynn; O'Connor, Richard J.; Hyland, Andrew; Collins, R. Lorraine</t>
  </si>
  <si>
    <t>JOURNAL OF CANNABIS RESEARCH</t>
  </si>
  <si>
    <t>Background Understanding similarities, differences, and associations between reasons people vape nicotine and cannabis may be important for identifying underlying contributors to their co-use. Methods A cross-sectional survey of 112 co-users of vaped nicotine and cannabis was conducted in 2020. A convenience sample of participants was recruited for the survey using Amazon Mechanical Turk. Participants responded to questions about their reasons for individual nicotine and cannabis product use and co-use and rated their level of agreement using numerical scales. Mean ratings for each reason for use subscale were examined across all participants and compared using paired samples t tests. Associations between reasons for use ratings and product consumption behaviors were examined using linear and logistic regression analyses. Results Cannabis vaping and smoking exhibited similar mean ratings for user experience and product/substance-related reasons for use. Mean ratings for reasons related to product utility were similar for cannabis vaping and nicotine vaping. Mean ratings for utility-related reasons for use were higher for cannabis vaping than cannabis smoking (mean (SD), 3.6 (+/- 1.0) vs. 2.6 (+/- 1.2), p &lt; 0.0001). On average, harm reduction-related reasons for use were rated higher for nicotine vaping than cannabis vaping (2.4 (+/- 1.6) vs. 1.8 (+/- 1.4), p &lt; 0.0001). Regression models showed higher average ratings for utility-related (b = 0.32; 95% CI, 0.03-0.60) and harm reduction-related (b = 0.21; 95% CI, 0.04-0.37) reasons for nicotine vaping were associated with more frequent nicotine vaping (both p &lt; 0.05). Higher average ratings for instrumentality-related reasons for co-use corresponded with more frequent monthly nicotine vaping (b = 0.26; 95% CI, 0.08-0.44) and higher odds of ever chasing cannabis with nicotine (aOR, 3.06; 95% CI, 1.29-7.30). Conclusions Vaping serves purposes that differ by substance; nicotine vaping was more closely related to reducing tobacco smoking-related harms, and cannabis vaping was more closely related to circumventing social problems posed by cannabis smoking. Lifetime sequential co-use practices and more frequent nicotine vaping were associated with enhancing the intoxicating effects of cannabis. While replication of these findings using non convenience-based sampling approaches is warranted, results underscore the need to consider shared and unique aspects of nicotine and cannabis vaping, as well as cross-substance interactions between nicotine and cannabis.</t>
  </si>
  <si>
    <t>2522-5782</t>
  </si>
  <si>
    <t>AUG 27</t>
  </si>
  <si>
    <t>WOS:000691293200001</t>
  </si>
  <si>
    <t>SimilarHITs: Revealing the Role of Task Similarity in Microtask Crowdsourcing</t>
  </si>
  <si>
    <t>10.1145/3209542.3209558</t>
  </si>
  <si>
    <t>Assoc Comp Machinery</t>
  </si>
  <si>
    <t>Aipe, Alan; Gadiraju, Ujwal</t>
  </si>
  <si>
    <t>HT'18: PROCEEDINGS OF THE 29TH ACM CONFERENCE ON HYPERTEXT AND SOCIAL MEDIA</t>
  </si>
  <si>
    <t>29th ACM International Conference on Hypertext and Social Media (HT)</t>
  </si>
  <si>
    <t>JUL 09-12, 2018</t>
  </si>
  <si>
    <t>Towson Univ, Baltimore, MD</t>
  </si>
  <si>
    <t>Assoc Comp Machinery,ACM SIGWEB,ACM SIGCHI</t>
  </si>
  <si>
    <t>Towson Univ</t>
  </si>
  <si>
    <t>Workers in microtask crowdsourcing systems typically consume different types of tasks. Task consumption is driven by the self-selection of workers in the most popular platforms such as Amazon Mechanical Turk and CrowdFlower. Workers typically complete tasks one after another in a chain. Prior works have revealed the impact of ordering tasks while considering aspects such as task complexity. However, little is understood about the benefits of considering task similarity in microtask chains. In this paper, we investigate the role of task similarity in microtask crowdsourcing and how it affects market dynamics. We identified different dimensions that affect the perception of task similarity among workers, and propose a supervised machine learning model to predict the overall task similarity of a task pair. Leveraging task similarity, we studied the effects of similarity on worker retention, satisfaction, boredom and fatigue. We reveal the impact of chaining tasks according to their similarity on worker accuracy and their task completion time. Our findings enrich the current understanding of crowd work and bear important implications on structuring workflow.</t>
  </si>
  <si>
    <t>978-1-4503-5427-1</t>
  </si>
  <si>
    <t>WOS:000629030500020</t>
  </si>
  <si>
    <t>L115</t>
  </si>
  <si>
    <t>Software development process evolution and paradigm shift - a case study of Malaysian companies</t>
  </si>
  <si>
    <t>10.22581/muet1982.2202.15</t>
  </si>
  <si>
    <t>Khan, Asif Riaz; Akbar, Rehan</t>
  </si>
  <si>
    <t>MEHRAN UNIVERSITY RESEARCH JOURNAL OF ENGINEERING AND TECHNOLOGY</t>
  </si>
  <si>
    <t>Due to the consequences of global software development (GSD), the traditional approaches of software development evolved into lightweight agile methods. The agile methods got overwhelming response from software development companies due to their obvious support to GSD. In this regard, limited research work has been presented on software process evolution and process paradigm shift in context of GSD. Most of the work presented on GSD mainly focus on the companies in Europe, America, Australia and other western countries. Existing research work highlight the standard benefits and challenges of GSD but do not investigate its effect on software development processes and associated reasons causing the affect particularly in Malaysian software development companies. The research work presented in this paper addresses this issue and investigates the effects of GSD on software processes, software process evolution and paradigm shift and finds the current software processes being used in Malaysian companies. Also, it further determines the GSD factors and reasons behind the change and selection of a software development process. GSD factors affecting the software processes have been termed as challenges. Structured interviews have been conducted to collect qualitative data from industry professionals involved in GSD. General inductive approach has been used for qualitative data analysis and findings. The results show that after GSD, Malaysian companies are mostly following agile methods. The traditional and ad-hoc approaches used before GSD have been replaced by the lightweight agile methodologies. Few of the companies are still following ad-hoc approaches mainly due to size of the project and company as most of the Malaysian companies are small and medium size. The research is significant that it provides clear insight into software process paradigm in Malaysian companies. The outcome of the research provides foundations for the standardization of software processes, process improvement, selection and quality enhancement approaches in Malaysian companies.</t>
  </si>
  <si>
    <t>0254-7821</t>
  </si>
  <si>
    <t>2413-7219</t>
  </si>
  <si>
    <t>APR</t>
  </si>
  <si>
    <t>WOS:000797492700001</t>
  </si>
  <si>
    <t>The Development of the Entrepreneurship Initiatives in Romania Based on the Principles of the Collaborative Economy</t>
  </si>
  <si>
    <t>Soliman, KS</t>
  </si>
  <si>
    <t>Petre, Adrian</t>
  </si>
  <si>
    <t>EDUCATION EXCELLENCE AND INNOVATION MANAGEMENT: A 2025 VISION TO SUSTAIN ECONOMIC DEVELOPMENT DURING GLOBAL CHALLENGES</t>
  </si>
  <si>
    <t>35th International-Business-Information-Management-Association Conference (IBIMA)</t>
  </si>
  <si>
    <t>APR 01-02, 2020</t>
  </si>
  <si>
    <t>Seville, SPAIN</t>
  </si>
  <si>
    <t>Int Business Informat Management Assoc</t>
  </si>
  <si>
    <t>The purpose of this scientific article is to empiricaly analyze the situation of Romania in terms of collaborative economy, the challenges and opportunities related to the development of innovative entrepreneurial initiatives in this field, as well as the role of the new 5G information technologies in supporting them. The research results highlights the benefits that can be obtained within the collaborative economy, as well as the very important role of 5G technology in supporting the development of this type of economy. On the other hand, the research shows that the collaborative economy is not yet well developed in Romania, especially due to the lack of regulation by the national authorities, the increased sense of ownership of the citizens, and also because the companies are still linked to the traditional production model and consumption. Romania has the logistical framework necessary for the development of the collaborative economy, and the main solutions to stimulate it are represented by the creation of a well elaborated legislative framework, the support of the entrepreneurial initiatives in this field and the education of the consumers / users.</t>
  </si>
  <si>
    <t>978-0-9998551-4-0</t>
  </si>
  <si>
    <t>WOS:000661127404078</t>
  </si>
  <si>
    <t>THE IMPORTANCE OF BASIC PSYCHOLOGICAL NEEDS AND MEDIATING ROLE OF MOTIVATIONS FOR SUBJECTIVE WELLBEING AMONG TRANSPORTATION GIG-WORKERS</t>
  </si>
  <si>
    <t>Borges, AP; Vieira, E</t>
  </si>
  <si>
    <t>Wijayanti, Nova; Rachmawati, Riani</t>
  </si>
  <si>
    <t>PROCEEDINGS OF THE INTERNATIONAL CONFERENCE OF APPLIED BUSINESS AND MANAGEMENT (ICABM2020)</t>
  </si>
  <si>
    <t>3rd International Conference of Applied Business and Management (ICABM)</t>
  </si>
  <si>
    <t>MAY 07-08, 2020</t>
  </si>
  <si>
    <t>Inst Super Administracao Gestao, European Business Sch, Porto, PORTUGAL</t>
  </si>
  <si>
    <t>Inst Super Administracao Gestao, European Business Sch</t>
  </si>
  <si>
    <t>Purpose: This study analyzes the effect of Basic psychological needs on Subjective well-being of the transportation workers participating in the Gig-Economy (transport Gig-Workers) by using Intrinsic and extrinsic motivations as mediating variables. The purpose of this study is to understand whether working as a Gig-Worker can help to enhance Gig-Workers Subjective well-being. Methodology: This study is a quantitive study and used LISREL and SPSS software with Mediation Regression Equations model for data analysis and hypothesis testing. This study analyzes 280 survey data gathered from transportation workers participating in the Gig-Economy in Indonesia. Samples were obtained using purposive sampling. Findings: Empirical evidence from this study shows that extrinsic motivation fully mediated the positive influence of Basic psychological needs to Subjective well-being among Transport workers participating in the Gig-Economy in Indonesia. Originality/value: The importance of Basic psychological needs and motivation for Subjective well-being has been mostly studied for the traditional worker. This study focused on Subjective well-being among transport Gig-Workers and whether transport Gig-Workers in Indonesia can enhance their Subjective well-being when joining the Gig-Economy. Practical Implication: This study expected to help the management of Gig-Economy company operating in the transportation sector to manage its partners or Gig-Workers to achieve greater Subjective well-being considering that Subjective well-being is predictors to see Job Satisfaction and Work Performance that contributes to the firm's long-term success. Research limitations: This study is limited by the use of the theory of Self Determination and Motivation that focus on its influence on Gig-Workers Subjective well-being in Indonesia.</t>
  </si>
  <si>
    <t>Rachmawati, Riani/ADW-5911-2022</t>
  </si>
  <si>
    <t>Rachmawati, Riani/0000-0002-0605-6350</t>
  </si>
  <si>
    <t>978-989-54164-2-4</t>
  </si>
  <si>
    <t>WOS:000652015800104</t>
  </si>
  <si>
    <t>The Interaction of Perceived Subjectivity and Pay Transparency on Professional Judgment in a Profit Pool Setting: The Case of Large Law Firms</t>
  </si>
  <si>
    <t>10.2308/accr-52612</t>
  </si>
  <si>
    <t>Kelly, Khim; Dinovitzer, Ronit; Gunz, Hugh; Gunz, Sally P.</t>
  </si>
  <si>
    <t>ACCOUNTING REVIEW</t>
  </si>
  <si>
    <t>This paper examines how the interaction of perceived subjectivity and pay transparency in profit allocation is associated with an important aspect of law partners' professional judgment, namely their tendency to accede to the wishes of their client and fellow partner (labeled hereafter as partner accedence). Based on interviews with 56 corporate law partners working in large Canadian law firms, we find higher partner accedence in a less subjective system than in a more subjective system, but only under no pay transparency. We find that pay transparency (versus no transparency) is associated with increased accedence in a more subjective system, but it is marginally associated with decreased accedence in a less subjective system. In an experiment where we randomly assign MTurk participants to conditions, we replicate the finding that pay transparency (versus no transparency) has a more positive effect on partner accedence as subjectivity level increases. Data Availability: Lawyers participated in the study upon which this paper is based only after signing agreements that strict confidentiality of all data would be maintained by the researchers. As such, we are bound by these confidentiality agreements with individual lawyers interviewed for the study. Experiment data from Amazon Mechanical Turk are available from the authors.</t>
  </si>
  <si>
    <t>Kelly, Khim/0000-0003-3856-8067</t>
  </si>
  <si>
    <t>0001-4826</t>
  </si>
  <si>
    <t>1558-7967</t>
  </si>
  <si>
    <t>WOS:000611877200009</t>
  </si>
  <si>
    <t>THE NATURE OF SERVICES PROVIDED BY COLLABORATIVE PLATFORMS</t>
  </si>
  <si>
    <t>Duic, D; Petrasevic, T; Novokmet, A</t>
  </si>
  <si>
    <t>Rozenfeldova, Laura</t>
  </si>
  <si>
    <t>EU 2020 - LESSONS FROM THE PAST AND SOLUTIONS FOR THE FUTURE</t>
  </si>
  <si>
    <t>International Scientific Conference on Lessons from the Past and Solutions for the Future (EU)</t>
  </si>
  <si>
    <t>SEP 10-11, 2020</t>
  </si>
  <si>
    <t>Josip Juraj Strossmayer Univ Osijek, Faculty of Law, Osijek, CROATIA</t>
  </si>
  <si>
    <t>Josip Juraj Strossmayer Univ Osijek, Faculty of Law</t>
  </si>
  <si>
    <t>The objective of this paper is to analyse the nature of services provided by collaborative platforms. In this regard, we consider the approach established by the European Commission in its European Agenda on Collaborative Economy, as well as the individual decisions of the Court of Justice which examined the nature of services provided by collaborative platforms Uber and Airbnb. On this basis we formulate the criteria that enable the classification of services provided by collaborative platforms as information society services or as underlying services. As the following step in this analysis we argue that it is necessary to establish not only the nature of services provided by collaborative platforms, but also the nature of the contractual relationships concluded between subjects participating in the collaborative economy.</t>
  </si>
  <si>
    <t>Bachnakova Rozenfeldova, Laura/0000-0002-7111-9565</t>
  </si>
  <si>
    <t>2459-9425</t>
  </si>
  <si>
    <t>978-953-8109-33-1</t>
  </si>
  <si>
    <t>WOS:000675380500036</t>
  </si>
  <si>
    <t>The new EU Directive on Transparent and Predictable Working Conditions in the context of new forms of employment</t>
  </si>
  <si>
    <t>10.1177/09596801211043717</t>
  </si>
  <si>
    <t>EUROPEAN JOURNAL OF INDUSTRIAL RELATIONS</t>
  </si>
  <si>
    <t>The article examines the reach, protective effects and limitations of the recently adopted European Union (EU) Directive on Transparent and Predictable Working Conditions. After explaining the need for a new instrument, the article analyses the Directive's protective provisions. Cases of the European Court of Justice are presented to provide the wider context and explain how the EU social acquis impacts upon the implementation of the Directive. Finally, new developments in the EU labour and social field are discussed, making recommendations of possible avenues for providing protection to a larger category of workers.</t>
  </si>
  <si>
    <t>Georgiou, Despoina/0000-0001-6940-0908</t>
  </si>
  <si>
    <t>0959-6801</t>
  </si>
  <si>
    <t>1461-7129</t>
  </si>
  <si>
    <t>JAN 2022</t>
  </si>
  <si>
    <t>WOS:000739404400001</t>
  </si>
  <si>
    <t>The spatiality of collective action and organization among platform workers in Spain and Chile</t>
  </si>
  <si>
    <t>10.1177/0308518X221103262</t>
  </si>
  <si>
    <t>Morales-Munoz, Karol; Roca, Beltran</t>
  </si>
  <si>
    <t>ENVIRONMENT AND PLANNING A-ECONOMY AND SPACE</t>
  </si>
  <si>
    <t>The expansion of the platform economy has altered the spatial organization of work and employment relations, leading to deregulation and eroding workers' social power. However, despite the radical individualization and precarization of platform work, workers demonstrate agency. This article explores the political strategies employed by place-based platform workers, with a particular focus on the spatiality of their collective action. Using an ethnographic methodology, the article analyses the case studies of drivers' trade associations in Chile and the couriers' organization in Spain. The results show significant similarities between the two groups: (a) non-conventional forms of labour activism; (b) using social media to share experiences, foster solidarity and organize collectively; (c) organizing in large cities; (d) starting locally and progressing to higher scales, and (e) building national and international alliances. The article concludes that workers respond to the spatial organization of work by platforms in a multi-scalar way that is strongly influenced by both their imaginaries and the political and regulatory context.</t>
  </si>
  <si>
    <t>Roca, Beltrán/M-1338-2019</t>
  </si>
  <si>
    <t>Roca, Beltrán/0000-0001-5534-7843</t>
  </si>
  <si>
    <t>0308-518X</t>
  </si>
  <si>
    <t>1472-3409</t>
  </si>
  <si>
    <t>0308518X221103262</t>
  </si>
  <si>
    <t>MAY 2022</t>
  </si>
  <si>
    <t>WOS:000800542000001</t>
  </si>
  <si>
    <t>Touristification, Sharing Economies and the New Geography of Urban Conflicts</t>
  </si>
  <si>
    <t>10.3390/urbansci2040104</t>
  </si>
  <si>
    <t>del Romero Renau, Luis</t>
  </si>
  <si>
    <t>URBAN SCIENCE</t>
  </si>
  <si>
    <t>The aim of this study was to address the highly controversial problem of the increasing touristification of urban centers, analyzing the case of Valencia. The paper begins with a theoretical reflection to disambiguate the term sharing economy, the emergence of all kinds of digital service platforms that are revolutionizing traditional economic sectors of services, such as transport, tourist accommodation, or personal services. The new geography of urban conflicts that has arisen in recent years in this city, largely as a consequence of the paradigm of the collaborative economy in the tourism sector, was analyzed. This situation contrasts sharply with the panorama of conflicts that existed before and during the international financial crisis. Finally, the main social, economic and environmental impacts of collaborative economies are discussed, from the approach of a new phase in neoliberal capitalism.</t>
  </si>
  <si>
    <t>2413-8851</t>
  </si>
  <si>
    <t>WOS:000621633000011</t>
  </si>
  <si>
    <t>Trading-off flexibility: Contingent workers or human resource practices? A configurational approach</t>
  </si>
  <si>
    <t>10.1111/1748-8583.12394</t>
  </si>
  <si>
    <t>Signoretti, Andrea; Pederiva, Lucia; Zaninotto, Enrico</t>
  </si>
  <si>
    <t>HUMAN RESOURCE MANAGEMENT JOURNAL</t>
  </si>
  <si>
    <t>Atypical work has been proven to worsen employment conditions, reduce labour productivity and hinder firms from competing in higher quality market segments, yet companies still hire atypical workers to provide flexibility in response to unstable market conditions. Previous research has examined the relationship between specific job features and the incidence of atypical work. Using a fuzzy-set qualitative comparative analysis technique, we analysed interviews of service firms' managers to identify configurations that limit the use of atypical workers. We found evidence that firms limit the use of atypical contracts not only in cases of firm-specific and complex tasks but also in cases of simple and nonspecific tasks when supported by human resource management practices that aim to increase internal flexibility. Firms can take advantage of a stable workforce by strategically using human resource management flexibility practices as an alternative to labour market flexibility.</t>
  </si>
  <si>
    <t>0954-5395</t>
  </si>
  <si>
    <t>1748-8583</t>
  </si>
  <si>
    <t>JUL 2021</t>
  </si>
  <si>
    <t>WOS:000668742100001</t>
  </si>
  <si>
    <t>WHAT TYPE OF CAPITALISM DOES THE SHARING ECONOMY PROMOTE? AN ARGUMENT BASED ON THE ROMANIAN EXPERIENCE</t>
  </si>
  <si>
    <t>Simandan, Radu</t>
  </si>
  <si>
    <t>GLOBALIZATION AND ITS SOCIO-ECONOMIC CONSEQUENCES, PTS I - VI</t>
  </si>
  <si>
    <t>17th International Scientific Conference on Globalization and Its Socio-Economic Consequences</t>
  </si>
  <si>
    <t>OCT 04-05, 2017</t>
  </si>
  <si>
    <t>Univ Zilina, Fac Operat &amp; Econ &amp; Transport &amp; Commun, Dept Econ</t>
  </si>
  <si>
    <t>Globalization and digitization spurred the emergence of a technology-based, peer-topeer, collaborative economy. Also labelled as the sharing economy, this rising reality is redefining the key characteristics of the basic institutions of capitalism. Long-established categories of property rights are changing, disrupting the conventional varieties of economic systems. Increased ability of owners to share, rent, barter and swap property calls into question the conventional distinction between personal consumption property and commercial property. Traditional employment is being replaced with new forms of collaborative, on-demand occupations. Workers become independent contractors not covered by the social safety net and unaffected by minim wage laws. Barriers to entry into a large array of occupations have been drastically lowered. The power of trade unions is diminishing as habitual trade union membership declines. The state's capacity to impose regulation is also decreasing, as the new platforms are able to escape the customary regulation framework. These developments have raised questions related to the type of capitalism that the sharing economy is promoting. This paper investigates the relation between the sharing economy and capitalism. Based on the varieties-of-capitalism perspective developed by Peter A. Hall and David Soskice and the property-rights approach put forward by Svetozar Pejovich, our paper investigates the features of this novel type of economy arising from peer-to-peer relations in connection to the long-established institutions of capitalism. Latest developments of the Romanian case are analyzed in more detail to help form an in-depth image of the arising new form of capitalism.</t>
  </si>
  <si>
    <t>Simandan, Radu/AAC-6062-2021</t>
  </si>
  <si>
    <t>Simandan, Radu/0000-0001-6003-6695</t>
  </si>
  <si>
    <t>978-80-8154-212-1</t>
  </si>
  <si>
    <t>WOS:000685059204035</t>
  </si>
  <si>
    <t>Which Factors Are Important to Women When Choosing a Breast Reconstruction Surgeon?</t>
  </si>
  <si>
    <t>10.1097/PRS.0000000000009194</t>
  </si>
  <si>
    <t>Sergesketter, Amanda R.; Lam, Shravika; Broadwater, Gloria; Shammas, Ronnie L.; Langdell, Hannah C.; Plichta, Jennifer K.; Clancy, Sharon; Rezak, Kristen; Phillips, Brett T.; Hollenbeck, Scott T.</t>
  </si>
  <si>
    <t>PLASTIC AND RECONSTRUCTIVE SURGERY</t>
  </si>
  <si>
    <t>99th Annual Meeting of the Association-of-Academic-Plastic-Surgeons</t>
  </si>
  <si>
    <t>MAY 15-18, 2021</t>
  </si>
  <si>
    <t>Miami, FL</t>
  </si>
  <si>
    <t>Assoc Acad Plast Surg</t>
  </si>
  <si>
    <t>Background: Women undergoing breast reconstruction often research their health care provider options. The authors studied which factors may influence how a woman selects a plastic surgeon for breast reconstruction surgery. Methods: An online survey was distributed by means of Amazon Mechanical Turk (MTurk; Amazon Web Services, Inc., Seattle, Wash.) to 1025 adult women. Participants were asked to imagine a scenario in which they had breast cancer, needed to undergo mastectomy, and were choosing a reconstructive surgeon. They were then asked to rank factors influencing this decision on a 1 to 7 Likert scale. Two-sample t tests were used to compare Likert scores between dichotomized categories based on participant characteristics. Results: Women assigned the highest scores [mean (standard deviation)] to online reviews on Vitals or WebMD [6.1 (1.2)], years of experience [5.7 (1.4)], recommendations from another surgeon [5.7 (1.3)] or family/friend [4.9 (1.7)], and attending a top medical school [4.7 (1.7)]. Lowest ranked factors were online advertising and surgeon demographics, including having a sex concordant (female) surgeon. After amalgamation into attribute subsections, mean (standard deviation) rated relative importance of surgeon reputation [0.72 (0.13)] was higher than that of appearance [0.46 (0.19)] and demographics [0.31 (0.13)]. Patient demographics influenced relative importance of certain attributes; older, educated, and higher-income patients placed higher value on surgeon appearance (all p &lt; 0.05). Conclusions: When selecting a breast reconstruction surgeon, women place the highest value on surgeons' online, educational, and personal reputations. Though most show no strong preferences for surgeon demographics or physical attributes, specific features may be important for some patients. Cognizance of these preferences may enable providers to more effectively understand patient expectations.</t>
  </si>
  <si>
    <t>; Plichta, Jennifer/L-5450-2016</t>
  </si>
  <si>
    <t>Lam, Shravika/0000-0002-7631-161X; Plichta, Jennifer/0000-0002-7411-0558</t>
  </si>
  <si>
    <t>0032-1052</t>
  </si>
  <si>
    <t>1529-4242</t>
  </si>
  <si>
    <t>WOS:000818196600009</t>
  </si>
  <si>
    <t>Work and its transformations: from statism-based work to the Gig Economy</t>
  </si>
  <si>
    <t>10.12775/EiP.2021.034</t>
  </si>
  <si>
    <t>Krzyminiewska, Grazyna</t>
  </si>
  <si>
    <t>Motivation: Work as a socio-cultural and -economic phenomenon in the process of Poland's economic transformation within the last thirty years requires special analyses due to its central role both in individual and social terms. To a significant extent, the traditional approach is based on unhelpful separation of economic determinants from the social system as a whole, which is with detriment to the ability to investigate economic processes. Economic phenomena are not the effect of actions of unrelated individuals and their decisions based on rational calculations, but also arise out of the values rooted in their way of thinking and demonstrated through culture. Aim: This paper is aimed at describing the evolution of work in the context of the changes occurring on the labour market which result from the transformation of these institutions and of the economic culture of Poles. The aim may be achieved by assuming that the experience of the so-called 'cultural turn', a term which perfectly suits to describe the transformation process, requires interest to be taken also in phenomena occurring in everyday life, such as values, attitudes or cultural patterns. The transformation of work and of its meaning for development will be subject to descriptive and comparative analysis in two aspects: (1) with regard to the shift from statism-based economy to flexible forms of employment and the occurrences that accompany that shift and (2) in terms of global economic and technological changes in this regard. Results: The analyses carried out allowed to describe the changes in the Polish society observed in the area of work. The stages of the changes are identified, and new trends are specified which emerge under the impact of global development and their consequences for the economy and the society.</t>
  </si>
  <si>
    <t>WOS:000754735000006</t>
  </si>
  <si>
    <t>COLLABORATIVE ECONOMY - CHALLENGE FOR REGULATORS</t>
  </si>
  <si>
    <t>Wos2022</t>
  </si>
  <si>
    <t>Radic, Z; Roncevic, A; Yongqiang, L</t>
  </si>
  <si>
    <t>Dumancic, Kosjenka</t>
  </si>
  <si>
    <t>ECONOMIC AND SOCIAL DEVELOPMENT (ESD)</t>
  </si>
  <si>
    <t>22nd International Scientific Conference on Economic and Social Development (ESD) - The Legal Challenges of Modern World</t>
  </si>
  <si>
    <t>JUN 29-30, 2017</t>
  </si>
  <si>
    <t>Split, CROATIA</t>
  </si>
  <si>
    <t>Varazdin Dev &amp; Entrepreneurship Agcy,Univ Split, Fac Law,Univ Split,Univ Sarajevo, Fac Law,Univ N,Univ Warsaw, Fac Management,UNIQA Osiguranje</t>
  </si>
  <si>
    <t>Collaborative economy presents business model which activities promote platforms for collaboration that create an open market for temporary use of the goods or services and which are often provided by private persons. From the first basic idea of sharing economy as with no economic benefit the collaborative economy has grown, based on fast development of digitalisation and platforms, to the high impact industry. Collaborative economy represents a challenge for regulators. The fast development of digital platforms cannot be followed on the adequate way providing legal certainty and legal surrounding. The collaborative economy opens up a large scale of legal issues that need to be regulated at the national and supranational levels. The idea of regulation at the level of European Union is based at the European Commission initiative, which is stressed in its Communication. When discussing the regulation it should be stressed that the regulation sometimes can have counterproductive effects on developing new possibilities. In the case of collaborative economy, where the consumers are actively participating in evaluation process, the service is directly connected with their evaluation. Sometimes, by regulation innovation can also decline. The Internet and digitalisation open up a possibility where consumer welfare can be better served by innovation and competition than by the regulation. The paper will examine different approaches for the regulation in collaborative economy and give a short overview on different legal issues which have to be examined by the regulators.</t>
  </si>
  <si>
    <t>Dumancic, Kosjenka/0000-0002-2498-5153</t>
  </si>
  <si>
    <t>1849-6903</t>
  </si>
  <si>
    <t>1849-7535</t>
  </si>
  <si>
    <t>WOS:000578596300065</t>
  </si>
  <si>
    <t>Fusco, Federico</t>
  </si>
  <si>
    <t>The present paper investigates the ongoing validity of the notion of subordination as selection criteria to allocate the labour protections in the contemporary economic framework. The gig economy is deeply affecting the way of working, transforming the employee in a service provider. This phenomenon is partially due to the progressive shift from a firm-based production model towards a market transaction based one. Although its lawfulness is still unclear, it highlights that the way of working is changing in a way that struggles to fit into the classic legal categories. This is mainly due to the fact that the labour protections are usually bestowed moving from a notion of subordination highly focused on the organisational element. Thus, economic actors suffering from the same economic weakness of the employees, but organisationally independent, struggle to obtain the necessary protections. Moving from those remarks the author suggests rethinking the allocation criteria of the labour protections, adopting economic weakness as the main criterion. This category should encompass all the individuals performing a working activity that are not able to significantly influence its financial outcome. The aim of such reform should be to extend the labour protections to all the subjects needing them. The final part of the paper investigates the possible solutions under the current legal framework. The major finding is that under certain circumstances the gig workers can be qualified as temporary employees not of the platform, but of the contractor. In this scenario, the digital platforms should be deemed as job-placement service providers and, thus, they should comply with the relevant provisions. These include the eventual need of administrative authorisations and the free-of-charge principle, whose violations represent, in several jurisdictions, a criminal offence</t>
  </si>
  <si>
    <t>Fusco, Federico/0000-0002-1724-4517</t>
  </si>
  <si>
    <t>WOS:000582708700003</t>
  </si>
  <si>
    <t>The effect of the Covid-19 on sharing economy activities</t>
  </si>
  <si>
    <t>10.1016/j.jclepro.2020.124782</t>
  </si>
  <si>
    <t>Hossain, Mokter</t>
  </si>
  <si>
    <t>JOURNAL OF CLEANER PRODUCTION</t>
  </si>
  <si>
    <t>Activities within the sharing economy (SE) are in a precarious situation due to the Covid-19 pandemic. Even though the SE is considered a disruptive phenomenon, especially in the accommodation and transport sectors, the Covid-19 has raised concerns about its survivability. Thousands of people have lost their jobs, the value of SE firms has dropped, and many service providers have no other option but to stop working. Understanding the effect of the Covid-19 pandemic on the SE sector is therefore essential. The objective of this study is therefore to examine the effect of the Covid-19 on sharing economy activities. We have used various publications-such as news articles, TV news items, YouTube videos, and blog posts-as data sources for this study purpose. Through content analysis, the study shows how the SE phenomenon is coping with the changing environment caused by the Covid-19. We analyzed the SE sector mainly from the perspective of four stakeholders: SE firms, service providers, service receivers (customers), and regulatory bodies. We explored the SE phenomenon based mainly on the following themes: anxiety, cancelation, job loss, income reduction, hygiene and safety, overcoming strategy, and outcomes. Based on the findings, we point out implications and avenues for future research. (c) 2020 The Author(s). Published by Elsevier Ltd. This is an open access article under the CC BY license (http://creativecommons.org/licenses/by/4.0/).</t>
  </si>
  <si>
    <t>Hossain, Mokter/G-8424-2016</t>
  </si>
  <si>
    <t>Hossain, Mokter/0000-0003-4156-6206</t>
  </si>
  <si>
    <t>0959-6526</t>
  </si>
  <si>
    <t>1879-1786</t>
  </si>
  <si>
    <t>JAN 20</t>
  </si>
  <si>
    <t>WOS:000603570100007</t>
  </si>
  <si>
    <t>Moayedikia, Alireza; Ghaderi, Hadi; Yeoh, William</t>
  </si>
  <si>
    <t>DECISION SUPPORT SYSTEMS</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</si>
  <si>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 worker quality estimation, meaning that workers need to complete all tasks after which point their quality can be estimated; and one-off quality estimation method which estimates workers' quality only at the start of micro 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</si>
  <si>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Moayedikia, Alireza/0000-0001-7229-3699; Yeoh, William/0000-0002-2964-4518; Ghaderi, Hadi/0000-0002-4705-3471</t>
  </si>
  <si>
    <t>0167-9236</t>
  </si>
  <si>
    <t>1873-5797</t>
  </si>
  <si>
    <t>WOS:000596873100005</t>
  </si>
  <si>
    <t>A Critical Evaluation of Current Machine Tool Designs in the Digitalized Global Production Networks</t>
  </si>
  <si>
    <t>10.1007/978-3-030-18180-2_5</t>
  </si>
  <si>
    <t>Monostori, L; Majstorovic, VD; Hu, SJ; Djurdjanovic, D</t>
  </si>
  <si>
    <t>Ganiyusufoglu, Omer Sahin</t>
  </si>
  <si>
    <t>PROCEEDINGS OF THE 4TH INTERNATIONAL CONFERENCE ON THE INDUSTRY 4.0 MODEL FOR ADVANCED MANUFACTURING (AMP 2019)</t>
  </si>
  <si>
    <t>4th International Conference on the Industry 4.0 Model for Advanced Manufacturing, Industry 4.0 and Internet of Things for Manufacturing (AMP)</t>
  </si>
  <si>
    <t>JUN 03-06, 2019</t>
  </si>
  <si>
    <t>Univ Belgrade, Fac Mech Eng, Belgrade, SERBIA</t>
  </si>
  <si>
    <t>Chamber Commerce &amp; Ind</t>
  </si>
  <si>
    <t>Univ Belgrade, Fac Mech Eng</t>
  </si>
  <si>
    <t>Machine Tools are mother machines. They are necessary for the creation of any product. There is a correlation between machine tool capabilities and industrial achievements. The history shows that new innovative designs of machine tools led to remarkable technical as well as monetary results. Digitalization is changing our daily life in all aspects. A new On demand economy is coming up. No more an economy based on fixed plans is essential but an economy which is reactive to changes in daily life on time. Consequently also new production systems and machines are necessary for making it possible to adapt to new demands. This new era requires as well changes in machine tool design for taking benefit of the possibilities forwarded by digitalization. Aparadigm change is necessary. In this paper a systematic review of machine tool developments will be given and requirements on up to date machine tools will be worked out. Finally, some examples for potential future design ideas will be presented.</t>
  </si>
  <si>
    <t>2195-4356</t>
  </si>
  <si>
    <t>2195-4364</t>
  </si>
  <si>
    <t>978-3-030-18180-2; 978-3-030-18179-6</t>
  </si>
  <si>
    <t>WOS:000493989800005</t>
  </si>
  <si>
    <t>A Deep Ranking Model for Spatio-Temporal Highlight Detection from a 360 degrees Video</t>
  </si>
  <si>
    <t>AAAI</t>
  </si>
  <si>
    <t>Yu, Youngjae; Lee, Sangho; Na, Joonil; Kang, Jaeyun; Kim, Gunhee</t>
  </si>
  <si>
    <t>THIRTY-SECOND AAAI CONFERENCE ON ARTIFICIAL INTELLIGENCE / THIRTIETH INNOVATIVE APPLICATIONS OF ARTIFICIAL INTELLIGENCE CONFERENCE / EIGHTH AAAI SYMPOSIUM ON EDUCATIONAL ADVANCES IN ARTIFICIAL INTELLIGENCE</t>
  </si>
  <si>
    <t>32nd AAAI Conference on Artificial Intelligence / 30th Innovative Applications of Artificial Intelligence Conference / 8th AAAI Symposium on Educational Advances in Artificial Intelligence</t>
  </si>
  <si>
    <t>FEB 02-07, 2018</t>
  </si>
  <si>
    <t>New Orleans, LA</t>
  </si>
  <si>
    <t>We address the problem of highlight detection from a 360 degrees video by summarizing it both spatially and temporally. Given a long 360 degrees video, we spatially select pleasantly-looking normal field-of-view (NFOV) segments from unlimited field of views (FOV) of the 360 degrees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degrees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degrees videos.</t>
  </si>
  <si>
    <t>2159-5399</t>
  </si>
  <si>
    <t>2374-3468</t>
  </si>
  <si>
    <t>978-1-57735-800-8</t>
  </si>
  <si>
    <t>WOS:000485488907077</t>
  </si>
  <si>
    <t>A questions-based investigation of consumer mental-health information</t>
  </si>
  <si>
    <t>10.7717/peerj.867</t>
  </si>
  <si>
    <t>Crangle, Colleen E.; Kart, Joyce Brothers</t>
  </si>
  <si>
    <t>PEERJ</t>
  </si>
  <si>
    <t>Despite the wealth of mental-health information available online to consumers, research has shown that the mental-health information needs of consumers are not being met. This study contributes to that research by soliciting consumer questions directly, categorizing them, analyzing their form, and assessing the extent to which they can be answered from a trusted and vetted source of online information, namely the website of the US National Institute of Mental Health (NIMH). As an alternative to surveys and analyses of online activity, this study shows how consumer questions provide new insight into what consumers do not know and how they express their information needs. The study crowdsourced 100 consumer questions through Amazon Inc.'s Mechanical Turk. Categorization of the questions shows broad agreement with earlier studies in terms of the content of consumer questions. It also suggests that consumers' grasp of mental health issues may be low compared to other health topics. The majority of the questions (74%) were simple in form, with the remainder being multi-part, multifaceted or narrative. Even simple-form questions could, however, have complex interpretations. Fifty four questions were submitted to the search box at the NIMH website. For 32 questions, no answer could be found in the top one to three documents returned. Inadequacies in the search and retrieval technology deployed at websites account for some of the failure to find answers. The nature of consumer questions in mental health also plays a role. A question that has a false presupposition is less likely to have an answer in trusted and vetted sources of information. Consumer questions are also expressed with a degree of specificity that makes the retrieval of relevant information difficult. The significance of this study is that it shows what an analysis of consumer mental-health questions can tell us about consumer information needs and it provides new insight into the difficulties facing consumers looking for answers to their questions in online resources.</t>
  </si>
  <si>
    <t>2167-8359</t>
  </si>
  <si>
    <t>MAR 31</t>
  </si>
  <si>
    <t>e867</t>
  </si>
  <si>
    <t>WOS:000352299200004</t>
  </si>
  <si>
    <t>DalKwack, K; Kawata, S; Hwang, S; Han, D; Ko, F</t>
  </si>
  <si>
    <t>Hafeez, Yasir; Riaz, Muhammad; Asghar, Sohail; Naz, Hummera; Gilani, Syed Mushhad Mustuzhar; Batool, Asma; Ahmed, Mehmood; Hassan, M. Shabbir</t>
  </si>
  <si>
    <t>2012 7TH INTERNATIONAL CONFERENCE ON COMPUTING AND CONVERGENCE TECHNOLOGY (ICCCT2012)</t>
  </si>
  <si>
    <t>7th International Conference on Computing and Convergence Technology (ICCCT)</t>
  </si>
  <si>
    <t>DEC 03-05, 2012</t>
  </si>
  <si>
    <t>Seoul, SOUTH KOREA</t>
  </si>
  <si>
    <t>Inst Elect &amp; Elect Engineers (IEEE),Inst Elect &amp; Elect Engineers (IEEE), Korea Council,Adv Inst Convergence Informat Technol (AICIT),ETRI,KISTI</t>
  </si>
  <si>
    <t>Objective: In this research, we present a framework which has been introduced for improving the efficiency of requirement change management in GSD environment. Method: In this research, we have used structured, semi structured research methods gained through interviews from reputed organization experts. This research is based on published reports, articles, and existing case studies. Experts reviews are used to perform the evaluation of this model. Result: This has resulted in a framework for improving the effectiveness of requirement change management in GSD environment. Conclusion: The framework provides a guideline to the team of developers regarding how frequently changes could be incorporated.</t>
  </si>
  <si>
    <t>Hafeez, Yaser/L-1348-2019</t>
  </si>
  <si>
    <t>Mustuzhar Gilani, Syed Mushhad/0000-0003-1198-7632</t>
  </si>
  <si>
    <t>978-1-4673-0894-6; 978-89-94364-26-1</t>
  </si>
  <si>
    <t>WOS:000324412800182</t>
  </si>
  <si>
    <t>Adapt or perish: Recent developments on social protection in the EU under a gig deal of pressure</t>
  </si>
  <si>
    <t>10.1177/2031952518817569</t>
  </si>
  <si>
    <t>Aranguiz, Ane; Bednarowicz, Bartlomiej</t>
  </si>
  <si>
    <t>In times of the so-called gig economy, access to an adequate level of social protection should not depend on whether or not a person is working on a standard employment contract. Access to social protection for non-standard forms of labour and self-employment is, as a matter of fact, one of the main themes being discussed at the moment within the debates surrounding the European Pillar of Social Rights. This article aims at assessing the recent initiatives at the EU level that have the objective of ensuring access to social protection for all and both granting and enforcing transparent and predictable working conditions for workers. Accordingly, this contribution first sheds some light on the discussion on non-standard forms of labour and the problematics surrounding the emergence of new forms of labour to later analyse the new EU initiatives, in particular, the proposal for a Recommendation on access to social protection for workers and the self-employed. It concludes by welcoming the recent position of the EU with regard to such challenges, yet emphasising also the need to do more.</t>
  </si>
  <si>
    <t>Aranguiz, Ane/0000-0002-2413-9504</t>
  </si>
  <si>
    <t>WOS:000598956200001</t>
  </si>
  <si>
    <t>Airbnb and Tourism Intermediation. Competition or Coopetition? Perception of Travel Agents Spain</t>
  </si>
  <si>
    <t>10.15581/015.XXIII.2.107-132</t>
  </si>
  <si>
    <t>Pastor, Ricardo; Rivera Garcia, Jorge</t>
  </si>
  <si>
    <t>REVISTA EMPRESA Y HUMANISMO</t>
  </si>
  <si>
    <t>Airbnb is the most outstanding example of P2P platform in the accommodation industry. The studies on this phenomenon have focused on its impact on the hotel industry; leaving aside the effect it produces on tourism intermediation, spe.cifically travel agencies. This paper analyzes this impact in a sector that perceives how.Airbnb's disruptive innovation displaces it from the traditional vacation apartment rental business and threatens to do so with activities. The discussion is about whether the travel agency industry has the need and even if it would be willing to work in a coopetitive' system, similar to the one that has occurred recently with the implementation of Civitatis or Booking in the sales processes of travel agencies. It is concluded that the travel agency prioritizes strengthening its repositioning in this product, allying itself vvith the main market player despite the probable reduction in margins.</t>
  </si>
  <si>
    <t>Ruiz, Ricardo Pastor/AAQ-2292-2020</t>
  </si>
  <si>
    <t>Ruiz, Ricardo Pastor/0000-0002-9302-7792</t>
  </si>
  <si>
    <t>1139-7608</t>
  </si>
  <si>
    <t>2254-6413</t>
  </si>
  <si>
    <t>WOS:000551596500004</t>
  </si>
  <si>
    <t>Airtasker and the Australian freelance workers: The reflections on the gig economy</t>
  </si>
  <si>
    <t>10.21833/ijaas.2018.07.005</t>
  </si>
  <si>
    <t>Ma, Xiaojie; Yang, Shaohua</t>
  </si>
  <si>
    <t>INTERNATIONAL JOURNAL OF ADVANCED AND APPLIED SCIENCES</t>
  </si>
  <si>
    <t>This study aimed at investigating the possibilities of gig economy and how mobile devices play a critical role in this. The ability of the Australian people to venture out in this idea and the way it takes shape through mobile devices have also been understood. Through a qualitative method of data collection, 5 Australian freelancers have been interviewed. The aspect taken into consideration is evaluation and examination of their use of Airtasker and similar apps that are accessible over mobiles. The studies also intended to understand the role played by the mobile devices in shaping the decision and action of Australian people venturing into the creative media section of gig economy. Through qualitative analysis, the findings of this study indicated that inclusion of the freelancing work with the freedom to travel and/or study makes it a better alternative than the full-time stable employment with limited leaves and time to work on one's hobbies. Moreover, freelancers have the flexibility to adapt their own timings and rates based on the works that they are taking into consideration. The freelance job opportunities through the use of mobile apps allow the receiving as well as the delivering end with the opportunity to finalize the gigs based on different parameters inclusive of time availability and preferences. However, there are issues concerning the ability of the freelancer to have a steady flow of income. (c) 2018 The Authors. Published by IASE.</t>
  </si>
  <si>
    <t>Yang, Shaohua/O-6199-2018</t>
  </si>
  <si>
    <t>Yang, Shaohua/0000-0002-5339-466X</t>
  </si>
  <si>
    <t>2313-626X</t>
  </si>
  <si>
    <t>2313-3724</t>
  </si>
  <si>
    <t>WOS:000435839500005</t>
  </si>
  <si>
    <t>An Analysis of Web-based Document Management and Communication Tools Usage Among Project Managers</t>
  </si>
  <si>
    <t>10.4018/IJHCITP.2017010101</t>
  </si>
  <si>
    <t>Rozman, Tomislav; Stjepanovic, Tanja Kocjan; Raspor, Andrej</t>
  </si>
  <si>
    <t>INTERNATIONAL JOURNAL OF HUMAN CAPITAL AND INFORMATION TECHNOLOGY PROFESSIONALS</t>
  </si>
  <si>
    <t>The article analyzes modern cloud document management systems and communication tools from the viewpoint of a EU project managers, who lead multidisciplinary, multilingual and international teams. It also explores the types of users who use these tools as well as the motivation factors guiding their choices. The research includes observation within the project group, interviews and semi-structured surveys among 40 EU project managers, who have managed 244 EU projects. The main finding is that a lot of project managers still don't use shared, cloud document system. The biggest obstacle to more efficient usage of existing systems is their un-friendliness, security concerns and lack of skills. Meetings are still perceived as the most efficient channel for distributing and receiving project tasks, but they are closely followed by communication software. Applying the authors' findings to the project management practice can lead to better communication and shared document storage management, which can influence overall effectiveness of project management.</t>
  </si>
  <si>
    <t>Rozman, Tomislav/R-2198-2019; Raspor, Andrej/AAG-9482-2019</t>
  </si>
  <si>
    <t>Rozman, Tomislav/0000-0001-9738-7253; Raspor, Andrej/0000-0002-8098-9554</t>
  </si>
  <si>
    <t>1947-3478</t>
  </si>
  <si>
    <t>1947-3486</t>
  </si>
  <si>
    <t>JAN-MAR</t>
  </si>
  <si>
    <t>WOS:000396649400001</t>
  </si>
  <si>
    <t>An Assessment of the Validity of the Gamblers Belief Questionnaire</t>
  </si>
  <si>
    <t>10.1016/j.addbeh.2019.05.029</t>
  </si>
  <si>
    <t>Philander, Kahlil S.; Gainsbury, Sally M.; Grattan, Georgia</t>
  </si>
  <si>
    <t>ADDICTIVE BEHAVIORS</t>
  </si>
  <si>
    <t>Cognitive distortions in gambling are irrational thoughts that cause an individual to overestimate their level of control over the outcome of the game and diminish the role of chance. Due to their strong relation to gambling disorders, they are a particularly important characteristic to assess and understand in gamblers. Although numerous measures of gambling-related cognitive distortions exist, studies assessing criterion validity are scarce. In this study, we develop several tests of the Gamblers Belief Questionnaire (GBQ), a versatile and widely used scale. A sample of 184 U.S. adults was recruited through Amazon Mechanical Turk to complete an online study that included measurement of the GBQ and an assessment of the perceived role of skill and chance in various gambling and non-gambling activities. In addition to a confirmatory factor analysis of the scale, three novel validation tests were developed to understand whether the GBQ subscales can identify and discriminate measures of illusion of control and gambler's fallacy distortions. Our validation tests demonstrate that the scale does measure both distortions, providing information about gamblers' cognition that is unexplained by gambling problems, frequency of play, and demographics. Conversely, our analysis of the factor structure does not show good fit. We conclude that the GBQ measures gambling-related cognitive distortions, but there may be an opportunity to reduce the number of scale items and further refine precision of the two subscales.</t>
  </si>
  <si>
    <t>Philander, Kahlil/V-2085-2019</t>
  </si>
  <si>
    <t>Philander, Kahlil/0000-0002-0747-0772</t>
  </si>
  <si>
    <t>0306-4603</t>
  </si>
  <si>
    <t>1873-6327</t>
  </si>
  <si>
    <t>WOS:000474319600016</t>
  </si>
  <si>
    <t>Analyzing Happiness: Investigation on Happy Moments using a Bag-of-words Approach and Related Ethical Discussions</t>
  </si>
  <si>
    <t>10.1109/COMPSAC.2019.00099</t>
  </si>
  <si>
    <t>Getov, V; Gaudiot, JL; Yamai, N; Cimato, S; Chang, M; Teranishi, Y; Yang, JJ; Leong, HV; Shahriar, H; Takemoto, M; Towey, D; Takakura, H; Elci, A; Susumu; Puri, S</t>
  </si>
  <si>
    <t>Adib, Riddhiman; Aldawod, Eyad; Lang, Nathan; Lasswell, Nina; Guha, Shion</t>
  </si>
  <si>
    <t>2019 IEEE 43RD ANNUAL COMPUTER SOFTWARE AND APPLICATIONS CONFERENCE (COMPSAC), VOL 1</t>
  </si>
  <si>
    <t>43rd IEEE-Computer-Society Annual International Computers, Software and Applications Conference (COMPSAC)</t>
  </si>
  <si>
    <t>JUL 15-19, 2019</t>
  </si>
  <si>
    <t>Marquette Univ, Milwaukee, WI</t>
  </si>
  <si>
    <t>IEEE,IEEE Comp Soc,IEEE Future Direct</t>
  </si>
  <si>
    <t>Marquette Univ</t>
  </si>
  <si>
    <t>In this research paper, we analyzed what moments and activities make people happy, based on a collection of happy moments. We are focusing on specific happy moments from a collection of text responses that people have shared through the crowd-sourcing platform: Amazon Mechanical Turk (MThrk). Using crowd-sourcing to collect our data allows us to advance our understanding of the cause of happiness, by focusing on words and real human experiences. Workers of MTurk were asked to reflect on what makes them happy in a given period and share three specific moments in complete sentences. Through text-based analysis, we will look to see what other components have a role in making a specific event happy and further analyze how we can classify such words. Also, we dive deeper into specific subcategories of classifiers in an attempt to form insights about their happiness level based on specific factors. With the goal to extract features from the text in HappyDB, in this study we used the bag of words approach. Through doing so, our results were successful at predicting the happiness category, concerning both accuracy and context. Our models were able to accomplish the goal of understanding a happy moment and fit such a moment into one of the seven ground truth happiness categories we set at the beginning of this study. We finished the article with the ethical perspective of such research works and related social implications.</t>
  </si>
  <si>
    <t>Adib, Riddhiman/ABB-5913-2020</t>
  </si>
  <si>
    <t>Adib, Riddhiman/0000-0002-2855-342X</t>
  </si>
  <si>
    <t>0730-3157</t>
  </si>
  <si>
    <t>978-1-7281-2607-4</t>
  </si>
  <si>
    <t>WOS:000538791700088</t>
  </si>
  <si>
    <t>Application of job security laws, workers' bargaining power and employment outcomes in India</t>
  </si>
  <si>
    <t>10.1177/1035304619831245</t>
  </si>
  <si>
    <t>Roychowdhury, Anamitra</t>
  </si>
  <si>
    <t>ECONOMIC AND LABOUR RELATIONS REVIEW</t>
  </si>
  <si>
    <t>This article empirically investigates two propositions normally advanced to explain employment stagnation in the organised sector of the Indian labour market namely, rigid labour laws regulating the hiring and firing' of workers (along with factory closures) and militant trade union activity boosting workers' bargaining power. It is claimed that labour laws arrest employment creation by making the labour adjustment process difficult. Additionally, it is claimed that workers' increased bargaining power raises the effective cost of labour, hindering employment creation. This article critically examines both these claims. First, it questions whether labour laws can be held responsible as an explanation for employment stagnation in the organised sector as a whole, since a close reading of the Indian legislation reveals that labour laws apply in less than 35% of aggregate employment in the organised sector in India. Next, it investigates whether employment stagnation in those industry segments where labour laws apply - namely, organised manufacturing - is due to restrictions on hiring and firing'. We find no evidence to support this hypothesis. Finally, it analyses the trend in workers' bargaining power through various indicators, and finds such power to be unambiguously declining. Thus, the study finds no empirical support for the two conventional arguments put forward to explain employment stagnation in the organised sector of the Indian labour market.</t>
  </si>
  <si>
    <t>1035-3046</t>
  </si>
  <si>
    <t>1838-2673</t>
  </si>
  <si>
    <t>WOS:000461570600007</t>
  </si>
  <si>
    <t>Applying Actor-Network Theory to Software Project Management Research</t>
  </si>
  <si>
    <t>Brown, A; Rich, M</t>
  </si>
  <si>
    <t>Ahmedshareef, Zana; Hughes, Robert; Petridis, Miltos</t>
  </si>
  <si>
    <t>PROCEEDINGS OF THE 13TH EUROPEAN CONFERENCE ON RESEARCH METHODOLOGY FOR BUSINESS AND MANAGEMENT STUDIES (ECRM 2014)</t>
  </si>
  <si>
    <t>13th European Conference on Research Methodology for Business and Management</t>
  </si>
  <si>
    <t>JUN 16-17, 2014</t>
  </si>
  <si>
    <t>City Univ London, Cass Business Sch, London, ENGLAND</t>
  </si>
  <si>
    <t>City Univ London, Cass Business Sch</t>
  </si>
  <si>
    <t>Managing projects that deliver large software systems through global development teams is a complex and uncertain endeavour. Project managers are confronted with interdependent problems and dynamic situations that are constantly changing. The research and practice bodies of knowledge need to match that complexity if they are to provide practical solutions to the challenges facing such projects. This research investigates the dynamics at play during software project execution and the practical problems that emerge and cause schedule delay. This paper focuses on the research methods used, which brings together different theories and methods from the technical and social domains in order to be able to explain the complexity of software project execution. In an empirical study of a large software systems provider, who adopted global software development approach and employed a version of iterative and incremental development method within a software factory model, a number of research methods and techniques were combined to enable the making sense of the complex dynamics at play during project execution that cause schedule delay. The research data comprised past project documents were created by and for project participants without outsider intrusion; this represents the reality of what was happening on the ground. The research adopted a mixed method approach employing the explanatory sequential design to integrate the quantitative analysis of Project Metrics with the qualitative analysis of Actor-Network Theory (ANT) and Grounded Theory approaches to enable explaining the dynamics of software project management and its influence on schedule delay. ANT stems from the sociology of science and technology, and attempts to describe the dynamics between technology and the social world focusing on the interactions occur among the actors that collaborate to achieve some goal, and in doing so create an actor-network. The findings demonstrate that considerable benefit can be gained from integrating different theories and methods to address the complexity of software projects and gain a fuller understanding of the management dynamics during project execution. ANT can impact the way research is done; it makes researchers look at the context of a research object more carefully - this is because it focuses on networks of influence rather than 'simple' input-output models, and that these networks are heterogeneous, i.e. the nodes can be of many different types (human and nonhuman) and the nature of links (intermediaries) can also be very varied. Whilst offering a richer picture of the project, ANT makes it more difficult to document and analyse.</t>
  </si>
  <si>
    <t>2049-0968</t>
  </si>
  <si>
    <t>978-1-910810-06-4</t>
  </si>
  <si>
    <t>WOS:000350974400001</t>
  </si>
  <si>
    <t>Are locals ready to cross a new frontier in tourism? Factors of experiential P2P orientation in tourism</t>
  </si>
  <si>
    <t>10.1080/13683500.2019.1604639</t>
  </si>
  <si>
    <t>Batle, Julio; Garau-Vadell, Joan B.; Orfila-Sintes, Francina</t>
  </si>
  <si>
    <t>CURRENT ISSUES IN TOURISM</t>
  </si>
  <si>
    <t>This paper analyses the profile of locals willing to meet tourists in a context of experience interchange peer-to-peer (P2P) and identifies factors that drive such contact in an authentic setting of shared passions. This is a first step in creating the experiential P2P subindustry that academia, innovators and experts/trend-watchers have been waiting for over a decade. The data was collected using the 'snowball' sampling technique among locals from Mallorca (Spain). The results indicate that passion (within idle capacity) for the activity is a central factor to take into consideration in experiential P2P activity, together with other personal (self-perception of managerial and other emotional and communication skills) factors. In addition, the expressed disinterest in becoming experiential P2P providers suggests that there are factors of self-image (especially regarding managerial skills and entrepreneurial attitude) that play a decisive role in the democratization of tourism - an unexplored area in tourism literature.</t>
  </si>
  <si>
    <t>Batle, Julio/ABG-8422-2020; Orfila-Sintes, Francina/F-5083-2016; garau-vadell, joan/AAA-1138-2019</t>
  </si>
  <si>
    <t>Orfila-Sintes, Francina/0000-0003-3721-7097; garau-vadell, joan/0000-0002-0936-0163</t>
  </si>
  <si>
    <t>1368-3500</t>
  </si>
  <si>
    <t>1747-7603</t>
  </si>
  <si>
    <t>MAY 18</t>
  </si>
  <si>
    <t>WOS:000530936800007</t>
  </si>
  <si>
    <t>Artisans and Designers: Seeking Fairness within Capitalism and the Gig Economy</t>
  </si>
  <si>
    <t>10.18389/dearq26.2020.09</t>
  </si>
  <si>
    <t>Chappe, Raphaele; Jaramillo, Cynthia Lawson</t>
  </si>
  <si>
    <t>DEARQ-REVISTA DE ARQUITECTURA-JOURNAL OF ARCHITECTURE</t>
  </si>
  <si>
    <t>The artisan sector is the second largest employer in the developing world and an estimated 34-to-526 billion-dollar industry (Nest 2018). Why then are the majority of the world's artisans living in poverty? And what role have designers played in extracting money and value from these marginalized communities? Co-authored by an economist and a design educator, this paper posits that a critical and productive way to get to the bottom of these questions is to analyze the artisan sector as a member of the gig / on-demand economy. Most importantly, it proposes a fairer economic and design architecture for this sector that achieves a better alignment of compensation and value creation, particularly for those with the least economic resources (the artisans). Using several designer-founded-and-run artisan enterprises as case studies, the paper questions the key variables that determine the success of such a venture vis-a-vis artisan livelihoods. These include scale, ownership models (cooperatives vs. outsourced labor), and various social justice issues including power and privilege. A further concern is that, as they are submitted to the logic of rational economic exchange rooted in a market economy, some artisan practices that were traditionally embedded in social and cultural institutions were transformed in ways that jeopardize patrimony, traditions, and social fabric. The paper concludes by outlining economic principles for a proposed collaboration methodology through which designer/founders can frame their future work with an understanding of how they can strive to reach ventures that emphasize poverty alleviation, artisan empowerment, and the celebration/preservation of cultural heritage.</t>
  </si>
  <si>
    <t>2011-3188</t>
  </si>
  <si>
    <t>2215-969X</t>
  </si>
  <si>
    <t>WOS:000510478300008</t>
  </si>
  <si>
    <t>AUTOMATIC WORD QUIZ CONSTRUCTION USING REGULAR AND SIMPLE ENGLISH WIKIPEDIA</t>
  </si>
  <si>
    <t>Chova, LG; Martinez, AL; Torres, IC</t>
  </si>
  <si>
    <t>Rose, Ralph</t>
  </si>
  <si>
    <t>INTED2016: 10TH INTERNATIONAL TECHNOLOGY, EDUCATION AND DEVELOPMENT CONFERENCE</t>
  </si>
  <si>
    <t>10th International Technology, Education and Development Conference (INTED)</t>
  </si>
  <si>
    <t>MAR 07-09, 2016</t>
  </si>
  <si>
    <t>Valencia, SPAIN</t>
  </si>
  <si>
    <t>Word Quiz Constructor is a java application designed to automatically generate vocabulary quiz questions based on corpora. Past work has shown that it generates multiple-choice cloze items using sentences from Wikipedia that are comparable to manually-produced items, but the context sentences tend to be longer and more difficult. The present study describes an evaluation of Simple English Wikipedia as an alternative source for quiz items generated by Word Quiz Constructor. Results show that items generated are shorter and at a lower reading level than those from regular English Wikipedia. But a validation test with native English speakers via Amazon Mechanical Turk suggests that Simple English items with a higher reading level have a somewhat diminished quality. Simple English Wikipedia seems optimal for the generation of low reading level items only. Suggestions are made for the future development of Word Quiz Constructor with Simple English Wikipedia.</t>
  </si>
  <si>
    <t>Rose, Ralph L./I-5939-2018</t>
  </si>
  <si>
    <t>Rose, Ralph L./0000-0002-8449-5666</t>
  </si>
  <si>
    <t>2340-1079</t>
  </si>
  <si>
    <t>978-84-608-5617-7</t>
  </si>
  <si>
    <t>WOS:000402738408005</t>
  </si>
  <si>
    <t>Big Data Impact Analysis of Smart Grid based on AHP method</t>
  </si>
  <si>
    <t>Jiang, ZY</t>
  </si>
  <si>
    <t>Wang, Jianjun; Li, Cunbin; Zhang, Sisi</t>
  </si>
  <si>
    <t>PROCEEDINGS OF THE 2015 6TH INTERNATIONAL CONFERENCE ON MANUFACTURING SCIENCE AND ENGINEERING</t>
  </si>
  <si>
    <t>6th International Conference on Manufacturing Science and Engineering (ICMSE)</t>
  </si>
  <si>
    <t>NOV 28-29, 2015</t>
  </si>
  <si>
    <t>Guangzhou, PEOPLES R CHINA</t>
  </si>
  <si>
    <t>With the rapid development of smart grid, the using of smart appliances, the new information system and the application of digital work gradually get into the smart grid companies. It provides a digital basis for the big data technology to enhance smart grid's service capabilities, which is the inevitable trend of the development of the smart grid. In this paper, a scientific, systematic and objective evaluation on the smart grid's impact of the big data technology is created with a total of fourteen indicators from three aspects: technology, smart grid status monitoring and simulation, the weights of the indexes are given by using the AHP. From the results analysis, the relevant suggestions are given in the three aspects of the integrating intelligent electronic components, enhancing the big data load forecasting and real-time data monitoring capabilities.</t>
  </si>
  <si>
    <t>Wang, Jianjun/C-3361-2017</t>
  </si>
  <si>
    <t>Wang, Jianjun/0000-0002-5424-1497</t>
  </si>
  <si>
    <t>2352-5401</t>
  </si>
  <si>
    <t>978-94-6252-137-7</t>
  </si>
  <si>
    <t>WOS:000388457800268</t>
  </si>
  <si>
    <t>CAT: CONTEXT-AWARE TRUST-ORIENTED WORKER SELECTION IN SOCIAL CROWD</t>
  </si>
  <si>
    <t>10.4149/cai_2017_3_517</t>
  </si>
  <si>
    <t>Zhao, Yang; Zheng, Kai; Liu, An; Li, Zhixu; Liu, Guanfeng; Zhou, Xiaofang</t>
  </si>
  <si>
    <t>COMPUTING AND INFORMATICS</t>
  </si>
  <si>
    <t>Finding trustworthy worker is a longstanding issue in crowdsourcing systems. On traditional crowdsouring platforms, like Amazon Mechanical Turk, the trustworthiness of a worker is usually based on the contextual information, like different types of tasks and different reward amounts of tasks. However, with the combination of OSNs and the crowdsourcing applications in social crowd, in addition to the above mentioned task based contexts, the social contexts like the social relationships and the social positions of participants can greatly assist requestors to select trustworthy workers. In order to select the trustworthy workers in social crowd, in this paper, we first present a contextual social network structure which contains complex social contexts. Then we propose a trust evaluation model taking both contexts information and the requirements of requestors into consideration, which leads to the trust worker selection in social crowd as a classical NP-Complete Multi-Constrained Optimal Path (MCOP) selection problem. For solving this challenging problem, we propose a new efficient and effective approximation Context-Aware Trust-Oriented Worker Selection algorithm CAT. The results of our experiments conducted on four real OSN datasets illustrate the superiority of our method in trustworthy worker selection.</t>
  </si>
  <si>
    <t>Zhou, Xiaofang/C-6169-2013</t>
  </si>
  <si>
    <t>Zhou, Xiaofang/0000-0001-6343-1455; Liu, Guanfeng/0000-0001-8980-4950</t>
  </si>
  <si>
    <t>1335-9150</t>
  </si>
  <si>
    <t>WOS:000404850000002</t>
  </si>
  <si>
    <t>Song, JK; Jain, HK</t>
  </si>
  <si>
    <t>Haseman, WD; Nazareth, DL</t>
  </si>
  <si>
    <t>ASSOCIATION FOR INFORMATION SYSTEMS - PROCEEDINGS OF THE FIFTH AMERICAS CONFERENCE ON INFORMATION SYSTEMS (AMCIS 1999)</t>
  </si>
  <si>
    <t>5th AIS Americas Conference on Information Systems</t>
  </si>
  <si>
    <t>AUG 13-15, 1999</t>
  </si>
  <si>
    <t>MILWAUKEE, WI</t>
  </si>
  <si>
    <t>Assoc Informat Syst</t>
  </si>
  <si>
    <t>Recent business trends have been characterized by global competition. Furthermore, the severe shortages and increasing costs of Information Technology professionals are forcing software development companies to explore global system development strategies. A conceptual framework representing factors affecting global software development decision and selection of development center locations is developed. Drawing from the literature in economics, global manufacturing and global R &amp; D, this paper presents an economic cost model to support global software development decision and help select appropriate locations. The model considers economic, political, managerial, and technical environment in home and host country.</t>
  </si>
  <si>
    <t>WOS:000086012100106</t>
  </si>
  <si>
    <t>Crowdsourcing visual perception experiments: a case of contrast threshold</t>
  </si>
  <si>
    <t>10.7717/peerj.8339</t>
  </si>
  <si>
    <t>Sasaki, Kyoshiro; Yamada, Yuki</t>
  </si>
  <si>
    <t>Crowdsourcing has commonly been used for psychological research but not for studies on sensory perception. A reason is that in online experiments, one cannot ensure that the rigorous settings required for the experimental environment are replicated. The present study examined the suitability of online experiments on basic visual perception, particularly the contrast threshold. We conducted similar visual experiments in the laboratory and online, employing three experimental conditions. The first was a laboratory experiment, where a small sample of participants (n = 24; laboratory condition) completed a task with 10 iterations. The other two conditions were online experiments: participants were either presented with a task without repetition of trials (n = 285; online non-repetition condition) or one with 10 iterations (n = 166; online repetition condition). The results showed significant equivalence in the contrast thresholds between the laboratory and online repetition conditions, although a substantial amount of data needed to be excluded from the analyses in the latter condition. The contrast threshold was significantly higher in the online non-repetition condition compared with the laboratory and online repetition conditions. To make crowdsourcing more suitable for investigating the contrast threshold, ways to reduce data wastage need to be formulated.</t>
  </si>
  <si>
    <t>Yamada, Yuki/B-2671-2008</t>
  </si>
  <si>
    <t>Yamada, Yuki/0000-0003-1431-568X; Sasaki, Kyoshiro/0000-0002-5496-3748</t>
  </si>
  <si>
    <t>DEC 20</t>
  </si>
  <si>
    <t>e8339</t>
  </si>
  <si>
    <t>WOS:000503805000018</t>
  </si>
  <si>
    <t>DETERMINANTS OF EMPLOYMENT EXTERNALIZATION - A STUDY OF TEMPORARY WORKERS AND INDEPENDENT CONTRACTORS</t>
  </si>
  <si>
    <t>10.2307/2393411</t>
  </si>
  <si>
    <t>DAVISBLAKE, A; UZZI, B</t>
  </si>
  <si>
    <t>ADMINISTRATIVE SCIENCE QUARTERLY</t>
  </si>
  <si>
    <t>This paper examines what determines the use of temporary workers and independent contractors in a variety of organizations. We hypothesize that four factors affect the use of externalized workers: employment costs, the external environment, organizational size and bureaucratization, and skill requirements. Data from a large sample of employers surveyed by the U.S. Department of Labor were used to test the hypotheses. Analyses showed that each factor affected the use of both temporary workers and independent contractors; however, the effects differed across the two types of workers. Firm-specific training, government oversight, bureaucratized employment practices, establishment size, and requirements for high levels of informational or technical skill had negative effects on organizations' use of temporary workers; variation in employment needs positively affected the use of temporary workers. Variation in employment needs, bureaucratized employment practices, establishment size, and being part of a multiple-site firm had positive effects on the use of independent contractors. We discuss the implications of these findings for the study of the employment relationship.</t>
  </si>
  <si>
    <t>0001-8392</t>
  </si>
  <si>
    <t>WOS:A1993LJ03100002</t>
  </si>
  <si>
    <t>DICHOTOMY OR TRICHOTOMY? DEFINING EMPLOYEES AND INDEPENDENT CONTRACTORS IN AN EVOLVING MARKET</t>
  </si>
  <si>
    <t>Kikiros, Stephen</t>
  </si>
  <si>
    <t>UNIVERSITY OF WESTERN AUSTRALIA LAW REVIEW</t>
  </si>
  <si>
    <t>This paper analyses the distinction between an 'employee' and 'independent contractor' and its application to companies in the 'gig economy'. This question is exemplified by global debate concerning how Uber drivers are classified. The author argues that the current Australian legal test,(1) absent of legislative reform, cannot confidently answer this question and proposes several suggestions. This paper is divided into five sections. The first section introduces the issue. The second section examines the significance of classifying workers, explains the Australian legal test and considers its application to the gig economy. The third section explores the legal landscape in the United Kingdom and compares it with Australian law. The fourth section considers recent and notable legislative reform in both jurisdictions. The fifth section proposes and assesses solutions that may be more appropriate in an evolving market.</t>
  </si>
  <si>
    <t>0042-0328</t>
  </si>
  <si>
    <t>WOS:000472828600006</t>
  </si>
  <si>
    <t>Digital Gender Parity? Gender-Specific Attitudes and Competencies of Young Professionals in Germany</t>
  </si>
  <si>
    <t>Paoloni, P; Paoloni, M; Arduini, S</t>
  </si>
  <si>
    <t>Franken, Swetlana; Wattenberg, Malte</t>
  </si>
  <si>
    <t>PROCEEDINGS OF THE 2ND INTERNATIONAL CONFERENCE ON GENDER RESEARCH (ICGR 2019)</t>
  </si>
  <si>
    <t>2nd International Conference on Gender Research (ICGR)</t>
  </si>
  <si>
    <t>APR 11-12, 2019</t>
  </si>
  <si>
    <t>Roma Tre Univ, Ipazia Sci Observ Gender Issues, Rome, ITALY</t>
  </si>
  <si>
    <t>Roma Tre Univ, Ipazia Sci Observ Gender Issues</t>
  </si>
  <si>
    <t>Digitalization has not only affected production conditions but also gender relations by creating favourable conditions that promote gender equality in companies and make use of female resources and competencies. To seize this opportunity, the digital work environment must be collaboratively designed. Currently, in the predominantly male world of IT and engineering, women are still outnumbered. A quantitative online-study with 28 closed questions on the attitudes and competencies of Young Professionals regarding digitalization was conducted from July to September 2017 in Germany. Results were analysed for trends in gender and generations. The participants (n=400, thereof female=273, male=127, in employment=221) consisted mostly of Generations Y and Z, who are at the beginning of their working lives. Several causes of the ongoing gender disparity were confirmed during analysis. While Young Professionals of both genders show interest in digital technologies, this interest was more pronounced among male respondents. Moreover, compared to men of the same age, young female respondents more intensively use the internet and social media while being less interested in technical functioning. Regarding necessary competencies in the digitalized world, male respondents were particularly interested in the importance of problem solving, optimization skills, and interdisciplinary cooperation. Female respondents placed more value on media, social, and communication competencies, as well as personal responsibility. Since leadership roles are traditionally associated with problem solving and decisiveness instead of social competence, these differences could represent barriers in women's careers. However, these discrepancies also indicate that qualified women have more opportunity to become supporters and role models for new participatory leadership. Additionally, this study reveals clear stereotypes regarding women's competencies. Male respondents generally believed that female IT and media competence, as well as their interest in technology are still less compared to men. These study results indicate that future measures should strive to sensitize managers and provide targeted training and support for women. Furthermore, these results contribute to the broad public and scientific discussion concerning the issue of gender parity in the context of digitalization.</t>
  </si>
  <si>
    <t>978-1-912764-16-7</t>
  </si>
  <si>
    <t>WOS:000471634700033</t>
  </si>
  <si>
    <t>Digital Innovation in the Job Market: An Explorative Study on Cloud Working Platforms</t>
  </si>
  <si>
    <t>10.1007/978-3-319-23784-8_21</t>
  </si>
  <si>
    <t>Torre, T; Braccini, AM; Spinelli, R</t>
  </si>
  <si>
    <t>Ruggieri, Alessandro; Mosconi, Enrico Maria; Poponi, Stefano; Silvestri, Cecilia</t>
  </si>
  <si>
    <t>EMPOWERING ORGANIZATIONS: ENABLING PLATFORMS AND ARTEFACTS</t>
  </si>
  <si>
    <t>11th Conference of the Italian-Chapter of AIS - Digital Innovation and Inclusive Knowledge in Times of Change</t>
  </si>
  <si>
    <t>NOV 21-22, 2014</t>
  </si>
  <si>
    <t>Genova, ITALY</t>
  </si>
  <si>
    <t>AIS, Italian Chapter</t>
  </si>
  <si>
    <t>The evolution of the web has produced a broad change in partnerships and collaboration worldwide due to the centrality of internet, a virtual place where actors from different countries can easily meet and exchange in-formation. This new agency model represents the basis for the development of a new entrepreneurial organization where companies can redefine their idea of business in order to make the web instrumental in the creation of a global social network of actors. This model of cooperation is now possible thank to the creation of the new cloud working platforms that have brought about a revolution in the job market. Main objective of the present work is therefore 1. to analyze and compare, on one hand, three main communities of crowdsourcing (Knowledge or Gig economy) in order to show such evolution, and on the other; 2. to analyze and compare the main platforms of cooperation at distance, in order to identify critical success factors.</t>
  </si>
  <si>
    <t>Mosconi, Enrico Maria/B-1575-2016; POPONI, Stefano/A-7406-2016</t>
  </si>
  <si>
    <t>Mosconi, Enrico Maria/0000-0001-7065-7313; POPONI, Stefano/0000-0001-7574-5320</t>
  </si>
  <si>
    <t>2195-4968</t>
  </si>
  <si>
    <t>2195-4976</t>
  </si>
  <si>
    <t>978-3-319-23784-8; 978-3-319-23783-1</t>
  </si>
  <si>
    <t>WOS:000390413300021</t>
  </si>
  <si>
    <t>Digital spaces: between educational tools and student uses</t>
  </si>
  <si>
    <t>10.1016/j.sbspro.2015.01.1110</t>
  </si>
  <si>
    <t>Iaman, A; Eskicumali, A</t>
  </si>
  <si>
    <t>Papi, Cathia</t>
  </si>
  <si>
    <t>INTERNATIONAL CONFERENCE ON NEW HORIZONS IN EDUCATION, INTE 2014</t>
  </si>
  <si>
    <t>5th International Conference on New Horizons in Education (INTE)</t>
  </si>
  <si>
    <t>JUN 25-27, 2014</t>
  </si>
  <si>
    <t>Paris, FRANCE</t>
  </si>
  <si>
    <t>While the generation currently in basic training has grown up in an environment that is rich in information and communication technologies, since the beginning of this century, the French national education system has been promoting the development of skills in the use of ICTs and the creation of digital institutional spaces. However, these spaces sometimes appear incomplete or less attractive than the commercial platforms or social networks, and certain teaching activities tend to use these latter tools, with which the students are a priori more familiar. To what extent would these students be more likely to prefer and use one type of environment or the other for their studies? In order to advance some avenues of thought, we will analyse the responses provided by nearly 1,000 students registered at the Universite de Picardie between 2012 and 2014. We will examine their tastes and habits in using the social media and the university's digital work environment in order to seek to better understand their technology preferences and practices in connection with recreational and learning activities. (C) 2015 The authors Published by Elsevier Ltd.</t>
  </si>
  <si>
    <t>1877-0428</t>
  </si>
  <si>
    <t>WOS:000383740203126</t>
  </si>
  <si>
    <t>Discovering the Influencing Factors of Physical Gig Economy Usage: Quantitative Approach on Clients' Perception</t>
  </si>
  <si>
    <t>Auditianto, Ari; Sucahyo, Yudho Giri; Gandhi, Arfive; Ruldeviyani, Yova</t>
  </si>
  <si>
    <t>2019 11TH INTERNATIONAL CONFERENCE ON ADVANCED COMPUTER SCIENCE AND INFORMATION SYSTEMS (ICACSIS 2019)</t>
  </si>
  <si>
    <t>11th International Conference on Advanced Computer Science and Information Systems (ICACSIS)</t>
  </si>
  <si>
    <t>OCT 12-13, 2019</t>
  </si>
  <si>
    <t>STMIK Primakara, Bali, INDONESIA</t>
  </si>
  <si>
    <t>Univ Indonesia, Fac Comp Sci,IEEE Indonesia Sect</t>
  </si>
  <si>
    <t>STMIK Primakara</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</si>
  <si>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t>
  </si>
  <si>
    <t>Ruldeviyani, Yova/AAD-3193-2021; Gandhi, Arfive/AAD-8437-2021</t>
  </si>
  <si>
    <t>Gandhi, Arfive/0000-0001-6488-4341</t>
  </si>
  <si>
    <t>2330-4588</t>
  </si>
  <si>
    <t>978-1-7281-5292-9</t>
  </si>
  <si>
    <t>WOS:000542028400057</t>
  </si>
  <si>
    <t>Disruption and the Law in the Digital World: Some Thoughts on the CJEU Uber Spain Judgment</t>
  </si>
  <si>
    <t>Drezgic, S; Zikovic, S; Tomljanovic, M</t>
  </si>
  <si>
    <t>Bodiroga-Vukobrat, Nada; Martinovic, Adrijana</t>
  </si>
  <si>
    <t>ECONOMICS OF DIGITAL TRANSFORMATION</t>
  </si>
  <si>
    <t>1st Conference of the Faculty-of-Economics-and-Bussiness of University-of-Rijeka on Economics of Digital Transformation</t>
  </si>
  <si>
    <t>MAY 02-04, 2018</t>
  </si>
  <si>
    <t>Opatija, CROATIA</t>
  </si>
  <si>
    <t>Univ Rijeka, Fac Econ &amp; Bussiness,Univ Sarajevo, Sch Econ &amp; Business,Ural Fed Univ, Grad Sch Econ &amp; Management,Univ Belgrade, Fac Econ,U C,Univ Ljubljana, Fac Adm,Univ Zagreb, Fac Org &amp; Informat Varazdin,Univ Nice Sophia Antipolis,Cleveland State Univ, Maxine Goodman Levin, Coll Urban Affairs,Univ Antwerp</t>
  </si>
  <si>
    <t>Whether or not we can call Uber's business model as disruptive innovation (admittedly, according to the author of the disruptive innovation theory, we cannot), the fact remains that it has shaken the traditional models of passenger transport industries around the world. The law does not respond well, or, better said, it is not able to react fast enough to innovations. Technological and business inventions represent a threat to legal certainty. When an innovative business model, facilitated by the use of new technologies occurs, it is usually associated with a whole array of legal issues and conundrums. The law will try desperately to fit it into the existing moulds of legal regulation. The recent Uber Spain judgment (EU:C:987:2017) by the Court of Justice of the European Union (CJEU) provides a perfect illustration for this. According to the CJEU, Uber is a transport company. This paper will analyse the arguments presented in the judgment to show how law is not able to deal with rapid technological and societal changes in today's digital world. The implications of this judgment are far reaching, not just for Uber's operations in the EU and world-wide, but also for other game changers in the digital economy.</t>
  </si>
  <si>
    <t>Martinović, Adrijana/R-4073-2018</t>
  </si>
  <si>
    <t>Martinović, Adrijana/0000-0002-5182-6393</t>
  </si>
  <si>
    <t>978-953-7813-46-8</t>
  </si>
  <si>
    <t>WOS:000589270200001</t>
  </si>
  <si>
    <t>Effects of E-cigarette Advertising Messages and Cues on Cessation Outcomes</t>
  </si>
  <si>
    <t>10.18001/TRS.4.1.3</t>
  </si>
  <si>
    <t>Jo, Catherine L.; Golden, Shelley D.; Noar, Seth M.; Rini, Christine; Ribisl, Kurt M.</t>
  </si>
  <si>
    <t>TOBACCO REGULATORY SCIENCE</t>
  </si>
  <si>
    <t>Objectives: We examined effects of e-cigarette ad messages and visual cues on outcomes related to combustible cigarette smoking cessation: smoking cessation intention, smoking urges, and immediate smoking behavior. Methods: US adult smokers (N = 3293) were recruited through Amazon Mechanical Turk and randomized to condition in a 3 (message: e-cigarette use anywhere, harm reduction, control) x 2 (e-cigarette cue presence or absence) between-subjects experiment. Stimuli were print ads for cigarette-like e-cigarettes (cigalikes) that were manipulated for the experimental conditions. We conducted ANOVA and logistic regression analyses to investigate effects of the manipulations. Results: Message effects on cessation intention and smoking urges were not statistically significant. There was no evidence of cue effects or message x cue interactions across outcomes. Contrary to expectations, e-cigarette use anywhere and harm reduction messages were associated with lower odds of immediate smoking than the control message (AOR(EUA) = 0.75, 95% CI = 0.58, 0.97, p = .026; AOR(HR) = 0.72, 95% CI = 0.55, 0.93, p = .013). Conclusions: E-cigarette use anywhere and harm reduction messages may encourage smoking cessation, given the observed reduction in immediate smoking. E-cigarette cues may not influence smoking cessation outcomes. Future studies should investigate whether message effects are a result of smokers believing e-cigarettes to be effective cessation aids.</t>
  </si>
  <si>
    <t>Jo, Catherine/AFL-6747-2022; Noar, Seth/AAT-9402-2021; Jo, Catherine/AAG-6891-2022; Ribisl, Kurt M/C-4867-2015</t>
  </si>
  <si>
    <t>Ribisl, Kurt M/0000-0003-3318-8524; Rini, Christine/0000-0002-3169-3626; Jo, Catherine/0000-0002-8706-9523</t>
  </si>
  <si>
    <t>2333-9748</t>
  </si>
  <si>
    <t>WOS:000430183200003</t>
  </si>
  <si>
    <t>Evaluation of a Multiple Mediator Model of the Relationship Between Core Self-Evaluations and Job Satisfaction in Employed Individuals With Disabilities</t>
  </si>
  <si>
    <t>10.1891/2168-6653.32.2.139</t>
  </si>
  <si>
    <t>Smedema, Susan Miller; Kesselmayer, Rachel Friefeld; Peterson, Lauren</t>
  </si>
  <si>
    <t>REHABILITATION RESEARCH POLICY AND EDUCATION</t>
  </si>
  <si>
    <t>Purpose: To test a meditation model of the relationship between core self-evaluations (CSE) and job satisfaction in employed individuals with disabilities. Method: A quantitative descriptive design using Hayes's (2012) PROCESS macro for SPSS and multiple regression analysis. Two-hundred fifty-nine employed persons with disabilities were recruited from Amazon Mechanical Turk to participate in the study. Results: Support from supervisors, work engagement, wage, and job stress were found to partially mediate the relationship between CSE and job satisfaction. The direct effect of CSE on job satisfaction was still significant after controlling for the effects of all mediators. Conclusions: CSE affected job satisfaction in persons with disabilities, both directly and through improved supervisory support, greater engagement in work, increased pay, and decreased job stress. Implications of the results on rehabilitation counseling practice to improve job satisfaction in clients with disabilities are discussed.</t>
  </si>
  <si>
    <t>2168-6653</t>
  </si>
  <si>
    <t>2168-6661</t>
  </si>
  <si>
    <t>WOS:000435519200005</t>
  </si>
  <si>
    <t>EVALUATION OF DIGITAL WORK DESIGN SUPPORTING SYSTEM IN CONSIDERATION OF WORK BURDEN ANALYSIS</t>
  </si>
  <si>
    <t>Wang, H; Osaki, H</t>
  </si>
  <si>
    <t>Taki, Seiko; Kajihara, Yasuhiro; Kadowaki, Masanori</t>
  </si>
  <si>
    <t>ICIM 2010: PROCEEDINGS OF THE TENTH INTERNATIONAL CONFERENCE ON INDUSTRIAL MANAGEMENT</t>
  </si>
  <si>
    <t>10th International Conference on Industrial Management</t>
  </si>
  <si>
    <t>SEP 16-18, 2010</t>
  </si>
  <si>
    <t>Beijing, PEOPLES R CHINA</t>
  </si>
  <si>
    <t>Beihang Univ,Japan Ind Management Assoc, Chugoku Shikoku Branch</t>
  </si>
  <si>
    <t>We have developed work design supporting system that aims to reduce the workers' physical burden caused by poor posture in the execution of tasks. Working area and a human model are drawn using computer aided design (CAD) tools. These, representations are shown in a virtual working area. The motion of the human model is planned step by step through the manipulation of the model via mouse and keyboard. Data pertaining to work postures held by the human model during the work is recorded and the degree of work burden that is associated with the postures held is calculated continuously. The OWAS (Ovako Working posture Analyzing System) method is used to evaluate work burden. Then, a work procedure guidance manual is produced based on the data. Thus, the design of the production system, the planning of operating procedures and the analysis of the work burden associated with executing various tasks are carried out continuously. By comparing the work burden analysis of this system and an occupational physician's analysis to an example work, the validity of this system is evaluated.</t>
  </si>
  <si>
    <t>978-7-5124-0210-2</t>
  </si>
  <si>
    <t>WOS:000306943100008</t>
  </si>
  <si>
    <t>Food addiction among men and women in India</t>
  </si>
  <si>
    <t>10.1002/erv.2613</t>
  </si>
  <si>
    <t>Wiedemann, Ashley A.; Lawson, Jessica L.; Cunningham, Paige M.; Khalvati, Kathryn M.; Lydecker, Janet A.; Ivezaj, Valentina; Grilo, Carlos M.</t>
  </si>
  <si>
    <t>EUROPEAN EATING DISORDERS REVIEW</t>
  </si>
  <si>
    <t>Objective This study aimed to address a cultural gap in the food addiction (FA) literature by examining FA and associated clinical features in a nonclinical group of men and women residing in India. Method Results Participants (N = 415) were recruited from Amazon Mechanical Turk to complete an online survey about weight and eating. Participants completed self-report measures assessing FA (Yale Food Addiction Scale [YFAS]), eating-disorder psychopathology (Eating Disorder Examination-Questionnaire [EDE-Q]), health-related quality of life (Short Form Health Survey-12-item version [SF-12]), and depression (Patient Health Questionnaire-2). The FA symptom mean was 3.53 (SD = 1.90); 32.5% (n = 129) met FA clinical threshold on the YFAS. Groups categorized with and without FA on the YFAS did not differ significantly in sex or body mass index. YFAS scores were significantly correlated with greater frequency of binge eating, higher severity scores on all EDE-Q subscales, higher depression, and poorer functioning scores on the SF-12 (all ps &lt; 0.05). Conclusions FA, as conceptualized and measured by the YFAS, appears to be common among individuals residing in India.</t>
  </si>
  <si>
    <t>Wiedemann, Ashley/ABD-4365-2021; Lydecker, Janet/B-3349-2016</t>
  </si>
  <si>
    <t>Lydecker, Janet/0000-0001-6425-514X</t>
  </si>
  <si>
    <t>1072-4133</t>
  </si>
  <si>
    <t>1099-0968</t>
  </si>
  <si>
    <t>NOV</t>
  </si>
  <si>
    <t>WOS:000449655600007</t>
  </si>
  <si>
    <t>Graph Clustering With Missing Data : Convex Algorithms and Analysis</t>
  </si>
  <si>
    <t>Ghahramani, Z; Welling, M; Cortes, C; Lawrence, ND; Weinberger, KQ</t>
  </si>
  <si>
    <t>Vinayak, Ramya Korlakai; Oymak, Samet; Hassibi, Babak</t>
  </si>
  <si>
    <t>ADVANCES IN NEURAL INFORMATION PROCESSING SYSTEMS 27 (NIPS 2014)</t>
  </si>
  <si>
    <t>28th Conference on Neural Information Processing Systems (NIPS)</t>
  </si>
  <si>
    <t>DEC 08-13, 2014</t>
  </si>
  <si>
    <t>Montreal, CANADA</t>
  </si>
  <si>
    <t>1049-5258</t>
  </si>
  <si>
    <t>WOS:000452647100088</t>
  </si>
  <si>
    <t>How Black Are Lakisha and Jamal? Racial Perceptions from Names Used in Correspondence Audit Studies</t>
  </si>
  <si>
    <t>10.15195/v4.a19</t>
  </si>
  <si>
    <t>Gaddis, S. Michael</t>
  </si>
  <si>
    <t>SOCIOLOGICAL SCIENCE</t>
  </si>
  <si>
    <t>Online correspondence audit studies have emerged as the primary method to examine racial discrimination. Although audits use distinctive names to signal race, few studies scientifically examine data regarding the perception of race from names. Different names treated as black or white may be perceived in heterogeneous ways. I conduct a survey experiment that asks respondents to identify the race they associate with a series of names. I alter the first names given to each respondent and inclusion of last names. Names more commonly given by highly educated black mothers (e.g., Jalen and Nia) are less likely to be perceived as black than names given by less educated black mothers (e.g., DaShawn and Tanisha). The results suggest that a large body of social science evidence on racial discrimination operates under a misguided assumption that all black names are alike, and the findings from correspondence audits are likely sensitive to name selection.</t>
  </si>
  <si>
    <t>2330-6696</t>
  </si>
  <si>
    <t>SEP 6</t>
  </si>
  <si>
    <t>WOS:000411667900001</t>
  </si>
  <si>
    <t>HOW CONCEPCION AND ITALIAN COLORS AFFECTED TERMS OF SERVICE CONTRACTS IN THE GIG ECONOMY</t>
  </si>
  <si>
    <t>Tippett, Elizabeth C.; Schaaff, Bridget</t>
  </si>
  <si>
    <t>RUTGERS UNIVERSITY LAW REVIEW</t>
  </si>
  <si>
    <t>This study examines whether companies in the gig economy altered their contract terms following two landmark Supreme Court decisions affirming the enforceability of class action waivers in arbitration agreements: AT&amp;T Mobility, LLC v. Concepcion and American Express v. Italian Colors Restaurant. A number of the companies in the study appear to have been influenced by the decisions. The study analyzes Terms of Service contracts from 38 gig companies between 2009 and 2016. Prior to 2012, only about one third of companies used arbitration agreements, and few such agreements contained a class action waiver. By 2016, however, nearly two thirds of gig companies included an arbitration agreement, and almost all included a class action waiver. These class action waivers remove the future threat of aggregate liability for claims brought by workers and consumers alike. The addition of such waivers could also explain in part why gig companies have not reclassified their workers, even after experiencing substantial litigation.</t>
  </si>
  <si>
    <t>2374-3859</t>
  </si>
  <si>
    <t>WIN</t>
  </si>
  <si>
    <t>WOS:000438834200005</t>
  </si>
  <si>
    <t>Implementation of an Emergency Department Information System A Qualitative Study of Nurses' Attitudes and Experience</t>
  </si>
  <si>
    <t>Vezyridis, Paraskevas; Timmons, Stephen; Wharrad, Heather J.</t>
  </si>
  <si>
    <t>CIN-COMPUTERS INFORMATICS NURSING</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</si>
  <si>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t>
  </si>
  <si>
    <t>Vezyridis, Paraskevas/E-8313-2017; Wharrad, Heather/F-1788-2011</t>
  </si>
  <si>
    <t>Vezyridis, Paraskevas/0000-0002-6249-139X; Timmons, Stephen/0000-0002-3731-1350; Wharrad, Heather/0000-0001-6030-5648</t>
  </si>
  <si>
    <t>1538-2931</t>
  </si>
  <si>
    <t>1538-9774</t>
  </si>
  <si>
    <t>WOS:000310358000004</t>
  </si>
  <si>
    <t>Ciarniene, Ramune; Vienazindiene, Milita; Adamoniene, Ruta</t>
  </si>
  <si>
    <t>EUROPEAN JOURNAL OF SUSTAINABLE DEVELOPMENT</t>
  </si>
  <si>
    <t>Rapid globalization, the Internet-enabled on-demand economy, changing demographics, dynamism and flexibility in the workforce are redefining the landscape of work and inevitably lead to the changes in work arrangements. Flexible work arrangement (FWA) can be defined as a set of benefits provided by employer that lets employees to control over when and where they work outside of the standard arrangement. Although the concept of flexible work arrangements (FWAs) is quite widely analysed by scientific community during past decades, there is a lack of knowledge exploring the impact of flexible work practices on sustainable development. The purpose of this paper is to examine how flexible work arrangements can contribute to sustainable development at different levels of abstraction. Research methodology includes comparative analysis and synthesis of scientific literature, modelling, and empirical research in the form of survey and semi-structured interview. Research revealed that FWAs, when implemented with care and preparation, have a positive influence on sustainability at different levels of abstraction: individual level, company level, and society level. Benefits of flexible work practices turn up through three interconnected domains: economic, environmental, and social.</t>
  </si>
  <si>
    <t>Adamonienė, Rūta/V-6784-2019</t>
  </si>
  <si>
    <t>2239-5938</t>
  </si>
  <si>
    <t>2239-6101</t>
  </si>
  <si>
    <t>WOS:000446113700001</t>
  </si>
  <si>
    <t>Implementing use of ICT in teacher education - How to add quality to teaching and learning with the help of a Learning Resource Centre</t>
  </si>
  <si>
    <t>Kumar, D; Turner, J</t>
  </si>
  <si>
    <t>Olsson, Lena</t>
  </si>
  <si>
    <t>Education for the 21st Century - Impact of ICT and Digital Resources</t>
  </si>
  <si>
    <t>19th World Computer Congress</t>
  </si>
  <si>
    <t>AUG 21-24, 2006</t>
  </si>
  <si>
    <t>Santiago, CHILE</t>
  </si>
  <si>
    <t>IFIP TC 12</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</si>
  <si>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t>
  </si>
  <si>
    <t>1571-5736</t>
  </si>
  <si>
    <t>0-387-34627-9</t>
  </si>
  <si>
    <t>WOS:000239949700049</t>
  </si>
  <si>
    <t>IMPROVING THE MANAGEMENT OF SOCIAL ECONOMY ENTERPRISES, AN ESSENTIAL FACTOR FOR THE SUSTAINABLE DEVELOPMENT OF LOCAL COMMUNITIES</t>
  </si>
  <si>
    <t>Popa, I; Dobrin, C; Ciocoiu, CN</t>
  </si>
  <si>
    <t>Popescu, Dan; Nicolae, Florina-Valentina; State, Cristina</t>
  </si>
  <si>
    <t>PROCEEDINGS OF THE 11TH INTERNATIONAL MANAGEMENT CONFERENCE: THE ROLE OF MANAGEMENT IN THE ECONOMIC PARADIGM OF THE XXIST CENTURY (IMC 2017)</t>
  </si>
  <si>
    <t>International Management Conference on Role of Management in the Economic Paradigm of the XXIst Century</t>
  </si>
  <si>
    <t>NOV 02-04, 2017</t>
  </si>
  <si>
    <t>Bucharest, ROMANIA</t>
  </si>
  <si>
    <t>Bucharest Univ Econ Studies, Fac Management</t>
  </si>
  <si>
    <t>Our scientific approach aims to capture the current state of the conceptual and methodological approaches regarding the social economy and the representative organizations of this sector, which has become increasingly clear in recent years, in order to propose a new model of social economy enterprise adapted to Romanian local communities, but not limited to this geographical area. The main objective of our work-paper was to prefigure a new model of the social economy enterprise using alternatives offered by the behaviour of seemingly tiny creatures but with a great solidarity. At first quick look the rules of behaviour that these creatures seem to strictly mathematically respect, appeared to be similar to the values promoted, in the human society by the social economy (solidarity, responsibility, communion of interests, autonomous management etc.). The answers to the questions we made themselves was outlined in successive stages we have undergone in our research, respectively: (1) identifying approaches to the current state of the social economy and current approaches regarding to the management of social economy enterprises; (2) identifying the degree of knowledge of the social economy in Romania; (3) deepening and nuance of the results of the research, by the content analyse of the registered responses to a questionnaire, that target above all the areas that define the individual-community relationship; (4) the elaboration of a conceptual model of the social economy enterprise as a network of people and relationships, having as inspiration the model of organizing bee life in the hive; (5) designing the mathematical model of the social economy enterprise, type honeycomb network and its benefits.</t>
  </si>
  <si>
    <t>State, Cristina/AAZ-2886-2021; STATE, Cristina/AHC-1283-2022; POPESCU, DAN P./J-8620-2014</t>
  </si>
  <si>
    <t>State, Cristina/0000-0002-1514-9831; POPESCU, DAN P./0000-0001-7164-9155</t>
  </si>
  <si>
    <t>2286-1440</t>
  </si>
  <si>
    <t>WOS:000466917100014</t>
  </si>
  <si>
    <t>Introducing ema(sic) (Editor for Manual Work Activities) - A New Tool for Enhancing Accuracy and Efficiency of Human Simulations in Digital Production Planning</t>
  </si>
  <si>
    <t>Duffy, VG</t>
  </si>
  <si>
    <t>Fritzsche, Lars; Jendrusch, Ricardo; Leidholdt, Wolfgang; Bauer, Sebastian; Jaeckel, Thomas; Pirger, Attila</t>
  </si>
  <si>
    <t>DIGITAL HUMAN MODELING</t>
  </si>
  <si>
    <t>3rd International Conference on Digital Human Modeling(ICDHM)/14th International Conference on Human-Computer Interaction (HCI)</t>
  </si>
  <si>
    <t>JUL 09-14, 2011</t>
  </si>
  <si>
    <t>Orlando, FL</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</si>
  <si>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ema(sic). For the most part, the ema(sic)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ema(sic). software implementation, such as ergonomic evaluation and MTM-time analyses, and the workflow for practical application are presented.</t>
  </si>
  <si>
    <t>0302-9743</t>
  </si>
  <si>
    <t>978-3-642-21798-2; 978-3-642-21799-9</t>
  </si>
  <si>
    <t>WOS:000306308800031</t>
  </si>
  <si>
    <t>Is the Sharing Economy for All? An Answer Based on Neighbourhoods, Types of Hosts, and User Complaints</t>
  </si>
  <si>
    <t>10.1007/978-3-030-05940-8_5</t>
  </si>
  <si>
    <t>Pesonen, J; Neidhardt, J</t>
  </si>
  <si>
    <t>Bulchand-Gidumal, Jacques; Melian-Gonzalez, Santiago; Gonzalez Lopez-Valcarcel, Beatriz</t>
  </si>
  <si>
    <t>INFORMATION AND COMMUNICATION TECHNOLOGIES IN TOURISM 2019</t>
  </si>
  <si>
    <t>eTourism Conference (ENTER) - eTourism - Towards a Sustainable Digital Society</t>
  </si>
  <si>
    <t>JAN 30-FEB 01, 2019</t>
  </si>
  <si>
    <t>Nicosia, CYPRUS</t>
  </si>
  <si>
    <t>Int Federat IT &amp; Travel &amp; Tourism</t>
  </si>
  <si>
    <t>Sharing/platform economy takes place when users offer products and services through online platforms. In the case of tourism, the terms collaborative tourism and sharing (peer-to-peer) accommodations are commonly used. Since providing services through online platforms can be done by anyone without specific qualifications, it has been stated that the sharing economy is accessible to everyone who has goods to share or spare time available. Although this is true from a generic perspective, not all available offers receive the same attention from consumers. This research uses a dataset with all the properties offered in Spain on Airbnb to analyse differences in prices, demand, and guest satisfaction. It considers factors including neighbourhoods, and on whether the host is an amateur or a professional. The research also analyses the contents of user complaints. Results show that the platform economy is less egalitarian than some discourses about this economy suggest.</t>
  </si>
  <si>
    <t>Bulchand-Gidumal, Jacques/K-6642-2014; Melián-González, Santiago/ABF-9568-2021</t>
  </si>
  <si>
    <t xml:space="preserve">Bulchand-Gidumal, Jacques/0000-0001-8522-2013; </t>
  </si>
  <si>
    <t>978-3-030-05940-8; 978-3-030-05939-2</t>
  </si>
  <si>
    <t>WOS:000518026800005</t>
  </si>
  <si>
    <t>Knowledge maps: A systematic literature review and directions for future research</t>
  </si>
  <si>
    <t>10.1016/j.ijinfomgt.2016.02.005</t>
  </si>
  <si>
    <t>Balaid, Ali; Abd Rozan, Mohd Zaidi; Hikmi, Syed Norris; Memon, Jamshed</t>
  </si>
  <si>
    <t>INTERNATIONAL JOURNAL OF INFORMATION MANAGEMENT</t>
  </si>
  <si>
    <t>Context: Nowadays the concept of knowledge mapping has attracted increased attention from scientists in a variety of academic disciplines and professional practice areas. Among the most important attributes of a knowledge map is its ability to increase communication and share common practices across an entire organisation. However, despite being a promising area for research, the knowledge maps community lacks a widespread understanding of the current state of the art. Objective: The objective of this article is to explore the world of knowledge mapping by reviewing and analysing the current state of research and providing an overview of knowledge mapping's concepts, benefits, techniques, classifications and methodologies, which are precisely reviewed, and their features are highlighted. In addition, we offer directions for future research. Method: Based on the systematic literature review method this study collects, synthesises, and analyses numerous articles on a variety of topics closely related to a knowledge map published from January 2000 to December 2013 on six electronic databases by following a pre-defined review protocol. The articles have been retrieved through a combination of automatic and manual search, hence extensive quantitative and qualitative results of the research are provided. Results: From the review study, we identified 132 articles addressing knowledge maps that have been reviewed in order to extract relevant information on a set of research questions. We found a generally increasing level of activity during this 5-year period. We noted that while existing research covers a large number of studies on some disciplines, such as systems and tools development, it contains very few studies on other disciplines, such as knowledge maps adoption. To aid this situation, we offer directions for future research. Conclusions: The results demonstrated that a knowledge map is an imperative strategy for increasing organisations' effectiveness. In addition, there is a need for more knowledge maps research. (C) 2016 Elsevier Ltd. All rights reserved.</t>
  </si>
  <si>
    <t>ABD ROZAN, MOHD ZAIDI/ABC-8420-2020; Abdullah, Syed Norris Hikmi Syed/J-9546-2012; Memon, Jamshed/F-3234-2013</t>
  </si>
  <si>
    <t>ABD ROZAN, MOHD ZAIDI/0000-0003-1409-4522; Memon, Jamshed/0000-0001-8314-5333; balaid, ali/0000-0002-3117-2898</t>
  </si>
  <si>
    <t>0268-4012</t>
  </si>
  <si>
    <t>1873-4707</t>
  </si>
  <si>
    <t>WOS:000372540200019</t>
  </si>
  <si>
    <t>Oshri, I; Kotlarsky, J</t>
  </si>
  <si>
    <t>Schott, Katharina; Beck, Roman; Gregory, Robert Wayne</t>
  </si>
  <si>
    <t>GLOBAL SOURCING OF INFORMATION TECHNOLOGY AND BUSINESS PROCESSES</t>
  </si>
  <si>
    <t>4th Global Sourcing Workshop</t>
  </si>
  <si>
    <t>MAR 22-25, 2010</t>
  </si>
  <si>
    <t>Zermatt, SWITZERLAND</t>
  </si>
  <si>
    <t>Accenture</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</si>
  <si>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t>
  </si>
  <si>
    <t>Gregory, Robert Wayne/0000-0002-4843-5500</t>
  </si>
  <si>
    <t>1865-1348</t>
  </si>
  <si>
    <t>978-3-642-15416-4</t>
  </si>
  <si>
    <t>+</t>
  </si>
  <si>
    <t>WOS:000287947300005</t>
  </si>
  <si>
    <t>Map Sensitivity vs. Map Dependency: A Case Study of Subway Maps' Impact on Passenger Route Choices in Washington DC</t>
  </si>
  <si>
    <t>10.3390/bs7040072</t>
  </si>
  <si>
    <t>Xu, John</t>
  </si>
  <si>
    <t>BEHAVIORAL SCIENCES</t>
  </si>
  <si>
    <t>This paper addresses the key assumption in behavioral and transportation planning literature that, when people use a transit system more frequently, they become less dependent on and less sensitive to transit maps in their decision-making. Therefore, according to this assumption, map changes are much less impactful to travel decisions of frequent riders than to that of first-time or new passengers. This assumptionthough never empirically validatedhas been the major hurdle for transit maps to becoming a planning tool to change passengers' behavior. This paper examines this assumption using the Washington DC metro map as a case study by conducting a route choice experiment between 30 Origin-Destination (O-D) pairs on seven metro map designs. The experiment targets two types of passengers: frequent metro riders through advertisements on a free daily newspaper available at DC metro stations, and general residents in the Washington metropolitan area through Amazon Mechanical Turk, an online crowdsourcing platform. A total of 255 and 371 participants made 2024 and 2960 route choices in the respective experiments. The results show that frequent passengers are in fact more sensitive to subtle changes in map design than general residents who are less likely to be familiar with the metro map and therefore unaffected by map changes presented in the alternative designs. The work disproves the aforementioned assumption and further validates metro maps as an effective planning tool in transit systems.</t>
  </si>
  <si>
    <t>2076-328X</t>
  </si>
  <si>
    <t>WOS:000419185800009</t>
  </si>
  <si>
    <t>Measuring and Predicting Object Importance</t>
  </si>
  <si>
    <t>10.1007/s11263-010-0376-0</t>
  </si>
  <si>
    <t>Spain, Merrielle; Perona, Pietro</t>
  </si>
  <si>
    <t>INTERNATIONAL JOURNAL OF COMPUTER VISION</t>
  </si>
  <si>
    <t>How important is a particular object in a photograph of a complex scene? We propose a definition of importance and present two methods for measuring object importance from human observers. Using this ground truth, we fit a function for predicting the importance of each object directly from a segmented image; our function combines a large number of object-related and image-related features. We validate our importance predictions on 2,841 objects and find that the most important objects may be identified automatically. We find that object position and size are particularly informative, while a popular measure of saliency is not.</t>
  </si>
  <si>
    <t>0920-5691</t>
  </si>
  <si>
    <t>1573-1405</t>
  </si>
  <si>
    <t>WOS:000286118400004</t>
  </si>
  <si>
    <t>Rafi, Saima; Yu, Wu; Akbar, Muhammad Azeem; Alsanad, Ahmed; Gumaei, Abdu</t>
  </si>
  <si>
    <t>IEEE ACCESS</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</si>
  <si>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</si>
  <si>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Akbar, Muhammad Azeem/ABD-5149-2021; Akbar, Muhammad Azeem/AAB-2338-2022; Gumaei, Abdu/J-6288-2019</t>
  </si>
  <si>
    <t>Akbar, Muhammad Azeem/0000-0002-6880-4991; Gumaei, Abdu/0000-0001-8512-9687</t>
  </si>
  <si>
    <t>2169-3536</t>
  </si>
  <si>
    <t>WOS:000524579200001</t>
  </si>
  <si>
    <t>Nonstandard Employment in the Nordics - Toward Precarious Work?</t>
  </si>
  <si>
    <t>Rasmussen, Stine; Natti, Jouko; Larsen, Trine Pernille; Ilsoe, Anna; Garde, Anne Helene</t>
  </si>
  <si>
    <t>NORDIC JOURNAL OF WORKING LIFE STUDIES</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</si>
  <si>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t>
  </si>
  <si>
    <t>Ilsøe, Anna/U-9517-2017</t>
  </si>
  <si>
    <t>Ilsøe, Anna/0000-0001-5224-9308</t>
  </si>
  <si>
    <t>2245-0157</t>
  </si>
  <si>
    <t>MAY</t>
  </si>
  <si>
    <t>SI 6</t>
  </si>
  <si>
    <t>WOS:000470122000002</t>
  </si>
  <si>
    <t>Out-of-the-box instructional design</t>
  </si>
  <si>
    <t>Gayeski, DM</t>
  </si>
  <si>
    <t>TRAINING &amp; DEVELOPMENT</t>
  </si>
  <si>
    <t>A fact: Traditional, linear models of instructional design just don't fit learning and performance improvement work environments. This article tells how to stop producing assembly-line models and create nonlinear performance models for rapid proto-typing and collaboration. First, Gayeski acknowledges the typical problems training professionals face, such as not having the time or resources for needs analysis or evaluation. Then, she challenges the old assumption that there's a body of correct knowledge and all a trainer has to do is find the right SME, extract the knowledge, and insert it into trainees' heads. Instead, she says, a learner-based approach is more iterative-brainstorming solutions and generating a lot of possibilities before narrowing them down. One new assumption is that design is a collaborative process, which itself often accomplishes the important goals more than the end product, such as a videotape or CBT program. Other new assumptions are that one size does not fit all and there are solutions other than training. Nonlinear models address design buy-in and return-on-investment. Gayeski describes a real-world scenario in which the training solution involved using a digital work-bench of hardware and software tools. In effect, the trainers cut training time by using a few alternative, technology-based approaches rather than developing a CD-ROM and doing a traditional intervention. Such new models can link trainer more closely with their organizations' contemporary management initiatives and help them provide fast, performance-based solutions.</t>
  </si>
  <si>
    <t>1055-9760</t>
  </si>
  <si>
    <t>WOS:000073025700008</t>
  </si>
  <si>
    <t>Perceived Effectiveness of Anti-Marijuana Messages in Adult Users and Nonusers: An Examination of Responses to Messages About Marijuana's Effects on Cognitive Performance, Driving, and Health</t>
  </si>
  <si>
    <t>10.15288/jsad.2019.80.415</t>
  </si>
  <si>
    <t>Stevens, Elise M.; Cohn, Amy M.; Villanti, Andrea C.; Leshner, Glenn; Wedel, Amelia; Wagener, Theodore L.</t>
  </si>
  <si>
    <t>JOURNAL OF STUDIES ON ALCOHOL AND DRUGS</t>
  </si>
  <si>
    <t>Objective: Marijuana use is associated with negative cognitive and health outcomes and risky driving. Given the rapidly changing policies regarding legal recreational and medicinal marijuana use, it is important to examine what types of marijuana prevention messages may be effective in minimizing such outcomes. This study examined cognitive and affective responses to anti-marijuana public health messages in a sample of adult marijuana users and nonusers to determine the correlates of perceived message effectiveness. Method: Participants (N = 203; mean age = 37.7 years) were adult marijuana users and nonusers recruited via Amazon Mechanical Turk (August 2017). After completing self-report measures of marijuana use, they viewed six anti-marijuana messages presented in a random order, addressing marijuana's effects in each of three topic areas: cognitive performance. driving. and adverse health outcomes (e.g., two messages per topic). Participants completed assessments of cognitive and affective perceptions after viewing each message. For each message topic, a linear regression model was used to determine which cognitive and affective perceptions were most predictive of perceived message effectiveness. Results: For all message topics, nonusers perceived the messages as more effective than did users (p &lt; .001). in the majority of analyses, greater message effectiveness was associated with increased perceived harm of marijuana and increased liking of the message. For driving and health messages, greater message effectiveness was also significantly correlated with lower pleasant ailed. Conclusions: The findings suggest that audience perceptions may be uniquely predictive of message effectiveness, depending on the topic.</t>
  </si>
  <si>
    <t>Villanti, Andrea/AAM-9433-2021; Villanti, Andrea/ABE-6283-2020; Leshner, Glenn/L-3743-2013; Leshner, Glenn/AAL-7048-2021</t>
  </si>
  <si>
    <t>Villanti, Andrea/0000-0003-3104-966X; Villanti, Andrea/0000-0003-3104-966X; Leshner, Glenn/0000-0001-8614-9380; Wedel, Amelia/0000-0002-3616-3499</t>
  </si>
  <si>
    <t>1937-1888</t>
  </si>
  <si>
    <t>1938-4114</t>
  </si>
  <si>
    <t>WOS:000485639400005</t>
  </si>
  <si>
    <t>Prepared to care: adult attachment and filial obligation</t>
  </si>
  <si>
    <t>10.1080/13607863.2015.1072800</t>
  </si>
  <si>
    <t>Paulson, Daniel; Bassett, Rachel</t>
  </si>
  <si>
    <t>AGING &amp; MENTAL HEALTH</t>
  </si>
  <si>
    <t>Objectives: Past work found that close adult attachment dimension scores predict caregiver preparedness. Theory and past research suggests filial obligation (FO) may mediate the relationship between attachment and caregiver preparedness. The goal of this study was to test that hypothesis.Method: The sample, collected using Mechanical Turk, included 165 women between the ages of 45 and 65 years who were not providing care to an aging parent. Participants were reimbursed $0.75 for completing an online survey assessing response validity, dimensions of adult attachment, depressive symptomatology, FO, and caregiver preparedness, among other variables. The mean participant age was 52.2 years (SD = 5.5).Results: The sample was predominantly White/Caucasian (82.6%), and Black/African American (7.3%). With respect to education, 14.5% completed high school or general education development (GED), 32.7% completed some college, 36.4% completed a Bachelor's degree, and 15.7% completed graduate degrees. The three attachment dimensions (close, dependent, and anxious) and FO were all significantly inner-correlated. Stepwise multiple regression analyses found that FO fully mediates the relationship between close attachment and caregiver preparedness, even after controlling for age, education, income, depression, and birth order.Conclusion: The primary finding is that FO mediates the relationship between close attachment style and caregiver preparedness among prospective caregivers. This suggests that individual differences in attachment style among prospective caregivers indirectly predict preparedness for future caregiving through FO, suggesting a mechanism relating attachment style and preparation for future care.</t>
  </si>
  <si>
    <t>1360-7863</t>
  </si>
  <si>
    <t>1364-6915</t>
  </si>
  <si>
    <t>WOS:000386377300013</t>
  </si>
  <si>
    <t>Productivity in German manufacturing firms: Does fixed-term employment matter?</t>
  </si>
  <si>
    <t>10.1111/ilr.12019</t>
  </si>
  <si>
    <t>Nielen, Sebastian; Schiersch, Alexander</t>
  </si>
  <si>
    <t>INTERNATIONAL LABOUR REVIEW</t>
  </si>
  <si>
    <t>Using a large data set of German manufacturing establishments and various panel data models, the authors investigate the relationship between labour productivity and the use of fixed-term employment, taking account of the possible distortions that may result from self-selection into the use of fixed-term contracts. Their empirical results provide no evidence for the expected inverse U-shaped relationship between fixed-term employment and labour productivity, and testing for a linear relationship leads to mostly negative coefficients that are only significant in a few specifications. Overall, their results thus indicate that there is no significant relationship between the use of fixed-term contracts and labour productivity.</t>
  </si>
  <si>
    <t>0020-7780</t>
  </si>
  <si>
    <t>1564-913X</t>
  </si>
  <si>
    <t>WOS:000398710800003</t>
  </si>
  <si>
    <t>Reinventing yourself for the new millenium</t>
  </si>
  <si>
    <t>Szatkowski, CA</t>
  </si>
  <si>
    <t>SOC TECH COMMUN; SOC TECH COMMUN</t>
  </si>
  <si>
    <t>45TH ANNUAL CONFERENCE ON IMAGINATION, INNOVATION AND COMMUNICATION</t>
  </si>
  <si>
    <t>47th Annual Conference on Imagination, Innovation and Communication</t>
  </si>
  <si>
    <t>MAY 17-20, 1998</t>
  </si>
  <si>
    <t>ANAHEIM, CA</t>
  </si>
  <si>
    <t>Organizations are changing their model of employment. The current trend is toward one comprised of a small, highly leveraged multi-skilled internal staff complemented by an external staff to independent contractors. The Information Age is in its twilight, giving rise to the Age of Knowledge. The Internet has made us all members of a potential virtual workplace, and Web careers abound for technical writers. These facts impact technical writers in a way that invite them to reinvent themselves. To look to the millenium is to initiate constant self re-evaluation and continual reinvention, understanding the plethora of choices therefor the taking.</t>
  </si>
  <si>
    <t>1-891709-00-3</t>
  </si>
  <si>
    <t>WOS:000089239500064</t>
  </si>
  <si>
    <t>Requirements for Platform-based Startup Survival A Qualitative Exploratory Study</t>
  </si>
  <si>
    <t>Maulana, Ade; Sucahyo, Yudho Giri; Ruldeviyani, Yova; Gandhi, Arfive</t>
  </si>
  <si>
    <t>2018 INTERNATIONAL CONFERENCE ON ADVANCED COMPUTER SCIENCE AND INFORMATION SYSTEMS (ICACSIS)</t>
  </si>
  <si>
    <t>10th International Conference on Advanced Computer Science and Information Systems (ICACSIS)</t>
  </si>
  <si>
    <t>OCT 27-28, 2018</t>
  </si>
  <si>
    <t>Univ Kristen Maranatha, Fakultas Teknologi Informasi, Yogyakarta, INDONESIA</t>
  </si>
  <si>
    <t>Univ Indonesia, Kantor Pengelolaan Produk Riset &amp; Inovasi,IEEE Indonesia Sect,Univ Indonesia, Fac Comp Sci</t>
  </si>
  <si>
    <t>Univ Kristen Maranatha, Fakultas Teknologi Informasi</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</si>
  <si>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t>
  </si>
  <si>
    <t>978-1-7281-0135-4</t>
  </si>
  <si>
    <t>WOS:000458881800023</t>
  </si>
  <si>
    <t>SABUMO-dTest: Design and Evaluation of an Intelligent collaborative distributed testing framework</t>
  </si>
  <si>
    <t>10.2298/CSIS130129019C</t>
  </si>
  <si>
    <t>Colomo-Palacios, Ricardo; Luis Lopez-Cuadrado, Jose; Gonzalez-Carrasco, Israel; Jose Garcia-Penalvo, Francisco</t>
  </si>
  <si>
    <t>COMPUTER SCIENCE AND INFORMATION SYSTEMS</t>
  </si>
  <si>
    <t>Software development must increasingly adapt to teams whose members work together but are geographically separated leading to distributed development projects. Such projects consist of teams working together, but sited in different geographic locations. Under these conditions, Global Software Engineering is having a profound impact on the way products are conceived, designed, constructed and tested. One of the problems with this area is the lack of tools which supports the distributed process. Focusing on the testing process, this paper presents SABUMO-dTest, a framework based on Semantic technologies that allows software organizations to represent testing processes with the final aim of trading their services or modeling their testing needs in a social and competitive environment. The proposed framework benefits from a set of shared and controlled vocabularies that permit knowledge and process sharing with potential partners, experts and testing service providers. The evaluation of the system included two kinds of projects, the ones in which testing was not determined by SABUMO-dTest and the ones developed under its influence. Results show remarkable outcomes in SABUMO-dTest driven projects.</t>
  </si>
  <si>
    <t>Cuadrado, Jose Luis Lopez/ABG-7821-2020; Colomo-Palacios, Ricardo/E-5139-2010; GARCÍA-PEÑALVO, Francisco José/D-5445-2013; CARRASCO, ISRAEL GONZALEZ/Q-5102-2017</t>
  </si>
  <si>
    <t>Cuadrado, Jose Luis Lopez/0000-0001-6115-0641; Colomo-Palacios, Ricardo/0000-0002-1555-9726; GARCÍA-PEÑALVO, Francisco José/0000-0001-9987-5584; CARRASCO, ISRAEL GONZALEZ/0000-0001-8294-3157</t>
  </si>
  <si>
    <t>1820-0214</t>
  </si>
  <si>
    <t>WOS:000331779200006</t>
  </si>
  <si>
    <t>Sailing together from different shores: labour markets and inequality on board merchant ships</t>
  </si>
  <si>
    <t>10.1111/glob.12252</t>
  </si>
  <si>
    <t>Aspers, Patrik; Sandberg, Carl</t>
  </si>
  <si>
    <t>GLOBAL NETWORKS-A JOURNAL OF TRANSNATIONAL AFFAIRS</t>
  </si>
  <si>
    <t>In this study, we analyse the consequences of the conditions of the labour-market contracts for working on board merchant ships. More specifically, we examine how seafarers hired on different contracts work together. Seafarers' conditions of work differ considerably: some, mainly workers in the West, have permanent contracts with a shipping company, are paid a relatively high monthly wage and can go ashore every second month, whereas others performing the same tasks may have to stay at sea for more than six months at a time, and work for less money on temporary contracts. Drawing on the economic sociology of markets and institutional theory, in this article we present the institutional conditions of globalized labour markets for seafarers and analyse unique data derived from observations and interviews on board merchant ships. We argue that the notion of market is a key explanatory factor for how the work is conducted on board. Theoretically, our elaboration on markets allows us to conceptualize and address global and transnational markets.</t>
  </si>
  <si>
    <t>Aspers, Patrik/ABG-2864-2020</t>
  </si>
  <si>
    <t>Aspers, Patrik/0000-0001-9840-8669</t>
  </si>
  <si>
    <t>1470-2266</t>
  </si>
  <si>
    <t>1471-0374</t>
  </si>
  <si>
    <t>JUL 2019</t>
  </si>
  <si>
    <t>WOS:000477255000001</t>
  </si>
  <si>
    <t>SHOWCASING DIGITIZATION AS THE BACKBONE OF KNOWLEDGE AND SHARING ECONOMY IN ROMANIA</t>
  </si>
  <si>
    <t>Bratianu, C; Zbuchea, A; Vitelar, A</t>
  </si>
  <si>
    <t>Hadad, Shahrazad</t>
  </si>
  <si>
    <t>STRATEGICA: CHALLENGING THE STATUS QUO IN MANAGEMENT AND ECONOMICS</t>
  </si>
  <si>
    <t>6th International Academic Conference on Strategica - Challenging the Status Quo in Management and Economics</t>
  </si>
  <si>
    <t>OCT 11-12, 2018</t>
  </si>
  <si>
    <t>By means of a case study, we are showcasing how digitization has reshaped the transportation industry concerning renting-like services. The evolution of mobility services starts from taxis, car renting, goes to ride-sharing and, ultimately, arrives at car-sharing services. The present paper will introduce an instance of car-sharing and renting service which is called Pony Car Sharing. Car sharing, house-sharing, equipment-sharing are all instruments of the sharing/network and collaborative economy, which has started to gain academic and practice traction, but all this would not have been possible unless for the existence of the Internet. The Internet is constantly empowering consumers all over the world by making them more knowledgeable and granting them access to make more informed decisions. The second part of the paper uses qualitative research and is dedicated to a case study that analyses Pony Car Sharing company, in the context of sharing and knowledge economy, from the business model canvas perspective: key partners, key activities, value proposition, customer relationship, channels, customer segments, revenue streams and costs. The findings reveal that there is no legislative support for the sharing economy and that implementing such a business model requires substantial efforts from the business owner. Nevertheless, investments in educating the customers are not expendable.</t>
  </si>
  <si>
    <t>Hadad, Shahrazad/U-4289-2017</t>
  </si>
  <si>
    <t>2392-702X</t>
  </si>
  <si>
    <t>978-606-749-365-8</t>
  </si>
  <si>
    <t>WOS:000482078200059</t>
  </si>
  <si>
    <t>SOCIAL PROTECTION OF WORKERS IN NON-STANDARD FORMS OF EMPLOYMENT IN SLOVENIA</t>
  </si>
  <si>
    <t>10.30925/zpfsr.39.4.5</t>
  </si>
  <si>
    <t>Pecek, Darja Sencur</t>
  </si>
  <si>
    <t>ZBORNIK PRAVNOG FAKULTETA SVEUCILISTA U RIJECI</t>
  </si>
  <si>
    <t>The article deals with legal position of individuals who work in various non-standard forms of employment in Slovenia. The author analyses labour law protection and social position of workers, carrying out the work in forms of temporary work (fixed-term employment, temporary and occasional work of students and retired people), in employment relationships with more than two parties (temporary agency work), and also the position of false self-employed and economically dependent persons. It is evident that these forms of work are not precarious on their own, since Slovenian legislation provides the workers with rather proper protection during the period, in which they work, and moreover, these workers are also entitled to rights from social insurance schemes (in narrower of broader scope). The situation is different in cases of abuse of these forms of work and in cases of false self-employed persons and other disguised employees, when workers are only entitled to a limited scope of rights in spite of working in relationships with elements of a standard employment relationship. In order to prevent these cases, not only additional legislation solutions and labour market measures are needed, but labour inspection will also have to be increased and furthermore, the awareness of employers and the society regarding long-term impacts of use of such non-standard forms of work will have to be raised.</t>
  </si>
  <si>
    <t>Sencur Pecek, Darja/0000-0003-2327-3127</t>
  </si>
  <si>
    <t>1330-349X</t>
  </si>
  <si>
    <t>1846-8314</t>
  </si>
  <si>
    <t>WOS:000462817700005</t>
  </si>
  <si>
    <t>Riphah International University; IEEE</t>
  </si>
  <si>
    <t>Ilyas, Muhammad; Khan, Siffat Ullah</t>
  </si>
  <si>
    <t>2012 15TH INTERNATIONAL MULTITOPIC CONFERENCE (INMIC)</t>
  </si>
  <si>
    <t>15th IEEE International Multitopic Conference (INMIC)</t>
  </si>
  <si>
    <t>DEC 13-15, 2012</t>
  </si>
  <si>
    <t>Riphah Int Univ, Islamabad, PAKISTAN</t>
  </si>
  <si>
    <t>IEEE,IEEE Islamabad Sect</t>
  </si>
  <si>
    <t>Riphah Int Univ</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</si>
  <si>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</si>
  <si>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Khan, Siffat Ullah/B-3309-2017</t>
  </si>
  <si>
    <t>Khan, Siffat Ullah/0000-0003-0339-7915</t>
  </si>
  <si>
    <t>978-1-4673-2252-2; 978-1-4673-2249-2</t>
  </si>
  <si>
    <t>WOS:000320247600067</t>
  </si>
  <si>
    <t>SOFTWARE TOOLS AND ONLINE SERVICES THAT ENABLE GEOGRAPHICALLY DISTRIBUTED SOFTWARE DEVELOPMENT OF WEB APPLICATIONS</t>
  </si>
  <si>
    <t>Boja, C; Doinea, M; Ciurea, C; Pocatilu, P; Batagan, L; Ion, A; Diaconita, V; Andreica, M; Delcea, C; Zamfiroiu, A; Zurini, M; Popescu, O</t>
  </si>
  <si>
    <t>Gheorghe, Mihai</t>
  </si>
  <si>
    <t>PROCEEDINGS OF THE 14TH INTERNATIONAL CONFERENCE ON INFORMATICS IN ECONOMY (IE 2015): EDUCATION, RESEARCH &amp; BUSINESS TECHNOLOGIES</t>
  </si>
  <si>
    <t>14th International Conference on Informatics in Economy (IE 2015)</t>
  </si>
  <si>
    <t>APR 30-MAY 03, 2015</t>
  </si>
  <si>
    <t>Bucharest Univ Econ Studies,Dept Econ Informat &amp; Cybernet,INFOREC Assoc</t>
  </si>
  <si>
    <t>Geographically Distributed Software Development (GDSD) has seen an increased popularity during the last years mainly because of the fast Internet adoption in the countries with emerging economies, correlated with the continuous seek for reduced development costs as well with the rise of the Software as a Service (SaaS) platforms which address planning, coordination and various development tasks. However, the implementation of an efficient model of GDSD has proven challenging due to cultural and legal differences, communication and coordination issues and software quality concerns. This study identifies the basic development operations and the interactions among team members as well as the software tools and online services that successfully cope with these. Two perspectives are reviewed: software development specific operations and interactions and the connections between the employer and the remote employees in terms of communication, billing and payments. The study focuses on the development process of web applications. In the end the author analyses the impact of using these solutions on cost, duration and quality compared to conventional in-house software development processes.</t>
  </si>
  <si>
    <t>2284-7472</t>
  </si>
  <si>
    <t>WOS:000362796900015</t>
  </si>
  <si>
    <t>Shameem, Mohammad; Kumar, Rakesh Ranjan; Nadeem, Mohammad; Khan, Arif Ali</t>
  </si>
  <si>
    <t>APPLIED SOFT COMPUTING</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</si>
  <si>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 (C) 2020 Elsevier B.V. All rights reserved.</t>
  </si>
  <si>
    <t>Khan, Arif Ali/ABG-2862-2020; Ranjan, Rakesh Kumar/AAD-2837-2019; Shameem, Mohammad/AFU-4006-2022</t>
  </si>
  <si>
    <t>Khan, Arif Ali/0000-0002-8479-1481; Ranjan, Rakesh Kumar/0000-0003-4192-1976; Shameem, Mohammad/0000-0002-6055-5345</t>
  </si>
  <si>
    <t>1568-4946</t>
  </si>
  <si>
    <t>1872-9681</t>
  </si>
  <si>
    <t>WOS:000529902300006</t>
  </si>
  <si>
    <t>The benefits of the sharing economic solutions from a user's perspective</t>
  </si>
  <si>
    <t>10.17402/422</t>
  </si>
  <si>
    <t>Winiarski, Jacek; Szostakowski, Marcin</t>
  </si>
  <si>
    <t>SCIENTIFIC JOURNALS OF THE MARITIME UNIVERSITY OF SZCZECIN-ZESZYTY NAUKOWE AKADEMII MORSKIEJ W SZCZECINIE</t>
  </si>
  <si>
    <t>How is the implementation of public transport services perceived by the public in the context of the sharing economy? What social and economic elements determine their development? The task of this article is to look for answers to questions formulated in this way. A quantitative method was used to conduct the research; the technique that was used was the CASI online survey. Profitability calculations were carried out and compared for three variants of vehicle use: rented, new and used. The deadlines for exceeding the profitability thresholds were set under the assumed preconditions for the analyzed variants. The results that were obtained provided an assessment of the customers' opinions on the use of elements of the sharing economy in public passenger transport, and enabled the formulation of determinants of the popularization of these solutions as well as a determination of the cost-effectiveness thresholds for practical applications.</t>
  </si>
  <si>
    <t>Winiarski, Jacek/AAI-7169-2021</t>
  </si>
  <si>
    <t>Winiarski, Jacek/0000-0001-8877-1907</t>
  </si>
  <si>
    <t>1733-8670</t>
  </si>
  <si>
    <t>2392-0378</t>
  </si>
  <si>
    <t>WOS:000555004300010</t>
  </si>
  <si>
    <t>The condom purchase task: A hypothetical demand method for evaluating sexual health decision-making</t>
  </si>
  <si>
    <t>10.1002/jeab.585</t>
  </si>
  <si>
    <t>Strickland, Justin C.; Marks, Katherine R.; Bolin, B. Levi</t>
  </si>
  <si>
    <t>JOURNAL OF THE EXPERIMENTAL ANALYSIS OF BEHAVIOR</t>
  </si>
  <si>
    <t>Behavioral economic theory has proved useful for understanding the influence of delay and probability on sexual health decision-making. Demand is another principle at the intersection of microeconomics and psychology that has helped advance research relevant to health behaviors. The purpose of the present study was to develop and test a demand measure related to sexual health decision-making and the influence of sexually transmitted infection (STI) risk. Participants (N = 438) recruited using Amazon Mechanical Turk completed a commodity purchase task assessing hypothetical condom demand. Condom demand was evaluated at varied prices for use with hypothetical sexual partners that varied in STI risk. Demand was characterized by prototypic decreases in consumption with increases in cost. Higher partner STI risk was associated with greater intentions for condom-protected sex at no cost and smaller decreases in condom demand with increases in cost. Price sensitivity was also related to individual difference factors relevant to sexual health (e.g., alcohol use severity, lower STI knowledge). This study supports the utility of a condom purchase task for indexing condom valuation and capturing individual difference and contextual risk factors relevant to STI transmission. Future studies may leverage this methodology as a means to study sexual health decision-making.</t>
  </si>
  <si>
    <t>Marks, Katherine/0000-0001-5936-7497</t>
  </si>
  <si>
    <t>0022-5002</t>
  </si>
  <si>
    <t>1938-3711</t>
  </si>
  <si>
    <t>FEB 2020</t>
  </si>
  <si>
    <t>WOS:000513129100001</t>
  </si>
  <si>
    <t>The Early Parenting Attitudes Questionnaire: Measuring Intuitive Theories of Parenting and Child Development</t>
  </si>
  <si>
    <t>10.1525/collabra.190</t>
  </si>
  <si>
    <t>Hembacher, Emily; Frank, Michael C.</t>
  </si>
  <si>
    <t>COLLABRA-PSYCHOLOGY</t>
  </si>
  <si>
    <t>Parenting behaviors and decisions play an important role in determining children's early environment. Are these behaviors driven by an intuitive theory of parenting - a coherent set of beliefs about child development and parent-child relationships? In exploratory work, we asked adults on Amazon Mechanical Turk to endorse a set of propositions about parenting and conducted exploratory factor analyses of their responses. Three distinct factors appeared in responses: an Affection and Attachment factor, an Early Learning factor, and a Rules and Respect factor. In an iterative process, we created a scale of items with subscales designed to measure these factors, which we call the Early Parenting Attitudes Questionnaire (EPAQ). We next conducted two studies with groups of parents (on Mechanical Turk and from the membership of a local museum) to estimate the validity of the new scale. We asked whether agreement with each subscale varied based on demographic factors and whether intuitive theories predicted self-reported parenting behaviors. The EPAQ provides an instrument to assess attitudes about parenting and child development, facilitating investigation of and intervention on parenting behaviors.</t>
  </si>
  <si>
    <t>Frank, Michael/0000-0002-7551-4378</t>
  </si>
  <si>
    <t>2474-7394</t>
  </si>
  <si>
    <t>MAR 25</t>
  </si>
  <si>
    <t>WOS:000572399600001</t>
  </si>
  <si>
    <t>The Effect of $1, $5 and $10 Stakes in an Online Dictator Game</t>
  </si>
  <si>
    <t>10.1371/journal.pone.0073131</t>
  </si>
  <si>
    <t>Raihani, Nichola J.; Mace, Ruth; Lamba, Shakti</t>
  </si>
  <si>
    <t>PLOS ONE</t>
  </si>
  <si>
    <t>The decision rules underpinning human cooperative behaviour are often investigated under laboratory conditions using monetary incentives. A major concern with this approach is that stake size may bias subjects' decisions. This concern is particularly acute in online studies, where stakes are often far lower than those used in laboratory or field settings. We address this concern by conducting a Dictator Game using Amazon Mechanical Turk. In this two-player game, one player (the dictator) determines the division of an endowment between himself and the other player. We recruited subjects from India and the USA to play an online Dictator Game. Dictators received endowments of $1, $5 or $10. We collected two batches of data over two consecutive years. We found that players from India were less generous when playing with a $10 stake. By contrast, the effect of stake size among players from the USA was very small. This study indicates that the effects of stake size on decision making in economic games may vary across populations.</t>
  </si>
  <si>
    <t>Raihani, Nichola J/C-2083-2015</t>
  </si>
  <si>
    <t>Raihani, Nichola J/0000-0003-2339-9889; Mace, Ruth/0000-0002-6137-7739</t>
  </si>
  <si>
    <t>1932-6203</t>
  </si>
  <si>
    <t>AUG 12</t>
  </si>
  <si>
    <t>e73131</t>
  </si>
  <si>
    <t>WOS:000323097300203</t>
  </si>
  <si>
    <t>The Gig Economy and the Future of Work</t>
  </si>
  <si>
    <t>Sargeant, Malcolm</t>
  </si>
  <si>
    <t>E-JOURNAL OF INTERNATIONAL AND COMPARATIVE LABOUR STUDIES</t>
  </si>
  <si>
    <t>The purpose of this paper is to consider the development of the so-called gig economy and to show that really the developments in the labour market are really just a development of an increase in contingent work generally. Design/methodology/approach. The paper analyses relevant literature and statistical information, together with the issues raised by litigation in relation to the employment status of workers employed in the developing gig economy. Findings. The paper is part of a wider literature on the development of the gig economy and hopefully contributes to current analysis and debate on employment status on `new forms of work'. Research limitations/implications. The research is part of a debate adding a legal perspective. Originality/value. The paper provides further material for an ongoing discussion about how new are new forms of work. Paper type. Issues paper</t>
  </si>
  <si>
    <t>2280-4056</t>
  </si>
  <si>
    <t>MAY-JUN</t>
  </si>
  <si>
    <t>WOS:000416759800001</t>
  </si>
  <si>
    <t>The Global Platform Economy: A New Offshoring Institution Enabling Emerging-Economy Microproviders</t>
  </si>
  <si>
    <t>10.1177/0149206318786781</t>
  </si>
  <si>
    <t>Lehdonvirta, Vili; Kassi, Otto; Hjorth, Isis; Barnard, Helena; Graham, Mark</t>
  </si>
  <si>
    <t>JOURNAL OF MANAGEMENT</t>
  </si>
  <si>
    <t>Global online platforms match firms with service providers around the world, in services ranging from software development to copywriting and graphic design. Unlike in traditional offshore outsourcing, service providers are predominantly one-person microproviders located in emerging-economy countries not necessarily associated with offshoring and often disadvantaged by negative country images. How do these microproviders survive and thrive? We theorize global platforms through transaction cost economics (TCE), arguing that they are a new technology-enabled offshoring institution that emerges in response to cross-border information asymmetries that hitherto prevented microproviders from participating in offshoring markets. To explain how platforms achieve this, we adapt signaling theory to a TCE-based model and test our hypotheses by analyzing 6 months of transaction records from a leading platform. To help interpret the results and generalize them beyond a single platform, we introduce supplementary data from 107 face-to-face interviews with microproviders in Southeast Asia and Sub-Saharan Africa. Individuals choose microprovidership when it provides a better return on their skills and labor than employment at a local (offshoring) firm. The platform acts as a signaling environment that allows microproviders to inform foreign clients of their quality, with platform-generated signals being the most informative signaling type. Platform signaling disproportionately benefits emerging-economy providers, allowing them to partly overcome the effects of negative country images and thus diminishing the importance of home country institutions. Global platforms in other factor and product markets likely promote cross-border microbusiness through similar mechanisms.</t>
  </si>
  <si>
    <t>Barnard, Helena/E-7106-2013</t>
  </si>
  <si>
    <t>Barnard, Helena/0000-0002-5690-5023; kassi, otto/0000-0002-8666-200X</t>
  </si>
  <si>
    <t>0149-2063</t>
  </si>
  <si>
    <t>1557-1211</t>
  </si>
  <si>
    <t>WOS:000456460300008</t>
  </si>
  <si>
    <t>The psychological consequence of thinking about time in terms of money</t>
  </si>
  <si>
    <t>10.1016/j.copsyc.2018.12.018</t>
  </si>
  <si>
    <t>DeVoe, Sanford E.</t>
  </si>
  <si>
    <t>CURRENT OPINION IN PSYCHOLOGY</t>
  </si>
  <si>
    <t>Putting a monetary price on time can have powerful psychological consequences. I review the recent literature examining the psychological consequences of thinking about time in terms of money and the role organizational practices play in highlighting this connection in people's lives. Over a decade of research shows payment practices highlighting the time/money connection have implications for how people make decisions to trade their free time to earn more money, volunteer their time, and socialize with their colleagues off the job. Given the proliferation of hourly payment as well as the larger gig economy, there is a clear need for future research to ascertain the consequences for individual's happiness and the spillover between work and non-work spheres.</t>
  </si>
  <si>
    <t>2352-250X</t>
  </si>
  <si>
    <t>2352-2518</t>
  </si>
  <si>
    <t>WOS:000463730800024</t>
  </si>
  <si>
    <t>THE ROLE OF BUSINESS MANAGEMENT IN SHAPING THE COLLABORATIVE ECONOMY</t>
  </si>
  <si>
    <t>Thanh Ha Lam; Khanh Chi Phung</t>
  </si>
  <si>
    <t>RUSSIAN JOURNAL OF VIETNAMESE STUDIES-VYETNAMSKIYE ISSLEDOVANIYA</t>
  </si>
  <si>
    <t>Collaborative economy is a popular term defined as an economic ecosystem built on the sharing of assets. This business model has recently emerged with the rise of the Fourth Industrial Revolution, attracting a lot of rising companies and startups, with the big names listed as Uber, Airbnb or Snapgoods. This study analyzes the role of business management in shaping and promoting the collaborative economy through 5 aspects: effective market research, the identification of consumer trends, the legal system understanding, digital technology development and reasonable financial oversight. This study finds that in order to effectively operate in the collaborative economy, the business managers need to focus on developing several decisive factors including technology innovation, the creativity and sensitivity to market changes of employees, as well as the understanding of legal regulations. The results and conclusion of this study can be used as the documentation for further researching on the same topic as well as provide the companies' managers a basis for shaping the business strategies on the background of collaborative consumption.</t>
  </si>
  <si>
    <t>LAM, THANH HA/0000-0002-2174-555X</t>
  </si>
  <si>
    <t>2618-9453</t>
  </si>
  <si>
    <t>WOS:000454916000005</t>
  </si>
  <si>
    <t>The Sharing Economy and the Behaviour of Young Polish Singles: The Case of BlaBlaCar</t>
  </si>
  <si>
    <t>10.33119/GN/128215</t>
  </si>
  <si>
    <t>Zalega, Tomasz</t>
  </si>
  <si>
    <t>GOSPODARKA NARODOWA-THE POLISH JOURNAL OF ECONOMICS</t>
  </si>
  <si>
    <t>This article is a research exercise. The purpose of the study is to provide an insight into what young singles know about the sharing economy and what their key motives are for using the BlaBlaCar platform, the most popular sharing economy venture for passenger transport. In the theoretical part of the text, based on a critical analysis of the literature, the concept and essence of the sharing economy are explained, the BlaBlaCar transport service is characterised as a flagship example of the sharing economy, and an attempt is made to explain the terms single and  young single. The empirical section focuses on the research conceptualisation and a description of the research sample and its characteristics. Subsequently, following the author's own research, the knowledge of young singles about the sharing economy is analysed, and the most important motives encouraging them to use the BlaBlaCar platform are discussed. The analysis is based on a survey questionnaire administered from May 1 to July 30, 2018 in a sample of 826 young singles who made independent decisions in the market. The survey shows that young singles demonstrated fairly good knowledge of sharing economy ventures and the most popular car sharing websites. However, they are confused about the rich terminology associated with collaborative platforms and often misunderstand the sharing economy, identifying it with the access economy, gift economy or on-demand economy. BlaBlaCar is undoubtedly one of the most popular examples of the practical application of sharing economy fundamentals. The survey reveals that almost three-fifths of respondents use the BlaBlaCar platform. Its active participants are most often men in the 18-23 age group, with a bachelor's or engineering degree, earning a monthly income not exceeding PLN 3,000, and living in cities with over 500,000 inhabitants. Lower travel costs, better travel conditions, the possibility of reaching a destination quickly and directly and environmental considerations proved to be the most important motives for the respondents to use BlaBlaCar. In turn, social relations that are established among the users of websites such as BlaBlaCar. pl are a kind of hybrid of relations developed in direct interaction during shared rides and those built up in cyberspace.</t>
  </si>
  <si>
    <t>, Tomasz Zalega/0000-0002-7488-1184</t>
  </si>
  <si>
    <t>0867-0005</t>
  </si>
  <si>
    <t>2300-5238</t>
  </si>
  <si>
    <t>WOS:000604728500005</t>
  </si>
  <si>
    <t>The side effects of the collaborative economy model in Europe: the self-employed workers</t>
  </si>
  <si>
    <t>San Martin Rodriguez, Alvaro</t>
  </si>
  <si>
    <t>CADERNOS DE DEREITO ACTUAL</t>
  </si>
  <si>
    <t>The fundamental right to fair working conditions has had a slow influence on the regulatory institutions and it is necessary to demand an immediate regulation on the matter with the advance of the so-called collaborative economy in Europe. The perimeter of this business model is often prone to inequality, which disproportionately affects vulnerable agents such as workers. It is necessary to analyze the effectiveness of the responses that European countries give to these threats and the recommendations given by the authors and other international institutions to seek appropriate guidance. The norm that technology evolves faster than the legal systems does not render fundamental rights violations justifiable.</t>
  </si>
  <si>
    <t>2340-860X</t>
  </si>
  <si>
    <t>2386-5229</t>
  </si>
  <si>
    <t>WOS:000504634700003</t>
  </si>
  <si>
    <t>The Web Portfolios of Independent Technical Communicators ... and the Documents of Their Clients</t>
  </si>
  <si>
    <t>Killoran, John B.</t>
  </si>
  <si>
    <t>TECHNICAL COMMUNICATION</t>
  </si>
  <si>
    <t>0049-3155</t>
  </si>
  <si>
    <t>AUG</t>
  </si>
  <si>
    <t>WOS:000296048300003</t>
  </si>
  <si>
    <t>Towards Scrum Based Agile Framework for Global Software Development Teams</t>
  </si>
  <si>
    <t>10.22581/muet1982.1904.11</t>
  </si>
  <si>
    <t>Shafiq, Shagufta; Hafeez, Yaser; Ali, Sadia; Iqbal, Naila; Jamal, Muhammad</t>
  </si>
  <si>
    <t>Organizations are moving their workforce to guarantee matters of trade and profit where accounts are expected to be less expensive and provide better quality products with the accessibility of skilled labor. With the evident benefits, distributed teams often face challenges with reliable and efficient communication-coordination patterns that lead towards project failure. In the rapidly growing software industry, it becomes critical for any business to have better management activities to acquire right processes and practices. Agile methods are considered as a remedy for mitigating distributed teams' challenges, with their consistent focus on communication. Here, we intend to propose a tailored Scrum based solution for distributed teams that empowers anticipated communication and coordination throughout the development process. In the first phase of framework development we have evaluated the state of agile practices from both literature and industry; based on collected evidence and suggestive guidelines a scrum based agile framework was formulated. The Scrum is a project management method in Agile Methods family. Scrum is an iterative process that asks for incremental development of the product, includes cross functional development and testing teams. Evaluation results show that the proposed framework contributes positively to improve development process quality. We have performed theoretical as well as empirical evaluation to validate proposed framework. We have eight project managing rising aspects in DSD (Distributed Software Development) to evaluate the proposed framework.</t>
  </si>
  <si>
    <t>WOS:000495376100011</t>
  </si>
  <si>
    <t>TURKOISE: a Mechanical Turk-based Tailor-made Metric for Spoken Language Translation Systems in the Medical Domain</t>
  </si>
  <si>
    <t>Calzolari, N; Choukri, K; Declerck, T; Loftsson, H; Maegaard, B; Mariani, J; Moreno, A; Odijk, J; Piperidis, S</t>
  </si>
  <si>
    <t>Starlander, Marianne</t>
  </si>
  <si>
    <t>LREC 2014 - NINTH INTERNATIONAL CONFERENCE ON LANGUAGE RESOURCES AND EVALUATION</t>
  </si>
  <si>
    <t>9th International Conference on Language Resources and Evaluation (LREC)</t>
  </si>
  <si>
    <t>MAY 26-31, 2014</t>
  </si>
  <si>
    <t>Reykjavik, ICELAND</t>
  </si>
  <si>
    <t>Holmes Semant Solut,European Media Lab GmBH,EML,VoiceBox Technologies,KDICTIONARIES</t>
  </si>
  <si>
    <t>In this paper, we will focus on the evaluation of MedSLT, a medium-vocabulary hybrid speech translation system intended to support medical diagnosis dialogues between a physician and a patient who do not share a common language (Bouillon et al, 2005). How can the developers be sure of delivering good translation quality to their users, in a domain where reliability is of the highest importance? With MedSLT sentences are usually translated freely and, as a consequence of spoken input, they are often short. These characteristics entail low BLEU scores (Starlander and Estrella, 2011) as well as poor correlation when using human judgments. In the present paper we will describe the path that led us to using Amazon Mechanical Turk (AMT) as an alternative to more classical automatic or human evaluation, and introduce task-specific human metric, TURKOISE, designed to be used by unskilled AMT evaluators while guaranteeing reasonable level of coherence between the evaluators.</t>
  </si>
  <si>
    <t>978-2-9517408-8-4</t>
  </si>
  <si>
    <t>WOS:000355611001030</t>
  </si>
  <si>
    <t>Validation of a Digital Work Simulation to Assess Machiavellianism and Compliant Behavior</t>
  </si>
  <si>
    <t>10.1007/s10551-014-2249-x</t>
  </si>
  <si>
    <t>Dubbelt, Lonneke; Oostrom, Janneke K.; Hiemstra, Annemarie M. F.; Modderman, Joost P. L.</t>
  </si>
  <si>
    <t>JOURNAL OF BUSINESS ETHICS</t>
  </si>
  <si>
    <t>This paper describes a new and innovative measure that is developed to predict workplace deviance through the measurement of Machiavellianism and Compliant Behavior. Two field studies were conducted to study the validity of the digital work simulation. In Study 1, (N = 113) support was found for the construct validity of the simulation. The constructs as measured with the simulation correlated significantly with self-reported measures of the constructs and were related to personality and self-esteem. Study 2 (N = 285) examined the criterion-related validity of the simulation and showed that through the assessment of Machiavellianism the simulation was able to predict workplace deviance, and incrementally predicted organizational deviance over and above the Machiavellianism Personality Scale. Machiavellianism as measured with the simulation was less susceptible to social desirable answering compared to the Machiavellianism self-report. The paper finishes with study limitations, future research directions, and practical implications.</t>
  </si>
  <si>
    <t>Oostrom, Janneke/0000-0002-0963-5016</t>
  </si>
  <si>
    <t>0167-4544</t>
  </si>
  <si>
    <t>1573-0697</t>
  </si>
  <si>
    <t>WOS:000360083100008</t>
  </si>
  <si>
    <t>VIRTUAL REALITY BASED DIGITAL WORK PROCEDURE</t>
  </si>
  <si>
    <t>Xia, G; Osaki, H</t>
  </si>
  <si>
    <t>Kajihara, Yasuhiro; Taki, Seiko</t>
  </si>
  <si>
    <t>ICIM 2008: PROCEEDINGS OF THE NINTH INTERNATIONAL CONFERENCE ON INDUSTRIAL MANAGEMENT</t>
  </si>
  <si>
    <t>9th International Conference on Industrial Management</t>
  </si>
  <si>
    <t>SEP 16-18, 2008</t>
  </si>
  <si>
    <t>Osaka, JAPAN</t>
  </si>
  <si>
    <t>The demand for shortening the in-between period of the model change of products (time competition) has been increasing. Manufacturers are forced to design production systems, prepare work procedures and evaluate workload promptly for responding to this time competition. Accordingly, the present study has developed a tool for an overall support for manufactures from the shortening of a period required for designing production systems to the evaluation of workload. Virtual reality (VR) is used in this tool. The PC screen displays a virtual work area and a human model (mannequin) designed by CAD. The system designer (operator) operates the keyboard and mouth to have the human model perform an assembly operation. When the assembly operation is replayed, an explanation is added and work procedures are prepared. Furthermore, work postures are calculated simultaneously. Then workload is calculated from the work postures. For the evaluation of workload,the OWAS method-based evaluation standard is used. An application verifies the function and validity of this tool.</t>
  </si>
  <si>
    <t>978-7-80243-200-0</t>
  </si>
  <si>
    <t>WOS:000261490900146</t>
  </si>
  <si>
    <t>Chen, Bin; Liu, Tao; Wang, Yingqi</t>
  </si>
  <si>
    <t>INTERNATIONAL JOURNAL OF ENVIRONMENTAL RESEARCH AND PUBLIC HEALTH</t>
  </si>
  <si>
    <t>This research is based on empirical surveys conducted in two Chinese cities, Beijing and Chengdu, which examine employment relationships, labor protection and social protection in the new digital economy. Through these theoretically informed surveys on various forms of employment via online platforms, we have found that the organizational principles and functional patterns of employment have profoundly transformed in the epoch of digitalization. The traditional employment relationship characterized by written contracts with clearly defined entitlements and obligations for employers and employees have been increasingly substituted by new volatile, fluid and fragile employment forms, softening the labor rights and social rights of digital employees and strengthening social control over them through online evaluation systems supported by smart phones and apps. The employees engaged in the online sharing economy have become more individualized and atomized than ever before, resulting in the emergence of an unorganized and disenfranchised digital working class.</t>
  </si>
  <si>
    <t>Sorenson, T/AAM-6778-2021</t>
  </si>
  <si>
    <t>Chen, Bin/0000-0003-4496-2968</t>
  </si>
  <si>
    <t>1660-4601</t>
  </si>
  <si>
    <t>WOS:000522389200071</t>
  </si>
  <si>
    <t>Workers, the self-employed and TRADEs: Conceptualisation and collective rights in Spain( )</t>
  </si>
  <si>
    <t>10.1177/2031952519867544</t>
  </si>
  <si>
    <t>Todoli-Signes, Adrian</t>
  </si>
  <si>
    <t>The subjective scope of application of Labour Law is set by the Statute of Labour. Nevertheless, the interpretation of the Courts is crucial to understand who is a worker in Spain. In this study, the criteria set by the Spanish courts and their evolution are analysed. Recently, the Spanish Supreme Court seems to have abandoned the 'control test' criteria for classifying workers and has moved towards a personal conceptualisation of work. This paper shows rulings that prove this evolution. Moreover, Spain has its own Self-employed Workers' Statute applicable to common self-employed workers and economically dependent self-employees (TRADEs). In this paper I analyse the concept of both types and the individual and collective rights granted to them by the Self-employed Workers' Statute. Two main conclusions can be drawn: first, the TRADEs are not an intermediate category between employees and self-employees but instead a subcategory of self-employees. Second, the protection granted by the Self-employed Workers' Statute is clearly insufficient.</t>
  </si>
  <si>
    <t>WOS:000598959000009</t>
  </si>
  <si>
    <t>Fluegel, Sabrina; King, Kendall</t>
  </si>
  <si>
    <t>LANGUAGE POLICY</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</si>
  <si>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t>
  </si>
  <si>
    <t>Fluegel, Sabrina/0000-0003-1513-0193; King, Kendall/0000-0003-4655-0748</t>
  </si>
  <si>
    <t>1568-4555</t>
  </si>
  <si>
    <t>1573-1863</t>
  </si>
  <si>
    <t>WOS:000669275700001</t>
  </si>
  <si>
    <t>Martins, Pedro S.</t>
  </si>
  <si>
    <t>BRITISH JOURNAL OF INDUSTRIAL RELATIONS</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</si>
  <si>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t>
  </si>
  <si>
    <t>Martins, Pedro S./B-6059-2009</t>
  </si>
  <si>
    <t>Martins, Pedro S./0000-0001-9323-5252</t>
  </si>
  <si>
    <t>0007-1080</t>
  </si>
  <si>
    <t>1467-8543</t>
  </si>
  <si>
    <t>AUG 2020</t>
  </si>
  <si>
    <t>WOS:000554873300001</t>
  </si>
  <si>
    <t>3D Printed Temporary Veneer Restoring Autotransplanted Teeth in Children: Design and Concept Validation Ex Vivo</t>
  </si>
  <si>
    <t>Al-Rimawi, Ali; EzEldeen, Mostafa; Schneider, Danilo; Politis, Constantinus; Jacobs, Reinhilde</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</si>
  <si>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mu m. The overall mean marginal gap was 99.9 +/- 50.7 mu m (median: 87.8 (IQR 64.2-133 mu m)). The internal adaptation evaluation using micro-computed tomography showed an average median gap thickness of 152.5 +/- 47.7 (IQR 129-149.3 mu 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t>
  </si>
  <si>
    <t>EzEldeen, Mostafa/ABE-2582-2021</t>
  </si>
  <si>
    <t>Politis, Constantinus/0000-0003-4772-9897; EzEldeen, Mostafa/0000-0002-9992-1138; jacobs, reinhilde/0000-0002-3461-0363</t>
  </si>
  <si>
    <t>FEB 1</t>
  </si>
  <si>
    <t>WOS:000459113600202</t>
  </si>
  <si>
    <t>Sangaiah, Arun Kumar; Subramaniam, Prabakar Rontala; Zheng, Xinliang</t>
  </si>
  <si>
    <t>NEURAL COMPUTING &amp; APPLICATIONS</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</si>
  <si>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t>
  </si>
  <si>
    <t>Sangaiah, Arun Kumar/U-6785-2019; Subramaniam, Prabhakar Rontala/N-5886-2019</t>
  </si>
  <si>
    <t>Sangaiah, Arun Kumar/0000-0002-0229-2460; Subramaniam, Prabhakar Rontala/0000-0003-2719-3503</t>
  </si>
  <si>
    <t>0941-0643</t>
  </si>
  <si>
    <t>1433-3058</t>
  </si>
  <si>
    <t>WOS:000355765200002</t>
  </si>
  <si>
    <t>Ahlemann, F; Schutte, R; Stieglitz, S</t>
  </si>
  <si>
    <t>Banken, Victoria</t>
  </si>
  <si>
    <t>INNOVATION THROUGH INFORMATION SYSTEMS, VOL III: A COLLECTION OF LATEST RESEARCH ON MANAGEMENT ISSUES</t>
  </si>
  <si>
    <t>16th International Conference on Business and Information Systems Engineering (WI)</t>
  </si>
  <si>
    <t>MAR 09-11, 2021</t>
  </si>
  <si>
    <t>Univ Duisburg Essen, GERMANY</t>
  </si>
  <si>
    <t>Univ Duisburg Essen</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</si>
  <si>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t>
  </si>
  <si>
    <t>978-3-030-86800-0; 978-3-030-86799-7</t>
  </si>
  <si>
    <t>WOS:000841507100036</t>
  </si>
  <si>
    <t>A Comparison of Speaker-based and Utterance-based Data Selection for Text-to-Speech Synthesis</t>
  </si>
  <si>
    <t>10.21437/1nterspeech.2018-1313</t>
  </si>
  <si>
    <t>Int Speech Commun Assoc</t>
  </si>
  <si>
    <t>Lee, Kai-Zhan; Cooper, Erica; Hirschberg, Julia</t>
  </si>
  <si>
    <t>19TH ANNUAL CONFERENCE OF THE INTERNATIONAL SPEECH COMMUNICATION ASSOCIATION (INTERSPEECH 2018), VOLS 1-6: SPEECH RESEARCH FOR EMERGING MARKETS IN MULTILINGUAL SOCIETIES</t>
  </si>
  <si>
    <t>19th Annual Conference of the International-Speech-Communication-Association (INTERSPEECH 2018)</t>
  </si>
  <si>
    <t>AUG 02-SEP 06, 2018</t>
  </si>
  <si>
    <t>Hyderabad, INDIA</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</si>
  <si>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 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t>
  </si>
  <si>
    <t>2308-457X</t>
  </si>
  <si>
    <t>978-1-5108-7221-9</t>
  </si>
  <si>
    <t>WOS:000465363900600</t>
  </si>
  <si>
    <t>A Comparison of Team Performance Measures for Global Software Development Student Teams</t>
  </si>
  <si>
    <t>IEEE Comp Sci</t>
  </si>
  <si>
    <t>Swigger, Kathleen; Serce, Fatma Cemile; Alpaslan, Ferda Nur; Brazile, Robert; Dafoulas, George; Lopez, Victor</t>
  </si>
  <si>
    <t>ICGSE 2009: FOURTH IEEE INTERNATIONAL CONFERENCE ON GLOBAL SOFTWARE ENGINEERING, PROCEEDINGS</t>
  </si>
  <si>
    <t>4th IEEE International Conference on Global Software Engineering</t>
  </si>
  <si>
    <t>JUL 13-16, 2009</t>
  </si>
  <si>
    <t>Limerick, IRELAND</t>
  </si>
  <si>
    <t>Infosys,Irish Software Engn Res Ctr,sfi</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</si>
  <si>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t>
  </si>
  <si>
    <t>Alpaslan, Ferda Nur/ABA-4259-2020</t>
  </si>
  <si>
    <t>Alpaslan, Ferda Nur/0000-0002-9806-1543</t>
  </si>
  <si>
    <t>2329-6305</t>
  </si>
  <si>
    <t>978-0-7695-3710-8</t>
  </si>
  <si>
    <t>WOS:000272550200029</t>
  </si>
  <si>
    <t>Dworkin, Jodi; Hessel, Heather; Gliske, Kate; Rudi, Jessie H.</t>
  </si>
  <si>
    <t>FAMILY RELATIONS</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</si>
  <si>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t>
  </si>
  <si>
    <t>Gliske, Kate/0000-0001-6109-3624</t>
  </si>
  <si>
    <t>0197-6664</t>
  </si>
  <si>
    <t>1741-3729</t>
  </si>
  <si>
    <t>WOS:000388279800002</t>
  </si>
  <si>
    <t>Giuffrida, Rosalba; Dittrich, Yvonne</t>
  </si>
  <si>
    <t>INFORMATION AND SOFTWARE TECHNOLOGY</t>
  </si>
  <si>
    <t>Background: In Global Software Development (GSD) the lack of face-to-face communication is a major challenge and effective computer-mediated practices are necessary to mitigate the effect of physical distance. Communication through Social Software (So 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(C) 2015 Elsevier B.V. All rights reserved.</t>
  </si>
  <si>
    <t>Dittrich, Yvonne/0000-0003-4757-3394</t>
  </si>
  <si>
    <t>0950-5849</t>
  </si>
  <si>
    <t>1873-6025</t>
  </si>
  <si>
    <t>WOS:000354149000002</t>
  </si>
  <si>
    <t>Zhao, Yang; Liu, Guanfeng; Zheng, Kai; Liu, An; Li, Zhixu; Zhou, Xiaofang</t>
  </si>
  <si>
    <t>WORLD WIDE WEB-INTERNET AND WEB INFORMATION SYSTEMS</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</si>
  <si>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t>
  </si>
  <si>
    <t>1386-145X</t>
  </si>
  <si>
    <t>1573-1413</t>
  </si>
  <si>
    <t>WOS:000408496500003</t>
  </si>
  <si>
    <t>Sonlu, Sinan; Gudukbay, Ugur; Durupinar, Funda</t>
  </si>
  <si>
    <t>ACM TRANSACTIONS ON GRAPHICS</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</si>
  <si>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t>
  </si>
  <si>
    <t>0730-0301</t>
  </si>
  <si>
    <t>1557-7368</t>
  </si>
  <si>
    <t>WOS:000606818600001</t>
  </si>
  <si>
    <t>Gohar, Ali; Lee, Sanghwan</t>
  </si>
  <si>
    <t>COMPUTER NETWORKS</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</si>
  <si>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(C) 2019 Published by Elsevier B.V.</t>
  </si>
  <si>
    <t>Gohar, Ali/AAZ-5443-2020; Gohar, Ali/AAX-1932-2020</t>
  </si>
  <si>
    <t>Gohar, Ali/0000-0002-7553-6366</t>
  </si>
  <si>
    <t>1389-1286</t>
  </si>
  <si>
    <t>1872-7069</t>
  </si>
  <si>
    <t>FEB 26</t>
  </si>
  <si>
    <t>WOS:000514230900002</t>
  </si>
  <si>
    <t>A Cross-Level Investigation of Informal Field-Based Learning and Performance Improvements</t>
  </si>
  <si>
    <t>Wolfson, Mikhail A.; Tannenbaum, Scott I.; Mathieu, John E.; Maynard, M. Travis</t>
  </si>
  <si>
    <t>JOURNAL OF APPLIED PSYCHOLOGY</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</si>
  <si>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t>
  </si>
  <si>
    <t>Wolfson, Mikhail/0000-0001-8975-7306</t>
  </si>
  <si>
    <t>0021-9010</t>
  </si>
  <si>
    <t>1939-1854</t>
  </si>
  <si>
    <t>WOS:000423243400002</t>
  </si>
  <si>
    <t>Henley, Amy J.; Reed, Florence D. DiGennaro; Reed, Derek D.; Kaplan, Brent A.</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</si>
  <si>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P-max) may be used to set goals for employee behavior while balancing organizational costs, and how economy type may have influenced observed outcomes.</t>
  </si>
  <si>
    <t>Reed, Derek/AAW-3920-2020</t>
  </si>
  <si>
    <t>Reed, Derek/0000-0002-5854-3425; Kaplan, Brent/0000-0002-3758-6776; DiGennaro Reed, Florence/0000-0001-9143-8275</t>
  </si>
  <si>
    <t>WOS:000384818500003</t>
  </si>
  <si>
    <t>A digital tool based on Genetic Algorithms and Limit Analysis for the seismic assessment of historic masonry buildings</t>
  </si>
  <si>
    <t>Iacoviello, F; Sedmak, A; Marsavina, L; Blackman, B; Ferro, GA; Shlyannikov, V; Stahle, P; Zhang, Z; Moreira, PMGP; Bozic, Z; BanksSills, L</t>
  </si>
  <si>
    <t>Turco, Chiara; Funari, Marco Francesco; Spadea, Saverio; Ciantia, Matteo; Lourenco, Paulo B.</t>
  </si>
  <si>
    <t>1ST VIRTUAL EUROPEAN CONFERENCE ON FRACTURE - VECF1</t>
  </si>
  <si>
    <t>1st European-Structural-Integrity-Society (ESIS) Virtual European Conference on Fracture (ECF)</t>
  </si>
  <si>
    <t>JUN 29-JUL 01, 2020</t>
  </si>
  <si>
    <t>European Struct Integr Soc</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</si>
  <si>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 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(C) 2020 The Authors. Published by Elsevier B.V. This is an open access article under the CC BY-NC-ND license (https://creativecommons.org/licenses/by-nc-nd/4.0) Peer-review under responsibility of the European Structural Integrity Society (ESIS) ExCo</t>
  </si>
  <si>
    <t>Lourenco, Paulo B./B-4436-2008; Ciantia, Matteo Oryem/AAB-5243-2020</t>
  </si>
  <si>
    <t>Lourenco, Paulo B./0000-0001-8459-0199; Ciantia, Matteo Oryem/0000-0003-1897-4471</t>
  </si>
  <si>
    <t>2452-3216</t>
  </si>
  <si>
    <t>WOS:000632387500171</t>
  </si>
  <si>
    <t>Alsanad, Abeer Abdulaziz; Chikh, Azeddine; Mirza, Abdulrahman</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</si>
  <si>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Protege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t>
  </si>
  <si>
    <t>Chikh, Azeddine/AAM-1703-2021</t>
  </si>
  <si>
    <t>AlSanad, Abeer/0000-0003-0870-1285; Mirza, Abdulrahman/0000-0001-5236-797X</t>
  </si>
  <si>
    <t>WOS:000466202400001</t>
  </si>
  <si>
    <t>Babar, Muhammad Ali</t>
  </si>
  <si>
    <t>JOURNAL OF SOFTWARE-EVOLUTION AND PROCESS</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</si>
  <si>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Copyright (C) 2010 John Wiley &amp; Sons, Ltd.</t>
  </si>
  <si>
    <t>2047-7473</t>
  </si>
  <si>
    <t>2047-7481</t>
  </si>
  <si>
    <t>WOS:000301645500007</t>
  </si>
  <si>
    <t>A Framework for Supporting Management in Distributed Information Systems Development</t>
  </si>
  <si>
    <t>Rolland, C; Collard, M; Pastor, O; Flory, A; Cavarero, JL</t>
  </si>
  <si>
    <t>Ralyte, Jolita; Lamielle, Xavier; Arni-Bloch, Nicoals; Leonard, Michel</t>
  </si>
  <si>
    <t>PROCEEDINGS OF THE SECOND INTERNATIONAL CONFERENCE ON RESEARCH CHALLENGES IN INFORMATION SCIENCE: RCIS 2008</t>
  </si>
  <si>
    <t>2nd International Conference on Research Challenges in Information Science</t>
  </si>
  <si>
    <t>JUN 03-06, 2008</t>
  </si>
  <si>
    <t>Marrakech, MOROCCO</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</si>
  <si>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</si>
  <si>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Ralyte, Jolita/0000-0001-8561-3567</t>
  </si>
  <si>
    <t>978-1-4244-1677-6</t>
  </si>
  <si>
    <t>WOS:000264665900042</t>
  </si>
  <si>
    <t>A Framework for Supporting the Software Architecture Evaluation Process in Global Software Development</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</si>
  <si>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t>
  </si>
  <si>
    <t>WOS:000272550200010</t>
  </si>
  <si>
    <t>A Framework to Preserve Confidentiality in Crowdsourced Software Development</t>
  </si>
  <si>
    <t>Dubey, Alpana; Abhinav, Kumar; Virdi, Gurdeep</t>
  </si>
  <si>
    <t>PROCEEDINGS OF THE 2017 IEEE/ACM 39TH INTERNATIONAL CONFERENCE ON SOFTWARE ENGINEERING COMPANION (ICSE-C 2017)</t>
  </si>
  <si>
    <t>IEEE/ACM 39th International Conference on Software Engineering Companion (ICSE-C)</t>
  </si>
  <si>
    <t>MAY 20-28, 2017</t>
  </si>
  <si>
    <t>Buenos Aires, ARGENTINA</t>
  </si>
  <si>
    <t>IEEE,Assoc Comp Machinery,IEEE Comp Soc,Soc Argentina Informatica,Special Interest Grp Software Engn,Tech Council Software Engn,CONICET,EXACTAS UBA 150,Fundac Fadosky Inveswtigac &amp; Dessarollo TIC</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</si>
  <si>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t>
  </si>
  <si>
    <t>Dubey, Alpana/AAR-6771-2021</t>
  </si>
  <si>
    <t>2574-1926</t>
  </si>
  <si>
    <t>978-1-5386-1589-8</t>
  </si>
  <si>
    <t>WOS:000425916900031</t>
  </si>
  <si>
    <t>Akbar, Muhammad Azeem; Shameem, Mohammad; Khan, Arif Ali; Nadeem, Mohammad; Alsanad, Ahmed; Gumaei, Abdu</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</si>
  <si>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t>
  </si>
  <si>
    <t>Akbar, Muhammad Azeem/AAB-2338-2022; Shameem, Mohammad/AFU-4006-2022; Gumaei, Abdu/J-6288-2019; Akbar, Muhammad Azeem/ABD-5149-2021; Khan, Arif Ali/ABG-2862-2020</t>
  </si>
  <si>
    <t>Shameem, Mohammad/0000-0002-6055-5345; Gumaei, Abdu/0000-0001-8512-9687; Akbar, Muhammad Azeem/0000-0002-6880-4991; Khan, Arif Ali/0000-0002-8479-1481</t>
  </si>
  <si>
    <t>e2292</t>
  </si>
  <si>
    <t>JUL 2020</t>
  </si>
  <si>
    <t>WOS:000545856200001</t>
  </si>
  <si>
    <t>A Fuzzy-Based Approach for Selecting Technically Qualified Distributed Software Development Teams</t>
  </si>
  <si>
    <t>Castro, F; MirandaJimenez, S; GonzalezMendoza, M</t>
  </si>
  <si>
    <t>Souza, Vinicius; Elias, Gledson</t>
  </si>
  <si>
    <t>ADVANCES IN SOFT COMPUTING, MICAI 2017, PT I</t>
  </si>
  <si>
    <t>16th Mexican International Conference on Artificial Intelligence (MICAI)</t>
  </si>
  <si>
    <t>OCT 23-28, 2017</t>
  </si>
  <si>
    <t>Ensenada, MEXICO</t>
  </si>
  <si>
    <t>Mexican Soc Artificial Intelligence,Univ Autonoma Baja California,Centro Investigac Cientifica Educ Super Ensenada,Univ Autonoma Estado Hidalgo,Centro Investigac Innovac Tecnologias Informac Comunicac,Tecnologico Monterrey CEM,Centro Investigac Computac Inst Politecnico Nacl,Univ Autonoma Metropolitana Azcapotzalco</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</si>
  <si>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t>
  </si>
  <si>
    <t>1611-3349</t>
  </si>
  <si>
    <t>978-3-030-02837-4; 978-3-030-02836-7</t>
  </si>
  <si>
    <t>WOS:000611394300018</t>
  </si>
  <si>
    <t>A Global Approach to Graduate Education and Research Training</t>
  </si>
  <si>
    <t>Ciussi, M; Augier, M</t>
  </si>
  <si>
    <t>Moser-Mercer, Barbara; Class, Barbara</t>
  </si>
  <si>
    <t>PROCEEDINGS OF THE 12TH EUROPEAN CONFERENCE ON E-LEARNING (ECEL 2013)</t>
  </si>
  <si>
    <t>12th European Conference e-Learning (ECEL)</t>
  </si>
  <si>
    <t>OCT 30-31, 2013</t>
  </si>
  <si>
    <t>SKEMA Business School, Sophia Antipolis, FRANCE</t>
  </si>
  <si>
    <t>SKEMA Business School</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</si>
  <si>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 - doctoral students, faculty, and designers - and is based on both opinion data and real data retrieved from the learning portal and is designed to provide proof-of-concept for virtual collaborative doctoral research training.</t>
  </si>
  <si>
    <t>2048-8637</t>
  </si>
  <si>
    <t>978-1-909507-84-5</t>
  </si>
  <si>
    <t>WOS:000342674900084</t>
  </si>
  <si>
    <t>A Gold Standard for Scalar Adjectives</t>
  </si>
  <si>
    <t>Calzolari, N; Choukri, K; Declerck, T; Goggi, S; Grobelnik, M; Maegaard, B; Mariani, J; Mazo, H; Moreno, A; Odijk, J; Piperidis, S</t>
  </si>
  <si>
    <t>Wilkinson, Bryan; Oates, Tim</t>
  </si>
  <si>
    <t>LREC 2016 - TENTH INTERNATIONAL CONFERENCE ON LANGUAGE RESOURCES AND EVALUATION</t>
  </si>
  <si>
    <t>10th International Conference on Language Resources and Evaluation (LREC)</t>
  </si>
  <si>
    <t>MAY 23-28, 2016</t>
  </si>
  <si>
    <t>Portoroz, SLOVENIA</t>
  </si>
  <si>
    <t>European Language Resources Assoc,Evaluat &amp; Language Resources Distribut Agcy,Ist Linguistica Computazionale,European Media Lab GmbH,Intel</t>
  </si>
  <si>
    <t>978-2-9517408-9-1</t>
  </si>
  <si>
    <t>WOS:000526952502143</t>
  </si>
  <si>
    <t>Long, Chengjiang; Hua, Gang; Kapoor, Ashish</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</si>
  <si>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t>
  </si>
  <si>
    <t>WOS:000369423000002</t>
  </si>
  <si>
    <t>Choi, Andrew Young; Nylund-Gibson, Karen; Israel, Tania; Mendez, Stephanie E. A.</t>
  </si>
  <si>
    <t>ARCHIVES OF SEXUAL BEHAVIOR</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</si>
  <si>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t>
  </si>
  <si>
    <t>Choi, Andrew Young/AAC-5120-2020</t>
  </si>
  <si>
    <t>Choi, Andrew Young/0000-0002-9560-1022</t>
  </si>
  <si>
    <t>0004-0002</t>
  </si>
  <si>
    <t>1573-2800</t>
  </si>
  <si>
    <t>WOS:000456918300013</t>
  </si>
  <si>
    <t>Garcia-Teruel, Rosa M.</t>
  </si>
  <si>
    <t>COMPUTER LAW &amp; SECURITY REVIEW</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</si>
  <si>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(C) 2019 Rosa M. Garcia-Teruel. Published by Elsevier Ltd. All rights reserved.</t>
  </si>
  <si>
    <t>Teruel, Rosa Maria Garcia/C-9726-2016; Teruel, Rosa Maria Garcia/AGV-7615-2022; Garcia-Teruel, Rosa M./K-5508-2017</t>
  </si>
  <si>
    <t>Teruel, Rosa Maria Garcia/0000-0002-3215-4608; Teruel, Rosa Maria Garcia/0000-0002-3215-4608; Garcia-Teruel, Rosa M./0000-0002-3215-4608</t>
  </si>
  <si>
    <t>0267-3649</t>
  </si>
  <si>
    <t>WOS:000470943200004</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</si>
  <si>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t>
  </si>
  <si>
    <t>WOS:000398680400002</t>
  </si>
  <si>
    <t>Akbar, Muhammad Azeem; Mahmood, Sajjad; Alsanad, Ahmed; Alsanad, Abeer Abdul-Aziz; Gumaei, Abdu; Qadri, Syed Furqan</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</si>
  <si>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 .700 &gt; .05) and correlation (r(s) (25) = 0.573, P =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t>
  </si>
  <si>
    <t>Akbar, Muhammad Azeem/ABD-5149-2021; Gumaei, Abdu/J-6288-2019; QADRI, SYED FURQAN/Q-9567-2019; Akbar, Muhammad Azeem/AAB-2338-2022; Mahmood, Sajjad/B-2295-2010</t>
  </si>
  <si>
    <t>Akbar, Muhammad Azeem/0000-0002-6880-4991; Gumaei, Abdu/0000-0001-8512-9687; QADRI, SYED FURQAN/0000-0001-9067-054X; Mahmood, Sajjad/0000-0001-5786-5118; AlSanad, Abeer/0000-0003-0870-1285</t>
  </si>
  <si>
    <t>e2252</t>
  </si>
  <si>
    <t>WOS:000513798400001</t>
  </si>
  <si>
    <t>A Personalized BDM Mechanism for Efficient Market Intervention Experiments</t>
  </si>
  <si>
    <t>Arrieta-Ibarra, Imanol; Ugander, Johan</t>
  </si>
  <si>
    <t>ACM EC'18: PROCEEDINGS OF THE 2018 ACM CONFERENCE ON ECONOMICS AND COMPUTATION</t>
  </si>
  <si>
    <t>ACM Conference on Economics and Computation (ACM EC)</t>
  </si>
  <si>
    <t>JUN 18-22, 2018</t>
  </si>
  <si>
    <t>Cornell Univ, Ithaca, NY</t>
  </si>
  <si>
    <t>Assoc Comp Machinery Special Interest Grp Elect Commerce</t>
  </si>
  <si>
    <t>Cornell Univ</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</si>
  <si>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t>
  </si>
  <si>
    <t>978-1-4503-5829-3</t>
  </si>
  <si>
    <t>WOS:000492755100050</t>
  </si>
  <si>
    <t>A Practical Approach for Evaluating and Prioritizing Situational Factors in Global Software Project Development</t>
  </si>
  <si>
    <t>Gulzar, Kanza; Sang, Jun; Memon, Adeel Akbar; Ramzan, Muhammad; Xia, Xiaofeng; Xiang, Hong</t>
  </si>
  <si>
    <t>INTERNATIONAL JOURNAL OF ADVANCED COMPUTER SCIENCE AND APPLICATIONS</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</si>
  <si>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t>
  </si>
  <si>
    <t>Xiang, Hongbing/AAP-1588-2020; Ramzan, Muhammad/AAF-1087-2020</t>
  </si>
  <si>
    <t>2158-107X</t>
  </si>
  <si>
    <t>2156-5570</t>
  </si>
  <si>
    <t>WOS:000441330600026</t>
  </si>
  <si>
    <t>A Preliminary User Evaluation of an Infrastructure to Support Activity-Based Computing in Global Software Development (ABC4GSD)</t>
  </si>
  <si>
    <t>Tell, Paolo; Babar, Muhammad Ali; Grundy, John</t>
  </si>
  <si>
    <t>2013 IEEE 8TH INTERNATIONAL CONFERENCE ON GLOBAL SOFTWARE ENGINEERING (ICGSE 2013)</t>
  </si>
  <si>
    <t>8th IEEE International Conference on Global Software Engineering (ICGSE)</t>
  </si>
  <si>
    <t>AUG 26-29, 2013</t>
  </si>
  <si>
    <t>Univ Bari, Bari, ITALY</t>
  </si>
  <si>
    <t>IEEE,ADP,HP,AMT Serrv,IEEE Comp Soc,Exprivia,Siemens,Olivetti,Software Engn &amp; Res &amp; Practices</t>
  </si>
  <si>
    <t>Univ Bari</t>
  </si>
  <si>
    <t>Grundy, John/AAF-1716-2019; Grundy, John C/I-6681-2012</t>
  </si>
  <si>
    <t>Grundy, John/0000-0003-4928-7076; Grundy, John C/0000-0003-4928-7076; Tell, Paolo/0000-0001-7391-0046</t>
  </si>
  <si>
    <t>978-0-7695-5057-2</t>
  </si>
  <si>
    <t>WOS:000335769100011</t>
  </si>
  <si>
    <t>Herman, Patricia M.; Edelen, Maria O.; Rodriguez, Anthony; Hilton, Lara G.; Hays, Ron D.</t>
  </si>
  <si>
    <t>BMC MUSCULOSKELETAL DISORDERS</t>
  </si>
  <si>
    <t>BackgroundSubstantial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findings.MethodsThis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 (R) -29) and legacy measures used for chronic pain such as the Roland-Morris Disability Questionnaire (RMDQ) and the Oswestry Disability Index (ODI). We will assess the best method of score linking and create crosswalk tables.Aim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subgroups.Aim 3 will evaluate the strengths and limitations of MTurk as a data collection platform for estimating chronic pain by comparing its data to other data sources.DiscussionThe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collection.Trial registrationClinicalTrials.gov: NCT04426812; June 10, 2020.</t>
  </si>
  <si>
    <t>Edelen, Maria/AAM-9195-2021; Hays, Ron D./D-5629-2013</t>
  </si>
  <si>
    <t>Hays, Ron D./0000-0001-6697-907X; Herman, Patricia/0000-0001-5579-5654</t>
  </si>
  <si>
    <t>1471-2474</t>
  </si>
  <si>
    <t>OCT 10</t>
  </si>
  <si>
    <t>WOS:000578578300001</t>
  </si>
  <si>
    <t>A Real Time Anti-spamming System in Crowdsourcing Platform</t>
  </si>
  <si>
    <t>Chen, Xia</t>
  </si>
  <si>
    <t>PROCEEDINGS OF 2016 IEEE 7TH INTERNATIONAL CONFERENCE ON SOFTWARE ENGINEERING AND SERVICE SCIENCE (ICSESS 2016)</t>
  </si>
  <si>
    <t>7th IEEE International Conference on Software Engineering and Service Science (ICSESS)</t>
  </si>
  <si>
    <t>AUG 26-28, 2016</t>
  </si>
  <si>
    <t>China Hall Sci &amp; Technol, Beijing, PEOPLES R CHINA</t>
  </si>
  <si>
    <t>Inst Elect &amp; Elect Engineers,IEEE Beijing Sect</t>
  </si>
  <si>
    <t>China Hall Sci &amp; Technol</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</si>
  <si>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t>
  </si>
  <si>
    <t>2327-0594</t>
  </si>
  <si>
    <t>978-1-4673-9904-3</t>
  </si>
  <si>
    <t>WOS:000402055400211</t>
  </si>
  <si>
    <t>Xue, B; Pechenizkiy, M; Koh, YS</t>
  </si>
  <si>
    <t>Chong, David; Lee, Erl; Fan, Matthew; Holur, Pavan; Shahsavari, Shadi; Tangherlini, Timothy; Roychowdhury, Vwani</t>
  </si>
  <si>
    <t>21ST IEEE INTERNATIONAL CONFERENCE ON DATA MINING WORKSHOPS ICDMW 2021</t>
  </si>
  <si>
    <t>21st IEEE International Conference on Data Mining (IEEE ICDM)</t>
  </si>
  <si>
    <t>DEC 07-10, 2021</t>
  </si>
  <si>
    <t>IEEE,IEEE Comp Soc,US Natl Sci Fdn,Univ Auckland, Sch Comp Sci,IEEE Tech Comm Intelligent Informat,Google,Two Sigma</t>
  </si>
  <si>
    <t>As the U.S. Capitol riots of January 6, 2021 attest, conspiracy theories can lead to civil unrest. Many netizens 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t>
  </si>
  <si>
    <t>2375-9232</t>
  </si>
  <si>
    <t>978-1-6654-2427-1</t>
  </si>
  <si>
    <t>WOS:000779306300014</t>
  </si>
  <si>
    <t>Prikladnicki, R; Audy, JLN; Evaristo, R</t>
  </si>
  <si>
    <t>CamarinhaMatos, LM</t>
  </si>
  <si>
    <t>VIRTUAL ENTERPRISES AND COLLABORATIVE NETWORKS</t>
  </si>
  <si>
    <t>18th World Computer Congress</t>
  </si>
  <si>
    <t>AUG 22-27, 2004</t>
  </si>
  <si>
    <t>Toulouse, FRANCE</t>
  </si>
  <si>
    <t>IFIP</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</si>
  <si>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t>
  </si>
  <si>
    <t>1-4020-8138-3</t>
  </si>
  <si>
    <t>WOS:000228128400039</t>
  </si>
  <si>
    <t>IEEE COMPUTER SOC</t>
  </si>
  <si>
    <t>Prikladnicki, Rafael; Audy, Jorge Luis Nicolas; Evaristo, Roberto</t>
  </si>
  <si>
    <t>2006 IEEE INTERNATIONAL CONFERENCE ON GLOBAL SOFTWARE ENGINEERING, PROCEEDINGS</t>
  </si>
  <si>
    <t>IEEE International Conference on Global Software Engineering</t>
  </si>
  <si>
    <t>OCT 16-19, 2006</t>
  </si>
  <si>
    <t>Florianopolis, BRAZIL</t>
  </si>
  <si>
    <t>IEEE,SIEMENS,DELL,Fundacao Certi,FINEP</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</si>
  <si>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t>
  </si>
  <si>
    <t>0-7695-2663-2</t>
  </si>
  <si>
    <t>WOS:000242500600003</t>
  </si>
  <si>
    <t>Lamersdorf, Ansgar; Munch, Jurgen; Fernandez-del Viso Torre, Alicia; Rebate Sanchez, Carlos; Heinz, Markus; Rombach, Dieter</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</si>
  <si>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(C) 2011 John Wiley &amp; Sons, Ltd.</t>
  </si>
  <si>
    <t>Münch, Jürgen/ABC-2316-2020</t>
  </si>
  <si>
    <t>Münch, Jürgen/0000-0003-0327-8094</t>
  </si>
  <si>
    <t>WOS:000308719900005</t>
  </si>
  <si>
    <t>A Scalable Framework to Detect Personal Health Mentions on Twitter</t>
  </si>
  <si>
    <t>Yin, Zhijun; Fabbri, Daniel; Rosenbloom, S. Trent; Malin, Bradley</t>
  </si>
  <si>
    <t>JOURNAL OF MEDICAL INTERNET RESEARCH</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</si>
  <si>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</si>
  <si>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Zhijun/AAL-3193-2020</t>
  </si>
  <si>
    <t>1438-8871</t>
  </si>
  <si>
    <t>e138</t>
  </si>
  <si>
    <t>WOS:000356819800005</t>
  </si>
  <si>
    <t>A Social Network to Increase Collaboration and Coordination in Distributed Teams</t>
  </si>
  <si>
    <t>Vizcaino, Aurora; Garrido, Pedro; Palacio, Ramon R.; Moran, Alberto L.; Piattini, Mario</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</si>
  <si>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t>
  </si>
  <si>
    <t>Piattini, Mario/F-6271-2013; Palacio, Ramon R./AAQ-4991-2020; Vizcaino, Aurora/D-4452-2011</t>
  </si>
  <si>
    <t>Piattini, Mario/0000-0002-7212-8279; Vizcaino, Aurora/0000-0002-2072-5581</t>
  </si>
  <si>
    <t>WOS:000438112800011</t>
  </si>
  <si>
    <t>A study of critical factors affecting adoption of self-customisation service - focused on value-based adoption model</t>
  </si>
  <si>
    <t>Yu, Hoon; Seo, Inhee; Choi, Jeongil</t>
  </si>
  <si>
    <t>TOTAL QUALITY MANAGEMENT &amp; BUSINESS EXCELLENCE</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</si>
  <si>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t>
  </si>
  <si>
    <t>Choi, Jeongil/AAR-3879-2020</t>
  </si>
  <si>
    <t>Choi, Jeongil/0000-0002-8607-8399</t>
  </si>
  <si>
    <t>1478-3363</t>
  </si>
  <si>
    <t>1478-3371</t>
  </si>
  <si>
    <t>SEP 27</t>
  </si>
  <si>
    <t>S98</t>
  </si>
  <si>
    <t>S113</t>
  </si>
  <si>
    <t>SEP 2019</t>
  </si>
  <si>
    <t>WOS:000486864300001</t>
  </si>
  <si>
    <t>A Study of the Impact of Global Software Development in Packaged Software Release Planning</t>
  </si>
  <si>
    <t>Colomo-Palacios, Ricardo; Soto-Acosta, Pedro; Garcia-Penalvo, Francisco J.; Garcia-Crespo, Angel</t>
  </si>
  <si>
    <t>JOURNAL OF UNIVERSAL COMPUTER SCIENCE</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</si>
  <si>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t>
  </si>
  <si>
    <t>Crespo, Angel García/AAY-4578-2020; Colomo-Palacios, Ricardo/E-5139-2010; Soto-Acosta, Pedro/B-3927-2011; GARCÍA-PEÑALVO, Francisco José/D-5445-2013</t>
  </si>
  <si>
    <t>Crespo, Angel García/0000-0003-4206-7601; Colomo-Palacios, Ricardo/0000-0002-1555-9726; Soto-Acosta, Pedro/0000-0003-4308-9781; GARCÍA-PEÑALVO, Francisco José/0000-0001-9987-5584</t>
  </si>
  <si>
    <t>0948-695X</t>
  </si>
  <si>
    <t>WOS:000314533500004</t>
  </si>
  <si>
    <t>A Survey and Analysis of the American Public's Perceptions and Knowledge About Antibiotic Resistance</t>
  </si>
  <si>
    <t>Carter, Rebecca R.; Sun, Jiayang; Jump, Robin L. P.</t>
  </si>
  <si>
    <t>OPEN FORUM INFECTIOUS DISEASES</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</si>
  <si>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o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t>
  </si>
  <si>
    <t>Jump, Robin/AAD-8364-2019</t>
  </si>
  <si>
    <t>Sun, Jiayang/0000-0002-0870-7014</t>
  </si>
  <si>
    <t>2328-8957</t>
  </si>
  <si>
    <t>SUM</t>
  </si>
  <si>
    <t>WOS:000388571700012</t>
  </si>
  <si>
    <t>Min, Hanyi; Pavisic, Ivica; Howald, Nicholas; Highhouse, Scott; Zickar, Michael J.</t>
  </si>
  <si>
    <t>JOURNAL OF RESEARCH IN PERSONALITY</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</si>
  <si>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(C) 2019 Published by Elsevier Inc.</t>
  </si>
  <si>
    <t>0092-6566</t>
  </si>
  <si>
    <t>1095-7251</t>
  </si>
  <si>
    <t>WOS:000489195700021</t>
  </si>
  <si>
    <t>Maria Sierra, Jose; Vizcaino, Aurora; Genero, Marcela; Piattini, Mario</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</si>
  <si>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t>
  </si>
  <si>
    <t>Piattini, Mario/F-6271-2013; Vizcaino, Aurora/D-4452-2011; GENERO, MARCELA/L-6480-2014</t>
  </si>
  <si>
    <t>Piattini, Mario/0000-0002-7212-8279; Vizcaino, Aurora/0000-0002-2072-5581; GENERO, MARCELA/0000-0002-6868-7465</t>
  </si>
  <si>
    <t>WOS:000417009000007</t>
  </si>
  <si>
    <t>Zahedi, Mansooreh; Shahin, Mojtaba; Babar, Muhammad Ali</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</si>
  <si>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(C) 2016 Elsevier Ltd. All rights reserved.</t>
  </si>
  <si>
    <t>A</t>
  </si>
  <si>
    <t>WOS:000388049900012</t>
  </si>
  <si>
    <t>Wu, Mu; Huang, Yan; Li, Ruobing; Bortree, Denise Sevick; Yang, Fan; Xiao, Anli; Wang, Ruoxu</t>
  </si>
  <si>
    <t>AMERICAN BEHAVIORAL SCIENTIST</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</si>
  <si>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x 2 (media credibility: high vs. low) x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t>
  </si>
  <si>
    <t>Huang, Yan/AAM-1836-2020; Huang, Yan/B-1345-2018</t>
  </si>
  <si>
    <t>0002-7642</t>
  </si>
  <si>
    <t>1552-3381</t>
  </si>
  <si>
    <t>WOS:000384830700007</t>
  </si>
  <si>
    <t>A Technical Guide to Using Amazon's Mechanical Turk in Behavioral Accounting Research</t>
  </si>
  <si>
    <t>Buchheit, Steve; Doxey, Marcus M.; Pollard, Troy; Stinson, Shane R.</t>
  </si>
  <si>
    <t>BEHAVIORAL RESEARCH IN ACCOUNTING</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</si>
  <si>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t>
  </si>
  <si>
    <t>Doxey, Marcus M./M-8737-2019</t>
  </si>
  <si>
    <t>Doxey, Marcus M./0000-0003-2217-2447; Stinson, Shane/0000-0001-9324-5418</t>
  </si>
  <si>
    <t>1050-4753</t>
  </si>
  <si>
    <t>1558-8009</t>
  </si>
  <si>
    <t>SPR</t>
  </si>
  <si>
    <t>WOS:000428737900007</t>
  </si>
  <si>
    <t>Zoeller, Nikolas; Morgan, Jonathan H.; Schroeder, Tobias</t>
  </si>
  <si>
    <t>TECHNOLOGICAL FORECASTING AND SOCIAL CHANGE</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</si>
  <si>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t>
  </si>
  <si>
    <t>Schröder, Tobias/AAS-2074-2020</t>
  </si>
  <si>
    <t>Schröder, Tobias/0000-0002-7113-7464</t>
  </si>
  <si>
    <t>0040-1625</t>
  </si>
  <si>
    <t>1873-5509</t>
  </si>
  <si>
    <t>WOS:000597125800017</t>
  </si>
  <si>
    <t>Vizcaino, Aurora; Garcia, Felix; Piattini, Mario; Beecham, Sarah</t>
  </si>
  <si>
    <t>COMPUTER STANDARDS &amp; INTERFACES</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</si>
  <si>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(C) 2016 Elsevier B.V. All rights reserved.</t>
  </si>
  <si>
    <t>Vizcaíno, Aurora/D-4452-2011; García, Félix O./D-4299-2011; Piattini, Mario/F-6271-2013</t>
  </si>
  <si>
    <t>Vizcaíno, Aurora/0000-0002-2072-5581; García, Félix O./0000-0001-6460-0353; Piattini, Mario/0000-0002-7212-8279</t>
  </si>
  <si>
    <t>0920-5489</t>
  </si>
  <si>
    <t>1872-7018</t>
  </si>
  <si>
    <t>WOS:000372687000007</t>
  </si>
  <si>
    <t>Stephanidis, C; Kurosu, M; Chen, JYC; Fragomeni, G; Streitz, N; Konomi, S; Degen, H; Ntoa, S</t>
  </si>
  <si>
    <t>Strobel, Christina; Dana, Jason</t>
  </si>
  <si>
    <t>HCI INTERNATIONAL 2021 - LATE BREAKING PAPERS: MULTIMODALITY, EXTENDED REALITY, AND ARTIFICIAL INTELLIGENCE</t>
  </si>
  <si>
    <t>23rd International Conference on Human-Computer Interaction (HCII)</t>
  </si>
  <si>
    <t>JUL 24-29, 2021</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</si>
  <si>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t>
  </si>
  <si>
    <t>978-3-030-90963-5; 978-3-030-90962-8</t>
  </si>
  <si>
    <t>WOS:000759200300042</t>
  </si>
  <si>
    <t>Hintikka, Noora</t>
  </si>
  <si>
    <t>SAFETY SCIENCE</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</si>
  <si>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(C) 2010 Elsevier Ltd. All rights reserved.</t>
  </si>
  <si>
    <t>Nenonen, Noora/0000-0002-9340-5167</t>
  </si>
  <si>
    <t>0925-7535</t>
  </si>
  <si>
    <t>1879-1042</t>
  </si>
  <si>
    <t>WOS:000287908100012</t>
  </si>
  <si>
    <t>Govindan, Kannan; Shankar, K. Madan; Kannan, Devika</t>
  </si>
  <si>
    <t>INTERNATIONAL JOURNAL OF PRODUCTION ECONOMICS</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</si>
  <si>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t>
  </si>
  <si>
    <t>Kannan, Devika/Q-6233-2018; Govindan, Kannan/M-5996-2017</t>
  </si>
  <si>
    <t>Kannan, Devika/0000-0003-4365-0313; Govindan, Kannan/0000-0002-6204-1196; Shankar, Madan/0000-0003-1571-2206</t>
  </si>
  <si>
    <t>0925-5273</t>
  </si>
  <si>
    <t>1873-7579</t>
  </si>
  <si>
    <t>WOS:000540840400001</t>
  </si>
  <si>
    <t>Moschella, Elizabeth A.; Banyard, Victoria L.</t>
  </si>
  <si>
    <t>JOURNAL OF INTERPERSONAL VIOLENCE</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</si>
  <si>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t>
  </si>
  <si>
    <t>Moschella-Smith, Elizabeth/0000-0001-8874-7691</t>
  </si>
  <si>
    <t>0886-2605</t>
  </si>
  <si>
    <t>1552-6518</t>
  </si>
  <si>
    <t>7-8</t>
  </si>
  <si>
    <t>NP3820</t>
  </si>
  <si>
    <t>NP3843</t>
  </si>
  <si>
    <t>WOS:000630100900058</t>
  </si>
  <si>
    <t>Active Learning with Imbalanced Multiple Noisy Labeling</t>
  </si>
  <si>
    <t>Zhang, Jing; Wu, Xindong; Sheng, Victor S.</t>
  </si>
  <si>
    <t>IEEE TRANSACTIONS ON CYBERNETICS</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</si>
  <si>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t>
  </si>
  <si>
    <t>Wu, Xindong/AAB-6713-2022</t>
  </si>
  <si>
    <t>Wu, Xindong/0000-0003-2396-1704; Zhang, Jing/0000-0003-2541-4923</t>
  </si>
  <si>
    <t>2168-2267</t>
  </si>
  <si>
    <t>2168-2275</t>
  </si>
  <si>
    <t>WOS:000353152700018</t>
  </si>
  <si>
    <t>Active Visual Recognition with Expertise Estimation in Crowdsourcing</t>
  </si>
  <si>
    <t>2013 IEEE INTERNATIONAL CONFERENCE ON COMPUTER VISION (ICCV)</t>
  </si>
  <si>
    <t>IEEE International Conference on Computer Vision (ICCV)</t>
  </si>
  <si>
    <t>DEC 01-08, 2013</t>
  </si>
  <si>
    <t>Sydney, AUSTRALIA</t>
  </si>
  <si>
    <t>IEEE,CVF,IEEE Comp Soc,APRS,Australiasn Natl Univ,NICTA,FACE++,Natl Robot Engn Ctr,Google,Disney Res,nVIDIA,Raytheon BBN Technologies,Facebook,Adobe,Kitware,OMRON,SRI Int</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</si>
  <si>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t>
  </si>
  <si>
    <t>1550-5499</t>
  </si>
  <si>
    <t>978-1-4799-2839-2</t>
  </si>
  <si>
    <t>WOS:000351830500375</t>
  </si>
  <si>
    <t>Adaptive Selection of Working Conditions for Crowdsourced Tasks</t>
  </si>
  <si>
    <t>Yamamoto, Shohei; Matsubara, Shigeo</t>
  </si>
  <si>
    <t>2018 IEEE INTERNATIONAL CONFERENCE ON AGENTS (ICA)</t>
  </si>
  <si>
    <t>IEEE International Conference on Agents (ICA)</t>
  </si>
  <si>
    <t>JUL 28-31, 2018</t>
  </si>
  <si>
    <t>Nanyang Technolog Univ, Singapore, SINGAPORE</t>
  </si>
  <si>
    <t>Nanyang Technolog Univ</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</si>
  <si>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t>
  </si>
  <si>
    <t>978-1-5386-8180-0</t>
  </si>
  <si>
    <t>WOS:000454758300012</t>
  </si>
  <si>
    <t>Stanton, Kasey; DeLucia, Elizabeth A.; Brown, Matthew F. D.; McDonnell, Christina G.</t>
  </si>
  <si>
    <t>PERSONALITY AND MENTAL HEALTH</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</si>
  <si>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t>
  </si>
  <si>
    <t>1932-8621</t>
  </si>
  <si>
    <t>1932-863X</t>
  </si>
  <si>
    <t>NOV 2020</t>
  </si>
  <si>
    <t>WOS:000591247500001</t>
  </si>
  <si>
    <t>Advertising Content and Consumer Engagement on Social Media: Evidence from Facebook</t>
  </si>
  <si>
    <t>Lee, Dokyun; Hosanagar, Kartik; Nair, Harikesh S.</t>
  </si>
  <si>
    <t>MANAGEMENT SCIENCE</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</si>
  <si>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methodologywe apply to content-code text is useful for future studies utilizing unstructured data such as advertising content or product reviews.</t>
  </si>
  <si>
    <t>Lee, Dokyun/0000-0002-3186-3349</t>
  </si>
  <si>
    <t>0025-1909</t>
  </si>
  <si>
    <t>1526-5501</t>
  </si>
  <si>
    <t>WOS:000449627200008</t>
  </si>
  <si>
    <t>Malloch, Yining Zhou; Feng, Bo; Wang, Bingqing; Kim, Chelsea</t>
  </si>
  <si>
    <t>JOURNAL OF LANGUAGE AND SOCIAL PSYCHOLOGY</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</si>
  <si>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t>
  </si>
  <si>
    <t>Feng, Bo/0000-0002-7045-6455</t>
  </si>
  <si>
    <t>0261-927X</t>
  </si>
  <si>
    <t>1552-6526</t>
  </si>
  <si>
    <t>WOS:000532764600004</t>
  </si>
  <si>
    <t>Beard, Charlotte L.; Haas, Amie L.; Wickham, Robert E.; Stavropoulos, Vasileios</t>
  </si>
  <si>
    <t>CYBERPSYCHOLOGY BEHAVIOR AND SOCIAL NETWORKING</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</si>
  <si>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(b=-0.10, 95% confidence interval [CI: -0.17, -0.03]), controlling for self-esteem factors. In addition, self-esteem factors emerged as mediators of the effect, where global self-esteem served as a protective factor (b=-0.05, 95% CI: [-0.07, -0.02]) and high gaming-contingent self-worth (GCSW; b=-0.10,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t>
  </si>
  <si>
    <t>Wickham, Robert E/H-7485-2019; Stavropoulos, Vasileios/Y-9906-2018</t>
  </si>
  <si>
    <t>Wickham, Robert E/0000-0002-0132-6235; Stavropoulos, Vasileios/0000-0001-6964-4662</t>
  </si>
  <si>
    <t>2152-2715</t>
  </si>
  <si>
    <t>2152-2723</t>
  </si>
  <si>
    <t>WOS:000403557800009</t>
  </si>
  <si>
    <t>Agile Teams in Large-Scale Distributed Context - Isolated or Connected?</t>
  </si>
  <si>
    <t>ACM</t>
  </si>
  <si>
    <t>Sablis, Aivars; Smite, Darja</t>
  </si>
  <si>
    <t>PROCEEDINGS OF THE XP2016 SCIENTIFIC WORKSHOPS</t>
  </si>
  <si>
    <t>Workshop on Large Scale Agile Development. / 1st International Workshop on Emerging Trends in DevOps and Infrastructure / 2nd International Workshop on Agile Development of Safety-Critical Software / International Workshop on Refactoring and Testing</t>
  </si>
  <si>
    <t>MAY 24, 2016</t>
  </si>
  <si>
    <t>Edinburgh, SCOTLAND</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</si>
  <si>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 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t>
  </si>
  <si>
    <t>Sablis, Aivars/0000-0003-2972-139X</t>
  </si>
  <si>
    <t>978-1-4503-4134-9</t>
  </si>
  <si>
    <t>WOS:000577054200010</t>
  </si>
  <si>
    <t>Airbnb Branding: Heritage as a Branding Element in the Sharing Economy</t>
  </si>
  <si>
    <t>Fierro, Alvaro; Aranburu, Ibon</t>
  </si>
  <si>
    <t>SUSTAINABILITY</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</si>
  <si>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t>
  </si>
  <si>
    <t>Aranburu, Ibon/AAJ-8922-2020; Fierro, Álvaro/GPX-7899-2022</t>
  </si>
  <si>
    <t xml:space="preserve">Aranburu, Ibon/0000-0002-4836-5290; </t>
  </si>
  <si>
    <t>2071-1050</t>
  </si>
  <si>
    <t>JAN 1</t>
  </si>
  <si>
    <t>WOS:000457127300074</t>
  </si>
  <si>
    <t>Andreu, Luisa; Bigne, Enrique; Amaro, Suzanne; Palomo, Jesus</t>
  </si>
  <si>
    <t>INTERNATIONAL JOURNAL OF CULTURE TOURISM AND HOSPITALITY RESEARCH</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</si>
  <si>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t>
  </si>
  <si>
    <t>Amaro, Suzanne/H-5847-2019; Bigné, Enrique/D-9287-2015; Palomo, Jesus/K-8327-2012</t>
  </si>
  <si>
    <t>Amaro, Suzanne/0000-0001-9263-6951; Bigné, Enrique/0000-0002-6529-7605; Palomo, Jesus/0000-0002-1027-449X</t>
  </si>
  <si>
    <t>1750-6182</t>
  </si>
  <si>
    <t>1750-6190</t>
  </si>
  <si>
    <t>JAN 27</t>
  </si>
  <si>
    <t>JAN 2020</t>
  </si>
  <si>
    <t>WOS:000512192400001</t>
  </si>
  <si>
    <t>Marler, JH; Moen, P</t>
  </si>
  <si>
    <t>SEX ROLES</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</si>
  <si>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t>
  </si>
  <si>
    <t>0360-0025</t>
  </si>
  <si>
    <t>1573-2762</t>
  </si>
  <si>
    <t>5-6</t>
  </si>
  <si>
    <t>WOS:000228533600007</t>
  </si>
  <si>
    <t>Fisher, Camille F.; Birkeland, Laura E.; Reiser, Catherine A.; Zhao, Qianqian; Palmer, Christina G. S.; Zikmund-Fisher, Brian J.; Petty, Elizabeth M.</t>
  </si>
  <si>
    <t>JOURNAL OF GENETIC COUNSELING</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</si>
  <si>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t>
  </si>
  <si>
    <t>Fisher, Camille/0000-0001-5352-1940; Zikmund-Fisher, Brian/0000-0002-1637-4176</t>
  </si>
  <si>
    <t>1059-7700</t>
  </si>
  <si>
    <t>1573-3599</t>
  </si>
  <si>
    <t>WOS:000607610700002</t>
  </si>
  <si>
    <t>Cheung, Janelle H.; Burns, Deanna K.; Sinclair, Robert R.; Sliter, Michael</t>
  </si>
  <si>
    <t>JOURNAL OF BUSINESS AND PSYCHOLOGY</t>
  </si>
  <si>
    <t>Amazon Mechanical Turk is an increasingly popular data source in the organizational psychology research community. This paper presents an evaluation of MTurk and provides a set of practical recommendations for researchers using MTurk. We present an evaluation of methodological concerns related to the use of MTurk and potential threats to validity inferences. Based on our evaluation, we also provide a set of recommendations to strengthen validity inferences using MTurk samples.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t>
  </si>
  <si>
    <t>0889-3268</t>
  </si>
  <si>
    <t>1573-353X</t>
  </si>
  <si>
    <t>WOS:000404234200001</t>
  </si>
  <si>
    <t>Johnson, David; Ryan, John Barry</t>
  </si>
  <si>
    <t>SOUTHERN ECONOMIC JOURNAL</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</si>
  <si>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t>
  </si>
  <si>
    <t>0038-4038</t>
  </si>
  <si>
    <t>2325-8012</t>
  </si>
  <si>
    <t>WOS:000544596800001</t>
  </si>
  <si>
    <t>American Adult Pornography Consumers' Beliefs and Behaviors Related to Pornography Studios Mistreating Their Performers</t>
  </si>
  <si>
    <t>Tollini, Craig; Diamond-Welch, Bridget</t>
  </si>
  <si>
    <t>SEXUALITY &amp; CULTURE-AN INTERDISCIPLINARY JOURNAL</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</si>
  <si>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t>
  </si>
  <si>
    <t>1095-5143</t>
  </si>
  <si>
    <t>1936-4822</t>
  </si>
  <si>
    <t>MAY 2021</t>
  </si>
  <si>
    <t>WOS:000650545500001</t>
  </si>
  <si>
    <t>Sangaiah, Arun Kumar; Thangavelu, Arun Kumar</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</si>
  <si>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t>
  </si>
  <si>
    <t>Sangaiah, Arun Kumar/U-6785-2019; Thangavelu, Arunkumar/AAW-9523-2020</t>
  </si>
  <si>
    <t>Sangaiah, Arun Kumar/0000-0002-0229-2460; Thangavelu, Arunkumar/0000-0001-7384-8975</t>
  </si>
  <si>
    <t>3-4</t>
  </si>
  <si>
    <t>WOS:000340584700007</t>
  </si>
  <si>
    <t>Yeganeh, Hamid</t>
  </si>
  <si>
    <t>WORLD JOURNAL OF ENTREPRENEURSHIP MANAGEMENT AND SUSTAINABLE DEVELOPMENT</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</si>
  <si>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t>
  </si>
  <si>
    <t>Yeganeh, Hamid/ABB-8618-2021</t>
  </si>
  <si>
    <t>Yeganeh, Hamid/0000-0001-7235-5773</t>
  </si>
  <si>
    <t>2042-5961</t>
  </si>
  <si>
    <t>2042-597X</t>
  </si>
  <si>
    <t>JUL 26</t>
  </si>
  <si>
    <t>APR 2021</t>
  </si>
  <si>
    <t>WOS:000637878800001</t>
  </si>
  <si>
    <t>ASSOC COMP MACHINERY</t>
  </si>
  <si>
    <t>Li, Yuan; Ward, Austin R.; Capra, Rob</t>
  </si>
  <si>
    <t>CHIIR '21: PROCEEDINGS OF THE 2021 CONFERENCE ON HUMAN INFORMATION INTERACTION AND RETRIEVAL</t>
  </si>
  <si>
    <t>6th ACM SIGIR Conference on Human Information Interaction and Retrieval (CHIIR)</t>
  </si>
  <si>
    <t>MAR 14-19, 2021</t>
  </si>
  <si>
    <t>ACM SIGIR,ACM SIGCHI,Google,Bloomberg Engn,Assoc Comp Machinery</t>
  </si>
  <si>
    <t>Previous studies found that cross-session search tasks are often complex due to the uncertainty of task features, users' perception of the tasks, and the challenges (e.g., time limitation, interruptions) that users encounter during the process. Using Anderson &amp; Krath-wohl's taxonomy of learning [2],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t>
  </si>
  <si>
    <t>Capra, Robert/0000-0002-0845-7836</t>
  </si>
  <si>
    <t>978-1-4503-8055-3</t>
  </si>
  <si>
    <t>WOS:000765264800036</t>
  </si>
  <si>
    <t>Sodre, Ianna; Brasileiro, Francisco</t>
  </si>
  <si>
    <t>COMPUTER SUPPORTED COOPERATIVE WORK-THE JOURNAL OF COLLABORATIVE COMPUTING AND WORK PRACTICES</t>
  </si>
  <si>
    <t>15th European Conference on Computer-Supported Cooperative Work (ECSCW)</t>
  </si>
  <si>
    <t>AUG 28-SEP 01, 2017</t>
  </si>
  <si>
    <t>Sheffield, ENGLAND</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</si>
  <si>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t>
  </si>
  <si>
    <t>Brasileiro, Francisco Vilar/AAF-7173-2020</t>
  </si>
  <si>
    <t>Brasileiro, Francisco Vilar/0000-0001-9631-0190</t>
  </si>
  <si>
    <t>0925-9724</t>
  </si>
  <si>
    <t>1573-7551</t>
  </si>
  <si>
    <t>4-6</t>
  </si>
  <si>
    <t>WOS:000407564300015</t>
  </si>
  <si>
    <t>Sangaiah, Arun Kumar; Thangavelu, Arun Kumar; Gao, Xiao Zhi; Anbazhagan, N.; Durai, Saleem</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</si>
  <si>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(C) 2015 Elsevier B.V. All rights reserved.</t>
  </si>
  <si>
    <t>N, Anbazhagan/R-6420-2019; Sangaiah, Arun Kumar/U-6785-2019; Thangavelu, Arunkumar/AAW-9523-2020; , Anbazhagan. N/ABB-9578-2021</t>
  </si>
  <si>
    <t>Sangaiah, Arun Kumar/0000-0002-0229-2460; Thangavelu, Arunkumar/0000-0001-7384-8975; , Anbazhagan. N/0000-0002-9146-2483</t>
  </si>
  <si>
    <t>WOS:000351296200054</t>
  </si>
  <si>
    <t>Mora, Higinio; Pujol-Lopez, Francisco A.; Mendoza-Tello, Julio C.; Raul Morales-Morales, Mario</t>
  </si>
  <si>
    <t>COMPUTERS IN HUMAN BEHAVIOR</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</si>
  <si>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t>
  </si>
  <si>
    <t>Mendoza-Tello, Julio C./ABE-9634-2020; Mora, Higinio/L-3347-2014</t>
  </si>
  <si>
    <t>Mora, Higinio/0000-0002-8591-0710; Mendoza-Tello, Julio Cesar/0000-0003-1895-0453</t>
  </si>
  <si>
    <t>0747-5632</t>
  </si>
  <si>
    <t>1873-7692</t>
  </si>
  <si>
    <t>WOS:000523598100006</t>
  </si>
  <si>
    <t>Bush, Ashley A.; Tiwana, Amrit; Tsuji, Hiroshi</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</si>
  <si>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(C) 2007 Elsevier B.V. All rights reserved.</t>
  </si>
  <si>
    <t>WOS:000255506100002</t>
  </si>
  <si>
    <t>Herbsleb, JD; Mockus, A; Finholt, TA; Grinter, RE</t>
  </si>
  <si>
    <t>IEEE COMPUTER SOCIETY; IEEE COMPUTER SOCIETY</t>
  </si>
  <si>
    <t>PROCEEDINGS OF THE 23RD INTERNATIONAL CONFERENCE ON SOFTWARE ENGINEERING</t>
  </si>
  <si>
    <t>23rd International Conference on Software Engineering (ICSE 2001)</t>
  </si>
  <si>
    <t>MAY 12-19, 2001</t>
  </si>
  <si>
    <t>TORONTO, CANADA</t>
  </si>
  <si>
    <t>IEEE Comp Soc,IEEE Comp Soc, Tech Council Software Engn,Assoc Comp Machinery,ACM SIGSOFT Special Interest Grp Software Engn,ACM SIGSOFT Special Interest Grp Programming Languages,ACD Syst,Alberta Software Engn Res Consortium,Avaya Commun,Bell Canada,Canada Natl Res Council Canada,Cisco Syst,Commun &amp; Informat Technol Ontario,IBM Toronto Lab,Alberta Informat Circle Res Excellence,MacDonald Dettwiler,Microsoft Res,Nokia,Rational Software,Software Product Ctr Inc,Sun Microsyst</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</si>
  <si>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t>
  </si>
  <si>
    <t>Mockus, Audris/AEY-3361-2022</t>
  </si>
  <si>
    <t>Finholt, Thomas/0000-0001-9529-4467</t>
  </si>
  <si>
    <t>0270-5257</t>
  </si>
  <si>
    <t>0-7695-1050-7</t>
  </si>
  <si>
    <t>WOS:000169430600008</t>
  </si>
  <si>
    <t>An Empirical Study of Search-Based Task Scheduling in Global Software Development</t>
  </si>
  <si>
    <t>Kroll, Josiane; Friboim, Shai; Hemmati, Hadi</t>
  </si>
  <si>
    <t>2017 IEEE/ACM 39TH INTERNATIONAL CONFERENCE ON SOFTWARE ENGINEERING: SOFTWARE ENGINEERING IN PRACTICE TRACK (ICSE-SEIP 2017)</t>
  </si>
  <si>
    <t>39th IEEE/ACM International Conference on Software Engineering: Software Engineering in Practice Track (ICSE-SEIP)</t>
  </si>
  <si>
    <t>IEEE,Assoc Comp Machinery,IEEE Comp Soc,IEEE Tech Council Software Engn,Assoc Comp Machinery Special Interest Grp Software Engn,Soc Argentina Informatica,Univ Buenos Aires, Fac Exact &amp; Nat Sci,Fundac Sadosky</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</si>
  <si>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t>
  </si>
  <si>
    <t>Fridboim, Shai/0000-0001-5753-292X</t>
  </si>
  <si>
    <t>978-1-5386-2717-4</t>
  </si>
  <si>
    <t>WOS:000463708700019</t>
  </si>
  <si>
    <t>An Empirical Study of Task-Specific Limitations of the Overview plus Detail Technique for Interactive Time Series Analysis</t>
  </si>
  <si>
    <t>Longo, F; Affenzeller, M; Padovano, A</t>
  </si>
  <si>
    <t>Friedl, Judith; Zimmer, Bjoern; Perkhofer, Lisa; Zenisek, Jan; Hofer, Peter; Jetter, Hans-Christian</t>
  </si>
  <si>
    <t>PROCEEDINGS OF THE 2ND INTERNATIONAL CONFERENCE ON INDUSTRY 4.0 AND SMART MANUFACTURING (ISM 2020)</t>
  </si>
  <si>
    <t>2nd International Conference on Industry 4.0 and Smart Manufacturing (ISM)</t>
  </si>
  <si>
    <t>NOV 23-25, 2020</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</si>
  <si>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t>
  </si>
  <si>
    <t>Hofer, Peter/F-3199-2016</t>
  </si>
  <si>
    <t>Hofer, Peter/0000-0002-9898-2676; Perkhofer, Lisa/0000-0002-6740-227X; Friedl, Judith/0000-0002-8350-0996</t>
  </si>
  <si>
    <t>1877-0509</t>
  </si>
  <si>
    <t>WOS:000655006800069</t>
  </si>
  <si>
    <t>An Empirical Study on Using Agile Methods in Global Software Development</t>
  </si>
  <si>
    <t>Vithana, V. N.; Asirvatham, D.; Johar, M. G. M.</t>
  </si>
  <si>
    <t>2018 18TH INTERNATIONAL CONFERENCE ON ADVANCES IN ICT FOR EMERGING REGIONS (ICTER) CONFERENCE PROCEEDINGS</t>
  </si>
  <si>
    <t>18th International Conference on Advances in Ict for Emerging Regions (ICTer)</t>
  </si>
  <si>
    <t>SEP 26-29, 2018</t>
  </si>
  <si>
    <t>Univ Colombo, Sch Comp, Colombo, SRI LANKA</t>
  </si>
  <si>
    <t>IEEE, Sri Lanka Sect,LSEG Technol,Peoples Bank,Natl Sci Fdn,IFS,99x Technol,Board PAC,IEEE Comp Soc</t>
  </si>
  <si>
    <t>Univ Colombo, Sch Comp</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</si>
  <si>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lime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t>
  </si>
  <si>
    <t>Md Johar, Md Gapar/E-4689-2018</t>
  </si>
  <si>
    <t>Md Johar, Md Gapar/0000-0001-7986-3834</t>
  </si>
  <si>
    <t>2377-6854</t>
  </si>
  <si>
    <t>978-1-5386-7352-2</t>
  </si>
  <si>
    <t>WOS:000459882500021</t>
  </si>
  <si>
    <t>Ammad, Ghana; Janjua, Uzair Iqbal; Madni, Tahir Mustafa; Cheema, Muhammad Faisal; Shahid, Ahmad R.</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</si>
  <si>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socio-temporal distance, socio-culture distance, team member's attitude, team issues, organizational &amp;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t>
  </si>
  <si>
    <t>Janjua, Uzair Iqbal/AAE-6219-2019</t>
  </si>
  <si>
    <t>Iqbal Janjua, Uzair/0000-0003-4515-0742</t>
  </si>
  <si>
    <t>WOS:000509374200024</t>
  </si>
  <si>
    <t>Khan, Rafiq Ahmad; Idris, Mohd Yazid; Khan, Siffat Ullah; Ilyas, Muhammad; Ali, Sikandar; Din, Aziz Ud; Murtaza, Ghulam; Khan, Abdul Wahid; Jan, Saeed Ullah</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</si>
  <si>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t>
  </si>
  <si>
    <t>Ali, Sikandar/AAE-6488-2019; Jan, Dr. Saeed Ullah/C-6118-2018; Khan, Rafiq Ahmad/L-1388-2016; Khan, Siffat Ullah/B-3309-2017</t>
  </si>
  <si>
    <t>Ali, Sikandar/0000-0002-2753-8615; Jan, Dr. Saeed Ullah/0000-0003-1268-0325; KHAN, Dr. RAFIQ AHMAD/0000-0002-5983-9981; Khan, Siffat Ullah/0000-0003-0339-7915</t>
  </si>
  <si>
    <t>WOS:000484307300002</t>
  </si>
  <si>
    <t>An Evaluation of the Impact of Automated Programming Hints on Performance and Learning</t>
  </si>
  <si>
    <t>Marwan, Samiha; Williams, Joseph Jay; Price, Thomas</t>
  </si>
  <si>
    <t>ICER '19 - PROCEEDINGS OF THE 2019 ACM CONFERENCE ON INTERNATIONAL COMPUTING EDUCATION RESEARCH</t>
  </si>
  <si>
    <t>15th ACM Annual International Computing Education Research (ICER) Conference</t>
  </si>
  <si>
    <t>AUG 12-14, 2019</t>
  </si>
  <si>
    <t>Toronto, CANADA</t>
  </si>
  <si>
    <t>Assoc Comp Machinery,ACM Special Interest Grp Comp Sci Educ</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</si>
  <si>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</si>
  <si>
    <t>Price, Thomas/0000-0001-9375-2292</t>
  </si>
  <si>
    <t>978-1-4503-6185-9</t>
  </si>
  <si>
    <t>WOS:000520117800007</t>
  </si>
  <si>
    <t>An Experiment in Comparing Human-Computation Techniques</t>
  </si>
  <si>
    <t>Thaler, Stefan; Simperl, Elena; Woelger, Stephan</t>
  </si>
  <si>
    <t>IEEE INTERNET COMPUTING</t>
  </si>
  <si>
    <t>Human computation can address complex computational problems by tapping into large resource pools for relatively little cost. Two prominent human-computation techniques - games with a purpose (GWAP) and microtask crowdsourcing - 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t>
  </si>
  <si>
    <t>Simperl, Elena/ABF-8045-2020</t>
  </si>
  <si>
    <t>Simperl, Elena/0000-0003-1722-947X</t>
  </si>
  <si>
    <t>1089-7801</t>
  </si>
  <si>
    <t>1941-0131</t>
  </si>
  <si>
    <t>SEP-OCT</t>
  </si>
  <si>
    <t>WOS:000308123100009</t>
  </si>
  <si>
    <t>An Experimental Analogue Evaluation of Asian and Asian Americans' Immediate Reactions to Therapist Microaggressions</t>
  </si>
  <si>
    <t>Kuo, Patty B.; Imel, Zac E.; Tao, Karen W.</t>
  </si>
  <si>
    <t>COUNSELING PSYCHOLOGIST</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</si>
  <si>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t>
  </si>
  <si>
    <t>Kuo, Patty/0000-0001-7721-1672</t>
  </si>
  <si>
    <t>0011-0000</t>
  </si>
  <si>
    <t>1552-3861</t>
  </si>
  <si>
    <t>WOS:000652219800001</t>
  </si>
  <si>
    <t>Mortensen, Michael L.; Adam, Gaelen P.; Trikalinos, Thomas A.; Kraska, Tim; Wallace, Byron C.</t>
  </si>
  <si>
    <t>RESEARCH SYNTHESIS METHODS</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</si>
  <si>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$ 460 to $ 2220, a cost reduction of up to 88% compared to trained experts. Crowdsourcing may represent a useful approach to reducing the cost of identifying literature for systematic reviews.</t>
  </si>
  <si>
    <t>1759-2879</t>
  </si>
  <si>
    <t>1759-2887</t>
  </si>
  <si>
    <t>WOS:000417268600015</t>
  </si>
  <si>
    <t>Yague, Agustin; Garbajosa, Juan; Diaz, Jessica; Gonzalez, Eloy</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</si>
  <si>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All rights reserved.</t>
  </si>
  <si>
    <t>Yagüe, Agustin/T-9400-2019; Diaz, Jessica/J-9751-2012; Garbajosa, Juan/B-5818-2012</t>
  </si>
  <si>
    <t>Yagüe, Agustin/0000-0002-4761-0901; Diaz, Jessica/0000-0001-6738-9370; Garbajosa, Juan/0000-0003-0161-3485</t>
  </si>
  <si>
    <t>WOS:000382599300015</t>
  </si>
  <si>
    <t>An exploratory study of jobseekers' decision-making styles, recruitment information sources and organisational attractiveness</t>
  </si>
  <si>
    <t>Liu, Yu-Lun; Keeling, Kathleen A.; Papamichail, K. Nadia</t>
  </si>
  <si>
    <t>PERSONNEL REVIEW</t>
  </si>
  <si>
    <t>Purpose -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 A scenario-based experiment was conducted on 280 participants from the USA, with work experience in retail, using Amazon Mechanical Turk. Findings -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 Research on decision-making style in recruitment is relatively limited. This study demonstrates the differences between maximisers and satisficers in terms of job-related information needs, and the evaluation of the source/content, when searching for a retail trade job.</t>
  </si>
  <si>
    <t>Papamichail, K.Nadia/ABI-5935-2020; Keeling, Kathy/X-2653-2019</t>
  </si>
  <si>
    <t>Keeling, Kathy/0000-0002-1083-0732; Papamichail, Konstantinia/0000-0001-8307-9620</t>
  </si>
  <si>
    <t>0048-3486</t>
  </si>
  <si>
    <t>1758-6933</t>
  </si>
  <si>
    <t>WOS:000386218600015</t>
  </si>
  <si>
    <t>Fuzzell, Lindsay N.; Dodd, Sherry; Hu, Sisi; Hinnant, Amanda; Lee, Sungkyoung; Cameron, Glen; Garbutt, Jane M.</t>
  </si>
  <si>
    <t>BMC PEDIATRICS</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</si>
  <si>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t>
  </si>
  <si>
    <t>1471-2431</t>
  </si>
  <si>
    <t>JAN 7</t>
  </si>
  <si>
    <t>WOS:000740243300003</t>
  </si>
  <si>
    <t>An Instrument for Evaluating Uncertainty Visualization Techniques</t>
  </si>
  <si>
    <t>Brennen, Andrea; Tuerk, Stephanie</t>
  </si>
  <si>
    <t>CHI 2018: EXTENDED ABSTRACTS OF THE 2018 CHI CONFERENCE ON HUMAN FACTORS IN COMPUTING SYSTEMS</t>
  </si>
  <si>
    <t>CHI Conference on Human Factors in Computing Systems (CHI)</t>
  </si>
  <si>
    <t>APR 21-26, 2018</t>
  </si>
  <si>
    <t>Assoc Comp Machinery,ACM SIGCHI</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</si>
  <si>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t>
  </si>
  <si>
    <t>978-1-4503-5621-3</t>
  </si>
  <si>
    <t>LBW010</t>
  </si>
  <si>
    <t>WOS:000671090000179</t>
  </si>
  <si>
    <t>Sangaiah, Arun Kumar; Gopal, Jagadeesh; Basu, Anirban; Subramaniam, Prabhakar Rontala</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</si>
  <si>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t>
  </si>
  <si>
    <t>Sangaiah, Arun Kumar/U-6785-2019; Gopal, Jagadeesh/U-4832-2019; Subramaniam, Prabhakar Rontala/N-5886-2019</t>
  </si>
  <si>
    <t>Sangaiah, Arun Kumar/0000-0002-0229-2460; Gopal, Jagadeesh/0000-0002-6590-8461; Subramaniam, Prabhakar Rontala/0000-0003-2719-3503</t>
  </si>
  <si>
    <t>WOS:000392419100009</t>
  </si>
  <si>
    <t>An Interactive Scene Generation Using Natural Language</t>
  </si>
  <si>
    <t>Howard, A; Althoefer, K; Arai, F; Arrichiello, F; Caputo, B; Castellanos, J; Hauser, K; Isler, V; Kim, J; Liu, H; Oh, P; Santos, V; Scaramuzza, D; Ude, A; Voyles, R; Yamane, K; Okamura, A</t>
  </si>
  <si>
    <t>Cheng, Yu; Shi, Yan; Sun, Zhiyong; Feng, Dezhi; Dong, Lixin</t>
  </si>
  <si>
    <t>2019 INTERNATIONAL CONFERENCE ON ROBOTICS AND AUTOMATION (ICRA)</t>
  </si>
  <si>
    <t>IEEE International Conference on Robotics and Automation (ICRA)</t>
  </si>
  <si>
    <t>MAY 20-24, 2019</t>
  </si>
  <si>
    <t>Bosch,DJI,Kinova,Mercedes Benz,Samsung,Argo AI,Clearpath Robot,Element AI,Fetch Robot,Huawei,iRobot,KUKA,Quanser,SICK,Toyota Res Inst,Uber,Waymo,Zhejiang Lab,Amazon,Applanix,Cloudminds,Honda Res Inst,MathWorks,Ouster</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</si>
  <si>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t>
  </si>
  <si>
    <t>Dong, Lixin/B-3115-2008; Sun, Zhiyong/B-9408-2018</t>
  </si>
  <si>
    <t>Dong, Lixin/0000-0002-8816-4944; Sun, Zhiyong/0000-0001-9510-4897; Shi, Yan/0000-0002-7844-6227</t>
  </si>
  <si>
    <t>1050-4729</t>
  </si>
  <si>
    <t>2577-087X</t>
  </si>
  <si>
    <t>978-1-5386-6026-3</t>
  </si>
  <si>
    <t>WOS:000494942305017</t>
  </si>
  <si>
    <t>Ferrari, Alessio; Esuli, Andrea</t>
  </si>
  <si>
    <t>AUTOMATED SOFTWARE ENGINEERING</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</si>
  <si>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t>
  </si>
  <si>
    <t>Esuli, Andrea/B-6343-2015; Ferrari, Alessio/J-1155-2019</t>
  </si>
  <si>
    <t>Esuli, Andrea/0000-0002-5725-4322; Ferrari, Alessio/0000-0002-0636-5663</t>
  </si>
  <si>
    <t>0928-8910</t>
  </si>
  <si>
    <t>1573-7535</t>
  </si>
  <si>
    <t>WOS:000482229800003</t>
  </si>
  <si>
    <t>An Online Intervention to Promote Predictors of Supportive Parenting for Sexual Minority Youth</t>
  </si>
  <si>
    <t>Goodman, Joshua A.; Israel, Tania</t>
  </si>
  <si>
    <t>JOURNAL OF FAMILY PSYCHOLOGY</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</si>
  <si>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t>
  </si>
  <si>
    <t>Goodman, Joshua/0000-0002-6467-3816</t>
  </si>
  <si>
    <t>0893-3200</t>
  </si>
  <si>
    <t>1939-1293</t>
  </si>
  <si>
    <t>WOS:000510388700009</t>
  </si>
  <si>
    <t>El Bajta, Manal</t>
  </si>
  <si>
    <t>2015 IEEE 10TH INTERNATIONAL CONFERENCE ON GLOBAL SOFTWARE ENGINEERING WORKSHOPS (ICGSEW 2015)</t>
  </si>
  <si>
    <t>10th IEEE International Conference on Global Software Engineering (ICGSE)</t>
  </si>
  <si>
    <t>JUL 13-16, 2015</t>
  </si>
  <si>
    <t>Univ Castilla La Manchas, Comp Sci Fac, Ciudad Real, SPAIN</t>
  </si>
  <si>
    <t>IEEE,IEEE Comp Soc,SIEMENS,Escuela Super Informatica,Alarcos Res Grp,Indra,Univ Castilla La Mancha,Investigac, Desarrollo &amp; Innovac,TSI,Alarcos Qual Ctr</t>
  </si>
  <si>
    <t>Univ Castilla La Manchas, Comp Sci Fac</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</si>
  <si>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t>
  </si>
  <si>
    <t>Bajta, Manal El/AAH-7754-2019</t>
  </si>
  <si>
    <t>EL BAJTA, Manal/0000-0002-7981-815X</t>
  </si>
  <si>
    <t>978-1-4799-9874-6</t>
  </si>
  <si>
    <t>WOS:000380398800010</t>
  </si>
  <si>
    <t>Analysis and Research on Several Mainstreams Printing Digital Workflow</t>
  </si>
  <si>
    <t>Zhao, P; Ouyang, Y; Xu, M; Yang, L; Ren, Y</t>
  </si>
  <si>
    <t>Peng, Chao; Chen, Guangxue</t>
  </si>
  <si>
    <t>APPLIED SCIENCES IN GRAPHIC COMMUNICATION AND PACKAGING</t>
  </si>
  <si>
    <t>49th Conference of the International-Circle-of-Educational-Institutes-for-Graphic-Arts-Technology-and-Management / 8th China Academic Conference on Printing and Packaging</t>
  </si>
  <si>
    <t>MAY 14-16, 2017</t>
  </si>
  <si>
    <t>China Acad Printing Technol, Beijing, PEOPLES R CHINA</t>
  </si>
  <si>
    <t>China Acad Printing Technol, Beijing Inst Graph Commun,Int Circle Educ Inst Graph Arts Technol &amp; Management,Printing Technol Assoc China,Beijing Inst Graph Commun, Sch Printing &amp; Packaging Engn,China Acad Printing Technol, Beijing Key Lab New Technol Packaging &amp; Printing,Chinese Soc Imaging Sci &amp; Technol, Printing Technol Profess Comm,Beijing Inst Graph Commun,Tianjin Univ Sci &amp; Technol, Coll Packaging &amp; Printing Engn,S China Univ Technol, Coll Light Ind &amp; Engn,Xian Univ Technol, Fac Printing Packaging Engn &amp; Digital Media Technol,Hangzhou Dianzi Univ, Sch Media &amp; Design,Qilu Univ Technol, Coll Printing &amp; Packaging Engn,Wuhan Univ, Sch Printing &amp; Packaging,Zhengzhou Inst Surveying &amp; Mapping,Harbin Univ Commerce, Light Ind Coll,Dalian Polytechn Univ, Sch Light Ind &amp; Chem Engn,Nanjing Forestry Univ, Coll Light Ind Sci &amp; Engn,Qufu Normal Univ, Coll Engn,Hunan Univ Technol, Sch Packaging &amp; Mat Engn,Zhengzhou Univ, Coll Mat Sci &amp; Engn,Beijing Univ Agr, Food Sci &amp; Engn Coll,Univ Shanghai Sci &amp; Technol, Coll Commun &amp; Art Design,Zhejiang Univ, State Key Lab Modern Opt Instrumentat,Zhejiang Univ Sci &amp; Technol, Sch Biol &amp; Chem Engn,Zhejiang Univ Sci, Sch Light Ind,Shaanxi Univ Sci &amp; Technol, Coll Bioresources Chem &amp; Mat Engn,Beijing Univ Chem Technol, Coll Mat Sci &amp; Engn,Beijing Technol &amp; Business Univ, Sch Food &amp; Chem Engn,Tianjin Univ Commerce, Sch Mech Engn,Henan Univ Engn, Sch Mat &amp; Chem Engn,Jiangnan Univ, Sch Mech Engn,Shanghai Publishing &amp; Printing Coll,Natl Taiwan Univ Arts, Coll Commun, Dept Graph Commun Arts,Shenzhen Polytechn, Sch Media &amp; Commun</t>
  </si>
  <si>
    <t>China Acad Printing Technol</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</si>
  <si>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t>
  </si>
  <si>
    <t>1876-1100</t>
  </si>
  <si>
    <t>1876-1119</t>
  </si>
  <si>
    <t>978-981-10-7629-9; 978-981-10-7628-2</t>
  </si>
  <si>
    <t>WOS:000433976800052</t>
  </si>
  <si>
    <t>Fernandez-Sanz, L.; Misra, Sanjay</t>
  </si>
  <si>
    <t>IET SOFTWARE</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</si>
  <si>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t>
  </si>
  <si>
    <t>Fernandez, Luis/J-4895-2012; Misra, Sanjay/K-2203-2014</t>
  </si>
  <si>
    <t>Fernandez, Luis/0000-0003-0778-0073; Misra, Sanjay/0000-0002-3556-9331</t>
  </si>
  <si>
    <t>1751-8806</t>
  </si>
  <si>
    <t>1751-8814</t>
  </si>
  <si>
    <t>WOS:000305999700002</t>
  </si>
  <si>
    <t>Analysis of Demographical Factors' Influence on Websites' Credibility Evaluation</t>
  </si>
  <si>
    <t>Kurosu, M</t>
  </si>
  <si>
    <t>Rafalak, Maria; Bilski, Piotr; Wierzbicki, Adam</t>
  </si>
  <si>
    <t>HUMAN-COMPUTER INTERACTION: APPLICATIONS AND SERVICES, PT III</t>
  </si>
  <si>
    <t>16th International Conference on Human-Computer Interaction (HCI)</t>
  </si>
  <si>
    <t>JUN 22-27, 2014</t>
  </si>
  <si>
    <t>Heraklion, GREECE</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</si>
  <si>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t>
  </si>
  <si>
    <t>Wierzbicki, Adam/C-7869-2013</t>
  </si>
  <si>
    <t>Wierzbicki, Adam/0000-0003-0075-7030</t>
  </si>
  <si>
    <t>978-3-319-07227-2; 978-3-319-07226-5</t>
  </si>
  <si>
    <t>WOS:000342750300007</t>
  </si>
  <si>
    <t>Won, Misun; Shapiro, Stephen L.</t>
  </si>
  <si>
    <t>SPORT BUSINESS AND MANAGEMENT-AN INTERNATIONAL JOURNAL</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</si>
  <si>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t>
  </si>
  <si>
    <t>Won, Misun/0000-0002-1625-449X; Shapiro, Stephen/0000-0002-9056-7689</t>
  </si>
  <si>
    <t>2042-678X</t>
  </si>
  <si>
    <t>2042-6798</t>
  </si>
  <si>
    <t>OCT 6</t>
  </si>
  <si>
    <t>WOS:000674326200001</t>
  </si>
  <si>
    <t>Hirth, Matthias; Hossfeld, Tobias; Phuoc Tran-Gia</t>
  </si>
  <si>
    <t>MATHEMATICAL AND COMPUTER MODELLING</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</si>
  <si>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 1 Both approaches are evaluated with regard to their detection quality, their costs and their applicability to different types of typical crowdsourcing tasks. (C) 2012 Elsevier Ltd. All rights reserved.</t>
  </si>
  <si>
    <t>Hirth, Matthias/S-6290-2019</t>
  </si>
  <si>
    <t>Hirth, Matthias/0000-0002-1359-363X; Hossfeld, Tobias/0000-0003-0173-595X</t>
  </si>
  <si>
    <t>0895-7177</t>
  </si>
  <si>
    <t>1872-9479</t>
  </si>
  <si>
    <t>11-12</t>
  </si>
  <si>
    <t>WOS:000318915800031</t>
  </si>
  <si>
    <t>Analyzing Human Resource Management Practices Within the GSD Context</t>
  </si>
  <si>
    <t>Colomo-Palacios, Ricardo; Casado-Lumbreras, Cristina; Soto-Acosta, Pedro; Misra, Sanjay; Garcia-Penalvo, Francisco Jose</t>
  </si>
  <si>
    <t>JOURNAL OF GLOBAL INFORMATION TECHNOLOGY MANAGEMENT</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</si>
  <si>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People-CMM within organizations using Global Software Development (GSD) is not an easy task. This paper uses an empirical study to analyze the implementation of the People-CMM within the GSD context. Results confirm that cultural and communication problems are the main challenges in the implementation of the People-CMM adoption within GSD scenarios.</t>
  </si>
  <si>
    <t>Misra, Sanjay/K-2203-2014; Soto-Acosta, Pedro/B-3927-2011; GARCÍA-PEÑALVO, Francisco José/D-5445-2013; Colomo-Palacios, Ricardo/E-5139-2010</t>
  </si>
  <si>
    <t>Misra, Sanjay/0000-0002-3556-9331; Soto-Acosta, Pedro/0000-0003-4308-9781; GARCÍA-PEÑALVO, Francisco José/0000-0001-9987-5584; Colomo-Palacios, Ricardo/0000-0002-1555-9726</t>
  </si>
  <si>
    <t>1097-198X</t>
  </si>
  <si>
    <t>2333-6846</t>
  </si>
  <si>
    <t>WOS:000306543800003</t>
  </si>
  <si>
    <t>Analyzing Stakeholders' Satisfaction When Choosing Suitable Groupware Tools for Requirements Elicitation</t>
  </si>
  <si>
    <t>Carrico, L; Baloian, N; Fonseca, B</t>
  </si>
  <si>
    <t>Aranda, Gabriela N.; Vizcaino, Aurora; Cechich, Alejandra; Piattini, Mario</t>
  </si>
  <si>
    <t>GROUPWARE-DESIGN: IMPLEMENTATION, AND USE, PROCEEDINGS</t>
  </si>
  <si>
    <t>15th International Workshop on Groupware - Design, Implementation, and Use</t>
  </si>
  <si>
    <t>SEP 13-17, 2009</t>
  </si>
  <si>
    <t>Peso da Regua, PORTUGAL</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</si>
  <si>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t>
  </si>
  <si>
    <t>Vizcaíno, Aurora/D-4452-2011; Piattini, Mario/F-6271-2013</t>
  </si>
  <si>
    <t>Vizcaíno, Aurora/0000-0002-2072-5581; Piattini, Mario/0000-0002-7212-8279; Cechich, Alejandra/0000-0003-4804-6270</t>
  </si>
  <si>
    <t>978-3-642-04215-7</t>
  </si>
  <si>
    <t>WOS:000278804300018</t>
  </si>
  <si>
    <t>ANNOTATE: orgANizing uNstructured cOntenTs viA Topic labEls</t>
  </si>
  <si>
    <t>Abe, N; Liu, H; Pu, C; Hu, X; Ahmed, N; Qiao, M; Song, Y; Kossmann, D; Liu, B; Lee, K; Tang, J; He, J; Saltz, J</t>
  </si>
  <si>
    <t>Ajwani, Deepak; Taneva, Bilyana; Dutta, Sourav; Nicholson, Patrick K.; Heyrani-Nobari, Ghasem; Sala, Alessandra</t>
  </si>
  <si>
    <t>2018 IEEE INTERNATIONAL CONFERENCE ON BIG DATA (BIG DATA)</t>
  </si>
  <si>
    <t>IEEE International Conference on Big Data (Big Data)</t>
  </si>
  <si>
    <t>DEC 10-13, 2018</t>
  </si>
  <si>
    <t>Seattle, WA</t>
  </si>
  <si>
    <t>IEEE,IEEE Comp Soc,Expedia Grp,Baidu,Squirrel AI Learning,Ankura,Springer</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</si>
  <si>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 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 We further present real-life case studies of our proposed framework for automatically tagging Quora posts, and topically segmenting, indexing and linking related YouTube videos (using our publicly available Chrome browser extension).</t>
  </si>
  <si>
    <t>2639-1589</t>
  </si>
  <si>
    <t>978-1-5386-5035-6</t>
  </si>
  <si>
    <t>WOS:000468499301096</t>
  </si>
  <si>
    <t>Answering General Time-Sensitive Queries</t>
  </si>
  <si>
    <t>Dakka, Wisam; Gravano, Luis; Ipeirotis, Panagiotis G.</t>
  </si>
  <si>
    <t>IEEE TRANSACTIONS ON KNOWLEDGE AND DATA ENGINEERING</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</si>
  <si>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</si>
  <si>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Ipeirotis, Panagiotis G./A-7148-2008; Ipeirotis, Panos/O-8700-2018; Ipeirotis, Panos/AAB-2041-2020</t>
  </si>
  <si>
    <t xml:space="preserve">Ipeirotis, Panagiotis G./0000-0002-2966-7402; Ipeirotis, Panos/0000-0002-2966-7402; </t>
  </si>
  <si>
    <t>1041-4347</t>
  </si>
  <si>
    <t>1558-2191</t>
  </si>
  <si>
    <t>WOS:000298381000004</t>
  </si>
  <si>
    <t>Ali, Faizan; Terrah, Abraham; Wu, Chengzhong; Ali, Laiba; Wu, Hui</t>
  </si>
  <si>
    <t>JOURNAL OF HOSPITALITY AND TOURISM TECHNOLOGY</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</si>
  <si>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t>
  </si>
  <si>
    <t>Terrah, Abraham/AAN-2503-2021; Ali, Faizan/B-8454-2015</t>
  </si>
  <si>
    <t>Terrah, Abraham/0000-0002-0300-562X; Ali, Faizan/0000-0003-4528-3764</t>
  </si>
  <si>
    <t>1757-9880</t>
  </si>
  <si>
    <t>1757-9899</t>
  </si>
  <si>
    <t>JUL 15</t>
  </si>
  <si>
    <t>FEB 2021</t>
  </si>
  <si>
    <t>WOS:000618391100001</t>
  </si>
  <si>
    <t>Parvez, M. Omar; Arasli, Huseyin; Ozturen, Ali; Lodhi, Rab Nawaz; Ongsakul, Viput</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</si>
  <si>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t>
  </si>
  <si>
    <t>Lodhi, Rab Nawaz/ADN-6542-2022; Öztüren, Ali/AAG-4907-2021</t>
  </si>
  <si>
    <t>Öztüren, Ali/0000-0001-8879-1916; Lodhi, Rab Nawaz/0000-0001-5330-4962</t>
  </si>
  <si>
    <t>APR 21</t>
  </si>
  <si>
    <t>WOS:000749868300001</t>
  </si>
  <si>
    <t>Gilroy, Shawn P.; Feck, Cassie C.</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</si>
  <si>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t>
  </si>
  <si>
    <t>Gilroy, Shawn Patrick/K-3196-2019</t>
  </si>
  <si>
    <t>Gilroy, Shawn Patrick/0000-0002-1097-8366</t>
  </si>
  <si>
    <t>WOS:000742393900001</t>
  </si>
  <si>
    <t>Gilroy, Shawn P.; Picardo, Rochelle</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</si>
  <si>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t>
  </si>
  <si>
    <t>Gilroy, Shawn/0000-0002-1097-8366</t>
  </si>
  <si>
    <t>APR 2022</t>
  </si>
  <si>
    <t>WOS:000781834300001</t>
  </si>
  <si>
    <t>Vizcaino, Aurora; Garcia, Felix; Carlos Villar, Jose; Piattini, Mario; Portillo, Javier</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</si>
  <si>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Conclusion: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(C) 2013 Elsevier B.V. All rights reserved.</t>
  </si>
  <si>
    <t>Piattini, Mario/F-6271-2013; Vizcaíno, Aurora/D-4452-2011; García, Félix O./D-4299-2011</t>
  </si>
  <si>
    <t>Piattini, Mario/0000-0002-7212-8279; Vizcaíno, Aurora/0000-0002-2072-5581; García, Félix O./0000-0001-6460-0353</t>
  </si>
  <si>
    <t>WOS:000320217900004</t>
  </si>
  <si>
    <t>Applying Strategies to Recommend Groupware Tools According to Cognitive Characteristics of a Team</t>
  </si>
  <si>
    <t>Wang, YX; Zhang, D; Kinsner, W</t>
  </si>
  <si>
    <t>ADVANCES IN COGNITIVE INFORMATICS AND COGNITIVE COMPUTING</t>
  </si>
  <si>
    <t>7th IEEE International Conference on Cognitive Informatics (ICCI 2008)</t>
  </si>
  <si>
    <t>AUG 14-16, 2008</t>
  </si>
  <si>
    <t>Stanford Univ, Stanford, CA</t>
  </si>
  <si>
    <t>IEEE Comp Soc,IEEE ICCI Steering Comm,IEEE Canada,IEEE CS Press,Univ Calgary</t>
  </si>
  <si>
    <t>Stanford Univ</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</si>
  <si>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t>
  </si>
  <si>
    <t>Piattini, Mario/F-6271-2013; Vizcaíno, Aurora/D-4452-2011</t>
  </si>
  <si>
    <t>Piattini, Mario/0000-0002-7212-8279; Vizcaíno, Aurora/0000-0002-2072-5581; Cechich, Alejandra/0000-0003-4804-6270</t>
  </si>
  <si>
    <t>1860-949X</t>
  </si>
  <si>
    <t>1860-9503</t>
  </si>
  <si>
    <t>978-3-642-16082-0</t>
  </si>
  <si>
    <t>WOS:000287824900006</t>
  </si>
  <si>
    <t>INTERNATIONAL JOURNAL OF COMPARATIVE LABOUR LAW AND INDUSTRIAL RELATIONS</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</si>
  <si>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(TAMD)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t>
  </si>
  <si>
    <t>0952-617X</t>
  </si>
  <si>
    <t>1875-838X</t>
  </si>
  <si>
    <t>WOS:000562493800002</t>
  </si>
  <si>
    <t>Approach to Detect Non-Adversarial Overlapping Collusion in Crowdsourcing</t>
  </si>
  <si>
    <t>Kamhoua, Georges A.; Pissinou, Niki; Iyengar, S. S.; Beltran, Jonathan; Miller, Jerry; Kamhoua, Charles A.; Njilla, Laurent L.</t>
  </si>
  <si>
    <t>2017 IEEE 36TH INTERNATIONAL PERFORMANCE COMPUTING AND COMMUNICATIONS CONFERENCE (IPCCC)</t>
  </si>
  <si>
    <t>36th IEEE International Performance, Computing, and Communications Conference (IPCCC)</t>
  </si>
  <si>
    <t>DEC 10-12, 2017</t>
  </si>
  <si>
    <t>San Diego, CA</t>
  </si>
  <si>
    <t>IEEE,IEEE Comp Soc Tech Comm Comp Commun,Samsung Austin R &amp; D Ctr</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</si>
  <si>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t>
  </si>
  <si>
    <t>1097-2641</t>
  </si>
  <si>
    <t>978-1-5090-6468-7</t>
  </si>
  <si>
    <t>WOS:000426455800035</t>
  </si>
  <si>
    <t>Appropriated or Inauthentic Care in Gig-Economy Platforms: A Psycho- linguistic Analysis of Uber and Lyft</t>
  </si>
  <si>
    <t>Toombs, Austin; Gray, Colin; Zhou, Guoyang; Light, Ann</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</si>
  <si>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t>
  </si>
  <si>
    <t>Gray, Colin M./H-9304-2019</t>
  </si>
  <si>
    <t>Gray, Colin M./0000-0002-7307-1550; Toombs, Austin/0000-0003-3418-0065</t>
  </si>
  <si>
    <t>LBW532</t>
  </si>
  <si>
    <t>WOS:000671090001147</t>
  </si>
  <si>
    <t>Rocha de Faria, Henrique; Adler, Gary</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</si>
  <si>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t>
  </si>
  <si>
    <t>WOS:000242500600028</t>
  </si>
  <si>
    <t>Ma, Xiao; Kuem, Jungwon; Hou, Jinghui (Jove); Khansa, Lara; Zhu, Zhuo</t>
  </si>
  <si>
    <t>DECISION SCIENCES</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</si>
  <si>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t>
  </si>
  <si>
    <t>Hou, Jinghui (Jove)/0000-0003-0151-230X; KUEM, JUNGWON/0000-0003-4672-0452</t>
  </si>
  <si>
    <t>0011-7315</t>
  </si>
  <si>
    <t>1540-5915</t>
  </si>
  <si>
    <t>WOS:000545466600001</t>
  </si>
  <si>
    <t>Thompson, Andrew J.; Pickett, Justin T.</t>
  </si>
  <si>
    <t>JOURNAL OF QUANTITATIVE CRIMINOLOGY</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</si>
  <si>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t>
  </si>
  <si>
    <t>Thompson, Andrew/0000-0003-2337-1990</t>
  </si>
  <si>
    <t>0748-4518</t>
  </si>
  <si>
    <t>1573-7799</t>
  </si>
  <si>
    <t>NOV 2019</t>
  </si>
  <si>
    <t>WOS:000496242600001</t>
  </si>
  <si>
    <t>Carrillo de Gea, Juan M.; Nicolas, Joaquin; Fernandez-Aleman, Jose L.; Toval, Ambrosio; Idri, Ali</t>
  </si>
  <si>
    <t>SPRINGERPLUS</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</si>
  <si>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t>
  </si>
  <si>
    <t>de Gea, Juan Manuel Carrillo/P-1224-2014; Fernández-Alemán, José Luis/G-1282-2011; Toval, Ambrosio/P-1180-2014</t>
  </si>
  <si>
    <t>de Gea, Juan Manuel Carrillo/0000-0002-3320-622X; Fernández-Alemán, José Luis/0000-0002-0176-450X; Toval, Ambrosio/0000-0002-8273-5937</t>
  </si>
  <si>
    <t>2193-1801</t>
  </si>
  <si>
    <t>WOS:000391839700001</t>
  </si>
  <si>
    <t>Nayyar, Apoorve; Jadi, Jihane; Garimella, Roja; Elkins-Williams, Stephen Tyler; Gallagher, Kristalyn K.; Kalliainen, Loree K.; Hultman, Charles Scott; Wu, Cindy</t>
  </si>
  <si>
    <t>AESTHETIC SURGERY JOURNAL</t>
  </si>
  <si>
    <t>Background: 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t>
  </si>
  <si>
    <t>Kalliainen, Loree K./Y-2608-2018</t>
  </si>
  <si>
    <t>Nayyar, Apoorve/0000-0001-7338-7646</t>
  </si>
  <si>
    <t>1090-820X</t>
  </si>
  <si>
    <t>1527-330X</t>
  </si>
  <si>
    <t>WOS:000491247600024</t>
  </si>
  <si>
    <t>Visalvanich, Neil</t>
  </si>
  <si>
    <t>POLITICAL RESEARCH QUARTERLY</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</si>
  <si>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t>
  </si>
  <si>
    <t>Visalvanich, Neil/0000-0001-7964-1019</t>
  </si>
  <si>
    <t>1065-9129</t>
  </si>
  <si>
    <t>1938-274X</t>
  </si>
  <si>
    <t>WOS:000394649500006</t>
  </si>
  <si>
    <t>Assessing Geographic Relevance for Mobile Search: A Computational Model and Its Validation via Crowdsourcing</t>
  </si>
  <si>
    <t>Reichenbacher, Tumasch; De Sabbata, Stefano; Purves, Ross S.; Fabrikant, Sara I.</t>
  </si>
  <si>
    <t>JOURNAL OF THE ASSOCIATION FOR INFORMATION SCIENCE AND TECHNOLOGY</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</si>
  <si>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t>
  </si>
  <si>
    <t>Fabrikant, Sara/B-9320-2014</t>
  </si>
  <si>
    <t>Fabrikant, Sara/0000-0003-1263-8792; Reichenbacher, Tumasch/0000-0002-7833-185X</t>
  </si>
  <si>
    <t>2330-1635</t>
  </si>
  <si>
    <t>2330-1643</t>
  </si>
  <si>
    <t>WOS:000385777500004</t>
  </si>
  <si>
    <t>Assessing Pictograph Recognition: A Comparison of Crowdsourcing and Traditional Survey Approaches</t>
  </si>
  <si>
    <t>Kuang, Jinqiu; Argo, Lauren; Stoddard, Greg; Bray, Bruce E.; Zeng-Treitler, Qing</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</si>
  <si>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t>
  </si>
  <si>
    <t>Argo, Lauren/0000-0003-4514-2486; Bray, Bruce/0000-0003-3963-2964</t>
  </si>
  <si>
    <t>e281</t>
  </si>
  <si>
    <t>WOS:000366558800002</t>
  </si>
  <si>
    <t>Wettstein, Dominik J.; Boes, Stefan</t>
  </si>
  <si>
    <t>BMC HEALTH SERVICES RESEARCH</t>
  </si>
  <si>
    <t>BackgroundPrice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outcome.MethodsAn online experiment was conducted in two separate runs (n=202, n=404)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benefit).Results56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sellers.ConclusionsThe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t>
  </si>
  <si>
    <t>Wettstein, Dominik/T-5161-2018</t>
  </si>
  <si>
    <t>Wettstein, Dominik/0000-0002-3085-212X</t>
  </si>
  <si>
    <t>1472-6963</t>
  </si>
  <si>
    <t>MAR 16</t>
  </si>
  <si>
    <t>WOS:000629845800003</t>
  </si>
  <si>
    <t>Assessing the Impact of Image Manipulation on Users' Perceptions of Deception</t>
  </si>
  <si>
    <t>Rogowitz, BE; Pappas, TN; DeRidder, H</t>
  </si>
  <si>
    <t>Conotter, Valentina; Duc-Tien Dang-Nguyen; Boato, Giulia; Menendez, Maria; Larson, Martha</t>
  </si>
  <si>
    <t>HUMAN VISION AND ELECTRONIC IMAGING XIX</t>
  </si>
  <si>
    <t>Conference on Human Vision and Electronic Imaging XIX</t>
  </si>
  <si>
    <t>FEB 03-06, 2014</t>
  </si>
  <si>
    <t>San Francisco, CA</t>
  </si>
  <si>
    <t>Soc Imaging Sci &amp; Technol,SPIE,Qualcomm Inc,RIT Sch Media Sci</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</si>
  <si>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 perceptions of deception. Our goal is to gain significant insights about how different types of manipulations impact users'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t>
  </si>
  <si>
    <t>Blanco, Maria Menendez/AAY-3819-2020</t>
  </si>
  <si>
    <t>Blanco, Maria Menendez/0000-0002-7353-5183; Dang Nguyen, Duc Tien/0000-0002-2761-2213</t>
  </si>
  <si>
    <t>0277-786X</t>
  </si>
  <si>
    <t>1996-756X</t>
  </si>
  <si>
    <t>978-0-8194-9931-8</t>
  </si>
  <si>
    <t>90140Y</t>
  </si>
  <si>
    <t>WOS:000334350600026</t>
  </si>
  <si>
    <t>Assessment of Burnout Levels Before and During COVID-19 Pandemic: A Web-Based Survey by the (Italian) Association of Medical Endocrinolo-gists (AME)</t>
  </si>
  <si>
    <t>Loscalzo, Yura; Marucci, Simonetta; Garofalo, Piernicola; Attanasio, Roberto; Lisco, Giuseppe; De Geronimo, Vincenzo; Guastamacchia, Edoardo; Giannini, Marco; Triggiani, Vincenzo</t>
  </si>
  <si>
    <t>ENDOCRINE METABOLIC &amp; IMMUNE DISORDERS-DRUG TARGETS</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</si>
  <si>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t>
  </si>
  <si>
    <t>Lisco, Giuseppe/AAM-2388-2020</t>
  </si>
  <si>
    <t>Lisco, Giuseppe/0000-0001-6521-8578; TRIGGIANI, VINCENZO/0000-0001-6308-0528; Attanasio, Roberto/0000-0002-1417-287X</t>
  </si>
  <si>
    <t>1871-5303</t>
  </si>
  <si>
    <t>2212-3873</t>
  </si>
  <si>
    <t>WOS:000753187300013</t>
  </si>
  <si>
    <t>Pomares, Tiffany D.; Buttenheim, Alison M.; Amin, Avnika B.; Joyce, Caroline M.; Porter, Rachael M.; Bednarczyk, Robert A.; Omer, Saad B.</t>
  </si>
  <si>
    <t>HUMAN VACCINES &amp; IMMUNOTHERAPEUTICS</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</si>
  <si>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t>
  </si>
  <si>
    <t>Porter, Rachael/0000-0002-6632-4038; Amin, Avnika/0000-0003-2212-2546</t>
  </si>
  <si>
    <t>2164-5515</t>
  </si>
  <si>
    <t>2164-554X</t>
  </si>
  <si>
    <t>MAY 3</t>
  </si>
  <si>
    <t>DEC 2019</t>
  </si>
  <si>
    <t>WOS:000503636000001</t>
  </si>
  <si>
    <t>Umucu, Emre; Reyes, Antonio; Nay, Andrew; Elbogen, Eric; Tsai, Jack</t>
  </si>
  <si>
    <t>STRESS AND HEALTH</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</si>
  <si>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t>
  </si>
  <si>
    <t>Umucu, Emre/AAH-9101-2021</t>
  </si>
  <si>
    <t>Umucu, Emre/0000-0002-3945-6975</t>
  </si>
  <si>
    <t>1532-3005</t>
  </si>
  <si>
    <t>1532-2998</t>
  </si>
  <si>
    <t>WOS:000698423000001</t>
  </si>
  <si>
    <t>At Least I'm My Own Boss! Explaining Consent, Coercion and Resistance in Platform Work</t>
  </si>
  <si>
    <t>Purcell, Christina; Brook, Paul</t>
  </si>
  <si>
    <t>WORK EMPLOYMENT AND SOCIETY</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</si>
  <si>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t>
  </si>
  <si>
    <t>Purcell, Christina/0000-0003-3454-8480</t>
  </si>
  <si>
    <t>0950-0170</t>
  </si>
  <si>
    <t>1469-8722</t>
  </si>
  <si>
    <t>WOS:000608767400001</t>
  </si>
  <si>
    <t>Attend to You: Personalized Image Captioning with Context Sequence Memory Networks</t>
  </si>
  <si>
    <t>Park, Cesc Chunseong; Kim, Byeongchang; Kim, Gunhee</t>
  </si>
  <si>
    <t>30TH IEEE CONFERENCE ON COMPUTER VISION AND PATTERN RECOGNITION (CVPR 2017)</t>
  </si>
  <si>
    <t>30th IEEE/CVF Conference on Computer Vision and Pattern Recognition (CVPR)</t>
  </si>
  <si>
    <t>JUL 21-26, 2017</t>
  </si>
  <si>
    <t>Honolulu, HI</t>
  </si>
  <si>
    <t>IEEE,IEEE Comp Soc,CVF</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</si>
  <si>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 M posts from 6.3 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t>
  </si>
  <si>
    <t>1063-6919</t>
  </si>
  <si>
    <t>978-1-5386-0457-1</t>
  </si>
  <si>
    <t>WOS:000418371406056</t>
  </si>
  <si>
    <t>Attenuation of Deviant Sexual Fantasy across the Lifespan in US Adult Males</t>
  </si>
  <si>
    <t>Harvey, Tiffany A.; Jeglic, Elizabeth L.</t>
  </si>
  <si>
    <t>PSYCHIATRY PSYCHOLOGY AND LAW</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</si>
  <si>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(TM).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t>
  </si>
  <si>
    <t>Jeglic, Elizabeth/0000-0002-4870-2269; Harvey, Tiffany/0000-0002-5194-2896</t>
  </si>
  <si>
    <t>1321-8719</t>
  </si>
  <si>
    <t>1934-1687</t>
  </si>
  <si>
    <t>MAR 3</t>
  </si>
  <si>
    <t>WOS:000513795000001</t>
  </si>
  <si>
    <t>Grubb, Caitlyn J.; Bergeria, Cecilia L.; Huhn, Andrew S.; Dunn, Kelly E.</t>
  </si>
  <si>
    <t>FRONTIERS IN PSYCHIATRY</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</si>
  <si>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respondents.Results: Ratings for acceptability and priority for persons who had a SUD were generally lower than ratings for other conditions for both organ for transplant and resuscitation, though respondents reported less stigma toward resuscitation, F-(8) = 22.35, p &lt;0.001 overall. Respondents were least supportive of persons who smoked cigarettes receiving an organ, p's &lt; 0.001. Priority rankings favored persons who were young or had a history of heart disease. Multivariable models determined that target health condition, F-(8) = 33.64, p &lt; 0.001, was a better and more consistent predictor of response than demographic variables that were examined.Conclusions: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t>
  </si>
  <si>
    <t>Grubb, Caitlyn/0000-0002-8518-3410; Huhn, Andrew/0000-0002-8073-7701</t>
  </si>
  <si>
    <t>1664-0640</t>
  </si>
  <si>
    <t>NOV 12</t>
  </si>
  <si>
    <t>WOS:000741389200001</t>
  </si>
  <si>
    <t>Shin, Hyungsik; Paek, Jeongyeup</t>
  </si>
  <si>
    <t>MOBILE INFORMATION SYSTEMS</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</si>
  <si>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t>
  </si>
  <si>
    <t>Paek, Jeongyeup/T-4780-2018</t>
  </si>
  <si>
    <t>Paek, Jeongyeup/0000-0001-5177-4936</t>
  </si>
  <si>
    <t>1574-017X</t>
  </si>
  <si>
    <t>1875-905X</t>
  </si>
  <si>
    <t>WOS:000432012900001</t>
  </si>
  <si>
    <t>Awkward Annie: Game-Based Assessment of English Pragmatic Skills</t>
  </si>
  <si>
    <t>Cheok, AD; Inami, M; Romao, T</t>
  </si>
  <si>
    <t>Jackson, G. Tanner; Grace, Lindsay; Inglese, Patricia; Wain, Jennifer; Hone, Robert</t>
  </si>
  <si>
    <t>ADVANCES IN COMPUTER ENTERTAINMENT TECHNOLOGY, ACE 2017</t>
  </si>
  <si>
    <t>14th International Conference on Advances in Computer Entertainment Technology (ACE)</t>
  </si>
  <si>
    <t>DEC 14-16, 2017</t>
  </si>
  <si>
    <t>London, ENGLAND</t>
  </si>
  <si>
    <t>Multimodal Technologies &amp; Interact Journal</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</si>
  <si>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t>
  </si>
  <si>
    <t>Markovska, Antonina/B-4072-2019</t>
  </si>
  <si>
    <t>Markovska, Antonina/0000-0003-1598-7517; Grace, Lindsay/0000-0002-0417-453X</t>
  </si>
  <si>
    <t>978-3-319-76270-8; 978-3-319-76269-2</t>
  </si>
  <si>
    <t>WOS:000432607700054</t>
  </si>
  <si>
    <t>Marutschke, Daniel Moritz; Kryssanov, Victor V.; Brockmann, Patricia</t>
  </si>
  <si>
    <t>IEICE TRANSACTIONS ON INFORMATION AND SYSTEMS</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</si>
  <si>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t>
  </si>
  <si>
    <t>1745-1361</t>
  </si>
  <si>
    <t>E105D</t>
  </si>
  <si>
    <t>WOS:000748955500002</t>
  </si>
  <si>
    <t>Grover, Sachin; Pulice, Chiara; Simari, Gerardo, I; Subrahmanian, V. S.</t>
  </si>
  <si>
    <t>IEEE TRANSACTIONS ON COMPUTATIONAL SOCIAL SYSTEMS</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</si>
  <si>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measures-with statistically significant effects shown for several parameter variations-and subjective evaluations based on a survey completed by 100 anonymous participants recruited via Amazon Mechanical Turk.</t>
  </si>
  <si>
    <t>Simari, Gerardo I./AAQ-3113-2020; Subrahmanian, Venkatramanan/ABA-7399-2021</t>
  </si>
  <si>
    <t>Simari, Gerardo I./0000-0003-3185-4992; Grover, Sachin/0000-0002-9938-6833</t>
  </si>
  <si>
    <t>2329-924X</t>
  </si>
  <si>
    <t>WOS:000463475000015</t>
  </si>
  <si>
    <t>Cabibihan, JJ; Mastrogiovanni, F; Pandey, AK; Rossi, S; Staffa, M</t>
  </si>
  <si>
    <t>Gong, Ze; Zhang, Yu</t>
  </si>
  <si>
    <t>2018 27TH IEEE INTERNATIONAL SYMPOSIUM ON ROBOT AND HUMAN INTERACTIVE COMMUNICATION (IEEE RO-MAN 2018)</t>
  </si>
  <si>
    <t>27th IEEE International Symposium on Robot and Human Interactive Communication (IEEE RO-MAN)</t>
  </si>
  <si>
    <t>AUG 27-31, 2018</t>
  </si>
  <si>
    <t>Nanjing, PEOPLES R CHINA</t>
  </si>
  <si>
    <t>IEEE,IEEE Robot &amp; Automat Soc,Robot Soc Japan,Korea Robot Soc,Nanjing Forestry Univ</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</si>
  <si>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t>
  </si>
  <si>
    <t>1944-9445</t>
  </si>
  <si>
    <t>978-1-5386-7980-7</t>
  </si>
  <si>
    <t>WOS:000494315600158</t>
  </si>
  <si>
    <t>Beyond Distributive Fairness in Algorithmic Decision Making: Feature Selection for Procedurally Fair Learning</t>
  </si>
  <si>
    <t>Grgic-Hlaca, Nina; Zafar, Muhammad Bilal; Gummadi, Krishna P.; Weller, Adrian</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</si>
  <si>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</si>
  <si>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WOS:000485488900007</t>
  </si>
  <si>
    <t>Sun, Ye; Lee, Tae Kyoung; Qian, Sijia</t>
  </si>
  <si>
    <t>JOURNAL OF HEALTH COMMUNICATION</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</si>
  <si>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t>
  </si>
  <si>
    <t>1081-0730</t>
  </si>
  <si>
    <t>1087-0415</t>
  </si>
  <si>
    <t>JUN 3</t>
  </si>
  <si>
    <t>WOS:000478662400001</t>
  </si>
  <si>
    <t>Bias in Online Freelance Marketplaces: Evidence from TaskRabbit and Fiverr</t>
  </si>
  <si>
    <t>Hannak, Aniko; Wagner, Claudia; Garcia, David; Mislove, Alan; Strohmaier, Markus; Wilson, Christo</t>
  </si>
  <si>
    <t>CSCW'17: PROCEEDINGS OF THE 2017 ACM CONFERENCE ON COMPUTER SUPPORTED COOPERATIVE WORK AND SOCIAL COMPUTING</t>
  </si>
  <si>
    <t>ACM Conference on Computer Supported Cooperative Work and Social Computing (CSCW)</t>
  </si>
  <si>
    <t>FEB 25-MAR 01, 2017</t>
  </si>
  <si>
    <t>Portland, OR</t>
  </si>
  <si>
    <t>Assoc Comp Machinery,ACM SIGCHI,Facebook,IBM Res,Microsoft Res,HP,Mozilla</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</si>
  <si>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 TaskRabbit and Fiverr 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</si>
  <si>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Wilson, Christo/AAV-9530-2020; Garcia, David/A-2113-2014</t>
  </si>
  <si>
    <t>Garcia, David/0000-0002-2820-9151</t>
  </si>
  <si>
    <t>978-1-4503-4335-0</t>
  </si>
  <si>
    <t>WOS:000455087800140</t>
  </si>
  <si>
    <t>Batmunkh, Altanshagai; Fekete-Farkas, Maria; Lakner, Zoltan</t>
  </si>
  <si>
    <t>ADMINISTRATIVE SCIENCES</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</si>
  <si>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t>
  </si>
  <si>
    <t>Fekete-Farkas, Maria/ABI-4516-2020</t>
  </si>
  <si>
    <t>Fekete-Farkas, Maria/0000-0002-6058-009X</t>
  </si>
  <si>
    <t>2076-3387</t>
  </si>
  <si>
    <t>WOS:000815989500001</t>
  </si>
  <si>
    <t>Kelly, Jason D.; Petersen, Ashley; Lendvay, Thomas S.; Kowalewski, Timothy M.</t>
  </si>
  <si>
    <t>INTERNATIONAL JOURNAL OF COMPUTER ASSISTED RADIOLOGY AND SURGERY</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</si>
  <si>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t>
  </si>
  <si>
    <t>1861-6410</t>
  </si>
  <si>
    <t>1861-6429</t>
  </si>
  <si>
    <t>SEP 2020</t>
  </si>
  <si>
    <t>WOS:000574055900001</t>
  </si>
  <si>
    <t>Block-based versus Flow-based Programming for Naive Programmers</t>
  </si>
  <si>
    <t>Turbak, F; Gray, J; Kelleher, C; Sherman, M</t>
  </si>
  <si>
    <t>Mason, Dave; Dave, Kruti</t>
  </si>
  <si>
    <t>2017 IEEE BLOCKS AND BEYOND WORKSHOP (B&amp;B)</t>
  </si>
  <si>
    <t>IEEE Blocks and Beyond Workshop (B&amp;B)</t>
  </si>
  <si>
    <t>OCT 09-10, 2017</t>
  </si>
  <si>
    <t>Raleigh, NC</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</si>
  <si>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t>
  </si>
  <si>
    <t>978-1-5386-2480-7</t>
  </si>
  <si>
    <t>WOS:000425946800005</t>
  </si>
  <si>
    <t>Hooper, Rachel C.; Hsu, Jessica; Duncan, Anthony; Bensenhaver, Jessica M.; Newman, Lisa A.; Kidwell, Kelly M.; Chung, Kevin C.; Momoh, Adeyiza O.</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</si>
  <si>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t>
  </si>
  <si>
    <t>Chung, Kevin/0000-0002-2822-3164</t>
  </si>
  <si>
    <t>936E</t>
  </si>
  <si>
    <t>945E</t>
  </si>
  <si>
    <t>WOS:000466117600004</t>
  </si>
  <si>
    <t>Barolli, L; Yim, K; Enokido, T</t>
  </si>
  <si>
    <t>Adhiatma, Ardian; Hasanah, Umi Kuswatun</t>
  </si>
  <si>
    <t>COMPLEX, INTELLIGENT AND SOFTWARE INTENSIVE SYSTEMS, CISIS-2021</t>
  </si>
  <si>
    <t>15th International Conference on Complex, Intelligent and Software Intensive Systems (CISIS)</t>
  </si>
  <si>
    <t>JUL 01-03, 2021</t>
  </si>
  <si>
    <t>Soon Chun Hyang Univ, ELECTR NETWORK</t>
  </si>
  <si>
    <t>Soon Chun Hyang Univ</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</si>
  <si>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t>
  </si>
  <si>
    <t>2367-3370</t>
  </si>
  <si>
    <t>2367-3389</t>
  </si>
  <si>
    <t>978-3-030-79725-6; 978-3-030-79724-9</t>
  </si>
  <si>
    <t>WOS:000709101300026</t>
  </si>
  <si>
    <t>Bullying, Masculinity, and Gun-Supportive Attitudes Among Men: A Path Analysis Testing the Structural Relationships Between Variables</t>
  </si>
  <si>
    <t>Ray, Travis N.; Parkhill, Michele R.; Cook, Rollin D.</t>
  </si>
  <si>
    <t>PSYCHOLOGY OF VIOLENCE</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</si>
  <si>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t>
  </si>
  <si>
    <t>Ray, Travis/AAK-7684-2020</t>
  </si>
  <si>
    <t>Ray, Travis/0000-0002-3703-5691</t>
  </si>
  <si>
    <t>2152-0828</t>
  </si>
  <si>
    <t>2152-081X</t>
  </si>
  <si>
    <t>WOS:000717410500006</t>
  </si>
  <si>
    <t>Garcia, Ivan; Pacheco, Carla; Leon, Andres; Calvo-Manzano, J. A.</t>
  </si>
  <si>
    <t>COMPUTER APPLICATIONS IN ENGINEERING EDUCATION</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</si>
  <si>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t>
  </si>
  <si>
    <t>Calvo-Manzano, Jose A./K-9426-2013</t>
  </si>
  <si>
    <t>Calvo-Manzano, Jose A./0000-0002-2864-2203; Pacheco, Carla Leninca/0000-0003-0925-6048; Garcia, Ivan/0000-0002-7594-6410</t>
  </si>
  <si>
    <t>1061-3773</t>
  </si>
  <si>
    <t>1099-0542</t>
  </si>
  <si>
    <t>DEC 2021</t>
  </si>
  <si>
    <t>WOS:000729482000001</t>
  </si>
  <si>
    <t>CAG: Compliance Adherence and Governance in Software Delivery using Blockchain</t>
  </si>
  <si>
    <t>Singi, Kapil; Kaulgud, Vikrant; Bose, R. P. Jagadeesh Chandra; Podder, Sanjay</t>
  </si>
  <si>
    <t>2019 IEEE/ACM 2ND INTERNATIONAL WORKSHOP ON EMERGING TRENDS IN SOFTWARE ENGINEERING FOR BLOCKCHAIN (WETSEB 2019)</t>
  </si>
  <si>
    <t>IEEE/ACM 2nd International Workshop on Emerging Trends in Software Engineering for Blockchain (WETSEB)</t>
  </si>
  <si>
    <t>MAY 27, 2019</t>
  </si>
  <si>
    <t>IEEE,Assoc Comp Machinery,IEEE Comp Soc</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</si>
  <si>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</si>
  <si>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978-1-7281-2257-1</t>
  </si>
  <si>
    <t>WOS:000505681100005</t>
  </si>
  <si>
    <t>CALIBRATION OF A MULTIPLE STEREO AND RGB-D CAMERA SYSTEM FOR 3D HUMAN TRACKING</t>
  </si>
  <si>
    <t>Colomina, I; Prat, M</t>
  </si>
  <si>
    <t>Amplianitis, Konstantinos; Adduci, Michele; Reulke, Ralf</t>
  </si>
  <si>
    <t>EUROPEAN CALIBRATION AND ORIENTATION WORKSHOP (EUROCOW 2014)</t>
  </si>
  <si>
    <t>European Calibration and Orientation Workshop (EuroCOW)</t>
  </si>
  <si>
    <t>FEB 12-14, 2014</t>
  </si>
  <si>
    <t>Castelldefels, SPAIN</t>
  </si>
  <si>
    <t>Int Soc Photogrammetry &amp; Remote Sensing</t>
  </si>
  <si>
    <t>2194-9034</t>
  </si>
  <si>
    <t>WOS:000358292500002</t>
  </si>
  <si>
    <t>Can nonexperts really emulate statistical learning methods? A comment on The accuracy, fairness, and limits of predicting recidivism</t>
  </si>
  <si>
    <t>Bansak, Kirk</t>
  </si>
  <si>
    <t>POLITICAL ANALYSIS</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</si>
  <si>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t>
  </si>
  <si>
    <t>1047-1987</t>
  </si>
  <si>
    <t>1476-4989</t>
  </si>
  <si>
    <t>WOS:000475687800007</t>
  </si>
  <si>
    <t>Agrawal, Abhishek; Premachandran, Vittal; Somavarapu, Rajesh; Kakarala, Ramakrishna</t>
  </si>
  <si>
    <t>HUMAN VISION AND ELECTRONIC IMAGING XVIII</t>
  </si>
  <si>
    <t>Conference on Human Vision and Electronic Imaging XVIII</t>
  </si>
  <si>
    <t>FEB 04-07, 2013</t>
  </si>
  <si>
    <t>Burlingame, CA</t>
  </si>
  <si>
    <t>Soc Imaging Sci &amp; Technol (IS&amp;T),SPIE,Qualcomm Inc,Datacolor,Dolby Labs, Inc</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</si>
  <si>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t>
  </si>
  <si>
    <t>978-0-8194-9424-5</t>
  </si>
  <si>
    <t>86510X</t>
  </si>
  <si>
    <t>WOS:000321825100028</t>
  </si>
  <si>
    <t>Spezzano, F; Chen, W; Xiao, X</t>
  </si>
  <si>
    <t>Sarkar, Soumajyoti; Shakarian, Paulo; Armenta, Mika; Sanchez, Danielle; Lakkaraju, Kiran</t>
  </si>
  <si>
    <t>PROCEEDINGS OF THE 2019 IEEE/ACM INTERNATIONAL CONFERENCE ON ADVANCES IN SOCIAL NETWORKS ANALYSIS AND MINING (ASONAM 2019)</t>
  </si>
  <si>
    <t>IEEE/ACM International Conference on Advances in Social Networks Analysis and Mining (ASONAM)</t>
  </si>
  <si>
    <t>AUG 27-30, 2019</t>
  </si>
  <si>
    <t>Vancouver, CANADA</t>
  </si>
  <si>
    <t>IEEE,Assoc Comp Machinery,IEEE Comp Soc,ACM SIGKDD,IEEE TCDE,Springer,Elsevier</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</si>
  <si>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t>
  </si>
  <si>
    <t>978-1-4503-6868-1</t>
  </si>
  <si>
    <t>WOS:000555683800101</t>
  </si>
  <si>
    <t>Can we trust online crowdworkers? Comparing online and offline participants in a preference test of virtual agents</t>
  </si>
  <si>
    <t>Jonell, Patrik; Kucherenko, Taras; Torre, Ilaria; Beskow, Jonas</t>
  </si>
  <si>
    <t>PROCEEDINGS OF THE 20TH ACM INTERNATIONAL CONFERENCE ON INTELLIGENT VIRTUAL AGENTS (ACM IVA 2020)</t>
  </si>
  <si>
    <t>20th ACM International Conference on Intelligent Virtual Agents (ACM IVA)</t>
  </si>
  <si>
    <t>OCT 20-22, 2020</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</si>
  <si>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 s in-lab, Prolific, and AMT s 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t>
  </si>
  <si>
    <t>Kucherenko, Taras/0000-0001-9838-8848</t>
  </si>
  <si>
    <t>978-1-4503-7586-3</t>
  </si>
  <si>
    <t>WOS:000728153600002</t>
  </si>
  <si>
    <t>Schnur, Julie B.; Dillon, Matthew J.; Goldsmith, Rachel E.; Montgomery, Guy H.</t>
  </si>
  <si>
    <t>PALLIATIVE &amp; SUPPORTIVE CARE</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</si>
  <si>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 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 Results: We identified two primary themes describing CSA survivors' experiences: Theme 1: treatment-related triggers (key subthemes: procedure-related, provider-related, and emotional triggers); and Theme 2: questioning the meaning of cumulative trauma (e.g., Why me again?). 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t>
  </si>
  <si>
    <t>1478-9515</t>
  </si>
  <si>
    <t>1478-9523</t>
  </si>
  <si>
    <t>WOS:000454774900019</t>
  </si>
  <si>
    <t>Porter, Rachael M.; Amin, Avnika B.; Bednarczyk, Robert A.; Omer, Saad B.</t>
  </si>
  <si>
    <t>VACCINE</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</si>
  <si>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 2018 Elsevier Ltd. All rights reserved.</t>
  </si>
  <si>
    <t>Bednarczyk, Robert/L-9403-2017</t>
  </si>
  <si>
    <t>Bednarczyk, Robert/0000-0002-6812-0928; Amin, Avnika/0000-0003-2212-2546</t>
  </si>
  <si>
    <t>0264-410X</t>
  </si>
  <si>
    <t>1873-2518</t>
  </si>
  <si>
    <t>APR 25</t>
  </si>
  <si>
    <t>WOS:000430893600015</t>
  </si>
  <si>
    <t>CARING FOR SHARING? THE COLLABORATIVE ECONOMY UNDER EU LAW</t>
  </si>
  <si>
    <t>Hatzopoulos, Vassilis; Roma, Sofia</t>
  </si>
  <si>
    <t>COMMON MARKET LAW REVIEW</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</si>
  <si>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 we examine the way the various EU rules may apply to those participating in the collaborative economy, i.e. the platforms, prosumers and consumers. We conclude by addressing the way regulation could or should evolve in this area.</t>
  </si>
  <si>
    <t>0165-0750</t>
  </si>
  <si>
    <t>1875-8320</t>
  </si>
  <si>
    <t>WOS:000394723800004</t>
  </si>
  <si>
    <t>Stockham, Nathaniel; Washington, Peter; Chrisman, Brianna; Paskov, Kelley; Jung, Jae-Yoon; Wall, Dennis Paul</t>
  </si>
  <si>
    <t>JMIR PUBLIC HEALTH AND SURVEILLANCE</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</si>
  <si>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t>
  </si>
  <si>
    <t>Paskov, Kelley/0000-0002-5252-1401; washington, peter/0000-0003-3276-4411; Chrisman, Brianna/0000-0002-7157-607X; Wall, Dennis/0000-0002-7889-9146; Stockham, Nathaniel/0000-0002-0752-6801</t>
  </si>
  <si>
    <t>2369-2960</t>
  </si>
  <si>
    <t>e31306</t>
  </si>
  <si>
    <t>WOS:000839330700010</t>
  </si>
  <si>
    <t>McDowell, DQ; Steele, LC</t>
  </si>
  <si>
    <t>Beretta, GB; Eschbach, R</t>
  </si>
  <si>
    <t>COLOR IMAGING: DEVICE-INDEPENDENT COLOR, COLOR HARDCOPY, AND GRAPHIC ARTS III</t>
  </si>
  <si>
    <t>Conference on Color Imaging - Device-Independent Color, Color Hardcopy, and Graphic Arts III</t>
  </si>
  <si>
    <t>JAN 28-30, 1998</t>
  </si>
  <si>
    <t>SAN JOSE, CA</t>
  </si>
  <si>
    <t>Soc Photo Opt Instrumentat Engineers,Soc Imaging Sci &amp; Technol</t>
  </si>
  <si>
    <t>Color management in the graphic arts industry requires control of the printing conditions and knowledge of the intended output color characteristics. As the industry continues its accelerated move toward complete digital work now,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format-that results in characterization data for specific reference printing processes. This paper provide a summary of the protocol that has evolved from the continued standards development within the CGATS SC4 Process Control Subcommittee.</t>
  </si>
  <si>
    <t>0-8194-2740-3</t>
  </si>
  <si>
    <t>WOS:000071842100032</t>
  </si>
  <si>
    <t>Characterizing the Sharing Economy State of the Research: A Systematic Map</t>
  </si>
  <si>
    <t>Laurenti, Rafael; Singh, Jagdeep; Cotrim, Joao Miguel; Toni, Martina; Sinha, Rajib</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</si>
  <si>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t>
  </si>
  <si>
    <t>Singh, Jagdeep/C-4913-2018; Cotrim, João Miguel O/L-5073-2016; Sinha, Rajib/O-3874-2018; Laurenti, Rafael/P-4171-2017</t>
  </si>
  <si>
    <t>Singh, Jagdeep/0000-0002-9215-0166; Cotrim, João Miguel O/0000-0003-3321-5713; Sinha, Rajib/0000-0002-2459-0311; Laurenti, Rafael/0000-0002-7717-600X; TONI, Martina/0000-0002-2179-3519</t>
  </si>
  <si>
    <t>OCT 2</t>
  </si>
  <si>
    <t>WOS:000498398900186</t>
  </si>
  <si>
    <t>Liang, Yin; Aroles, Jeremy; Brandl, Bernd</t>
  </si>
  <si>
    <t>NEW TECHNOLOGY WORK AND EMPLOYMENT</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</si>
  <si>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t>
  </si>
  <si>
    <t>Aroles, Jeremy/0000-0003-3328-214X; Liang, Yin/0000-0001-6399-1399</t>
  </si>
  <si>
    <t>0268-1072</t>
  </si>
  <si>
    <t>1468-005X</t>
  </si>
  <si>
    <t>FEB 2022</t>
  </si>
  <si>
    <t>WOS:000759545600001</t>
  </si>
  <si>
    <t>Huang, Yu-Chieh; Tremouilhac, Pierre; Nguyen, An; Jung, Nicole; Braese, Stefan</t>
  </si>
  <si>
    <t>JOURNAL OF CHEMINFORMATICS</t>
  </si>
  <si>
    <t>ChemSpectra, a web-based software to visualize and analyze spectroscopic data, integrating solutions for infrared spectroscopy (IR), mass spectrometry (MS), and one-dimensional H-1 and C-13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t>
  </si>
  <si>
    <t>Bräse, Stefan/B-9057-2008</t>
  </si>
  <si>
    <t>Bräse, Stefan/0000-0003-4845-3191; Jung, Nicole/0000-0001-9513-2468</t>
  </si>
  <si>
    <t>1758-2946</t>
  </si>
  <si>
    <t>FEB 10</t>
  </si>
  <si>
    <t>WOS:000617122300001</t>
  </si>
  <si>
    <t>Citizen Science Land Cover Classification Based on Ground and Aerial Imagery</t>
  </si>
  <si>
    <t>Fabrikant, SI; Raubal, M; Bertolotto, M; Davies, C; Freundschuh, S; Bell, S</t>
  </si>
  <si>
    <t>Sparks, Kevin; Klippel, Alexander; Wallgrun, Jan Oliver; Mark, David</t>
  </si>
  <si>
    <t>SPATIAL INFORMATION THEORY, COSIT 2015</t>
  </si>
  <si>
    <t>12th International Conference on Spatial Information Theory (COSIT)</t>
  </si>
  <si>
    <t>OCT 12-16, 2015</t>
  </si>
  <si>
    <t>Santa Fe, NM</t>
  </si>
  <si>
    <t>Univ Saskatchewan, Social Sci Res Labs,Univ New Mexico, Dept Psychol,Univ New Mexico, Off Res,Univ New Mexico, Coll Arts &amp; Sci</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</si>
  <si>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t>
  </si>
  <si>
    <t>Sparks, Kevin/0000-0002-0340-8090; KLIPPEL, ALEXANDER/0000-0002-7171-492X</t>
  </si>
  <si>
    <t>978-3-319-23374-1; 978-3-319-23373-4</t>
  </si>
  <si>
    <t>WOS:000374470900014</t>
  </si>
  <si>
    <t>Class, Cotton, and Woddaries': A Scandinavian railway contractor in Western India, 1860-69</t>
  </si>
  <si>
    <t>Bubb, Alexander</t>
  </si>
  <si>
    <t>MODERN ASIAN STUDIES</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</si>
  <si>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t>
  </si>
  <si>
    <t>Bubb, Alexander/0000-0002-4345-2774</t>
  </si>
  <si>
    <t>0026-749X</t>
  </si>
  <si>
    <t>1469-8099</t>
  </si>
  <si>
    <t>WOS:000413173200006</t>
  </si>
  <si>
    <t>Ellis, Jennifer D.; Mayo, Jami L.; Finan, Patrick H.; Gamaldo, Charlene E.; Huhn, Andrew S.</t>
  </si>
  <si>
    <t>AMERICAN JOURNAL ON ADDICTIONS</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</si>
  <si>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chi(2)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t>
  </si>
  <si>
    <t>Huhn, Andrew/0000-0002-8073-7701; Ellis, Jennifer/0000-0002-8156-6772</t>
  </si>
  <si>
    <t>1055-0496</t>
  </si>
  <si>
    <t>1521-0391</t>
  </si>
  <si>
    <t>AUG 2021</t>
  </si>
  <si>
    <t>WOS:000690756800001</t>
  </si>
  <si>
    <t>Clinical Perfectionism, Dissatisfaction With Standards, and Raising the Bar: Validation of the Response to Goal Achievement Scale</t>
  </si>
  <si>
    <t>Krause, Kirstyn L.; Stewart, Kathleen E.; Cassin, Stephanie E.; Antony, Martin M.</t>
  </si>
  <si>
    <t>JOURNAL OF COGNITIVE PSYCHOTHERAPY</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</si>
  <si>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t>
  </si>
  <si>
    <t>0889-8391</t>
  </si>
  <si>
    <t>1938-887X</t>
  </si>
  <si>
    <t>WOS:000449666100002</t>
  </si>
  <si>
    <t>CLOTHO: AN AUDIO CAPTIONING DATASET</t>
  </si>
  <si>
    <t>Drossos, Konstantinos; Lipping, Samuel; Virtanen, Tuomas</t>
  </si>
  <si>
    <t>2020 IEEE INTERNATIONAL CONFERENCE ON ACOUSTICS, SPEECH, AND SIGNAL PROCESSING</t>
  </si>
  <si>
    <t>IEEE International Conference on Acoustics, Speech, and Signal Processing</t>
  </si>
  <si>
    <t>MAY 04-08, 2020</t>
  </si>
  <si>
    <t>Barcelona, SPAIN</t>
  </si>
  <si>
    <t>Inst Elect &amp; Elect Engineers,Inst Elect &amp; Elect Engineers, Signal Proc Soc</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</si>
  <si>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online(1).</t>
  </si>
  <si>
    <t>Drosos, Konstantinos/0000-0002-3605-7127</t>
  </si>
  <si>
    <t>1520-6149</t>
  </si>
  <si>
    <t>978-1-5090-6631-5</t>
  </si>
  <si>
    <t>WOS:000615970400147</t>
  </si>
  <si>
    <t>cloud-ATAM: Method for Analysing Resilient Attributes of Cloud-Based Architectures</t>
  </si>
  <si>
    <t>Crnkovic, I; Troubitsyna, E</t>
  </si>
  <si>
    <t>Adjepon-Yamoah, David Ebo</t>
  </si>
  <si>
    <t>SOFTWARE ENGINEERING FOR RESILIENT SYSTEMS, (SERENE 2016)</t>
  </si>
  <si>
    <t>8th International Workshop on Software Engineering for Resilient Systems (SERENE)</t>
  </si>
  <si>
    <t>SEP 05-06, 2016</t>
  </si>
  <si>
    <t>Gothenburg, SWEDEN</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</si>
  <si>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-cloud-ATAM -for evaluating the tradeoff between multiple resilience quality attributes (i. e. availability and performance) of a cloud-based Reactive Architecture for Global Software Development.</t>
  </si>
  <si>
    <t>978-3-319-45892-2; 978-3-319-45891-5</t>
  </si>
  <si>
    <t>WOS:000389031100008</t>
  </si>
  <si>
    <t>Hao, Tianyong; Rusanov, Alexander; Boland, Mary Regina; Weng, Chunhua</t>
  </si>
  <si>
    <t>JOURNAL OF BIOMEDICAL INFORMATICS</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</si>
  <si>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(C) 2014 Elsevier Inc. All rights reserved.</t>
  </si>
  <si>
    <t>Hao, Tianyong/0000-0002-9792-3949</t>
  </si>
  <si>
    <t>1532-0464</t>
  </si>
  <si>
    <t>1532-0480</t>
  </si>
  <si>
    <t>WOS:000347277000013</t>
  </si>
  <si>
    <t>Cognitive Style and Frame Susceptibility in Decision-Making</t>
  </si>
  <si>
    <t>Mandel, David R.; Kapler, Irina V.</t>
  </si>
  <si>
    <t>FRONTIERS IN PSYCHOLOGY</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</si>
  <si>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t>
  </si>
  <si>
    <t>Mandel, David/0000-0003-1036-2286</t>
  </si>
  <si>
    <t>1664-1078</t>
  </si>
  <si>
    <t>AUG 10</t>
  </si>
  <si>
    <t>WOS:000441324700001</t>
  </si>
  <si>
    <t>Collaboration Analysis in Global Software Development</t>
  </si>
  <si>
    <t>Shen, WM; Paredes, H; Luo, J; Barthes, JP</t>
  </si>
  <si>
    <t>Horta, Vitor; Stroele, Victor; Schettino, Vinicius; Oliveira, Jonice; David, Jose Maria; Araujo, Marco Antonio P.</t>
  </si>
  <si>
    <t>PROCEEDINGS OF THE 2019 IEEE 23RD INTERNATIONAL CONFERENCE ON COMPUTER SUPPORTED COOPERATIVE WORK IN DESIGN (CSCWD)</t>
  </si>
  <si>
    <t>IEEE 23rd International Conference on Computer Supported Cooperative Work in Design (CSCWD)</t>
  </si>
  <si>
    <t>MAY 06-08, 2019</t>
  </si>
  <si>
    <t>Porto, PORTUGAL</t>
  </si>
  <si>
    <t>IEEE,Inst Syst &amp; Comp Engn, Technol &amp; Sci,Univ Tras Montes Alto Douro,Int Working Grp Comp Supported Cooperat Work Design,IEEE Syst, Man, &amp; Cybernet Soc</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</si>
  <si>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StackOvertlow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t>
  </si>
  <si>
    <t>Ströele, Victor/O-3156-2015; David, José Maria N./AAY-8694-2020; Oliveira, Jonice/AAR-8798-2021</t>
  </si>
  <si>
    <t>Ströele, Victor/0000-0001-6296-8605; David, José Maria N./0000-0002-3378-015X; Oliveira, Jonice/0000-0002-2495-1463</t>
  </si>
  <si>
    <t>978-1-7281-0350-1</t>
  </si>
  <si>
    <t>WOS:000502581200078</t>
  </si>
  <si>
    <t>Yue, Yang; Ahmed, Iftekhar; Wang, Yi; Redmiles, David</t>
  </si>
  <si>
    <t>2019 ACM/IEEE 14TH INTERNATIONAL CONFERENCE ON GLOBAL SOFTWARE ENGINEERING (ICGSE 2019)</t>
  </si>
  <si>
    <t>14th IEEE/ACM International Conference on Global Software Engineering (ICGSE)</t>
  </si>
  <si>
    <t>MAY 25-26, 2019</t>
  </si>
  <si>
    <t>IEEE,Assoc Comp Machinery,IEEE Comp Soc,ApuliaSoft,Vector,IEEE Tech Council Software Engn,SIGSOFT</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</si>
  <si>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t>
  </si>
  <si>
    <t>Ahmed, Iftekhar/0000-0001-8221-5352</t>
  </si>
  <si>
    <t>978-1-5386-9196-0</t>
  </si>
  <si>
    <t>WOS:000538556600013</t>
  </si>
  <si>
    <t>Lasser, S; Heiss, M</t>
  </si>
  <si>
    <t>2005 IEEE INTERNATIONAL PROFESSIONAL COMMUNICATION CONFERENCE (IPCC)</t>
  </si>
  <si>
    <t>IEEE International Professional Communication Conference (IPCC)</t>
  </si>
  <si>
    <t>JUL 10-13, 2005</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</si>
  <si>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t>
  </si>
  <si>
    <t>0-7803-9027-X</t>
  </si>
  <si>
    <t>WOS:000231928900091</t>
  </si>
  <si>
    <t>Goldman, Michael; Brown, Brandon; Schwarz, Eric C.</t>
  </si>
  <si>
    <t>INTERNATIONAL JOURNAL OF SPORTS MARKETING &amp; SPONSORSHIP</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</si>
  <si>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t>
  </si>
  <si>
    <t>Schwarz, Eric/0000-0002-2035-7723</t>
  </si>
  <si>
    <t>1464-6668</t>
  </si>
  <si>
    <t>2515-7841</t>
  </si>
  <si>
    <t>JAN 11</t>
  </si>
  <si>
    <t>MAR 2021</t>
  </si>
  <si>
    <t>WOS:000628755400001</t>
  </si>
  <si>
    <t>Chivite Cebolla, Maria Peana; Jorge Vazquez, Javier; Chivite Cebolla, Carmen Ma</t>
  </si>
  <si>
    <t>BUSINESS ETHICS THE ENVIRONMENT &amp; RESPONSIBILITY</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</si>
  <si>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d'etre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t>
  </si>
  <si>
    <t>Cebolla, Mª Peana Chivite/ABF-2559-2020; Jorge-Vázquez, Javier/AAA-2725-2020</t>
  </si>
  <si>
    <t>Cebolla, Mª Peana Chivite/0000-0003-4774-6259; Jorge-Vázquez, Javier/0000-0003-3654-7203; Chivite-Cebolla, Carmen Maria/0000-0002-4943-0525</t>
  </si>
  <si>
    <t>2694-6416</t>
  </si>
  <si>
    <t>2694-6424</t>
  </si>
  <si>
    <t>WOS:000697232400014</t>
  </si>
  <si>
    <t>Collaborative Personalization of Image Enhancement</t>
  </si>
  <si>
    <t>Caicedo, Juan C.; Kapoor, Ashish; Kang, Sing Bing</t>
  </si>
  <si>
    <t>2011 IEEE CONFERENCE ON COMPUTER VISION AND PATTERN RECOGNITION (CVPR)</t>
  </si>
  <si>
    <t>IEEE Conference on Computer Vision and Pattern Recognition (CVPR)</t>
  </si>
  <si>
    <t>JUN 20-25, 2011</t>
  </si>
  <si>
    <t>Colorado Springs, CO</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</si>
  <si>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t>
  </si>
  <si>
    <t>978-1-4577-0393-5</t>
  </si>
  <si>
    <t>WOS:000295615800033</t>
  </si>
  <si>
    <t>Collaborative Solving in a Human Computing Game Using a Market, Skills and Challenges</t>
  </si>
  <si>
    <t>Tremblay-Savard, Olivier; Butyaev, Alexander; Waldispuhl, Jerome</t>
  </si>
  <si>
    <t>CHI PLAY 2016: PROCEEDINGS OF THE 2016 ANNUAL SYMPOSIUM ON COMPUTER-HUMAN INTERACTION IN PLAY</t>
  </si>
  <si>
    <t>3rd ACM SIGCHI Annual Symposium on Computer-Human Interaction in Play (CHI PLAY)</t>
  </si>
  <si>
    <t>OCT 16-19, 2016</t>
  </si>
  <si>
    <t>Austin, TX</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</si>
  <si>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</si>
  <si>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978-1-4503-4456-2</t>
  </si>
  <si>
    <t>WOS:000387871100016</t>
  </si>
  <si>
    <t>Simcox, Travis; Fiez, Julie A.</t>
  </si>
  <si>
    <t>BEHAVIOR RESEARCH METHODS</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</si>
  <si>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t>
  </si>
  <si>
    <t>1554-351X</t>
  </si>
  <si>
    <t>1554-3528</t>
  </si>
  <si>
    <t>WOS:000340226100008</t>
  </si>
  <si>
    <t>Arndt, Aaron D.; Ford, John B.; Babin, Barry J.; Luong, Vinh</t>
  </si>
  <si>
    <t>INTERNATIONAL JOURNAL OF RESEARCH IN MARKETING</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</si>
  <si>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x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(c) 2021 The Authors. Published by Elsevier B.V. This is an open access article under the CC BY-NC-ND license (http://creativecommons.org/licenses/by-nc-nd/4.0/).</t>
  </si>
  <si>
    <t>0167-8116</t>
  </si>
  <si>
    <t>1873-8001</t>
  </si>
  <si>
    <t>WOS:000761467400007</t>
  </si>
  <si>
    <t>Collection of a Large Database of French-English SMT Output Corrections</t>
  </si>
  <si>
    <t>Calzolari, N; Choukri, K; Declerck, T; Dogan, MU; Maegaard, B; Mariani, J; Odijk, J; Piperidis, S</t>
  </si>
  <si>
    <t>Potet, Marion; Esperanca-Rodier, Emmanuelle; Besacier, Laurent; Blanchon, Herve</t>
  </si>
  <si>
    <t>LREC 2012 - EIGHTH INTERNATIONAL CONFERENCE ON LANGUAGE RESOURCES AND EVALUATION</t>
  </si>
  <si>
    <t>8th International Conference on Language Resources and Evaluation (LREC)</t>
  </si>
  <si>
    <t>MAY 21-27, 2012</t>
  </si>
  <si>
    <t>Istanbul, TURKEY</t>
  </si>
  <si>
    <t>Nuance,CELI Language &amp; Informat Technol,European Media Lab GmbH (EML),IMMI,META-Net,Quaero,K-dictionaries</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</si>
  <si>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</si>
  <si>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978-2-9517408-7-7</t>
  </si>
  <si>
    <t>WOS:000323927704021</t>
  </si>
  <si>
    <t>Co-located and distributed natural-language requirements specification: traditional versus reuse-based techniques</t>
  </si>
  <si>
    <t>Carrillo de Gea, Juan M.; Nicolas, Joaquin; Fernandez Aleman, Jose L.; Toval, Ambrosio; Ouhbi, Sofia; Idri, Ali</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</si>
  <si>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(Z=-2.320, p=0.020) and difficulty (Z=-2.124, p=0.034)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(c) 2016 John Wiley &amp; Sons, Ltd.</t>
  </si>
  <si>
    <t>Ouhbi, Sofia/H-3641-2019; Toval, Ambrosio/P-1180-2014; de Gea, Juan Manuel Carrillo/P-1224-2014; Fernández-Alemán, José Luis/G-1282-2011; Aleman, Jose/B-5899-2012; Ros, Joaquín Nicolás/C-6321-2015</t>
  </si>
  <si>
    <t>Ouhbi, Sofia/0000-0001-7614-9731; Toval, Ambrosio/0000-0002-8273-5937; de Gea, Juan Manuel Carrillo/0000-0002-3320-622X; Fernández-Alemán, José Luis/0000-0002-0176-450X; Aleman, Jose/0000-0003-0164-1777; Ros, Joaquín Nicolás/0000-0003-1760-3804</t>
  </si>
  <si>
    <t>WOS:000372921700003</t>
  </si>
  <si>
    <t>'Commodifying institutions': vertical disintegration and institutional change in German labour relations</t>
  </si>
  <si>
    <t>Holst, Hajo</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</si>
  <si>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t>
  </si>
  <si>
    <t>WOS:000330610900001</t>
  </si>
  <si>
    <t>Communication in the Digital Work Environment: Implications for Wellbeing at Work</t>
  </si>
  <si>
    <t>Bordi, Laura; Okkonen, Jussi; Makiniemi, Jaana-Piia; Heikkila-Tammi, Kirsi</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</si>
  <si>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t>
  </si>
  <si>
    <t>Okkonen, Jussi/Q-2501-2019</t>
  </si>
  <si>
    <t>Okkonen, Jussi/0000-0002-7207-045X</t>
  </si>
  <si>
    <t>WOS:000437956700003</t>
  </si>
  <si>
    <t>Ludwig, Stephan; Herhausen, Dennis; Grewal, Dhruv; Bove, Liliana; Benoit, Sabine; de Ruyter, Ko; Urwin, Peter</t>
  </si>
  <si>
    <t>JOURNAL OF MARKETING</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</si>
  <si>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t>
  </si>
  <si>
    <t>Herhausen, Dennis/AAY-2492-2021</t>
  </si>
  <si>
    <t>Herhausen, Dennis/0000-0002-4335-1703; Urwin, Peter/0000-0001-6293-9695; Grewal, Dhruv/0000-0002-7046-6063; Ludwig, Stephan/0000-0001-5894-6294</t>
  </si>
  <si>
    <t>0022-2429</t>
  </si>
  <si>
    <t>1547-7185</t>
  </si>
  <si>
    <t>WOS:000709522500001</t>
  </si>
  <si>
    <t>Moallem, A</t>
  </si>
  <si>
    <t>Polst, Svenja; Kelbert, Patricia; Feth, Denis</t>
  </si>
  <si>
    <t>HCI FOR CYBERSECURITY, PRIVACY AND TRUST</t>
  </si>
  <si>
    <t>1stt International Conference on HCI for Cybersecurity, Privacy and Trust (HCI-CPT) Held as Part of the 21st HCI International Conference</t>
  </si>
  <si>
    <t>JUL 26-31, 2019</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</si>
  <si>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t>
  </si>
  <si>
    <t>978-3-030-22351-9; 978-3-030-22350-2</t>
  </si>
  <si>
    <t>WOS:000657974300029</t>
  </si>
  <si>
    <t>Comparing Amazon's Mechanical Turk Platform to Conventional Data Collection Methods in the Health and Medical Research Literature</t>
  </si>
  <si>
    <t>Mortensen, Karoline; Hughes, Taylor L.</t>
  </si>
  <si>
    <t>JOURNAL OF GENERAL INTERNAL MEDICINE</t>
  </si>
  <si>
    <t>The goal of this article is to conduct an assessment of the peer-reviewed primary literature with study objectives to analyze's Mechanical Turk (MTurk) as a research tool in a health services research and medical context.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The vast majority of the studies supported the use of MTurk for a variety of academic purposes.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t>
  </si>
  <si>
    <t>Hughes, Taylor/0000-0002-5476-2006; Mortensen, Karoline/0000-0002-9549-7288</t>
  </si>
  <si>
    <t>0884-8734</t>
  </si>
  <si>
    <t>1525-1497</t>
  </si>
  <si>
    <t>WOS:000428999600030</t>
  </si>
  <si>
    <t>ComprehENotes, an Instrument to Assess Patient Reading Comprehension of Electronic Health Record Notes: Development and Validation</t>
  </si>
  <si>
    <t>Lalor, John P.; Wu, Hao; Chen, Li; Mazor, Kathleen M.; Yu, Hong</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</si>
  <si>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t>
  </si>
  <si>
    <t>Lalor, John/0000-0003-0848-4786; Wu, Hao/0000-0001-6471-1774</t>
  </si>
  <si>
    <t>e139</t>
  </si>
  <si>
    <t>WOS:000430958800002</t>
  </si>
  <si>
    <t>Calefato, Fabio; Damian, Daniela; Lanubile, Filippo</t>
  </si>
  <si>
    <t>EMPIRICAL SOFTWARE ENGINEERING</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</si>
  <si>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t>
  </si>
  <si>
    <t>Lanubile, Filippo/AAF-9132-2020; Calefato, Fabio/H-4177-2014</t>
  </si>
  <si>
    <t>Lanubile, Filippo/0000-0003-3373-7589; Calefato, Fabio/0000-0003-2654-1588</t>
  </si>
  <si>
    <t>1382-3256</t>
  </si>
  <si>
    <t>1573-7616</t>
  </si>
  <si>
    <t>WOS:000307962100002</t>
  </si>
  <si>
    <t>Concave or convex? The impact of display surface curvature on social appeals' persuasion: the mediating role of self-other overlap</t>
  </si>
  <si>
    <t>Zhang, Yuli; Wang, Chen</t>
  </si>
  <si>
    <t>EUROPEAN JOURNAL OF MARKETING</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</si>
  <si>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t>
  </si>
  <si>
    <t>0309-0566</t>
  </si>
  <si>
    <t>1758-7123</t>
  </si>
  <si>
    <t>APR 26</t>
  </si>
  <si>
    <t>WOS:000776196800001</t>
  </si>
  <si>
    <t>Slote, Joseph; Strand, Julia F.</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</si>
  <si>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t>
  </si>
  <si>
    <t>Strand, Julia/J-5432-2014</t>
  </si>
  <si>
    <t>Strand, Julia/0000-0001-5950-0139</t>
  </si>
  <si>
    <t>WOS:000379772600011</t>
  </si>
  <si>
    <t>Levitt, E. E.; Amlung, M. T.; Gonzalez, A.; Oshri, A.; MacKillop, J.</t>
  </si>
  <si>
    <t>PSYCHOPHARMACOLOGY</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</si>
  <si>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(beta = 0.07, SE = 0.02, 95% CI [0.04, 0.10]), and the MCQ (beta = 0.02 SE = .01, 95% CI [0.01, 0.03]). In the crowdsourced sample, significant indirect effects were observed from ACEs to substance use via UPPS-Negative Urgency (beta = 0.05, SE = .01, 95% CI [0.04, 0.07]), UPPS-Premeditation (beta = 0.04, SE = .01, 95% CI [0.02, 0.05), and the ED50 (beta = 0.02, SE =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t>
  </si>
  <si>
    <t>, James/0000-0002-8695-1071</t>
  </si>
  <si>
    <t>0033-3158</t>
  </si>
  <si>
    <t>1432-2072</t>
  </si>
  <si>
    <t>WOS:000634622800001</t>
  </si>
  <si>
    <t>Construct Validity and Test-Retest Reliability of the Automated Vehicle User Perception Survey</t>
  </si>
  <si>
    <t>Mason, Justin; Classen, Sherrilene; Wersal, James; Sisiopiku, Virginia</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</si>
  <si>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(alpha) and 2-week test-retest reliability was assessed via Spearman's rho (rho)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(alpha = 0.95) and test-retest reliability (rho = 0.76, ICC = 0.95). Similarly, the three Mokken subscales ranged from moderate to strong (range H-scale = 0.47-0.66) and had excellent internal consistency (range alpha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t>
  </si>
  <si>
    <t>Mason, Justin/ABB-9328-2021</t>
  </si>
  <si>
    <t>Mason, Justin/0000-0001-7452-8578</t>
  </si>
  <si>
    <t>JAN 25</t>
  </si>
  <si>
    <t>WOS:000615881900001</t>
  </si>
  <si>
    <t>CONTEMPORARY COMMONS: SHARING AND MANAGING COMMON-POOL RESOURCES IN THE 21ST CENTURY</t>
  </si>
  <si>
    <t>Sestakova, Anna; Plichtova, Jana</t>
  </si>
  <si>
    <t>HUMAN AFFAIRS-POSTDISCIPLINARY HUMANITIES &amp; SOCIAL SCIENCES QUARTERLY</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</si>
  <si>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t>
  </si>
  <si>
    <t>Plichtova, Jana/O-2860-2019</t>
  </si>
  <si>
    <t>Plichtova, Jana/0000-0003-0835-8309</t>
  </si>
  <si>
    <t>1210-3055</t>
  </si>
  <si>
    <t>1337-401X</t>
  </si>
  <si>
    <t>WOS:000458433500007</t>
  </si>
  <si>
    <t>Castro-Hernandez, Alberto</t>
  </si>
  <si>
    <t>2016 IEEE 11TH INTERNATIONAL CONFERENCE ON GLOBAL SOFTWARE ENGINEERING WORKSHOPS (ICGSEW)</t>
  </si>
  <si>
    <t>11th IEEE International Conference on Global Software Engineering (ICGSE)</t>
  </si>
  <si>
    <t>AUG 02-05, 2016</t>
  </si>
  <si>
    <t>Univ California, Irvine, CA</t>
  </si>
  <si>
    <t>IEEE,IEEE Comp Soc,Univ California, Inst Software Res,Collaboration Res Act Design &amp; Learning,SIEMENS,UCI Donald Bren, Sch Informat &amp; Comp Sci,Microsoft</t>
  </si>
  <si>
    <t>Univ California</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</si>
  <si>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t>
  </si>
  <si>
    <t>978-1-5090-3625-7</t>
  </si>
  <si>
    <t>WOS:000392497200012</t>
  </si>
  <si>
    <t>Tang, Ying; Huang, Yun</t>
  </si>
  <si>
    <t>BRITISH JOURNAL OF SOCIAL PSYCHOLOGY</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</si>
  <si>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x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t>
  </si>
  <si>
    <t>Tang, Ying/0000-0002-3793-8401</t>
  </si>
  <si>
    <t>0144-6665</t>
  </si>
  <si>
    <t>2044-8309</t>
  </si>
  <si>
    <t>WOS:000491262900013</t>
  </si>
  <si>
    <t>Continuing the precedent: Financially disadvantaging young people in unprecedented COVID-19 times</t>
  </si>
  <si>
    <t>O'Keeffe, Patrick; Johnson, Belinda; Daley, Kathryn</t>
  </si>
  <si>
    <t>AUSTRALIAN JOURNAL OF SOCIAL ISSUES</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</si>
  <si>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t>
  </si>
  <si>
    <t>0157-6321</t>
  </si>
  <si>
    <t>1839-4655</t>
  </si>
  <si>
    <t>WOS:000623044800001</t>
  </si>
  <si>
    <t>Strickland, Justin C.; Lile, Joshua A.; Stoops, William W.</t>
  </si>
  <si>
    <t>DRUG AND ALCOHOL DEPENDENCE</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</si>
  <si>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n=71) and controls without this history (i.e., 5 or less lifetime uses; n=79)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(r=.44), higher cannabis demand intensity (r=.28), and lower cannabis elasticity (r=-.30). Conclusions: These findings suggest that cannabis-related cues can influence reinforcer choice and potentially promote disadvantageous decision-making related to non-drug reinforcers.</t>
  </si>
  <si>
    <t>Stoops, William/AAX-9000-2020</t>
  </si>
  <si>
    <t>Stoops, William/0000-0002-8502-0160</t>
  </si>
  <si>
    <t>0376-8716</t>
  </si>
  <si>
    <t>1879-0046</t>
  </si>
  <si>
    <t>JUN 1</t>
  </si>
  <si>
    <t>WOS:000470946100013</t>
  </si>
  <si>
    <t>Copyright Self-Registration and Its Secure Authentication based on Digital Watermark</t>
  </si>
  <si>
    <t>Chen, W; Li, S</t>
  </si>
  <si>
    <t>Yang, Cheng; Liu, Jianbo; Niu, Yaqing; Tian, Jiayin</t>
  </si>
  <si>
    <t>2010 IEEE INTERNATIONAL CONFERENCE ON WIRELESS COMMUNICATIONS, NETWORKING AND INFORMATION SECURITY (WCNIS), VOL 1</t>
  </si>
  <si>
    <t>IEEE International Conference on Wireless Communications, Networking and Information Security (WCNIS)</t>
  </si>
  <si>
    <t>JUN 25-27, 2010</t>
  </si>
  <si>
    <t>N China Elect Power Univ, Beijing, PEOPLES R CHINA</t>
  </si>
  <si>
    <t>IEEE Beijing Sect,N China Elect Power Univ,Shanghai Jiaotong Univ,Xiamen Univ,Beijing Univ Posts &amp; Telecommunicat,Beijing Univ Technol</t>
  </si>
  <si>
    <t>N China Elect Power Univ</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</si>
  <si>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t>
  </si>
  <si>
    <t>978-1-4244-5851-6</t>
  </si>
  <si>
    <t>WOS:000287767500079</t>
  </si>
  <si>
    <t>corba: crowdsourcing to obtain requirements from regulations and breaches</t>
  </si>
  <si>
    <t>Guo, Hui; Kafali, Ozgur; Jeukeng, Anne-Liz; Williams, Laurie; Singh, Munindar P.</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</si>
  <si>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corba, a methodology that leverages human intelligence via crowdsourcing, and extracts requirements from textual artifacts in the form of regulatory norms. We evaluate corba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corba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t>
  </si>
  <si>
    <t>Singh, Munindar P/L-8500-2013</t>
  </si>
  <si>
    <t>Singh, Munindar P/0000-0003-3599-3893; Guo, Hui/0000-0003-4887-6354</t>
  </si>
  <si>
    <t>WOS:000515965100013</t>
  </si>
  <si>
    <t>Bhadra, Sahely; Hein, Matthias</t>
  </si>
  <si>
    <t>NEUROCOMPUTING</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</si>
  <si>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npisy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(C) 2015 Elsevier B.V. All rights reserved.</t>
  </si>
  <si>
    <t>Bhadra, Sahely/AAS-9381-2021</t>
  </si>
  <si>
    <t>0925-2312</t>
  </si>
  <si>
    <t>1872-8286</t>
  </si>
  <si>
    <t>JUL 21</t>
  </si>
  <si>
    <t>WOS:000354139100004</t>
  </si>
  <si>
    <t>Manik, Ritika; Carlos, Ruth C.; Duszak Jr, Richard; Sadigh, Gelareh</t>
  </si>
  <si>
    <t>JOURNAL OF THE AMERICAN COLLEGE OF RADIOLOGY</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</si>
  <si>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pain).&amp; nbsp;Methods: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analyses.&amp; nbsp;Results: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cost.&amp; nbsp;Conclusions: Incorporating quality metrics into price transparency tools is important. Further research is needed to identify metrics that are most comparable and easily obtainable across imaging centers that remain important to patients.</t>
  </si>
  <si>
    <t>Sadigh, Gelareh/GNW-5641-2022</t>
  </si>
  <si>
    <t>Sadigh, Gelareh/0000-0003-3233-1878; Manik, Ritika/0000-0001-6701-3533</t>
  </si>
  <si>
    <t>1546-1440</t>
  </si>
  <si>
    <t>1558-349X</t>
  </si>
  <si>
    <t>WOS:000802630700011</t>
  </si>
  <si>
    <t>Harris, M. Anne; Kirkham, Tracy L.</t>
  </si>
  <si>
    <t>ANNALS OF WORK EXPOSURES AND HEALTH</t>
  </si>
  <si>
    <t>Objectives:To pilot recruitment methods for bicycle delivery workers in Toronto, Canada and to assess workers' experiences with COVID-19 and personal protective equipment (PPE). Methods:This was a cross-sectional study. An online survey was deployed and advertised via social media with both paid and free postings in July and August of 2020. An incentive draw was used to motivate participation.These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t>
  </si>
  <si>
    <t>Kirkham, Tracy/0000-0001-8243-8425</t>
  </si>
  <si>
    <t>2398-7308</t>
  </si>
  <si>
    <t>2398-7316</t>
  </si>
  <si>
    <t>WOS:000743314300012</t>
  </si>
  <si>
    <t>Schmidt, Norman B.; Allan, Nicholas P.; Koscinski, Brandon; Mathes, Brittany M.; Eackles, Kelsey; Accorso, Catherine; Saulnier, Kevin G.; Allan, Darcey M.; Potter, Kaley; Garey, Lora; Suhr, Julie; Austin, Megan; Zvolensky, Michael J.</t>
  </si>
  <si>
    <t>JOURNAL OF PSYCHOPATHOLOGY AND BEHAVIORAL ASSESSMENT</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</si>
  <si>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t>
  </si>
  <si>
    <t>; Schmidt, Norman/C-6426-2015</t>
  </si>
  <si>
    <t>Saulnier, Kevin/0000-0003-1280-7138; Mathes Winnicki, Brittany/0000-0001-6145-715X; Schmidt, Norman/0000-0003-4125-9601</t>
  </si>
  <si>
    <t>0882-2689</t>
  </si>
  <si>
    <t>1573-3505</t>
  </si>
  <si>
    <t>WOS:000694566000001</t>
  </si>
  <si>
    <t>Creating a Data Collection for Evaluating Rich Speech Retrieval</t>
  </si>
  <si>
    <t>Eskevich, Maria; Jones, Gareth J. F.; Larson, Martha; Ordelman, Roeland</t>
  </si>
  <si>
    <t>Larson, Martha/E-9983-2014</t>
  </si>
  <si>
    <t>Jones, Gareth/0000-0003-2923-8365</t>
  </si>
  <si>
    <t>WOS:000323927701136</t>
  </si>
  <si>
    <t>Biemann, Chris</t>
  </si>
  <si>
    <t>LANGUAGE RESOURCES AND EVALUATION</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</si>
  <si>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t>
  </si>
  <si>
    <t>1574-020X</t>
  </si>
  <si>
    <t>1574-0218</t>
  </si>
  <si>
    <t>WOS:000316004500005</t>
  </si>
  <si>
    <t>Fisher, B; Liu, S; Schreck, T</t>
  </si>
  <si>
    <t>Chung, Haeyong; Dasari, Sai Prashanth; Nandhakumar, Santhosh; Andrews, Christopher</t>
  </si>
  <si>
    <t>2017 IEEE CONFERENCE ON VISUAL ANALYTICS SCIENCE AND TECHNOLOGY (VAST)</t>
  </si>
  <si>
    <t>IEEE Conference on Visual Analytics Science and Technology (VAST)</t>
  </si>
  <si>
    <t>OCT 01-06, 2017</t>
  </si>
  <si>
    <t>Phoenix, AZ</t>
  </si>
  <si>
    <t>IEEE,IEEE Comp Soc,IEEE Visualzat &amp; Graph Tech Comm</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</si>
  <si>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</si>
  <si>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2325-9442</t>
  </si>
  <si>
    <t>978-1-5386-3163-8</t>
  </si>
  <si>
    <t>WOS:000494329200013</t>
  </si>
  <si>
    <t>Critical Challenges for Requirement Implementation in Context of Global Software Development: A Systematic Literature Review</t>
  </si>
  <si>
    <t>Yaseen, Muhammad; Baseer, Samad; Sherin, Salman</t>
  </si>
  <si>
    <t>2015 INTERNATIONAL CONFERENCE ON OPEN SOURCE SYSTEMS &amp; TECHNOLOGIES (ICOSST)</t>
  </si>
  <si>
    <t>International Conference on Open Source Systems &amp; Technologies (ICOSST)</t>
  </si>
  <si>
    <t>DEC 17-19, 2015</t>
  </si>
  <si>
    <t>IEEE Computer Lahore Section,Al-Khawarizmi Institute of Computer Science</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</si>
  <si>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 sharing and awareness'. We have identified critical challenges like 'Lack of effective communication', 'Organizational change', 'Lack of coordination and collaboration' which are common in both periods from 2000 to 2006 and 2007 to 2014.</t>
  </si>
  <si>
    <t>978-1-4799-7812-0</t>
  </si>
  <si>
    <t>WOS:000380472900020</t>
  </si>
  <si>
    <t>Teschner, Florian; Gimpel, Henner</t>
  </si>
  <si>
    <t>GROUP DECISION AND NEGOTIATION</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</si>
  <si>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t>
  </si>
  <si>
    <t>Gimpel, Henner/ACE-4694-2022; Gimpel, Henner/AGV-5437-2022</t>
  </si>
  <si>
    <t>Gimpel, Henner/0000-0003-1730-2614</t>
  </si>
  <si>
    <t>0926-2644</t>
  </si>
  <si>
    <t>1572-9907</t>
  </si>
  <si>
    <t>WOS:000427080300002</t>
  </si>
  <si>
    <t>Crowd Work CV: Recognition for Micro Work</t>
  </si>
  <si>
    <t>Aiello, LM; McFarland, D</t>
  </si>
  <si>
    <t>Sarasua, Cristina; Thimm, Matthias</t>
  </si>
  <si>
    <t>SOCIAL INFORMATICS</t>
  </si>
  <si>
    <t>SocInfo International Workshops</t>
  </si>
  <si>
    <t>NOV 10, 2014</t>
  </si>
  <si>
    <t>Microsoft Res,Facebook,Yahoo Labs,Stanford, Ctr Computat Social Sci,Barcelona Media,SocialSensor,IEEE Special Techn Community Social Networking,STC Social Networking</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</si>
  <si>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t>
  </si>
  <si>
    <t>978-3-319-15168-7; 978-3-319-15167-0</t>
  </si>
  <si>
    <t>WOS:000380559900052</t>
  </si>
  <si>
    <t>CrowdDQS: Dynamic Question Selection in Crowdsourcing Systems</t>
  </si>
  <si>
    <t>ACM SIGMOD</t>
  </si>
  <si>
    <t>Khan, Asif R.; Garcia-Molina, Hector</t>
  </si>
  <si>
    <t>SIGMOD'17: PROCEEDINGS OF THE 2017 ACM INTERNATIONAL CONFERENCE ON MANAGEMENT OF DATA</t>
  </si>
  <si>
    <t>ACM International Conference on Management of Data</t>
  </si>
  <si>
    <t>MAY 14-19, 2017</t>
  </si>
  <si>
    <t>Chicago, IL</t>
  </si>
  <si>
    <t>Assoc Comp Machinery,ACM SIGMOD,Oracle,Microsoft,Amazon,Facebook,Google,Huawei,IBM,MongoDB,Recruit,SAP,Vertica,Northwestern Univ, McCormick Sch Engn &amp; Appl Sci,Cloudera,Intel,LogicBlox,MemSQL,Snowflake,Workday</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</si>
  <si>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t>
  </si>
  <si>
    <t>978-1-4503-4197-4</t>
  </si>
  <si>
    <t>WOS:000452550000096</t>
  </si>
  <si>
    <t>CrowdEval: A Cost-Efficient Strategy to Evaluate Crowdsourced Worker's Reliability</t>
  </si>
  <si>
    <t>Qiu, Chenxi; Squicciarini, Anna; Khare, Dev Rishi; Carminati, Barbara; Caverlee, James</t>
  </si>
  <si>
    <t>PROCEEDINGS OF THE 17TH INTERNATIONAL CONFERENCE ON AUTONOMOUS AGENTS AND MULTIAGENT SYSTEMS (AAMAS' 18)</t>
  </si>
  <si>
    <t>17th International Conference on Autonomous Agents and MultiAgent Systems (AAMAS)</t>
  </si>
  <si>
    <t>JUL 10-15, 2018</t>
  </si>
  <si>
    <t>Stockholm, SWEDEN</t>
  </si>
  <si>
    <t>Assoc Comp Machinery,Int Fdn Autonomous Agents &amp; MultiAgent Syst,NSF,Artificial Intelligence Journal,Riken,Nissan,ACM SIGAI,Springer Sci + Business Media,Elsevier,Google,AIP, Ctr Adv Intelligent Project</t>
  </si>
  <si>
    <t>Crowdsourcing platforms depend on the quality of work provided by a distributed workforce. Yet, it is challenging to dependably measure the reliability of these workers, particularly in the face of strategic or malicious behavior. In this paper, we presets.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t>
  </si>
  <si>
    <t>978-1-4503-5649-7</t>
  </si>
  <si>
    <t>WOS:000468231300179</t>
  </si>
  <si>
    <t>CrowdLink: Crowdsourcing for Large-Scale Linked Data Management</t>
  </si>
  <si>
    <t>Basharat, Amna; Arpinar, I. Budak; Dastgheib, Shima; Kursuncu, Ugur; Kochut, Krys; Dogdu, Erdogan</t>
  </si>
  <si>
    <t>2014 IEEE INTERNATIONAL CONFERENCE ON SEMANTIC COMPUTING (ICSC)</t>
  </si>
  <si>
    <t>8th IEEE International Conference on Semantic Computing</t>
  </si>
  <si>
    <t>JUN 16-18, 2014</t>
  </si>
  <si>
    <t>Newport Beach, CA</t>
  </si>
  <si>
    <t>Crowdsourcing is an emerging paradigm to exploit the notion of human-computation for solving various computational problems, which cannot be accurately solved solely by the machine-based solutions. We use crowdsourcing for large-scale link management in the Semantic Web. More specifically, we develop CrowdLink, which utilizes crowdworkers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crowdsourcing applications require a sophisticated workflow specification not only on human intelligent tasks, but also machine intelligent tasks to handle data and control-flow, which is strictly deficient in the existing crowdsourcing platforms. Hence, we are strongly motivated to investigate the interplay of crowdsourcing, and semantically enriched workflows as well as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crowdworkers</t>
  </si>
  <si>
    <t>Dogdu, Erdogan/0000-0001-5987-0164</t>
  </si>
  <si>
    <t>2325-6516</t>
  </si>
  <si>
    <t>978-1-4799-4003-5</t>
  </si>
  <si>
    <t>WOS:000346176100036</t>
  </si>
  <si>
    <t>CROWDMOS: AN APPROACH FOR CROWDSOURCING MEAN OPINION SCORE STUDIES</t>
  </si>
  <si>
    <t>Ribeiro, Flavio; Florencio, Dinei; Zhang, Cha; Seltzer, Michael</t>
  </si>
  <si>
    <t>2011 IEEE INTERNATIONAL CONFERENCE ON ACOUSTICS, SPEECH, AND SIGNAL PROCESSING</t>
  </si>
  <si>
    <t>IEEE International Conference on Acoustics, Speech, and Signal Processing (ICASSP)</t>
  </si>
  <si>
    <t>MAY 22-27, 2011</t>
  </si>
  <si>
    <t>Prague Congress Ctr, Prague, CZECH REPUBLIC</t>
  </si>
  <si>
    <t>Inst Elect &amp; Elect Engineers Signal Processing Soc,IEEE</t>
  </si>
  <si>
    <t>Prague Congress Ctr</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</si>
  <si>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t>
  </si>
  <si>
    <t>978-1-4577-0539-7</t>
  </si>
  <si>
    <t>WOS:000296062402183</t>
  </si>
  <si>
    <t>Fan, Ju; Zhang, Meihui; Kok, Stanley; Lu, Meiyu; Ooi, Beng Chin</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</si>
  <si>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t>
  </si>
  <si>
    <t>WOS:000357692600006</t>
  </si>
  <si>
    <t>CrowdSelect: Increasing Accuracy of Crowdsourcing Tasks through Behavior Prediction and User Selection</t>
  </si>
  <si>
    <t>Qiu, Chenxi; Squicciarini, Anna C.; Carminati, Barbara; Caverlee, James; Khare, Dev Rishi</t>
  </si>
  <si>
    <t>CIKM'16: PROCEEDINGS OF THE 2016 ACM CONFERENCE ON INFORMATION AND KNOWLEDGE MANAGEMENT</t>
  </si>
  <si>
    <t>25th ACM International Conference on Information and Knowledge Management (CIKM)</t>
  </si>
  <si>
    <t>OCT 24-28, 2016</t>
  </si>
  <si>
    <t>IUPUI, Indianapolis, IN</t>
  </si>
  <si>
    <t>Assoc Comp Machinery,ACM Special Interest Grp Informat Retrieval,ACM SIGWEB,Ram Kumar Memorial Fdn,UIUC,AMiner,Whova,Alibaba Grp,Baidu,Huawei,Data Centric Alliance</t>
  </si>
  <si>
    <t>IUPUI</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</si>
  <si>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t>
  </si>
  <si>
    <t>carminati, barbara/0000-0002-7502-4731; SQUICCIARINI, ANNA CINZIA/0000-0002-7396-1895</t>
  </si>
  <si>
    <t>978-1-4503-4073-1</t>
  </si>
  <si>
    <t>WOS:000390890800057</t>
  </si>
  <si>
    <t>Crowd-Sourced Assessment of Technical Skill: A Valid Method for Discriminating Basic Robotic Surgery Skills</t>
  </si>
  <si>
    <t>White, Lee W.; Kowalewski, Timothy M.; Dockter, Rodney Lee; Comstock, Bryan; Hannaford, Blake; Lendvay, Thomas S.</t>
  </si>
  <si>
    <t>JOURNAL OF ENDOUROLOGY</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</si>
  <si>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t>
  </si>
  <si>
    <t>Kowalewski, Timothy/C-1391-2014</t>
  </si>
  <si>
    <t>Kowalewski, Timothy/0000-0001-6596-3324</t>
  </si>
  <si>
    <t>0892-7790</t>
  </si>
  <si>
    <t>1557-900X</t>
  </si>
  <si>
    <t>NOV 1</t>
  </si>
  <si>
    <t>WOS:000364290600016</t>
  </si>
  <si>
    <t>Crowdsourced Data Preprocessing with R and Amazon Mechanical Turk</t>
  </si>
  <si>
    <t>Leeper, Thomas J.</t>
  </si>
  <si>
    <t>R JOURNAL</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</si>
  <si>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</si>
  <si>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Thomas J./J-9733-2013</t>
  </si>
  <si>
    <t>Leeper, Thomas J./0000-0003-4097-6326</t>
  </si>
  <si>
    <t>2073-4859</t>
  </si>
  <si>
    <t>WOS:000385276100021</t>
  </si>
  <si>
    <t>Koita, Takahiro; Suzuki, Shota</t>
  </si>
  <si>
    <t>2019 4TH IEEE INTERNATIONAL CONFERENCE ON BIG DATA ANALYTICS (ICBDA 2019)</t>
  </si>
  <si>
    <t>4th IEEE International Conference on Big Data Analytics (ICBDA)</t>
  </si>
  <si>
    <t>MAR 15-18, 2019</t>
  </si>
  <si>
    <t>Suzhou, PEOPLES R CHINA</t>
  </si>
  <si>
    <t>IEEE,Xian Jiaotong Liverpool Univ, Res Inst Big Data Analyt,Univ Texas Dallas,Hong Kong Polytechn Univ</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</si>
  <si>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t>
  </si>
  <si>
    <t>978-1-7281-1282-4</t>
  </si>
  <si>
    <t>WOS:000469958800072</t>
  </si>
  <si>
    <t>Crowdsourcing Awareness: Exploration of the Ovarian Cancer Knowledge Gap through Amazon Mechanical Turk</t>
  </si>
  <si>
    <t>Carter, Rebecca R.; DiFeo, Analisa; Bogie, Kath; Zhang, Guo-Qiang; Sun, Jiayang</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</si>
  <si>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t>
  </si>
  <si>
    <t>Sun, Jiayang/0000-0002-0870-7014; Bogie, Kath/0000-0003-1020-9695; DiFeo, Analisa/0000-0001-8319-6763</t>
  </si>
  <si>
    <t>JAN 22</t>
  </si>
  <si>
    <t>e85508</t>
  </si>
  <si>
    <t>WOS:000330283100043</t>
  </si>
  <si>
    <t>Crowdsourcing Consumer Research</t>
  </si>
  <si>
    <t>Goodman, Joseph K.; Paolacci, Gabriele</t>
  </si>
  <si>
    <t>JOURNAL OF CONSUMER RESEARCH</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</si>
  <si>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t>
  </si>
  <si>
    <t>Paolacci, Gabriele/0000-0002-9938-7940; Goodman, Joseph/0000-0002-0525-5219</t>
  </si>
  <si>
    <t>0093-5301</t>
  </si>
  <si>
    <t>1537-5277</t>
  </si>
  <si>
    <t>WOS:000404534800011</t>
  </si>
  <si>
    <t>Crowdsourcing Database Systems: Overview and Challenges</t>
  </si>
  <si>
    <t>Chai, Chengliang; Fan, Ju; Li, Guoliang; Wang, Jiannan; Zheng, Yudian</t>
  </si>
  <si>
    <t>2019 IEEE 35TH INTERNATIONAL CONFERENCE ON DATA ENGINEERING (ICDE 2019)</t>
  </si>
  <si>
    <t>IEEE 35th International Conference on Data Engineering (ICDE)</t>
  </si>
  <si>
    <t>APR 08-11, 2019</t>
  </si>
  <si>
    <t>Macau, PEOPLES R CHINA</t>
  </si>
  <si>
    <t>IEEE,IEEE Comp Soc</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</si>
  <si>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t>
  </si>
  <si>
    <t>1084-4627</t>
  </si>
  <si>
    <t>978-1-5386-7474-1</t>
  </si>
  <si>
    <t>WOS:000477731600230</t>
  </si>
  <si>
    <t>Abad, Zahra Shakeri Hossein; Butler, Gregory P.; Thompson, Wendy; Lee, Joon</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</si>
  <si>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t>
  </si>
  <si>
    <t>Lee, Joon/0000-0001-8593-9321; Shakeri Hossein Abad, Zahra/0000-0003-4519-864X; Butler, Gregory Paul/0000-0002-7536-2044</t>
  </si>
  <si>
    <t>JAN 18</t>
  </si>
  <si>
    <t>e28749</t>
  </si>
  <si>
    <t>WOS:000766780100007</t>
  </si>
  <si>
    <t>Crowdsourcing Linked Data Quality Assessment</t>
  </si>
  <si>
    <t>Alani, H; Kagal, L; Fokoue, A; Groth, P; Biemann, C; Parreira, JX; Aroyo, L; Noy, N; Welty, C; Janowicz, K</t>
  </si>
  <si>
    <t>Acosta, Maribel; Zaveri, Amrapali; Simperl, Elena; Kontokostas, Dimitris; Auer, Soeren; Lehmann, Jens</t>
  </si>
  <si>
    <t>SEMANTIC WEB - ISWC 2013, PART II</t>
  </si>
  <si>
    <t>12th International Semantic Web Conference (ISWC)</t>
  </si>
  <si>
    <t>OCT 21-25, 2013</t>
  </si>
  <si>
    <t>Bing,Fluid Operat,Microsoft Res,PreviousNext,IBM Res,Ontotext,Yahoo,IOS Press,OpenLink Software</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</si>
  <si>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 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t>
  </si>
  <si>
    <t>Kontokostas, Dimitris/F-4436-2014; Simperl, Elena/ABF-8045-2020; Auer, Sören/AAP-9163-2020</t>
  </si>
  <si>
    <t>Kontokostas, Dimitris/0000-0002-2300-4421; Simperl, Elena/0000-0003-1722-947X; Auer, Sören/0000-0002-0698-2864; Zaveri, Amrapali/0000-0003-3239-4588; Lehmann, Jens/0000-0001-9108-4278</t>
  </si>
  <si>
    <t>978-3-642-41338-4; 978-3-642-41337-7</t>
  </si>
  <si>
    <t>WOS:000340422700017</t>
  </si>
  <si>
    <t>Crowdsourcing Morphology Assessments in Oculoplastic Surgery: Reliability and Validity of Lay People Relative to Professional Image Analysts and Experts</t>
  </si>
  <si>
    <t>Rootman, Daniel B.; Bokman, Christine L.; Katsev, Blake; Rafaelof, Michael; Ip, Michael; Manoukian, Narek; Esfandiari, Mahtash; Webb, Noreen M.</t>
  </si>
  <si>
    <t>OPHTHALMIC PLASTIC AND RECONSTRUCTIVE SURGERY</t>
  </si>
  <si>
    <t>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t>
  </si>
  <si>
    <t>Katsev, Blake/0000-0003-2980-6553</t>
  </si>
  <si>
    <t>0740-9303</t>
  </si>
  <si>
    <t>1537-2677</t>
  </si>
  <si>
    <t>MAR-APR</t>
  </si>
  <si>
    <t>WOS:000528559200029</t>
  </si>
  <si>
    <t>Crowdsourcing of Network Data</t>
  </si>
  <si>
    <t>Wang, Ding; Comar, Prakash Mandayam; Pang-Ning Tan</t>
  </si>
  <si>
    <t>2016 INTERNATIONAL JOINT CONFERENCE ON NEURAL NETWORKS (IJCNN)</t>
  </si>
  <si>
    <t>International Joint Conference on Neural Networks (IJCNN)</t>
  </si>
  <si>
    <t>JUL 24-29, 2016</t>
  </si>
  <si>
    <t>IEEE,IEEE Computat Intelligence Soc,Int Nueral Network Soc,Evolutionary Programming Soc,IET,IEEE BigData,Gulf Univ Sci &amp; Technol</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</si>
  <si>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t>
  </si>
  <si>
    <t>Tan, Pang-Ning/L-3839-2019; Tan, Pang-Ning/L-6594-2019</t>
  </si>
  <si>
    <t>Tan, Pang-Ning/0000-0003-3205-0339</t>
  </si>
  <si>
    <t>2161-4393</t>
  </si>
  <si>
    <t>978-1-5090-0619-9</t>
  </si>
  <si>
    <t>WOS:000399925502053</t>
  </si>
  <si>
    <t>Crowdsourcing Participatory Evaluation of Medical Pictograms Using Amazon Mechanical Turk</t>
  </si>
  <si>
    <t>Yu, Bei; Willis, Matt; Sun, Peiyuan; Wang, Jun</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</si>
  <si>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</si>
  <si>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Bei/0000-0001-5425-0011</t>
  </si>
  <si>
    <t>e108</t>
  </si>
  <si>
    <t>WOS:000321961500009</t>
  </si>
  <si>
    <t>Crowdsourcing Privacy Design Critique: An Empirical Evaluation of Framing Effects</t>
  </si>
  <si>
    <t>Bui, TX</t>
  </si>
  <si>
    <t>Ayalon, Oshrat; Toch, Eran</t>
  </si>
  <si>
    <t>PROCEEDINGS OF THE 51ST ANNUAL HAWAII INTERNATIONAL CONFERENCE ON SYSTEM SCIENCES (HICSS)</t>
  </si>
  <si>
    <t>51st Annual Hawaii International Conference on System Sciences (HICSS)</t>
  </si>
  <si>
    <t>JAN 02-06, 2018</t>
  </si>
  <si>
    <t>HI</t>
  </si>
  <si>
    <t>Pacific Res Inst Informat Syst &amp; Management,Shidler Coll Business,IBM,Bizgenics Fdn,Arizona Eller,AIS,Baylor Business Informat Syst,Int Soc Serv Innovat,St Johns Univ, Coll Profess Studies,Syracuse Univ, Sch Informat Stud</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</si>
  <si>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t>
  </si>
  <si>
    <t>978-0-9981331-1-9</t>
  </si>
  <si>
    <t>WOS:000625208504104</t>
  </si>
  <si>
    <t>CROWDSOURCING SUBJECTIVE IMAGE QUALITY EVALUATION</t>
  </si>
  <si>
    <t>Ribeiro, Flavio; Florencio, Dinei; Nascimento, Vtor</t>
  </si>
  <si>
    <t>2011 18TH IEEE INTERNATIONAL CONFERENCE ON IMAGE PROCESSING (ICIP)</t>
  </si>
  <si>
    <t>18th IEEE International Conference on Image Processing (ICIP)</t>
  </si>
  <si>
    <t>SEP 11-14, 2011</t>
  </si>
  <si>
    <t>Brussels, BELGIUM</t>
  </si>
  <si>
    <t>IEEE,IEEE Signal Proc Soc (SPS)</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</si>
  <si>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t>
  </si>
  <si>
    <t>Nascimento, Vitor H/E-8194-2012</t>
  </si>
  <si>
    <t>Nascimento, Vitor H/0000-0002-0543-4735</t>
  </si>
  <si>
    <t>1522-4880</t>
  </si>
  <si>
    <t>978-1-4577-1303-3</t>
  </si>
  <si>
    <t>WOS:000298962503058</t>
  </si>
  <si>
    <t>Crowdsourcing System Management for Activity Data with Mobile Sensors</t>
  </si>
  <si>
    <t>Mairittha, Nattaya; Inoue, Sozo</t>
  </si>
  <si>
    <t>2019 JOINT 8TH INTERNATIONAL CONFERENCE ON INFORMATICS, ELECTRONICS &amp; VISION (ICIEV) AND 2019 3RD INTERNATIONAL CONFERENCE ON IMAGING, VISION &amp; PATTERN RECOGNITION (ICIVPR) WITH INTERNATIONAL CONFERENCE ON ACTIVITY AND BEHAVIOR COMPUTING (ABC)</t>
  </si>
  <si>
    <t>Joint 8th International Conference on Informatics, Electronics and Vision (ICIEV) / 3rd International Conference on Imaging, Vision and Pattern Recognition (icIVPR) / International Conference on Activity and Behavior Computing (ABC)</t>
  </si>
  <si>
    <t>MAY 30-JUN 02, 2019</t>
  </si>
  <si>
    <t>Eastern Washington Univ, Spokane, WA</t>
  </si>
  <si>
    <t>IEEE,IEEE Comp Soc,IEEE PAMITC,IEEE Comp Soc, Bangladesh Chapter,Ctr Nat Sci &amp; Engn Res</t>
  </si>
  <si>
    <t>Eastern Washington Univ</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</si>
  <si>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t>
  </si>
  <si>
    <t>978-1-7281-0788-2</t>
  </si>
  <si>
    <t>WOS:000593592700016</t>
  </si>
  <si>
    <t>Maas, Marissa; Shauly, Orr; Stone, Gregory; Gould, Daniel J.</t>
  </si>
  <si>
    <t>EUROPEAN JOURNAL OF PLASTIC SURGERY</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</si>
  <si>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two-samplettest,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t>
  </si>
  <si>
    <t>Maas, Marissa/0000-0001-9677-9917</t>
  </si>
  <si>
    <t>0930-343X</t>
  </si>
  <si>
    <t>1435-0130</t>
  </si>
  <si>
    <t>WOS:000559357400001</t>
  </si>
  <si>
    <t>Crowdsourcing the public's perception of microsurgical and nonsurgical interventions for erectile dysfunction</t>
  </si>
  <si>
    <t>Shauly, Orr; Gould, Daniel J.; Patel, Ketan M.</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</si>
  <si>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(c)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t>
  </si>
  <si>
    <t>WOS:000549726200012</t>
  </si>
  <si>
    <t>Crowdsourcing-based Disaster Management using Fog Computing in Internet of Things Paradigm</t>
  </si>
  <si>
    <t>10.1109/CIC.2016.72</t>
  </si>
  <si>
    <t>Rauniyar, Ashish; Engelstad, Paal; Feng, Boning; Do Van Thanh</t>
  </si>
  <si>
    <t>2016 IEEE 2ND INTERNATIONAL CONFERENCE ON COLLABORATION AND INTERNET COMPUTING (IEEE CIC)</t>
  </si>
  <si>
    <t>2nd IEEE International Conference on Collaboration and Internet Computing (IEEE CIC)</t>
  </si>
  <si>
    <t>NOV 01-03, 2016</t>
  </si>
  <si>
    <t>Pittsburgh, PA</t>
  </si>
  <si>
    <t>IEEE,IEEE Comp Soc,Univ Pittsburgh, Sch Informat Sci,Drexel Univ, Coll Comp &amp; Informat,RMIT Univ,Zhejiang Univ</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</si>
  <si>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t>
  </si>
  <si>
    <t>Rauniyar, Ashish/C-9539-2018</t>
  </si>
  <si>
    <t>Rauniyar, Ashish/0000-0002-2142-9522</t>
  </si>
  <si>
    <t>978-1-5090-4607-2</t>
  </si>
  <si>
    <t>WOS:000393501100060</t>
  </si>
  <si>
    <t>Crowdworker Economics in the Gig Economy</t>
  </si>
  <si>
    <t>Jacques, Jason T.; Kristensson, Per Ola</t>
  </si>
  <si>
    <t>CHI 2019: PROCEEDINGS OF THE 2019 CHI CONFERENCE ON HUMAN FACTORS IN COMPUTING SYSTEMS</t>
  </si>
  <si>
    <t>MAY 04-09, 2019</t>
  </si>
  <si>
    <t>Glasgow, SCOTLAND</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</si>
  <si>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t>
  </si>
  <si>
    <t>978-1-4503-5970-2</t>
  </si>
  <si>
    <t>WOS:000474467905005</t>
  </si>
  <si>
    <t>Carr, Caleb T.; Hall, Robert D.; Mason, Adam J.; Varney, Eric J.</t>
  </si>
  <si>
    <t>MANAGEMENT COMMUNICATION QUARTERLY</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</si>
  <si>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x 2 x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t>
  </si>
  <si>
    <t>Carr, Caleb/0000-0002-5700-6636; Mason, Adam/0000-0002-0703-5121</t>
  </si>
  <si>
    <t>0893-3189</t>
  </si>
  <si>
    <t>1552-6798</t>
  </si>
  <si>
    <t>WOS:000405077900004</t>
  </si>
  <si>
    <t>Cultural and linguistic problems in GSD: a simulator to train engineers in these issues</t>
  </si>
  <si>
    <t>Monasor, Miguel J.; Vizcaino, Aurora; Piattini, Mario</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</si>
  <si>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(C) 2011 John Wiley &amp; Sons, Ltd.</t>
  </si>
  <si>
    <t>Vizcaíno, Aurora/0000-0002-2072-5581; Piattini, Mario/0000-0002-7212-8279</t>
  </si>
  <si>
    <t>WOS:000308719900008</t>
  </si>
  <si>
    <t>Cultural Predictors of Resilience in a Multinational Sample of Trauma Survivors</t>
  </si>
  <si>
    <t>Raghavan, Sumithra S.; Sandanapitchai, Priyadharshiny</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</si>
  <si>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t>
  </si>
  <si>
    <t>FEB 5</t>
  </si>
  <si>
    <t>WOS:000457843900002</t>
  </si>
  <si>
    <t>Jabbari, Jason; Roll, Stephen; Bufe, Sam; Chun, Yung</t>
  </si>
  <si>
    <t>INTERNATIONAL JOURNAL OF ENTREPRENEURIAL BEHAVIOR &amp; RESEARCH</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</si>
  <si>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t>
  </si>
  <si>
    <t>1355-2554</t>
  </si>
  <si>
    <t>1758-6534</t>
  </si>
  <si>
    <t>JUL 8</t>
  </si>
  <si>
    <t>WOS:000748544500001</t>
  </si>
  <si>
    <t>Schodt, Kaitlyn B.; Quiroz, Selena, I; Wheeler, Brittany; Hall, Deborah L.; Silva, Yasin N.</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</si>
  <si>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t>
  </si>
  <si>
    <t>WOS:000678770900001</t>
  </si>
  <si>
    <t>Data Analytics in Tax Research: Analyzing Worker Agreements and Compensation Data to Distinguish Between Independent Contractors and Employees Using IRS Factors</t>
  </si>
  <si>
    <t>Borthick, A. Faye; Smeal, Lucia N.</t>
  </si>
  <si>
    <t>ISSUES IN ACCOUNTING EDUCATION</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</si>
  <si>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t>
  </si>
  <si>
    <t>0739-3172</t>
  </si>
  <si>
    <t>1558-7983</t>
  </si>
  <si>
    <t>WOS:000576388800001</t>
  </si>
  <si>
    <t>Grant, Rachel L.; Paul, Rachel; Zeal, Carley; Madden, Tessa; Politi, Mary C.</t>
  </si>
  <si>
    <t>JOURNAL OF EVALUATION IN CLINICAL PRACTICE</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</si>
  <si>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 .004), yet reported a higher extent of shared decision making (median: 76 vs 71; P = .03). Adjusting for age and nulliparity did not impact results, except nulliparity made the relationship between being discouraged from using a method and shared decision making no longer significant (P =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t>
  </si>
  <si>
    <t>Grant, Rachel/0000-0002-2598-0506; Paul, Rachel/0000-0003-0790-5606; Politi, Mary/0000-0001-9103-6495; Madden, Tessa/0000-0001-9455-1943</t>
  </si>
  <si>
    <t>1356-1294</t>
  </si>
  <si>
    <t>1365-2753</t>
  </si>
  <si>
    <t>WOS:000588646900007</t>
  </si>
  <si>
    <t>Gay, Jeremy G.; Lishner, David A.; Vitacco, Michael J.; Beussink, Courtney</t>
  </si>
  <si>
    <t>PERSONALITY AND INDIVIDUAL DIFFERENCES</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</si>
  <si>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t>
  </si>
  <si>
    <t>0191-8869</t>
  </si>
  <si>
    <t>OCT 15</t>
  </si>
  <si>
    <t>WOS:000475996600018</t>
  </si>
  <si>
    <t>Deep Model Style: Cross-class Style Compatibility for 3D Furniture within a Scene</t>
  </si>
  <si>
    <t>Nie, JY; Obradovic, Z; Suzumura, T; Ghosh, R; Nambiar, R; Wang, C; Zang, H; BaezaYates, R; Hu, X; Kepner, J; Cuzzocrea, A; Tang, J; Toyoda, M</t>
  </si>
  <si>
    <t>Pan, Tse-Yu; Dai, Yi-Zhu; Tsai, Wan-Lun; Hu, Min-Chun</t>
  </si>
  <si>
    <t>2017 IEEE INTERNATIONAL CONFERENCE ON BIG DATA (BIG DATA)</t>
  </si>
  <si>
    <t>IEEE International Conference on Big Data (IEEE Big Data)</t>
  </si>
  <si>
    <t>DEC 11-14, 2017</t>
  </si>
  <si>
    <t>Boston, MA</t>
  </si>
  <si>
    <t>IEEE,IEEE Comp Soc,ELSEVIER,CISCO</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</si>
  <si>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t>
  </si>
  <si>
    <t>Hu, Min-Chun/AAX-1721-2020</t>
  </si>
  <si>
    <t>Hu, Min-Chun/0000-0003-1917-2155</t>
  </si>
  <si>
    <t>978-1-5386-2715-0</t>
  </si>
  <si>
    <t>WOS:000428073704041</t>
  </si>
  <si>
    <t>Maghoumi, Mehran; Taranta, Eugene Matthew; LaViola, Joseph</t>
  </si>
  <si>
    <t>IUI '21 - 26TH INTERNATIONAL CONFERENCE ON INTELLIGENT USER INTERFACES</t>
  </si>
  <si>
    <t>26th International Conference on Intelligent User Interfaces (IUI)</t>
  </si>
  <si>
    <t>APR 13-17, 2021</t>
  </si>
  <si>
    <t>Texas A &amp; M Univ,Google,Microsoft,MDPI, Multimodal Technologies &amp; Interact,AAAS, Sci Robot</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</si>
  <si>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infinity benchmark. We find that DeepNAG outperforms DeepGAN in accuracy, training time (up to 17x faster), and realism, thereby opening the door to a new line of research in generator network design and training for gesture synthesis. Our source code is available at https://www.deepnag.com.</t>
  </si>
  <si>
    <t>978-1-4503-8017-1</t>
  </si>
  <si>
    <t>WOS:000747690200027</t>
  </si>
  <si>
    <t>Massie, Jonathan P.; Sood, Rachita; Nolan, Ian T.; Sasson, Daniel C.; Swanson, Marco; Morrison, Shane D.; Placik, Otto</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</si>
  <si>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t>
  </si>
  <si>
    <t>Sood, Rachita/0000-0002-9301-1133; Sasson, Daniel/0000-0002-9049-2250</t>
  </si>
  <si>
    <t>WOS:000734177600012</t>
  </si>
  <si>
    <t>Defining Ideal Abs Through a Crowdsourcing-Based Assessment</t>
  </si>
  <si>
    <t>Gould, Daniel J.; Shauly, Orr; Qureshi, Ali A.; Stevens, W. Grant</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</si>
  <si>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 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t>
  </si>
  <si>
    <t>NP167</t>
  </si>
  <si>
    <t>NP173</t>
  </si>
  <si>
    <t>WOS:000558971600009</t>
  </si>
  <si>
    <t>Ochei, Laud Charles; Bass, Julian M.; Petrovski, Andrei</t>
  </si>
  <si>
    <t>JOURNAL OF CLOUD COMPUTING-ADVANCES SYSTEMS AND APPLICATIONS</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</si>
  <si>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t>
  </si>
  <si>
    <t>Bass, Julian Michael/B-2636-2010</t>
  </si>
  <si>
    <t>Bass, Julian Michael/0000-0002-0570-7086; Ochei, Laud Charles/0000-0003-4148-1085</t>
  </si>
  <si>
    <t>2192-113X</t>
  </si>
  <si>
    <t>DEC 17</t>
  </si>
  <si>
    <t>WOS:000453593800001</t>
  </si>
  <si>
    <t>Demographics and Dynamics of Mechanical Turk Workers</t>
  </si>
  <si>
    <t>Difallah, Djellel; Filatova, Elena; Ipeirotis, Panos</t>
  </si>
  <si>
    <t>WSDM'18: PROCEEDINGS OF THE ELEVENTH ACM INTERNATIONAL CONFERENCE ON WEB SEARCH AND DATA MINING</t>
  </si>
  <si>
    <t>11th ACM International Conference on Web Search and Data Mining</t>
  </si>
  <si>
    <t>FEB 05-09, 2018</t>
  </si>
  <si>
    <t>Marina Del Rey, CA</t>
  </si>
  <si>
    <t>Assoc Comp Machinery,Assoc Comp Machinery Special Interest Grp Informat Retrieval,Assoc Comp Machinery SIGKDD,Assoc Comp Machinery SIGMOD,Assoc Comp Machinery SIGWEB</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</si>
  <si>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t>
  </si>
  <si>
    <t>Ipeirotis, Panos/O-8700-2018; Ipeirotis, Panos/AAB-2041-2020</t>
  </si>
  <si>
    <t xml:space="preserve">Ipeirotis, Panos/0000-0002-2966-7402; </t>
  </si>
  <si>
    <t>978-1-4503-5581-0</t>
  </si>
  <si>
    <t>WOS:000456363600022</t>
  </si>
  <si>
    <t>Deployment of Private Crowdsourcing System with Quality Control Methods</t>
  </si>
  <si>
    <t>Ashikawe, Masayuki; Kawamura, Takahiro; Ohsuga, Akihiko</t>
  </si>
  <si>
    <t>2015 IEEE/WIC/ACM INTERNATIONAL CONFERENCE ON WEB INTELLIGENCE AND INTELLIGENT AGENT TECHNOLOGY (WI-IAT), VOL 1</t>
  </si>
  <si>
    <t>IEEE/WIC/ACM International Conference on Web Intelligence and Intelligent Agent Technology (WI-IAT)</t>
  </si>
  <si>
    <t>DEC 06-09, 2015</t>
  </si>
  <si>
    <t>Singapore, SINGAPORE</t>
  </si>
  <si>
    <t>IEEE,DataSpark,IEEE Comp Soc,Web Intelligence Consortium,Assoc Comp Machinery,Memet Comp Soc,Joint NTU UBC Res Ctr Excellence Act Living Elderly,Singapore Management Univ, Living Analyt Res Ctr,Nanyang Technol Univ</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</si>
  <si>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t>
  </si>
  <si>
    <t>978-1-4673-9618-9</t>
  </si>
  <si>
    <t>WOS:000393162800002</t>
  </si>
  <si>
    <t>Depressive Symptoms among Chinese Informal Employees in the Digital Era</t>
  </si>
  <si>
    <t>Cai, Yang; Kong, Weiwei; Lian, Yongsheng; Jin, Xiangxin</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</si>
  <si>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t>
  </si>
  <si>
    <t>Cai, Yang/0000-0003-2596-5207</t>
  </si>
  <si>
    <t>WOS:000655177700001</t>
  </si>
  <si>
    <t>Meyyappan, N; Foo, S; Chowdhury, GG</t>
  </si>
  <si>
    <t>JOURNAL OF DOCUMENTATION</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</si>
  <si>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</si>
  <si>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chowdhury, gobinda/K-3518-2019; Foo, Schubert/Q-2539-2019; Foo, Schubert S B/H-2070-2013</t>
  </si>
  <si>
    <t>chowdhury, gobinda/0000-0002-2122-9547; Foo, Schubert/0000-0003-3043-0450; Foo, Schubert S B/0000-0003-3043-0450</t>
  </si>
  <si>
    <t>0022-0418</t>
  </si>
  <si>
    <t>WOS:000229202000007</t>
  </si>
  <si>
    <t>Design and evaluation of line symbolizations for origin-destination flow maps</t>
  </si>
  <si>
    <t>Koylu, Caglar; Guo, Diansheng</t>
  </si>
  <si>
    <t>INFORMATION VISUALIZATION</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</si>
  <si>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t>
  </si>
  <si>
    <t>Guo, Diansheng/AAM-5882-2020; Koylu, Caglar/G-3406-2013</t>
  </si>
  <si>
    <t>Koylu, Caglar/0000-0001-6619-6366</t>
  </si>
  <si>
    <t>1473-8716</t>
  </si>
  <si>
    <t>1473-8724</t>
  </si>
  <si>
    <t>WOS:000411122000004</t>
  </si>
  <si>
    <t>Design and evaluation of sparse Quantization Index Modulation watermarking schemes</t>
  </si>
  <si>
    <t>Tescher, AG</t>
  </si>
  <si>
    <t>Cornelis, Bruno; Barbarien, Joeri; Dooms, Ann; Munteanu, Adrian; Cornelis, Jan; Schelkens, Peter</t>
  </si>
  <si>
    <t>APPLICATIONS OF DIGITAL IMAGE PROCESSING XXXI</t>
  </si>
  <si>
    <t>Conference on Applications of Digital Image Processing XXXI</t>
  </si>
  <si>
    <t>AUG 11-14, 2008</t>
  </si>
  <si>
    <t>SPIE</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</si>
  <si>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</si>
  <si>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Bruno/AAP-8174-2020; Schelkens, Peter/B-7831-2008; Cornelis, Jan/ABI-6396-2020; Dooms, Ann/B-7867-2008</t>
  </si>
  <si>
    <t>Cornelis, Bruno/0000-0002-0688-8173; Schelkens, Peter/0000-0003-0908-1655; Cornelis, Jan/0000-0002-1180-1968; Dooms, Ann/0000-0002-2962-9393; Munteanu, Adrian/0000-0001-7290-0428</t>
  </si>
  <si>
    <t>978-0-8194-7293-9</t>
  </si>
  <si>
    <t>70731M</t>
  </si>
  <si>
    <t>WOS:000264280600046</t>
  </si>
  <si>
    <t>Mok, Ricky K. P.; Chang, Rocky K. C.; Li, Weichao</t>
  </si>
  <si>
    <t>IEEE TRANSACTIONS ON MULTIMEDIA</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</si>
  <si>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  ive Bayes classifier is applied to train a model to predict the quality ofworkers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ratingmethods can improve the success rate in detecting lowquality workers to around 80%. Finally, our method is 16.5% and 42.9% better in precision and recall than CrowdMOS.</t>
  </si>
  <si>
    <t>Li, Weichao/Q-8453-2018</t>
  </si>
  <si>
    <t>Li, Weichao/0000-0002-7620-1955; CHANG, Kow Chuen Rocky/0000-0002-2648-5814</t>
  </si>
  <si>
    <t>1520-9210</t>
  </si>
  <si>
    <t>1941-0077</t>
  </si>
  <si>
    <t>WOS:000395869400009</t>
  </si>
  <si>
    <t>Razavi, Rouzbeh; Israeli, Aviad A.</t>
  </si>
  <si>
    <t>INTERNATIONAL JOURNAL OF CONTEMPORARY HOSPITALITY MANAGEMENT</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</si>
  <si>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t>
  </si>
  <si>
    <t>0959-6119</t>
  </si>
  <si>
    <t>1757-1049</t>
  </si>
  <si>
    <t>MAY 13</t>
  </si>
  <si>
    <t>WOS:000484191400007</t>
  </si>
  <si>
    <t>Development and Evaluation of the Internalized Racism in Asian Americans Scale (IRAAS)</t>
  </si>
  <si>
    <t>Choi, Andrew Young; Israel, Tania; Maeda, Hotaka</t>
  </si>
  <si>
    <t>JOURNAL OF COUNSELING PSYCHOLOGY</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</si>
  <si>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t>
  </si>
  <si>
    <t>Choi, Andrew/AAC-5120-2020</t>
  </si>
  <si>
    <t>Choi, Andrew/0000-0002-9560-1022</t>
  </si>
  <si>
    <t>0022-0167</t>
  </si>
  <si>
    <t>1939-2168</t>
  </si>
  <si>
    <t>WOS:000393674600005</t>
  </si>
  <si>
    <t>Development and Psychometric Evaluation of the Clericalism Observer Rating Scale</t>
  </si>
  <si>
    <t>Burnham, Martin J.; Fox, Jesse; Fenzel, Leo Mickey; Stewart-Sicking, Joseph; Sivo, Stephen</t>
  </si>
  <si>
    <t>SPIRITUALITY IN CLINICAL PRACTICE</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</si>
  <si>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t>
  </si>
  <si>
    <t>; Stewart-Sicking, Joseph/V-1968-2019</t>
  </si>
  <si>
    <t>Fox, Jesse/0000-0002-8022-4594; Stewart-Sicking, Joseph/0000-0002-8336-6029; Burnham, Martin/0000-0002-2507-129X; Fenzel, Leo/0000-0001-5067-4618</t>
  </si>
  <si>
    <t>2326-4500</t>
  </si>
  <si>
    <t>2326-4519</t>
  </si>
  <si>
    <t>WOS:000600174700008</t>
  </si>
  <si>
    <t>Oostrom, Janneke K.; de Vries, Reinout E.; de Wit, Mariska</t>
  </si>
  <si>
    <t>HUMAN PERFORMANCE</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</si>
  <si>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 .55 and .74. Considering personality is the most commonly assessed construct in employee selection contexts (Ryan et al., 2015), this situational judgment test may provide human resources professionals with an alternative assessment tool.</t>
  </si>
  <si>
    <t>de Wit, Mariska/AAE-4391-2022</t>
  </si>
  <si>
    <t>de Wit, Mariska/0000-0002-5705-2763; de Vries, Reinout/0000-0002-4252-5839; Oostrom, Janneke/0000-0002-0963-5016</t>
  </si>
  <si>
    <t>0895-9285</t>
  </si>
  <si>
    <t>1532-7043</t>
  </si>
  <si>
    <t>WOS:000454402300001</t>
  </si>
  <si>
    <t>Simone, Melissa; Geiser, Christian; Lockhart, Ginger</t>
  </si>
  <si>
    <t>EUROPEAN JOURNAL OF PSYCHOLOGICAL ASSESSMENT</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</si>
  <si>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multicontextuat construct, requiring measurement of all unique processes and relational contexts.</t>
  </si>
  <si>
    <t>Simone, Melissa/AAP-8820-2020</t>
  </si>
  <si>
    <t>Simone, Melissa/0000-0001-6939-2784</t>
  </si>
  <si>
    <t>1015-5759</t>
  </si>
  <si>
    <t>2151-2426</t>
  </si>
  <si>
    <t>WOS:000520014900009</t>
  </si>
  <si>
    <t>10.1016/j.j.2020.12.024</t>
  </si>
  <si>
    <t>Gicevic, Selma; Mou, Yuchan; Bromage, Sabri; Fung, Teresa T.; Willett, Walter</t>
  </si>
  <si>
    <t>JOURNAL OF THE ACADEMY OF NUTRITION AND DIETETICS</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</si>
  <si>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 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=-0.19), carbohydrates (r =-0.22), and added sugar (r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low-and middle-income countries. J Acad Nutr Diet. 2021;121(5):854-871.</t>
  </si>
  <si>
    <t>Bromage, Sabri/H-6676-2016</t>
  </si>
  <si>
    <t>Bromage, Sabri/0000-0002-6552-4871; Willett, Walter/0000-0003-1458-7597; Kronsteiner-Gicevic, Selma/0000-0002-5414-8671</t>
  </si>
  <si>
    <t>2212-2672</t>
  </si>
  <si>
    <t>2212-2680</t>
  </si>
  <si>
    <t>WOS:000717464500007</t>
  </si>
  <si>
    <t>Lin, Chiuhsiang Joe; Hsieh, Tsung-Ling</t>
  </si>
  <si>
    <t>JOURNAL OF NUCLEAR SCIENCE AND TECHNOLOGY</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</si>
  <si>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t>
  </si>
  <si>
    <t>0022-3131</t>
  </si>
  <si>
    <t>1881-1248</t>
  </si>
  <si>
    <t>JAN 2</t>
  </si>
  <si>
    <t>WOS:000365241000009</t>
  </si>
  <si>
    <t>Vander Molen, Lauryn; Ronis, Scott T.; Benoit, Aryn A.; Walmark, Sofia</t>
  </si>
  <si>
    <t>SEXUAL ADDICTION &amp; COMPULSIVITY-THE JOURNAL OF TREATMENT AND PREVENTION</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</si>
  <si>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t>
  </si>
  <si>
    <t>Ronis, Scott/0000-0002-2410-1362</t>
  </si>
  <si>
    <t>1072-0162</t>
  </si>
  <si>
    <t>1532-5318</t>
  </si>
  <si>
    <t>WOS:000617606900001</t>
  </si>
  <si>
    <t>Quiros, Cipriano; Portela, Javier; Marin, Raquel</t>
  </si>
  <si>
    <t>TECHNOLOGY IN SOCIETY</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</si>
  <si>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t>
  </si>
  <si>
    <t>Portela, Javier/C-7558-2017; Marin, Raquel/ABB-3898-2021; Marin, Raquel/L-3543-2014</t>
  </si>
  <si>
    <t>Portela, Javier/0000-0002-5284-5123; Marin, Raquel/0000-0002-1304-4817</t>
  </si>
  <si>
    <t>0160-791X</t>
  </si>
  <si>
    <t>1879-3274</t>
  </si>
  <si>
    <t>WOS:000704511300009</t>
  </si>
  <si>
    <t>Digital Clients: An Example of People Production in Social Work</t>
  </si>
  <si>
    <t>Barfoed, Elizabeth Martinell</t>
  </si>
  <si>
    <t>SOCIAL INCLUSION</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</si>
  <si>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 presented and, ultimately, how social work is consctructed.</t>
  </si>
  <si>
    <t>2183-2803</t>
  </si>
  <si>
    <t>WOS:000460022400003</t>
  </si>
  <si>
    <t>Arrieta Idiakez, Francisco Javier</t>
  </si>
  <si>
    <t>BOLETIN DE LA ASOCIACION INTERNACIONAL DE DERECHO COOPERATIVO-INTERNATIONAL ASSOCIATION OF COOPERATIVE LAW JOURNAL</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</si>
  <si>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t>
  </si>
  <si>
    <t>Arrieta, Francisco Javier/R-4313-2018</t>
  </si>
  <si>
    <t>Arrieta, Francisco Javier/0000-0003-4696-6356</t>
  </si>
  <si>
    <t>1134-993X</t>
  </si>
  <si>
    <t>2386-4893</t>
  </si>
  <si>
    <t>WOS:000476658300003</t>
  </si>
  <si>
    <t>Scolere, Leah</t>
  </si>
  <si>
    <t>INFORMATION COMMUNICATION &amp; SOCIETY</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</si>
  <si>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t>
  </si>
  <si>
    <t>1369-118X</t>
  </si>
  <si>
    <t>1468-4462</t>
  </si>
  <si>
    <t>JUL 4</t>
  </si>
  <si>
    <t>WOS:000503540300001</t>
  </si>
  <si>
    <t>Fish, Adam; Srinivasan, Ramesh</t>
  </si>
  <si>
    <t>NEW MEDIA &amp; SOCIETY</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</si>
  <si>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t>
  </si>
  <si>
    <t>Fish, Adam/0000-0002-2597-1423</t>
  </si>
  <si>
    <t>1461-4448</t>
  </si>
  <si>
    <t>1461-7315</t>
  </si>
  <si>
    <t>WOS:000300785300009</t>
  </si>
  <si>
    <t>Digital Labour in the Platform Economy: The Case of Facebook</t>
  </si>
  <si>
    <t>Fumagalli, Andrea; Lucarelli, Stefano; Musolino, Elena; Rocchi, Giulia</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</si>
  <si>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t>
  </si>
  <si>
    <t>Lucarelli, Stefano/B-5253-2016</t>
  </si>
  <si>
    <t>Lucarelli, Stefano/0000-0003-1971-3265</t>
  </si>
  <si>
    <t>WOS:000436570100069</t>
  </si>
  <si>
    <t>Mackintosh, Nicola; Gong, Qian (Sarah); Hadjiconstantinou, Michelle; Verdezoto, Nervo</t>
  </si>
  <si>
    <t>SOCIAL SCIENCE &amp; MEDICINE</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</si>
  <si>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t>
  </si>
  <si>
    <t>Mackintosh, Nicola/0000-0003-0137-6432; Verdezoto Dias, Nervo Xavier/0000-0001-5006-4262</t>
  </si>
  <si>
    <t>0277-9536</t>
  </si>
  <si>
    <t>1873-5347</t>
  </si>
  <si>
    <t>WOS:000691532900025</t>
  </si>
  <si>
    <t>Heeks, Richard; Erasmo Gomez-Morantes, Juan; Graham, Mark; Howson, Kelle; Mungai, Paul; Nicholson, Brian; Van Belle, Jean-Paul</t>
  </si>
  <si>
    <t>WORLD DEVELOPMENT</t>
  </si>
  <si>
    <t>Institutional voids-shortcomings in the institutional functions required by markets-have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institutionalising-within the digital platform and in their broader business model-previously-distributed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(c) 2021 The Authors. Published by Elsevier Ltd. This is an open access article under the CC BY license (http:// creativecommons.org/licenses/by/4.0/).</t>
  </si>
  <si>
    <t>Howson, Kelle/0000-0002-5084-7993</t>
  </si>
  <si>
    <t>0305-750X</t>
  </si>
  <si>
    <t>1873-5991</t>
  </si>
  <si>
    <t>WOS:000657749600031</t>
  </si>
  <si>
    <t>Mantymaki, Matti; Baiyere, Abayomi; Islam, A. K. M. Najmul</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</si>
  <si>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t>
  </si>
  <si>
    <t>Mantymaki, Matti/0000-0002-1981-566X</t>
  </si>
  <si>
    <t>WOS:000489702000034</t>
  </si>
  <si>
    <t>Digital Putting-out System-an Old New Method of Work in Platform Economy</t>
  </si>
  <si>
    <t>Mika, Bartosz</t>
  </si>
  <si>
    <t>POLISH SOCIOLOGICAL REVIEW</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</si>
  <si>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t>
  </si>
  <si>
    <t>Mika, Bartosz/0000-0001-8204-5373</t>
  </si>
  <si>
    <t>1231-1413</t>
  </si>
  <si>
    <t>WOS:000580406400001</t>
  </si>
  <si>
    <t>Digital technology to support students' socioscientific reasoning about environmental issues</t>
  </si>
  <si>
    <t>Morin, Olivier; Simonneaux, Laurence; Simonneaux, Jean; Tytler, Russell</t>
  </si>
  <si>
    <t>JOURNAL OF BIOLOGICAL EDUCATION</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</si>
  <si>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t>
  </si>
  <si>
    <t>Tytler, Russell/0000-0003-0161-7240; MORIN, Olivier/0000-0002-4150-2010</t>
  </si>
  <si>
    <t>0021-9266</t>
  </si>
  <si>
    <t>2157-6009</t>
  </si>
  <si>
    <t>SEP 1</t>
  </si>
  <si>
    <t>WOS:000324608900018</t>
  </si>
  <si>
    <t>Pink, Sarah; Hjorth, Larissa; Horst, Heather; Nettheim, Josh; Bell, Genevieve</t>
  </si>
  <si>
    <t>EUROPEAN JOURNAL OF CULTURAL STUDIES</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</si>
  <si>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t>
  </si>
  <si>
    <t>Hjorth, Larissa/R-8755-2019</t>
  </si>
  <si>
    <t>Hjorth, Larissa/0000-0002-4793-3233; Bell, Genevieve/0000-0002-0096-2088</t>
  </si>
  <si>
    <t>1367-5494</t>
  </si>
  <si>
    <t>1460-3551</t>
  </si>
  <si>
    <t>WOS:000427301400003</t>
  </si>
  <si>
    <t>Crosby, Alexandra; Pham, Kane; Peterson, J. Fiona; Lee, Thomas</t>
  </si>
  <si>
    <t>INTERNATIONAL JOURNAL OF ART &amp; DESIGN EDUCATION</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</si>
  <si>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t>
  </si>
  <si>
    <t>Crosby, Alexandra/AAK-3132-2020</t>
  </si>
  <si>
    <t>Crosby, Alexandra/0000-0001-8959-7971; Pham, Kane/0000-0002-0673-7789</t>
  </si>
  <si>
    <t>1476-8062</t>
  </si>
  <si>
    <t>1476-8070</t>
  </si>
  <si>
    <t>WOS:000512209000003</t>
  </si>
  <si>
    <t>Discovering Collective Narratives of Theme Parks from Large Collections of Visitors' Photo Streams</t>
  </si>
  <si>
    <t>Kim, Gunhee; Sigal, Leonid</t>
  </si>
  <si>
    <t>KDD'15: PROCEEDINGS OF THE 21ST ACM SIGKDD INTERNATIONAL CONFERENCE ON KNOWLEDGE DISCOVERY AND DATA MINING</t>
  </si>
  <si>
    <t>21st ACM SIGKDD Conference on Knowledge Discovery and Data Mining (KDD)</t>
  </si>
  <si>
    <t>AUG 10-13, 2015</t>
  </si>
  <si>
    <t>Univ Technol Sydney, Adv Analyt Inst, Sydney, AUSTRALIA</t>
  </si>
  <si>
    <t>Assoc Comp Machinery SIGKDD,Assoc Comp Machinery SIGMOD,Taylor &amp; Francis Grp,Univ Technol Sydney,Morgan &amp; Claypool Publishers</t>
  </si>
  <si>
    <t>Univ Technol Sydney, Adv Analyt Inst</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</si>
  <si>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 based recommendation tasks than other alternatives. We also present storybook-like demo examples regarding exploration, recommendation, and temporal analysis, which may be most beneficial uses of the story graphs to visitors.</t>
  </si>
  <si>
    <t>978-1-4503-3664-2</t>
  </si>
  <si>
    <t>WOS:000485312900201</t>
  </si>
  <si>
    <t>Titova, Liudmila; Wagstaff, Audrey E.; Parks, Acacia C.</t>
  </si>
  <si>
    <t>JOURNAL OF CROSS-CULTURAL PSYCHOLOGY</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</si>
  <si>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t>
  </si>
  <si>
    <t>Titova, Milla/AAA-5699-2021</t>
  </si>
  <si>
    <t>Titova, Milla/0000-0001-6557-015X; Parks, Acacia/0000-0001-6643-0116</t>
  </si>
  <si>
    <t>0022-0221</t>
  </si>
  <si>
    <t>1552-5422</t>
  </si>
  <si>
    <t>WOS:000401007400008</t>
  </si>
  <si>
    <t>Zozaya-Durazo, Luisa; Sadaba-Chalezquer, Charo</t>
  </si>
  <si>
    <t>MEDIA AND COMMUNICATION</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</si>
  <si>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t>
  </si>
  <si>
    <t>Sadaba, Charo/H-3121-2015</t>
  </si>
  <si>
    <t>Sadaba, Charo/0000-0003-2596-2794; ZOZAYA, LUISA/0000-0002-3505-0687</t>
  </si>
  <si>
    <t>2183-2439</t>
  </si>
  <si>
    <t>WOS:000762434300002</t>
  </si>
  <si>
    <t>Mullerova, Jana; Hansen, Maj; Contractor, Ateka A.; Elhai, Jon D.; Armour, Cherie</t>
  </si>
  <si>
    <t>PSYCHOLOGICAL TRAUMA-THEORY RESEARCH PRACTICE AND POLICY</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</si>
  <si>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t>
  </si>
  <si>
    <t>Elhai, Jon D/U-1901-2017</t>
  </si>
  <si>
    <t>Elhai, Jon D/0000-0001-5205-9010; Ross, Jana/0000-0003-2794-1268; Armour, Cherie/0000-0001-7649-3874</t>
  </si>
  <si>
    <t>1942-9681</t>
  </si>
  <si>
    <t>1942-969X</t>
  </si>
  <si>
    <t>WOS:000383254000008</t>
  </si>
  <si>
    <t>Fan, Ju; Wei, Zhewei; Zhang, Dongxiang; Yang, Jingru; Du, Xiaoyong</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</si>
  <si>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t>
  </si>
  <si>
    <t>WOS:000471001800008</t>
  </si>
  <si>
    <t>Divide to Defend: Collusive Security Games</t>
  </si>
  <si>
    <t>Zhu, Q; Alpcan, T; Panaousis, E; Tambe, M; Casey, W</t>
  </si>
  <si>
    <t>Gholami, Shahrzad; Wilder, Bryan; Brown, Matthew; Thomas, Dana; Sintov, Nicole; Tambe, Milind</t>
  </si>
  <si>
    <t>DECISION AND GAME THEORY FOR SECURITY, (GAMESEC 2016)</t>
  </si>
  <si>
    <t>7th International Conference on Decision and Game Theory for Security (GameSec)</t>
  </si>
  <si>
    <t>NOV 02-04, 2016</t>
  </si>
  <si>
    <t>New York, NY</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</si>
  <si>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t>
  </si>
  <si>
    <t>978-3-319-47413-7; 978-3-319-47412-0</t>
  </si>
  <si>
    <t>WOS:000389821200016</t>
  </si>
  <si>
    <t>Ratcliff, Roger; Hendrickson, Andrew T.</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</si>
  <si>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t>
  </si>
  <si>
    <t>Ratcliff, Roger/0000-0001-9657-0814; Hendrickson, Andrew/0000-0002-5690-2412</t>
  </si>
  <si>
    <t>WOS:000637474500001</t>
  </si>
  <si>
    <t>Do Step- and Biological Grandparents Show Differences in Investment and Emotional Closeness With Their Grandchildren?</t>
  </si>
  <si>
    <t>Gray, Peter B.; Brogdon, Elizabeth</t>
  </si>
  <si>
    <t>EVOLUTIONARY PSYCHOLOGY</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</si>
  <si>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t>
  </si>
  <si>
    <t>Gray, Peter/0000-0003-1774-2468</t>
  </si>
  <si>
    <t>1474-7049</t>
  </si>
  <si>
    <t>WOS:000394688300013</t>
  </si>
  <si>
    <t>HakemZadeh, Farimah; Sayin, Firat K.; Neiterman, Elena; Zeytinoglu, Isik Urla; Geraci, Johanna; Plenderleith, Jennifer; Lobb, Derek</t>
  </si>
  <si>
    <t>HEALTH POLICY</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</si>
  <si>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 Published by Elsevier B.V. This is an open access article under the CC BY-NC-ND license (http://creativecommons.org/licenses/by-nc-nd/4.0/). 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t>
  </si>
  <si>
    <t>0168-8510</t>
  </si>
  <si>
    <t>1872-6054</t>
  </si>
  <si>
    <t>WOS:000632729500004</t>
  </si>
  <si>
    <t>Does Contextual Factor Influence Travelers' Towel Reuse Behavior? Insights from Circular Economy</t>
  </si>
  <si>
    <t>Rafiq, Farrukh; Adil, Mohd; Sadiq, Mohd</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</si>
  <si>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t>
  </si>
  <si>
    <t>Adil, Mohd/AAZ-9869-2021</t>
  </si>
  <si>
    <t>Adil, Mohd/0000-0003-3907-0666; Rafiq, Farrukh/0000-0001-8191-379X</t>
  </si>
  <si>
    <t>WOS:000801425000001</t>
  </si>
  <si>
    <t>Perkhofer, Lisa; Walchshofer, Conny; Hofer, Peter</t>
  </si>
  <si>
    <t>JOURNAL OF MANAGEMENT CONTROL</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</si>
  <si>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t>
  </si>
  <si>
    <t>Hofer, Peter/F-3199-2016; Huebl, Lucas/ABA-2693-2020</t>
  </si>
  <si>
    <t>Hofer, Peter/0000-0002-9898-2676; Perkhofer, Lisa/0000-0002-6740-227X</t>
  </si>
  <si>
    <t>2191-4761</t>
  </si>
  <si>
    <t>2191-477X</t>
  </si>
  <si>
    <t>1-2</t>
  </si>
  <si>
    <t>WOS:000517100300001</t>
  </si>
  <si>
    <t>Does Distance Still Matter? Revisiting the CSCW Fundamentals on Distributed Collaboration</t>
  </si>
  <si>
    <t>Bjorn, Pernille; Esbensen, Morten; Jensen, Rasmus Eskild; Matthiesen, Stina</t>
  </si>
  <si>
    <t>ACM TRANSACTIONS ON COMPUTER-HUMAN INTERACTION</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</si>
  <si>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t>
  </si>
  <si>
    <t>Matthiesen, Stina/J-5246-2015</t>
  </si>
  <si>
    <t>Matthiesen, Stina/0000-0002-7143-7467</t>
  </si>
  <si>
    <t>1073-0516</t>
  </si>
  <si>
    <t>1557-7325</t>
  </si>
  <si>
    <t>WOS:000345630500003</t>
  </si>
  <si>
    <t>Garcia, Mercedes Jimenez; Chico, Jose Ruiz; Sanchez, Antonio Rafael Pena; Sanchez, Jose Antonio Lopez</t>
  </si>
  <si>
    <t>JOURNAL OF QUALITY ASSURANCE IN HOSPITALITY &amp; TOURISM</t>
  </si>
  <si>
    <t>This study aims to analyze three main variables of electronic word-of-mouth (eWOM) - impact on bookings volume, main attributes of client satisfaction, and best strategy for responding to unfavorable opinions - 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t>
  </si>
  <si>
    <t>Jimenez-Garcia, Mercedes/0000-0002-4180-2216; Lopez Sanchez, Jose Antonio/0000-0002-5774-7442</t>
  </si>
  <si>
    <t>1528-008X</t>
  </si>
  <si>
    <t>1528-0098</t>
  </si>
  <si>
    <t>WOS:000643816300001</t>
  </si>
  <si>
    <t>Fackler, Daniel; Stegmaier, Jens; Weigt, Eva</t>
  </si>
  <si>
    <t>LABOUR ECONOMICS</t>
  </si>
  <si>
    <t>30th Annual Conference of the European-Association-of-Labour-Economists (EALE)</t>
  </si>
  <si>
    <t>SEP 13-15, 2018</t>
  </si>
  <si>
    <t>Lyon, FRANCE</t>
  </si>
  <si>
    <t>European Assoc Labour Economists</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</si>
  <si>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t>
  </si>
  <si>
    <t>0927-5371</t>
  </si>
  <si>
    <t>1879-1034</t>
  </si>
  <si>
    <t>WOS:000484654300009</t>
  </si>
  <si>
    <t>Does Gamification Motivate Gig Workers? A Critical Issue in Ride-Sharing Industries</t>
  </si>
  <si>
    <t>Prabowo, Rahmanto; Sucahyo, Yudho Giri; Gandhi, Arfive; Ruldeviyani, Yova</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</si>
  <si>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t>
  </si>
  <si>
    <t>WOS:000542028400055</t>
  </si>
  <si>
    <t>Lou, Chen; Xie, Quan; Feng, Yang; Kim, Wonkyung</t>
  </si>
  <si>
    <t>JOURNAL OF PRODUCT AND BRAND MANAGEMENT</t>
  </si>
  <si>
    <t>Purpose - This study aims to test the role of branded content marketing on YouTube in brand building and explicates the mechanism through which brand content influences brand loyalty and purchase intentions. Design/methodology/approach - This study uses a quantitative, Web-based, three-step randomized intervention design and recruits YouTube users through the Amazon Mechanical Turk (n = 925). Findings -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t>
  </si>
  <si>
    <t>Kim, Wonkyung/ABA-5118-2021</t>
  </si>
  <si>
    <t>Xie, Quan/0000-0002-5768-0671</t>
  </si>
  <si>
    <t>1061-0421</t>
  </si>
  <si>
    <t>2054-1643</t>
  </si>
  <si>
    <t>WOS:000521332000001</t>
  </si>
  <si>
    <t>Liu, Chong; Wang, Yu-Xiang</t>
  </si>
  <si>
    <t>JOURNAL OF ARTIFICIAL INTELLIGENCE RESEARCH</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</si>
  <si>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t>
  </si>
  <si>
    <t>1076-9757</t>
  </si>
  <si>
    <t>1943-5037</t>
  </si>
  <si>
    <t>WOS:000744204800001</t>
  </si>
  <si>
    <t>Lace, John W.; Merz, Zachary C.</t>
  </si>
  <si>
    <t>PSYCHIATRY RESEARCH</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</si>
  <si>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 serious mental illness and internalizing/affective) factors accounting for 67.3% and 73.7% of the variance, respectively. CFAs indicated good fit for both models, though statistical comparison of the models via chi(2)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t>
  </si>
  <si>
    <t>0165-1781</t>
  </si>
  <si>
    <t>1872-7123</t>
  </si>
  <si>
    <t>WOS:000596091100022</t>
  </si>
  <si>
    <t>Shapiro, Aaron</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</si>
  <si>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facade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t>
  </si>
  <si>
    <t>WOS:000514613000001</t>
  </si>
  <si>
    <t>Imtiaz, Salma; Ikram, Naveed</t>
  </si>
  <si>
    <t>ContextGlobal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30years GSD experience to gain insight into the dynamics of task allocation process. ResultsThe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t>
  </si>
  <si>
    <t>e1832</t>
  </si>
  <si>
    <t>WOS:000393872000003</t>
  </si>
  <si>
    <t>Jirsaraie, Robert Jesus; Ranby, Krista Wilke; Albeck, David Scott</t>
  </si>
  <si>
    <t>CHILD ABUSE &amp; NEGLECT</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</si>
  <si>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(beta= -0.37,p = 0.002), community violence (beta= -0.30,p = 0.012), emotional abuse (beta = -0.27,p = 0.026), and an overall summary score of early life stress (beta = -0.33,p = 0.006). The relationship between age and charitability was only weakened by family violence (beta = -0.24,p = 0.048). The association between age and helping attitudes was weakened by family violence (beta = -0.10, p = 0.023), community violence (beta= -0.13,p = 0.003), and physical neglect (beta= -0.11,p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t>
  </si>
  <si>
    <t>Ranby, Krista/AAJ-4164-2020</t>
  </si>
  <si>
    <t>Ranby, Krista/0000-0003-3587-9599</t>
  </si>
  <si>
    <t>0145-2134</t>
  </si>
  <si>
    <t>1873-7757</t>
  </si>
  <si>
    <t>WOS:000478106700014</t>
  </si>
  <si>
    <t>Easy Does It: More Usable CAPTCHAs</t>
  </si>
  <si>
    <t>Bursztein, Elie; Moscicki, Angelique; Fabry, Celine; Bethard, Steven; Mitchell, John C.; Jurafsky, Dan</t>
  </si>
  <si>
    <t>32ND ANNUAL ACM CONFERENCE ON HUMAN FACTORS IN COMPUTING SYSTEMS (CHI 2014)</t>
  </si>
  <si>
    <t>32nd Annual ACM Conference on Human Factors in Computing Systems (CHI)</t>
  </si>
  <si>
    <t>APR 26-MAY 01, 2014</t>
  </si>
  <si>
    <t>Assoc Comp Machinery,Special Interest Grp Comp Human Interact,Autodesk,Bloomberg,Google,Graph, Animat &amp; New Media,Microsoft,Naver,Univ Toronto, Comp Sci,Facebook,NSF,Yahoo Labs</t>
  </si>
  <si>
    <t>978-1-4503-2473-1</t>
  </si>
  <si>
    <t>WOS:000773858602080</t>
  </si>
  <si>
    <t>Braden, Abby; Musher-Eizenman, Dara; Watford, Tanya; Emley, Elizabeth</t>
  </si>
  <si>
    <t>APPETITE</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</si>
  <si>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(C) 2018 Elsevier Ltd. All rights reserved.</t>
  </si>
  <si>
    <t>Watford, Tanya/0000-0001-7484-735X; Emley, Elizabeth/0000-0002-3260-711X</t>
  </si>
  <si>
    <t>0195-6663</t>
  </si>
  <si>
    <t>1095-8304</t>
  </si>
  <si>
    <t>WOS:000430777900044</t>
  </si>
  <si>
    <t>Bahja, Frida; Hancer, Murat</t>
  </si>
  <si>
    <t>JOURNAL OF DESTINATION MARKETING &amp; MANAGEMENT</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</si>
  <si>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t>
  </si>
  <si>
    <t>Bahja, Frida/0000-0002-5687-153X</t>
  </si>
  <si>
    <t>2212-571X</t>
  </si>
  <si>
    <t>2212-5752</t>
  </si>
  <si>
    <t>WOS:000663555800008</t>
  </si>
  <si>
    <t>Effect of Physician Gender and Race on Simulated Patients' Ratings and Confidence in Their Physicians A Randomized Trial</t>
  </si>
  <si>
    <t>Solnick, Rachel E.; Peyton, Kyle; Kraft-Todd, Gordon; Safdar, Basmah</t>
  </si>
  <si>
    <t>JAMA NETWORK OPEN</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</si>
  <si>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x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This randomized trial examines whether physician gender and race affect patient ratings of satisfaction and confidence in the physician during a simulated clinical encounter for an emergency department visit. Question In a simulated clinical encounter, do participants evaluate physicians differently based on the physician's gender or race? Findings In this randomized trial of 3592 online respondents, simulated physician gender and race did not significantly affect participant satisfaction or confidence in physician clinical judgment compared with a white male physician control. Meaning Participants reported equal satisfaction and confidence in the simulated physicians' diagnosis and treatment plans regardless of the physician's gender or race.</t>
  </si>
  <si>
    <t>Solnick, Rachel E./0000-0002-2565-5690</t>
  </si>
  <si>
    <t>2574-3805</t>
  </si>
  <si>
    <t>FEB 21</t>
  </si>
  <si>
    <t>e1920511</t>
  </si>
  <si>
    <t>WOS:000517982900001</t>
  </si>
  <si>
    <t>Effect of Project Management in Requirements Engineering and Requirements Change Management Process for Global Software Development</t>
  </si>
  <si>
    <t>Shafiq, Muhammad; Zhang, Qinghua; Akbar, Muhammad Azeem; Khan, Arif Ali; Hussain, Shahid; Fazal-E-Amin; Khan, Asfandyar; Soofi, Aized Amin</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</si>
  <si>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t>
  </si>
  <si>
    <t>Akbar, Muhammad Azeem/ABD-5149-2021; Akbar, Muhammad Azeem/AAB-2338-2022; Khan, Arif Ali/ABG-2862-2020; Shafiq, Muhammad/ABI-8393-2020; Hussain, Shahid/AAP-5065-2021; Amin, Fazal-e-/AAE-8934-2019</t>
  </si>
  <si>
    <t>Akbar, Muhammad Azeem/0000-0002-6880-4991; Khan, Arif Ali/0000-0002-8479-1481; Shafiq, Muhammad/0000-0002-3724-6528; Hussain, Shahid/0000-0003-4826-3339; Amin, Fazal-e-/0000-0001-9800-8438; Zhang, Qinghua/0000-0002-6154-4656</t>
  </si>
  <si>
    <t>WOS:000434934100001</t>
  </si>
  <si>
    <t>Bokhove, Christian; Drijvers, Paul</t>
  </si>
  <si>
    <t>COMPUTERS &amp; EDUCATION</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</si>
  <si>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(C) 2011 Elsevier Ltd. All rights reserved.</t>
  </si>
  <si>
    <t>Bokhove, Christian/0000-0002-4860-8723</t>
  </si>
  <si>
    <t>0360-1315</t>
  </si>
  <si>
    <t>WOS:000298524300019</t>
  </si>
  <si>
    <t>Ozcan, Timucin; Hattat, Ahmet M.; Hair, Michael</t>
  </si>
  <si>
    <t>Purpose This paper aims to investigate the effectiveness of positioning unknown ingredients either with the presence or absence of framing; both are common in marketplace (e.g. Secret (R) deodorant visibly claims aluminum chlorohydrate while Crystal (R)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t>
  </si>
  <si>
    <t>Hair, Michael/R-9506-2019</t>
  </si>
  <si>
    <t>Hair, Michael/0000-0002-4596-3535</t>
  </si>
  <si>
    <t>9-10</t>
  </si>
  <si>
    <t>WOS:000447169800016</t>
  </si>
  <si>
    <t>Effects of Cohesion-Based Feedback on the Collaborations in Global Software Development Teams</t>
  </si>
  <si>
    <t>Castro-Hernandez, Alberto; Swigger, Kathleen; Ponce-Flores, Mirna P.</t>
  </si>
  <si>
    <t>2014 INTERNATIONAL CONFERENCE ON COLLABORATIVE COMPUTING: NETWORKING, APPLICATIONS AND WORKSHARING (COLLABORATECOM)</t>
  </si>
  <si>
    <t>10th IEEE International Conference on Collaborative Computing Networking Applications and Worksharing</t>
  </si>
  <si>
    <t>OCT 22-25, 2014</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</si>
  <si>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t>
  </si>
  <si>
    <t>978-1-63190-043-3</t>
  </si>
  <si>
    <t>WOS:000380476700009</t>
  </si>
  <si>
    <t>Effects of Two Educational Posters on Contraceptive Knowledge and Intentions A Randomized Controlled Trial</t>
  </si>
  <si>
    <t>Anderson, Seri; Frerichs, Leah; Kaysin, Alexander; Wheeler, Stephanie B.; Halpern, Carolyn Tucker; Lich, Kristen Hassmiller</t>
  </si>
  <si>
    <t>OBSTETRICS AND GYNECOLOGY</t>
  </si>
  <si>
    <t>OBJECTIVE: To compare the Centers for Disease Control and Prevention's (CDC) contraceptive effectiveness poster with a more patient-centered poster on factors affecting the likelihood of using effective contraceptives. METHODS: 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Within-and between-group differences were compared for the two randomized groups. RESULTS: From January 26 to February 13, 2018, 2,930 people were screened and 990 randomized. For the primary outcomes, the only significant result was that the patient-centered poster produced a greater improvement in contraceptive knowledge than the CDC poster (P,. 001). Relative to baseline, both posters significantly improved contraceptive knowledge (CDC + 3.6, patientcentered + 6.4 percentage points, P,. 001) and a constructed score measuring the effectiveness of the contraceptive that women intended to use in the next year (CDC and patient-centered + 3 percentage points, P,. 01). This is equivalent to 1-17 of every 100 women who viewed a poster changing their intentions in favor of a more effective contraceptive. CONCLUSION: 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t>
  </si>
  <si>
    <t>Anderson, Seri/0000-0001-7765-6399</t>
  </si>
  <si>
    <t>0029-7844</t>
  </si>
  <si>
    <t>WOS:000460486800012</t>
  </si>
  <si>
    <t>Effects of Vacation Rental Websites on the Concentration of Tourists-Potential Environmental Impacts. An Application to the Balearic Islands in Spain</t>
  </si>
  <si>
    <t>Martin Martin, Jose Maria; Rodriguez Martin, Jose Antonio; Zermeno Mejia, Karla Aida; Salinas Fernandez, Jose Antonio</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</si>
  <si>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t>
  </si>
  <si>
    <t>Salinas Fernández, José Antonio/GOP-0990-2022; Fernández, José Antonio Salinas/H-7526-2018; Martin, Jose Maria Martin/O-8111-2018; Martin Martin, Jose Maria/O-8111-2018</t>
  </si>
  <si>
    <t>Salinas Fernández, José Antonio/0000-0002-7780-212X; Fernández, José Antonio Salinas/0000-0002-7780-212X; Martin, Jose Maria Martin/0000-0002-5891-0037; Martin Martin, Jose Maria/0000-0002-5639-2213</t>
  </si>
  <si>
    <t>WOS:000426721400172</t>
  </si>
  <si>
    <t>Effects of Website Interactivity on Skin Cancer-Related Intentions and User Experience: Factorial Randomized Experiment</t>
  </si>
  <si>
    <t>Niu, Zhaomeng; Willoughby, Jessica Fitts; Coups, Elliot J.; Stapleton, Jerod L.</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</si>
  <si>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2x2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t>
  </si>
  <si>
    <t>Niu, Zhaomeng/0000-0002-9906-5992; Stapleton, Jerod/0000-0002-8501-1483; Willoughby, Jessica/0000-0002-1118-9502</t>
  </si>
  <si>
    <t>JAN 13</t>
  </si>
  <si>
    <t>e18299</t>
  </si>
  <si>
    <t>WOS:000607468500001</t>
  </si>
  <si>
    <t>Efficiently Scaling up Crowdsourced Video Annotation A Set of Best Practices for High Quality, Economical Video Labeling</t>
  </si>
  <si>
    <t>Vondrick, Carl; Patterson, Donald; Ramanan, Deva</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</si>
  <si>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t>
  </si>
  <si>
    <t>Patterson, Donald/0000-0001-8525-0495</t>
  </si>
  <si>
    <t>WOS:000314278500008</t>
  </si>
  <si>
    <t>Elevated Behavioral Economic Demand for Alcohol in Co-Users of Alcohol and Cannabis</t>
  </si>
  <si>
    <t>Morris, Vanessa; Patel, Herry; Vedelago, Lana; Reed, Derek D.; Metrik, Jane; Aston, Elizabeth; MacKillop, James; Amlung, Michael</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</si>
  <si>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all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t>
  </si>
  <si>
    <t>, James/ABI-3641-2020; Reed, Derek/AAW-3920-2020</t>
  </si>
  <si>
    <t>, James/0000-0002-8695-1071; Reed, Derek/0000-0002-5854-3425; Aston, Elizabeth/0000-0001-6965-318X</t>
  </si>
  <si>
    <t>WOS:000454777200014</t>
  </si>
  <si>
    <t>Patel, Herry; Amlung, Michael</t>
  </si>
  <si>
    <t>EXPERIMENTAL AND CLINICAL PSYCHOPHARMACOLOGY</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</si>
  <si>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 1.36, ps &lt; .47). These results provide initial evidence that elevated cannabis demand may be a distal risk factor for DACU, but future research is needed to clarify the specific relationship between cannabis demand and DACU.</t>
  </si>
  <si>
    <t>1064-1297</t>
  </si>
  <si>
    <t>1936-2293</t>
  </si>
  <si>
    <t>WOS:000462868100002</t>
  </si>
  <si>
    <t>Eliciting and Receiving Online Support: Using Computer-Aided Content Analysis to Examine the Dynamics of Online Social Support</t>
  </si>
  <si>
    <t>Wang, Yi-Chia; Kraut, Robert E.; Levine, John M.</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</si>
  <si>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 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t>
  </si>
  <si>
    <t>e99</t>
  </si>
  <si>
    <t>WOS:000353928600005</t>
  </si>
  <si>
    <t>Embedded Fixers, Pragmatic Experimenters, Dedicated Activists: Evaluating Third-Party Labour Market Actors' Initiatives for Skilled Project-Based Workers in the Gig Economy</t>
  </si>
  <si>
    <t>Koene, Bas A. S.; Pichault, Francois</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</si>
  <si>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t>
  </si>
  <si>
    <t>Koene, Bas/AAE-2299-2021</t>
  </si>
  <si>
    <t>Pichault, Francois/0000-0003-1569-2938</t>
  </si>
  <si>
    <t>WOS:000550569500001</t>
  </si>
  <si>
    <t>Emotional Analysis of Music: A Comparison of Methods</t>
  </si>
  <si>
    <t>Soleymani, Mohammad; Aljanaki, Anna; Yang, Yi-Hsuan</t>
  </si>
  <si>
    <t>PROCEEDINGS OF THE 2014 ACM CONFERENCE ON MULTIMEDIA (MM'14)</t>
  </si>
  <si>
    <t>ACM Conference on Multimedia (MM)</t>
  </si>
  <si>
    <t>NOV 03-07, 2014</t>
  </si>
  <si>
    <t>Univ Cent Florida, Orlando, FL</t>
  </si>
  <si>
    <t>Assoc Comp Machinery,ACM SIGMM,FXPAL,Google,IBM,Microsoft Res,NASA Florida Space Grant Consortium,Yahoo Lab,Yandex</t>
  </si>
  <si>
    <t>Univ Cent Florida</t>
  </si>
  <si>
    <t>978-1-4503-3063-3</t>
  </si>
  <si>
    <t>WOS:000482104200216</t>
  </si>
  <si>
    <t>Empathy from private or publicself-consciousnessin socially responsible consumption</t>
  </si>
  <si>
    <t>Luan, Chi-Cheng; Chen, Tz-Han</t>
  </si>
  <si>
    <t>INTERNATIONAL JOURNAL OF NONPROFIT AND VOLUNTARY SECTOR MARKETING</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</si>
  <si>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t>
  </si>
  <si>
    <t>Luan, Chi-Cheng/0000-0002-5079-1934</t>
  </si>
  <si>
    <t>1465-4520</t>
  </si>
  <si>
    <t>1479-103X</t>
  </si>
  <si>
    <t>e1695</t>
  </si>
  <si>
    <t>WOS:000571416700001</t>
  </si>
  <si>
    <t>Galinac, Tihana</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</si>
  <si>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(C) 2009 Elsevier B.V. All rights reserved.</t>
  </si>
  <si>
    <t>Galinac Grbac, Tihana/D-7048-2016; Grbac, Tihana Galinac/AAU-8704-2021; Grbac, Tihana Galinac/K-2439-2019</t>
  </si>
  <si>
    <t xml:space="preserve">Galinac Grbac, Tihana/0000-0002-4351-4082; </t>
  </si>
  <si>
    <t>WOS:000268561700006</t>
  </si>
  <si>
    <t>Kroll, Josiane; Richardson, Ita; Prikladnicki, Rafael; Audy, Jorge L. N.</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</si>
  <si>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(c) 2017 Elsevier B.V. All rights reserved.</t>
  </si>
  <si>
    <t>Richardson, Ita/0000-0002-5493-2837</t>
  </si>
  <si>
    <t>WOS:000414878200003</t>
  </si>
  <si>
    <t>Rahman, Hanif Ur; Raza, Mushtaq; Afsar, Palwasha; Khan, Habib Ullah</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</si>
  <si>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t>
  </si>
  <si>
    <t>Afsar, Palwasha/O-4360-2015; , Mushtaq/C-8529-2017; Rahman, Hanif Ur/GLN-8093-2022; Khan, Habib Ullah/Q-7429-2016</t>
  </si>
  <si>
    <t>Afsar, Palwasha/0000-0003-1024-1118; , Mushtaq/0000-0003-2890-8072; Rahman, Hanif Ur/0000-0001-6012-6199; Khan, Habib Ullah/0000-0001-8373-2781</t>
  </si>
  <si>
    <t>WOS:000641950800001</t>
  </si>
  <si>
    <t>Employee attitudes and (digital) collaboration data: A preliminary analysis in the HRM field</t>
  </si>
  <si>
    <t>Fabbri, Tommaso; Mandreoli, Federica; Martoglia, Riccardo; Scapolan, Anna Chiara</t>
  </si>
  <si>
    <t>2019 28TH INTERNATIONAL CONFERENCE ON COMPUTER COMMUNICATION AND NETWORKS (ICCCN)</t>
  </si>
  <si>
    <t>28th International Conference on Computer Communications and Networks (ICCCN)</t>
  </si>
  <si>
    <t>JUL 29-AUG 01, 2019</t>
  </si>
  <si>
    <t>IEEE,IEEE Commun Soc,Univ Politecnica Valencia, Departamento Informatica Sistemas Computadores</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</si>
  <si>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t>
  </si>
  <si>
    <t>MANDREOLI, Federica/AAL-6017-2021</t>
  </si>
  <si>
    <t>MANDREOLI, Federica/0000-0002-8043-8787</t>
  </si>
  <si>
    <t>1095-2055</t>
  </si>
  <si>
    <t>978-1-7281-1856-7</t>
  </si>
  <si>
    <t>WOS:000533348400038</t>
  </si>
  <si>
    <t>Employee Well-Being and Digital Work during the COVID-19 Pandemic</t>
  </si>
  <si>
    <t>Juchnowicz, Marta; Kinowska, Hanna</t>
  </si>
  <si>
    <t>INFORMATION</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</si>
  <si>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t>
  </si>
  <si>
    <t>Kinowska, Hanna/0000-0002-7936-9737</t>
  </si>
  <si>
    <t>2078-2489</t>
  </si>
  <si>
    <t>WOS:000689101300001</t>
  </si>
  <si>
    <t>Ray, Tapas K.; Kenigsberg, Tat'Yana A.; Pana-Cryan, Regina</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</si>
  <si>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(C) 2017 Published by Elsevier Ltd.</t>
  </si>
  <si>
    <t>WOS:000412962400007</t>
  </si>
  <si>
    <t>Enabling GSD Task Allocation via Cloud-based Software Processes</t>
  </si>
  <si>
    <t>10.2991/ijndc.2017.5.4.4</t>
  </si>
  <si>
    <t>Alajrami, Sami; Gallina, Barbara; Romanovsky, Alexander</t>
  </si>
  <si>
    <t>INTERNATIONAL JOURNAL OF NETWORKED AND DISTRIBUTED COMPUTING</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</si>
  <si>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t>
  </si>
  <si>
    <t>Gallina, Barbara/AAP-7867-2021</t>
  </si>
  <si>
    <t>2211-7938</t>
  </si>
  <si>
    <t>2211-7946</t>
  </si>
  <si>
    <t>WOS:000419744900004</t>
  </si>
  <si>
    <t>Platt, Lisa F.; Szoka, Spring L.</t>
  </si>
  <si>
    <t>JOURNAL OF HOMOSEXUALITY</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</si>
  <si>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t>
  </si>
  <si>
    <t>0091-8369</t>
  </si>
  <si>
    <t>1540-3602</t>
  </si>
  <si>
    <t>JAN 28</t>
  </si>
  <si>
    <t>AUG 2019</t>
  </si>
  <si>
    <t>WOS:000480748700001</t>
  </si>
  <si>
    <t>ENHANCING SOCIAL MEDIA ANALYSIS WITH VISUAL DATA ANALYTICS: A DEEP LEARNING APPROACH</t>
  </si>
  <si>
    <t>10.25300/MISQ/2020/14870</t>
  </si>
  <si>
    <t>Shin, Donghyuk; He, Shu; Lee, Gene Moo; Whinston, Andrew B.; Cetintas, Suleyman; Lee, Kuang-Chih</t>
  </si>
  <si>
    <t>MIS QUARTERLY</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</si>
  <si>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t>
  </si>
  <si>
    <t>Lee, Gene Moo/0000-0003-0657-6898</t>
  </si>
  <si>
    <t>0276-7783</t>
  </si>
  <si>
    <t>WOS:000596039600001</t>
  </si>
  <si>
    <t>Enhancing the diagnosis of maxillary transverse discrepancy through 3-D technology and surface-to-surface superimposition. Description of the digital workflow with a documented case report</t>
  </si>
  <si>
    <t>Lo Giudice, A.; Nucera, R.; Ronsivalle, V; Di Grazia, C.; Rugeri, M.; Quinzi, V</t>
  </si>
  <si>
    <t>EUROPEAN JOURNAL OF PAEDIATRIC DENTISTRY</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</si>
  <si>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t>
  </si>
  <si>
    <t>Ronsivalle, Vincenzo/0000-0003-3059-4981; Lo Giudice, Antonino/0000-0001-6086-2348; Reis, AlessanRSS/0000-0001-8486-7469</t>
  </si>
  <si>
    <t>1591-996X</t>
  </si>
  <si>
    <t>2035-648X</t>
  </si>
  <si>
    <t>WOS:000582569000011</t>
  </si>
  <si>
    <t>Entrepreneurship and the gig economy: A bibliometric analysis</t>
  </si>
  <si>
    <t>Silva, Bruno C.; Moreira, Antonio C.</t>
  </si>
  <si>
    <t>CUADERNOS DE GESTION</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</si>
  <si>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t>
  </si>
  <si>
    <t>Carvalho da Silva, Bruno/0000-0002-5213-4583</t>
  </si>
  <si>
    <t>1131-6837</t>
  </si>
  <si>
    <t>1988-2157</t>
  </si>
  <si>
    <t>WOS:000798554800002</t>
  </si>
  <si>
    <t>Entropy Rate Estimation for English via a Large Cognitive Experiment Using Mechanical Turk</t>
  </si>
  <si>
    <t>Ren, Geng; Takahashi, Shuntaro; Tanaka-Ishii, Kumiko</t>
  </si>
  <si>
    <t>ENTROPY</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</si>
  <si>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 fewer predictions are used, the resulting h value may be underestimated. Our final entropy estimate was h approximate to 1.22 bits per character.</t>
  </si>
  <si>
    <t>Tanaka-Ishii, Kumiko/GLT-8977-2022</t>
  </si>
  <si>
    <t>Tanaka-Ishii, Kumiko/0000-0003-1752-3951</t>
  </si>
  <si>
    <t>1099-4300</t>
  </si>
  <si>
    <t>WOS:000507375900069</t>
  </si>
  <si>
    <t>D'Arco, Mario; Marino, Vittoria</t>
  </si>
  <si>
    <t>TRANSFORMING GOVERNMENT- PEOPLE PROCESS AND POLICY</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</si>
  <si>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t>
  </si>
  <si>
    <t>1750-6166</t>
  </si>
  <si>
    <t>1750-6174</t>
  </si>
  <si>
    <t>APR 6</t>
  </si>
  <si>
    <t>WOS:000752385900001</t>
  </si>
  <si>
    <t>Environmental risk perception from visual cues: the psychophysics of tornado risk perception</t>
  </si>
  <si>
    <t>Dewitt, Barry; Fischhoff, Baruch; Davis, Alexander; Broomell, Stephen B.</t>
  </si>
  <si>
    <t>ENVIRONMENTAL RESEARCH LETTERS</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</si>
  <si>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t>
  </si>
  <si>
    <t>Fischhoff, Baruch/I-9859-2014</t>
  </si>
  <si>
    <t>Fischhoff, Baruch/0000-0002-3030-6874; Dewitt, Barry/0000-0003-1622-6736</t>
  </si>
  <si>
    <t>1748-9326</t>
  </si>
  <si>
    <t>WOS:000367286300016</t>
  </si>
  <si>
    <t>Ruhi-Williams, Perisa; King, Mary J.; Stein, Jeffrey S.; Bickel, Warren K.</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</si>
  <si>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x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x SRT interactions, indicating that these variables operate independently of one another. These methods may be adapted for use in clinical treatment to aid in smoking cessation interventions.</t>
  </si>
  <si>
    <t>WOS:000815878400001</t>
  </si>
  <si>
    <t>Error Rates, Likelihood Ratios, and Jury Evaluation of Forensic Evidence(,)</t>
  </si>
  <si>
    <t>Garrett, Brandon L.; Crozier, William E.; Grady, Rebecca</t>
  </si>
  <si>
    <t>JOURNAL OF FORENSIC SCIENCES</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</si>
  <si>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t>
  </si>
  <si>
    <t>0022-1198</t>
  </si>
  <si>
    <t>1556-4029</t>
  </si>
  <si>
    <t>APR 2020</t>
  </si>
  <si>
    <t>WOS:000527406500001</t>
  </si>
  <si>
    <t>Establishing a Global Software Development Course: A Cultural Perspective</t>
  </si>
  <si>
    <t>Zeid, Amir; El-Bahey, Rehab</t>
  </si>
  <si>
    <t>2013 IEEE FRONTIERS IN EDUCATION CONFERENCE</t>
  </si>
  <si>
    <t>43rd Annual Frontiers in Education Conference (FIE)</t>
  </si>
  <si>
    <t>OCT 23-26, 2013</t>
  </si>
  <si>
    <t>Univ Oklahoma, Coll Engn, Oklahoma City, OK</t>
  </si>
  <si>
    <t>Inst Elect &amp; Elect Engineers Comp Soc,Amer Soc Engn Educ, Educ Res Methods Div,Inst Elect &amp; Elect Engineers,Inst Elect &amp; Elect Engineers Educ Soc</t>
  </si>
  <si>
    <t>Univ Oklahoma, Coll Engn</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</si>
  <si>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t>
  </si>
  <si>
    <t>0190-5848</t>
  </si>
  <si>
    <t>978-1-4673-5261-1</t>
  </si>
  <si>
    <t>WOS:000330839100357</t>
  </si>
  <si>
    <t>Establishing a Globally Distributed Software Development System in Academic Settings: An Ergonomic Perspective</t>
  </si>
  <si>
    <t>El-Bahey, Rehab; Zeid, Amir</t>
  </si>
  <si>
    <t>2013 IEEE INTERNATIONAL PROFESSIONAL COMMUNICATION CONFERENCE (IPCC)</t>
  </si>
  <si>
    <t>JUL 15-17, 2013</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</si>
  <si>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t>
  </si>
  <si>
    <t>2158-091X</t>
  </si>
  <si>
    <t>WOS:000369757400056</t>
  </si>
  <si>
    <t>Zhang, Yixuan; Di Bartolomeo, Sara; Sheng, Fangfang; Jimison, Holly; Dunne, Cody</t>
  </si>
  <si>
    <t>2019 IEEE VISUALIZATION CONFERENCE (VIS)</t>
  </si>
  <si>
    <t>16th IEEE Symposium on Visualization for Cyber Security (VizSec) / IEEE Visualization Conference (IEEE VIS)</t>
  </si>
  <si>
    <t>OCT 20-23, 2019</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</si>
  <si>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correctness-71% vs. 18% for NoAlign and SingleAlign. For understanding the duration between two sentinel events, NoAlign was the clear winner: correctness-88% vs. 36% for DualStretch-completion time-55 seconds vs. 101 seconds for DualLeft- and error-1.5% vs. 8.4% for DualStretch. For understanding precursor and aftereffect events, there was no significant difference among approaches. A free copy of this paper, the evaluation stimuli and data, and source code are available at osf.io/78fs5</t>
  </si>
  <si>
    <t>Zhang, Yixuan/0000-0002-7412-4669; Dunne, Cody/0000-0002-1609-9776</t>
  </si>
  <si>
    <t>978-1-7281-4941-7</t>
  </si>
  <si>
    <t>WOS:000527436500042</t>
  </si>
  <si>
    <t>Evaluating and Improving the Usability of Mechanical Turk for Low-Income Workers in India</t>
  </si>
  <si>
    <t>Khanna, Shashank; Ratan, Aishwarya; Davis, James; Thies, William</t>
  </si>
  <si>
    <t>PROCEEDINGS OF THE FIRST ACM SYMPOSIUM ON COMPUTING FOR DEVELOPMENT (ACM DEV 2010)</t>
  </si>
  <si>
    <t>1st ACM Annual Symposium on Computing for Development (ACM DEV)</t>
  </si>
  <si>
    <t>DEC 17-18, 2010</t>
  </si>
  <si>
    <t>Univ London, London, ENGLAND</t>
  </si>
  <si>
    <t>Univ London</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</si>
  <si>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t>
  </si>
  <si>
    <t>978-1-4503-0473-3</t>
  </si>
  <si>
    <t>WOS:000395770400012</t>
  </si>
  <si>
    <t>Evaluating and Predicting Answer Quality in Community QA</t>
  </si>
  <si>
    <t>Chen, HH; Efthimiadis, EN; Savoy, J; Crestani, F; MarchandMaillet, S</t>
  </si>
  <si>
    <t>Shah, Chirag; Pomerantz, Jefferey</t>
  </si>
  <si>
    <t>SIGIR 2010: PROCEEDINGS OF THE 33RD ANNUAL INTERNATIONAL ACM SIGIR CONFERENCE ON RESEARCH DEVELOPMENT IN INFORMATION RETRIEVAL</t>
  </si>
  <si>
    <t>33rd Annual International ACM SIGIR Conference on Research and Development in Information Retrieval</t>
  </si>
  <si>
    <t>JUL 19-23, 2010</t>
  </si>
  <si>
    <t>Geneva, SWITZERLAND</t>
  </si>
  <si>
    <t>Special Interest Grp Informat Retrieval,Assoc Comp Machinery,Baidu,Google,Microsoft Res,Yahoo,Informat Retrieval Fac,IBM Res,FNSNF, Swiss Natl Sci Fdn</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</si>
  <si>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it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t>
  </si>
  <si>
    <t>Shah, Chirag/AAU-2437-2020</t>
  </si>
  <si>
    <t>Shah, Chirag/0000-0002-3797-4293</t>
  </si>
  <si>
    <t>978-1-60558-896-4</t>
  </si>
  <si>
    <t>WOS:000286904100054</t>
  </si>
  <si>
    <t>Evaluating Architectural Design Decision Paradigms in Global Software Development</t>
  </si>
  <si>
    <t>Che, Meiru; Perry, Dewayne E.; Yang, Guowei</t>
  </si>
  <si>
    <t>INTERNATIONAL JOURNAL OF SOFTWARE ENGINEERING AND KNOWLEDGE ENGINEERING</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</si>
  <si>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t>
  </si>
  <si>
    <t>Yang, Guowei/0000-0002-1404-4560</t>
  </si>
  <si>
    <t>0218-1940</t>
  </si>
  <si>
    <t>1793-6403</t>
  </si>
  <si>
    <t>NOV-DEC</t>
  </si>
  <si>
    <t>WOS:000372155400014</t>
  </si>
  <si>
    <t>Evaluating factors that challenge Global Software Development</t>
  </si>
  <si>
    <t>Cordeiro, J; Shishkov, B; Ranchordas, A; Helfert, M</t>
  </si>
  <si>
    <t>ICSOFT 2008: PROCEEDINGS OF THE THIRD INTERNATIONAL CONFERENCE ON SOFTWARE AND DATA TECHNOLOGIES, VOL SE/GSDCA/MUSE</t>
  </si>
  <si>
    <t>3rd International Conference on Software and Data Technologies</t>
  </si>
  <si>
    <t>JUL 05-08, 2008</t>
  </si>
  <si>
    <t>Oporto, PORTUGAL</t>
  </si>
  <si>
    <t>Inst Syst &amp; Technol Informat, Control &amp; Commun,Workflow Management Coalit, Proc Thought Leadership,IICREST</t>
  </si>
  <si>
    <t>978-989-8111-52-4</t>
  </si>
  <si>
    <t>WOS:000258925900051</t>
  </si>
  <si>
    <t>Evaluating GSD-Aware: A Serious Game for Discovering Global Software Development Challenges</t>
  </si>
  <si>
    <t>Vizcaino, Aurora; Garcia, Felix; Rodriguez de Guzman, Ignacio Garcia; Angeles Moraga, M.</t>
  </si>
  <si>
    <t>ACM TRANSACTIONS ON COMPUTING EDUCATION</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</si>
  <si>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</si>
  <si>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García, Félix O./D-4299-2011</t>
  </si>
  <si>
    <t>García, Félix O./0000-0001-6460-0353</t>
  </si>
  <si>
    <t>1946-6226</t>
  </si>
  <si>
    <t>WOS:000458016600008</t>
  </si>
  <si>
    <t>Di Bartolomeo, Sara; Pandey, Aditeya; Leventidis, Aristotelis; Saffo, David; Syeda, Uzma Haque; Carstensdottir, Elin; El-Nasr, Magy Seif; Borkin, Michelle A.; Dunne, Cody</t>
  </si>
  <si>
    <t>PROCEEDINGS OF THE 2020 CHI CONFERENCE ON HUMAN FACTORS IN COMPUTING SYSTEMS (CHI'20)</t>
  </si>
  <si>
    <t>APR 25-30, 2020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</si>
  <si>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 = 192) in which we evaluate how timeline shape affects task completion time, correctness, and user preference. We tested 12 combinations of 4 shapes - horizontal line, vertical line, circle, and spiral - and 3 data types -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at https://osf.io/qr5yu/</t>
  </si>
  <si>
    <t>Leventidis, Aristotelis/0000-0002-7229-3936; Dunne, Cody/0000-0002-1609-9776; Borkin, Michelle/0000-0002-8016-355X</t>
  </si>
  <si>
    <t>978-1-4503-6708-0</t>
  </si>
  <si>
    <t>WOS:000695432500110</t>
  </si>
  <si>
    <t>Evaluating the Interpretability of Generative Models by Interactive Reconstruction</t>
  </si>
  <si>
    <t>Ross, Andrew; Chen, Nina; Hang, Elisa Zhao; Glassman, Elena L.; Doshi-Velez, Finale</t>
  </si>
  <si>
    <t>CHI '21: PROCEEDINGS OF THE 2021 CHI CONFERENCE ON HUMAN FACTORS IN COMPUTING SYSTEMS</t>
  </si>
  <si>
    <t>CHI Conference on Human Factors in Computing Systems</t>
  </si>
  <si>
    <t>MAY 08-13, 2021</t>
  </si>
  <si>
    <t>ACM SIGCHI,Assoc Comp Machinery,Bloomberg,Facebook,Google,Kyocera,Microsoft,Monash Univ,Verizon Media</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</si>
  <si>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t>
  </si>
  <si>
    <t>978-1-4503-8096-6</t>
  </si>
  <si>
    <t>WOS:000758168003050</t>
  </si>
  <si>
    <t>Evaluation and User Preference Study on Spatial Diversity</t>
  </si>
  <si>
    <t>Gurrin, C; He, Y; Kazai, G; Kruschwitz, U; Little, S; Roelleke, T; Ruger, S; VanRijsbergen, K</t>
  </si>
  <si>
    <t>Tang, Jiayu; Sanderson, Mark</t>
  </si>
  <si>
    <t>ADVANCES IN INFORMATION RETRIEVAL, PROCEEDINGS</t>
  </si>
  <si>
    <t>32nd European Conference on Information Retrieval Research</t>
  </si>
  <si>
    <t>MAR 28-31, 2010</t>
  </si>
  <si>
    <t>Milton Keynes, ENGLAND</t>
  </si>
  <si>
    <t>Open Univ,Dublin City Univ,Univ Essex,British Comp Soc, Informat Retrieval Specialist Grp,ACM SIGIR,Apriorie,FLAX,Informat Retrieval Fac,AWS,Funnelback,Microsoft Res,GCHQ,Exalead,Google,YAHOO</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</si>
  <si>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all spatially diversified results.</t>
  </si>
  <si>
    <t>Sanderson, Mark/0000-0003-0487-9609</t>
  </si>
  <si>
    <t>978-3-642-12274-3</t>
  </si>
  <si>
    <t>WOS:000279393900018</t>
  </si>
  <si>
    <t>Evaluation of a Novel Conjunctive Exploratory Navigation Interface for Consumer Health Information: A Crowdsourced Comparative Study</t>
  </si>
  <si>
    <t>Cui, Licong; Carter, Rebecca; Zhang, Guo-Qiang</t>
  </si>
  <si>
    <t>Cui, Licong/0000-0001-5549-8780</t>
  </si>
  <si>
    <t>e45</t>
  </si>
  <si>
    <t>WOS:000332397500036</t>
  </si>
  <si>
    <t>Evaluation of a simulation platform for interaction training: a multi-phased methodology</t>
  </si>
  <si>
    <t>Monasor, Miguel J.; Vizcaino, Aurora; Piattini, Mario; Noll, John; Beecham, Sarah</t>
  </si>
  <si>
    <t>2014 IEEE FRONTIERS IN EDUCATION CONFERENCE (FIE)</t>
  </si>
  <si>
    <t>IEEE Frontiers in Education Conference (FIE)</t>
  </si>
  <si>
    <t>Madrid, SPAIN</t>
  </si>
  <si>
    <t>Frontiers In Educ,IEEE,IEEE Comp Soc,American Soc Engn Educ</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</si>
  <si>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t>
  </si>
  <si>
    <t>Piattini, Mario/0000-0002-7212-8279; Vizcaíno, Aurora/0000-0002-2072-5581</t>
  </si>
  <si>
    <t>978-1-4799-3922-0</t>
  </si>
  <si>
    <t>WOS:000380490601122</t>
  </si>
  <si>
    <t>Kaya, Ozcan; Sariyilmaz, Kerim; Tutpinar, Yildiray; Cakmak, Mehmet Fevzi; Cakir, Mehmet Semih; Ozkunt, Okan</t>
  </si>
  <si>
    <t>BIOMED RESEARCH INTERNATIONAL</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</si>
  <si>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 &lt;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 &lt; 0.001). Foraminal area changes between the complaint side and the opposite side was not statistically different (p &gt; 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t>
  </si>
  <si>
    <t>Kaya, Ozcan/0000-0002-4547-3042</t>
  </si>
  <si>
    <t>2314-6133</t>
  </si>
  <si>
    <t>2314-6141</t>
  </si>
  <si>
    <t>JUN 9</t>
  </si>
  <si>
    <t>WOS:000813938700003</t>
  </si>
  <si>
    <t>Evaluation of noise annotation lines: using noise to represent thematic uncertainty in maps</t>
  </si>
  <si>
    <t>Kinkeldey, Christoph; Mason, Jennifer; Klippel, Alexander; Schiewe, Jochen</t>
  </si>
  <si>
    <t>CARTOGRAPHY AND GEOGRAPHIC INFORMATION SCIENCE</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</si>
  <si>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t>
  </si>
  <si>
    <t>Kinkeldey, Christoph/AAV-8413-2021</t>
  </si>
  <si>
    <t>KLIPPEL, ALEXANDER/0000-0002-7171-492X</t>
  </si>
  <si>
    <t>1523-0406</t>
  </si>
  <si>
    <t>1545-0465</t>
  </si>
  <si>
    <t>OCT 20</t>
  </si>
  <si>
    <t>WOS:000343810400003</t>
  </si>
  <si>
    <t>Stock, SR</t>
  </si>
  <si>
    <t>Brogle-Kim, Yur-Chung; Deyhle, Hans; Mueller, Bert; Schulz, Georg; Bormann, Therese; Beckmann, Felix; Jaeger, Kurt</t>
  </si>
  <si>
    <t>DEVELOPMENTS IN X-RAY TOMOGRAPHY VIII</t>
  </si>
  <si>
    <t>Conference on Developments in X-Ray Tomography VIII</t>
  </si>
  <si>
    <t>AUG 13-15, 2012</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</si>
  <si>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t>
  </si>
  <si>
    <t>Schulz, Georg/A-2741-2013; Müller, Bert/A-6838-2008; Deyhle, Hans/A-2768-2013; Beckmann, Felix/E-1940-2016; Bormann, Therese/A-2181-2014</t>
  </si>
  <si>
    <t>Müller, Bert/0000-0003-4078-9109; Beckmann, Felix/0000-0002-2266-9173; Deyhle, Hans/0000-0002-9095-2069</t>
  </si>
  <si>
    <t>978-0-8194-9223-4</t>
  </si>
  <si>
    <t>85061R</t>
  </si>
  <si>
    <t>WOS:000325968800050</t>
  </si>
  <si>
    <t>Evaluation of pharmaceutical pictograms by older turkers: A cross-sectional crowdsourced study</t>
  </si>
  <si>
    <t>Lin, Shih-Yin; Thompson, Hilaire J.; Hart, Laura A.; Fu, Musetta C. C.; Demiris, George</t>
  </si>
  <si>
    <t>RESEARCH IN SOCIAL &amp; ADMINISTRATIVE PHARMACY</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</si>
  <si>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t>
  </si>
  <si>
    <t>Demiris, George/0000-0002-6318-5829</t>
  </si>
  <si>
    <t>1551-7411</t>
  </si>
  <si>
    <t>1934-8150</t>
  </si>
  <si>
    <t>WOS:000659076800005</t>
  </si>
  <si>
    <t>Evaluation of Stigma Toward Individuals With Alopecia</t>
  </si>
  <si>
    <t>Creadore, Andrew; Manjaly, Priya; Li, Sara J.; Tkachenko, Elizabeth; Zhou, Guohai; Joyce, Cara; Huang, Kathie P.; Mostaghimi, Arash</t>
  </si>
  <si>
    <t>JAMA DERMATOLOGY</t>
  </si>
  <si>
    <t>IMPORTANCE Perceived stigma among patients with alopecia is associated with impaired quality of life; however, themagnitude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disease-relatedmyths; the third domain was presented only to respondents who believed that the individual pictured had a medical condition. MAIN OUTCOMES AND MEASURES The main outcomewas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disease-relatedmyths, the absolute change on themyth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t>
  </si>
  <si>
    <t>2168-6068</t>
  </si>
  <si>
    <t>2168-6084</t>
  </si>
  <si>
    <t>WOS:000627902700007</t>
  </si>
  <si>
    <t>Evaluation of task based Digital Work Environment</t>
  </si>
  <si>
    <t>S</t>
  </si>
  <si>
    <t>Meyyappan, N; Foo, S</t>
  </si>
  <si>
    <t>Lim, EP; Foo, S; Khoo, C; Urs, S; Costantino, T; Fox, E; Chen, H</t>
  </si>
  <si>
    <t>DIGITAL LIBRARIES: PEOPLE, KNOWLEDGE, AND TECHNOLOGY, PROCEEDINGS</t>
  </si>
  <si>
    <t>5th International Conference on Asian Digital Libraries (ICADL 2002)</t>
  </si>
  <si>
    <t>DEC 11-14, 2002</t>
  </si>
  <si>
    <t>SINGAPORE, SINGAPORE</t>
  </si>
  <si>
    <t>Thompson-ISI,iGrp Asia Pacific,Lee Fdn,Natl Lib Board Singapore,Infocomm Dev Author Singapore,IBM,Elsevier Sci,SIRSI Corp,Adroit Innovat Ltd,Blackwell Book Serv,John Wiley &amp; Sons,Asia Lib News-InfoMedia Asia Ltd,Informat &amp; Knowledge Management Soc,EBSCO Informat Serv,Thomson Learning - Gale,Kinokuniya Bookstores Singapore Pte Ltd,Internet Securities</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</si>
  <si>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t>
  </si>
  <si>
    <t>Foo, Schubert S B/H-2070-2013; LIM, Ee Peng/E-8562-2012</t>
  </si>
  <si>
    <t>Foo, Schubert S B/0000-0003-3043-0450; LIM, Ee Peng/0000-0003-0065-8665</t>
  </si>
  <si>
    <t>3-540-00261-8</t>
  </si>
  <si>
    <t>WOS:000181472700054</t>
  </si>
  <si>
    <t>Evolutionary Dynamics of Gig Economy Labor Strategies under Technology, Policy and Market Influence</t>
  </si>
  <si>
    <t>Hu, Kevin; Fu, Feng</t>
  </si>
  <si>
    <t>GAMES</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</si>
  <si>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t>
  </si>
  <si>
    <t>Fu, Feng/R-3686-2017</t>
  </si>
  <si>
    <t>Fu, Feng/0000-0001-8252-1990; Hu, Kevin/0000-0002-9769-9852</t>
  </si>
  <si>
    <t>2073-4336</t>
  </si>
  <si>
    <t>WOS:000667169300001</t>
  </si>
  <si>
    <t>Zhang, Xiao; Wu, Yun; Wang, Wendy</t>
  </si>
  <si>
    <t>JOURNAL OF INFORMATION COMMUNICATION &amp; ETHICS IN SOCIETY</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</si>
  <si>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t>
  </si>
  <si>
    <t>1477-996X</t>
  </si>
  <si>
    <t>1758-8871</t>
  </si>
  <si>
    <t>MAR 5</t>
  </si>
  <si>
    <t>WOS:000561430800001</t>
  </si>
  <si>
    <t>Hill, Erin M.; Nolan, Megan T.</t>
  </si>
  <si>
    <t>EATING BEHAVIORS</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</si>
  <si>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t>
  </si>
  <si>
    <t>1471-0153</t>
  </si>
  <si>
    <t>1873-7358</t>
  </si>
  <si>
    <t>WOS:000652735400009</t>
  </si>
  <si>
    <t>Examining the Factor Structure and Validity of the Triarchic Model of Psychopathy Across Measures</t>
  </si>
  <si>
    <t>Collison, Katherine L.; Miller, Joshua D.; Lynam, Donald R.</t>
  </si>
  <si>
    <t>PERSONALITY DISORDERS-THEORY RESEARCH AND TREATMENT</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</si>
  <si>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t>
  </si>
  <si>
    <t>Lynam, Donald/J-5755-2014</t>
  </si>
  <si>
    <t>Lynam, Donald/0000-0001-8306-498X</t>
  </si>
  <si>
    <t>1949-2715</t>
  </si>
  <si>
    <t>1949-2723</t>
  </si>
  <si>
    <t>WOS:000623078100003</t>
  </si>
  <si>
    <t>Cheoh, Jia Lin; Beigpourian, Behzad; Wei, Siqing; Ferguson, Daniel; Ohland, Matthew</t>
  </si>
  <si>
    <t>2020 IEEE FRONTIERS IN EDUCATION CONFERENCE (FIE 2020)</t>
  </si>
  <si>
    <t>OCT 21-24, 2020</t>
  </si>
  <si>
    <t>Uppsala, SWEDEN</t>
  </si>
  <si>
    <t>IEEE,Amer Soc Engn Educ, Educ Res &amp; Methods Div,IEEE Educ Soc,IEEE Comp Soc</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</si>
  <si>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t>
  </si>
  <si>
    <t>978-1-7281-8961-1</t>
  </si>
  <si>
    <t>WOS:000646660800188</t>
  </si>
  <si>
    <t>Agrawal, Shubham; Schuster, Amy M.; Britt, Noah; Liberman, Jessica; Cotten, Shelia R.</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</si>
  <si>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</si>
  <si>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Cotten, Shelia/0000-0002-8657-8262; Liberman, Jessica/0000-0002-4357-8983; Agrawal, Shubham/0000-0002-0990-9785</t>
  </si>
  <si>
    <t>APR 4</t>
  </si>
  <si>
    <t>WOS:000736804000001</t>
  </si>
  <si>
    <t>Experimental Investigations on the Basis for Intellectual Property Rights</t>
  </si>
  <si>
    <t>Fast, Anne A.; Olson, Kristina R.; Mandel, Gregory N.</t>
  </si>
  <si>
    <t>LAW AND HUMAN BEHAVIOR</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</si>
  <si>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t>
  </si>
  <si>
    <t>0147-7307</t>
  </si>
  <si>
    <t>1573-661X</t>
  </si>
  <si>
    <t>WOS:000381269600010</t>
  </si>
  <si>
    <t>Hakansson, Kristina; Pulignano, Valeria; Isidorsson, Tommy; Doerflinger, Nadja</t>
  </si>
  <si>
    <t>ECONOMIC AND INDUSTRIAL DEMOCRACY</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</si>
  <si>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t>
  </si>
  <si>
    <t>0143-831X</t>
  </si>
  <si>
    <t>1461-7099</t>
  </si>
  <si>
    <t>WOS:000536926000002</t>
  </si>
  <si>
    <t>Exploring an Impact Sourcing Initiative for a Community of People with Disabilities: A Capability Analysis</t>
  </si>
  <si>
    <t>Nielsen, P; Kimaro, HC</t>
  </si>
  <si>
    <t>Eskelund, Karsten; Heeks, Richard; Nicholson, Brian</t>
  </si>
  <si>
    <t>INFORMATION AND COMMUNICATION TECHNOLOGIES FOR DEVELOPMENT: STRENGTHENING SOUTHERN-DRIVEN COOPERATION AS A CATALYST FOR ICT4D, PT I</t>
  </si>
  <si>
    <t>15th IFIP WG 9.4 International Conference on Social Implications of Computers in Developing Countries (ICT4D)</t>
  </si>
  <si>
    <t>MAY 01-03, 2019</t>
  </si>
  <si>
    <t>Dar es Salaam, TANZANIA</t>
  </si>
  <si>
    <t>IFIP WG 9 4,ICT4D, Int Network Postgraduate Students,Univ Oslo,Univ Dar Salaam, Coll ICT,Tanzania Telecommunicat Corp Ltd,UNICEF Tanzania</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</si>
  <si>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Bjorn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t>
  </si>
  <si>
    <t>Nicholson, Brian/0000-0002-6729-9874; Heeks, Richard/0000-0002-4551-2208</t>
  </si>
  <si>
    <t>1868-4238</t>
  </si>
  <si>
    <t>1868-422X</t>
  </si>
  <si>
    <t>978-3-030-18400-1; 978-3-030-18399-8</t>
  </si>
  <si>
    <t>WOS:000493514000005</t>
  </si>
  <si>
    <t>Exploring Biases Between Human and Machine Generated Designs</t>
  </si>
  <si>
    <t>Lopez, Christian E.; Miller, Scarlett R.; Tucker, Conrad S.</t>
  </si>
  <si>
    <t>JOURNAL OF MECHANICAL DESIGN</t>
  </si>
  <si>
    <t>38th American-Society-of-Mechanical-Engineers (ASME) Computers and Information in Engineering (CIE) Conference in conjunction with the International Design Engineering Technical Conferes (IDETC)</t>
  </si>
  <si>
    <t>AUG 26-29, 2018</t>
  </si>
  <si>
    <t>Quebec City, CANADA</t>
  </si>
  <si>
    <t>ASME, Design Engn Div,ASME, Comp &amp; Informat Engn Div,Adv Modeling &amp; Simulat,Comp Aided Prod &amp; Proc Dev,Syst Engn, Informat &amp; Knowledge Management,Virtual Environm &amp; Syst</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</si>
  <si>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t>
  </si>
  <si>
    <t>1050-0472</t>
  </si>
  <si>
    <t>1528-9001</t>
  </si>
  <si>
    <t>WOS:000456049900005</t>
  </si>
  <si>
    <t>Exploring Collaboration Patterns among Global Software Development Teams</t>
  </si>
  <si>
    <t>Serce, Fatma Cemile; Alpaslan, Ferda-Nur; Swigger, Kathleen; Brazile, Robert; Dafoulas, George; Lopez, Victor; Schumacker, Randy</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</si>
  <si>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Tecnologica de Panama,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t>
  </si>
  <si>
    <t>WOS:000272550200007</t>
  </si>
  <si>
    <t>Exploring individual and demographic characteristics and their relation to CHNRI Criteria from an international public stakeholder group: an analysis using random intercept and logistic regression modelling</t>
  </si>
  <si>
    <t>Wazny, Kerri; Anderson, Niall; Bassani, Diego G.; Ravenscroft, John; Chan, Kit Yee; Rudan, Igor</t>
  </si>
  <si>
    <t>JOURNAL OF GLOBAL HEALTH</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</si>
  <si>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Liken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t>
  </si>
  <si>
    <t>; Bassani, Diego/G-2827-2015</t>
  </si>
  <si>
    <t>Chan, Kit Yee/0000-0002-3465-8383; Bassani, Diego/0000-0001-6704-3820</t>
  </si>
  <si>
    <t>2047-2978</t>
  </si>
  <si>
    <t>2047-2986</t>
  </si>
  <si>
    <t>WOS:000476640500070</t>
  </si>
  <si>
    <t>Crangle, Colleen E.; Bradley, Colin; Carlin, Paul F.; Esterhay, Robert J.; Harper, Roy; Kearney, Patricia M.; McCarthy, Vera J. C.; McTear, Michael F.; Savage, Eileen; Tuttle, Mark S.; Wallace, Jonathan G.</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</si>
  <si>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t>
  </si>
  <si>
    <t>Carlin, Paul/T-3333-2019; McTear, Michael F/L-5139-2014</t>
  </si>
  <si>
    <t>McTear, Michael F/0000-0001-9883-7500; Kearney, Patricia/0000-0001-9599-3540; Carlin, Paul/0000-0002-1813-4125</t>
  </si>
  <si>
    <t>NOV 16</t>
  </si>
  <si>
    <t>e0203429</t>
  </si>
  <si>
    <t>WOS:000450420900002</t>
  </si>
  <si>
    <t>Abraham, Joanna; Meng, Alicia; Holzer, Katherine J.; Brawer, Luke; Casarella, Aparna; Avidan, Michael; Politi, Mary C.</t>
  </si>
  <si>
    <t>INTERNATIONAL JOURNAL OF MEDICAL INFORMATICS</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</si>
  <si>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 .001). They reported significantly higher comfort levels with clinicians within the same hospital or health system in the United States than those in a different country (z = -10.230, p &lt; .001).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t>
  </si>
  <si>
    <t>Brawer, Luke/0000-0001-8349-5085; Holzer, Katherine/0000-0003-4788-0351</t>
  </si>
  <si>
    <t>1386-5056</t>
  </si>
  <si>
    <t>1872-8243</t>
  </si>
  <si>
    <t>WOS:000706589700012</t>
  </si>
  <si>
    <t>Lee, Won Seok; Jung, Jiwoo; Moon, Joonho</t>
  </si>
  <si>
    <t>BRITISH FOOD JOURNAL</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</si>
  <si>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t>
  </si>
  <si>
    <t>Moon, Joonho/AAE-6212-2022</t>
  </si>
  <si>
    <t>Moon, Joonho/0000-0002-9095-2894; Jung, Jiwoo/0000-0001-5128-681X</t>
  </si>
  <si>
    <t>0007-070X</t>
  </si>
  <si>
    <t>1758-4108</t>
  </si>
  <si>
    <t>FEB 23</t>
  </si>
  <si>
    <t>WOS:000681682900001</t>
  </si>
  <si>
    <t>Conchuir, Eoin O.; Holmstrom, Helena; Agerfalk, Par J.; Fitzgerald, Brian</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</si>
  <si>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t>
  </si>
  <si>
    <t>Olsson, Helena/H-2193-2014; Agerfalk, Par J/I-9374-2012; Fitzgerald, Brian/E-7790-2010</t>
  </si>
  <si>
    <t>Fitzgerald, Brian/0000-0001-9193-2863</t>
  </si>
  <si>
    <t>WOS:000242500600019</t>
  </si>
  <si>
    <t>Exploring the Moderating Role of Readers' Perspective in Evaluations of Online Consumer Reviews</t>
  </si>
  <si>
    <t>Abedin, Ehsan; Mendoza, Antonette; Karunasekera, Shanika</t>
  </si>
  <si>
    <t>JOURNAL OF THEORETICAL AND APPLIED ELECTRONIC COMMERCE RESEARCH</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</si>
  <si>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t>
  </si>
  <si>
    <t>Abedin, Ehsan/0000-0002-4145-1831</t>
  </si>
  <si>
    <t>0718-1876</t>
  </si>
  <si>
    <t>WOS:000737681700001</t>
  </si>
  <si>
    <t>Marks, Laura Reid; Tate, Kevin A.; Taylor, Jennifer M.</t>
  </si>
  <si>
    <t>JOURNAL OF CAREER DEVELOPMENT</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</si>
  <si>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t>
  </si>
  <si>
    <t>Marks, Laura/0000-0001-6267-7760</t>
  </si>
  <si>
    <t>0894-8453</t>
  </si>
  <si>
    <t>1556-0856</t>
  </si>
  <si>
    <t>WOS:000574560100004</t>
  </si>
  <si>
    <t>Expressive Motion with X, Y and Theta: Laban Effort Features for Mobile Robots</t>
  </si>
  <si>
    <t>Knight, Heather; Simmons, Reid</t>
  </si>
  <si>
    <t>2014 23RD IEEE INTERNATIONAL SYMPOSIUM ON ROBOT AND HUMAN INTERACTIVE COMMUNICATION (IEEE RO-MAN)</t>
  </si>
  <si>
    <t>23rd IEEE International Symposium on Robot and Human Interactive Communication (IEEE RO-MAN)</t>
  </si>
  <si>
    <t>AUG 25-29, 2014</t>
  </si>
  <si>
    <t>Heriot Watt Univ, Edinburgh, SCOTLAND</t>
  </si>
  <si>
    <t>IEEE,IEEE Robot &amp; Automat Soc,Robot Soc Japan,Korea Robot Soc,IEEE Syst, Man &amp; Cybernet Soc</t>
  </si>
  <si>
    <t>Heriot Watt Univ</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</si>
  <si>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t>
  </si>
  <si>
    <t>Simmons, Reid/0000-0003-3153-0453</t>
  </si>
  <si>
    <t>978-1-4799-6765-0</t>
  </si>
  <si>
    <t>WOS:000366603200044</t>
  </si>
  <si>
    <t>External workers' perception of leadership behaviour - a study of Swedish temporary agency workers and contractors</t>
  </si>
  <si>
    <t>Svensson, Sven; Vinberg, Stig; Larsson, Johan</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</si>
  <si>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t>
  </si>
  <si>
    <t>Svensson, Sven/ABD-7905-2021</t>
  </si>
  <si>
    <t>Svensson, Sven/0000-0002-7798-1981</t>
  </si>
  <si>
    <t>WOS:000353055900007</t>
  </si>
  <si>
    <t>IEEE Computer Soc</t>
  </si>
  <si>
    <t>Masai, Katsutoshi; Kunze, Kai; Sakamoto, Daisuke; Sugiura, Yuta; Sugimoto, Maki</t>
  </si>
  <si>
    <t>2020 IEEE INTERNATIONAL SYMPOSIUM ON MIXED AND AUGMENTED REALITY (ISMAR 2020)</t>
  </si>
  <si>
    <t>19th IEEE International Symposium on Mixed and Augmented Reality (ISMAR)</t>
  </si>
  <si>
    <t>NOV 09-13, 2020</t>
  </si>
  <si>
    <t>IEEE,IEEE Comp Soc,IEEE VGTC,ACM SIGGRAPH,VirBELA,Immers Learning Res Network,Liferay,React Real,Qualcomm</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</si>
  <si>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 = 37). Based on the proposed gestures, we report usage scenarios and complexity, proposed associations between gestures/tasks, a user-defined gesture set, and insights from the participants. We also conducted a technical feasibility study (N = 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Fl score of 0.911 using a convolutional neural network (CNN). We also report the results of user-independent training and a one-hour recording of the experimenter testing two of the gestures.</t>
  </si>
  <si>
    <t>Sakamoto, Daisuke/AAA-5428-2022</t>
  </si>
  <si>
    <t>Sakamoto, Daisuke/0000-0002-2219-4198</t>
  </si>
  <si>
    <t>1554-7868</t>
  </si>
  <si>
    <t>978-1-7281-8508-8</t>
  </si>
  <si>
    <t>WOS:000716707000038</t>
  </si>
  <si>
    <t>Face Recognition and Retrieval Using Cross-Age Reference Coding With Cross-Age Celebrity Dataset</t>
  </si>
  <si>
    <t>Chen, Bor-Chun; Chen, Chu-Song; Hsu, Winston H.</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</si>
  <si>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t>
  </si>
  <si>
    <t>俞, 小野/F-9976-2017</t>
  </si>
  <si>
    <t>WOS:000354527500004</t>
  </si>
  <si>
    <t>Collins, Ayse; Medhekar, Anita; Wong, Ho Yin; Cobanoglu, Cihan</t>
  </si>
  <si>
    <t>TOURISM REVIEW</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</si>
  <si>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t>
  </si>
  <si>
    <t>Cobanoglu, Cihan/W-5842-2019; Medhekar, Anita/AAF-9054-2021</t>
  </si>
  <si>
    <t xml:space="preserve">Cobanoglu, Cihan/0000-0001-9556-6223; </t>
  </si>
  <si>
    <t>1660-5373</t>
  </si>
  <si>
    <t>1759-8451</t>
  </si>
  <si>
    <t>WOS:000472593700011</t>
  </si>
  <si>
    <t>Factors Leading to Integration Failures in Global Feature-Oriented Development: An Empirical Analysis</t>
  </si>
  <si>
    <t>Cataldo, Marcelo; Herbsleb, James D.</t>
  </si>
  <si>
    <t>2011 33RD INTERNATIONAL CONFERENCE ON SOFTWARE ENGINEERING (ICSE)</t>
  </si>
  <si>
    <t>33rd International Conference on Software Engineering (ICSE)</t>
  </si>
  <si>
    <t>MAY 21-28, 2011</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</si>
  <si>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</si>
  <si>
    <t>978-1-4503-0445-0</t>
  </si>
  <si>
    <t>WOS:000297156400017</t>
  </si>
  <si>
    <t>Shen, Cuihua; Kasra, Mona; Pan, Wenjing; Bassett, Grace A.; Malloch, Yining; O'Brien, James F.</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</si>
  <si>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t>
  </si>
  <si>
    <t>/AAD-2185-2020</t>
  </si>
  <si>
    <t>Kasra, Mona/0000-0002-0228-5404; O'Brien, James/0000-0001-9513-0542; Shen, Cuihua/0000-0003-1645-8211</t>
  </si>
  <si>
    <t>WOS:000457401000009</t>
  </si>
  <si>
    <t>Marks, Laura Reid; Harrell-Williams, Leigh M.; Tate, Kevin A.; Coleman, Monica L.; Moore, Kanesha</t>
  </si>
  <si>
    <t>CAREER DEVELOPMENT QUARTERLY</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</si>
  <si>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t>
  </si>
  <si>
    <t>Marks, Laura/0000-0001-6267-7760; Coleman, Monica/0000-0002-0513-0221</t>
  </si>
  <si>
    <t>0889-4019</t>
  </si>
  <si>
    <t>2161-0045</t>
  </si>
  <si>
    <t>WOS:000452300200004</t>
  </si>
  <si>
    <t>Family-Centered Exploration of the Benefits and Burdens of Digital Home Assistants</t>
  </si>
  <si>
    <t>Richards, Olivia K.</t>
  </si>
  <si>
    <t>CHI EA '19 EXTENDED ABSTRACTS: EXTENDED ABSTRACTS OF THE 2019 CHI CONFERENCE ON HUMAN FACTORS IN COMPUTING SYSTEMS</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</si>
  <si>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t>
  </si>
  <si>
    <t>Richards, Olivia/0000-0002-6489-2461</t>
  </si>
  <si>
    <t>978-1-4503-5971-9</t>
  </si>
  <si>
    <t>WOS:000482042103042</t>
  </si>
  <si>
    <t>FAST AND EASY CROWDSOURCED PERCEPTUAL AUDIO EVALUATION</t>
  </si>
  <si>
    <t>Cartwright, Mark; Pardo, Bryan; Mysore, Gautham J.; Hoffman, Matt</t>
  </si>
  <si>
    <t>2016 IEEE INTERNATIONAL CONFERENCE ON ACOUSTICS, SPEECH AND SIGNAL PROCESSING PROCEEDINGS</t>
  </si>
  <si>
    <t>41st IEEE International Conference on Acoustics, Speech and Signal Processing (ICASSP)</t>
  </si>
  <si>
    <t>MAR 20-25, 2016</t>
  </si>
  <si>
    <t>Shanghai, PEOPLES R CHINA</t>
  </si>
  <si>
    <t>Inst Elect &amp; Elect Engineers,Inst Elect &amp; Elect Engineers Signal Proc Soc</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</si>
  <si>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t>
  </si>
  <si>
    <t>Pardo, Bryan A/B-7262-2009</t>
  </si>
  <si>
    <t>978-1-4799-9988-0</t>
  </si>
  <si>
    <t>WOS:000388373400125</t>
  </si>
  <si>
    <t>Father-daughter relationship dynamics &amp; daughters' body image, eating patterns, and empowerment: An exploratory study</t>
  </si>
  <si>
    <t>Steinhilber, Kylie M.; Ray, Sukanya; Harkins, Debra A.; Sienkiewicz, Megan E.</t>
  </si>
  <si>
    <t>WOMEN &amp; HEALTH</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</si>
  <si>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t>
  </si>
  <si>
    <t>Steinhilber, Kylie/0000-0002-0438-6241; Sienkiewicz, Megan/0000-0003-1321-7818</t>
  </si>
  <si>
    <t>0363-0242</t>
  </si>
  <si>
    <t>1541-0331</t>
  </si>
  <si>
    <t>NOV 25</t>
  </si>
  <si>
    <t>WOS:000561906300001</t>
  </si>
  <si>
    <t>Gomez, Steven R.; Jianu, Radu; Cabeen, Ryan; Guo, Hua; Laidlaw, David H.</t>
  </si>
  <si>
    <t>IEEE TRANSACTIONS ON VISUALIZATION AND COMPUTER GRAPHICS</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</si>
  <si>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</si>
  <si>
    <t>Laidlaw, David/M-4686-2019</t>
  </si>
  <si>
    <t>1077-2626</t>
  </si>
  <si>
    <t>1941-0506</t>
  </si>
  <si>
    <t>WOS:000395538200005</t>
  </si>
  <si>
    <t>Strickland, Justin C.; Hill, J. Chauncey; Stoops, William W.; Rush, Craig R.</t>
  </si>
  <si>
    <t>ALCOHOLISM-CLINICAL AND EXPERIMENTAL RESEARCH</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</si>
  <si>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 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 g., 0.5 drinking day/ 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t>
  </si>
  <si>
    <t>0145-6008</t>
  </si>
  <si>
    <t>1530-0277</t>
  </si>
  <si>
    <t>WOS:000471280500001</t>
  </si>
  <si>
    <t>Macchiavello, Eugenia</t>
  </si>
  <si>
    <t>EUROPEAN COMPANY AND FINANCIAL LAW REVIEW</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</si>
  <si>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t>
  </si>
  <si>
    <t>MACCHIAVELLO, Eugenia/0000-0002-7986-6987</t>
  </si>
  <si>
    <t>1613-2556</t>
  </si>
  <si>
    <t>WOS:000436320900004</t>
  </si>
  <si>
    <t>Finding Weather Photos: Community-Supervised Methods for Editorial Curation of Online Sources</t>
  </si>
  <si>
    <t>Shamma, David A.; Kennedy, Lyndon; Li, Li-Jia; Thomee, Bart; Jin, Haojian; Yuan, Jeff</t>
  </si>
  <si>
    <t>ACM CONFERENCE ON COMPUTER-SUPPORTED COOPERATIVE WORK AND SOCIAL COMPUTING (CSCW 2016)</t>
  </si>
  <si>
    <t>19th ACM Conference on Computer-Supported Cooperative Work and Social Computing (CSCW)</t>
  </si>
  <si>
    <t>FEB 27-MAR 02, 2016</t>
  </si>
  <si>
    <t>Assoc Comp Machinery,ACM Special Interest Grp Human Interact</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</si>
  <si>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t>
  </si>
  <si>
    <t>Jin, Haojian/ABD-7795-2021</t>
  </si>
  <si>
    <t>Li, Jia/0000-0001-5850-7013</t>
  </si>
  <si>
    <t>978-1-4503-3592-8</t>
  </si>
  <si>
    <t>WOS:000389809500008</t>
  </si>
  <si>
    <t>Svensson, Sven</t>
  </si>
  <si>
    <t>EMPLOYEE RELATIONS</t>
  </si>
  <si>
    <t>Purpose - The purpose of this study is to analyse levels of generalized trust among employees who have adapted to increasing demands for flexibility in their working lives (nonstandard work) compared with employees in traditional employment (standard work). Design/methodology/approach - Data were collected using a self-administered questionnaire distributed to randomly selected individuals in Sweden (2004, n = 5; 080) and a workplace survey study of temporary agency workers (2008; n = 119). Data were analysed using chi-square tests and logistic regression analysis. Findings - The results reveal that people in nonstandard positions display significantly lower levels of generalized trust compared to standard employees, where age, gender, and socio-economic position are constant. Practical implications - Since trust has proved to be a prerequisite for innovativeness, and both flexibility and innovation are officially accepted solutions for the troubles of post-industrial society, the findings point to a possible paradox in the new economy. Originality/value - The results of this study are unique in that they provide valuable support for the theory that flexible working conditions lead to decreasing levels of trust in society.</t>
  </si>
  <si>
    <t>0142-5455</t>
  </si>
  <si>
    <t>1758-7069</t>
  </si>
  <si>
    <t>WOS:000314597700002</t>
  </si>
  <si>
    <t>Flexible, Self-Determined horizontal ellipsis and Unhealthy? An Empirical Study on Somatic Health Among Crowdworkers</t>
  </si>
  <si>
    <t>Schlicher, Katharina D.; Schulte, Julian; Reimann, Mareike; Maier, Guenter W.</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</si>
  <si>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t>
  </si>
  <si>
    <t>Schlicher, Katharina/0000-0001-6714-3565; Schulte, Julian/0000-0002-0183-5996</t>
  </si>
  <si>
    <t>DEC 2</t>
  </si>
  <si>
    <t>WOS:000730744400001</t>
  </si>
  <si>
    <t>Follow the Sun Workflow in Global Software Development</t>
  </si>
  <si>
    <t>Carmel, Erran; Espinosa, J. Alberto; Dubinsky, Yael</t>
  </si>
  <si>
    <t>JOURNAL OF MANAGEMENT INFORMATION SYSTEMS</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</si>
  <si>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t>
  </si>
  <si>
    <t>Wang, Charles/B-5565-2011</t>
  </si>
  <si>
    <t>Wang, Charles/0000-0001-9331-8437</t>
  </si>
  <si>
    <t>0742-1222</t>
  </si>
  <si>
    <t>1557-928X</t>
  </si>
  <si>
    <t>WOS:000280784500003</t>
  </si>
  <si>
    <t>Formulating Evaluation Model to Assess the Effectiveness of Coordination Processes in Global Software Development Projects</t>
  </si>
  <si>
    <t>Fujita, H; Selamat, A; Omatu, S</t>
  </si>
  <si>
    <t>Subbarao, Anusuyah; Mahrin, Mohd Naz'ri</t>
  </si>
  <si>
    <t>NEW TRENDS IN INTELLIGENT SOFTWARE METHODOLOGIES, TOOLS AND TECHNIQUES</t>
  </si>
  <si>
    <t>16th International Conference on New Trends in Intelligent Software Methodologies, Tools and Techniques (SoMeT)</t>
  </si>
  <si>
    <t>SEP 26-28, 2017</t>
  </si>
  <si>
    <t>Kitakyushu, JAPAN</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</si>
  <si>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t>
  </si>
  <si>
    <t>Subbarao, Anusuyah/AAI-7340-2020</t>
  </si>
  <si>
    <t>0922-6389</t>
  </si>
  <si>
    <t>1879-8314</t>
  </si>
  <si>
    <t>978-1-61499-800-6; 978-1-61499-799-3</t>
  </si>
  <si>
    <t>WOS:000452115800048</t>
  </si>
  <si>
    <t>Framework for Evaluating the Version Management Capabilities of a Class of UML Modeling Tools from the Viewpoint of Multi-site, Multi-partner Product Line Organizations</t>
  </si>
  <si>
    <t>Koivulahti-Ojala, Mervi; Kakola, Timo</t>
  </si>
  <si>
    <t>43RD HAWAII INTERNATIONAL CONFERENCE ON SYSTEMS SCIENCES VOLS 1-5 (HICSS 2010)</t>
  </si>
  <si>
    <t>43rd Hawaii International Conference on Systems Sciences (HICSS 2010)</t>
  </si>
  <si>
    <t>JAN 05-08, 2010</t>
  </si>
  <si>
    <t>Univ Hawaii, Shidler Coll Business</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</si>
  <si>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conntries,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t>
  </si>
  <si>
    <t>1060-3425</t>
  </si>
  <si>
    <t>978-1-4244-5509-6</t>
  </si>
  <si>
    <t>WOS:000282391803089</t>
  </si>
  <si>
    <t>Yasser Chadli, Saad; Idri, Ali; Luis Fernandez-Aleman, Jose; Nicolas Ros, Joaquin</t>
  </si>
  <si>
    <t>2015 10TH INTERNATIONAL CONFERENCE ON INTELLIGENT SYSTEMS: THEORIES AND APPLICATIONS (SITA)</t>
  </si>
  <si>
    <t>10th International Conference on Intelligent Systems - Theories and Applications (SITA)</t>
  </si>
  <si>
    <t>OCT 20-21, 2015</t>
  </si>
  <si>
    <t>ENSIAS, Rabat, MOROCCO</t>
  </si>
  <si>
    <t>ENSIAS</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</si>
  <si>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t>
  </si>
  <si>
    <t>Fernández-Alemán, José Luis/G-1282-2011</t>
  </si>
  <si>
    <t>Fernández-Alemán, José Luis/0000-0002-0176-450X</t>
  </si>
  <si>
    <t>978-1-5090-0220-7</t>
  </si>
  <si>
    <t>WOS:000380409500007</t>
  </si>
  <si>
    <t>Framing the collaborative economy -Voices of contestation</t>
  </si>
  <si>
    <t>Gruszka, Katarzyna</t>
  </si>
  <si>
    <t>ENVIRONMENTAL INNOVATION AND SOCIETAL TRANSITIONS</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</si>
  <si>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(C) 2016 Elsevier B.V. All rights reserved.</t>
  </si>
  <si>
    <t>Gruszka, Katarzyna/0000-0002-5423-6428</t>
  </si>
  <si>
    <t>2210-4224</t>
  </si>
  <si>
    <t>2210-4232</t>
  </si>
  <si>
    <t>WOS:000405873800009</t>
  </si>
  <si>
    <t>Pan, Tse-Yu; Dai, Yi-Zhu; Hu, Min-Chun; Cheng, Wen-Huang</t>
  </si>
  <si>
    <t>MULTIMEDIA TOOLS AND APPLICATIONS</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</si>
  <si>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t>
  </si>
  <si>
    <t>Cheng, Wen-Huang/AAK-2774-2020; Hu, Min-Chun/AAX-1721-2020</t>
  </si>
  <si>
    <t>1380-7501</t>
  </si>
  <si>
    <t>1573-7721</t>
  </si>
  <si>
    <t>WOS:000458171600002</t>
  </si>
  <si>
    <t>Khan, Arif Ali; Shameem, Mohammad; Kumar, Rakesh Ranjan; Hussain, Shahid; Yan, Xuefeng</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</si>
  <si>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(C) 2019 Elsevier B.V. All rights reserved.</t>
  </si>
  <si>
    <t>Shameem, Mohammad/AFU-4006-2022; Ranjan, Rakesh Kumar/AAD-2837-2019; Hussain, Shahid/AAP-5065-2021; Khan, Arif Ali/ABG-2862-2020</t>
  </si>
  <si>
    <t>Shameem, Mohammad/0000-0002-6055-5345; Ranjan, Rakesh Kumar/0000-0003-4192-1976; Hussain, Shahid/0000-0003-4826-3339; Khan, Arif Ali/0000-0002-8479-1481</t>
  </si>
  <si>
    <t>WOS:000488100900053</t>
  </si>
  <si>
    <t>GBER: A Social Matching App which utilizes Time, Place, and Skills of Workers and Jobs</t>
  </si>
  <si>
    <t>Arita, Shoma; Hiyama, Atsushi; Hirose, Michitaka</t>
  </si>
  <si>
    <t>CSCW'17: COMPANION OF THE 2017 ACM CONFERENCE ON COMPUTER SUPPORTED COOPERATIVE WORK AND SOCIAL COMPUTING</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</si>
  <si>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</si>
  <si>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978-1-4503-4688-7</t>
  </si>
  <si>
    <t>WOS:000455085000031</t>
  </si>
  <si>
    <t>Gerber, Christine</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</si>
  <si>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t>
  </si>
  <si>
    <t>Gerber, Christine/0000-0003-0419-153X</t>
  </si>
  <si>
    <t>MAR 2022</t>
  </si>
  <si>
    <t>WOS:000776150300001</t>
  </si>
  <si>
    <t>Milkman, Ruth; Elliott-Negri, Luke; Griesbach, Kathleen; Reich, Adam</t>
  </si>
  <si>
    <t>CRITICAL SOCIOLOGY</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</si>
  <si>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t>
  </si>
  <si>
    <t>, Kathleen/AAR-1774-2021</t>
  </si>
  <si>
    <t>, Kathleen/0000-0002-4623-350X</t>
  </si>
  <si>
    <t>0896-9205</t>
  </si>
  <si>
    <t>1569-1632</t>
  </si>
  <si>
    <t>WOS:000564918900001</t>
  </si>
  <si>
    <t>Generating Visually Aligned Sound From Videos</t>
  </si>
  <si>
    <t>Chen, Peihao; Zhang, Yang; Tan, Mingkui; Xiao, Hongdong; Huang, Deng; Gan, Chuang</t>
  </si>
  <si>
    <t>IEEE TRANSACTIONS ON IMAGE PROCESSING</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</si>
  <si>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t>
  </si>
  <si>
    <t>Chen, Peihao/0000-0002-6847-1621; Gan, Chuang/0000-0003-4031-5886</t>
  </si>
  <si>
    <t>1057-7149</t>
  </si>
  <si>
    <t>1941-0042</t>
  </si>
  <si>
    <t>WOS:000560638700001</t>
  </si>
  <si>
    <t>Generation Y's positive and negative eWOM: use of social media and mobile technology</t>
  </si>
  <si>
    <t>Zhang, Tingting (Christina); Omran, Behzad Abound; Cobanoglu, Cihan</t>
  </si>
  <si>
    <t>Purpose -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 A survey was adopted to test the factors posited to influence Generation Y consumers in these service contexts. Participants were recruited through Amazon Mechanical Turk, and multi-group structural equation modeling was performed to analyze the data. Findings -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t>
  </si>
  <si>
    <t>Zhang, Tingting/J-6994-2019; Cobanoglu, Cihan/W-5842-2019</t>
  </si>
  <si>
    <t>Zhang, Tingting/0000-0001-7162-0918; Cobanoglu, Cihan/0000-0001-9556-6223</t>
  </si>
  <si>
    <t>WOS:000398115300006</t>
  </si>
  <si>
    <t>Wen, Yuxin; Lin, Jiehong; Chen, Ke; Chen, C. L. Philip; Jia, Kui</t>
  </si>
  <si>
    <t>IEEE TRANSACTIONS ON PATTERN ANALYSIS AND MACHINE INTELLIGENCE</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</si>
  <si>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 The results of 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Geo(+)A(3)-IterNormPro, with Iterative Normal Projection (IterNorPro) that solves a new objective function 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t>
  </si>
  <si>
    <t>WEN, YUXIN/AAH-3106-2021</t>
  </si>
  <si>
    <t>WEN, YUXIN/0000-0003-3719-9001; Lin, Jiehong/0000-0001-7495-6070</t>
  </si>
  <si>
    <t>0162-8828</t>
  </si>
  <si>
    <t>1939-3539</t>
  </si>
  <si>
    <t>WOS:000803117500016</t>
  </si>
  <si>
    <t>Georg Lukacs as a communications scholar: cultural and digital labour in the context of Lukacs' Ontology of Social Being</t>
  </si>
  <si>
    <t>Fuchs, Christian</t>
  </si>
  <si>
    <t>MEDIA CULTURE &amp; SOCIETY</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</si>
  <si>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</si>
  <si>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Fuchs, Christian/0000-0003-0589-4579</t>
  </si>
  <si>
    <t>0163-4437</t>
  </si>
  <si>
    <t>1460-3675</t>
  </si>
  <si>
    <t>WOS:000375839000002</t>
  </si>
  <si>
    <t>German temporary agency workers' SWB: the impact of POS provided by agencies</t>
  </si>
  <si>
    <t>Imhof, Susanne; Andresen, Maike</t>
  </si>
  <si>
    <t>Purpose -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 Based on a sample of 350 TAWs in Germany, the mediating role of POS provided by agencies is analyzed using structural equation modeling. Findings -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 The study is based on cross-sectional data and self-reported measures; this may limit causal inferences. Practical implications -The results highlight the importance of agencies creating POS and reducing perceived job insecurity for improving TAWs' SWB. Originality/value - The study contributes to previous POS research by focusing on the agencies' role and by showing the mediating effect of POS on TAWs' SWB in Germany.</t>
  </si>
  <si>
    <t>Andresen, Maike/I-1737-2017</t>
  </si>
  <si>
    <t>Andresen, Maike/0000-0001-9073-4849</t>
  </si>
  <si>
    <t>WOS:000418505900008</t>
  </si>
  <si>
    <t>Getting Agile Methods to Work for Cordys Global Software Product Development</t>
  </si>
  <si>
    <t>Kotlarsky, J; Willcocks, LP; Oshri, I</t>
  </si>
  <si>
    <t>van Hillegersberg, Jos; Ligtenberg, Gerwin; Aydin, Mehmet N.</t>
  </si>
  <si>
    <t>NEW STUDIES IN GLOBAL IT AND BUSINESS SERVICES OUTSOURCING</t>
  </si>
  <si>
    <t>5th Global Sourcing Workshop</t>
  </si>
  <si>
    <t>MAR 14-17, 2011</t>
  </si>
  <si>
    <t>Courchevel, FRANCE</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</si>
  <si>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he successful in applying agile in globally distributed projects.</t>
  </si>
  <si>
    <t>Aydin, Mehmet/0000-0002-3995-6566</t>
  </si>
  <si>
    <t>978-3-642-24814-6</t>
  </si>
  <si>
    <t>WOS:000301959200008</t>
  </si>
  <si>
    <t>Gig Health vs eHealth: Future Prospects in Saudi Arabian Health-Care System</t>
  </si>
  <si>
    <t>Alanzi, Turki M.</t>
  </si>
  <si>
    <t>JOURNAL OF MULTIDISCIPLINARY HEALTHCARE</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</si>
  <si>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t>
  </si>
  <si>
    <t>Alanzi, Turki/0000-0001-6598-1274</t>
  </si>
  <si>
    <t>1178-2390</t>
  </si>
  <si>
    <t>WOS:000677678300003</t>
  </si>
  <si>
    <t>Gig Work as a Manifestation of Short- Termism: Crafting a Sustainable Regulatory Agenda</t>
  </si>
  <si>
    <t>Novitz, Tonia</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</si>
  <si>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t>
  </si>
  <si>
    <t>Novitz, Tonia/0000-0003-1623-5106</t>
  </si>
  <si>
    <t>NOV 27</t>
  </si>
  <si>
    <t>WOS:000726235800007</t>
  </si>
  <si>
    <t>Apouey, Benedicte; Roulet, Alexandra; Solal, Isabelle; Stabile, Mark</t>
  </si>
  <si>
    <t>JOURNAL OF URBAN HEALTH-BULLETIN OF THE NEW YORK ACADEMY OF MEDICINE</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</si>
  <si>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t>
  </si>
  <si>
    <t>Apouey, Bénédicte H/S-8030-2019</t>
  </si>
  <si>
    <t>Apouey, Bénédicte H/0000-0003-1575-8423; Reis, AlessanRSS/0000-0001-8486-7469</t>
  </si>
  <si>
    <t>1099-3460</t>
  </si>
  <si>
    <t>1468-2869</t>
  </si>
  <si>
    <t>WOS:000572027200001</t>
  </si>
  <si>
    <t>Dedeurwaerdere, Tom; Melindi-Ghidi, Paolo; Broggiato, Arianna</t>
  </si>
  <si>
    <t>ENVIRONMENTAL SCIENCE &amp; POLICY</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</si>
  <si>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(C) 2015 The Authors. Published by Elsevier Ltd.</t>
  </si>
  <si>
    <t>melindi-ghidi, paolo/0000-0002-0708-9621; Dedeurwaerdere, Tom/0000-0001-9494-2688</t>
  </si>
  <si>
    <t>1462-9011</t>
  </si>
  <si>
    <t>1873-6416</t>
  </si>
  <si>
    <t>WOS:000366775200001</t>
  </si>
  <si>
    <t>Bhatti, Muhammad Wasim; Ahsan, Ali</t>
  </si>
  <si>
    <t>REVIEW OF MANAGERIAL SCIENCE</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</si>
  <si>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t>
  </si>
  <si>
    <t>Ahsan, Ali/0000-0002-2023-0511</t>
  </si>
  <si>
    <t>1863-6683</t>
  </si>
  <si>
    <t>1863-6691</t>
  </si>
  <si>
    <t>WOS:000383501100002</t>
  </si>
  <si>
    <t>Shah, Hina; Harrold, Mary Jean; Sinha, Saurabh</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</si>
  <si>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(C) 2013 Elsevier B.V. All rights reserved.</t>
  </si>
  <si>
    <t>WOS:000329151900002</t>
  </si>
  <si>
    <t>Edwards, H; Narayanan, R</t>
  </si>
  <si>
    <t>Richardson, Ita; Moore, Sarah; Paulish, Daniel; Casey, Valentine; Zage, Dolores</t>
  </si>
  <si>
    <t>20TH CONFERENCE ON SOFTWARE ENGINEERING EDUCATION &amp; TRAINING, PROCEEDINGS</t>
  </si>
  <si>
    <t>20th Conference on Software Engineering Education and Training</t>
  </si>
  <si>
    <t>JUL 03-05, 2007</t>
  </si>
  <si>
    <t>Dublin, IRELAND</t>
  </si>
  <si>
    <t>IEEE Comp Soc, TCSE,Dublin City Univ, Irish Software Engn Res Ctr,Carnegie Mellon Software Engn Inst</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</si>
  <si>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t>
  </si>
  <si>
    <t>casey, val/AAQ-1523-2021</t>
  </si>
  <si>
    <t>1093-0175</t>
  </si>
  <si>
    <t>978-0-7695-2893-9</t>
  </si>
  <si>
    <t>WOS:000248193000008</t>
  </si>
  <si>
    <t>Graphical Tests for Power Comparison of Competing Designs</t>
  </si>
  <si>
    <t>Hofmann, Heike; Follett, Lendie; Majumder, Mahbubul; Cook, Dianne</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</si>
  <si>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</si>
  <si>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Hofmann, Heike/0000-0001-6216-5183; Cook, Dianne/0000-0002-3813-7155</t>
  </si>
  <si>
    <t>WOS:000310143100048</t>
  </si>
  <si>
    <t>Rashid, Nasir; Khan, Siffat Ullah; Khan, Habib Ullah; Ilyas, Muhammad</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</si>
  <si>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t>
  </si>
  <si>
    <t>Khan, Habib Ullah/Q-7429-2016; Khan, Siffat Ullah/B-3309-2017</t>
  </si>
  <si>
    <t>Khan, Habib Ullah/0000-0001-8373-2781; Khan, Siffat Ullah/0000-0003-0339-7915</t>
  </si>
  <si>
    <t>WOS:000652048000001</t>
  </si>
  <si>
    <t>'Grey zones' within dependent employment: formal and informal forms of on-call work in Germany</t>
  </si>
  <si>
    <t>Jaehrling, Karen; Kalina, Thorsten</t>
  </si>
  <si>
    <t>TRANSFER-EUROPEAN REVIEW OF LABOUR AND RESEARCH</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</si>
  <si>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t>
  </si>
  <si>
    <t>1024-2589</t>
  </si>
  <si>
    <t>1996-7284</t>
  </si>
  <si>
    <t>WOS:000552210200001</t>
  </si>
  <si>
    <t>Sridhar, Kiran; Ng, Ming</t>
  </si>
  <si>
    <t>JOURNAL OF CYBERSECURITY</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</si>
  <si>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research-which analyzes a large, proprietary dataset and which leverages instrumental variables to eliminate potential sources of endogeneity-provides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t>
  </si>
  <si>
    <t>2057-2085</t>
  </si>
  <si>
    <t>2057-2093</t>
  </si>
  <si>
    <t>WOS:000635681500001</t>
  </si>
  <si>
    <t>Bonini, Tiziano; Pais, Ivana</t>
  </si>
  <si>
    <t>JMM-INTERNATIONAL JOURNAL ON MEDIA MANAGEMENT</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</si>
  <si>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t>
  </si>
  <si>
    <t>PAIS, Ivana/B-1440-2016; Bonini, Tiziano/AAE-3334-2020</t>
  </si>
  <si>
    <t>PAIS, Ivana/0000-0002-5125-8701; Bonini, Tiziano/0000-0002-0636-0555</t>
  </si>
  <si>
    <t>1424-1277</t>
  </si>
  <si>
    <t>1424-1250</t>
  </si>
  <si>
    <t>WOS:000408152300003</t>
  </si>
  <si>
    <t>Have you learned your lesson? Communities of practice under algorithmic competition</t>
  </si>
  <si>
    <t>Watkins, Elizabeth Anne</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</si>
  <si>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t>
  </si>
  <si>
    <t>WOS:000827410900003</t>
  </si>
  <si>
    <t>Hierarchical Summarization: Scaling Up Multi-Document Summarization</t>
  </si>
  <si>
    <t>Toutanova, K; Wu, H</t>
  </si>
  <si>
    <t>Christensen, Janara; Soderland, Stephen; Bansal, Gagan; Mausam</t>
  </si>
  <si>
    <t>PROCEEDINGS OF THE 52ND ANNUAL MEETING OF THE ASSOCIATION FOR COMPUTATIONAL LINGUISTICS, VOL 1</t>
  </si>
  <si>
    <t>52nd Annual Meeting of the Association-for-Computational-Linguistics (ACL)</t>
  </si>
  <si>
    <t>Baltimore, MD</t>
  </si>
  <si>
    <t>Assoc Computat Linguist,Baidu,Bloomberg,Google,Microsoft,Nuance,Yahoo Labs,Informat Sci Inst, Xerox Res Ctr Europe,Brandeis Univ,Facebook,Yandex,Amazon Com,IBM Watson,Johns Hopkins Univ,A9,AI@ISI,Xerox</t>
  </si>
  <si>
    <t>Multi-document summarization (MDS) systems have been designed for short, unstructured summaries of 10-15 documents, and are inadequate for larger document collections. We propose a new approach to scaling up summarization called hierarchical summarization,and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t>
  </si>
  <si>
    <t>978-1-937284-72-5</t>
  </si>
  <si>
    <t>WOS:000493814100085</t>
  </si>
  <si>
    <t>HIGH-LEVEL SEMANTIC PHOTOGRAPHIC COMPOSITION ANALYSIS AND UNDERSTANDING WITH DEEP NEURAL NETWORKS</t>
  </si>
  <si>
    <t>Wu, Min-Tzu; Pan, Tse-Yu; Tsai, Wan-Lun; Kuo, Hsu-Chan; Hu, Min-Chun</t>
  </si>
  <si>
    <t>2017 IEEE INTERNATIONAL CONFERENCE ON MULTIMEDIA &amp; EXPO WORKSHOPS (ICMEW)</t>
  </si>
  <si>
    <t>IEEE International Conference on Multimedia and Expo (ICME)</t>
  </si>
  <si>
    <t>JUL 10-14, 2017</t>
  </si>
  <si>
    <t>Hong Kong, HONG KONG</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</si>
  <si>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 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t>
  </si>
  <si>
    <t>2330-7927</t>
  </si>
  <si>
    <t>978-1-5386-0560-8</t>
  </si>
  <si>
    <t>WOS:000427041800045</t>
  </si>
  <si>
    <t>Nguyen, Laurent Son; Gatica-Perez, Daniel</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</si>
  <si>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t>
  </si>
  <si>
    <t>WOS:000379752600017</t>
  </si>
  <si>
    <t>Raber, Margaret; Ranjit, Nalini; Strong, Larkin L.; Basen-Engquist, Karen</t>
  </si>
  <si>
    <t>JOURNAL OF NUTRITION EDUCATION AND BEHAVIOR</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</si>
  <si>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t>
  </si>
  <si>
    <t>Raber, Margaret/0000-0003-2403-9607</t>
  </si>
  <si>
    <t>1499-4046</t>
  </si>
  <si>
    <t>1878-2620</t>
  </si>
  <si>
    <t>WOS:000832105100013</t>
  </si>
  <si>
    <t>Provenza, Nicole R.; Gelin, Luiz Fernando Fracassi; Mahaphanit, Wasita; McGrath, Mary C.; Dastin-van Rijn, Evan M.; Fan, Yunshu; Dhar, Rashi; Frank, Michael J.; Restrepo, Maria, I; Goodman, Wayne K.; Borton, David A.</t>
  </si>
  <si>
    <t>BRAZILIAN JOURNAL OF PSYCHIATRY</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</si>
  <si>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t>
  </si>
  <si>
    <t>Dastin-van Rijn, Evan/0000-0002-1428-0723; Fan, Yunshu/0000-0003-2597-5173</t>
  </si>
  <si>
    <t>1516-4446</t>
  </si>
  <si>
    <t>1809-452X</t>
  </si>
  <si>
    <t>WOS:000796180300007</t>
  </si>
  <si>
    <t>Hassey, Roseann Viscomi</t>
  </si>
  <si>
    <t>Purpose - This paper aims to explore the impact of an overlooked variable, brand personality, as a basis for brand forgiveness and recovery following brand failures. Design/methodology/approach - Data were collected via three on-line surveys using Amazon Mechanical Turk, including a total of 475 respondents (125, 113 and 237) and using a 2 x 2 between-subjects factorial design. Findings -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 This study contributes to the literature by introducing and testing the role brand personality plays, independent of an existing and strong consumer-brand relationship, in consumer response to brand failure. Further, the mediator of and a moderator for this effect are identified.</t>
  </si>
  <si>
    <t>WOS:000487341000013</t>
  </si>
  <si>
    <t>How can Flipped Classroom Activities Support Teacher Motivation?</t>
  </si>
  <si>
    <t>Orngreen, R; Buhl, M; Meyer, B</t>
  </si>
  <si>
    <t>Vold, Tone; Ranglund, Ole Jorgen</t>
  </si>
  <si>
    <t>PROCEEDINGS OF THE 18TH EUROPEAN CONFERENCE ON E-LEARNING (ECEL 2019)</t>
  </si>
  <si>
    <t>18th European Conference on e-Learning (ECEL)</t>
  </si>
  <si>
    <t>NOV 07-08, 2019</t>
  </si>
  <si>
    <t>Aalborg Univ, Copenhagen, DENMARK</t>
  </si>
  <si>
    <t>Aalborg Univ</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</si>
  <si>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t>
  </si>
  <si>
    <t>978-1-912764-41-9</t>
  </si>
  <si>
    <t>WOS:000539626900075</t>
  </si>
  <si>
    <t>How Digital Technologies Modify The Work Characteristics: A Preliminary Study</t>
  </si>
  <si>
    <t>Freour, Lea; Pohl, Sabine; Battistelli, Adalgisa</t>
  </si>
  <si>
    <t>SPANISH JOURNAL OF PSYCHOLOGY</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</si>
  <si>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t>
  </si>
  <si>
    <t>Freour, Lea/0000-0002-0769-5728; pohl, sabine/0000-0002-7686-3983; Battistelli, Adalgisa/0000-0002-4913-6609</t>
  </si>
  <si>
    <t>1138-7416</t>
  </si>
  <si>
    <t>1988-2904</t>
  </si>
  <si>
    <t>FEB 22</t>
  </si>
  <si>
    <t>e14</t>
  </si>
  <si>
    <t>WOS:000620141600001</t>
  </si>
  <si>
    <t>Shafieizadeh, Kiyan; Tao, Chen-Wei (Willie)</t>
  </si>
  <si>
    <t>JOURNAL OF HOSPITALITY AND TOURISM MANAGEMENT</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</si>
  <si>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t>
  </si>
  <si>
    <t>Tao, Chen-Wei (Willie)/0000-0002-8106-9493</t>
  </si>
  <si>
    <t>1447-6770</t>
  </si>
  <si>
    <t>1839-5260</t>
  </si>
  <si>
    <t>WOS:000536583000024</t>
  </si>
  <si>
    <t>How Does Software Process Improvement Address Global Software Engineering?</t>
  </si>
  <si>
    <t>Kuhrmann, Marco; Diebold, Philipp; Munch, Jurgen; Tell, Paolo</t>
  </si>
  <si>
    <t>2016 IEEE 11TH INTERNATIONAL CONFERENCE ON GLOBAL SOFTWARE ENGINEERING (ICGSE)</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</si>
  <si>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t>
  </si>
  <si>
    <t>Kuhrmann, Marco/I-6302-2019; Münch, Jürgen/ABC-2316-2020</t>
  </si>
  <si>
    <t>Kuhrmann, Marco/0000-0001-6101-8931; Münch, Jürgen/0000-0003-0327-8094; Tell, Paolo/0000-0001-7391-0046</t>
  </si>
  <si>
    <t>978-1-5090-2680-7</t>
  </si>
  <si>
    <t>WOS:000387142700013</t>
  </si>
  <si>
    <t>How Does the Negative Impact of an Athlete's Reputational Crisis Spill Over to Endorsed and Competing Brands? The Moderating Effects of Consumer Knowledge</t>
  </si>
  <si>
    <t>Sato, Shintaro; Ko, Yong Jae; Chang, Yonghwan; Kay, Mark</t>
  </si>
  <si>
    <t>COMMUNICATION &amp; SPORT</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</si>
  <si>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t>
  </si>
  <si>
    <t>Chang, Yonghwan/AAC-6379-2021; Sato, Shintaro/AAC-2475-2019; chang, yonghwan/AAI-7689-2021</t>
  </si>
  <si>
    <t>chang, yonghwan/0000-0003-1057-0448</t>
  </si>
  <si>
    <t>2167-4795</t>
  </si>
  <si>
    <t>2167-4809</t>
  </si>
  <si>
    <t>WOS:000468801200006</t>
  </si>
  <si>
    <t>Crowley, Jocelyn Elise</t>
  </si>
  <si>
    <t>EMPLOYEE RESPONSIBILITIES AND RIGHTS JOURNAL</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</si>
  <si>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t>
  </si>
  <si>
    <t>Crowley, Jocelyn/0000-0001-9468-4412</t>
  </si>
  <si>
    <t>0892-7545</t>
  </si>
  <si>
    <t>1573-3378</t>
  </si>
  <si>
    <t>WOS:000661384900001</t>
  </si>
  <si>
    <t>How Much are Digital Platforms Based on Open Collaboration?</t>
  </si>
  <si>
    <t>Morell, Mayo Fuster; Espelt, Ricard</t>
  </si>
  <si>
    <t>PROCEEDINGS OF THE 14TH INTERNATIONAL SYMPOSIUM ON OPEN COLLABORATION (OPENSYM'18)</t>
  </si>
  <si>
    <t>14th International Symposium on Open Collaboration (OpenSym)</t>
  </si>
  <si>
    <t>AUG 22-24, 2018</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</si>
  <si>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t>
  </si>
  <si>
    <t>Fuster Morell, Mayo/0000-0002-2708-3016</t>
  </si>
  <si>
    <t>978-1-4503-5936-8</t>
  </si>
  <si>
    <t>WOS:000632588900026</t>
  </si>
  <si>
    <t>How Online Quality Ratings Influence Patients' Choice of Medical Providers: Controlled Experimental Survey Study</t>
  </si>
  <si>
    <t>Yaraghi, Niam; Wang, Weiguang; Gao, Guodong (Gordon); Agarwal, Ritu</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</si>
  <si>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t>
  </si>
  <si>
    <t>Yaraghi, Niam/M-9356-2019</t>
  </si>
  <si>
    <t>Yaraghi, Niam/0000-0003-3497-0251</t>
  </si>
  <si>
    <t>WOS:000428246700003</t>
  </si>
  <si>
    <t>Haake, JM; Ochoa, SF; Cechich, A</t>
  </si>
  <si>
    <t>GROUPWARE: DESIGN, IMPLEMENTATION, AND USE, PROCEEDINGS</t>
  </si>
  <si>
    <t>13th International Workshop on Groupware</t>
  </si>
  <si>
    <t>SEP 16-20, 2007</t>
  </si>
  <si>
    <t>Bariloche, ARGENTINA</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</si>
  <si>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t>
  </si>
  <si>
    <t>978-3-540-74811-3</t>
  </si>
  <si>
    <t>WOS:000250107200025</t>
  </si>
  <si>
    <t>Ammerman, Brooke A.; Burke, Taylor A.; Jacobucci, Ross; McClure, Kenneth</t>
  </si>
  <si>
    <t>PREVENTIVE MEDICINE</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</si>
  <si>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t>
  </si>
  <si>
    <t>McClure, Kenneth/0000-0002-2347-3674</t>
  </si>
  <si>
    <t>0091-7435</t>
  </si>
  <si>
    <t>1096-0260</t>
  </si>
  <si>
    <t>WOS:000710203800004</t>
  </si>
  <si>
    <t>Fregnan, Ezio; Ivaldi, Silvia; Scaratti, Giuseppe</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</si>
  <si>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t>
  </si>
  <si>
    <t>NOV 20</t>
  </si>
  <si>
    <t>WOS:000595393000001</t>
  </si>
  <si>
    <t>Chughtai, Hameed</t>
  </si>
  <si>
    <t>JOURNAL OF CONTEMPORARY ETHNOGRAPHY</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</si>
  <si>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t>
  </si>
  <si>
    <t>Chughtai, Hameed/M-2819-2014</t>
  </si>
  <si>
    <t>Chughtai, Hameed/0000-0001-6272-2250</t>
  </si>
  <si>
    <t>0891-2416</t>
  </si>
  <si>
    <t>1552-5414</t>
  </si>
  <si>
    <t>WOS:000503693500002</t>
  </si>
  <si>
    <t>I do not own a car any more: An analysis of possessions' disposal and changes in consumers' identities</t>
  </si>
  <si>
    <t>Sandes, Fabio Shimabukuro; Leandro, Julio; Boaventura, Patricia; da Silva Junior, Adelson Ferreira</t>
  </si>
  <si>
    <t>INTERNATIONAL JOURNAL OF CONSUMER STUDIES</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</si>
  <si>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t>
  </si>
  <si>
    <t>Sandes, Fabio/AAK-2451-2020</t>
  </si>
  <si>
    <t>Sandes, Fabio/0000-0002-2349-7123</t>
  </si>
  <si>
    <t>1470-6423</t>
  </si>
  <si>
    <t>1470-6431</t>
  </si>
  <si>
    <t>WOS:000479250600004</t>
  </si>
  <si>
    <t>'I get my income from sharing.' Modelling satisfaction of peer service providers on capital and labour sharing economy platforms</t>
  </si>
  <si>
    <t>Akhmedova, Anna; Mas-Machuca, Marta; Marimon, Frederic</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</si>
  <si>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t>
  </si>
  <si>
    <t>; Marimon, Frederic/D-5531-2011</t>
  </si>
  <si>
    <t>Akhmedova, Anna/0000-0002-3734-4689; Marimon, Frederic/0000-0002-5572-7341</t>
  </si>
  <si>
    <t>WOS:000806357900001</t>
  </si>
  <si>
    <t>iCrowd: An Adaptive Crowdsourcing Framework</t>
  </si>
  <si>
    <t>Fan, Ju; Li, Guoliang; Ooi, Beng Chin; Tan, Kian-lee; Fen, Jianhua</t>
  </si>
  <si>
    <t>SIGMOD'15: PROCEEDINGS OF THE 2015 ACM SIGMOD INTERNATIONAL CONFERENCE ON MANAGEMENT OF DATA</t>
  </si>
  <si>
    <t>ACM SIGMOD International Conference on Management of Data</t>
  </si>
  <si>
    <t>MAY 31-JUN 04, 2015</t>
  </si>
  <si>
    <t>Melbourne, AUSTRALIA</t>
  </si>
  <si>
    <t>ACM SIGMOD,Assoc Comp Machinery,Microsoft,Oracle,Facebook,Google,IBM Res,SAP,Tableau,Twitter,Intel,RMIT Univ</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</si>
  <si>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t>
  </si>
  <si>
    <t>Tan, Kian-Lee/0000-0001-9315-4057</t>
  </si>
  <si>
    <t>978-1-4503-2758-9</t>
  </si>
  <si>
    <t>WOS:000452535700079</t>
  </si>
  <si>
    <t>Identification of Coordination Strategies and Indicators for Global Software Development Projects: Interview Outcome</t>
  </si>
  <si>
    <t>Fujita, H; HerreraViedma, E</t>
  </si>
  <si>
    <t>NEW TRENDS IN INTELLIGENT SOFTWARE METHODOLOGIES, TOOLS AND TECHNIQUES (SOMET_18)</t>
  </si>
  <si>
    <t>17th International Conference on New Trends in Intelligent Software Methodology Tools, and Techniques (SoMeT)</t>
  </si>
  <si>
    <t>SEP 26-28, 2018</t>
  </si>
  <si>
    <t>Granada, SPAIN</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</si>
  <si>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t>
  </si>
  <si>
    <t>978-1-61499-900-3; 978-1-61499-899-0</t>
  </si>
  <si>
    <t>WOS:000467457200043</t>
  </si>
  <si>
    <t>Alsanoosy, Tawfeeq; Spichkova, Maria; Harland, James</t>
  </si>
  <si>
    <t>2020 ACM/IEEE 42ND INTERNATIONAL CONFERENCE ON SOFTWARE ENGINEERING: COMPANION PROCEEDINGS (ICSE-COMPANION 2020)</t>
  </si>
  <si>
    <t>42nd ACM/IEEE International Conference on Software Engineering - Companion Proceedings (ICSE-Companion) / 42nd ACM/IEEE International Conference on Software Engineering - Software Engineering in Practice (ICSE-SEIP)</t>
  </si>
  <si>
    <t>JUN 27-JUL 19, 2020</t>
  </si>
  <si>
    <t>Assoc Comp Machinery,IEEE,IEEE Comp Soc,IEEE Comp Soc Tech Comm Software Engn,ACM Special Interest Grp Software Engn,Korean Inst Informat Scientists &amp; Engineers,Natl Sci Fdn,Facebook,N Carolina State Univ,Microsoft,Samsung,LG Elect,KAIST,SK Hynix,NAVER,Suresoft,HITACHI,Google</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</si>
  <si>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t>
  </si>
  <si>
    <t>Alsanoosy, Tawfeeq/0000-0003-2630-5972</t>
  </si>
  <si>
    <t>WOS:000637244600088</t>
  </si>
  <si>
    <t>Shen, W; Barthes, JP; Luo, J; Shi, Y; Zhang, J</t>
  </si>
  <si>
    <t>Lopes, Tales; Stroele, Victor; Braga, Regina; David, Jose Maria N.; Bauer, Michael</t>
  </si>
  <si>
    <t>PROCEEDINGS OF THE 2021 IEEE 24TH INTERNATIONAL CONFERENCE ON COMPUTER SUPPORTED COOPERATIVE WORK IN DESIGN (CSCWD)</t>
  </si>
  <si>
    <t>24th IEEE International Conference on Computer Supported Cooperative Work in Design (IEEE CSCWD)</t>
  </si>
  <si>
    <t>MAY 05-07, 2021</t>
  </si>
  <si>
    <t>Dalian, PEOPLES R CHINA</t>
  </si>
  <si>
    <t>IEEE,Dalian Univ Technol,Int Working Grp Comp Supported Cooperat Work in Design,IEEE Syst Man &amp; Cybernet Soc,Dalian Jiaotong Univ</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</si>
  <si>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t>
  </si>
  <si>
    <t>978-1-7281-6597-4</t>
  </si>
  <si>
    <t>WOS:000716858200126</t>
  </si>
  <si>
    <t>Identifying Potential Risks and Benefits of Using Cloud in Distributed Software Development</t>
  </si>
  <si>
    <t>Heidrich, J; Oivo, M; Jedlitschka, A; Baldassarre, MT</t>
  </si>
  <si>
    <t>Oza, Nilay; Munch, Jurgen; Garbajosa, Juan; Yague, Agustin; Gonzalez Ortega, Eloy</t>
  </si>
  <si>
    <t>PRODUCT-FOCUSED SOFTWARE PROCESS IMPROVEMENT</t>
  </si>
  <si>
    <t>14th International Conference on Product-Focused Software Process Improvement (PROFES)</t>
  </si>
  <si>
    <t>JUN 12-14, 2013</t>
  </si>
  <si>
    <t>Paphos, CYPRUS</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</si>
  <si>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t>
  </si>
  <si>
    <t>Yagüe, Agustin/T-9400-2019; Yagüe, Agustin/M-2229-2014; Münch, Jürgen/ABC-2316-2020; Garbajosa, Juan/B-5818-2012</t>
  </si>
  <si>
    <t>Yagüe, Agustin/0000-0002-4761-0901; Yagüe, Agustin/0000-0002-4761-0901; Münch, Jürgen/0000-0003-0327-8094; Garbajosa, Juan/0000-0003-0161-3485</t>
  </si>
  <si>
    <t>978-3-642-39259-7; 978-3-642-39258-0</t>
  </si>
  <si>
    <t>WOS:000342989700019</t>
  </si>
  <si>
    <t>Bruun, Megan; Willoughby, Shannon; Smith, Jessi L.</t>
  </si>
  <si>
    <t>PHYSICAL REVIEW PHYSICS EDUCATION RESEARCH</t>
  </si>
  <si>
    <t>Supporting efforts to grow the scientific workforce means articulating and comparing the content of science field stereotypes. To do this, data were collected from the general public [undergraduates (n = 121) and Amazon Mechanical Turk workers (n = 223)] as well as from people within science [attendees of an undergraduate conference for women in physics (n = 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t>
  </si>
  <si>
    <t>Smith, Jessi/0000-0001-6439-1336; Willoughby, Shannon/0000-0002-5690-9489</t>
  </si>
  <si>
    <t>2469-9896</t>
  </si>
  <si>
    <t>DEC 12</t>
  </si>
  <si>
    <t>WOS:000452963700001</t>
  </si>
  <si>
    <t>I'm angry that I'm not perfect! aggression mediates the relationship between perfectionism and eating pathology in men and women</t>
  </si>
  <si>
    <t>Martinez, Kimberly; Guan, Carrie; Walker, D. Catherine</t>
  </si>
  <si>
    <t>EATING AND WEIGHT DISORDERS-STUDIES ON ANOREXIA BULIMIA AND OBESITY</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</si>
  <si>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t>
  </si>
  <si>
    <t>Walker, D. Catherine/AFP-2057-2022</t>
  </si>
  <si>
    <t>Walker, D. Catherine/0000-0002-9424-7156; Martinez, Kimberly/0000-0001-8505-3408</t>
  </si>
  <si>
    <t>1124-4909</t>
  </si>
  <si>
    <t>1590-1262</t>
  </si>
  <si>
    <t>WOS:000713953700003</t>
  </si>
  <si>
    <t>Image Captioning with Compositional Neural Module Networks</t>
  </si>
  <si>
    <t>Kraus, S</t>
  </si>
  <si>
    <t>Tian, Junjiao; Oh, Jean</t>
  </si>
  <si>
    <t>PROCEEDINGS OF THE TWENTY-EIGHTH INTERNATIONAL JOINT CONFERENCE ON ARTIFICIAL INTELLIGENCE</t>
  </si>
  <si>
    <t>28th International Joint Conference on Artificial Intelligence</t>
  </si>
  <si>
    <t>AUG 10-16, 2019</t>
  </si>
  <si>
    <t>Macao, PEOPLES R CHINA</t>
  </si>
  <si>
    <t>Int Joint Conf Artifical Intelligence</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</si>
  <si>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t>
  </si>
  <si>
    <t>978-0-9992411-4-1</t>
  </si>
  <si>
    <t>WOS:000761735103101</t>
  </si>
  <si>
    <t>Imbalanced Collusive Security Games</t>
  </si>
  <si>
    <t>Bushnell, L; Poovendran, R; Basar, T</t>
  </si>
  <si>
    <t>Ou, Han-Ching; Tambe, Milind; Dilkina, Bistra; Vayanos, Phebe</t>
  </si>
  <si>
    <t>DECISION AND GAME THEORY FOR SECURITY, GAMESEC 2018</t>
  </si>
  <si>
    <t>9th International Conference on Decision and Game Theory for Security (GameSec)</t>
  </si>
  <si>
    <t>OCT 29-31, 2018</t>
  </si>
  <si>
    <t>Univ Washington, Seattle, WA</t>
  </si>
  <si>
    <t>Assoc Comp Machinery,Army Res Off,MDPI, Games,NSF,Springer, Lecture Notes Comp Sci,Off Naval Res Sci &amp; Technol,Univ Washington, Elect &amp; Comp Engn</t>
  </si>
  <si>
    <t>Univ Washington</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</si>
  <si>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t>
  </si>
  <si>
    <t>Dilkina, Bistra/0000-0002-6784-473X; Vayanos, Phebe/0000-0001-7800-7235</t>
  </si>
  <si>
    <t>978-3-030-01554-1; 978-3-030-01553-4</t>
  </si>
  <si>
    <t>WOS:000477971800034</t>
  </si>
  <si>
    <t>Impact of Brief Nicotine Messaging on Nicotine-Related Beliefs in a US Sample</t>
  </si>
  <si>
    <t>Villanti, Andrea C.; West, Julia C.; Mays, Darren; Donny, Eric C.; Cappella, Joseph N.; Strasser, Andrew A.</t>
  </si>
  <si>
    <t>AMERICAN JOURNAL OF PREVENTIVE MEDICINE</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</si>
  <si>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&gt;18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(C) 2019 American Journal of Preventive Medicine. Published by Elsevier Inc. All rights reserved.</t>
  </si>
  <si>
    <t>Villanti, Andrea/AAM-9433-2021; Villanti, Andrea/ABE-6283-2020</t>
  </si>
  <si>
    <t>Villanti, Andrea/0000-0003-3104-966X; Villanti, Andrea/0000-0003-3104-966X</t>
  </si>
  <si>
    <t>0749-3797</t>
  </si>
  <si>
    <t>1873-2607</t>
  </si>
  <si>
    <t>E135</t>
  </si>
  <si>
    <t>E142</t>
  </si>
  <si>
    <t>WOS:000486388900005</t>
  </si>
  <si>
    <t>Zhang, Wenzhu; Dai, Yue; Tian, Lin</t>
  </si>
  <si>
    <t>ANNALS OF OPERATIONS RESEARCH</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</si>
  <si>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t>
  </si>
  <si>
    <t>0254-5330</t>
  </si>
  <si>
    <t>1572-9338</t>
  </si>
  <si>
    <t>WOS:000772356900003</t>
  </si>
  <si>
    <t>Airoldi, Edoardo M.; Bischof, Jonathan M.</t>
  </si>
  <si>
    <t>JOURNAL OF THE AMERICAN STATISTICAL ASSOCIATION</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</si>
  <si>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t>
  </si>
  <si>
    <t>0162-1459</t>
  </si>
  <si>
    <t>1537-274X</t>
  </si>
  <si>
    <t>WOS:000391900700002</t>
  </si>
  <si>
    <t>Improving Electronic Health Record Note Comprehension With NoteAid: Randomized Trial of Electronic Health Record Note Comprehension Interventions With Crowdsourced Workers</t>
  </si>
  <si>
    <t>Lalor, John P.; Woolf, Beverly; Yu, Hong</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</si>
  <si>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t>
  </si>
  <si>
    <t>Lalor, John/0000-0003-0848-4786</t>
  </si>
  <si>
    <t>JAN 16</t>
  </si>
  <si>
    <t>e10793</t>
  </si>
  <si>
    <t>WOS:000456630700001</t>
  </si>
  <si>
    <t>Improving social relationships in face-to-face human-agent interactions: when the agent wants to know user's likes and dislikes</t>
  </si>
  <si>
    <t>Zong, C; Strube, M</t>
  </si>
  <si>
    <t>Langlet, Caroline; Clavel, Chloe</t>
  </si>
  <si>
    <t>PROCEEDINGS OF THE 53RD ANNUAL MEETING OF THE ASSOCIATION FOR COMPUTATIONAL LINGUISTICS AND THE 7TH INTERNATIONAL JOINT CONFERENCE ON NATURAL LANGUAGE PROCESSING, VOL 1</t>
  </si>
  <si>
    <t>53rd Annual Meeting of the Association-for-Computational-Linguistics (ACS) / 7th International Joint Conference on Natural Language Processing of the Asian-Federation-of-Natural-Language-Processing (IJCNLP)</t>
  </si>
  <si>
    <t>JUL 26-31, 2015</t>
  </si>
  <si>
    <t>Assoc Computat Linguist,Asian Federat Nat Language Proc,CreditEase,Baidu,Tencent,Alibaba Grp,Samsung,Microsoft,Google,Facebook,SinoVoice,Huawei,Nuance,Amazon,Voicebox Technologies,Baobab,Sogou</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</si>
  <si>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t>
  </si>
  <si>
    <t>Clavel, Chloe/0000-0003-4850-3398</t>
  </si>
  <si>
    <t>978-1-941643-72-3</t>
  </si>
  <si>
    <t>WOS:000493808900103</t>
  </si>
  <si>
    <t>Improving the Nutritional Impact of the Supplemental Nutrition Assistance Program: Perspectives From the Participants</t>
  </si>
  <si>
    <t>Leung, Cindy W.; Musicus, Aviva A.; Willett, Walter C.; Rimm, Eric B.</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</si>
  <si>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(C) 2016 American Journal of Preventive Medicine.</t>
  </si>
  <si>
    <t>S193</t>
  </si>
  <si>
    <t>S198</t>
  </si>
  <si>
    <t>WOS:000396996100013</t>
  </si>
  <si>
    <t>Incentive and Reputation Mechanisms for Online Crowdsourcing Systems</t>
  </si>
  <si>
    <t>Xie, Hong; Lui, John C. S.; Towsley, Don</t>
  </si>
  <si>
    <t>2015 IEEE 23RD INTERNATIONAL SYMPOSIUM ON QUALITY OF SERVICE (IWQOS)</t>
  </si>
  <si>
    <t>23rd IEEE/ACM International Symposium on Quality of Service (IWQoS)</t>
  </si>
  <si>
    <t>JUN 13-20, 2015</t>
  </si>
  <si>
    <t>IEEE,ACM</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</si>
  <si>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t>
  </si>
  <si>
    <t>978-1-4673-7113-1</t>
  </si>
  <si>
    <t>WOS:000381505400042</t>
  </si>
  <si>
    <t>Schmidt, Stephanie; Thommes, Kirsten</t>
  </si>
  <si>
    <t>ZEITSCHRIFT FUR PERSONALFORSCHUNG</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</si>
  <si>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t>
  </si>
  <si>
    <t>Thommes, Kirsten/0000-0002-8057-7162</t>
  </si>
  <si>
    <t>0179-6437</t>
  </si>
  <si>
    <t>1862-0000</t>
  </si>
  <si>
    <t>WOS:000250266100003</t>
  </si>
  <si>
    <t>Incredible: Is (Almost) All Web Content Trustworthy? Analysis of Psychological Factors Related to Website Credibility Evaluation</t>
  </si>
  <si>
    <t>Rafalak, Maria; Abramczuk, Katarzyna; Wierzbicki, Adam</t>
  </si>
  <si>
    <t>WWW'14 COMPANION: PROCEEDINGS OF THE 23RD INTERNATIONAL CONFERENCE ON WORLD WIDE WEB</t>
  </si>
  <si>
    <t>23rd International Conference on World Wide Web (WWW)</t>
  </si>
  <si>
    <t>APR 07-11, 2014</t>
  </si>
  <si>
    <t>Assoc Comp Machinery,IW3C2,ACM SIGWEB,NAVER,Google,Microsoft,SK Planet,Facebook,Yahoo! Labs,Daum,European Patent Off,LG Elect,Baidu,Kaggle,Samsung,Korea Tourism Org,Korean Federat Sci &amp; Technol Soc,Seoul Metropolitan Govt,Korea Inst Informat Scientists &amp; Engineers,Int World Wide Web Conf Steering Comm,Korea Adv Inst Sci &amp; Technol,Korean Agcy Technol &amp; Stand</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</si>
  <si>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t>
  </si>
  <si>
    <t>Wierzbicki, Adam/0000-0003-0075-7030; Abramczuk, Katarzyna/0000-0003-2249-9888</t>
  </si>
  <si>
    <t>978-1-4503-2745-9</t>
  </si>
  <si>
    <t>WOS:000455947000295</t>
  </si>
  <si>
    <t>Bush, SS</t>
  </si>
  <si>
    <t>ARCHIVES OF CLINICAL NEUROPSYCHOLOGY</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</si>
  <si>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(c) 2005 National Academy of Neuropsychology. Published by Elsevier Ltd. All rights reserved.</t>
  </si>
  <si>
    <t>0887-6177</t>
  </si>
  <si>
    <t>1873-5843</t>
  </si>
  <si>
    <t>WOS:000233884500004</t>
  </si>
  <si>
    <t>Skurka, Chris; Kalaji, Motasem; Dorf, Michael C.; Kemp, Deena; Safi, Amelia Greiner; Byrne, Sahara; Mathiose, Alan D.; Avery, Rosemary J.; Niederdeppe, Jeff</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</si>
  <si>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x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t>
  </si>
  <si>
    <t>Skurka, Chris/Z-5318-2019; Skurka, Chris/AFN-7773-2022</t>
  </si>
  <si>
    <t xml:space="preserve">Skurka, Chris/0000-0002-0613-3475; </t>
  </si>
  <si>
    <t>MAY 1</t>
  </si>
  <si>
    <t>WOS:000469306800013</t>
  </si>
  <si>
    <t>Industry 4.0 and its Impact on the Labor Market</t>
  </si>
  <si>
    <t>Wefersova, Jarmila</t>
  </si>
  <si>
    <t>VISION 2020: SUSTAINABLE ECONOMIC DEVELOPMENT AND APPLICATION OF INNOVATION MANAGEMENT</t>
  </si>
  <si>
    <t>32nd Conference of the International-Business-Information-Management-Association (IBIMA)</t>
  </si>
  <si>
    <t>NOV 15-16, 2018</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</si>
  <si>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t>
  </si>
  <si>
    <t>978-0-9998551-1-9</t>
  </si>
  <si>
    <t>WOS:000508553202088</t>
  </si>
  <si>
    <t>INFORMATION OVERLAP IN MULTILINGUAL WIKIPEDIA AND SUMMARIZATION</t>
  </si>
  <si>
    <t>Filatova, Elena</t>
  </si>
  <si>
    <t>INTERNATIONAL JOURNAL OF COOPERATIVE INFORMATION SYSTEMS</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</si>
  <si>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t>
  </si>
  <si>
    <t>0218-8430</t>
  </si>
  <si>
    <t>1793-6365</t>
  </si>
  <si>
    <t>WOS:000316268200004</t>
  </si>
  <si>
    <t>Broos, Elizabeth; Cronje, Johannes C.</t>
  </si>
  <si>
    <t>EDUCATIONAL TECHNOLOGY &amp; SOCIETY</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</si>
  <si>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t>
  </si>
  <si>
    <t>Cronje, Johannes C/H-7458-2017</t>
  </si>
  <si>
    <t>Cronje, Johannes/0000-0002-9838-4609</t>
  </si>
  <si>
    <t>1436-4522</t>
  </si>
  <si>
    <t>WOS:000264258700022</t>
  </si>
  <si>
    <t>Innovative Business Models and Responsible Consumption - Case Study</t>
  </si>
  <si>
    <t>Popescu, Doina I.; Papa, Ion; Stefan, Simona Catalina; Vlasceanu, Cristina</t>
  </si>
  <si>
    <t>VISION 2020: INNOVATION MANAGEMENT, DEVELOPMENT SUSTAINABILITY, AND COMPETITIVE ECONOMIC GROWTH, 2016, VOLS I - VII</t>
  </si>
  <si>
    <t>28th International Business-Information-Management-Association Conference</t>
  </si>
  <si>
    <t>NOV 09-10, 2016</t>
  </si>
  <si>
    <t>Popa, Ion/H-5068-2016; Ștefan, Simona Cătălina/Q-4646-2019; Ștefan, Simona Cătălina/A-5823-2016</t>
  </si>
  <si>
    <t>Popa, Ion/0000-0003-0703-3828; Ștefan, Simona Cătălina/0000-0003-4731-6785; Ștefan, Simona Cătălina/0000-0003-4731-6785</t>
  </si>
  <si>
    <t>978-0-9860419-8-3</t>
  </si>
  <si>
    <t>WOS:000392785700428</t>
  </si>
  <si>
    <t>Innovative Tools for Tourism and Cultural Tourism Impact Assessment</t>
  </si>
  <si>
    <t>10.3390/su12187470</t>
  </si>
  <si>
    <t>Kalvet, Tarmo; Olesk, Maarja; Tiits, Marek; Raun, Janika</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</si>
  <si>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t>
  </si>
  <si>
    <t>Raun, Janika/AAB-3245-2022; Kalvet, Tarmo/L-2738-2014; Tiits, Marek/B-4708-2008</t>
  </si>
  <si>
    <t>Raun, Janika/0000-0002-7112-5746; Olesk, Maarja/0000-0002-0034-0668; Kalvet, Tarmo/0000-0002-4895-4466; Tiits, Marek/0000-0002-2484-5003</t>
  </si>
  <si>
    <t>WOS:000584416700001</t>
  </si>
  <si>
    <t>Gopal, Jagadeesh; Sangaiah, Arun Kumar; Basu, Anirban; Gao, Xiao Zhi</t>
  </si>
  <si>
    <t>INTERNATIONAL JOURNAL OF MACHINE LEARNING AND CYBERNETICS</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</si>
  <si>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t>
  </si>
  <si>
    <t>Gopal, Jagadeesh/U-4832-2019; Sangaiah, Arun Kumar/U-6785-2019</t>
  </si>
  <si>
    <t>Gopal, Jagadeesh/0000-0002-6590-8461; Sangaiah, Arun Kumar/0000-0002-0229-2460</t>
  </si>
  <si>
    <t>1868-8071</t>
  </si>
  <si>
    <t>1868-808X</t>
  </si>
  <si>
    <t>WOS:000422948600004</t>
  </si>
  <si>
    <t>Intelligent Analysis of Software Architecture Rationale for Collaborative Software Design</t>
  </si>
  <si>
    <t>Smari, WW; McQuay, W; Nygard, M; Natarian, J</t>
  </si>
  <si>
    <t>Chanda, NagaPrashanth; Liu, Xiaoqing (Frank)</t>
  </si>
  <si>
    <t>PROCEEDINGS OF THE 2015 INTERNATIONAL CONFERENCE ON COLLABORATION TECHNOLOGIES AND SYSTEMS</t>
  </si>
  <si>
    <t>Proceedings of the 2015 International Conference on Collaboration Technologies and Systems</t>
  </si>
  <si>
    <t>JUN 01-05, 2015</t>
  </si>
  <si>
    <t>Atlanta, GA</t>
  </si>
  <si>
    <t>Honeywell Int Inc,Knowledge Based Systems, Inc. (KBSI),Ball Aerospace and Technologies Corp,ClearFunnel, Inc,Intel Corp,LexisNexis Corp,Microsoft Res,PayPal, Inc.,Springer Verlag</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</si>
  <si>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</si>
  <si>
    <t>978-1-4673-7648-8</t>
  </si>
  <si>
    <t>WOS:000380469300050</t>
  </si>
  <si>
    <t>Interactive production planning and ergonomic assessment with Digital Human Models - Introducing the Editor for Manual Work Activities (ema)</t>
  </si>
  <si>
    <t>Fritzsche, Lars; Leidholdt, Wolfgang; Bauer, Sebastian; Jaeckel, Thomas; Moreno, Adrian</t>
  </si>
  <si>
    <t>WORK-A JOURNAL OF PREVENTION ASSESSMENT &amp; REHABILITATION</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</si>
  <si>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ema(phi). For the most part, the ema(phi)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ema(phi) software implementation, such as ergonomic evaluation and MTM-time analyses, and the workflow for practical application are presented.</t>
  </si>
  <si>
    <t>1051-9815</t>
  </si>
  <si>
    <t>1875-9270</t>
  </si>
  <si>
    <t>WOS:000306361804091</t>
  </si>
  <si>
    <t>Colas, Alejandro</t>
  </si>
  <si>
    <t>POLITICAL QUARTERLY</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</si>
  <si>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t>
  </si>
  <si>
    <t>0032-3179</t>
  </si>
  <si>
    <t>1467-923X</t>
  </si>
  <si>
    <t>WOS:000493780700001</t>
  </si>
  <si>
    <t>Meyer, B; Nawrocki, JR; Walter, B</t>
  </si>
  <si>
    <t>Wahyudin, Dindin; Heindl, Matthias; Eckhard, Benedikt; Schatten, Alexander; Biffl, Stefan</t>
  </si>
  <si>
    <t>BALANCING AGILITY AND FORMALISM IN SOFTWARE ENGINEERING</t>
  </si>
  <si>
    <t>2nd IFIP Central and East European Conference on Software Engineering Techniques (CEE-SET 2007)</t>
  </si>
  <si>
    <t>OCT 10-12, 2007</t>
  </si>
  <si>
    <t>Poznan, POLAND</t>
  </si>
  <si>
    <t>IFIP TC 2</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</si>
  <si>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t>
  </si>
  <si>
    <t>Biffl, Stefan/AAP-6073-2020</t>
  </si>
  <si>
    <t>Biffl, Stefan/0000-0002-3413-7780</t>
  </si>
  <si>
    <t>978-3-540-85278-0</t>
  </si>
  <si>
    <t>WOS:000258930500017</t>
  </si>
  <si>
    <t>Koretsi, Vasiliki; Tingelhoff, Linda; Proff, Peter; Kirschneck, Christian</t>
  </si>
  <si>
    <t>EUROPEAN JOURNAL OF ORTHODONTICS</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</si>
  <si>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 (R) scan (Dentaurum) and analysed with ivoris (R) analyze3D (Computer konkret). Manual model analyses were done with a dial caliper (0.1 mm). Common parameters were measured on each plaster cast and its virtual counterpart five times each by an experienced observer. We assessed intra-observer reliability within method (ICC), agreement/conformity between methods (Bland-Altman analyses and Lin's concordance correlation), and changing bias (regression analyses). Results: Intra-observer reliability was substantial within each method (ICC &gt;=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t>
  </si>
  <si>
    <t>Koretsi, Vasiliki/0000-0001-8416-6523</t>
  </si>
  <si>
    <t>0141-5387</t>
  </si>
  <si>
    <t>1460-2210</t>
  </si>
  <si>
    <t>WOS:000423705400007</t>
  </si>
  <si>
    <t>Intuitionistic Fuzzy Decision Making Towards Efficient Team Selection in Global Software Development</t>
  </si>
  <si>
    <t>Goyal, Mukta; Gupta, Chetna</t>
  </si>
  <si>
    <t>JOURNAL OF INFORMATION TECHNOLOGY RESEARCH</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</si>
  <si>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t>
  </si>
  <si>
    <t>Goyal, Mukta/GNP-8767-2022</t>
  </si>
  <si>
    <t>Goyal, Mukta/0000-0001-6726-3073</t>
  </si>
  <si>
    <t>1938-7857</t>
  </si>
  <si>
    <t>1938-7865</t>
  </si>
  <si>
    <t>APR-JUN</t>
  </si>
  <si>
    <t>WOS:000514811100005</t>
  </si>
  <si>
    <t>Kurbanoglu, S; Spiranec, S; Unal, Y; Boustany, J; Huotari, ML; Grassian, E; Mizrachi, D; Roy, L</t>
  </si>
  <si>
    <t>Teixeira, Jose Apolinario; Karsten, Helena; Widen, Gunilla</t>
  </si>
  <si>
    <t>INFORMATION LITERACY IN EVERYDAY LIFE</t>
  </si>
  <si>
    <t>6th European Conference on Information Literacy (ECIL)</t>
  </si>
  <si>
    <t>SEP 24-27, 2018</t>
  </si>
  <si>
    <t>Univ Oulu, Dept Informat &amp; Commun Studies, Oulu, FINLAND</t>
  </si>
  <si>
    <t>Hacettepe Univ, Dept Informat Management,Zagreb Univ, Dept Informat &amp; Commun Sci,Informat Literacy Assoc</t>
  </si>
  <si>
    <t>Univ Oulu, Dept Informat &amp; Commun Studies</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</si>
  <si>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t>
  </si>
  <si>
    <t>1865-0929</t>
  </si>
  <si>
    <t>1865-0937</t>
  </si>
  <si>
    <t>978-3-030-13472-3; 978-3-030-13471-6</t>
  </si>
  <si>
    <t>WOS:000617912500019</t>
  </si>
  <si>
    <t>Conte, Jeffrey M.; Aasen, Bryan; Jacobson, Caitie; O'Loughlin, Casey; Toroslu, Lukas</t>
  </si>
  <si>
    <t>JOURNAL OF MANAGERIAL PSYCHOLOGY</t>
  </si>
  <si>
    <t>Purpose -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t>
  </si>
  <si>
    <t>0268-3946</t>
  </si>
  <si>
    <t>1758-7778</t>
  </si>
  <si>
    <t>WOS:000489731600002</t>
  </si>
  <si>
    <t>Hyun, Jonghan</t>
  </si>
  <si>
    <t>JOURNAL OF FASHION MARKETING AND MANAGEMENT</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</si>
  <si>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t>
  </si>
  <si>
    <t>Hyun, Jonghan/0000-0002-1707-9830</t>
  </si>
  <si>
    <t>1361-2026</t>
  </si>
  <si>
    <t>1758-7433</t>
  </si>
  <si>
    <t>JUL 13</t>
  </si>
  <si>
    <t>WOS:000685070900001</t>
  </si>
  <si>
    <t>Involving End Users in Distributed Requirements Engineering</t>
  </si>
  <si>
    <t>Forbrig, P; Paterno, F</t>
  </si>
  <si>
    <t>Lohmann, Steffen; Ziegler, Juergen; Heim, Philipp</t>
  </si>
  <si>
    <t>ENGINEERING INTERACTIVE SYSTEMS 2008, PROCEEDINGS</t>
  </si>
  <si>
    <t>2nd Conference on Human-Centered Software Engineering/7th International Workshop on Task Models and Diagrams</t>
  </si>
  <si>
    <t>SEP 25-26, 2008</t>
  </si>
  <si>
    <t>Pisa, ITALY</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</si>
  <si>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t>
  </si>
  <si>
    <t>978-3-540-85991-8</t>
  </si>
  <si>
    <t>WOS:000260477700020</t>
  </si>
  <si>
    <t>Dubin, Justin M.; Wyant, W. Austin; Balaji, Navin C.; Efimenko, Iakov, V; Rainer, Quinn C.; Mora, Belen; Paz, Lisa; Winter, Ashley G.; Ramasamy, Ranjith</t>
  </si>
  <si>
    <t>SEXUAL MEDICINE</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</si>
  <si>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Copyright (C) 2021 The Authors. Published by Elsevier Inc. on behalf of the International Society for Sexual Medicine.</t>
  </si>
  <si>
    <t>2050-1161</t>
  </si>
  <si>
    <t>WOS:000675535400021</t>
  </si>
  <si>
    <t>IS proactive frailty identification a good idea A qualitative interview study</t>
  </si>
  <si>
    <t>Mulla, Ebrahim; Orton, Elizabeth; Kendrick, Denise</t>
  </si>
  <si>
    <t>BRITISH JOURNAL OF GENERAL PRACTICE</t>
  </si>
  <si>
    <t>Background In England, GPs are independent contractors working to a national contract. Since 2017, the contract requires GPs to use electronic tools to proactively identify moderate and severe frailty in people aged 265 years, and offer interventions to help those identified to stay welt and maintain independent living. Little is currently known about GPs views of this contractual requirement. Aim To explore GPs views of identifying frailty arid offering interventions for those living with moderate or frailty. Design and setting methods study of GPs in the East Midlands region of England namely Derbyshire. Leicestershire, Lincolnshire, Nottinghamshire. and Northamptonshire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t>
  </si>
  <si>
    <t>Mulla, Ebrahim/0000-0003-3902-6454</t>
  </si>
  <si>
    <t>0960-1643</t>
  </si>
  <si>
    <t>1478-5242</t>
  </si>
  <si>
    <t>E604</t>
  </si>
  <si>
    <t>E613</t>
  </si>
  <si>
    <t>WOS:000680055000005</t>
  </si>
  <si>
    <t>Rudi, Jessie; Dworkin, Jodi</t>
  </si>
  <si>
    <t>SUBSTANCE USE &amp; MISUSE</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</si>
  <si>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t>
  </si>
  <si>
    <t>1082-6084</t>
  </si>
  <si>
    <t>1532-2491</t>
  </si>
  <si>
    <t>WOS:000434687300012</t>
  </si>
  <si>
    <t>It Is What You Have, Not What You Lose: Effects of Perceived Gains and Losses on Goal Orientation Across Adulthood</t>
  </si>
  <si>
    <t>Gong, Xianmin; Freund, Alexandra M.</t>
  </si>
  <si>
    <t>JOURNALS OF GERONTOLOGY SERIES B-PSYCHOLOGICAL SCIENCES AND SOCIAL SCIENCES</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</si>
  <si>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 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t>
  </si>
  <si>
    <t>Gong, Xianmin/ABE-2933-2020</t>
  </si>
  <si>
    <t>Gong, Xianmin/0000-0002-8490-559X</t>
  </si>
  <si>
    <t>1079-5014</t>
  </si>
  <si>
    <t>1758-5368</t>
  </si>
  <si>
    <t>WOS:000593405700004</t>
  </si>
  <si>
    <t>It's just a breast: an examination of the effects of sexualization, sexism, and breastfeeding familiarity on evaluations of public breastfeeding</t>
  </si>
  <si>
    <t>Zaikman, Yuliana; Houlihan, Amy E.</t>
  </si>
  <si>
    <t>BMC PREGNANCY AND CHILDBIRTH</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</si>
  <si>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participants'gender or level of sexist attitudes. Conclusions: In general, people's evaluations of breastfeeding appear to be favorable to the degree that the location of the breastfeeding is not particularly relevant to those evaluations.</t>
  </si>
  <si>
    <t>Zaikman, Yuliana/0000-0002-4233-0919</t>
  </si>
  <si>
    <t>1471-2393</t>
  </si>
  <si>
    <t>FEB 12</t>
  </si>
  <si>
    <t>WOS:000754357200001</t>
  </si>
  <si>
    <t>Mitlacher, Lars W.</t>
  </si>
  <si>
    <t>INTERNATIONAL JOURNAL OF HUMAN RESOURCE MANAGEMENT</t>
  </si>
  <si>
    <t>0958-5192</t>
  </si>
  <si>
    <t>1466-4399</t>
  </si>
  <si>
    <t>WOS:000254919700004</t>
  </si>
  <si>
    <t>Job Satisfaction and Contingent Employment</t>
  </si>
  <si>
    <t>de Graaf-Zijl, Marloes</t>
  </si>
  <si>
    <t>ECONOMIST-NETHERLANDS</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</si>
  <si>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t>
  </si>
  <si>
    <t>0013-063X</t>
  </si>
  <si>
    <t>1572-9982</t>
  </si>
  <si>
    <t>WOS:000303536700007</t>
  </si>
  <si>
    <t>Huenefeld, Lena; Gerstenberg, Susanne; Hueffmeier, Joachim</t>
  </si>
  <si>
    <t>WORK AND STRESS</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</si>
  <si>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t>
  </si>
  <si>
    <t>0267-8373</t>
  </si>
  <si>
    <t>1464-5335</t>
  </si>
  <si>
    <t>WOS:000510730300005</t>
  </si>
  <si>
    <t>Joint Summarization of Large-scale Collections of Web Images and Videos for Storyline Reconstruction</t>
  </si>
  <si>
    <t>Kim, Gunhee; Sigal, Leonid; Xing, Eric P.</t>
  </si>
  <si>
    <t>2014 IEEE CONFERENCE ON COMPUTER VISION AND PATTERN RECOGNITION (CVPR)</t>
  </si>
  <si>
    <t>27th IEEE Conference on Computer Vision and Pattern Recognition (CVPR)</t>
  </si>
  <si>
    <t>JUN 23-28, 2014</t>
  </si>
  <si>
    <t>Columbus, OH</t>
  </si>
  <si>
    <t>CVF,IEEE,IEEE Comp Soc</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</si>
  <si>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t>
  </si>
  <si>
    <t>978-1-4799-5117-8</t>
  </si>
  <si>
    <t>WOS:000361555604036</t>
  </si>
  <si>
    <t>Pfeiffer, Sabine; Kawalec, Sandra</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</si>
  <si>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codes:J88; J3</t>
  </si>
  <si>
    <t>Pfeiffer, Sabine/E-7690-2011</t>
  </si>
  <si>
    <t>Pfeiffer, Sabine/0000-0001-5287-8112</t>
  </si>
  <si>
    <t>WOS:000572752200001</t>
  </si>
  <si>
    <t>Keeping Designers in the Loop: Communicating Inherent Algorithmic Trade-offs Across Multiple Objectives</t>
  </si>
  <si>
    <t>Yu, Bowen; Yuan, Ye; Terveen, Loren; Wu, Zhiwei Steven; Forlizzi, Jodi; Zhu, Haiyi</t>
  </si>
  <si>
    <t>PROCEEDINGS OF THE 2020 ACM DESIGNING INTERACTIVE SYSTEMS CONFERENCE (DIS 2020)</t>
  </si>
  <si>
    <t>ACM Designing Interactive Systems Conference (DIS)</t>
  </si>
  <si>
    <t>JUL 06-10, 2020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</si>
  <si>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t>
  </si>
  <si>
    <t>Zhu, Haiyi/0000-0001-7271-9100</t>
  </si>
  <si>
    <t>978-1-4503-6974-9</t>
  </si>
  <si>
    <t>WOS:000747501900093</t>
  </si>
  <si>
    <t>Key Barriers of Globally Distributed Software Products Development</t>
  </si>
  <si>
    <t>Kocaoglu, DF; Anderson, TR; Daim, TU</t>
  </si>
  <si>
    <t>Helen, Milla; Nahar, Nazmun</t>
  </si>
  <si>
    <t>2011 PROCEEDINGS OF PICMET 11: TECHNOLOGY MANAGEMENT IN THE ENERGY-SMART WORLD (PICMET)</t>
  </si>
  <si>
    <t>Portland International Center for Management of Engineering and Technology (PICMET) Conference on Technology Management in the Energy-Smart World</t>
  </si>
  <si>
    <t>JUL 31-AUG 04, 2011</t>
  </si>
  <si>
    <t>Portland State Univ, Maseeh Coll Engn &amp; Comp Sci, Dept Engn &amp; Technol Management,Portland State Univ, Off Informat Technol,IKON Off Solut</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</si>
  <si>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t>
  </si>
  <si>
    <t>978-1-890843-23-6</t>
  </si>
  <si>
    <t>WOS:000298384400206</t>
  </si>
  <si>
    <t>Knowledge transfer challenges and mitigation strategies in global software development-A systematic literature review and industrial validation</t>
  </si>
  <si>
    <t>Nidhra, Srinivas; Yanamadala, Muralidhar; Afzal, Wasif; Torkar, Richard</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</si>
  <si>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(C) 2012 Elsevier Ltd. All rights reserved.</t>
  </si>
  <si>
    <t>WOS:000316428300011</t>
  </si>
  <si>
    <t>10.1111/exsy.608</t>
  </si>
  <si>
    <t>Parviainen, Paivi; Tihinen, Maarit</t>
  </si>
  <si>
    <t>EXPERT SYSTEMS</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</si>
  <si>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t>
  </si>
  <si>
    <t>Tihinen, Maarit/AAH-4638-2021</t>
  </si>
  <si>
    <t>Tihinen, Maarit/0000-0003-2527-1803</t>
  </si>
  <si>
    <t>0266-4720</t>
  </si>
  <si>
    <t>1468-0394</t>
  </si>
  <si>
    <t>WOS:000340161100006</t>
  </si>
  <si>
    <t>Wu, Qingjun; Zhang, Hao; Li, Zhen; Liu, Kai</t>
  </si>
  <si>
    <t>JOURNAL OF INDUSTRIAL RELATIONS</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</si>
  <si>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t>
  </si>
  <si>
    <t>Liu, Kai/AFJ-0044-2022</t>
  </si>
  <si>
    <t>Liu, Kai/0000-0002-7995-6456; Zhang, Hao/0000-0003-0232-5565</t>
  </si>
  <si>
    <t>0022-1856</t>
  </si>
  <si>
    <t>1472-9296</t>
  </si>
  <si>
    <t>WOS:000483418200001</t>
  </si>
  <si>
    <t>Johnston, Hannah</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</si>
  <si>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t>
  </si>
  <si>
    <t>WOS:000619398600002</t>
  </si>
  <si>
    <t>Bali, Agnes S.; Martire, Kristy A.; Edmond, Gary</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</si>
  <si>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mate, 72% Caucasian) used a mixed design to examine the effect of statistical statement format (random match probability, likelihood ratio. or verbal label) on CASOC performance. Hypotheses: Study 1 was exploratory and did not have formal hypotheses. hi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 &gt;78%) and sensitivity to evidence strength (Study 1: 69%; Study 2: &gt;67%).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t>
  </si>
  <si>
    <t>Martire, Kristy/0000-0002-5324-0732; Edmond, Gary/0000-0003-2609-7499</t>
  </si>
  <si>
    <t>WOS:000704237100007</t>
  </si>
  <si>
    <t>Lay Evaluations of Police and Civilian Use of Force: Action Severity Scales</t>
  </si>
  <si>
    <t>Celestin, Bradley D.; Kruschke, John K.</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</si>
  <si>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t>
  </si>
  <si>
    <t>WOS:000468757100007</t>
  </si>
  <si>
    <t>Vizireanu, Mariya; Hruschka, Daniel</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</si>
  <si>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 .001)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t>
  </si>
  <si>
    <t>WOS:000429424100007</t>
  </si>
  <si>
    <t>Learning about Social Learning in MOOCs: From Statistical Analysis to Generative Model</t>
  </si>
  <si>
    <t>Brinton, Christopher G.; Chiang, Mung; Jain, Shaili; Lam, Henry; Liu, Zhenming; Wong, Felix Ming Fai</t>
  </si>
  <si>
    <t>IEEE TRANSACTIONS ON LEARNING TECHNOLOGIES</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</si>
  <si>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</si>
  <si>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Liu, Zhenming/0000-0001-9494-8748</t>
  </si>
  <si>
    <t>1939-1382</t>
  </si>
  <si>
    <t>OCT-DEC</t>
  </si>
  <si>
    <t>WOS:000348905200005</t>
  </si>
  <si>
    <t>Learning Crowdsourced User Preferences for Visual Summarization of Image Collections</t>
  </si>
  <si>
    <t>Rudinac, Stevan; Larson, Martha; Hanjalic, Alan</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</si>
  <si>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t>
  </si>
  <si>
    <t>Hanjalic, Alan/0000-0002-5771-2549</t>
  </si>
  <si>
    <t>WOS:000324765400002</t>
  </si>
  <si>
    <t>Shu, Zhenyu; Sheng, Victor S.; Li, Jingjing</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</si>
  <si>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t>
  </si>
  <si>
    <t>WOS:000448839100019</t>
  </si>
  <si>
    <t>Learning Mixtures of Submodular Functions for Image Collection Summarization</t>
  </si>
  <si>
    <t>Tschiatschek, Sebastian; Iyer, Rishabh; Wei, Haochen; Bilmes, Jeff</t>
  </si>
  <si>
    <t>WOS:000452647101086</t>
  </si>
  <si>
    <t>Arechar, Antonio A.; Rand, David G.</t>
  </si>
  <si>
    <t>JOURNAL OF ECONOMIC PSYCHOLOGY</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</si>
  <si>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t>
  </si>
  <si>
    <t>0167-4870</t>
  </si>
  <si>
    <t>1872-7719</t>
  </si>
  <si>
    <t>WOS:000819914700005</t>
  </si>
  <si>
    <t>Learning to Hire? Hiring as a Dynamic Experiential Learning Process in an Online Market for Contract Labor</t>
  </si>
  <si>
    <t>Leung, Ming D.</t>
  </si>
  <si>
    <t>We know a job applicant's social category affects an employer's likelihood of hiring the applicant, but we do not know whether, or how, employers update their beliefs regarding these social categories. I portray hiring as a cognitive decision and examine how 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t>
  </si>
  <si>
    <t>WOS:000453018000011</t>
  </si>
  <si>
    <t>Doucette, Jamie; Kang, Susan</t>
  </si>
  <si>
    <t>TRANSACTIONS OF THE INSTITUTE OF BRITISH GEOGRAPHERS</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</si>
  <si>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t>
  </si>
  <si>
    <t>Doucette, Jamie/0000-0002-4006-9841</t>
  </si>
  <si>
    <t>0020-2754</t>
  </si>
  <si>
    <t>1475-5661</t>
  </si>
  <si>
    <t>WOS:000433226500004</t>
  </si>
  <si>
    <t>LEGOEval: An Open-Source Toolkit for Dialogue System Evaluation via Crowdsourcing</t>
  </si>
  <si>
    <t>Assoc Computat Linguist</t>
  </si>
  <si>
    <t>Li, Yu; Arnold, Josh; Yan, Feifan; Shi, Weiyan; Yu, Zhou</t>
  </si>
  <si>
    <t>ACL-IJCNLP 2021: THE JOINT CONFERENCE OF THE 59TH ANNUAL MEETING OF THE ASSOCIATION FOR COMPUTATIONAL LINGUISTICS AND THE 11TH INTERNATIONAL JOINT CONFERENCE ON NATURAL LANGUAGE PROCESSING: PROCEEDINGS OF THE SYSTEM DEMONSTRATIONS</t>
  </si>
  <si>
    <t>Joint Conference of 59th Annual Meeting of the Association-for-Computational-Linguistics (ACL) / 11th International Joint Conference on Natural Language Processing (IJCNLP) / 6th Workshop on Representation Learning for NLP (RepL4NLP)</t>
  </si>
  <si>
    <t>AUG 01-06, 2021</t>
  </si>
  <si>
    <t>Assoc Computat Linguist,Apple,Bloomberg Engn,Facebook AI,Google Res,Amazon Science,ByteDance,Megagon Labs,Microsoft,Baidu,DeepMind,Tencent,IBM,Alibaba Grp,Duolingo,Naver,Babelscape,Bosch,LegalForce,Adobe ETS</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</si>
  <si>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t>
  </si>
  <si>
    <t>978-1-954085-56-5</t>
  </si>
  <si>
    <t>WOS:000694722500038</t>
  </si>
  <si>
    <t>Less than adequate: regulating temporary agency work in the EU in the face of an internal market in services</t>
  </si>
  <si>
    <t>Vosko, Leah F.</t>
  </si>
  <si>
    <t>CAMBRIDGE JOURNAL OF REGIONS ECONOMY AND SOCIETY</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</si>
  <si>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t>
  </si>
  <si>
    <t>1752-1378</t>
  </si>
  <si>
    <t>1752-1386</t>
  </si>
  <si>
    <t>WOS:000207964200005</t>
  </si>
  <si>
    <t>Leveraging the Crowds to Disrupt Phishing</t>
  </si>
  <si>
    <t>Gustafson, Jason; Li, Jun</t>
  </si>
  <si>
    <t>2013 IEEE CONFERENCE ON COMMUNICATIONS AND NETWORK SECURITY (CNS)</t>
  </si>
  <si>
    <t>1st IEEE International Conference on Communications and Network Security (CNS)</t>
  </si>
  <si>
    <t>OCT 14-16, 2013</t>
  </si>
  <si>
    <t>Washington, DC</t>
  </si>
  <si>
    <t>IEEE,VeriSign Corp,Virginia Techs Hume Ctr</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</si>
  <si>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credentials-also called honey tokens-that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t>
  </si>
  <si>
    <t>2474-025X</t>
  </si>
  <si>
    <t>978-1-4799-0895-0</t>
  </si>
  <si>
    <t>WOS:000332881600010</t>
  </si>
  <si>
    <t>Locum physicians' professional ethos: a qualitative interview study from Germany</t>
  </si>
  <si>
    <t>Salloch, Sabine; Apitzsch, Birgit; Wilkesmann, Maximiliane; Ruiner, Caroline</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</si>
  <si>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t>
  </si>
  <si>
    <t>Ruiner, Caroline/AAS-5737-2020; Wilkesmann, Maximiliane/I-6782-2018</t>
  </si>
  <si>
    <t>Ruiner, Caroline/0000-0003-0795-7668; Wilkesmann, Maximiliane/0000-0001-7111-7554</t>
  </si>
  <si>
    <t>MAY 8</t>
  </si>
  <si>
    <t>WOS:000431925400001</t>
  </si>
  <si>
    <t>Loki: A Privacy-Conscious Platform for Crowdsourced Surveys</t>
  </si>
  <si>
    <t>Kandappu, Thivya; Sivaraman, Vijay; Friedman, Arik; Boreli, Roksana</t>
  </si>
  <si>
    <t>2014 SIXTH INTERNATIONAL CONFERENCE ON COMMUNICATION SYSTEMS AND NETWORKS (COMSNETS)</t>
  </si>
  <si>
    <t>6th International Conference on Communication Systems and Networks (COMSNETS)</t>
  </si>
  <si>
    <t>JAN 07-10, 2014</t>
  </si>
  <si>
    <t>Bangalore, INDIA</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</si>
  <si>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t>
  </si>
  <si>
    <t>2155-2487</t>
  </si>
  <si>
    <t>WOS:000350659500013</t>
  </si>
  <si>
    <t>Long hours of work in the US: Associations with demographic and organizational characteristics, psychosocial working conditions, and health</t>
  </si>
  <si>
    <t>Grosch, James W.; Caruso, Claire C.; Rosa, Roger R.; Sauter, Steven L.</t>
  </si>
  <si>
    <t>AMERICAN JOURNAL OF INDUSTRIAL MEDICINE</t>
  </si>
  <si>
    <t>Conference on Long Working Hours</t>
  </si>
  <si>
    <t>APR 29-30, 2004</t>
  </si>
  <si>
    <t>Univ Maryland, Baltimore, MD</t>
  </si>
  <si>
    <t>Univ Maryland Sch Nursing, Work &amp; hlth Res Ctr,NIOSH</t>
  </si>
  <si>
    <t>Univ Maryland</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</si>
  <si>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 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</si>
  <si>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0271-3586</t>
  </si>
  <si>
    <t>1097-0274</t>
  </si>
  <si>
    <t>WOS:000241397300008</t>
  </si>
  <si>
    <t>Look Who's Talking: Mediums of Contact Among Mid-to Later-Life Siblings</t>
  </si>
  <si>
    <t>Hill, Melanie S.; Jensen, Alexander C.; Coyne, Sarah M.; Yorgason, Jeremy B.</t>
  </si>
  <si>
    <t>INTERNATIONAL JOURNAL OF AGING &amp; HUMAN DEVELOPMENT</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</si>
  <si>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t>
  </si>
  <si>
    <t>Yorgason, Jeremy/0000-0002-4208-7306</t>
  </si>
  <si>
    <t>0091-4150</t>
  </si>
  <si>
    <t>1541-3535</t>
  </si>
  <si>
    <t>MAR 2020</t>
  </si>
  <si>
    <t>WOS:000523008500001</t>
  </si>
  <si>
    <t>Thrailkill, Eric A.; DeSarno, Michael; Higgins, Stephen T.</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</si>
  <si>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&gt; 10 cigarettes per day) and never-smokers (n = 237; &lt;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eta(2) = 0.02, p &lt;.0001) even after accounting for delay discounting (F(1, 410) = 20.53, eta(2) = 0.02, p &lt;.0001). Loss aversion was also a significant independent risk factor for alcohol (F(1, 410) = 21.47, eta(2) = 0.02, p &lt;.0001) and other drug use (F(1, 410) = 54.12, eta(2) = 0.04, p &lt;.0001),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t>
  </si>
  <si>
    <t>MAR 1</t>
  </si>
  <si>
    <t>WOS:000820119400016</t>
  </si>
  <si>
    <t>Delfanti, Alessandro</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</si>
  <si>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t>
  </si>
  <si>
    <t>WOS:000501345400001</t>
  </si>
  <si>
    <t>Make-or-buy decisions regarding temporary agency work - an empirical analysis of the decision process and expected effects</t>
  </si>
  <si>
    <t>Alewell, Dorothea; Hauff, Sven</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</si>
  <si>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 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t>
  </si>
  <si>
    <t>Alewell, Dorothea/AAT-7186-2021</t>
  </si>
  <si>
    <t>Alewell, Dorothea/0000-0002-2806-5100; Hauff, Sven/0000-0002-4706-4533</t>
  </si>
  <si>
    <t>WOS:000299825700009</t>
  </si>
  <si>
    <t>Moore, Dylan; Tennent, Hamish; Martelaro, Nikolas; Ju, Wendy</t>
  </si>
  <si>
    <t>PROCEEDINGS OF THE 2017 ACM/IEEE INTERNATIONAL CONFERENCE ON HUMAN-ROBOT INTERACTION (HRI'17)</t>
  </si>
  <si>
    <t>12th Annual ACM/IEEE International Conference on Human-Robot Interaction (HRI)</t>
  </si>
  <si>
    <t>MAR 06-09, 2017</t>
  </si>
  <si>
    <t>Vienna, AUSTRIA</t>
  </si>
  <si>
    <t>Assoc Comp Machinery,IEEE,ACM SIGCHI,ACM SIGAI,IEEE Robot &amp; Automat Soc,AAAI,HFES</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</si>
  <si>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t>
  </si>
  <si>
    <t>Ju, Wendy/0000-0002-3119-611X; Martelaro, Nikolas/0000-0002-1824-0243</t>
  </si>
  <si>
    <t>2167-2121</t>
  </si>
  <si>
    <t>2167-2148</t>
  </si>
  <si>
    <t>978-1-4503-4336-7</t>
  </si>
  <si>
    <t>WOS:000463724200003</t>
  </si>
  <si>
    <t>Managing Open Innovation through Digital Boundary Control: The Case of Multi-Sided Platforms in the Collaborative Economy</t>
  </si>
  <si>
    <t>Gandia, Romain; Parmentier, Guy</t>
  </si>
  <si>
    <t>JOURNAL OF INNOVATION ECONOMICS &amp; MANAGEMENT</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</si>
  <si>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t>
  </si>
  <si>
    <t>2032-5355</t>
  </si>
  <si>
    <t>WOS:000532767300007</t>
  </si>
  <si>
    <t>Mathur, Maya B.; Bart-Plange, Diane-Jo; Aczel, Balazs; Bernstein, Michael H.; Ciunci, Antonia M.; Ebersole, Charles R.; Falcao, Filipe; Ashbaugh, Kayla; Hilliard, Rias A.; Jern, Alan; Kellier, Danielle J.; Kessinger, Grecia; Kolb, Vanessa S.; Kovacs, Marton; Lage, Caio Ambrosio; Langford, Eleanor, V; Lins, Samuel; Manfredi, Dylan; Meyet, Venus; Moore, Don A.; Nave, Gideon; Nunnally, Christian; Palinkas, Anna; Parks, Kimberly P.; Pessers, Sebastiaan; Ramos, Tiago; Rudy, Kaylis Hase; Salamon, Janos; Shubella, Rachel L.; Silva, Ruben; Steegen, Sara; Stein, L. A. R.; Szaszi, Barnabas; Szecsi, Peter; Tuerlinckx, Francis; Vanpaemel, Wolf; Vlachou, Maria; Wiggins, Bradford J.; Zealley, David; Zrubka, Mark; Frank, Michael C.</t>
  </si>
  <si>
    <t>ADVANCES IN METHODS AND PRACTICES IN PSYCHOLOGICAL SCIENCE</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</si>
  <si>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</si>
  <si>
    <t>Salamon, Janos/AAH-2195-2021; Aczel, Balazs/AFZ-2572-2022; vanpaemel, wolf/AAC-9834-2022; Aczel, Balazs/ABE-9641-2021; Barnabás, Szászi/AAC-9742-2022</t>
  </si>
  <si>
    <t>Salamon, Janos/0000-0002-4005-7090; vanpaemel, wolf/0000-0002-5855-3885; Barnabás, Szászi/0000-0001-7078-2712</t>
  </si>
  <si>
    <t>2515-2459</t>
  </si>
  <si>
    <t>2515-2467</t>
  </si>
  <si>
    <t>WOS:000707049600001</t>
  </si>
  <si>
    <t>Plewnia, Frederik; Guenther, Edeltraud</t>
  </si>
  <si>
    <t>MANAGEMENT DECISION</t>
  </si>
  <si>
    <t>Purpose - In order to guide sustainability research on the sharing economy, the purpose of this paper is to develop a comprehensive framework that captures the wide range of activities and business models that are considered to be part of the sharing economy. Design/methodology/approach - Based on a systematic literature review and a content analysis, existing typologies are identified and analyzed for their conceptual intersections. Finally, categorizations from 43 documents are integrated into one framework. Findings - Four main dimensions are identified as being used in different contexts to characterize sharing systems and were combined to form one comprehensive typology: shared good or service, market structure, market orientation, and industry sector. Originality/value -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t>
  </si>
  <si>
    <t>Guenther, Edeltraud M/D-5084-2017</t>
  </si>
  <si>
    <t>Guenther, Edeltraud M/0000-0001-6968-9238</t>
  </si>
  <si>
    <t>0025-1747</t>
  </si>
  <si>
    <t>1758-6070</t>
  </si>
  <si>
    <t>WOS:000428477700005</t>
  </si>
  <si>
    <t>Riles, Annelise</t>
  </si>
  <si>
    <t>AMERICAN ANTHROPOLOGIST</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</si>
  <si>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t>
  </si>
  <si>
    <t>0002-7294</t>
  </si>
  <si>
    <t>1548-1433</t>
  </si>
  <si>
    <t>WOS:000327955900003</t>
  </si>
  <si>
    <t>Mask-wearing intentions on airplanes during COVID-19-Application of theory of planned behavior model</t>
  </si>
  <si>
    <t>Pan, Jing Yu; Liu, Dahai</t>
  </si>
  <si>
    <t>TRANSPORT POLICY</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</si>
  <si>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fndings of this study fll the research gap of air travelers' intentions to wear a mask when flying during a global pandemic and provide recommendations for mask-wearing policies to help the air transport industry recover from COVID-19.</t>
  </si>
  <si>
    <t>0967-070X</t>
  </si>
  <si>
    <t>1879-310X</t>
  </si>
  <si>
    <t>WOS:000782498700003</t>
  </si>
  <si>
    <t>Mathematical Support for Financing Social Innovations</t>
  </si>
  <si>
    <t>Popov, Evgeny; Veretennikova, Anna; Safronova, Alisa</t>
  </si>
  <si>
    <t>MATHEMATICS</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</si>
  <si>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t>
  </si>
  <si>
    <t>2227-7390</t>
  </si>
  <si>
    <t>WOS:000602162900001</t>
  </si>
  <si>
    <t>Measures for Predicting Task Cohesion in a Global Collaborative Learning Environment</t>
  </si>
  <si>
    <t>Castro-Hernandez, Alberto; Swigger, Kathleen; Ponce-Flores, Mirna P.; Teran-Villanueva, J. David</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</si>
  <si>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t>
  </si>
  <si>
    <t>WOS:000392497200006</t>
  </si>
  <si>
    <t>Measuring the Muses: Validating the Kaufman Domains of Creativity Scale (K-DOCS)</t>
  </si>
  <si>
    <t>McKay, Alexander S.; Karwowski, Maciej; Kaufman, James C.</t>
  </si>
  <si>
    <t>PSYCHOLOGY OF AESTHETICS CREATIVITY AND THE ARTS</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</si>
  <si>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t>
  </si>
  <si>
    <t>McKay, Alexander/L-3449-2019; Karwowski, Maciej/S-4042-2019</t>
  </si>
  <si>
    <t>McKay, Alexander/0000-0001-7410-2366; Karwowski, Maciej/0000-0001-6974-1673</t>
  </si>
  <si>
    <t>1931-3896</t>
  </si>
  <si>
    <t>1931-390X</t>
  </si>
  <si>
    <t>WOS:000402043900011</t>
  </si>
  <si>
    <t>Decker, Kristina M.; Philip, Samantha R.; Thurston, Idia B.</t>
  </si>
  <si>
    <t>BODY IMAGE</t>
  </si>
  <si>
    <t>This study assessed the factor structure of a novel self-report measure of weight-and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 Shape Identification (Influence and Centrality), Weight &amp;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 Shape Identification-Influence (p = 0.02) and lower Stigma Consciousness (p = 0.01), relative to those perceiving themselves as higher weight status. Participants perceiving themselves as higher weight status endorsed lower Physical Activity Identification (p &lt; 0.001) and more negative affect across all domains (p's &lt; 0.02). This suggests that weight misperceivers may be less susceptible to weight-based identity threat. (C) 2022 Published by Elsevier Ltd.</t>
  </si>
  <si>
    <t>Decker, Kristina/0000-0002-3652-192X</t>
  </si>
  <si>
    <t>1740-1445</t>
  </si>
  <si>
    <t>1873-6807</t>
  </si>
  <si>
    <t>WOS:000822678500011</t>
  </si>
  <si>
    <t>Watford, Tanya S.; Braden, Abby L.; Emley, Elizabeth A.</t>
  </si>
  <si>
    <t>MINDFULNESS</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</si>
  <si>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t>
  </si>
  <si>
    <t>Emley, Elizabeth/0000-0002-3260-711X; Watford, Tanya/0000-0001-7484-735X</t>
  </si>
  <si>
    <t>1868-8527</t>
  </si>
  <si>
    <t>1868-8535</t>
  </si>
  <si>
    <t>WOS:000468071600014</t>
  </si>
  <si>
    <t>Mediatization of Social Space and the Case of Uber Drivers</t>
  </si>
  <si>
    <t>Chan, Ngai Keung; Humphreys, Lee</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</si>
  <si>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t>
  </si>
  <si>
    <t>Chan, Ngai Keung/AAI-2498-2020</t>
  </si>
  <si>
    <t>Chan, Ngai Keung/0000-0002-5848-3098</t>
  </si>
  <si>
    <t>WOS:000433079800004</t>
  </si>
  <si>
    <t>Hinton, Tori; Burns-Nader, Sherwood; Casper, Deborah; Burton, Wanda</t>
  </si>
  <si>
    <t>JOURNAL OF PSYCHOSOCIAL ONCOLOGY</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</si>
  <si>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t>
  </si>
  <si>
    <t>Burns-Nader, Sherwood/0000-0001-5623-0997</t>
  </si>
  <si>
    <t>0734-7332</t>
  </si>
  <si>
    <t>1540-7586</t>
  </si>
  <si>
    <t>SEP 3</t>
  </si>
  <si>
    <t>WOS:000751540000001</t>
  </si>
  <si>
    <t>Buchanan, Erin M.; Scofield, John E.</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</si>
  <si>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t>
  </si>
  <si>
    <t>Buchanan, Erin M/D-1315-2014</t>
  </si>
  <si>
    <t>Buchanan, Erin M/0000-0002-9689-4189</t>
  </si>
  <si>
    <t>WOS:000451259100028</t>
  </si>
  <si>
    <t>Microcomputations as Micropayments in Web-based Services</t>
  </si>
  <si>
    <t>Karame, Ghassan O.; Francillon, Aurelien; Budilivschi, Victor; Capkun, Srdjan; Capkun, Vedran</t>
  </si>
  <si>
    <t>ACM TRANSACTIONS ON INTERNET TECHNOLOGY</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</si>
  <si>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 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 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</si>
  <si>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Ghassan/AAM-7197-2021</t>
  </si>
  <si>
    <t>Karame, Ghassan/0000-0002-2828-4071</t>
  </si>
  <si>
    <t>1533-5399</t>
  </si>
  <si>
    <t>1557-6051</t>
  </si>
  <si>
    <t>WOS:000337021100002</t>
  </si>
  <si>
    <t>MicroLapse: Measuring Workers' Leniency to Prediction Errors of Microtasks' Working Times</t>
  </si>
  <si>
    <t>Saito, Susumu; Nakano, Teppei; Kobayashi, Tetsunori; Bigham, Jeffrey P.</t>
  </si>
  <si>
    <t>CONFERENCE COMPANION PUBLICATION OF THE 2019 COMPUTER SUPPORTED COOPERATIVE WORK AND SOCIAL COMPUTING (CSCW'19 COMPANION)</t>
  </si>
  <si>
    <t>22nd ACM Conference on Computer-Supported Cooperative Work and Social Computing (CSCW)</t>
  </si>
  <si>
    <t>NOV 10-13, 2019</t>
  </si>
  <si>
    <t>Assoc Comp Machinery,ACM SIGCHI,Facebook,Adobe,Amazon,IBM Res,Microsoft,Snap,FX PAL,Google,Mozilla,Underwood Inst,NSF</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</si>
  <si>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different scales of microtask working times. In this study, we formulate MicroLapse, a function that expresses a maximal error in working time prediction that workers can accept for a given working time length. We collected 60,760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t>
  </si>
  <si>
    <t>978-1-4503-6692-2</t>
  </si>
  <si>
    <t>WOS:000539904100073</t>
  </si>
  <si>
    <t>Emley, Elizabeth A.; Taylor, Maija B.; Musher-Eizenman, Dara R.</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</si>
  <si>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(C) 2016 Elsevier Ltd. All rights reserved.</t>
  </si>
  <si>
    <t>Emley, Elizabeth/0000-0002-3260-711X; Bruzas, Maija/0000-0002-4764-4925</t>
  </si>
  <si>
    <t>WOS:000393245800015</t>
  </si>
  <si>
    <t>Minimizing Time-to-Rank: A Learning and Recommendation Approach</t>
  </si>
  <si>
    <t>Li, Haoming; Sikdar, Sujoy; Vaish, Rohit; Wang, Junming; Xia, Lirong; Ye, Chaonan</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</si>
  <si>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t>
  </si>
  <si>
    <t>Li, Hao/GPS-9834-2022</t>
  </si>
  <si>
    <t>WOS:000761735101074</t>
  </si>
  <si>
    <t>Mobile CPU's Rise to Power: Quantifying the Impact of Generational Mobile CPU Design Trends on Performance, Energy, and User Satisfaction</t>
  </si>
  <si>
    <t>Halpern, Matthew; Zhu, Yuhao; Reddi, Vijay Janapa</t>
  </si>
  <si>
    <t>PROCEEDINGS OF THE 2016 IEEE INTERNATIONAL SYMPOSIUM ON HIGH-PERFORMANCE COMPUTER ARCHITECTURE (HPCA-22)</t>
  </si>
  <si>
    <t>22nd IEEE International Symposium on High-Performance Computer Architecture (HPCA)</t>
  </si>
  <si>
    <t>MAR 12-16, 2016</t>
  </si>
  <si>
    <t>IEEE,IEEE Comp Soc,NSF,UPC,IBM,Intel,ARM,Microsoft Res,Oracle Labs,Qualcomm,Gobierno Espana, Ministerio, Economia Competitividad</t>
  </si>
  <si>
    <t>In this paper, we assess the past, present, and future of mobile CPU design. We study how mobile CPU designs trends have impacted the end-user, hardware design, and the holistic mobile device. We analyze the evolution of 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t>
  </si>
  <si>
    <t>1530-0897</t>
  </si>
  <si>
    <t>978-1-4673-9211-2</t>
  </si>
  <si>
    <t>WOS:000381808200006</t>
  </si>
  <si>
    <t>Model to Cope With Requirements Engineering Issues for Software Development Outsourcing</t>
  </si>
  <si>
    <t>Iqbal, Javed; Ahmad, Rodina B.; Khan, Muzafar; Nizam, Mohd Hairul; Akhunzada, Adnan</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</si>
  <si>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t>
  </si>
  <si>
    <t>Iqbal, Dr. Javed/0000-0001-5777-7935; Ahmad, Rodina/0000-0001-5668-5019</t>
  </si>
  <si>
    <t>WOS:000814540000001</t>
  </si>
  <si>
    <t>Model-Based Task Allocation in Distributed Software Development</t>
  </si>
  <si>
    <t>Nordio, M; Joseph, M; Meyer, B; Terekhov, A</t>
  </si>
  <si>
    <t>Lamersdorf, Ansgar; Muench, Juergen</t>
  </si>
  <si>
    <t>SOFTWARE ENGINEERING APPROACHES FOR OFFSHORE AND OUTSOURCED DEVELOPMENT</t>
  </si>
  <si>
    <t>4th International Conference on Software Engineering Advances For Outsourced and Offshore Development</t>
  </si>
  <si>
    <t>JUN 17-18, 2010</t>
  </si>
  <si>
    <t>St Petersburg, RUSSIA</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</si>
  <si>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t>
  </si>
  <si>
    <t>978-3-642-13783-9</t>
  </si>
  <si>
    <t>WOS:000282908800005</t>
  </si>
  <si>
    <t>Zulch, G; Grieger, T</t>
  </si>
  <si>
    <t>COMPUTERS IN INDUSTRY</t>
  </si>
  <si>
    <t>International Working Conference on Integration in Production Management</t>
  </si>
  <si>
    <t>OCT, 2003</t>
  </si>
  <si>
    <t>Karlsruhe, GERMANY</t>
  </si>
  <si>
    <t>IFIP WG 5 7</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</si>
  <si>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lit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it macro-ergonomic OHS approach to digital work systems planning developed at the ifab-Institute. (C) 2005 Elsevier B.V. All rights reserved.</t>
  </si>
  <si>
    <t>0166-3615</t>
  </si>
  <si>
    <t>WOS:000229537900007</t>
  </si>
  <si>
    <t>Contractor, Ateka A.; Slavish, Danica C.; Weiss, Nicole H.; Alghraibeh, Ahmad M.; Alafnan, Ali A.; Taylor, Daniel J.</t>
  </si>
  <si>
    <t>JOURNAL OF CLINICAL PSYCHOLOGY</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</si>
  <si>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t>
  </si>
  <si>
    <t>Contractor, Ateka/0000-0003-3032-4578; Weiss, Nicole/0000-0002-8245-0616</t>
  </si>
  <si>
    <t>0021-9762</t>
  </si>
  <si>
    <t>1097-4679</t>
  </si>
  <si>
    <t>WOS:000641075100001</t>
  </si>
  <si>
    <t>Monolithic zirconia and digital impression: case report</t>
  </si>
  <si>
    <t>De Angelis, F.; Brauner, E.; Pignatiello, G.; Mencio, F.; Rosella, D.; Papi, P.; Di Carlo, T.; Giovannetti, A.; Pompa, G.; Di Carlo, S.</t>
  </si>
  <si>
    <t>CLINICA TERAPEUTICA</t>
  </si>
  <si>
    <t>Aims. The aim of this study is to present a clinical case of a full arch prosthetic rehabilitation on natural teeth, combining both digital work- 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 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 term evaluation is needed.</t>
  </si>
  <si>
    <t>Papi, Piero/AAB-3294-2020</t>
  </si>
  <si>
    <t>Papi, Piero/0000-0003-2564-530X</t>
  </si>
  <si>
    <t>0009-9074</t>
  </si>
  <si>
    <t>1972-6007</t>
  </si>
  <si>
    <t>JUL-AUG</t>
  </si>
  <si>
    <t>E229</t>
  </si>
  <si>
    <t>E232</t>
  </si>
  <si>
    <t>WOS:000410938800001</t>
  </si>
  <si>
    <t>Hoeglinger, Marc; Jann, Ben</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</si>
  <si>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t>
  </si>
  <si>
    <t>Jann, Ben/O-1237-2019</t>
  </si>
  <si>
    <t>Hoglinger, Marc/0000-0003-2743-2199; Jann, Ben/0000-0001-9855-1967</t>
  </si>
  <si>
    <t>AUG 14</t>
  </si>
  <si>
    <t>e0201770</t>
  </si>
  <si>
    <t>WOS:000441662800014</t>
  </si>
  <si>
    <t>Torrent-Sellens, Joan; Cuguero-Escofet, Natalia; Ertz, Myriam</t>
  </si>
  <si>
    <t>BEHAVIOUR &amp; INFORMATION TECHNOLOGY</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</si>
  <si>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t>
  </si>
  <si>
    <t>Ertz, Myriam/AAY-3676-2020; Torrent-Sellens, Joan/AAO-5016-2020</t>
  </si>
  <si>
    <t>Ertz, Myriam/0000-0001-9959-2779; Torrent-Sellens, Joan/0000-0002-6071-422X</t>
  </si>
  <si>
    <t>0144-929X</t>
  </si>
  <si>
    <t>1362-3001</t>
  </si>
  <si>
    <t>WOS:000594133800001</t>
  </si>
  <si>
    <t>Moving beyond dichotomies? The Collaborative Economy scene in Andalusia and the role of public actors in shaping it</t>
  </si>
  <si>
    <t>del Moral-Espin, Lucia; Fernandez-Garcia, Manuel</t>
  </si>
  <si>
    <t>SOCIOLOGICAL REVIEW</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</si>
  <si>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t>
  </si>
  <si>
    <t>Fernández-García, Manuel/N-8799-2016; del Moral-Espín, Lucía/M-6339-2016; Fernández-García, Manuel/O-5930-2019</t>
  </si>
  <si>
    <t>Fernández-García, Manuel/0000-0003-0411-9829; del Moral-Espín, Lucía/0000-0001-6733-5831; Fernández-García, Manuel/0000-0003-0411-9829</t>
  </si>
  <si>
    <t>0038-0261</t>
  </si>
  <si>
    <t>1467-954X</t>
  </si>
  <si>
    <t>WOS:000446031500011</t>
  </si>
  <si>
    <t>Akbar, Muhammad Azeem; Alsalman, Hussain; Khan, Arif Ali; Mahmood, Sajjad; Meshram, Chandrashekhar; Gumaei, Abdu H.; Riaz, Muhammad Tanveer</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</si>
  <si>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</si>
  <si>
    <t>Akbar, Muhammad Azeem/ABD-5149-2021; Akbar, Muhammad Azeem/AAB-2338-2022; Gumaei, Abdu/J-6288-2019; Khan, Arif Ali/ABG-2862-2020; Riaz, Muhammad Tanveer/AAT-9172-2021; Mahmood, Sajjad/B-2295-2010</t>
  </si>
  <si>
    <t>Akbar, Muhammad Azeem/0000-0002-6880-4991; Gumaei, Abdu/0000-0001-8512-9687; Khan, Arif Ali/0000-0002-8479-1481; Riaz, Muhammad Tanveer/0000-0002-4391-9821; Mahmood, Sajjad/0000-0001-5786-5118</t>
  </si>
  <si>
    <t>WOS:000583580500001</t>
  </si>
  <si>
    <t>Multimodal and Textual Analysis of Students' Digital Artifacts</t>
  </si>
  <si>
    <t>Looi, CK; Jonassen, D; Ikeda, M</t>
  </si>
  <si>
    <t>Natarajan, Uma; Kumar, Muthu; Guo, Libo</t>
  </si>
  <si>
    <t>TOWARDS SUSTAINABLE AND SCALABLE EDUCATIONAL INNOVATIONS INFORMED BY LEARNING SCIENCES</t>
  </si>
  <si>
    <t>13th International Conference on Computers in Education (ICCCE 2005)</t>
  </si>
  <si>
    <t>DEC 08-30, 2005</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</si>
  <si>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t>
  </si>
  <si>
    <t>978-1-58603-573-0</t>
  </si>
  <si>
    <t>WOS:000279364400129</t>
  </si>
  <si>
    <t>Multimodal Learning for Identifying Opportunities for Empathetic Responses</t>
  </si>
  <si>
    <t>Tavabi, Leili; Stefanov, Kalin; Gilani, Setareh Nasihati; Traum, David; Soleymani, Mohammad</t>
  </si>
  <si>
    <t>ICMI'19: PROCEEDINGS OF THE 2019 INTERNATIONAL CONFERENCE ON MULTIMODAL INTERACTION</t>
  </si>
  <si>
    <t>21st ACM International Conference on Multimodal Interaction (ICMI)</t>
  </si>
  <si>
    <t>OCT 14-18, 2019</t>
  </si>
  <si>
    <t>ACM SIGCHI,Assoc Comp Machinery,Openstream,Alibaba Grp,Microsoft,Baidu,Sensetime,Tencent YouTu Lab,AISpeech</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</si>
  <si>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 -of-Oz setting, using the wizard's empathetic responses and annotations collected on Amazon Mechanical Turk as ground -truth labels. Our model outperforms a textbased baseline achieving Fl -score of 0.71 on a classification. We further investigate the results and evaluate the capability of such a model to be deployed for real-world human-agent interactions.</t>
  </si>
  <si>
    <t>978-1-4503-6860-5</t>
  </si>
  <si>
    <t>WOS:000518657800015</t>
  </si>
  <si>
    <t>Glavin, Paul</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</si>
  <si>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Code:J21</t>
  </si>
  <si>
    <t>WOS:000552018700001</t>
  </si>
  <si>
    <t>Multi-Task Deep Visual-Semantic Embedding for Video Thumbnail Selection</t>
  </si>
  <si>
    <t>Liu, Wu; Mei, Tao; Zhang, Yongdong; Che, Cherry; Luo, Jiebo</t>
  </si>
  <si>
    <t>2015 IEEE CONFERENCE ON COMPUTER VISION AND PATTERN RECOGNITION (CVPR)</t>
  </si>
  <si>
    <t>JUN 07-12, 2015</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</si>
  <si>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 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 thumbnail pairs can he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t>
  </si>
  <si>
    <t>LIU, Wu-Ming/A-8383-2015; Luo, Jiebo/AAI-7549-2020; Liu, Wu/AAG-3615-2019</t>
  </si>
  <si>
    <t>Liu, Wu/0000-0003-1633-7575; Mei, Tao/0000-0002-5990-7307</t>
  </si>
  <si>
    <t>978-1-4673-6964-0</t>
  </si>
  <si>
    <t>WOS:000387959203079</t>
  </si>
  <si>
    <t>National Boundaries and Semantics of Artefacts in Open Source Development</t>
  </si>
  <si>
    <t>Capiluppi, Andrea; Ajienka, Nemitari</t>
  </si>
  <si>
    <t>PROCEEDINGS 2018 IEEE/ACM 1ST INTERNATIONAL WORKSHOP ON SOFTWARE HEALTH (SOHEAL)</t>
  </si>
  <si>
    <t>1st ACM/IEEE International Workshop on Software Health</t>
  </si>
  <si>
    <t>MAY 27-JUN 03, 2018</t>
  </si>
  <si>
    <t>Assoc Comp Machinery,IEEE Comp Soc,SIGSOFT,IEEE Tech Council Software Engn</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</si>
  <si>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t>
  </si>
  <si>
    <t>Capiluppi, Andrea/AGO-2961-2022; Ajienka, Nemitari/ABI-3639-2020</t>
  </si>
  <si>
    <t>Capiluppi, Andrea/0000-0001-9469-6050; Ajienka, Nemitari/0000-0002-8792-282X</t>
  </si>
  <si>
    <t>2333-7400</t>
  </si>
  <si>
    <t>978-1-4503-5730-2</t>
  </si>
  <si>
    <t>WOS:000454782200006</t>
  </si>
  <si>
    <t>Natural language of uncertainty: numeric hedge words</t>
  </si>
  <si>
    <t>Ferson, Scott; O'Rawe, Jason; Antonenko, Andrei; Siegrist, Jack; Mickley, James; Luhmann, Christian C.; Sentz, Kari; Finkel, Adam M.</t>
  </si>
  <si>
    <t>INTERNATIONAL JOURNAL OF APPROXIMATE REASONING</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</si>
  <si>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(C) 2014 Elsevier Inc. All rights reserved.</t>
  </si>
  <si>
    <t>Finkel, Adam M./0000-0001-6259-9387; Mickley, James/0000-0002-5988-5275; Ferson, Scott/0000-0002-2613-0650</t>
  </si>
  <si>
    <t>0888-613X</t>
  </si>
  <si>
    <t>1873-4731</t>
  </si>
  <si>
    <t>WOS:000349879900002</t>
  </si>
  <si>
    <t>Negative memorable experience: North American and British Airbnb guests' perspectives</t>
  </si>
  <si>
    <t>Sthapit, Erose; Bjork, Peter; Jimenez Barreto, Jano</t>
  </si>
  <si>
    <t>Purpose - This paper aims to explore the components of a negative memorable Airbnb experience. Design/methodology/approach - Two studies of North American and British nationals were conducted online using an open-ended survey questionnaire with photo-elicitation via Amazon Mechanical Turk (MTurk). The grounded theory was used to analyse the collected data. Findings -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 This is one of the first studies to explore the components of a negative memorable experience in the context of Airbnb.</t>
  </si>
  <si>
    <t>Sthapit, Erose/J-6290-2019; Jiménez-Barreto, Jano/ABG-1024-2020</t>
  </si>
  <si>
    <t>Sthapit, Erose/0000-0002-1650-3900; Jimenez Barreto, Jano/0000-0002-1953-6863</t>
  </si>
  <si>
    <t>MAY 31</t>
  </si>
  <si>
    <t>WOS:000525446300001</t>
  </si>
  <si>
    <t>Negative messages from parents and sisters and Latina college students' body image shame</t>
  </si>
  <si>
    <t>Rivero, Avelina; Killoren, Sarah E.; Kline, Gabrielle; Campione-Barr, Nicole</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</si>
  <si>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(C) 2022 Elsevier Ltd. All rights reserved.</t>
  </si>
  <si>
    <t>WOS:000822678500007</t>
  </si>
  <si>
    <t>Heiland, Heiner</t>
  </si>
  <si>
    <t>HUMAN RELATIONS</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</si>
  <si>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t>
  </si>
  <si>
    <t>Heiland, Heiner/0000-0001-9627-8549</t>
  </si>
  <si>
    <t>0018-7267</t>
  </si>
  <si>
    <t>1741-282X</t>
  </si>
  <si>
    <t>WOS:000666619600001</t>
  </si>
  <si>
    <t>Shaposhnikov, S; Sharakhina, L</t>
  </si>
  <si>
    <t>Gavra, Dmitrii P.; Dekalov, Vladislav V.</t>
  </si>
  <si>
    <t>PROCEEDINGS OF THE 2019 IEEE COMMUNICATION STRATEGIES IN DIGITAL SOCIETY SEMINAR (2019 COMSDS)</t>
  </si>
  <si>
    <t>IEEE Communication Strategies in Digital Society Seminar (ComSDS)</t>
  </si>
  <si>
    <t>APR 10, 2019</t>
  </si>
  <si>
    <t>Saint Petersburg Electrotechn Univ LETI, St. Petersburg, RUSSIA</t>
  </si>
  <si>
    <t>Saint Petersburg Electrotechn Univ LETI</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</si>
  <si>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t>
  </si>
  <si>
    <t>Гавра, Дмитрий Петрович/K-7171-2019; Gavra, Dmitrii/F-8573-2015</t>
  </si>
  <si>
    <t>Gavra, Dmitrii/0000-0002-6536-9277; Dekalov, Vladislav/0000-0001-9850-3084</t>
  </si>
  <si>
    <t>978-1-7281-1584-9</t>
  </si>
  <si>
    <t>WOS:000474728000016</t>
  </si>
  <si>
    <t>Atkinson, Stephanie D.; Kang, Jiyun</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</si>
  <si>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t>
  </si>
  <si>
    <t>WOS:000694966800001</t>
  </si>
  <si>
    <t>Veilleux, Jennifer C.; Lovett, David E.; Skinner, Kayla D.; Ham, Lindsay S.</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</si>
  <si>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t>
  </si>
  <si>
    <t>WOS:000429242900008</t>
  </si>
  <si>
    <t>Non-standard employment and mortality in Belgian workers: A census-based investigation</t>
  </si>
  <si>
    <t>Balogh, Rebeka; Gadeyne, Sylvie; Vanroelen, Christophe</t>
  </si>
  <si>
    <t>SCANDINAVIAN JOURNAL OF WORK ENVIRONMENT &amp; HEALTH</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</si>
  <si>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t>
  </si>
  <si>
    <t>; Gadeyne, Sylvie/C-2837-2016</t>
  </si>
  <si>
    <t>Vanroelen, Christophe/0000-0001-8619-8553; Gadeyne, Sylvie/0000-0002-6890-1855; Balogh, Rebeka/0000-0002-1213-9152</t>
  </si>
  <si>
    <t>0355-3140</t>
  </si>
  <si>
    <t>1795-990X</t>
  </si>
  <si>
    <t>WOS:000624549300003</t>
  </si>
  <si>
    <t>Hussain, Syed Ali; Alhabash, Saleem</t>
  </si>
  <si>
    <t>HEALTH COMMUNICATION</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</si>
  <si>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t>
  </si>
  <si>
    <t>Hussain, Syed/0000-0002-2704-4551</t>
  </si>
  <si>
    <t>1041-0236</t>
  </si>
  <si>
    <t>1532-7027</t>
  </si>
  <si>
    <t>NOV 10</t>
  </si>
  <si>
    <t>WOS:000551298700001</t>
  </si>
  <si>
    <t>Fayard, Anne-Laure</t>
  </si>
  <si>
    <t>JOURNAL OF MANAGEMENT INQUIRY</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</si>
  <si>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t>
  </si>
  <si>
    <t>Fayard, Anne-Laure/0000-0001-5274-3760</t>
  </si>
  <si>
    <t>1056-4926</t>
  </si>
  <si>
    <t>1552-6542</t>
  </si>
  <si>
    <t>WOS:000630484400008</t>
  </si>
  <si>
    <t>Crego, Cristina; Oltmanns, Joshua R.; Widiger, Thomas A.</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</si>
  <si>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t>
  </si>
  <si>
    <t>Oltmanns, Joshua/AAK-7528-2020</t>
  </si>
  <si>
    <t>WOS:000516776900005</t>
  </si>
  <si>
    <t>Obtaining Requirements for Designing a Tool to Support Distributed Development</t>
  </si>
  <si>
    <t>Luis Hernandez, Jose; Vizcaino, Aurora; Caballero, Ismael; Aranda, Gabriela</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</si>
  <si>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t>
  </si>
  <si>
    <t>Vizcaíno, Aurora/D-4452-2011; Caballero, Ismael/A-1079-2010</t>
  </si>
  <si>
    <t>Vizcaíno, Aurora/0000-0002-2072-5581; Caballero, Ismael/0000-0002-5189-1427</t>
  </si>
  <si>
    <t>WOS:000314533500002</t>
  </si>
  <si>
    <t>Splonskowski, Moriah; Jacova, Claudia</t>
  </si>
  <si>
    <t>DEMENTIA AND GERIATRIC COGNITIVE DISORDERS</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</si>
  <si>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t>
  </si>
  <si>
    <t>1420-8008</t>
  </si>
  <si>
    <t>1421-9824</t>
  </si>
  <si>
    <t>WOS:000761077000001</t>
  </si>
  <si>
    <t>Damian, Daniela; Lanubile, Filippo; Mallardo, Teresa</t>
  </si>
  <si>
    <t>IEEE TRANSACTIONS ON SOFTWARE ENGINEERING</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</si>
  <si>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t>
  </si>
  <si>
    <t>Lanubile, Filippo/AAF-9132-2020</t>
  </si>
  <si>
    <t>Lanubile, Filippo/0000-0003-3373-7589</t>
  </si>
  <si>
    <t>0098-5589</t>
  </si>
  <si>
    <t>JAN-FEB</t>
  </si>
  <si>
    <t>WOS:000253375500009</t>
  </si>
  <si>
    <t>On the Relationship between Process Maturity and Geographic Distribution: an Empirical Analysis of their Impact on Software Quality</t>
  </si>
  <si>
    <t>Cataldo, Marcelo; Nambiar, Sangeeth</t>
  </si>
  <si>
    <t>7TH JOINT MEETING OF THE EUROPEAN SOFTWARE ENGINEERING CONFERENCE AND THE ACM SIGSOFT SYMPOSIUM ON THE FOUNDATIONS OF SOFTWARE ENGINEERING</t>
  </si>
  <si>
    <t>7th Joint Meeting of the European Software Engineering Conference/ ACM SIGSOFT Symposium on the Foundations of Software Engineering</t>
  </si>
  <si>
    <t>AUG 24-28, 2009</t>
  </si>
  <si>
    <t>Amsterdam, NETHERLANDS</t>
  </si>
  <si>
    <t>ACM SIGSOFT</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</si>
  <si>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t>
  </si>
  <si>
    <t>978-1-60558-001-2</t>
  </si>
  <si>
    <t>WOS:000295315700012</t>
  </si>
  <si>
    <t>Online Brand Community and Its Outcomes</t>
  </si>
  <si>
    <t>Ha, Yongsoo</t>
  </si>
  <si>
    <t>JOURNAL OF ASIAN FINANCE ECONOMICS AND BUSINESS</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</si>
  <si>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t>
  </si>
  <si>
    <t>2288-4637</t>
  </si>
  <si>
    <t>2288-4645</t>
  </si>
  <si>
    <t>WOS:000450499100011</t>
  </si>
  <si>
    <t>Serce, Fatma Cemile; Swigger, Kathleen; Alpaslan, Ferda Nur; Brazile, Robert; Dafoulas, George; Lopez, Victor</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</si>
  <si>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(C) 2010 Elsevier Ltd. All rights reserved.</t>
  </si>
  <si>
    <t>WOS:000285368400059</t>
  </si>
  <si>
    <t>Kim, Erick; Walker, Hilary; Bohac, Kathy; Benson, Parker; Bunge, Eduardo L.</t>
  </si>
  <si>
    <t>JOURNAL OF AFFECTIVE DISORDERS</t>
  </si>
  <si>
    <t>Background: Internet interventions provide a unique opportunity to increase widespread accessibility of treatment at reduced and scalable costs (Munoz,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mood.&amp; nbsp;Methods: A total of 838 participants recruited from Amazon Mechanical Turk participated in an online calendar activity to improve mood.&amp; nbsp;Results: A regression analysis showed that confidence and motivation were significantly associated with mood (R-2 = 0.467, p &lt; .001). The total number of activities reported in the last two days was associated with participants' current mood (R-2 = 0.203, p &lt; .001) and enjoyment (R-2 = 0.156, p &lt; .001).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confidence.&amp; nbsp;Limitations: Depression may moderate engagement and was not analyzed in the present study. Additionally, there were no follow-up analyses that looked at the long-term effects of the intervention or changes in actual activity engagement.&amp; nbsp;Conclusions: Online micro interventions have a promising future as an intervention that can impact the mood and motivation for change. Future studies should examine increasing engagement to facilitate confidence and motivation to enact change.</t>
  </si>
  <si>
    <t>0165-0327</t>
  </si>
  <si>
    <t>1573-2517</t>
  </si>
  <si>
    <t>WOS:000795670900006</t>
  </si>
  <si>
    <t>Musicus, Aviva A.; Moran, Alyssa J.; Lawman, Hannah G.; Roberto, Christina A.</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</si>
  <si>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(C) 2019 American Journal of Preventive Medicine. Published by Elsevier Inc. All rights reserved.</t>
  </si>
  <si>
    <t>E181</t>
  </si>
  <si>
    <t>E193</t>
  </si>
  <si>
    <t>WOS:000496953200001</t>
  </si>
  <si>
    <t>OnlineWork Force Analyzes Social Media to Identify Consequences of an Unplanned School Closure - Using Technology to Prepare for the Next Pandemic</t>
  </si>
  <si>
    <t>Rainey, Jeanette J.; Kenney, Jasmine; Wilburn, Ben; Putman, Ami; Zheteyeva, Yenlik; O'Sullivan, Megan</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</si>
  <si>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10 - 18,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</si>
  <si>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SEP 21</t>
  </si>
  <si>
    <t>e0163207</t>
  </si>
  <si>
    <t>WOS:000383892700041</t>
  </si>
  <si>
    <t>OpinionBlocks: A Crowd-Powered, Self-improving Interactive Visual Analytic System for Understanding Opinion Text</t>
  </si>
  <si>
    <t>Kotze, P; Marsden, G; Lindgaard, G; Wesson, J; Winckler, M</t>
  </si>
  <si>
    <t>Hu, Mengdie; Yang, Huahai; Zhou, Michelle X.; Gou, Liang; Li, Yunyao; Haber, Eben</t>
  </si>
  <si>
    <t>HUMAN-COMPUTER INTERACTION - INTERACT 2013, PT II</t>
  </si>
  <si>
    <t>14th IFIP TC 13 INTERACT International Conference on Designing for Diversity</t>
  </si>
  <si>
    <t>SEP 02-06, 2013</t>
  </si>
  <si>
    <t>Cape Town, SOUTH AFRICA</t>
  </si>
  <si>
    <t>Int Federat Informat Proc,Nelson Mandela Metropolitan Univ,Meraka Inst Council Sci &amp; Ind Res,Univ Cape Town</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</si>
  <si>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t>
  </si>
  <si>
    <t>978-3-642-40480-1; 978-3-642-40479-5</t>
  </si>
  <si>
    <t>WOS:000342898400008</t>
  </si>
  <si>
    <t>Optimal scheduling of electric vehicles car-sharing service with multitemporal and multi-task operation</t>
  </si>
  <si>
    <t>Lai, Kexing; Chen, Tao; Natarajan, Balasubramaniam</t>
  </si>
  <si>
    <t>ENERGY</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</si>
  <si>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(C) 2020 Elsevier Ltd. All rights reserved.</t>
  </si>
  <si>
    <t>Natarajan, Balasubramaniam/0000-0001-6429-9003</t>
  </si>
  <si>
    <t>0360-5442</t>
  </si>
  <si>
    <t>1873-6785</t>
  </si>
  <si>
    <t>AUG 1</t>
  </si>
  <si>
    <t>WOS:000542257800026</t>
  </si>
  <si>
    <t>Optimal Testing for Crowd Workers</t>
  </si>
  <si>
    <t>Bragg, Jonathan; Mausam; Weld, Daniel S.</t>
  </si>
  <si>
    <t>AAMAS'16: PROCEEDINGS OF THE 2016 INTERNATIONAL CONFERENCE ON AUTONOMOUS AGENTS &amp; MULTIAGENT SYSTEMS</t>
  </si>
  <si>
    <t>15th International Conference on Autonomous Agents and Multiagent Systems (AAMAS)</t>
  </si>
  <si>
    <t>MAY 09-10, 2016</t>
  </si>
  <si>
    <t>Int Fdn Autonomous Agents &amp; Multiagent Syst,Natl Sci Fdn,Artificial Intelligence Journal,Springer,Unicen,Sumitomo Elect,Living Analyt Res Ctr,Panasonic R &amp; D Ctr Singapore,Assoc Comp Machinery Special Interest Grp Artificial Intelligence,Assoc Comp Machinery</t>
  </si>
  <si>
    <t>Requesters on crowdsourcing platforms, such as Amazon Mechanical Turk, routinely insert gold questions to verify that a worker is diligent and is providing high- 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 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 adaptive policies used by most requesters. Furthermore, our method is fully automated, easy to apply, and runs mostly out of the box.</t>
  </si>
  <si>
    <t>Mausam, ./0000-0003-4088-4296</t>
  </si>
  <si>
    <t>978-1-4503-4239-1</t>
  </si>
  <si>
    <t>WOS:000465199800110</t>
  </si>
  <si>
    <t>Optimization of Single-Manufacturer Multiple-Contractors Outsourcing relationship in Integrated Approach of Production, Maintenance and Quality</t>
  </si>
  <si>
    <t>Haoues, Mohammed; Dahane, Mohammed; Mouss, Nadia Kinza; Rezg, Nidhal</t>
  </si>
  <si>
    <t>2013 IEEE INTERNATIONAL CONFERENCE ON SYSTEMS, MAN, AND CYBERNETICS (SMC 2013)</t>
  </si>
  <si>
    <t>IEEE International Conference on Systems, Man, and Cybernetics (SMC)</t>
  </si>
  <si>
    <t>OCT 13-16, 2013</t>
  </si>
  <si>
    <t>Manchester, ENGLAND</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</si>
  <si>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t>
  </si>
  <si>
    <t>Mohammed, Haoues/0000-0002-7106-2044; Dahane, Mohammed/0000-0001-9455-3383</t>
  </si>
  <si>
    <t>1062-922X</t>
  </si>
  <si>
    <t>978-1-4799-0652-9</t>
  </si>
  <si>
    <t>WOS:000332201901010</t>
  </si>
  <si>
    <t>Galais, Nathalie; Moser, Klaus</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</si>
  <si>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t>
  </si>
  <si>
    <t>Moser, Klaus/0000-0001-6523-9096</t>
  </si>
  <si>
    <t>WOS:000265199600005</t>
  </si>
  <si>
    <t>Kartolo, Arief Banindro; Kwantes, Catherine T.</t>
  </si>
  <si>
    <t>EQUALITY DIVERSITY AND INCLUSION</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</si>
  <si>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t>
  </si>
  <si>
    <t>2040-7149</t>
  </si>
  <si>
    <t>2040-7157</t>
  </si>
  <si>
    <t>AUG 19</t>
  </si>
  <si>
    <t>WOS:000480283300001</t>
  </si>
  <si>
    <t>Out-of-body experience</t>
  </si>
  <si>
    <t>Adams-Clark, Alexis A.; Rosenthal, Marina N.; Freyd, Jennifer J.</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</si>
  <si>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t>
  </si>
  <si>
    <t>MAY 23</t>
  </si>
  <si>
    <t>WOS:000506062200001</t>
  </si>
  <si>
    <t>Overcoming challenges in Global Software Development: The role of Brokers</t>
  </si>
  <si>
    <t>Bajec, M; Collard, M; Deneckere, R</t>
  </si>
  <si>
    <t>Manteli, Christina; van den Hooff, Bart; van Vliet, Hans; van Duinkerken, Wilco</t>
  </si>
  <si>
    <t>2014 IEEE EIGHTH INTERNATIONAL CONFERENCE ON RESEARCH CHALLENGES IN INFORMATION SCIENCE (RCIS)</t>
  </si>
  <si>
    <t>IEEE 8th International Conference on Research Challenges in Information Science (RCIS)</t>
  </si>
  <si>
    <t>MAY 28-30, 2014</t>
  </si>
  <si>
    <t>Marrakesh, MOROCCO</t>
  </si>
  <si>
    <t>IEEE,IEEE Morocco Sect,EMSI,Lab Math Informatique &amp; Applicat</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</si>
  <si>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t>
  </si>
  <si>
    <t>van den Hooff, Bart/0000-0002-8880-3910</t>
  </si>
  <si>
    <t>2151-1357</t>
  </si>
  <si>
    <t>978-1-4799-2393-9</t>
  </si>
  <si>
    <t>WOS:000345780700001</t>
  </si>
  <si>
    <t>Tescher, AG; Ebrahimi, T</t>
  </si>
  <si>
    <t>Shoham, Tamar; Gill, Dror; Carmel, Sharon; Julius, Dan</t>
  </si>
  <si>
    <t>APPLICATIONS OF DIGITAL IMAGE PROCESSING XLII</t>
  </si>
  <si>
    <t>Conference on Applications of Digital Image Processing XLII</t>
  </si>
  <si>
    <t>AUG 12-15, 2019</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</si>
  <si>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t>
  </si>
  <si>
    <t>978-1-5106-2968-4</t>
  </si>
  <si>
    <t>111370R</t>
  </si>
  <si>
    <t>WOS:000511298300020</t>
  </si>
  <si>
    <t>Anguera-Torrell, Oriol; Arcos-Pumarola, Jordi; Cerdan Schwitzguebel, Aurelie; Encinar-Prat, Laia</t>
  </si>
  <si>
    <t>INTERNATIONAL JOURNAL OF TOURISM CITIES</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</si>
  <si>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t>
  </si>
  <si>
    <t>Arcos-Pumarola, Jordi/ABG-2381-2020</t>
  </si>
  <si>
    <t>Arcos Pumarola, Jordi/0000-0001-5130-570X</t>
  </si>
  <si>
    <t>2056-5607</t>
  </si>
  <si>
    <t>2056-5615</t>
  </si>
  <si>
    <t>WOS:000681324400005</t>
  </si>
  <si>
    <t>Parental Optimism and Perceived Control over Children's Initiation of Tobacco, Cannabis, and Opioid Use</t>
  </si>
  <si>
    <t>Chadi, Nicholas; Winickoff, Jonathan P.; Drouin, Olivier</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</si>
  <si>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t>
  </si>
  <si>
    <t>Chadi, Nicholas/0000-0003-1033-2327</t>
  </si>
  <si>
    <t>WOS:000569657700001</t>
  </si>
  <si>
    <t>Parenting &amp; Children's Psychological Adjustment During the COVID-19 Pandemic</t>
  </si>
  <si>
    <t>Gregus, Samantha J.; Rodriguez, Juventino Hernandez; Faith, Melissa A.; Failes, Elissa</t>
  </si>
  <si>
    <t>SCHOOL PSYCHOLOGY REVIEW</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</si>
  <si>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t>
  </si>
  <si>
    <t>Rodriguez, Juventino Hernandez/AAY-2018-2020</t>
  </si>
  <si>
    <t>Rodriguez, Juventino Hernandez/0000-0003-2311-4687; Gregus, Samantha/0000-0001-8225-9646; Failes, Elissa/0000-0002-7615-6146</t>
  </si>
  <si>
    <t>2372-966X</t>
  </si>
  <si>
    <t>MAR 17</t>
  </si>
  <si>
    <t>WOS:000651311300001</t>
  </si>
  <si>
    <t>Party Cues in the News: Democratic Elites, Republican Backlash, and the Dynamics of Climate Skepticism</t>
  </si>
  <si>
    <t>Merkley, Eric; Stecula, Dominik A.</t>
  </si>
  <si>
    <t>BRITISH JOURNAL OF POLITICAL SCIENCE</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</si>
  <si>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t>
  </si>
  <si>
    <t>Merkley, Eric/0000-0001-7647-9650; Stecula, Dominik/0000-0001-6724-7559</t>
  </si>
  <si>
    <t>0007-1234</t>
  </si>
  <si>
    <t>1469-2112</t>
  </si>
  <si>
    <t>PII S0007123420000113</t>
  </si>
  <si>
    <t>WOS:000695211200007</t>
  </si>
  <si>
    <t>Passing the 10-year Mark - a Multi-Year, Multi-Technology Analysis of Ni-Cd Field Data</t>
  </si>
  <si>
    <t>Lansburg, Stuart; Brenier, Antoine; Boulais, Rodolphe</t>
  </si>
  <si>
    <t>32ND INTERNATIONAL TELECOMMUNICATIONS ENERGY CONFERENCE (INTELEC)</t>
  </si>
  <si>
    <t>32nd Annual International Telecommunications Energy Conference</t>
  </si>
  <si>
    <t>JUN 06-10, 2010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</si>
  <si>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t>
  </si>
  <si>
    <t>0275-0473</t>
  </si>
  <si>
    <t>978-1-4244-3384-1</t>
  </si>
  <si>
    <t>WOS:000287414000051</t>
  </si>
  <si>
    <t>Fitzgerald, Timothy; Aven, Forrest F., Jr.</t>
  </si>
  <si>
    <t>APPLIED ECONOMICS</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</si>
  <si>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Abberivation: AAPL: American Association of Professional Landmen; RPL: registered professional landman; CPL: certified professional landman; PLM: professional land manager</t>
  </si>
  <si>
    <t>0003-6846</t>
  </si>
  <si>
    <t>1466-4283</t>
  </si>
  <si>
    <t>WOS:000478113900001</t>
  </si>
  <si>
    <t>Balietti, Stefano; Goldstone, Robert L.; Helbing, Dirk</t>
  </si>
  <si>
    <t>PROCEEDINGS OF THE NATIONAL ACADEMY OF SCIENCES OF THE UNITED STATES OF AMERICA</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</si>
  <si>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t>
  </si>
  <si>
    <t>0027-8424</t>
  </si>
  <si>
    <t>WOS:000380346200040</t>
  </si>
  <si>
    <t>Priebe, Kelsey; Sorem, Emily B.; Anderson, Jaime L.</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</si>
  <si>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t>
  </si>
  <si>
    <t>Priebe, Kelsey/0000-0003-0409-5417</t>
  </si>
  <si>
    <t>WOS:000752166400001</t>
  </si>
  <si>
    <t>Hsu, Jessica J.; Kubiak, Carrie A.; Billig, Jessica, I; Qi, Ji; Hamill, Jennifer B.; Kim, Hyungjin M.; Wilkins, Edwin G.; Kung, Theodore A.</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</si>
  <si>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t>
  </si>
  <si>
    <t>WOS:000698767600052</t>
  </si>
  <si>
    <t>Spencer, SN</t>
  </si>
  <si>
    <t>Durupinar, Funda</t>
  </si>
  <si>
    <t>ACM SYMPOSIUM ON APPLIED PERCEPTION (SAP 2021)</t>
  </si>
  <si>
    <t>ACM Symposium on Applied Perception (SAP)</t>
  </si>
  <si>
    <t>SEP 16-17, 2021</t>
  </si>
  <si>
    <t>Inria Rennes, ELECTR NETWORK</t>
  </si>
  <si>
    <t>Assoc Comp Machinery,ACM SIGGRAPH</t>
  </si>
  <si>
    <t>Inria Rennes</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</si>
  <si>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t>
  </si>
  <si>
    <t>978-1-4503-8663-0</t>
  </si>
  <si>
    <t>WOS:000755373200012</t>
  </si>
  <si>
    <t>Perceptions of provider's epistemic authority in response to variant of uncertain significance-related recommendations</t>
  </si>
  <si>
    <t>Makhnoon, Sukh; Mork, Maureen; Arun, Banu; Volk, Robert J.; Peterson, Susan K.</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</si>
  <si>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x 2 provider types). GCs were attributed higher EA than gastrointestinal oncologists (p = &lt;.001). Active recommendations (comprehensive, check back, wrong) were attributed lower EA (M = 3.67,SD = 0.79) compared to the inactive (stand by, disregard) (M = 3.89,SD = 0.67) (p-value = &lt;.001). The wrong recommendation was attributed lowest EA compared to the four correct recommendations (mean difference = -0.34, -0.45, -0.35, and -0.44, respectively;p = .002), which, when dropped from the analysis, showed no difference between the correct active and inactive recommendations (3.78 vs. 3.89,p =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t>
  </si>
  <si>
    <t>OCT 2020</t>
  </si>
  <si>
    <t>WOS:000581673600001</t>
  </si>
  <si>
    <t>Personal digital archiving for journalists: a private solution to a public problem</t>
  </si>
  <si>
    <t>King, Rachel</t>
  </si>
  <si>
    <t>LIBRARY HI TECH</t>
  </si>
  <si>
    <t>Purpose -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 The author has reviewed the personal digital archiving literature and analyzed how it might be specifically tailored to the unique needs of journalists. Findings -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 The needs of journalists do vary greatly based on the nature and format of their work and its publication venue, making it difficult to offer a single set of standards or recommendations. Originality/value -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t>
  </si>
  <si>
    <t>King, Rachel/G-9969-2018</t>
  </si>
  <si>
    <t>King, Rachel/0000-0003-3569-5888</t>
  </si>
  <si>
    <t>0737-8831</t>
  </si>
  <si>
    <t>WOS:000456605200002</t>
  </si>
  <si>
    <t>MacTavish, Mia; Wecker, Lakin; Samavati, Faramarz</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</si>
  <si>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t>
  </si>
  <si>
    <t>MacTavish, Mia/0000-0001-9637-1356; Wecker, Lakin/0000-0001-5253-7238</t>
  </si>
  <si>
    <t>WOS:000786374400001</t>
  </si>
  <si>
    <t>Peru: Assessing Its Strong Macroeconomic Performance through Labor Market Indicators</t>
  </si>
  <si>
    <t>Pastor, Gonzalo; Larios Meono, J. Fernando</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</si>
  <si>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t>
  </si>
  <si>
    <t>Larios Meono, Jose Fernando/U-3084-2017</t>
  </si>
  <si>
    <t>Larios Meono, Jose Fernando/0000-0001-6033-0675</t>
  </si>
  <si>
    <t>WOS:000508553203036</t>
  </si>
  <si>
    <t>Kommeren, Rob; Parviainen, Paivi</t>
  </si>
  <si>
    <t>Global software development is increasingly common. Main expected benefits are improvements in time-to-market efficiency and access to greater - and less costly - 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t>
  </si>
  <si>
    <t>WOS:000250592200004</t>
  </si>
  <si>
    <t>Karlapalem, K; Cheng, H; Ramakrishnan, N; Agrawal, RK; Reddy, PK; Srivastava, J; Chakraborty, T</t>
  </si>
  <si>
    <t>Khan, Siamul Karim; Zhang, Daniel (Yue); Kou, Ziyi; Zhang, Yang; Wang, Dong</t>
  </si>
  <si>
    <t>ADVANCES IN KNOWLEDGE DISCOVERY AND DATA MINING, PAKDD 2021, PT I</t>
  </si>
  <si>
    <t>25th Pacific-Asia Conference on Knowledge Discovery and Data Mining (PAKDD)</t>
  </si>
  <si>
    <t>MAY 11-14, 2021</t>
  </si>
  <si>
    <t>Int Inst Informat Technol Hyderabad, ELECTR NETWORK</t>
  </si>
  <si>
    <t>Jawaharlal Nehru Univ</t>
  </si>
  <si>
    <t>Int Inst Informat Technol Hyderabad</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</si>
  <si>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t>
  </si>
  <si>
    <t>Khan, Siamul Karim/ABC-1164-2021</t>
  </si>
  <si>
    <t>Khan, Siamul Karim/0000-0001-5691-8599</t>
  </si>
  <si>
    <t>978-3-030-75762-5; 978-3-030-75761-8</t>
  </si>
  <si>
    <t>WOS:000719253600051</t>
  </si>
  <si>
    <t>Van Patten, Ryan; Nguyen, Tanya T.; Mahmood, Zanjbeel; Lee, Ellen E.; Daly, Rebecca E.; Palmer, Barton W.; Wu, Tsung-Chin; Tu, Xin; Jeste, Dilip V.; Twamley, Elizabeth W.</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</si>
  <si>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t>
  </si>
  <si>
    <t>Nguyen, Tanya/AAI-1396-2020; Van+Patten, Ryan/AAZ-6757-2021</t>
  </si>
  <si>
    <t xml:space="preserve">Nguyen, Tanya/0000-0002-9510-9564; </t>
  </si>
  <si>
    <t>WOS:000670737800001</t>
  </si>
  <si>
    <t>Picking the Right Project: Assigning Student Teams in a GSD Course</t>
  </si>
  <si>
    <t>Ardis, M; Cowling, T; Bohner, S</t>
  </si>
  <si>
    <t>Bosnic, Ivana; Cavrak, Igor; Orlic, Marin; Zagar, Mario</t>
  </si>
  <si>
    <t>2013 IEEE 26TH INTERNATIONAL CONFERENCE ON SOFTWARE ENGINEERING EDUCATION AND TRAINING (CSEE&amp;T)</t>
  </si>
  <si>
    <t>IEEE 26th Conference on Software Engineering Education and Training (CSEE and T)</t>
  </si>
  <si>
    <t>MAY 19-21, 2013</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</si>
  <si>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t>
  </si>
  <si>
    <t>Bosnic, Ivana/AAA-3087-2021</t>
  </si>
  <si>
    <t>978-1-4673-5140-9</t>
  </si>
  <si>
    <t>WOS:000328540900016</t>
  </si>
  <si>
    <t>Marinho, Marcelo; Noll, John; Richardson, Ita; Beecham, Sarah</t>
  </si>
  <si>
    <t>2019 13TH ACM/IEEE INTERNATIONAL SYMPOSIUM ON EMPIRICAL SOFTWARE ENGINEERING AND MEASUREMENT (ESEM 2019)</t>
  </si>
  <si>
    <t>13th ACM/IEEE International Symposium on Empirical Software Engineering and Measurement (ESEM)</t>
  </si>
  <si>
    <t>SEP 19-20, 2019</t>
  </si>
  <si>
    <t>Pernambuco, BRAZIL</t>
  </si>
  <si>
    <t>IEEE,Assoc Comp Machinery,IEEE Comp Soc,Brazilian Comp Soc,CESAR Sch,State Pernambuco Fdn Sci &amp; Technol,Natl Council Sci &amp; Technol Dev, Brazilian Minist Sci, Technol, Innovat, &amp; Commun</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</si>
  <si>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t>
  </si>
  <si>
    <t>Marinho, Marcelo Luiz Monteiro/M-5107-2018</t>
  </si>
  <si>
    <t>Marinho, Marcelo Luiz Monteiro/0000-0001-9575-8161</t>
  </si>
  <si>
    <t>1938-6451</t>
  </si>
  <si>
    <t>978-1-7281-2968-6</t>
  </si>
  <si>
    <t>WOS:000648806200025</t>
  </si>
  <si>
    <t>Platform Ideologies: Ideological Production in Digital Intermediation Platforms and Structural Effectivity in the Sharing Economy</t>
  </si>
  <si>
    <t>Karatzogianni, Athina; Matthews, Jacob</t>
  </si>
  <si>
    <t>TELEVISION &amp; NEW MEDIA</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</si>
  <si>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t>
  </si>
  <si>
    <t>KARATZOGIANNI, ATHINA/0000-0002-6161-4423</t>
  </si>
  <si>
    <t>1527-4764</t>
  </si>
  <si>
    <t>1552-8316</t>
  </si>
  <si>
    <t>WOS:000499489700006</t>
  </si>
  <si>
    <t>Platform labor: on the gendered and racialized exploitation of low-income service work in the 'on-demand' economy</t>
  </si>
  <si>
    <t>van Doorn, Niels</t>
  </si>
  <si>
    <t>17th Annual Conference of the Association-of-Internet-Research (AoIR)</t>
  </si>
  <si>
    <t>OCT, 2016</t>
  </si>
  <si>
    <t>Humboldt Univ Berlin, Berlin, GERMANY</t>
  </si>
  <si>
    <t>Alexander Humboldt Inst Internet &amp; Soc,Hans Bredow Inst Media Res</t>
  </si>
  <si>
    <t>Humboldt Univ Berlin</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</si>
  <si>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 - 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t>
  </si>
  <si>
    <t>WOS:000396829200007</t>
  </si>
  <si>
    <t>PLATFORM PLEADING: ANALYZING EMPLOYMENT DISPUTES IN THE TECHNOLOGY SECTOR</t>
  </si>
  <si>
    <t>Seiner, Joseph A.</t>
  </si>
  <si>
    <t>WASHINGTON LAW REVIEW</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</si>
  <si>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t>
  </si>
  <si>
    <t>0043-0617</t>
  </si>
  <si>
    <t>WOS:000537900800008</t>
  </si>
  <si>
    <t>Polkowska, Dominika</t>
  </si>
  <si>
    <t>EUROPEAN SOCIETIES</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</si>
  <si>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t>
  </si>
  <si>
    <t>Polkowska, Dominika/0000-0002-6698-5821</t>
  </si>
  <si>
    <t>1461-6696</t>
  </si>
  <si>
    <t>1469-8307</t>
  </si>
  <si>
    <t>FEB 19</t>
  </si>
  <si>
    <t>S321</t>
  </si>
  <si>
    <t>S331</t>
  </si>
  <si>
    <t>WOS:000575261000001</t>
  </si>
  <si>
    <t>PLATFORM WORK: FROM DIGITAL PROMISES TO LABOUR CHALLENGES</t>
  </si>
  <si>
    <t>Arcidiacono, Davide; Borghi, Paolo; Ciarini, Andrea</t>
  </si>
  <si>
    <t>PARTECIPAZIONE E CONFLITTO</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</si>
  <si>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t>
  </si>
  <si>
    <t>1972-7623</t>
  </si>
  <si>
    <t>2035-6609</t>
  </si>
  <si>
    <t>WOS:000500487700001</t>
  </si>
  <si>
    <t>Weinzierl, Matthew</t>
  </si>
  <si>
    <t>JOURNAL OF PUBLIC ECONOMICS</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</si>
  <si>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(C) 2017 Elsevier B.V. All rights reserved.</t>
  </si>
  <si>
    <t>0047-2727</t>
  </si>
  <si>
    <t>WOS:000416196100005</t>
  </si>
  <si>
    <t>Woerner, Jacqueline; Abbey, Antonia</t>
  </si>
  <si>
    <t>JOURNAL OF SEX RESEARCH</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</si>
  <si>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t>
  </si>
  <si>
    <t>Abbey, Antonia/0000-0002-5448-4659</t>
  </si>
  <si>
    <t>0022-4499</t>
  </si>
  <si>
    <t>1559-8519</t>
  </si>
  <si>
    <t>WOS:000403659200005</t>
  </si>
  <si>
    <t>Kahancova, Marta; Meszmann, Tibor T.; Sedlakova, Maria</t>
  </si>
  <si>
    <t>FRONTIERS IN SOCIOLOGY</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</si>
  <si>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t>
  </si>
  <si>
    <t>2297-7775</t>
  </si>
  <si>
    <t>WOS:000678511600001</t>
  </si>
  <si>
    <t>Precision Telemedicine through Crowdsourced Machine Learning: Testing Variability of Crowd Workers for Video-Based Autism Feature Recognition</t>
  </si>
  <si>
    <t>Washington, Peter; Leblanc, Emilie; Dunlap, Kaitlyn; Penev, Yordan; Kline, Aaron; Paskov, Kelley; Sun, Min Woo; Chrisman, Brianna; Stockham, Nathaniel; Varma, Maya; Voss, Catalin; Haber, Nick; Wall, Dennis P.</t>
  </si>
  <si>
    <t>JOURNAL OF PERSONALIZED MEDICINE</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</si>
  <si>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(r= 0.358,p=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t>
  </si>
  <si>
    <t>Leblanc, Emilie/0000-0002-3492-3554; Penev, Yordan/0000-0001-8520-9417; Chrisman, Brianna/0000-0002-7157-607X; Wall, Dennis/0000-0002-7889-9146; washington, peter/0000-0003-3276-4411</t>
  </si>
  <si>
    <t>2075-4426</t>
  </si>
  <si>
    <t>WOS:000579590800001</t>
  </si>
  <si>
    <t>Chakraborty, Swagata; Sadachar, Amrut</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</si>
  <si>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t>
  </si>
  <si>
    <t>Sadachar, Amrut/AAV-3323-2021</t>
  </si>
  <si>
    <t>Sadachar, Amrut/0000-0001-8159-8881; Chakraborty, Swagata/0000-0001-8332-5852</t>
  </si>
  <si>
    <t>JUN 29</t>
  </si>
  <si>
    <t>WOS:000581487400001</t>
  </si>
  <si>
    <t>Yu, Tianzhou; Chen, Jiafan; Gu, Ning Yan; Hay, Joel W.; Gong, Cynthia L.</t>
  </si>
  <si>
    <t>HEALTH AND QUALITY OF LIFE OUTCOMES</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</si>
  <si>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&lt;= 0.001) and higher self-rated survey difficulty (p &lt;=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t>
  </si>
  <si>
    <t>Yu, Tianzhou/0000-0003-3116-5636</t>
  </si>
  <si>
    <t>1477-7525</t>
  </si>
  <si>
    <t>JUL 6</t>
  </si>
  <si>
    <t>WOS:000825325400001</t>
  </si>
  <si>
    <t>Predicting User Satisfaction in Spoken Dialog System Evaluation With Collaborative Filtering</t>
  </si>
  <si>
    <t>Yang, Zhaojun; Levow, Gina-Anne; Meng, Helen</t>
  </si>
  <si>
    <t>IEEE JOURNAL OF SELECTED TOPICS IN SIGNAL PROCESSING</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</si>
  <si>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t>
  </si>
  <si>
    <t>Meng, Helen M/F-6043-2011</t>
  </si>
  <si>
    <t>Meng, Helen M/0000-0002-4427-3532</t>
  </si>
  <si>
    <t>1932-4553</t>
  </si>
  <si>
    <t>1941-0484</t>
  </si>
  <si>
    <t>WOS:000208945900008</t>
  </si>
  <si>
    <t>Predictors of Playing Augmented Reality Mobile Games While Walking Based on the Theory of Planned Behavior: Web-Based Survey</t>
  </si>
  <si>
    <t>Koh, Hyeseung Elizabeth; Oh, Jeeyun; Mackert, Michael</t>
  </si>
  <si>
    <t>JMIR MHEALTH AND UHEALTH</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</si>
  <si>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t>
  </si>
  <si>
    <t>Oh, Jeeyun/0000-0003-4729-1370; Koh, Hyeseung/0000-0003-4160-6984</t>
  </si>
  <si>
    <t>2291-5222</t>
  </si>
  <si>
    <t>e191</t>
  </si>
  <si>
    <t>WOS:000419159800023</t>
  </si>
  <si>
    <t>Preliminary evaluation of a Tag-based Knowledge Condensation Tool in Agile and Distributed Teams</t>
  </si>
  <si>
    <t>IEEE Comp Soc</t>
  </si>
  <si>
    <t>Borrego, Gilberto; Moran, Alberto L.; Palacio, Ramon</t>
  </si>
  <si>
    <t>2017 IEEE 12TH INTERNATIONAL CONFERENCE ON GLOBAL SOFTWARE ENGINEERING (ICGSE)</t>
  </si>
  <si>
    <t>12th IEEE International Conference on Global Software Engineering (ICGSE)</t>
  </si>
  <si>
    <t>MAY 22-23, 2017</t>
  </si>
  <si>
    <t>IEEE,IEEE Comp Soc,Assoc Comp Machinery,DELL,ThoughtWorks</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</si>
  <si>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 - 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t>
  </si>
  <si>
    <t>Morán, Alberto/E-2648-2018; Palacio, Ramon R./AAQ-4991-2020; Borrego, Gilberto/I-9039-2019; Borrego, Gilberto/AAR-3455-2021</t>
  </si>
  <si>
    <t>Morán, Alberto/0000-0002-6540-0764; Borrego, Gilberto/0000-0001-7315-5693; Borrego, Gilberto/0000-0001-7315-5693</t>
  </si>
  <si>
    <t>978-1-5386-1587-4</t>
  </si>
  <si>
    <t>WOS:000412758200007</t>
  </si>
  <si>
    <t>Preliminary investigation of the association between COVID-19 and suicidal thoughts and behaviors in the US</t>
  </si>
  <si>
    <t>JOURNAL OF PSYCHIATRIC RESEARCH</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</si>
  <si>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t>
  </si>
  <si>
    <t>Jacobucci, Ross/0000-0001-7818-7424; McClure, Kenneth/0000-0002-2347-3674</t>
  </si>
  <si>
    <t>0022-3956</t>
  </si>
  <si>
    <t>1879-1379</t>
  </si>
  <si>
    <t>WOS:000616251600006</t>
  </si>
  <si>
    <t>Peters, Anne-Kathrin; Hussain, Waqar; Cajander, Asa; Clear, Tony; Daniels, Mats</t>
  </si>
  <si>
    <t>2015 IEEE 10TH INTERNATIONAL CONFERENCE ON GLOBAL SOFTWARE ENGINEERING (ICGSE 2015)</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</si>
  <si>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 reflections on the course to unpack their perceptions of software engineering, the perceived relevance of a global learning experience and its role in reshaping their identities as global software engineers.</t>
  </si>
  <si>
    <t>Hussain, Waqar/AAP-6971-2020</t>
  </si>
  <si>
    <t>Hussain, Waqar/0000-0003-1508-4174; Daniels, Mats/0000-0002-8465-7629; NGUYEN, BINH/0000-0002-0452-2047; Cajander, Asa/0000-0001-7472-2215; Clear, Tony/0000-0001-6985-5064</t>
  </si>
  <si>
    <t>978-1-4799-8409-1</t>
  </si>
  <si>
    <t>WOS:000377995400008</t>
  </si>
  <si>
    <t>Prevailing Public Perceptions of the Ethics of Gene Therapy</t>
  </si>
  <si>
    <t>Robillard, Julie M.; Roskams-Edris, Dylan; Kuzeljevic, Boris; Illes, Judy</t>
  </si>
  <si>
    <t>HUMAN GENE THERAPY</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</si>
  <si>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t>
  </si>
  <si>
    <t>Robillard, Julie/0000-0001-5765-4927; Roskams-Edris, Dylan/0000-0002-4526-2296; Kuzeljevic, Boris/0000-0003-4712-9867</t>
  </si>
  <si>
    <t>1043-0342</t>
  </si>
  <si>
    <t>1557-7422</t>
  </si>
  <si>
    <t>WOS:000340821100009</t>
  </si>
  <si>
    <t>Prioritizing Tasks in Code Repair: A Psychological Exploration of Computer Code</t>
  </si>
  <si>
    <t>Alarcon, Gene M.; Jessup, Sarah A.; Wood, David W.; Ryan, Tyler J.; Capiola, August</t>
  </si>
  <si>
    <t>PROCEEDINGS OF THE 52ND ANNUAL HAWAII INTERNATIONAL CONFERENCE ON SYSTEM SCIENCES</t>
  </si>
  <si>
    <t>52ndHawaii International Conference on System Sciences (HICSS)</t>
  </si>
  <si>
    <t>JAN 08-11, 2019</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</si>
  <si>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 e., testing, rollout, etc.). However, managers should also be cognizant of the effects task prioritization has on programmer perceptions of the code as a whole.</t>
  </si>
  <si>
    <t>978-0-9981331-2-6</t>
  </si>
  <si>
    <t>WOS:000625294906069</t>
  </si>
  <si>
    <t>Prioritizing the Issues extracted for Getting Right People on Right Project in Software Project Management From Vendors' Perspective</t>
  </si>
  <si>
    <t>Hussain, Majid; Khan, Habib Ullah; Khan, Abdul Wahid; Khan, Siffat Ullah</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</si>
  <si>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t>
  </si>
  <si>
    <t>WOS:000608449900001</t>
  </si>
  <si>
    <t>Privacy, Power, and Invisible Labor on Amazon Mechanical Turk</t>
  </si>
  <si>
    <t>Sannon, Shruti; Cosley, Dan</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</si>
  <si>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t>
  </si>
  <si>
    <t>Sannon, Shruti/0000-0002-2018-1190</t>
  </si>
  <si>
    <t>WOS:000474467903053</t>
  </si>
  <si>
    <t>PriWe: Recommendation for Privacy Settings of Mobile Apps based on Crowdsourced Users' Expectations</t>
  </si>
  <si>
    <t>10.1109/MS.2015.30</t>
  </si>
  <si>
    <t>Altintas, O; Zhang, J</t>
  </si>
  <si>
    <t>Liu, Rui; Cao, Jiannong; Yang, Lei; Zhang, Kehuan</t>
  </si>
  <si>
    <t>2015 IEEE THIRD INTERNATIONAL CONFERENCE ON MOBILE SERVICES MS 2015</t>
  </si>
  <si>
    <t>IEEE 3rd International Conference on Mobile Services MS</t>
  </si>
  <si>
    <t>JUN 27-JUL 02, 2015</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</si>
  <si>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crowdsourcing driven by users who contribute privacy permission settings of their apps in smartphones. PriWe leverages the crowdsourced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t>
  </si>
  <si>
    <t>Liu, Rui/I-9830-2016; Cao, Jian-Nong/ABE-5890-2020; Liu, Rui/W-5201-2019</t>
  </si>
  <si>
    <t>Liu, Rui/0000-0001-9061-787X; Liu, Rui/0000-0001-9061-787X; Cao, Jiannong/0000-0002-2725-2529</t>
  </si>
  <si>
    <t>2329-6429</t>
  </si>
  <si>
    <t>978-1-4673-7284-8</t>
  </si>
  <si>
    <t>WOS:000380402000020</t>
  </si>
  <si>
    <t>Tafreshian, Amirmahdi; Abdolmaleki, Mojtaba; Masoud, Neda; Wang, Huizhu</t>
  </si>
  <si>
    <t>TRANSPORTATION RESEARCH PART B-METHODOLOGICAL</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</si>
  <si>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 demand requests with fast and high-quality solutions in real time. Using numerical experiments, we demonstrate the benefits of the proposed method. Furthermore, we conduct sensitivity analyses to show the performance of our methodology under different parameter settings.</t>
  </si>
  <si>
    <t>Tafreshian, Amirmahdi/0000-0003-1175-0707; Abdolmaleki, Mojtaba/0000-0002-6337-1939</t>
  </si>
  <si>
    <t>0191-2615</t>
  </si>
  <si>
    <t>1879-2367</t>
  </si>
  <si>
    <t>WOS:000684998400010</t>
  </si>
  <si>
    <t>Product Attributes, Evaluability, and Consumer Satisfaction</t>
  </si>
  <si>
    <t>Antonides, Gerrit; Hovestadt, Lies</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</si>
  <si>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t>
  </si>
  <si>
    <t>Antonides, Gerrit/0000-0002-9983-1263</t>
  </si>
  <si>
    <t>WOS:000724035000001</t>
  </si>
  <si>
    <t>Weber, Thomas A.</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</si>
  <si>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t>
  </si>
  <si>
    <t>Weber, Thomas A./C-3892-2018</t>
  </si>
  <si>
    <t>Weber, Thomas A./0000-0003-2857-4754</t>
  </si>
  <si>
    <t>WOS:000387222400011</t>
  </si>
  <si>
    <t>Project managers in global software development teams: a study of the effects on productivity and performance</t>
  </si>
  <si>
    <t>Colomo-Palacios, Ricardo; Casado-Lumbreras, Cristina; Soto-Acosta, Pedro; Jose Garcia-Penalvo, Francisco; Tovar, Edmundo</t>
  </si>
  <si>
    <t>SOFTWARE QUALITY JOURNAL</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</si>
  <si>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t>
  </si>
  <si>
    <t>Soto-Acosta, Pedro/B-3927-2011; GARCÍA-PEÑALVO, Francisco José/D-5445-2013; Colomo-Palacios, Ricardo/E-5139-2010</t>
  </si>
  <si>
    <t>Soto-Acosta, Pedro/0000-0003-4308-9781; GARCÍA-PEÑALVO, Francisco José/0000-0001-9987-5584; Colomo-Palacios, Ricardo/0000-0002-1555-9726; Tovar, Edmundo/0000-0003-2929-659X</t>
  </si>
  <si>
    <t>0963-9314</t>
  </si>
  <si>
    <t>1573-1367</t>
  </si>
  <si>
    <t>WOS:000331643500002</t>
  </si>
  <si>
    <t>Prospects of Integrating Gig Economy in the Saudi Arabian Health-care System from the Perspectives of Health-care Decision-makers and Practitioners</t>
  </si>
  <si>
    <t>Alanzi, Turki</t>
  </si>
  <si>
    <t>JOURNAL OF HEALTHCARE LEADERSHIP</t>
  </si>
  <si>
    <t>Background: Gig economy is an approach in the labor market which is characterized by the prevalence of short-term contracts or freelance work in contrast to permanent jobs. The gig workers are independent workers or temporary contract workers who enter into formal/informal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t>
  </si>
  <si>
    <t>1179-3201</t>
  </si>
  <si>
    <t>WOS:000708415200002</t>
  </si>
  <si>
    <t>Heymann, Jody; Raub, Amy; Waisath, Willetta; McCormack, Michael; Weistroffer, Ross; Moreno, Gonzalo; Wong, Elizabeth; Earle, Alison</t>
  </si>
  <si>
    <t>GLOBAL PUBLIC HEALTH</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</si>
  <si>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</si>
  <si>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Earle, Alison/0000-0001-9177-8122; Raub, Amy/0000-0002-5207-0807; Wong, Elizabeth/0000-0001-7676-5462; Heymann, Jody/0000-0003-0008-4198</t>
  </si>
  <si>
    <t>1744-1692</t>
  </si>
  <si>
    <t>1744-1706</t>
  </si>
  <si>
    <t>JUL 2</t>
  </si>
  <si>
    <t>MAY 2020</t>
  </si>
  <si>
    <t>WOS:000533708900001</t>
  </si>
  <si>
    <t>Hanson, Carl L.; Crandall, Ali; Barnes, Michael D.; Novilla, M. Lelinneth</t>
  </si>
  <si>
    <t>HEALTH EDUCATION &amp; BEHAVIOR</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</si>
  <si>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t>
  </si>
  <si>
    <t>Hanson, Carl L./0000-0002-0792-3372; Barnes, Michael/0000-0002-5734-4512</t>
  </si>
  <si>
    <t>1090-1981</t>
  </si>
  <si>
    <t>1552-6127</t>
  </si>
  <si>
    <t>WOS:000638757900001</t>
  </si>
  <si>
    <t>prototype GOD: prototype Generic Objects Dataset for an Object Detection System based on Bird's -Eye View</t>
  </si>
  <si>
    <t>Yoon, Young-Suk; Hwang, Joong-Won; Jung, Sung-Uk; Park, Jongyoul</t>
  </si>
  <si>
    <t>2018 INTERNATIONAL CONFERENCE ON INFORMATION AND COMMUNICATION TECHNOLOGY CONVERGENCE (ICTC)</t>
  </si>
  <si>
    <t>9th International Conference on Information and Communication Technology Convergence (ICTC)</t>
  </si>
  <si>
    <t>OCT 17-19, 2018</t>
  </si>
  <si>
    <t>SOUTH KOREA</t>
  </si>
  <si>
    <t>Korean Inst Commun &amp; Informat Sci,IEEE Commun Soc,Elect &amp; Telecommunicat Res Inst,Korean Federat Sci &amp; Technol Soc,Samsung Elect,SK Telecom,KT,Posco ICT,GSI,Natl Instruments,INTERDIGITAL,Sensors,Jeju Convent &amp; Visitors Bur,LG Elect,Huawei,ERICSSON LG</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</si>
  <si>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t>
  </si>
  <si>
    <t>Yoon, Young-Suk/0000-0001-7525-3879</t>
  </si>
  <si>
    <t>2162-1233</t>
  </si>
  <si>
    <t>978-1-5386-5041-7</t>
  </si>
  <si>
    <t>WOS:000517984800191</t>
  </si>
  <si>
    <t>Lemmon, Grace; Wilson, Morgan S.; Posig, Margaret; Glibkowski, Brian C.</t>
  </si>
  <si>
    <t>JOURNAL OF LEADERSHIP &amp; ORGANIZATIONAL STUDIES</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</si>
  <si>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vis-a-vis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t>
  </si>
  <si>
    <t>1548-0518</t>
  </si>
  <si>
    <t>1939-7089</t>
  </si>
  <si>
    <t>WOS:000384834100006</t>
  </si>
  <si>
    <t>Kroska, Emily B.; Roche, Anne I.; Adamowicz, Jenna L.; Stegall, Manny S.</t>
  </si>
  <si>
    <t>JOURNAL OF CONTEXTUAL BEHAVIORAL SCIENCE</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</si>
  <si>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t>
  </si>
  <si>
    <t>Adamowicz, Jenna/0000-0002-1468-789X; Stegall, Manny/0000-0002-0856-4586; Thomas, Emily/0000-0002-0416-1157</t>
  </si>
  <si>
    <t>2212-1447</t>
  </si>
  <si>
    <t>2212-1455</t>
  </si>
  <si>
    <t>WOS:000599954400004</t>
  </si>
  <si>
    <t>Wilton, Emily P.; Luke, Anna K.; Gladstone, Theresa R.; Lahoud, Ashley A.; Clark, Sydney D. Biscarri; Flessner, Christopher A.</t>
  </si>
  <si>
    <t>JOURNAL OF PEDIATRIC PSYCHOLOGY</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</si>
  <si>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(chi(2) (378) = 2568.95). All subscales demonstrated strong internal consistency (Involvement in Food Allergy: alpha = .880; Worry about Food Allergy: alpha = .892; Autonomy Promotion alpha = .796) as well as convergent and discriminant validity. Conclusions Results support the overall psychometric properties of the scale. Interpretations, limitations, and future directions are discussed.</t>
  </si>
  <si>
    <t>Luke, Anna/0000-0003-3956-7082; Wilton, Emily/0000-0002-4490-8884</t>
  </si>
  <si>
    <t>0146-8693</t>
  </si>
  <si>
    <t>1465-735X</t>
  </si>
  <si>
    <t>JUL 19</t>
  </si>
  <si>
    <t>WOS:000785675700001</t>
  </si>
  <si>
    <t>Reffi, Anthony N.; Pinciotti, Caitlin M.; Orcutt, Holly K.</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</si>
  <si>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t>
  </si>
  <si>
    <t>Pinciotti, Caitlin/AFQ-6181-2022</t>
  </si>
  <si>
    <t>Reffi, Anthony/0000-0002-2783-1678; Orcutt, Holly/0000-0002-0197-0784; Pinciotti, Caitlin/0000-0002-6481-3348</t>
  </si>
  <si>
    <t>WOS:000660076900035</t>
  </si>
  <si>
    <t>Smol, Marzena; Avdiushchenko, Anna; Kulczycka, Joanna; Nowaczek, Agnieszka</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</si>
  <si>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(C) 2018 Elsevier Ltd. All rights reserved.</t>
  </si>
  <si>
    <t>Kulczycka, Joanna/AAC-9610-2021; Smol, Marzena/AAS-7916-2020</t>
  </si>
  <si>
    <t>Smol, Marzena/0000-0001-5833-2954; Kulczycka, Joanna/0000-0002-4377-5506</t>
  </si>
  <si>
    <t>OCT 1</t>
  </si>
  <si>
    <t>WOS:000441998400095</t>
  </si>
  <si>
    <t>Patel, Viren; Mazzaferro, Daniel M.; Swanson, Jordan W.; Taylor, Jesse A.; Bartlett, Scott P.</t>
  </si>
  <si>
    <t>JOURNAL OF CRANIOFACIAL SURGERY</t>
  </si>
  <si>
    <t>18th International Congress of the International-Society-of-Craniofacial-Surgery (ISCFS)</t>
  </si>
  <si>
    <t>SEP 16-19, 2019</t>
  </si>
  <si>
    <t>Int Soc Craniofacial Surg</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</si>
  <si>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pairedttest and percent improvement from baseline. Results: A total of 59 ears met criteria for evaluation by 497 MTurk respondents. Average age of patients at the time of treatment was 34.2 +/- 16.8 days and mean therapy duration was 31.3 +/- 13.1 days. A pairedttest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</si>
  <si>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1049-2275</t>
  </si>
  <si>
    <t>1536-3732</t>
  </si>
  <si>
    <t>WOS:000562524800072</t>
  </si>
  <si>
    <t>Broekhuis, Jordan M.; Chen, Hao Wei; Maeda, Anthony H.; Duncan, Sarah; Grogan, Raymon H.; James, Benjamin C.</t>
  </si>
  <si>
    <t>JOURNAL OF SURGICAL RESEARCH</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</si>
  <si>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(C) 2021 Elsevier Inc. All rights reserved.</t>
  </si>
  <si>
    <t>Broekhuis, Jordan/0000-0002-7826-4968; Maeda, Anthony/0000-0001-9159-3187; Duncan, Sarah/0000-0001-9497-5252</t>
  </si>
  <si>
    <t>0022-4804</t>
  </si>
  <si>
    <t>1095-8673</t>
  </si>
  <si>
    <t>WOS:000702685500008</t>
  </si>
  <si>
    <t>QASCA: A Quality-Aware Task Assignment System for Crowdsourcing Applications</t>
  </si>
  <si>
    <t>Zheng, Yudian; Wang, Jiannan; Li, Guoliang; Cheng, Reynold; Feng, Jianhua</t>
  </si>
  <si>
    <t>WOS:000452535700080</t>
  </si>
  <si>
    <t>QoE Aware Video Content Adaptation and Delivery</t>
  </si>
  <si>
    <t>Kamaraju, Pavan; Lungaro, Pietro; Segall, Zary</t>
  </si>
  <si>
    <t>2016 IEEE 17TH INTERNATIONAL SYMPOSIUM ON A WORLD OF WIRELESS, MOBILE AND MULTIMEDIA NETWORKS (WOWMOM)</t>
  </si>
  <si>
    <t>17th IEEE International Symposium on A World of Wireless, Mobile and Multimedia Networks (WoWMoM)</t>
  </si>
  <si>
    <t>JUN 21-24, 2016</t>
  </si>
  <si>
    <t>Coimbra, PORTUGAL</t>
  </si>
  <si>
    <t>IEEE,IEEE Comp Soc,Missouri Univ Sci &amp; Technol,IEEE Comp Soc Tech Comm Comp Commun,Univ Coimbra</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</si>
  <si>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+/- 0.5 MOS points. This approach can be effectively used to select the video qualities minimizing bandwidth costs while delivering predefined level of perceived quality to the end users.</t>
  </si>
  <si>
    <t>978-1-5090-2185-7</t>
  </si>
  <si>
    <t>WOS:000392273900061</t>
  </si>
  <si>
    <t>Ardito, C; Lanzilotti, R; Malizia, A; Petrie, H; Piccinno, A; Desolda, G; Inkpen, K</t>
  </si>
  <si>
    <t>Islam, Md Rabiul; Nawa, Shun; Vargo, Andrew; Iwata, Motoi; Matsubara, Masaki; Morishima, Atsuyuki; Kise, Koichi</t>
  </si>
  <si>
    <t>HUMAN-COMPUTER INTERACTION, INTERACT 2021, PT II</t>
  </si>
  <si>
    <t>18th IFIP TC 13 International Conference on Human-Computer Interaction (INTERACT)</t>
  </si>
  <si>
    <t>AUG 30-SEP 03, 2021</t>
  </si>
  <si>
    <t>Bari, ITALY</t>
  </si>
  <si>
    <t>Int Federat Informat Proc, TC 13,Univ Aldo Moro,ACM,SIGCHI,Springer,Eulogic,Eusoft,Experis Manpower Grp,Exprivia,Openwork,Ora Zero Grp,Sincon ICT Solut</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</si>
  <si>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t>
  </si>
  <si>
    <t>978-3-030-85616-8; 978-3-030-85615-1</t>
  </si>
  <si>
    <t>WOS:000697565900008</t>
  </si>
  <si>
    <t>Quality Indicators on Global Software Development Projects: Does Getting to Know You Really Matter?</t>
  </si>
  <si>
    <t>Gotel, Olly; Kulkarni, Vidya; Say, Moniphal; Scharff, Christelle; Sunetnanta, Thanwadee</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</si>
  <si>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t>
  </si>
  <si>
    <t>WOS:000272550200001</t>
  </si>
  <si>
    <t>Quality indicators on global software development projects: does 'getting to know you' really matter?</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</si>
  <si>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Copyright (C) 2010 John Wiley &amp; Sons, Ltd.</t>
  </si>
  <si>
    <t>WOS:000301645500005</t>
  </si>
  <si>
    <t>Curme, Chester; Preis, Tobias; Stanley, H. Eugene; Moat, Helen Susannah</t>
  </si>
  <si>
    <t>Preis, Tobias/A-2874-2009</t>
  </si>
  <si>
    <t>Preis, Tobias/0000-0001-9185-0892; Moat, Helen Susannah/0000-0001-8974-9277; Stanley, H./0000-0003-2800-4495</t>
  </si>
  <si>
    <t>WOS:000340097900021</t>
  </si>
  <si>
    <t>Weathers, Scott T.; Caviola, Lucius; Scherer, Laura; Pfister, Stephan; Fischer, Bob; Bump, Jesse B.; Jaacks, Lindsay M.</t>
  </si>
  <si>
    <t>JOURNAL OF AGRICULTURAL &amp; ENVIRONMENTAL ETHICS</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</si>
  <si>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t>
  </si>
  <si>
    <t>Pfister, Stephan/AAE-8615-2019</t>
  </si>
  <si>
    <t>Pfister, Stephan/0000-0001-8984-2041; Weathers, Scott/0000-0002-0076-5041; Scherer, Laura/0000-0002-0194-9942; Jaacks, Lindsay/0000-0002-7791-5167</t>
  </si>
  <si>
    <t>1187-7863</t>
  </si>
  <si>
    <t>1573-322X</t>
  </si>
  <si>
    <t>WOS:000524233600005</t>
  </si>
  <si>
    <t>Query Relaxation for Entity-Relationship Search</t>
  </si>
  <si>
    <t>Antoniou, G; Grobelnik, M; Simperl, E; Parsia, B; Plexousakis, D; DeLeenheer, P; Pan, J</t>
  </si>
  <si>
    <t>Elbassuoni, Shady; Ramanath, Maya; Weikum, Gerhard</t>
  </si>
  <si>
    <t>SEMANTIC WEB: RESEARCH AND APPLICATIONS, PT II</t>
  </si>
  <si>
    <t>8th Extended Semantic Web Conference (ESWC)</t>
  </si>
  <si>
    <t>MAY 29-JUN 02, 2011</t>
  </si>
  <si>
    <t>Ontotext,Enterprise Collaborat &amp; Interoperabil (COIN),Elsevier,Insemtives,Planet Data,EETN,IOS Press,Talis</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</si>
  <si>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t>
  </si>
  <si>
    <t>978-3-642-21064-8</t>
  </si>
  <si>
    <t>WOS:000306485700005</t>
  </si>
  <si>
    <t>QUERYVIS: Logic-based Diagrams help Users Understand Complicated SQL Queries Faster</t>
  </si>
  <si>
    <t>Leventidis, Aristotelis; Zhang, Jiahui; Dunne, Cody; Gatterbauer, Wolfgang; Jagadish, H., V; Riedewald, Mirek</t>
  </si>
  <si>
    <t>SIGMOD'20: PROCEEDINGS OF THE 2020 ACM SIGMOD INTERNATIONAL CONFERENCE ON MANAGEMENT OF DATA</t>
  </si>
  <si>
    <t>ACM SIGMOD International Conference on Management of Data (SIGMOD)</t>
  </si>
  <si>
    <t>JUN 14-19, 2020</t>
  </si>
  <si>
    <t>Assoc Comp Machinery,ACM SIGMOD</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</si>
  <si>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t>
  </si>
  <si>
    <t>Leventidis, Aristotelis/0000-0002-7229-3936; Dunne, Cody/0000-0002-1609-9776</t>
  </si>
  <si>
    <t>978-1-4503-6735-6</t>
  </si>
  <si>
    <t>WOS:000644433700152</t>
  </si>
  <si>
    <t>Race and the beauty premium: Mechanical Turk workers' evaluations of Twitter accounts</t>
  </si>
  <si>
    <t>Groggel, Anne; Nilizadeh, Shirin; Ahn, Yong-Yeol; Kapadia, Apu; Rojas, Fabio</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</si>
  <si>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</si>
  <si>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Groggel, Anne/AAS-1521-2021; Ahn, Yong-Yeol/C-6334-2011</t>
  </si>
  <si>
    <t>Ahn, Yong-Yeol/0000-0002-4352-4301; Groggel, Anne/0000-0003-3321-6636</t>
  </si>
  <si>
    <t>WOS:000462285600011</t>
  </si>
  <si>
    <t>Ranking Domain-Specific Highlights by Analyzing Edited Videos</t>
  </si>
  <si>
    <t>Fleet, D; Pajdla, T; Schiele, B; Tuytelaars, T</t>
  </si>
  <si>
    <t>Sun, Min; Farhadi, Ali; Seitz, Steve</t>
  </si>
  <si>
    <t>COMPUTER VISION - ECCV 2014, PT I</t>
  </si>
  <si>
    <t>13th European Conference on Computer Vision (ECCV)</t>
  </si>
  <si>
    <t>SEP 06-12, 2014</t>
  </si>
  <si>
    <t>Zurich, SWITZERLAND</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</si>
  <si>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t>
  </si>
  <si>
    <t>978-3-319-10590-1; 978-3-319-10589-5</t>
  </si>
  <si>
    <t>WOS:000345524200054</t>
  </si>
  <si>
    <t>Jurcicek, F.; Keizer, S.; Gasic, M.; Mairesse, F.; Thomson, B.; Yu, K.; Young, S.</t>
  </si>
  <si>
    <t>12TH ANNUAL CONFERENCE OF THE INTERNATIONAL SPEECH COMMUNICATION ASSOCIATION 2011 (INTERSPEECH 2011), VOLS 1-5</t>
  </si>
  <si>
    <t>12th Annual Conference of the International-Speech-Communication-Association 2011 (INTERSPEECH 2011)</t>
  </si>
  <si>
    <t>AUG 27-31, 2011</t>
  </si>
  <si>
    <t>Florence, ITALY</t>
  </si>
  <si>
    <t>Int Speech Commun Assoc (ISCA)</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</si>
  <si>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t>
  </si>
  <si>
    <t>978-1-61839-270-1</t>
  </si>
  <si>
    <t>WOS:000316502201256</t>
  </si>
  <si>
    <t>Broad, Alexander; Arkin, Jacob; Ratliff, Nathan; Howard, Thomas; Argall, Brenna</t>
  </si>
  <si>
    <t>INTERNATIONAL JOURNAL OF ROBOTICS RESEARCH</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</si>
  <si>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t>
  </si>
  <si>
    <t>Argall, Brenna/G-2543-2011</t>
  </si>
  <si>
    <t>0278-3649</t>
  </si>
  <si>
    <t>1741-3176</t>
  </si>
  <si>
    <t>5-7</t>
  </si>
  <si>
    <t>WOS:000404677700012</t>
  </si>
  <si>
    <t>Johnson, Matthew J.; Jiang, Lixin</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</si>
  <si>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t>
  </si>
  <si>
    <t>Jiang, Lixin/0000-0003-0853-9329</t>
  </si>
  <si>
    <t>WOS:000407283500011</t>
  </si>
  <si>
    <t>Xun, Helen; Lee, Erica; Yesantharao, Pooja; El Eter, Leen; Kraezlin, Franca; Persing, Sarah; Sacks, Justin</t>
  </si>
  <si>
    <t>JOURNAL OF PLASTIC RECONSTRUCTIVE AND AESTHETIC SURGERY</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</si>
  <si>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(TM)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&lt; 0.0005), higher impact on self-esteem (p &lt; 0.001), and to be covered by health insurance (p &lt; 0.0001) compared to breast augmentation. Reconstructive cued breast and facial procedures were viewed more favorably; the exception was gynecomastia reduction. Reconstructive classification had significant positive correlation with support for insurance coverage (R-2=0.8268) and willingness to pursue (R-2=0.5328).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(C) 2021 British Association of Plastic, Reconstructive and Aesthetic Surgeons. Published by Elsevier Ltd. All rights reserved.</t>
  </si>
  <si>
    <t>1748-6815</t>
  </si>
  <si>
    <t>1878-0539</t>
  </si>
  <si>
    <t>WOS:000714740800016</t>
  </si>
  <si>
    <t>Williams, Penny; McDonald, Paula; Mayes, Robyn</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</si>
  <si>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t>
  </si>
  <si>
    <t>McDonald, Paula/0000-0002-3549-4691; Mayes, Robyn/0000-0002-8661-3638; Williams, Penelope/0000-0002-2680-9129</t>
  </si>
  <si>
    <t>OCT 28</t>
  </si>
  <si>
    <t>WOS:000605740000001</t>
  </si>
  <si>
    <t>Reducing Internalized Binegativity: Development and Efficacy of an Online Intervention</t>
  </si>
  <si>
    <t>Israel, Tania; Choi, Andrew Young; Goodman, Joshua A.; Matsuno, Emmie; Lin, Yen-Jui; Kary, Krishna G.; Merrill, Caitlin R. S.</t>
  </si>
  <si>
    <t>PSYCHOLOGY OF SEXUAL ORIENTATION AND GENDER DIVERSITY</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</si>
  <si>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t>
  </si>
  <si>
    <t>2329-0382</t>
  </si>
  <si>
    <t>2329-0390</t>
  </si>
  <si>
    <t>WOS:000648772300003</t>
  </si>
  <si>
    <t>Israel, Tama; Matsuno, Em; Choi, Andrew Young; Goodman, Joshua A.; Lin, Yen-Jui; Kary, Krishna G.; Merrill, Caitlin R. S.</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</si>
  <si>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 .43) and increasing pride (d =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t>
  </si>
  <si>
    <t>Choi, Andrew Young/0000-0002-9560-1022; Goodman, Joshua/0000-0002-6467-3816</t>
  </si>
  <si>
    <t>WOS:000728150000011</t>
  </si>
  <si>
    <t>Amsalem, Doron; Yang, Lawrence H.; Jankowski, Samantha; Lieff, Sarah A.; Markowitz, John C.; Dixon, Lisa B.</t>
  </si>
  <si>
    <t>SCHIZOPHRENIA BULLETIN</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</si>
  <si>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t>
  </si>
  <si>
    <t>Yang, Lawrence H/A-6386-2012; Amselem, Doron/AER-8067-2022; Amsalem, Doron/ABA-7896-2021</t>
  </si>
  <si>
    <t>0586-7614</t>
  </si>
  <si>
    <t>1745-1701</t>
  </si>
  <si>
    <t>WOS:000649368900005</t>
  </si>
  <si>
    <t>Achen, Rebecca M.</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</si>
  <si>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t>
  </si>
  <si>
    <t>WOS:000555698300003</t>
  </si>
  <si>
    <t>Zimmerman, Deena R.; Amitai, Yona; Grossman, Zahi; Stein-Zamir, Chen</t>
  </si>
  <si>
    <t>ISRAEL JOURNAL OF HEALTH POLICY RESEARCH</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</si>
  <si>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 +/- 9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 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t>
  </si>
  <si>
    <t>Stein Zamir, Chen/0000-0002-8847-7510</t>
  </si>
  <si>
    <t>2045-4015</t>
  </si>
  <si>
    <t>DEC 10</t>
  </si>
  <si>
    <t>WOS:000366259800001</t>
  </si>
  <si>
    <t>Niinimaki, Tuomas; Piri, Arttu; Lassenius, Casper; Paasivaara, Maria</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</si>
  <si>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conveyance of information and convergence of understanding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(C) 2011 John Wiley &amp; Sons, Ltd.</t>
  </si>
  <si>
    <t>Lassenius, Casper C/A-4339-2013</t>
  </si>
  <si>
    <t>Lassenius, Casper C/0000-0003-4192-7024</t>
  </si>
  <si>
    <t>WOS:000308719900006</t>
  </si>
  <si>
    <t>Contractor, Ateka A.; Greene, Talya; Dolan, Megan; Weiss, Nicole H.; Armour, Cherie</t>
  </si>
  <si>
    <t>JOURNAL OF ANXIETY DISORDERS</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</si>
  <si>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t>
  </si>
  <si>
    <t>Greene, Talya/I-4105-2019</t>
  </si>
  <si>
    <t>Greene, Talya/0000-0002-3044-2841; Armour, Cherie/0000-0001-7649-3874</t>
  </si>
  <si>
    <t>0887-6185</t>
  </si>
  <si>
    <t>1873-7897</t>
  </si>
  <si>
    <t>WOS:000509005800003</t>
  </si>
  <si>
    <t>Relationship Adjustment and Quality Among Sexual Minority Persons With Disabilities</t>
  </si>
  <si>
    <t>Dispenza, Franco; McElroy-Heltzel, Stacey E.; Tarziers, Kyndel</t>
  </si>
  <si>
    <t>REHABILITATION PSYCHOLOGY</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</si>
  <si>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discusseil. Rehabilitation psychologists and other health care providers are encouraged to consider collective self-esteem. attachment styles. and cultural humility when working with sexual minority persons with disabilities in romantic relationships.</t>
  </si>
  <si>
    <t>McElroy-Heltzel, Stacey/AAP-1587-2021</t>
  </si>
  <si>
    <t>McElroy-Heltzel, Stacey/0000-0002-1054-3071; Tarziers, Kyndel/0000-0002-4950-9997</t>
  </si>
  <si>
    <t>0090-5550</t>
  </si>
  <si>
    <t>1939-1544</t>
  </si>
  <si>
    <t>WOS:000619666700008</t>
  </si>
  <si>
    <t>Relevance Criteria for E-Commerce: A Crowdsourcing-based Experimental Analysis</t>
  </si>
  <si>
    <t>Sanderson, M; Zhai, CX; Zobel, J; Allan, J; Aslam, JA</t>
  </si>
  <si>
    <t>Alonso, Omar; Mizzaro, Stefano</t>
  </si>
  <si>
    <t>PROCEEDINGS 32ND ANNUAL INTERNATIONAL ACM SIGIR CONFERENCE ON RESEARCH AND DEVELOPMENT IN INFORMATION RETRIEVAL</t>
  </si>
  <si>
    <t>32nd Annual International ACM SIGIR Conference on Research and Development in Information Retrieval</t>
  </si>
  <si>
    <t>JUL 19-23, 2009</t>
  </si>
  <si>
    <t>ACM SIGIR,Microsoft Res,Yahoo,Google,IBM Res,Sun</t>
  </si>
  <si>
    <t>MIZZARO, Stefano/0000-0002-2852-168X</t>
  </si>
  <si>
    <t>978-1-60558-483-6</t>
  </si>
  <si>
    <t>WOS:000270976500147</t>
  </si>
  <si>
    <t>Vizcaino, Maricarmen; Buman, Matthew; DesRoches, C. Tyler; Wharton, Christopher</t>
  </si>
  <si>
    <t>BMC PUBLIC HEALTH</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</si>
  <si>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t>
  </si>
  <si>
    <t>Vizcaino, Maricarmen/AAI-7100-2021; Buman, Matthew/AAJ-4447-2020</t>
  </si>
  <si>
    <t>Buman, Matthew/0000-0002-5130-3162; Wharton, Christopher/0000-0003-3622-3225</t>
  </si>
  <si>
    <t>1471-2458</t>
  </si>
  <si>
    <t>WOS:000499673200005</t>
  </si>
  <si>
    <t>Reliable Crowdsourcing for Multi-Class Labeling Using Coding Theory</t>
  </si>
  <si>
    <t>Vempaty, Aditya; Varshney, Lav R.; Varshney, Pramod K.</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</si>
  <si>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t>
  </si>
  <si>
    <t>Vempaty, Aditya/AAB-9188-2020</t>
  </si>
  <si>
    <t>Vempaty, Aditya/0000-0001-9917-2985</t>
  </si>
  <si>
    <t>WOS:000340528900014</t>
  </si>
  <si>
    <t>REMOTE WORK AND PLATFORM WORK: THE PROSPECTS FOR LEGAL REGULATION IN RUSSIA</t>
  </si>
  <si>
    <t>Lyutov, Nikita; Voitkovska, Ilona</t>
  </si>
  <si>
    <t>RUSSIAN LAW JOURNAL</t>
  </si>
  <si>
    <t>The restrictions imposed to limit the spread of the coronavirus have intensified public debate about the proper legal format for two kinds of labour-working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t>
  </si>
  <si>
    <t>Voitkovska, Ilona/AAR-4081-2021; Lyutov, Nikita/L-1684-2015</t>
  </si>
  <si>
    <t>Lyutov, Nikita/0000-0002-7498-9734</t>
  </si>
  <si>
    <t>2309-8678</t>
  </si>
  <si>
    <t>2312-3605</t>
  </si>
  <si>
    <t>WOS:000625392800004</t>
  </si>
  <si>
    <t>Walker, Abby; Campbell-Kibler, Kathryn</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</si>
  <si>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t>
  </si>
  <si>
    <t>MAY 12</t>
  </si>
  <si>
    <t>WOS:000355434200001</t>
  </si>
  <si>
    <t>Callard, Felicity</t>
  </si>
  <si>
    <t>REVIEW OF GENERAL PSYCHOLOGY</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</si>
  <si>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t>
  </si>
  <si>
    <t>Callard, Felicity/AEP-9676-2022</t>
  </si>
  <si>
    <t>Callard, Felicity/0000-0002-5350-1963</t>
  </si>
  <si>
    <t>1089-2680</t>
  </si>
  <si>
    <t>1939-1552</t>
  </si>
  <si>
    <t>WOS:000773571000001</t>
  </si>
  <si>
    <t>Bidgoli, Morvareed; Knijnenburg, Bart P.; Grossklags, Jens; Wardman, Brad</t>
  </si>
  <si>
    <t>2019 APWG SYMPOSIUM ON ELECTRONIC CRIME RESEARCH (ECRIME)</t>
  </si>
  <si>
    <t>APWG Symposium on Electronic Crime Research (eCrime)</t>
  </si>
  <si>
    <t>NOV 13-15, 2019</t>
  </si>
  <si>
    <t>APWG</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</si>
  <si>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t>
  </si>
  <si>
    <t>Knijnenburg, Bart/0000-0003-1341-0669</t>
  </si>
  <si>
    <t>2159-1237</t>
  </si>
  <si>
    <t>978-1-7281-6383-3</t>
  </si>
  <si>
    <t>WOS:000714943300011</t>
  </si>
  <si>
    <t>Peer, Eyal; Vosgerau, Joachim; Acquisti, Alessandro</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</si>
  <si>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t>
  </si>
  <si>
    <t>Acquisti, Alessandro/AAW-3231-2020</t>
  </si>
  <si>
    <t>Acquisti, Alessandro/0000-0001-6582-6178</t>
  </si>
  <si>
    <t>WOS:000347099100011</t>
  </si>
  <si>
    <t>Requirements Understanding: A Challenge in Global Software Development</t>
  </si>
  <si>
    <t>Bai, X; Belli, F; Bertino, E; Chang, CK; Elci, A; Seceleanu, C; Xie, H; Zulkernine, M</t>
  </si>
  <si>
    <t>Alnuem, Mohammed Abdullah; Ahmad, Arshad; Khan, Hashim</t>
  </si>
  <si>
    <t>2012 IEEE 36TH ANNUAL COMPUTER SOFTWARE AND APPLICATIONS CONFERENCE (COMPSAC)</t>
  </si>
  <si>
    <t>36th Annual IEEE International Computer Software and Applications Conference (COMPSAC)</t>
  </si>
  <si>
    <t>JUL 16-20, 2012</t>
  </si>
  <si>
    <t>Izmir Inst Technol (IZTECH), Izmir, TURKEY</t>
  </si>
  <si>
    <t>IEEE,IEEE Comp Soc,Iowa State Univ Sci &amp; Technol</t>
  </si>
  <si>
    <t>Izmir Inst Technol (IZTECH)</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</si>
  <si>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t>
  </si>
  <si>
    <t>Ahmad, Arshad/V-1863-2019</t>
  </si>
  <si>
    <t>Ahmad, Arshad/0000-0002-3576-8365</t>
  </si>
  <si>
    <t>978-0-7695-4736-7</t>
  </si>
  <si>
    <t>WOS:000312376000043</t>
  </si>
  <si>
    <t>Liu, LG; Chen, XS; Xiao, DJ; Yi, M</t>
  </si>
  <si>
    <t>Yoo, SJB; Chang, GK; Li, GC; Cheung, K</t>
  </si>
  <si>
    <t>Network Architectures, Management, and Applications II, Pts 1 and 2</t>
  </si>
  <si>
    <t>Conference on Network Architectures, Management and Applications II</t>
  </si>
  <si>
    <t>NOV 09-11, 2004</t>
  </si>
  <si>
    <t>SPIE,Chinese Opt Soc,China Inst Commun</t>
  </si>
  <si>
    <t>0-8194-5580-6</t>
  </si>
  <si>
    <t>WOS:000228326000161</t>
  </si>
  <si>
    <t>Marian-Potra, Alexandra-Camelia; Pop, Ana-Maria; Hognogi, Gheorghe-Gavrila; Nagy, Julia A.</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</si>
  <si>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t>
  </si>
  <si>
    <t>Pop, Ana-Maria/U-8931-2017; Marian-Potra, Alexandra/AAB-4595-2021; Hognogi, Gheorghe-Gavrila/U-8928-2017</t>
  </si>
  <si>
    <t>Hognogi, Gheorghe-Gavrila/0000-0001-6206-5895; Marian-Potra, Alexandra-Camelia/0000-0002-9191-681X; Nagy, Julia A./0000-0003-0122-7648; Pop, Ana-Maria/0000-0001-9958-1391</t>
  </si>
  <si>
    <t>WOS:000786291600001</t>
  </si>
  <si>
    <t>Coffelt, Tina A.; Ritland, Raeann; LeFebvre, Leah</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</si>
  <si>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t>
  </si>
  <si>
    <t>Coffelt, Tina/AAB-3586-2021</t>
  </si>
  <si>
    <t>Coffelt, Tina/0000-0002-1926-6453; LeFebvre, Leah/0000-0002-7307-2895</t>
  </si>
  <si>
    <t>WOS:000488106700001</t>
  </si>
  <si>
    <t>REVERSED SOLUTIONISM The Two-Sided Control of Crowdwork</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</si>
  <si>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t>
  </si>
  <si>
    <t>WOS:000500487700003</t>
  </si>
  <si>
    <t>Review and Analysis of Software Development Team Communication Research</t>
  </si>
  <si>
    <t>Defranco, Joanna F.; Laplante, Philip A.</t>
  </si>
  <si>
    <t>IEEE TRANSACTIONS ON PROFESSIONAL COMMUNICATION</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</si>
  <si>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t>
  </si>
  <si>
    <t>0361-1434</t>
  </si>
  <si>
    <t>1558-1500</t>
  </si>
  <si>
    <t>WOS:000405022400003</t>
  </si>
  <si>
    <t>Ertz, Myriam; Leblanc-Proulx, Sebastien</t>
  </si>
  <si>
    <t>JOURNAL OF MARKETING ANALYTICS</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</si>
  <si>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t>
  </si>
  <si>
    <t>Ertz, Myriam/AAY-3676-2020</t>
  </si>
  <si>
    <t>Ertz, Myriam/0000-0001-9959-2779; Leblanc-Proulx, Sebastien/0000-0002-5270-7396</t>
  </si>
  <si>
    <t>2050-3318</t>
  </si>
  <si>
    <t>2050-3326</t>
  </si>
  <si>
    <t>WOS:000538567600005</t>
  </si>
  <si>
    <t>Review of Global Software Development (GSD) Trends in Malaysia and Future Directions</t>
  </si>
  <si>
    <t>Khan, Asif Riaz; Akbar, Rehan; Ten, Doris Wong Hooi; Rehman, Mobashar; Adnan, Kiran</t>
  </si>
  <si>
    <t>2017 IEEE SYMPOSIUM ON COMPUTER APPLICATIONS &amp; INDUSTRIAL ELECTRONICS (ISCAIE)</t>
  </si>
  <si>
    <t>IEEE Symposium on Computer Applications and Industrial Electronics (ISCAIE)</t>
  </si>
  <si>
    <t>APR 24-25, 2017</t>
  </si>
  <si>
    <t>MALAYSIA</t>
  </si>
  <si>
    <t>IEEE,IEEE Malaysia Ind Elect &amp; Ind Applica Joint Chapter</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</si>
  <si>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t>
  </si>
  <si>
    <t>Rehman, Mobashar/AAV-3729-2020; WONG, DORIS HOOI-TEN/ABA-9788-2020</t>
  </si>
  <si>
    <t>Rehman, Mobashar/0000-0003-1182-2504; WONG, DORIS HOOI-TEN/0000-0003-0009-8565</t>
  </si>
  <si>
    <t>978-1-5090-4752-9</t>
  </si>
  <si>
    <t>WOS:000425853800002</t>
  </si>
  <si>
    <t>Rise in Use of Digital Mental Health Tools and Technologies in the United States During the COVID-19 Pandemic: Survey Study</t>
  </si>
  <si>
    <t>Sorkin, Dara H.; Janio, Emily A.; Eikey, Elizabeth, V; Schneider, Margaret; Davis, Katelyn; Schueller, Stephen M.; Stadnick, Nicole A.; Zheng, Kai; Neary, Martha; Safani, David; Mukamel, Dana B.</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</si>
  <si>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t>
  </si>
  <si>
    <t>Stadnick, Nicole Ashley/AAU-2791-2021</t>
  </si>
  <si>
    <t>Stadnick, Nicole Ashley/0000-0001-6520-2920; Janio, Emily/0000-0002-2221-0805; Eikey, Elizabeth/0000-0002-3099-8081; Schneider, Margaret/0000-0002-8314-0732; Schueller, Stephen/0000-0002-1003-0399; Neary, Martha/0000-0002-1253-3459</t>
  </si>
  <si>
    <t>APR 16</t>
  </si>
  <si>
    <t>e26994</t>
  </si>
  <si>
    <t>WOS:000642262600006</t>
  </si>
  <si>
    <t>Risk Analysis of Global Software Development and Proposed Solutions</t>
  </si>
  <si>
    <t>Yu, Liguo; Mishra, Alok</t>
  </si>
  <si>
    <t>AUTOMATIKA</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</si>
  <si>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</si>
  <si>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Mishra, Alok/AAE-2673-2019</t>
  </si>
  <si>
    <t>Mishra, Alok/0000-0003-1275-2050</t>
  </si>
  <si>
    <t>0005-1144</t>
  </si>
  <si>
    <t>1848-3380</t>
  </si>
  <si>
    <t>WOS:000278342000009</t>
  </si>
  <si>
    <t>Mishra, Sandeep; Beshai, Shadi; Wuth, Amanda; Refaie, Nabhan</t>
  </si>
  <si>
    <t>INTERNATIONAL GAMBLING STUDIES</t>
  </si>
  <si>
    <t>Psychological resilience - successful adaptation when faced with adversity - 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 - both modifiable protective factors - 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t>
  </si>
  <si>
    <t>Wuth, Amanda/AAF-3208-2019; Beshai, Shadi/C-7287-2016</t>
  </si>
  <si>
    <t>Wuth, Amanda/0000-0002-0229-5477; Mishra, Sandeep/0000-0002-8390-1853; Beshai, Shadi/0000-0001-7119-0129</t>
  </si>
  <si>
    <t>1445-9795</t>
  </si>
  <si>
    <t>1479-4276</t>
  </si>
  <si>
    <t>WOS:000470849500004</t>
  </si>
  <si>
    <t>Risk Management in Global Software Development Process Planning</t>
  </si>
  <si>
    <t>Biffl, S; Koivuluoma, M; Abrahamsson, P; Oivo, M</t>
  </si>
  <si>
    <t>Betz, Stefanie; Hickl, Susan; Oberweis, Andreas</t>
  </si>
  <si>
    <t>2011 37TH EUROMICRO CONFERENCE ON SOFTWARE ENGINEERING AND ADVANCED APPLICATIONS (SEAA 2011)</t>
  </si>
  <si>
    <t>Joint Conference of 14th EUROMICRO Digital Systems Design Conference (DSD) / 37th EUROMICRO Conference on Software Engineering and Advanced Applications (SEAA)</t>
  </si>
  <si>
    <t>AUG 30-SEP 02, 2011</t>
  </si>
  <si>
    <t>Univ Oulu, Oulu, FINLAND</t>
  </si>
  <si>
    <t>EUROMICRO,IEEE Comp Soc</t>
  </si>
  <si>
    <t>Univ Oulu</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</si>
  <si>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t>
  </si>
  <si>
    <t>1089-6503</t>
  </si>
  <si>
    <t>978-0-7695-4488-5</t>
  </si>
  <si>
    <t>WOS:000410220100048</t>
  </si>
  <si>
    <t>Role of Fuzzy Approach towards Fault Detection for Distributed Components</t>
  </si>
  <si>
    <t>Hafeez, Yaser; Ali, Sadia; Jhanjhi, Nz; Humayun, Mamoona; Nayyar, Anand; Masud, Mehedi</t>
  </si>
  <si>
    <t>CMC-COMPUTERS MATERIALS &amp; CONTINUA</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</si>
  <si>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 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t>
  </si>
  <si>
    <t>Masud, Mehedi/AAZ-7022-2020; Zaman, Noor/F-3051-2011; Nayyar, Anand/F-3732-2015; humayun, Mamoona/AGB-4494-2022; Humayun, Mamoona/J-5644-2019</t>
  </si>
  <si>
    <t xml:space="preserve">Masud, Mehedi/0000-0001-6019-7245; Zaman, Noor/0000-0001-8116-4733; Nayyar, Anand/0000-0002-9821-6146; humayun, Mamoona/0000-0001-6339-2257; </t>
  </si>
  <si>
    <t>1546-2218</t>
  </si>
  <si>
    <t>1546-2226</t>
  </si>
  <si>
    <t>WOS:000616713000004</t>
  </si>
  <si>
    <t>Hafeez, Yaser; Asghar, Sohail; Arif, Bisma; Ali, Sadia</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</si>
  <si>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t>
  </si>
  <si>
    <t>WOS:000586377600006</t>
  </si>
  <si>
    <t>Orazi, Davide C.; Johnston, Allen C.</t>
  </si>
  <si>
    <t>JOURNAL OF BUSINESS RESEARCH</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</si>
  <si>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t>
  </si>
  <si>
    <t>0148-2963</t>
  </si>
  <si>
    <t>1873-7978</t>
  </si>
  <si>
    <t>WOS:000566752500016</t>
  </si>
  <si>
    <t>Leon, Steven; Choi, Hoon</t>
  </si>
  <si>
    <t>JOURNAL OF CONSUMER MARKETING</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</si>
  <si>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t>
  </si>
  <si>
    <t>0736-3761</t>
  </si>
  <si>
    <t>2052-1200</t>
  </si>
  <si>
    <t>WOS:000572104600001</t>
  </si>
  <si>
    <t>Khare, Ritu; Burger, John D.; Aberdeen, John S.; Tresner-Kirsch, David W.; Corrales, Theodore J.; Hirchman, Lynette; Lu, Zhiyong</t>
  </si>
  <si>
    <t>DATABASE-THE JOURNAL OF BIOLOGICAL DATABASES AND CURATION</t>
  </si>
  <si>
    <t>Lu, Zhiyong/H-3622-2016</t>
  </si>
  <si>
    <t>Lu, Zhiyong/0000-0001-9998-916X; Aberdeen, John/0000-0002-0112-1037</t>
  </si>
  <si>
    <t>1758-0463</t>
  </si>
  <si>
    <t>MAR 22</t>
  </si>
  <si>
    <t>bav016</t>
  </si>
  <si>
    <t>WOS:000361046300001</t>
  </si>
  <si>
    <t>Scenario-Based Assessment of Process Pattern Languages</t>
  </si>
  <si>
    <t>Bomarius, F; Oivo, M; Jaring, P; Abrahamsson, P</t>
  </si>
  <si>
    <t>Valimaki, Antti; Vesiluoma, Sari; Koskimies, Kai</t>
  </si>
  <si>
    <t>PRODUCT-FOCUSED SOFTWARE PROCESS IMPROVEMENT, PROCEEDINGS</t>
  </si>
  <si>
    <t>10th International Conference on Product-Focused Software Process Improvement</t>
  </si>
  <si>
    <t>JUN 15-17, 2009</t>
  </si>
  <si>
    <t>Oulu, FINLAND</t>
  </si>
  <si>
    <t>VTT Tech Res Ctr,Univ Oulu,Fraunhofer IESE,Kaiserslautern,Univ Helsinki,City Oulu</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</si>
  <si>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t>
  </si>
  <si>
    <t>978-3-642-02151-0</t>
  </si>
  <si>
    <t>WOS:000267795400019</t>
  </si>
  <si>
    <t>Svenfelt, Asa; Alfredsson, Eva C.; Bradley, Karin; Faure, Eleonore; Finnveden, Goran; Fuehrer, Paul; Gunnarsson-Ostling, Ulrika; Isaksson, Karolina; Malmaeus, Mikael; Malmqvist, Tove; Skanberg, Kristian; Stigson, Peter; Aretun, Asa; Buhr, Katarina; Hagbert, Pernilla; Ohlund, Erika</t>
  </si>
  <si>
    <t>FUTURES</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</si>
  <si>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t>
  </si>
  <si>
    <t>Hagbert, Pernilla/AAQ-5561-2021</t>
  </si>
  <si>
    <t>Malmaeus, Mikael/0000-0002-6465-2257; Isaksson, Karolina/0000-0002-3613-7039; Hagbert, Pernilla/0000-0001-8208-820X; Svenfelt, Asa/0000-0002-0218-9746; Alfredsson, Eva/0000-0003-1853-867X; /0000-0002-6882-2735; /0000-0003-3101-5902; Stigson, Peter/0000-0002-3831-0886</t>
  </si>
  <si>
    <t>0016-3287</t>
  </si>
  <si>
    <t>1873-6378</t>
  </si>
  <si>
    <t>WOS:000478703800001</t>
  </si>
  <si>
    <t>Science, healthcare system, and government effectiveness perception and COVID-19 vaccination acceptance and hesitancy in a global sample: an analytical cross-sectional analysis</t>
  </si>
  <si>
    <t>Dye, Timothy D.; Barbosu, Monica; Siddiqi, Shazia; Perez Ramos, Jose G.; Murphy, Hannah; Alcantara, Lisette; Pressman, Eva</t>
  </si>
  <si>
    <t>BMJ OPEN</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</si>
  <si>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X-2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t>
  </si>
  <si>
    <t>Perez-Ramos, Jose G./0000-0002-6654-6984</t>
  </si>
  <si>
    <t>2044-6055</t>
  </si>
  <si>
    <t>e049716</t>
  </si>
  <si>
    <t>WOS:000722311500019</t>
  </si>
  <si>
    <t>10.17533/udea.redin.20190519</t>
  </si>
  <si>
    <t>Jesus Pardo-Calvache, Cesar; Rocio Chilito-Gomez, Piedad; Esteban Viveros-Meneses, Daniel; Pino, Francisco J.</t>
  </si>
  <si>
    <t>REVISTA FACULTAD DE INGENIERIA-UNIVERSIDAD DE ANTIOQUIA</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</si>
  <si>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(AGSDI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t>
  </si>
  <si>
    <t>CALVACHE, CESAR JESUS PARDO/M-5644-2019; Pino Correa, Francisco José/GNP-2495-2022</t>
  </si>
  <si>
    <t>CALVACHE, CESAR JESUS PARDO/0000-0002-6907-2905; Pino Correa, Francisco José/0000-0003-0668-4485</t>
  </si>
  <si>
    <t>0120-6230</t>
  </si>
  <si>
    <t>2422-2844</t>
  </si>
  <si>
    <t>WOS:000483304400010</t>
  </si>
  <si>
    <t>Self-attention StarGAN for Multi-domain Image-to-Image Translation</t>
  </si>
  <si>
    <t>Tetko, IV; Kurkova, V; Karpov, P; Theis, F</t>
  </si>
  <si>
    <t>He, Ziliang; Yang, Zhenguo; Mao, Xudong; Lv, Jianming; Li, Qing; Liu, Wenyin</t>
  </si>
  <si>
    <t>ARTIFICIAL NEURAL NETWORKS AND MACHINE LEARNING - ICANN 2019: IMAGE PROCESSING, PT III</t>
  </si>
  <si>
    <t>28th International Conference on Artificial Neural Networks (ICANN)</t>
  </si>
  <si>
    <t>SEP 17-19, 2019</t>
  </si>
  <si>
    <t>Tech Univ Munchen, Klinikum Rechts Isar, Munich, GERMANY</t>
  </si>
  <si>
    <t>Tech Univ Munchen, Klinikum Rechts Isar</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</si>
  <si>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t>
  </si>
  <si>
    <t>978-3-030-30508-6; 978-3-030-30507-9</t>
  </si>
  <si>
    <t>WOS:000546011500043</t>
  </si>
  <si>
    <t>Mosleh, Mohsen; Pennycook, Gordon; Rand, David G.</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</si>
  <si>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t>
  </si>
  <si>
    <t>Mosleh, Mohsen/J-1218-2018</t>
  </si>
  <si>
    <t>Mosleh, Mohsen/0000-0001-7313-5035</t>
  </si>
  <si>
    <t>e0228882</t>
  </si>
  <si>
    <t>WOS:000534629400050</t>
  </si>
  <si>
    <t>Acikgoz, Atif; Latham, Gary P.</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</si>
  <si>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t>
  </si>
  <si>
    <t>WOS:000780197800016</t>
  </si>
  <si>
    <t>Semantic Labeling of Nonspeech Audio Clips</t>
  </si>
  <si>
    <t>Ma, Xiaojuan; Fellbaum, Christiane; Cook, Perry</t>
  </si>
  <si>
    <t>EURASIP JOURNAL ON AUDIO SPEECH AND MUSIC PROCESSING</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</si>
  <si>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t>
  </si>
  <si>
    <t>Ma, Xiaojuan/0000-0002-9847-7784</t>
  </si>
  <si>
    <t>1687-4722</t>
  </si>
  <si>
    <t>WOS:000285155200001</t>
  </si>
  <si>
    <t>Semantic Matching Evaluation of User Responses to Electronics Questions in AutoTutor</t>
  </si>
  <si>
    <t>Carmon, Colin M.; Hampton, Andrew J.; Morgan, Brent; Cai, Zhiqiang; Wang, Lijia; Graesser, Arthur C.</t>
  </si>
  <si>
    <t>L@S '19: PROCEEDINGS OF THE SIXTH (2019) ACM CONFERENCE ON LEARNING @ SCALE</t>
  </si>
  <si>
    <t>6th ACM Conference on Learning @ Scale (L@S)</t>
  </si>
  <si>
    <t>JUN 24-25, 2019</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</si>
  <si>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t>
  </si>
  <si>
    <t>978-1-4503-6804-9</t>
  </si>
  <si>
    <t>WOS:000507611000036</t>
  </si>
  <si>
    <t>Kazinka, Rebecca; MacDonald, Angus W., III; Redish, A. David</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</si>
  <si>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t>
  </si>
  <si>
    <t>MacDonald, Angus/M-9855-2016</t>
  </si>
  <si>
    <t>MacDonald, Angus/0000-0003-4588-931X</t>
  </si>
  <si>
    <t>WOS:000626018800001</t>
  </si>
  <si>
    <t>Sentence Detection Using Multiple Annotations</t>
  </si>
  <si>
    <t>International Speech Communications Association</t>
  </si>
  <si>
    <t>Lee, Ann; Glass, James</t>
  </si>
  <si>
    <t>13TH ANNUAL CONFERENCE OF THE INTERNATIONAL SPEECH COMMUNICATION ASSOCIATION 2012 (INTERSPEECH 2012), VOLS 1-3</t>
  </si>
  <si>
    <t>13th Annual Conference of the International-Speech-Communication-Association</t>
  </si>
  <si>
    <t>SEP 09-13, 2012</t>
  </si>
  <si>
    <t>978-1-62276-759-5</t>
  </si>
  <si>
    <t>WOS:000320827201012</t>
  </si>
  <si>
    <t>Setting weights for fifteen CHNRI criteria at the global and regional level using public stakeholders: an Amazon Mechanical Turk study</t>
  </si>
  <si>
    <t>Wazny, Kerri; Ravenscroft, John; Chan, Kit Yee; Bassani, Diego G.; Anderson, Niall; Rudan, Igor</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</si>
  <si>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lurk (AMT), an online crowdsourcing platform, we collected demographic information and conducted a Likert-scale format survey about the importance of the CHNRI criteria from 1051 stakeholders. The Kruskal-Wallis test, with Dut tn's test for posthoc comparisons, was used to examine regional differences and Wilcoxon rank-sum test was used to analyse differences between stakeholders with health training/background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t>
  </si>
  <si>
    <t>Chan, Kit Yee/0000-0002-3465-8383</t>
  </si>
  <si>
    <t>WOS:000476640500071</t>
  </si>
  <si>
    <t>Sexist Ideology and Endorsement of Men's Control Over Women's Decisions in Reproductive Health</t>
  </si>
  <si>
    <t>Petterson, Aino; Sutton, Robbie M.</t>
  </si>
  <si>
    <t>PSYCHOLOGY OF WOMEN QUARTERLY</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</si>
  <si>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t>
  </si>
  <si>
    <t>Sutton, Robbie/B-4943-2008</t>
  </si>
  <si>
    <t>0361-6843</t>
  </si>
  <si>
    <t>1471-6402</t>
  </si>
  <si>
    <t>WOS:000433000100008</t>
  </si>
  <si>
    <t>Busby, Dean M.; Chiu, Hsin-Yao; Leonhardt, Nathan D.; Iliff, Emilie</t>
  </si>
  <si>
    <t>FAMILY PROCESS</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</si>
  <si>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t>
  </si>
  <si>
    <t>Chiu, Hsin-Yao/AAQ-6996-2021; Leonhardt, Nathan/AAC-9449-2020</t>
  </si>
  <si>
    <t>Leonhardt, Nathan/0000-0002-9253-117X</t>
  </si>
  <si>
    <t>0014-7370</t>
  </si>
  <si>
    <t>1545-5300</t>
  </si>
  <si>
    <t>WOS:000485281200014</t>
  </si>
  <si>
    <t>Sharers and sellers: A multi-group examination of gig economy workers' perceptions</t>
  </si>
  <si>
    <t>Gleim, Mark R.; Johnson, Catherine M.; Lawson, Stephanie J.</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</si>
  <si>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t>
  </si>
  <si>
    <t>WOS:000464482600011</t>
  </si>
  <si>
    <t>Cockayne, Daniel G.</t>
  </si>
  <si>
    <t>GEOFORUM</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</si>
  <si>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Crown Copyright (C) 2016 Published by Elsevier Ltd. All rights reserved.</t>
  </si>
  <si>
    <t>0016-7185</t>
  </si>
  <si>
    <t>1872-9398</t>
  </si>
  <si>
    <t>WOS:000390500700009</t>
  </si>
  <si>
    <t>INTERNATIONAL JOURNAL OF HOSPITALITY MANAGEMENT</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</si>
  <si>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t>
  </si>
  <si>
    <t>0278-4319</t>
  </si>
  <si>
    <t>1873-4693</t>
  </si>
  <si>
    <t>WOS:000531107100026</t>
  </si>
  <si>
    <t>Mallinson, Daniel J.; Morcol, Goktug; Yoo, Eunsil; Azim, Shahinshah Faisal; Levine, Eli; Shafi, Saahir</t>
  </si>
  <si>
    <t>INFORMATION POLITY</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</si>
  <si>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t>
  </si>
  <si>
    <t>Shafi, Saahir/0000-0002-8779-3773</t>
  </si>
  <si>
    <t>1570-1255</t>
  </si>
  <si>
    <t>1875-8754</t>
  </si>
  <si>
    <t>WOS:000541061800003</t>
  </si>
  <si>
    <t>Valente, Eduardo; Patrus, Roberto; Guimardes, Rosana Cordova</t>
  </si>
  <si>
    <t>REGE-REVISTA DE GESTAO</t>
  </si>
  <si>
    <t>Purpose - The purpose of this paper is to analyze why people have become suppliers in the sharing economy (SE) as Uber drivers in a developing country. Design/methodology/approach -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t>
  </si>
  <si>
    <t>1809-2276</t>
  </si>
  <si>
    <t>2177-8736</t>
  </si>
  <si>
    <t>WOS:000479012600004</t>
  </si>
  <si>
    <t>Sharing Policies in Multiuser Privacy Scenarios: Incorporating Context, Preferences, and Arguments in Decision Making</t>
  </si>
  <si>
    <t>Fogues, Ricard L.; Murukannaiah, Pradeep K.; Such, Jose M.; Singh, Munindar P.</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</si>
  <si>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 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t>
  </si>
  <si>
    <t>Such, Jose/AAH-5257-2020; Singh, Munindar P/L-8500-2013</t>
  </si>
  <si>
    <t>Such, Jose/0000-0002-6041-178X; Singh, Munindar P/0000-0003-3599-3893; Murukannaiah, Pradeep/0000-0002-1261-6908</t>
  </si>
  <si>
    <t>WOS:000398919900005</t>
  </si>
  <si>
    <t>Signaling When No One Is Watching: A Reputation Heuristics Account of Outrage and Punishment In One-Shot Anonymous Interactions</t>
  </si>
  <si>
    <t>Jordan, Jillian J.; Rand, David G.</t>
  </si>
  <si>
    <t>JOURNAL OF PERSONALITY AND SOCIAL PSYCHOLOGY</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</si>
  <si>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t>
  </si>
  <si>
    <t>0022-3514</t>
  </si>
  <si>
    <t>1939-1315</t>
  </si>
  <si>
    <t>WOS:000504010100003</t>
  </si>
  <si>
    <t>Hopp, Christian; Minten, Axel; Toporova, Nevena</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</si>
  <si>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t>
  </si>
  <si>
    <t>MAR 8</t>
  </si>
  <si>
    <t>WOS:000367746000003</t>
  </si>
  <si>
    <t>Similarities and Differences in Tobacco Control Research Findings From Convenience and Probability Samples</t>
  </si>
  <si>
    <t>Jeong, Michelle; Zhang, Dongyu; Morgan, Jennifer C.; Ross, Jennifer Cornacchione; Osman, Amira; Boynton, Marcella H.; Mendel, Jennifer R.; Brewer, Noel T.</t>
  </si>
  <si>
    <t>ANNALS OF BEHAVIORAL MEDICINE</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</si>
  <si>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similar to U.S.$620,000) and an online convenience sample of 4,137 U.S. adults recruited through Amazon Mechanical Turk (MTurk) in December 2014 (cost similar to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When conducting tobacco control research, online convenience samples may provide comparable experimental and correlational findings as national probability samples, although prevalence estimates may be biased.</t>
  </si>
  <si>
    <t>Zhang, Dongyu/M-7310-2019; Brewer, Noel T/C-4375-2008</t>
  </si>
  <si>
    <t>Brewer, Noel T/0000-0003-2241-7002; Jeong, Michelle/0000-0001-5767-7766; Zhang, Dongyu/0000-0002-7845-4630</t>
  </si>
  <si>
    <t>0883-6612</t>
  </si>
  <si>
    <t>1532-4796</t>
  </si>
  <si>
    <t>WOS:000480802400007</t>
  </si>
  <si>
    <t>Celik, Nurcin; Xi, Hui; Xu, Dong; Son, Young-Jun; Lemaire, Robin; Provan, Keith</t>
  </si>
  <si>
    <t>SIMULATION-TRANSACTIONS OF THE SOCIETY FOR MODELING AND SIMULATION INTERNATIONAL</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</si>
  <si>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t>
  </si>
  <si>
    <t>Celik, Nurcin/0000-0002-5479-7911</t>
  </si>
  <si>
    <t>0037-5497</t>
  </si>
  <si>
    <t>1741-3133</t>
  </si>
  <si>
    <t>WOS:000298745300007</t>
  </si>
  <si>
    <t>Lyons, Paul; Bandura, Randall Paul</t>
  </si>
  <si>
    <t>JOURNAL OF WORKPLACE LEARNING</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</si>
  <si>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t>
  </si>
  <si>
    <t>1366-5626</t>
  </si>
  <si>
    <t>1758-7859</t>
  </si>
  <si>
    <t>WOS:000556936900001</t>
  </si>
  <si>
    <t>Halkjelsvik, Torleif</t>
  </si>
  <si>
    <t>NORDIC STUDIES ON ALCOHOL AND DRUGS</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</si>
  <si>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t>
  </si>
  <si>
    <t>1455-0725</t>
  </si>
  <si>
    <t>1458-6126</t>
  </si>
  <si>
    <t>WOS:000635310400001</t>
  </si>
  <si>
    <t>Social Energy as the Driving Force behind Crowdfunding-Analysis and Classification of Selected Attributes</t>
  </si>
  <si>
    <t>Szewczyk, Agnieszka; Stempnakowski, Zbigniew</t>
  </si>
  <si>
    <t>ENERGIES</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</si>
  <si>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t>
  </si>
  <si>
    <t>Szewczyk, Agnieszka/0000-0002-3050-4192; Stempnakowski, Zbigniew/0000-0002-6606-9962</t>
  </si>
  <si>
    <t>1996-1073</t>
  </si>
  <si>
    <t>WOS:000707739700001</t>
  </si>
  <si>
    <t>Xiao, Yazhen; Zhang, Haisu; Cervone, Daniel</t>
  </si>
  <si>
    <t>JOURNAL OF PRODUCT INNOVATION MANAGEMENT</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</si>
  <si>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t>
  </si>
  <si>
    <t>Zhang, Haisu/ABI-3591-2020</t>
  </si>
  <si>
    <t>Zhang, Haisu/0000-0001-8138-754X</t>
  </si>
  <si>
    <t>0737-6782</t>
  </si>
  <si>
    <t>1540-5885</t>
  </si>
  <si>
    <t>WOS:000430671400006</t>
  </si>
  <si>
    <t>Do, Chanwook; Brison, Natasha T.; Park, Juho; Lee, Hyun-Woo</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</si>
  <si>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t>
  </si>
  <si>
    <t>WOS:000805980700001</t>
  </si>
  <si>
    <t>David Garcia, German; Pardo Calvache, Cesar Jesus; Alvarez Rodriguez, Francisco Javier</t>
  </si>
  <si>
    <t>IEEE REVISTA IBEROAMERICANA DE TECNOLOGIAS DEL APRENDIZAJE-IEEE RITA</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</si>
  <si>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t>
  </si>
  <si>
    <t>1932-8540</t>
  </si>
  <si>
    <t>WOS:000790812000013</t>
  </si>
  <si>
    <t>Socio-economic Risks of Atypical Employment Relationships: Evidence from the German Labour Market</t>
  </si>
  <si>
    <t>Giesecke, Johannes</t>
  </si>
  <si>
    <t>EUROPEAN SOCIOLOGICAL REVIEW</t>
  </si>
  <si>
    <t>ESPAnet 4th International Conference on Welfare State Change - Policy Feedback</t>
  </si>
  <si>
    <t>JAN 31-FEB 01, 2008</t>
  </si>
  <si>
    <t>Aalborg, DENMARK</t>
  </si>
  <si>
    <t>Danish Social Sci Res Council</t>
  </si>
  <si>
    <t>0266-7215</t>
  </si>
  <si>
    <t>1468-2672</t>
  </si>
  <si>
    <t>WOS:000272079900002</t>
  </si>
  <si>
    <t>Sievi-Korte, Outi; Richardson, Ita; Beecham, Sarah</t>
  </si>
  <si>
    <t>JOURNAL OF SYSTEMS AND SOFTWARE</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</si>
  <si>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All rights reserved.</t>
  </si>
  <si>
    <t>Sievi-Korte, Outi/0000-0002-4956-8989</t>
  </si>
  <si>
    <t>0164-1212</t>
  </si>
  <si>
    <t>1873-1228</t>
  </si>
  <si>
    <t>WOS:000495476500009</t>
  </si>
  <si>
    <t>Software Architecture Evaluation in Global Software Development Projects</t>
  </si>
  <si>
    <t>Meersman, R; Herrero, P; Dillon, T</t>
  </si>
  <si>
    <t>Salger, Frank</t>
  </si>
  <si>
    <t>ON THE MOVE TO MEANINGFUL INTERNET SYSTEMS: OTM 2009 WORKSHOPS</t>
  </si>
  <si>
    <t>On the Move Confederated International Conference and Workshops</t>
  </si>
  <si>
    <t>NOV 01-06, 2009</t>
  </si>
  <si>
    <t>Vilamoura, PORTUGAL</t>
  </si>
  <si>
    <t>Algardata SA,Collibra,Lecture Notes Comp Sci,Univ Algarve</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</si>
  <si>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t>
  </si>
  <si>
    <t>978-3-642-05289-7</t>
  </si>
  <si>
    <t>WOS:000279915700044</t>
  </si>
  <si>
    <t>Software Cost Estimation Based on Use Case Points for Global Software Development</t>
  </si>
  <si>
    <t>Appl Sci Univ</t>
  </si>
  <si>
    <t>Azzeh, Mohammad</t>
  </si>
  <si>
    <t>2013 5TH INTERNATIONAL CONFERENCE ON COMPUTER SCIENCE AND INFORMATION TECHNOLOGY (CSIT)</t>
  </si>
  <si>
    <t>5th International Conference on Computer Science and Information Technology (CSIT)</t>
  </si>
  <si>
    <t>MAR 27-28, 2013</t>
  </si>
  <si>
    <t>Appl Sci Private Univ, Amman, JORDAN</t>
  </si>
  <si>
    <t>Appl Sci Private Univ, Fac Informat Technol</t>
  </si>
  <si>
    <t>Appl Sci Private Univ</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</si>
  <si>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t>
  </si>
  <si>
    <t>Azzeh, Mohammad/G-5472-2017</t>
  </si>
  <si>
    <t>Azzeh, Mohammad/0000-0002-0323-6452</t>
  </si>
  <si>
    <t>2381-3458</t>
  </si>
  <si>
    <t>978-1-4673-5825-5</t>
  </si>
  <si>
    <t>WOS:000332960400034</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</si>
  <si>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t>
  </si>
  <si>
    <t>e1875</t>
  </si>
  <si>
    <t>WOS:000407214100004</t>
  </si>
  <si>
    <t>Gervasi, O; Misra, S; Garau, C; Blecic, I; Taniar, D; Apduhan, BO; Rocha, AMAC; Tarantino, E; Torre, CM; Karaca, Y</t>
  </si>
  <si>
    <t>Dalal, Surjeet; Agrawal, Akshat; Dahiya, Neeraj; Verma, Jatin</t>
  </si>
  <si>
    <t>COMPUTATIONAL SCIENCE AND ITS APPLICATIONS, ICCSA 2020, PART IV</t>
  </si>
  <si>
    <t>20th International Conference on Computational Science and Its Applications (ICCSA)</t>
  </si>
  <si>
    <t>JUL 01-04, 2020</t>
  </si>
  <si>
    <t>Univ Cagliari,Univ Perugia,Univ Basilicata,Monash Univ,Kyushu Sangyo Univ,Univ Minho,Springer Int Publishing AG,Comp Open Access Journal,IEEE Italy Sect,IEEE GRSS, Ctr N Italy Chapter,IEEE Comp Soc, Italy Sect,Sci Assoc Transport Infrastructures,Regione Sardegna</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</si>
  <si>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t>
  </si>
  <si>
    <t>Agrawal, Akshat/GMX-3706-2022</t>
  </si>
  <si>
    <t>Dalal, Prof. Surjeet/0000-0002-4325-9237</t>
  </si>
  <si>
    <t>978-3-030-58811-3; 978-3-030-58810-6</t>
  </si>
  <si>
    <t>WOS:000722380600070</t>
  </si>
  <si>
    <t>Software Product Quality in Global Software Development: Finding Groups with Aligned Goals</t>
  </si>
  <si>
    <t>Chatzipetrou, Panagiota; Angelis, Lefteris; Barney, Sebastian; Wohlin, Claes</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</si>
  <si>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onshoring, outsourcing and offshoring,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t>
  </si>
  <si>
    <t>Wohlin, Claes/0000-0003-0460-5253</t>
  </si>
  <si>
    <t>WOS:000410220100060</t>
  </si>
  <si>
    <t>Software Project Management Approaches for Global Software Development: A Systematic Mapping Study</t>
  </si>
  <si>
    <t>El Bajta, Manal; Idri, Ali; Nicolas Ros, Joaquin; Luis Fernandez-Aleman, Jose; Manuel Carrillo de Gea, Juan; Garcia, Felix; Toval, Ambrosio</t>
  </si>
  <si>
    <t>TSINGHUA SCIENCE AND TECHNOLOGY</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</si>
  <si>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t>
  </si>
  <si>
    <t>de Gea, Juan Manuel Carrillo/P-1224-2014; Bajta, Manal El/AAH-7754-2019; Fernández-Alemán, José Luis/G-1282-2011; Toval, Ambrosio/P-1180-2014; García, Félix O./D-4299-2011</t>
  </si>
  <si>
    <t>de Gea, Juan Manuel Carrillo/0000-0002-3320-622X; Fernández-Alemán, José Luis/0000-0002-0176-450X; Toval, Ambrosio/0000-0002-8273-5937; García, Félix O./0000-0001-6460-0353; EL BAJTA, Manal/0000-0002-7981-815X</t>
  </si>
  <si>
    <t>1007-0214</t>
  </si>
  <si>
    <t>1878-7606</t>
  </si>
  <si>
    <t>WOS:000452622900006</t>
  </si>
  <si>
    <t>Barney, Sebastian; Mohankumar, Varun; Chatzipetrou, Panagiota; Aurum, Aybuke; Wohlin, Claes; Angelis, Lefteris</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</si>
  <si>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(C) 2013 Published by Elsevier B.V. All rights reserved.</t>
  </si>
  <si>
    <t>Wohlin, Claes/0000-0003-0460-5253; Chatzipetrou, Panagiota/0000-0002-0311-1502</t>
  </si>
  <si>
    <t>WOS:000329151900003</t>
  </si>
  <si>
    <t>Ali, Kaaenat; Khan, Junaid Ali; Aizaz, Farwah; Ahmed, Mansoor</t>
  </si>
  <si>
    <t>2021 INTERNATIONAL CONFERENCE ON FRONTIERS OF INFORMATION TECHNOLOGY (FIT 2021)</t>
  </si>
  <si>
    <t>18th International Conference on Frontiers of Information Technology (FIT)</t>
  </si>
  <si>
    <t>DEC 13-14, 2021</t>
  </si>
  <si>
    <t>Islamabad, PAKISTAN</t>
  </si>
  <si>
    <t>IEEE Comp Soc,IEEE Islamabad Sect,COMSATS Univ Islamabad,IEEE,Natl Testing Serv,Minist Sci &amp; Technol,Higher Educ Commiss Pakistan</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</si>
  <si>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t>
  </si>
  <si>
    <t>2334-3141</t>
  </si>
  <si>
    <t>978-1-6654-0830-1</t>
  </si>
  <si>
    <t>WOS:000792442100003</t>
  </si>
  <si>
    <t>Solution selection in digital construction design - a lazy user theory perspective</t>
  </si>
  <si>
    <t>Hajdu, M; Skibniewski, MJ</t>
  </si>
  <si>
    <t>Merschbrock, Christoph; Tollnes, Tor; Nordahl-Rolfsen, Christian</t>
  </si>
  <si>
    <t>CREATIVE CONSTRUCTION CONFERENCE 2015, SELECTED PAPERS</t>
  </si>
  <si>
    <t>Creative Construction Conference 2015, Selected Papers</t>
  </si>
  <si>
    <t>JUN 21-24, 2015</t>
  </si>
  <si>
    <t>Krakow, POLAND</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</si>
  <si>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(C) 2015 The Authors. Published by Elsevier Ltd.</t>
  </si>
  <si>
    <t>Merschbrock, Christoph/AAL-3714-2020</t>
  </si>
  <si>
    <t>Merschbrock, Christoph/0000-0002-5373-4951</t>
  </si>
  <si>
    <t>1877-7058</t>
  </si>
  <si>
    <t>WOS:000380488800038</t>
  </si>
  <si>
    <t>Speaking on Data's Behalf: What Researchers Say and How Audiences Choose</t>
  </si>
  <si>
    <t>Chandler, Jesse J.; Martinez, Ignacio; Finucane, Mariel M.; Terziev, Jeffrey G.; Resch, Alexandra M.</t>
  </si>
  <si>
    <t>EVALUATION REVIEW</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</si>
  <si>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 .001 and .65,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t>
  </si>
  <si>
    <t>Martinez, Ignacio/0000-0002-3721-8172; Chandler, Jesse/0000-0001-8151-0915</t>
  </si>
  <si>
    <t>0193-841X</t>
  </si>
  <si>
    <t>1552-3926</t>
  </si>
  <si>
    <t>WOS:000614877600006</t>
  </si>
  <si>
    <t>Spoken Language Understanding for a Nutrition Dialogue System</t>
  </si>
  <si>
    <t>Korpusik, Mandy; Glass, James</t>
  </si>
  <si>
    <t>IEEE-ACM TRANSACTIONS ON AUDIO SPEECH AND LANGUAGE PROCESSING</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</si>
  <si>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AMTuser study with worker ratings of 83% semantic tagging accuracy.</t>
  </si>
  <si>
    <t>/0000-0002-1721-4473</t>
  </si>
  <si>
    <t>2329-9290</t>
  </si>
  <si>
    <t>WOS:000403311100004</t>
  </si>
  <si>
    <t>Ruiner, Caroline; Wilkesmann, Maximiliane; Apitzsch, Birgit</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</si>
  <si>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t>
  </si>
  <si>
    <t>Ruiner, Caroline/U-9003-2018</t>
  </si>
  <si>
    <t>Ruiner, Caroline/0000-0003-0795-7668</t>
  </si>
  <si>
    <t>DEC 13</t>
  </si>
  <si>
    <t>WOS:000506061500001</t>
  </si>
  <si>
    <t>STATISTICAL MACHINE TRANSLATION BASED TEXT NORMALIZATION WITH CROWDSOURCING</t>
  </si>
  <si>
    <t>Schlippe, Tim; Zhu, Chenfei; Lemcke, Daniel; Schultz, Tanja</t>
  </si>
  <si>
    <t>2013 IEEE INTERNATIONAL CONFERENCE ON ACOUSTICS, SPEECH AND SIGNAL PROCESSING (ICASSP)</t>
  </si>
  <si>
    <t>MAY 26-31, 2013</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</si>
  <si>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t>
  </si>
  <si>
    <t>Schultz, Tanja/0000-0002-9809-7028</t>
  </si>
  <si>
    <t>978-1-4799-0356-6</t>
  </si>
  <si>
    <t>WOS:000329611508115</t>
  </si>
  <si>
    <t>Stimulating Online Reviews by Combining Financial Incentives and Social Norms</t>
  </si>
  <si>
    <t>Burtch, Gordon; Hong, Yili; Bapna, Ravi; Griskevicius, Vladas</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</si>
  <si>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t>
  </si>
  <si>
    <t>WOS:000439102900006</t>
  </si>
  <si>
    <t>Stochastic Performance Analysis of Global Software Development Teams</t>
  </si>
  <si>
    <t>Czekster, Ricardo M.; Fernandes, Paulo; Lopes, Lucelene; Sales, Afonso; Santos, Alan R.; Webber, Thais</t>
  </si>
  <si>
    <t>ACM TRANSACTIONS ON SOFTWARE ENGINEERING AND METHODOLOGY</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</si>
  <si>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t>
  </si>
  <si>
    <t>Czekster, Ricardo M./D-2854-2009; Fernandes, Paulo/AAS-4213-2021; Webber, Thais/C-6099-2012; Lopes, Lucelene/I-3751-2012</t>
  </si>
  <si>
    <t>Czekster, Ricardo M./0000-0002-6636-4398; Fernandes, Paulo/0000-0003-3959-0434; Webber, Thais/0000-0002-8091-6021; Lopes, Lucelene/0000-0003-0314-140X</t>
  </si>
  <si>
    <t>1049-331X</t>
  </si>
  <si>
    <t>1557-7392</t>
  </si>
  <si>
    <t>WOS:000382754000007</t>
  </si>
  <si>
    <t>Stories We Tell About Labor: Turkopticon and the Trouble with Design</t>
  </si>
  <si>
    <t>Irani, Lilly C.; Silberman, M. Six</t>
  </si>
  <si>
    <t>34TH ANNUAL CHI CONFERENCE ON HUMAN FACTORS IN COMPUTING SYSTEMS, CHI 2016</t>
  </si>
  <si>
    <t>34th Annual CHI Conference on Human Factors in Computing Systems (CHI4GOOD)</t>
  </si>
  <si>
    <t>MAY 07-12, 2016</t>
  </si>
  <si>
    <t>San Jose, CA</t>
  </si>
  <si>
    <t>Assoc Comp Machinery,SIG CHI</t>
  </si>
  <si>
    <t>Irani, Lilly/0000-0001-8990-2411</t>
  </si>
  <si>
    <t>978-1-4503-3362-7</t>
  </si>
  <si>
    <t>WOS:000380532904053</t>
  </si>
  <si>
    <t>Bachrach, Yoram; Kash, Ian A.; Key, Peter; Oren, Joel</t>
  </si>
  <si>
    <t>AUTONOMOUS AGENTS AND MULTI-AGENT SYSTEMS</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</si>
  <si>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t>
  </si>
  <si>
    <t>1387-2532</t>
  </si>
  <si>
    <t>1573-7454</t>
  </si>
  <si>
    <t>WOS:000461140300006</t>
  </si>
  <si>
    <t>STRATEGIES TO RECOMMEND GROUPWARE TOOLS ACCORDING TO VIRTUAL TEAM CHARACTERISTICS</t>
  </si>
  <si>
    <t>Wang, Y; Zhang, D; Latombe, JC; Kinsner, W</t>
  </si>
  <si>
    <t>PROCEEDINGS OF THE SEVENTH IEEE INTERNATIONAL CONFERENCE ON COGNITIVE INFORMATICS</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</si>
  <si>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t>
  </si>
  <si>
    <t>978-1-4244-2538-9</t>
  </si>
  <si>
    <t>WOS:000260491700020</t>
  </si>
  <si>
    <t>Billhardt, Holger; Santos, Jose-Antonio; Fernandez, Alberto; Moreno, Mar; Ossowski, Sascha; Rodriguez, Jose A.</t>
  </si>
  <si>
    <t>In recent years many novel applications have appeared that promote the provision of services and activities in a collaborative manner. The key idea behind such systems is to take advantage of idle or under 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alternatives.(c) 2021 The Author(s). Published by Elsevier B.V. This is an open access article under the CC BY-NC-ND license (http://creativecommons.org/licenses/by-nc-nd/4.0/).</t>
  </si>
  <si>
    <t>Ossowski, Sascha/H-2020-2015; Billhardt, Holger/F-7873-2015</t>
  </si>
  <si>
    <t>Ossowski, Sascha/0000-0003-2483-9508; Billhardt, Holger/0000-0001-8298-4178</t>
  </si>
  <si>
    <t>APR 28</t>
  </si>
  <si>
    <t>WOS:000776152200003</t>
  </si>
  <si>
    <t>Study Framing Influences Crowdsourced Rates of Problem Gambling and Alcohol Use Disorder</t>
  </si>
  <si>
    <t>Angus, Douglas J.; Pickering, Dylan; Keen, Brittany; Blaszczynski, Alex</t>
  </si>
  <si>
    <t>PSYCHOLOGY OF ADDICTIVE BEHAVIORS</t>
  </si>
  <si>
    <t>Public Health Significance Statement This study highlights the importance of appropriate recruitment advertisements when using crowdsourced participants. The results suggest that using advertisements which mention gambling or alcohol may substantially increase the reported severity of disorders associated with these behaviors or substances. These increases may be due to self-selection or cognitive biases, and studies using crowdsourced participants should consider this effect when interpreting their results. 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t>
  </si>
  <si>
    <t>Angus, Douglas/0000-0001-9722-2475</t>
  </si>
  <si>
    <t>0893-164X</t>
  </si>
  <si>
    <t>1939-1501</t>
  </si>
  <si>
    <t>WOS:000728148000009</t>
  </si>
  <si>
    <t>Study of Methods for Assessing Research Topic Elicitation and pRioritization (SMARTER): Study Protocol to Compare Qualitative Research Methods and Advance Patient Engagement in Research</t>
  </si>
  <si>
    <t>Lavallee, Danielle C.; Comstock, Bryan; Scott, Mary R.; Avins, Andrew L.; Nerenz, David R.; Edwards, Todd C.; Patrick, Donald L.; Lawrence, Sarah O.; Bauer, Zoya; Truitt, Anjali R.; Jarvik, Jeffrey G.</t>
  </si>
  <si>
    <t>JMIR RESEARCH PROTOCOLS</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</si>
  <si>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t>
  </si>
  <si>
    <t>Jarvik, Jeffrey/AAL-4292-2021; Patrick, Donald/Y-2460-2019</t>
  </si>
  <si>
    <t>Patrick, Donald/0000-0003-0756-0492; Avins, Andrew/0000-0003-1723-7904; Lavallee, Danielle/0000-0002-5555-9675; Truitt, Anjali/0000-0003-1509-0072; Edwards, Todd/0000-0001-9990-9318</t>
  </si>
  <si>
    <t>1929-0748</t>
  </si>
  <si>
    <t>e168</t>
  </si>
  <si>
    <t>WOS:000415605000009</t>
  </si>
  <si>
    <t>Lindner, Philip; Ramnero, Jonas; Ivanova, Ekaterina; Carlbring, Per</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</si>
  <si>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t>
  </si>
  <si>
    <t>WOS:000619466000001</t>
  </si>
  <si>
    <t>Studying Object Naming with Online Photos and Caption</t>
  </si>
  <si>
    <t>Mathews, Alexander; Xie, Lexing; He, Xuming</t>
  </si>
  <si>
    <t>MMCOMMONS'15: PROCEEDINGS OF THE 2015 WORKSHOP ON COMMUNITY-ORGANIZED MULTIMODAL MINING: OPPORTUNITIES FOR NOVEL SOLUTIONS</t>
  </si>
  <si>
    <t>2015 Workshop on Community-Organized Multimodal Mining-Opportunities for Novel Solutions</t>
  </si>
  <si>
    <t>OCT 26-30, 2015</t>
  </si>
  <si>
    <t>Brisbane, AUSTRALIA</t>
  </si>
  <si>
    <t>ACM SIGMM</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</si>
  <si>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find that visual context has interpretable effects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identified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t>
  </si>
  <si>
    <t>Xie, Lexing/0000-0001-8319-0118</t>
  </si>
  <si>
    <t>978-1-4503-3744-1</t>
  </si>
  <si>
    <t>WOS:000380612000006</t>
  </si>
  <si>
    <t>Subcontracting Microwork</t>
  </si>
  <si>
    <t>Morris, Meredith Ringel; Bigham, Jeffrey P.; Brewer, Robin; Bragg, Jonathan; Kulkarni, Anand; Li, Jessie; Savage, Saiph</t>
  </si>
  <si>
    <t>PROCEEDINGS OF THE 2017 ACM SIGCHI CONFERENCE ON HUMAN FACTORS IN COMPUTING SYSTEMS (CHI'17)</t>
  </si>
  <si>
    <t>ACM SIGCHI Conference on Human Factors in Computing Systems (CHI)</t>
  </si>
  <si>
    <t>MAY 06-11, 2017</t>
  </si>
  <si>
    <t>Denver, CO</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</si>
  <si>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t>
  </si>
  <si>
    <t>Brewer, Robin/0000-0003-3790-5834</t>
  </si>
  <si>
    <t>978-1-4503-4655-9</t>
  </si>
  <si>
    <t>WOS:000426970501076</t>
  </si>
  <si>
    <t>Sudershana, Subita; Villca-Roque, Abel; Baldanza, Jonathan</t>
  </si>
  <si>
    <t>SECOND IEEE INTERNATIONAL CONFERENCE ON GLOBAL SOFTWARE ENGINEERING, PROCEEDINGS</t>
  </si>
  <si>
    <t>2nd IEEE International Conference on Global Software Engineering</t>
  </si>
  <si>
    <t>AUG 27-30, 2007</t>
  </si>
  <si>
    <t>Munich, GERMANY</t>
  </si>
  <si>
    <t>SIEMENS,Microsoft Res,DELL,IBM Res,AVAYA Labs,IEEE</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</si>
  <si>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t>
  </si>
  <si>
    <t>978-0-7695-2920-2</t>
  </si>
  <si>
    <t>WOS:000250108900024</t>
  </si>
  <si>
    <t>Supervising Neural Attention Models for Video Captioning by Human Gaze Data</t>
  </si>
  <si>
    <t>Yu, Youngjae; Choi, Jongwook; Kim, Yeonhwa; Yoo, Kyung; Lee, Sang-Hun; Kim, Gunhee</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</si>
  <si>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t>
  </si>
  <si>
    <t>lee, sang hun/Q-4650-2019</t>
  </si>
  <si>
    <t>lee, sang hun/0000-0002-9005-5966</t>
  </si>
  <si>
    <t>WOS:000418371406023</t>
  </si>
  <si>
    <t>Supply and Demand Aware Synthetic Data Generation for On-demand Traffic with Real-world Characteristics</t>
  </si>
  <si>
    <t>Ali, Reem Y.; Li, Yan; Shekhar, Shashi; Athavale, Shounak; Marsman, Eric</t>
  </si>
  <si>
    <t>PROCEEDINGS OF 10TH ACM SIGSPATIAL INTERNATIONAL WORKSHOP ON COMPUTATIONAL TRANSPORTATION SCIENCE (IWCTS 2017)</t>
  </si>
  <si>
    <t>10th ACM SIGSPATIAL International Workshop on Computational Transportation Science (IWCTS)</t>
  </si>
  <si>
    <t>NOV 07, 2017</t>
  </si>
  <si>
    <t>Redondo Beach, CA</t>
  </si>
  <si>
    <t>ACM SIGSPATIAL</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</si>
  <si>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t>
  </si>
  <si>
    <t>978-1-4503-5491-2</t>
  </si>
  <si>
    <t>WOS:000501729800007</t>
  </si>
  <si>
    <t>Supporting the Social Practices of Distributed Pair Programming</t>
  </si>
  <si>
    <t>Briggs, RO; Antunes, P; DeVreede, GJ; Read, AS</t>
  </si>
  <si>
    <t>Schuemmer, Till; Lukosch, Stephan</t>
  </si>
  <si>
    <t>GROUPWARE: DESIGN, IMPLEMENTATION, AND USE</t>
  </si>
  <si>
    <t>14th International Workshop of Groupware</t>
  </si>
  <si>
    <t>SEP 14-18, 2008</t>
  </si>
  <si>
    <t>Omaha, NE</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</si>
  <si>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</si>
  <si>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Lukosch, Stephan G./B-8405-2014</t>
  </si>
  <si>
    <t>Lukosch, Stephan G./0000-0001-7203-2034</t>
  </si>
  <si>
    <t>978-3-540-92830-0</t>
  </si>
  <si>
    <t>WOS:000263868100008</t>
  </si>
  <si>
    <t>Porter, Eleah D.; Sacks, Olivia A.; Ramkumar, Niveditta; Barth, Richard J., Jr.</t>
  </si>
  <si>
    <t>Introduction: To justify a practice change, it is critical to determine if opioids prescribed after surgery, surgery prescription (Rx) opioids, are in fact associated with opioid misuse and diversion. Currently, there is only limited data to support this assumption.Methods: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risk.(c) 2022 Elsevier Inc. All rights reserved.</t>
  </si>
  <si>
    <t>Ramkumar, Niveditta/0000-0002-4165-7426</t>
  </si>
  <si>
    <t>WOS:000806348600004</t>
  </si>
  <si>
    <t>Survey of Web-based Crowdsourcing Frameworks for Subjective Quality Assessment</t>
  </si>
  <si>
    <t>Hossfeld, Tobias; Hirth, Matthias; Korshunov, Pavel; Hanhart, Philippe; Gardlo, Bruno; Keimel, Christian; Timmerer, Christian</t>
  </si>
  <si>
    <t>2014 IEEE 16TH INTERNATIONAL WORKSHOP ON MULTIMEDIA SIGNAL PROCESSING (MMSP)</t>
  </si>
  <si>
    <t>16th IEEE International Workshop on Multimedia Signal Processing (MMSP)</t>
  </si>
  <si>
    <t>SEP 22-24, 2016</t>
  </si>
  <si>
    <t>Jakarta, INDONESIA</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</si>
  <si>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t>
  </si>
  <si>
    <t>Hirth, Matthias/0000-0002-1359-363X</t>
  </si>
  <si>
    <t>2163-3517</t>
  </si>
  <si>
    <t>978-1-4799-5896-2</t>
  </si>
  <si>
    <t>WOS:000411484600046</t>
  </si>
  <si>
    <t>Survivability Models for Global Software Engineering</t>
  </si>
  <si>
    <t>Avritzer, Alberto; Beecham, Sarah; Kroll, Josiane; Menasche, Daniel S.; Noll, John; Paasivaara, Maria</t>
  </si>
  <si>
    <t>2014 IEEE 9TH INTERNATIONAL CONFERENCE ON GLOBAL SOFTWARE ENGINEERING (ICGSE)</t>
  </si>
  <si>
    <t>IEEE 9th International Conference on Global Software Engineering Workshops (ICGSEW)</t>
  </si>
  <si>
    <t>AUG 18-21, 2014</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</si>
  <si>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t>
  </si>
  <si>
    <t>978-1-4799-4360-9</t>
  </si>
  <si>
    <t>WOS:000363321200013</t>
  </si>
  <si>
    <t>Synchronous Training In Distributed Software Development Team</t>
  </si>
  <si>
    <t>Ray, Manoj D.; Samuel, Philip</t>
  </si>
  <si>
    <t>2015 IEEE 3RD INTERNATIONAL CONFERENCE ON MOOCS, INNOVATION AND TECHNOLOGY IN EDUCATION (MITE)</t>
  </si>
  <si>
    <t>IEEE 3rd International Conference on MOOCs, Innovation and Technology in Education (MITE)</t>
  </si>
  <si>
    <t>OCT 01-02, 2015</t>
  </si>
  <si>
    <t>Amritsar, INDIA</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</si>
  <si>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t>
  </si>
  <si>
    <t>978-1-4673-6747-9</t>
  </si>
  <si>
    <t>WOS:000380436800059</t>
  </si>
  <si>
    <t>Heeks, Richard; Graham, Mark; Mungai, Paul; Van Belle, Jean-Paul; Woodcock, Jamie</t>
  </si>
  <si>
    <t>INFORMATION SOCIETY</t>
  </si>
  <si>
    <t>Growth of gig work - short-term tasks organized and mediated by digital labor platforms such as Uber and Upwork - 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t>
  </si>
  <si>
    <t>Woodcock, Jamie/A-1895-2015</t>
  </si>
  <si>
    <t>Woodcock, Jamie/0000-0001-7097-305X; Heeks, Richard/0000-0002-4551-2208</t>
  </si>
  <si>
    <t>0197-2243</t>
  </si>
  <si>
    <t>1087-6537</t>
  </si>
  <si>
    <t>WOS:000677821000001</t>
  </si>
  <si>
    <t>Khan, Arif Ali; Akbar, Muhammad Azeem</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</si>
  <si>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t>
  </si>
  <si>
    <t>Khan, Arif Ali/ABG-2862-2020; Akbar, Muhammad Azeem/ABD-5149-2021; Akbar, Muhammad Azeem/AAB-2338-2022</t>
  </si>
  <si>
    <t xml:space="preserve">Khan, Arif Ali/0000-0002-8479-1481; Akbar, Muhammad Azeem/0000-0002-6880-4991; </t>
  </si>
  <si>
    <t>e2242</t>
  </si>
  <si>
    <t>WOS:000523495100001</t>
  </si>
  <si>
    <t>Systematic Review: Online Crowdsourcing to Assess Perceptual Speech Outcomes</t>
  </si>
  <si>
    <t>Sescleifer, Anne M.; Francoisse, Caitlin A.; Lin, Alexander Y.</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</si>
  <si>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(C) 2018 Elsevier Inc. All rights reserved.</t>
  </si>
  <si>
    <t>WOS:000448333700049</t>
  </si>
  <si>
    <t>Systematic Street View Sampling High Quality Annotation of Power Infrastructure in Rural Ontario</t>
  </si>
  <si>
    <t>Dick, Kevin; Charih, Francois; Dosso, Yasmina Souley; Russell, Luke; Green, James R.</t>
  </si>
  <si>
    <t>2018 15TH CONFERENCE ON COMPUTER AND ROBOT VISION (CRV)</t>
  </si>
  <si>
    <t>15th Conference on Computer and Robot Vision (CRV)</t>
  </si>
  <si>
    <t>MAY 08-11, 2018</t>
  </si>
  <si>
    <t>Canadian Image Proc &amp; Pattern Recognit Soc,Assoc Canadienne Traitement Images Reconnaissance Formes,MDA,Modiface,NextAI,SPORTLOGiQ,StradigiAI,York Univ Vis Sci Applicat Program,York Univ Ctr Vis Res,ElementAI,EPSON,Miovision,Trans Plan</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</si>
  <si>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t>
  </si>
  <si>
    <t>Charih, Francois/0000-0002-7931-8921</t>
  </si>
  <si>
    <t>978-1-5386-6481-0</t>
  </si>
  <si>
    <t>WOS:000457719100018</t>
  </si>
  <si>
    <t>Systematic Task Allocation Evaluation in Distributed Software Development</t>
  </si>
  <si>
    <t>Muench, Juergen; Lamersdorf, Ansgar</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</si>
  <si>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t>
  </si>
  <si>
    <t>WOS:000279915700028</t>
  </si>
  <si>
    <t>Systems Perspective of Amazon Mechanical Turk for Organizational Research: Review and Recommendations</t>
  </si>
  <si>
    <t>Keith, Melissa G.; Tay, Louis; Harms, Peter D.</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</si>
  <si>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t>
  </si>
  <si>
    <t>Tay, Louis/AAW-1457-2020</t>
  </si>
  <si>
    <t>Tay, Louis/0000-0002-5522-4728; Keith, Melissa/0000-0003-4722-4637</t>
  </si>
  <si>
    <t>AUG 8</t>
  </si>
  <si>
    <t>WOS:000407367900001</t>
  </si>
  <si>
    <t>TACKLING BOGUS SELF-EMPLOYMENT: SOME LESSONS FROM ROMANIA</t>
  </si>
  <si>
    <t>Williams, Colin C.; Horodnic, Ioana Alexandra</t>
  </si>
  <si>
    <t>JOURNAL OF DEVELOPMENTAL ENTREPRENEURSHIP</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</si>
  <si>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t>
  </si>
  <si>
    <t>Williams, Colin C/B-1198-2016; Horodnic, Ioana Alexandra/Y-7733-2019</t>
  </si>
  <si>
    <t>Williams, Colin C/0000-0002-3610-1933; Horodnic, Ioana Alexandra/0000-0002-4948-8989</t>
  </si>
  <si>
    <t>1084-9467</t>
  </si>
  <si>
    <t>1793-706X</t>
  </si>
  <si>
    <t>WOS:000404983600005</t>
  </si>
  <si>
    <t>TASC: Teammate Algorithm for Shared Cooperation</t>
  </si>
  <si>
    <t>Chang, Mai Lee; Faulkner, Taylor Kessler; Wei, Thomas Benjamin; Short, Elaine Schaertl; Anandaraman, Gokul; Thomaz, Andrea Lockerd</t>
  </si>
  <si>
    <t>2020 IEEE/RSJ INTERNATIONAL CONFERENCE ON INTELLIGENT ROBOTS AND SYSTEMS (IROS)</t>
  </si>
  <si>
    <t>IEEE/RSJ International Conference on Intelligent Robots and Systems (IROS)</t>
  </si>
  <si>
    <t>OCT 24-JAN 24, 2020-2021</t>
  </si>
  <si>
    <t>IEEE,RSJ</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</si>
  <si>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t>
  </si>
  <si>
    <t>2153-0858</t>
  </si>
  <si>
    <t>978-1-7281-6212-6</t>
  </si>
  <si>
    <t>WOS:000724145800135</t>
  </si>
  <si>
    <t>Task Assignment Optimization in Collaborative Crowdsourcing</t>
  </si>
  <si>
    <t>Aggarwal, C; Zhou, ZH; Tuzhilin, A; Xiong, H; Wu, X</t>
  </si>
  <si>
    <t>Rahman, Habibur; Roy, Senjuti Basu; Thirumuruganathan, Saravanan; Amer-Yahia, Sihem; Das, Gautam</t>
  </si>
  <si>
    <t>2015 IEEE INTERNATIONAL CONFERENCE ON DATA MINING (ICDM)</t>
  </si>
  <si>
    <t>IEEE International Conference on Data Mining (ICDM)</t>
  </si>
  <si>
    <t>NOV 14-17, 2015</t>
  </si>
  <si>
    <t>Atlantic City, NJ</t>
  </si>
  <si>
    <t>Conf Publising Serv,IEEE Comp Soc,Stony Brook Univ,Pinnacle,IEEE,RUTGERS,KD nuggets,cisco,drawbridge,NSF</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</si>
  <si>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t>
  </si>
  <si>
    <t>1550-4786</t>
  </si>
  <si>
    <t>978-1-4673-9503-8</t>
  </si>
  <si>
    <t>WOS:000380541000114</t>
  </si>
  <si>
    <t>tDP: An Optimal-Latency Budget Allocation Strategy for Crowdsourced MAXIMUM Operations</t>
  </si>
  <si>
    <t>Verroios, Vasilis; Lofgren, Peter; Garcia-Molina, Hector</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</si>
  <si>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t>
  </si>
  <si>
    <t>WOS:000452535700081</t>
  </si>
  <si>
    <t>Teaching a Global Software Development Course: Student Experiences Using Onsite Exercise Simulation</t>
  </si>
  <si>
    <t>Lappalainen, Jouni; Tripathi, Nirnaya; Simila, Jouni</t>
  </si>
  <si>
    <t>2016 IEEE/ACM 38TH INTERNATIONAL CONFERENCE ON SOFTWARE ENGINEERING COMPANION (ICSE-C)</t>
  </si>
  <si>
    <t>38th IEEE/ACM International Conference on Software Engineering Companion (ICSE)</t>
  </si>
  <si>
    <t>MAY 14-22, 2016</t>
  </si>
  <si>
    <t>IEEE,Assoc Comp Machinery,IEEE Comp Soc,IEEE Tech Council Software Engn,Special Interest Grp Software Engn</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</si>
  <si>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t>
  </si>
  <si>
    <t>978-1-4503-4205-6</t>
  </si>
  <si>
    <t>WOS:000402155300052</t>
  </si>
  <si>
    <t>Stubbs, Alec</t>
  </si>
  <si>
    <t>PERSPECTIVES ON GLOBAL DEVELOPMENT AND TECHNOLOGY</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</si>
  <si>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t>
  </si>
  <si>
    <t>1569-1500</t>
  </si>
  <si>
    <t>1569-1497</t>
  </si>
  <si>
    <t>WOS:000523359300003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</si>
  <si>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t>
  </si>
  <si>
    <t>WOS:000242500600025</t>
  </si>
  <si>
    <t>Naude, Gideon P.; Kaplan, Brent A.; Reed, Derek D.; Henley, Amy J.; Reed, Florence D. DiGennaro</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</si>
  <si>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t>
  </si>
  <si>
    <t>Reed, Derek/0000-0002-5854-3425; DiGennaro Reed, Florence/0000-0001-9143-8275</t>
  </si>
  <si>
    <t>WOS:000433588300004</t>
  </si>
  <si>
    <t>Temporary Agency Work and Firm Competitiveness: Evidence from German Manufacturing Firms</t>
  </si>
  <si>
    <t>INDUSTRIAL RELATIONS</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</si>
  <si>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t>
  </si>
  <si>
    <t>0019-8676</t>
  </si>
  <si>
    <t>1468-232X</t>
  </si>
  <si>
    <t>WOS:000337528000001</t>
  </si>
  <si>
    <t>Pfeifer, Christian; Weche, John P.</t>
  </si>
  <si>
    <t>JAHRBUCHER FUR NATIONALOKONOMIE UND STATISTIK</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</si>
  <si>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t>
  </si>
  <si>
    <t>0021-4027</t>
  </si>
  <si>
    <t>2366-049X</t>
  </si>
  <si>
    <t>WOS:000529417800003</t>
  </si>
  <si>
    <t>Temporary Agency Work and Well-Being-The Mediating Role of Job Insecurity</t>
  </si>
  <si>
    <t>Thomson, Birgit; Huenefeld, Lena</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</si>
  <si>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t>
  </si>
  <si>
    <t>Thomson, Birgit/0000-0002-1846-2161</t>
  </si>
  <si>
    <t>WOS:000720453800001</t>
  </si>
  <si>
    <t>The Art and Science of Persuasion: Not All Crowdfunding Campaign Videos Are The Same</t>
  </si>
  <si>
    <t>Dey, Sanorita; Duff, Brittany; Karahalios, Karrie; Fu, Wai-Tat</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</si>
  <si>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t>
  </si>
  <si>
    <t>WOS:000455087800057</t>
  </si>
  <si>
    <t>Kim, Rahee; Olpin, Eliza; Novilla, Lynneth Kirsten; Crandall, AliceAnn</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</si>
  <si>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 and short-term stress.</t>
  </si>
  <si>
    <t>Crandall, AliceAnn/0000-0002-6547-1378</t>
  </si>
  <si>
    <t>WOS:000801815900001</t>
  </si>
  <si>
    <t>The Authentic (and Angry) Audience How comment authenticity and sentiment impact news evaluation</t>
  </si>
  <si>
    <t>Waddell, T. Franklin</t>
  </si>
  <si>
    <t>DIGITAL JOURNALISM</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</si>
  <si>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x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t>
  </si>
  <si>
    <t>2167-0811</t>
  </si>
  <si>
    <t>2167-082X</t>
  </si>
  <si>
    <t>FEB 7</t>
  </si>
  <si>
    <t>WOS:000519769500005</t>
  </si>
  <si>
    <t>The Body Appreciation Scale-2: Item refinement and psychometric evaluation</t>
  </si>
  <si>
    <t>Tylka, Tracy L.; Wood-Barcalow, Nichole L.</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</si>
  <si>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(C) 2014 Elsevier Ltd. All rights reserved.</t>
  </si>
  <si>
    <t>WOS:000348954500008</t>
  </si>
  <si>
    <t>The Camono: A Communitarian Walking Trail in the Sharing Economy</t>
  </si>
  <si>
    <t>Gyimothy, Szilvia; Meged, Jane W.</t>
  </si>
  <si>
    <t>TOURISM PLANNING &amp; DEVELOPMENT</t>
  </si>
  <si>
    <t>To overcome socioeconomic decline, Danish coastal communities attempt to harness the potentials of the collaborative economy with novel forms of communitarian initiatives in tourism. This paper assesses the emergent business model of the Camono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Camono,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t>
  </si>
  <si>
    <t>Meged, Jane/AAL-6432-2020</t>
  </si>
  <si>
    <t>2156-8316</t>
  </si>
  <si>
    <t>2156-8324</t>
  </si>
  <si>
    <t>WOS:000443038300003</t>
  </si>
  <si>
    <t>de-Miguel-Molina, Maria; de-Miguel-Molina, Blanca; Catala-Perez, Daniel</t>
  </si>
  <si>
    <t>RESEARCH IN TRANSPORTATION BUSINESS AND MANAGEMENT</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</si>
  <si>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t>
  </si>
  <si>
    <t>Catala-Perez, Daniel/G-2548-2013; de-Miguel-Molina, Maria/K-8011-2014</t>
  </si>
  <si>
    <t>Catala-Perez, Daniel/0000-0001-5042-0239; de-Miguel-Molina, Maria/0000-0003-4264-8000</t>
  </si>
  <si>
    <t>2210-5395</t>
  </si>
  <si>
    <t>2210-5409</t>
  </si>
  <si>
    <t>WOS:000668571500010</t>
  </si>
  <si>
    <t>The Collaborative Economy Based Analysis of Demand: Study of Airbnb Case in Spain and Portugal</t>
  </si>
  <si>
    <t>Palos-Sanchez, Pedro R.; Correia, Marisol B.</t>
  </si>
  <si>
    <t>The rise of the collaborative economy has just started to become a reality in the economy of the countries in the European Union. The aim of this article is to use Goal - Question - 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t>
  </si>
  <si>
    <t>Correia, Marisol B./A-6795-2012; Palos-Sanchez, Pedro/A-8952-2017</t>
  </si>
  <si>
    <t>Correia, Marisol B./0000-0002-1788-6114; Palos-Sanchez, Pedro/0000-0001-9966-0698</t>
  </si>
  <si>
    <t>WOS:000432909900005</t>
  </si>
  <si>
    <t>The Common Law Constitution at Work: R (on the application of UNISON) v Lord Chancellor</t>
  </si>
  <si>
    <t>Bogg, Alan</t>
  </si>
  <si>
    <t>MODERN LAW REVIEW</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</si>
  <si>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t>
  </si>
  <si>
    <t>0026-7961</t>
  </si>
  <si>
    <t>1468-2230</t>
  </si>
  <si>
    <t>WOS:000431679600005</t>
  </si>
  <si>
    <t>The Conceptualization of the Sharing Economy as a Business Model</t>
  </si>
  <si>
    <t>Siuskaite, Donata; Pilinkiene, Vaida; Zvirdauskas, Dainius</t>
  </si>
  <si>
    <t>INZINERINE EKONOMIKA-ENGINEERING ECONOMICS</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</si>
  <si>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t>
  </si>
  <si>
    <t>1392-2785</t>
  </si>
  <si>
    <t>2029-5839</t>
  </si>
  <si>
    <t>WOS:000480418100011</t>
  </si>
  <si>
    <t>Goncalves, Melissa K.; Campbell, Lorne</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</si>
  <si>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(C) 2014 Elsevier Ltd. All rights reserved.</t>
  </si>
  <si>
    <t>WOS:000337991400009</t>
  </si>
  <si>
    <t>The Development and Evaluation of a Brief Form of the Normative Male Alexithymia Scale (NMAS-BF)</t>
  </si>
  <si>
    <t>Levant, Ronald F.; Parent, Mike C.</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</si>
  <si>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(alpha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t>
  </si>
  <si>
    <t>Parent, Mike/AAI-1264-2020</t>
  </si>
  <si>
    <t>WOS:000459931800008</t>
  </si>
  <si>
    <t>Manteli, Christina; van den Hooff, Bart; van Vliet, Hans</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</si>
  <si>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(C) 2014 Elsevier B.V. All rights reserved.</t>
  </si>
  <si>
    <t>WOS:000340850700009</t>
  </si>
  <si>
    <t>Ferguson, Erin; Bush, Nicholas; Yurasek, Ali; Boissoneault, Jeff</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</si>
  <si>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.029,eta(2)p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t>
  </si>
  <si>
    <t>WOS:000704373800009</t>
  </si>
  <si>
    <t>Chang, R; Qu, H; Schreck, T</t>
  </si>
  <si>
    <t>Promann, Marlen; Brunswicker, Sabine</t>
  </si>
  <si>
    <t>2018 IEEE CONFERENCE ON VISUAL ANALYTICS SCIENCE AND TECHNOLOGY (VAST)</t>
  </si>
  <si>
    <t>13th IEEE Conference on Visual Analytics Science and Technology (VAST)</t>
  </si>
  <si>
    <t>OCT 21-26, 2018</t>
  </si>
  <si>
    <t>Berlin, GERMANY</t>
  </si>
  <si>
    <t>IEEE,IEEE Comp Soc,IEEE Visualizat &amp; Graph Tech Comm</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</si>
  <si>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</si>
  <si>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978-1-5386-6861-0</t>
  </si>
  <si>
    <t>WOS:000502616800001</t>
  </si>
  <si>
    <t>Huensch, Amanda; Nagle, Charlie</t>
  </si>
  <si>
    <t>LANGUAGE LEARNING</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</si>
  <si>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t>
  </si>
  <si>
    <t>Huensch, Amanda/0000-0001-6229-3521; Nagle, Charles/0000-0003-2712-2705</t>
  </si>
  <si>
    <t>0023-8333</t>
  </si>
  <si>
    <t>1467-9922</t>
  </si>
  <si>
    <t>WOS:000634695900001</t>
  </si>
  <si>
    <t>The Effects of Perceived Neighborhood Diversity on Preferences for Redistribution: A Pilot Study</t>
  </si>
  <si>
    <t>Steele, Liza G.; Perkins, Krystal M.</t>
  </si>
  <si>
    <t>SOCIETIES</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</si>
  <si>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t>
  </si>
  <si>
    <t>Perkins, Krystal/0000-0003-2526-7417; Steele, Liza/0000-0002-5875-9162</t>
  </si>
  <si>
    <t>2075-4698</t>
  </si>
  <si>
    <t>WOS:000447944500038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</si>
  <si>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t>
  </si>
  <si>
    <t>Steele, Liza/0000-0002-5875-9162</t>
  </si>
  <si>
    <t>MAR 26</t>
  </si>
  <si>
    <t>WOS:000659101300001</t>
  </si>
  <si>
    <t>Norlander, Peter; Jukic, Nenad; Varma, Arup; Nestorov, Svetlozar</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</si>
  <si>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t>
  </si>
  <si>
    <t>Norlander, Peter/Q-4619-2016</t>
  </si>
  <si>
    <t>Norlander, Peter/0000-0001-8347-7653</t>
  </si>
  <si>
    <t>WOS:000607690600001</t>
  </si>
  <si>
    <t>Chambel, Maria Jose; Lopes, Silvia; Batista, Josilene</t>
  </si>
  <si>
    <t>INTERNATIONAL ARCHIVES OF OCCUPATIONAL AND ENVIRONMENTAL HEALTH</t>
  </si>
  <si>
    <t>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Temporary agency workers longitudinal data (n = 289) was used, and three groups were compared: (1) maintaining a temporary agency contract (n = 187), (2) obtaining a direct contract (n = 57), and (3) remaining unemployed (n = 45).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A temporary agency contract does not have an inevitable negative effect on workers' well-being.</t>
  </si>
  <si>
    <t>Lopes, Silvia/AAH-7430-2020</t>
  </si>
  <si>
    <t>Lopes, Silvia/0000-0002-1081-5276</t>
  </si>
  <si>
    <t>0340-0131</t>
  </si>
  <si>
    <t>1432-1246</t>
  </si>
  <si>
    <t>WOS:000385249600006</t>
  </si>
  <si>
    <t>The effects of tourists' knowledge-sharing motivation on online tourist community loyalty: the moderating role of ambient stimuli</t>
  </si>
  <si>
    <t>Lee, Kwang-Ho; Hyun, Sunghyup Sean</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</si>
  <si>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t>
  </si>
  <si>
    <t>WOS:000437711400005</t>
  </si>
  <si>
    <t>Apouey, Benedicte; Stabile, Mark</t>
  </si>
  <si>
    <t>HEALTH ECONOMICS</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</si>
  <si>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t>
  </si>
  <si>
    <t>Apouey, Benedicte/0000-0003-1575-8423</t>
  </si>
  <si>
    <t>1057-9230</t>
  </si>
  <si>
    <t>1099-1050</t>
  </si>
  <si>
    <t>WOS:000788352400001</t>
  </si>
  <si>
    <t>The Function and Future of the Folder</t>
  </si>
  <si>
    <t>Whitham, Roger; Cruickshank, Leon</t>
  </si>
  <si>
    <t>INTERACTING WITH COMPUTERS</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</si>
  <si>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RESEARCH HIGHLIGHTS Folders are often considered an unwelcome legacy of physical information technologies. Views of folder structures can offer valuable perspectives on personal information in themselves, independent of the content of the files they contain. Folders can be strongly intertwined with the process of information work, both in the computer and in the mind of the worker. Search and recency-based views of files do not eliminate the need to creatively categorize and combine information. Eliminating folders and manual organization of files may compromise information worker's ability to control their environment, and in turn thinking and working processes.</t>
  </si>
  <si>
    <t>Cruickshank, Leon/0000-0002-9145-4635</t>
  </si>
  <si>
    <t>0953-5438</t>
  </si>
  <si>
    <t>1873-7951</t>
  </si>
  <si>
    <t>WOS:000409181700001</t>
  </si>
  <si>
    <t>The gendered affordances of Craigslist new-in-town girls wanted ads</t>
  </si>
  <si>
    <t>Schwartz, Becca; Neff, Gina</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</si>
  <si>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t>
  </si>
  <si>
    <t>Neff, Gina/AAO-2414-2021</t>
  </si>
  <si>
    <t>Neff, Gina/0000-0001-9090-924X</t>
  </si>
  <si>
    <t>WOS:000485297300005</t>
  </si>
  <si>
    <t>Lutz, Julie; Katz, Emma; Gallegos, Jarred; Spalding, Rachael; Edelstein, Barry</t>
  </si>
  <si>
    <t>CLINICAL GERONTOLOGIST</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</si>
  <si>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t>
  </si>
  <si>
    <t>0731-7115</t>
  </si>
  <si>
    <t>1545-2301</t>
  </si>
  <si>
    <t>MAY 27</t>
  </si>
  <si>
    <t>WOS:000593073200001</t>
  </si>
  <si>
    <t>The 'Gig' Economy and its Impact on Social Security: The Spanish example</t>
  </si>
  <si>
    <t>Suarez Corujo, Borja</t>
  </si>
  <si>
    <t>EUROPEAN JOURNAL OF SOCIAL SECURITY</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</si>
  <si>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-given the current difficulties confronting the Spanish economy-is examined. Some recommendations relating to these three issues are outlined as concluding remarks.</t>
  </si>
  <si>
    <t>1388-2627</t>
  </si>
  <si>
    <t>2399-2948</t>
  </si>
  <si>
    <t>WOS:000442133600001</t>
  </si>
  <si>
    <t>Johnes, Geraint</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</si>
  <si>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t>
  </si>
  <si>
    <t>Johnes, Geraint/G-3671-2013</t>
  </si>
  <si>
    <t>Johnes, Geraint/0000-0002-8148-0629</t>
  </si>
  <si>
    <t>AUG 15</t>
  </si>
  <si>
    <t>WOS:000482124300002</t>
  </si>
  <si>
    <t>The 'gig economy': employee, self-employed or the need for a special employment regulation?</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</si>
  <si>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t>
  </si>
  <si>
    <t>Todolí-Signes, Adrián/AAA-4296-2019</t>
  </si>
  <si>
    <t>Todolí-Signes, Adrián/0000-0001-7538-4764</t>
  </si>
  <si>
    <t>WOS:000411970900006</t>
  </si>
  <si>
    <t>Vartanian, Emma; Gould, Daniel J.; Hammoudeh, Ziyad S.; Azadgoli, Beina; Stevens, W. Grant; Macias, Luis H.</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</si>
  <si>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t>
  </si>
  <si>
    <t>WOS:000439054000016</t>
  </si>
  <si>
    <t>The impact of a cascade testing video on recipients' knowledge, cognitive message processing, and affective reactions: A formative evaluation</t>
  </si>
  <si>
    <t>Aeilts, Amber M.; Carpenter, Kristen M.; Hovick, Shelly R.; Byrne, Lindsey; Shoben, Abigail B.; Senter, Leigha</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</si>
  <si>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 .0001)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t>
  </si>
  <si>
    <t>Hovick, Shelly Renee/J-6965-2013; Andersen, Barbara L./B-9045-2008</t>
  </si>
  <si>
    <t>Andersen, Barbara L./0000-0002-7335-1325; Carpenter, Kristen/0000-0003-0357-589X; Aeilts, Amber/0000-0001-8907-7853</t>
  </si>
  <si>
    <t>WOS:000586287800001</t>
  </si>
  <si>
    <t>The Impact of Media Selection on Stakeholder Communication in Agile Global Software Development: A Preliminary Industrial Case Study</t>
  </si>
  <si>
    <t>ACM SIGMIS</t>
  </si>
  <si>
    <t>Fernando, Biyagamage Agra Junius; Hall, Tracy; Fitzpatrick, Anthony</t>
  </si>
  <si>
    <t>SIGMIS CPR 2011: PROCEEDINGS OF THE 2011 ACM SIGMIS COMPUTER PERSONNEL RESEARCH CONFERENCE</t>
  </si>
  <si>
    <t>49th Annual Computer Personnel Research Conference: ACM SIGMIS CPR 2011</t>
  </si>
  <si>
    <t>MAY 19-21, 2011</t>
  </si>
  <si>
    <t>San Antonio, TX</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</si>
  <si>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 'conveying' and 'converging' communications. However the theory does not cover all important factors. We confirm previous findings that media availability, media familiarity and infrastructure capabilities also need to be taken into consideration.</t>
  </si>
  <si>
    <t>Hall, Tracy/0000-0002-2728-9014</t>
  </si>
  <si>
    <t>978-1-4503-0666-9</t>
  </si>
  <si>
    <t>WOS:000291895300026</t>
  </si>
  <si>
    <t>Fernandez-Campos, Silvia; Roca, Pablo; Yaden, Mary Bit</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</si>
  <si>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t>
  </si>
  <si>
    <t>WOS:000632732600001</t>
  </si>
  <si>
    <t>The Influence of Situational Constraints on Consumers' Evaluation and Use of Online Reviews: A Heuristic-Systematic Model Perspective</t>
  </si>
  <si>
    <t>Lee, Jieun; Hong, Ilyoo Barry</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</si>
  <si>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t>
  </si>
  <si>
    <t>Hong, Ilyoo/ABB-1016-2021</t>
  </si>
  <si>
    <t>Hong, Ilyoo/0000-0001-6410-4958</t>
  </si>
  <si>
    <t>WOS:000665268700001</t>
  </si>
  <si>
    <t>The Invisible Cage: Workers' Reactivity to Opaque Algorithmic Evaluations</t>
  </si>
  <si>
    <t>Rahman, Hatim A.</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</si>
  <si>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t>
  </si>
  <si>
    <t>1930-3815</t>
  </si>
  <si>
    <t>WOS:000644042000001</t>
  </si>
  <si>
    <t>Alexander, Oliver; Borland, Jeff; Charlton, Andrew; Singh, Amit</t>
  </si>
  <si>
    <t>AUSTRALIAN ECONOMIC REVIEW</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</si>
  <si>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t>
  </si>
  <si>
    <t>0004-9018</t>
  </si>
  <si>
    <t>1467-8462</t>
  </si>
  <si>
    <t>WOS:000751888800001</t>
  </si>
  <si>
    <t>The MASC: A Novel Multidimensional Measure of Self-Control</t>
  </si>
  <si>
    <t>Papova, Anna; Corbin, William R.</t>
  </si>
  <si>
    <t>MOTIVATION SCIENCE</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</si>
  <si>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t>
  </si>
  <si>
    <t>2333-8113</t>
  </si>
  <si>
    <t>2333-8121</t>
  </si>
  <si>
    <t>WOS:000613790100004</t>
  </si>
  <si>
    <t>Wintersieck, Amanda; Fridkin, Kim; Kenney, Patrick</t>
  </si>
  <si>
    <t>JOURNAL OF POLITICAL MARKETING</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</si>
  <si>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t>
  </si>
  <si>
    <t>Wintersieck, Amanda/AAT-5905-2020</t>
  </si>
  <si>
    <t>1537-7857</t>
  </si>
  <si>
    <t>1537-7865</t>
  </si>
  <si>
    <t>APR 3</t>
  </si>
  <si>
    <t>WOS:000647663900002</t>
  </si>
  <si>
    <t>Woodman, Dan; Cook, Julia</t>
  </si>
  <si>
    <t>JOURNAL OF SOCIOLOGY</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</si>
  <si>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t>
  </si>
  <si>
    <t>WOODMAN, DAN/0000-0003-2893-5222; Cook, Julia/0000-0002-1592-915X</t>
  </si>
  <si>
    <t>1440-7833</t>
  </si>
  <si>
    <t>1741-2978</t>
  </si>
  <si>
    <t>OCT 2019</t>
  </si>
  <si>
    <t>WOS:000491526800001</t>
  </si>
  <si>
    <t>Beretta, Giorgio</t>
  </si>
  <si>
    <t>EC TAX REVIEW</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</si>
  <si>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t>
  </si>
  <si>
    <t>Beretta, Giorgio/ABH-9581-2020</t>
  </si>
  <si>
    <t>Beretta, Giorgio/0000-0002-8033-6131</t>
  </si>
  <si>
    <t>0928-2750</t>
  </si>
  <si>
    <t>1875-8363</t>
  </si>
  <si>
    <t>WOS:000623570500004</t>
  </si>
  <si>
    <t>Rochadiat, Annisa M. P.; Tong, Stephanie Tom; Hancock, Jeffrey T.; Stuart-Ulin, Chloe Rose</t>
  </si>
  <si>
    <t>SOCIAL MEDIA + SOCIETY</t>
  </si>
  <si>
    <t>A small cottage industry emerging within the larger gig economy isonline dating assistant(ODA)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t>
  </si>
  <si>
    <t>Rochadiat, Annisa/0000-0002-0843-3893; Tong, Stephanie/0000-0002-1612-4425</t>
  </si>
  <si>
    <t>2056-3051</t>
  </si>
  <si>
    <t>WOS:000576436800001</t>
  </si>
  <si>
    <t>Maffie, Michael David</t>
  </si>
  <si>
    <t>ILR REVIEW</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</si>
  <si>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t>
  </si>
  <si>
    <t>0019-7939</t>
  </si>
  <si>
    <t>2162-271X</t>
  </si>
  <si>
    <t>WOS:000634008300001</t>
  </si>
  <si>
    <t>Altenried, Moritz</t>
  </si>
  <si>
    <t>CAPITAL AND CLASS</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</si>
  <si>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t>
  </si>
  <si>
    <t>Altenried, Moritz/0000-0001-7152-335X</t>
  </si>
  <si>
    <t>0309-8168</t>
  </si>
  <si>
    <t>2041-0980</t>
  </si>
  <si>
    <t>WOS:000509289300001</t>
  </si>
  <si>
    <t>The platform economy as a working opportunity for older people The case of the Hungarian carpooling company Oszkar</t>
  </si>
  <si>
    <t>Berde, Eva; Tokes, Laszlo</t>
  </si>
  <si>
    <t>JOURNAL OF ENTERPRISING COMMUNITIES-PEOPLE AND PLACES IN THE GLOBAL ECONOMY</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</si>
  <si>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Oszkar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Originality/value The paper articulates the importance of remaining active as one ages and moreover challenges the traditional belief that gig jobs mainly offer opportunities to the younger generations.</t>
  </si>
  <si>
    <t>BERDE, Eva/AAP-7654-2021</t>
  </si>
  <si>
    <t>1750-6204</t>
  </si>
  <si>
    <t>1750-6212</t>
  </si>
  <si>
    <t>NOV 17</t>
  </si>
  <si>
    <t>WOS:000512456000001</t>
  </si>
  <si>
    <t>The Promise and Pitfalls of Using Crowdsourcing in Research Prioritization for Back Pain: Cross-Sectional Surveys</t>
  </si>
  <si>
    <t>10.2196/jmir.8821</t>
  </si>
  <si>
    <t>Bartek, Matthew A.; Truitt, Anjali R.; Widmer-Rodriguez, Sierra; Tuia, Jordan; Bauer, Zoya A.; Comstock, Bryan A.; Edwards, Todd C.; Lawrence, Sarah O.; Monsell, Sarah E.; Patrick, Donald L.; Jarvik, Jeffrey G.; Lavallee, Danielle C.</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</si>
  <si>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&gt;=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t>
  </si>
  <si>
    <t>Patrick, Donald/0000-0003-0756-0492; Truitt, Anjali/0000-0003-1509-0072; Tuia, Jordan/0000-0001-7341-0279; Edwards, Todd/0000-0001-9990-9318; Lavallee, Danielle/0000-0002-5555-9675</t>
  </si>
  <si>
    <t>e341</t>
  </si>
  <si>
    <t>WOS:000414185800011</t>
  </si>
  <si>
    <t>Rand, David G.</t>
  </si>
  <si>
    <t>JOURNAL OF THEORETICAL BIOLOGY</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</si>
  <si>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(c) 2011 Elsevier Ltd. All rights reserved.</t>
  </si>
  <si>
    <t>Rand, David G./B-3716-2009</t>
  </si>
  <si>
    <t>Rand, David G./0000-0002-2821-468X; Rand, David/0000-0001-8975-2783</t>
  </si>
  <si>
    <t>0022-5193</t>
  </si>
  <si>
    <t>1095-8541</t>
  </si>
  <si>
    <t>WOS:000301755700020</t>
  </si>
  <si>
    <t>The Psychosocial Predictors and Day-Level Correlates of Substance Use Among Participants Recruited via an Online Crowdsourcing Platform in the United States: Daily Diary Study</t>
  </si>
  <si>
    <t>Jain, Jennifer Payaal; Offer, Claudine; Rowe, Christopher; Turner, Caitlin; Dawson-Rose, Carol; Hoffmann, Thomas; Santos, Glenn-Milo</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</si>
  <si>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&gt;=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t>
  </si>
  <si>
    <t>Dawson Rose, Carol/0000-0001-6066-1853</t>
  </si>
  <si>
    <t>e23872</t>
  </si>
  <si>
    <t>WOS:000647221500006</t>
  </si>
  <si>
    <t>Azadgoli, Beina; Gould, Daniel J.; Vartanian, Emma; Patel, Ketan M.</t>
  </si>
  <si>
    <t>Background: 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t>
  </si>
  <si>
    <t>NP370</t>
  </si>
  <si>
    <t>NP376</t>
  </si>
  <si>
    <t>WOS:000491247600001</t>
  </si>
  <si>
    <t>The Regulatory Challenges of 'Uberization' in China: Classifying Ride-Hailing Drivers</t>
  </si>
  <si>
    <t>Zou, Mimi</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</si>
  <si>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t>
  </si>
  <si>
    <t>WOS:000426243500004</t>
  </si>
  <si>
    <t>The rise of self-employment in the UK: entrepreneurial transmission or declining job quality?</t>
  </si>
  <si>
    <t>Henley, Andrew</t>
  </si>
  <si>
    <t>CAMBRIDGE JOURNAL OF ECONOMICS</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</si>
  <si>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fiexibilization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t>
  </si>
  <si>
    <t>Henley, Andrew/M-6861-2016</t>
  </si>
  <si>
    <t>Henley, Andrew/0000-0003-4057-1679</t>
  </si>
  <si>
    <t>0309-166X</t>
  </si>
  <si>
    <t>1464-3545</t>
  </si>
  <si>
    <t>WOS:000667758400003</t>
  </si>
  <si>
    <t>Burke, Andrew; Cowling, Marc</t>
  </si>
  <si>
    <t>SMALL BUSINESS ECONOMICS</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</si>
  <si>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t>
  </si>
  <si>
    <t>0921-898X</t>
  </si>
  <si>
    <t>1573-0913</t>
  </si>
  <si>
    <t>WOS:000551939400006</t>
  </si>
  <si>
    <t>The Role of Leadership and its Effect on the Temporal Patterns of Global Software Development Teams</t>
  </si>
  <si>
    <t>ICST</t>
  </si>
  <si>
    <t>Broooks, Ian; Swigger, Kathleen</t>
  </si>
  <si>
    <t>PROCEEDINGS OF THE 2012 8TH INTERNATIONAL CONFERENCE ON COLLABORATIVE COMPUTING: NETWORKING, APPLICATIONS AND WORKSHARING (COLLABORATECOM 2012)</t>
  </si>
  <si>
    <t>8th IEEE International Conference on Collaborative Computing: Networking, Applications and Worksharing (CollaborateCom)</t>
  </si>
  <si>
    <t>OCT 14-17, 2012</t>
  </si>
  <si>
    <t>IEEE,European Alliance Innovat,IEEE Comp Soc,Create Net</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</si>
  <si>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t>
  </si>
  <si>
    <t>2310-9807</t>
  </si>
  <si>
    <t>978-1-4673-2740-4; 978-1-4673-2740-4</t>
  </si>
  <si>
    <t>WOS:000399722200042</t>
  </si>
  <si>
    <t>The Role of Multiracial Identity Integration in the Relation Between Racial Discrimination and Depression in Multiracial Young Adults</t>
  </si>
  <si>
    <t>Marks, Laura Reid; Thurston, Idia B.; Kamody, Rebecca C.; Schaeffer-Smith, Michael</t>
  </si>
  <si>
    <t>PROFESSIONAL PSYCHOLOGY-RESEARCH AND PRACTICE</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</si>
  <si>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t>
  </si>
  <si>
    <t>0735-7028</t>
  </si>
  <si>
    <t>1939-1323</t>
  </si>
  <si>
    <t>WOS:000558746000002</t>
  </si>
  <si>
    <t>The role of temporary agency work in different industrial relations systems - a comparison between germany and the USA</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</si>
  <si>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t>
  </si>
  <si>
    <t>WOS:000248521100006</t>
  </si>
  <si>
    <t>Giboney, Justin Scott; Proudfoot, Jeffrey Gainer; Goel, Sanjay; Valacich, Joseph S.</t>
  </si>
  <si>
    <t>COMPUTERS &amp; SECURITY</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</si>
  <si>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(C) 2016 Elsevier Ltd. All rights reserved.</t>
  </si>
  <si>
    <t>Valacich, Joseph/O-1379-2018</t>
  </si>
  <si>
    <t>Valacich, Joseph/0000-0002-3209-3307</t>
  </si>
  <si>
    <t>0167-4048</t>
  </si>
  <si>
    <t>1872-6208</t>
  </si>
  <si>
    <t>WOS:000378438600003</t>
  </si>
  <si>
    <t>Bradley, Karin; Pargman, Daniel</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</si>
  <si>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t>
  </si>
  <si>
    <t>/0000-0002-6882-2735</t>
  </si>
  <si>
    <t>WOS:000404620800003</t>
  </si>
  <si>
    <t>The smartphone in the memory clinic: A study of patient and care partner's utilisation habits</t>
  </si>
  <si>
    <t>Benge, Jared F.; Dinh, Kara L.; Logue, Erin; Phenis, Richard; Dasse, Michelle N.; Scullin, Michael K.</t>
  </si>
  <si>
    <t>NEUROPSYCHOLOGICAL REHABILITATION</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</si>
  <si>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t>
  </si>
  <si>
    <t>Benge, Jared/0000-0001-6201-3278</t>
  </si>
  <si>
    <t>0960-2011</t>
  </si>
  <si>
    <t>1464-0694</t>
  </si>
  <si>
    <t>WOS:000587755700007</t>
  </si>
  <si>
    <t>Borle, Prem; Boerner-Zobel, Franziska; Voelter-Mahlknecht, Susanne; Hasselhorn, Hans Martin; Ebener, Melanie</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</si>
  <si>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t>
  </si>
  <si>
    <t>Voelter-Mahlknecht, Susanne/AFM-1271-2022</t>
  </si>
  <si>
    <t>Ebener, Melanie/0000-0003-4602-9629; Borle, Prem/0000-0002-1103-608X</t>
  </si>
  <si>
    <t>WOS:000580889700002</t>
  </si>
  <si>
    <t>The Spread of Gig Economy: Trends and Effects</t>
  </si>
  <si>
    <t>Banik, Nilanjan; Padalkar, Milind</t>
  </si>
  <si>
    <t>FORESIGHT AND STI GOVERNANCE</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</si>
  <si>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t>
  </si>
  <si>
    <t>1995-459X</t>
  </si>
  <si>
    <t>2500-2597</t>
  </si>
  <si>
    <t>WOS:000645125600002</t>
  </si>
  <si>
    <t>The step further smile virtual planning: milled versus prototyped mock-ups for the evaluation of the designed smile characteristics</t>
  </si>
  <si>
    <t>Lo Giudice, Antonino; Ortensi, Luca; Farronato, Marco; Lucchese, Alessandra; Lo Castro, Erica; Isola, Gaetano</t>
  </si>
  <si>
    <t>BMC ORAL HEALTH</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</si>
  <si>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 .stl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t>
  </si>
  <si>
    <t>Chan, Simmy/AAD-9046-2021; Ortensi, Luca/AAV-6300-2020; Isola, Gaetano/H-2878-2019; Farronato, Marco/AAH-2806-2019</t>
  </si>
  <si>
    <t>Ortensi, Luca/0000-0002-0676-8497; Isola, Gaetano/0000-0003-4267-6992; Farronato, Marco/0000-0002-6209-9873; Lo Giudice, Antonino/0000-0001-6086-2348</t>
  </si>
  <si>
    <t>1472-6831</t>
  </si>
  <si>
    <t>JUN 5</t>
  </si>
  <si>
    <t>WOS:000540247000001</t>
  </si>
  <si>
    <t>Defossez, Delphine</t>
  </si>
  <si>
    <t>AIR &amp; SPACE LAW</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</si>
  <si>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t>
  </si>
  <si>
    <t>defossez, delphine/0000-0001-7285-0491</t>
  </si>
  <si>
    <t>0927-3379</t>
  </si>
  <si>
    <t>1875-8339</t>
  </si>
  <si>
    <t>WOS:000746149400002</t>
  </si>
  <si>
    <t>The zero-hour contract in platform work Should we ban it or embrace it?</t>
  </si>
  <si>
    <t>Gines Fabrellas, Anna</t>
  </si>
  <si>
    <t>IDP-INTERNET LAW AND POLITICS</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</si>
  <si>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t>
  </si>
  <si>
    <t>1699-8154</t>
  </si>
  <si>
    <t>WOS:000459851600004</t>
  </si>
  <si>
    <t>Yesantharao, Pooja S.; Lee, Erica; Khavanin, Nima; Persing, Sarah; Jenny, Hillary; Abousy, Mya; Broderick, Kristen P.; Sacks, Justin M.</t>
  </si>
  <si>
    <t>65th Annual Meeting of the Plastic-Surgery-Research-Council</t>
  </si>
  <si>
    <t>MAY 28-31, 2020</t>
  </si>
  <si>
    <t>Plast Surg Res Council</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</si>
  <si>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t>
  </si>
  <si>
    <t>Khavanin, Nima/CAF-1279-2022</t>
  </si>
  <si>
    <t>WOS:000639317100024</t>
  </si>
  <si>
    <t>Time Constraints in the Alcohol Purchase Task</t>
  </si>
  <si>
    <t>Kaplan, Brent A.; Reed, Derek D.; Murphy, James G.; Henley, Amy J.; Reed, Florence D. DiGennaro; Roma, Peter G.; Hursh, Steven R.</t>
  </si>
  <si>
    <t>Hypothetical purchase tasks have advanced behavioral economic evaluations of demand by circumventing practical and ethical restrictions associated with delivering drug reinforcers to participants. Numerous studies examining the reliability and validity of purchase task methodology suggest that it is a valuable method for assessing demand that warrants continued use and evaluation. Within the literature examining purchase tasks, the alcohol purchase task (APT) has received the most investigation, and currently represents the most experimentally validated variant. However, inconsistencies in purchase task methodology between studies exist, even within APT studies, and, to date, none have assessed the influence of experimental economic constraints on responding. This study examined changes in Q(0) (reported consumption when drinks are free), breakpoint (price that suppresses consumption), and alpha (rate of change in demand elasticity) in the presence of different hypothetical durations of access to alcohol in an APT. One hundred seventy-nine participants (94 males, 85 females) from Amazon Mechanical Turk completed 3 APTs that varied in the duration of time at a party (i.e., access to alcoholic beverages) as described in the APT instructions (i.e., vignette). The 3 durations included 5-hr (used by Murphy et al., 2013), 1-hr, and 9-hr time frames. We found that hypothetical duration of access was significantly related to Q(0) and breakpoint at the individual level. Additionally, group-level mean alpha decreased significantly with increases in duration of access, thus indicating relatively higher demand for alcohol with longer durations of access. We discuss implications for conducting hypothetical purchase task research and alcohol misuse prevention efforts.</t>
  </si>
  <si>
    <t>Reed, Derek/0000-0002-5854-3425</t>
  </si>
  <si>
    <t>WOS:000401088100006</t>
  </si>
  <si>
    <t>Tompkins, D. Andrew; Huhn, Andrew S.; Johnson, Patrick S.; Smith, Michael T.; Strain, Eric C.; Edwards, Robert R.; Johnson, Matthew W.</t>
  </si>
  <si>
    <t>ADDICTION</t>
  </si>
  <si>
    <t>Background and aimsProbability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DesignThis cross-sectional on-line study determined state/trait associations with addiction-related medication decisions in CPP. SettingUS-based CPP participated via Amazon Mechanical Turk; data were collected and analyzed in Baltimore, Maryland. ParticipantsA total of 263 CPP (70.6% female) participated in the study from 12-13 December 2014. MeasurementsCPP responded to the Benefit versus Addiction Risk Questionnaire (BARQ) assessing likelihood of taking a hypothetical once-daily oral analgesic medication as a function of two factors: risk of addiction (0-50%) and duration of expected complete pain relief (3, 30 or 365days).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FindingsAcross hypothetical addiction risk assessed in the BARQ, the likelihood of taking a novel analgesic medication was elevated significantly in patients with high (18; n=137) versus low (&lt;18; n=126) SOAPP-R scores [P&lt;0.001; 3-day: Cohen's d=0.66, 95% confidence interval (CI)=0.63, 0.69; 30-day: d=0.74, 95% CI=0.71, 0.78; 365-day: d=0.75, 95% CI=0.72, 0.79]. ConclusionsIn the United States, self-identified chronic pain patients (CPP) at higher risk for opioid misuse were more likely to report willingness to try a novel analgesic despite increasing addiction risk than CPP with low risk of opioid misuse.</t>
  </si>
  <si>
    <t>Johnson, Matthew/AAA-3299-2020</t>
  </si>
  <si>
    <t>Huhn, Andrew/0000-0002-8073-7701; Tompkins, David/0000-0002-2112-2299</t>
  </si>
  <si>
    <t>0965-2140</t>
  </si>
  <si>
    <t>1360-0443</t>
  </si>
  <si>
    <t>WOS:000417646800010</t>
  </si>
  <si>
    <t>Too Sick, Not Sick Enough? Effects of Treatment Type and Timing on Depression Stigma</t>
  </si>
  <si>
    <t>Henshaw, Erin J.</t>
  </si>
  <si>
    <t>JOURNAL OF NERVOUS AND MENTAL DISEASE</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</si>
  <si>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t>
  </si>
  <si>
    <t>henshaw, erin/AAF-4291-2021</t>
  </si>
  <si>
    <t>henshaw, erin/0000-0002-1203-4238</t>
  </si>
  <si>
    <t>0022-3018</t>
  </si>
  <si>
    <t>1539-736X</t>
  </si>
  <si>
    <t>WOS:000334185600007</t>
  </si>
  <si>
    <t>Palacio, R. R.; Vizcaino, A.; Moran, A. L.; Gonzalez, V. M.</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</si>
  <si>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t>
  </si>
  <si>
    <t>Palacio, Ramon R./AAQ-4991-2020; Morán, Alberto/E-2648-2018; Vizcaíno, Aurora/D-4452-2011</t>
  </si>
  <si>
    <t>Morán, Alberto/0000-0002-6540-0764; Vizcaíno, Aurora/0000-0002-2072-5581; Gonzalez, Victor M/0000-0002-3809-6306</t>
  </si>
  <si>
    <t>WOS:000289459800006</t>
  </si>
  <si>
    <t>Tool Usage within a Globally Distributed Software Development Course and Implications for Teaching</t>
  </si>
  <si>
    <t>Baldwin, Jennifer; Damian, Daniela</t>
  </si>
  <si>
    <t>2013 3RD INTERNATIONAL WORKSHOP ON COLLABORATIVE TEACHING OF GLOBALLY DISTRIBUTED SOFTWARE DEVELOPMENT (CTGDSD)</t>
  </si>
  <si>
    <t>3rd International Workshop on Collaborative Teaching of Globally Distributed Software Development (CTGDSD)</t>
  </si>
  <si>
    <t>MAY 25, 2013</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</si>
  <si>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t>
  </si>
  <si>
    <t>978-1-4673-6294-8</t>
  </si>
  <si>
    <t>WOS:000337292700004</t>
  </si>
  <si>
    <t>Portillo-Rodriguez, Javier; Vizcaino, Aurora; Piattini, Mario; Beecham, Sarah</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</si>
  <si>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(C) 2012 Elsevier B.V. All rights reserved.</t>
  </si>
  <si>
    <t>WOS:000304387600002</t>
  </si>
  <si>
    <t>Toward A Deep Understanding of What Makes a Scientific Visualization Memorable</t>
  </si>
  <si>
    <t>Geveci, B; Kindlmann, G; Nonato, LG</t>
  </si>
  <si>
    <t>Li, Rui; Chan, Jian</t>
  </si>
  <si>
    <t>2018 IEEE SCIENTIFIC VISUALIZATION CONFERENCE (SCIVIS)</t>
  </si>
  <si>
    <t>IEEE Scientific Visualization Conference (SciVis)</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</si>
  <si>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t>
  </si>
  <si>
    <t>978-1-5386-6882-5</t>
  </si>
  <si>
    <t>WOS:000662636200006</t>
  </si>
  <si>
    <t>Alsahli, Abdulaziz; Khan, Hameed; Alyahya, Sultan</t>
  </si>
  <si>
    <t>SCIENTIFIC PROGRAMMING</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</si>
  <si>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 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t>
  </si>
  <si>
    <t>Alyahya/AAB-9339-2019</t>
  </si>
  <si>
    <t>Alyahya, Sultan/0000-0002-3870-7613</t>
  </si>
  <si>
    <t>1058-9244</t>
  </si>
  <si>
    <t>1875-919X</t>
  </si>
  <si>
    <t>WOS:000382645600001</t>
  </si>
  <si>
    <t>Oviatt, Sharon L.; Cohen, Adrienne O.</t>
  </si>
  <si>
    <t>JOURNAL OF SCIENCE EDUCATION AND TECHNOLOGY</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</si>
  <si>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t>
  </si>
  <si>
    <t>1059-0145</t>
  </si>
  <si>
    <t>1573-1839</t>
  </si>
  <si>
    <t>WOS:000284275000002</t>
  </si>
  <si>
    <t>Toward successful agile requirements change management process in global software development: a client-vendor analysis</t>
  </si>
  <si>
    <t>Kamal, Tahir; Zhang, Qinghua; Akbar, Muhammad Azeem</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</si>
  <si>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t>
  </si>
  <si>
    <t>Akbar, Muhammad Azeem/ABD-5149-2021; Akbar, Muhammad Azeem/AAB-2338-2022</t>
  </si>
  <si>
    <t xml:space="preserve">Akbar, Muhammad Azeem/0000-0002-6880-4991; </t>
  </si>
  <si>
    <t>WOS:000585778800009</t>
  </si>
  <si>
    <t>Towards a Multi-Criteria Development Distribution Model: An Analysis of Existing Task Distribution Approaches</t>
  </si>
  <si>
    <t>Lamersdorf, Ansgar; Muench, Juergen; Rombach, Dieter</t>
  </si>
  <si>
    <t>2008 3RD IEEE INTERNATIONAL CONFERENCE GLOBAL SOFTWARE ENGINEERING, PROCEEDINGS</t>
  </si>
  <si>
    <t>3rd IEEE International Conference on Global Software Engineering</t>
  </si>
  <si>
    <t>AUG 17-20, 2008</t>
  </si>
  <si>
    <t>IEEE,CanBank Comp Serv Ltd,Comp Sci Corp,Siemens,Microsoft Res,Laser Soft,IBM Res</t>
  </si>
  <si>
    <t>Distributing development tasks in the context of global software development bears both many risks and many opportunities. Nowadays, distributed development is often driven by only a few factors or even just a single factor such as work force costs. Risks and other relevant factors such as work 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t>
  </si>
  <si>
    <t>978-0-7695-3280-6</t>
  </si>
  <si>
    <t>WOS:000260490900011</t>
  </si>
  <si>
    <t>Towards a Recommender Engine for Personalized Visualizations</t>
  </si>
  <si>
    <t>Ricci, F; Bontcheva, K; Conlan, O; Lawless, S</t>
  </si>
  <si>
    <t>Mutlu, Belgin; Veas, Eduardo; Trattner, Christoph; Sabol, Vedran</t>
  </si>
  <si>
    <t>USER MODELING, ADAPTATION AND PERSONALIZATION</t>
  </si>
  <si>
    <t>23rd International Conference on User Modeling, Adaptation, and Personalization (UMAP)</t>
  </si>
  <si>
    <t>JUN 29-JUL 03, 2015</t>
  </si>
  <si>
    <t>Trin Coll, Sch Comp Sci &amp; Stat, Knowledge &amp; Data Engn Grp,User Modeling Inc</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</si>
  <si>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t>
  </si>
  <si>
    <t>Veas, Eduardo/0000-0002-0356-4034; Trattner, Christoph/0000-0002-1193-0508</t>
  </si>
  <si>
    <t>978-3-319-20267-9; 978-3-319-20266-2</t>
  </si>
  <si>
    <t>WOS:000364104400014</t>
  </si>
  <si>
    <t>Borrego, Gilberto; Moran, Alberto L.; Palacio, Ramon R.; Vizcaino, Aurora; Garcia, Felix O.</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</si>
  <si>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t>
  </si>
  <si>
    <t>Borrego, Gilberto/AAR-3455-2021; Furtado, Kássia/AAU-5007-2020; Borrego, Gilberto/I-9039-2019; Palacio, Ramon R./AAQ-4991-2020; Garcia, Felix/D-4299-2011; Vizcaino, Aurora/D-4452-2011</t>
  </si>
  <si>
    <t>Borrego, Gilberto/0000-0001-7315-5693; Borrego, Gilberto/0000-0001-7315-5693; Garcia, Felix/0000-0001-6460-0353; Vizcaino, Aurora/0000-0002-2072-5581</t>
  </si>
  <si>
    <t>WOS:000469899100006</t>
  </si>
  <si>
    <t>Hamid, Muneeb Ali; Hafeez, Yaser; Hamid, Bushra; Humayun, Mamoona; Jhanjhi, Noor Zaman</t>
  </si>
  <si>
    <t>INTERNATIONAL JOURNAL OF GRID AND UTILITY COMPUTING</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</si>
  <si>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t>
  </si>
  <si>
    <t>Zaman, Noor/F-3051-2011; humayun, Mamoona/AGB-4494-2022; Humayun, Mamoona/J-5644-2019</t>
  </si>
  <si>
    <t xml:space="preserve">Zaman, Noor/0000-0001-8116-4733; humayun, Mamoona/0000-0001-6339-2257; </t>
  </si>
  <si>
    <t>1741-847X</t>
  </si>
  <si>
    <t>1741-8488</t>
  </si>
  <si>
    <t>WOS:000588372300005</t>
  </si>
  <si>
    <t>Towards an Online Emotional Support Agent: Identifying Emotional Support Strategies via Crowdsourcing</t>
  </si>
  <si>
    <t>Medeiros, Lenin; Bosse, Tibor</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</si>
  <si>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t>
  </si>
  <si>
    <t>WOS:000468231300381</t>
  </si>
  <si>
    <t>Wander, Matthaus; Matkovic, Viktor; Weis, Torben; Bischof, Michael; Schwittmann, Lorenz</t>
  </si>
  <si>
    <t>2018 IEEE INTERNATIONAL CONFERENCE ON PERVASIVE COMPUTING AND COMMUNICATIONS WORKSHOPS (PERCOM WORKSHOPS)</t>
  </si>
  <si>
    <t>IEEE International Conference on Pervasive Computing and Communications (PerCom)</t>
  </si>
  <si>
    <t>MAR 19-23, 2018</t>
  </si>
  <si>
    <t>Athens, GREECE</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</si>
  <si>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t>
  </si>
  <si>
    <t>2474-2503</t>
  </si>
  <si>
    <t>978-1-5386-3227-7</t>
  </si>
  <si>
    <t>WOS:000541062400100</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</si>
  <si>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t>
  </si>
  <si>
    <t>WOS:000460583500016</t>
  </si>
  <si>
    <t>Rolf, Steven; O'Reilly, Jacqueline; Meryon, Marc</t>
  </si>
  <si>
    <t>RESEARCH POLICY</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</si>
  <si>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t>
  </si>
  <si>
    <t>0048-7333</t>
  </si>
  <si>
    <t>1873-7625</t>
  </si>
  <si>
    <t>WOS:000779264300007</t>
  </si>
  <si>
    <t>Toxic friends? The farther away, the less stressful: the impact of social distance to a dissociative group on consumer choices</t>
  </si>
  <si>
    <t>Wen, Na; Guo, Wenxia</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</si>
  <si>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t>
  </si>
  <si>
    <t>WOS:000590768300001</t>
  </si>
  <si>
    <t>Barsanti, Sara; Vola, Federico; Bonciani, Manila</t>
  </si>
  <si>
    <t>INTERNATIONAL JOURNAL OF HEALTH PLANNING AND MANAGEMENT</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</si>
  <si>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t>
  </si>
  <si>
    <t>0749-6753</t>
  </si>
  <si>
    <t>1099-1751</t>
  </si>
  <si>
    <t>WOS:000509625100036</t>
  </si>
  <si>
    <t>Chambel, Maria Jose; Sobral, Filipa; Espada, Mafalda; Curral, Luis</t>
  </si>
  <si>
    <t>EUROPEAN JOURNAL OF WORK AND ORGANIZATIONAL PSYCHOLOGY</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</si>
  <si>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t>
  </si>
  <si>
    <t>Curral, Luis/C-2921-2013</t>
  </si>
  <si>
    <t>Curral, Luis/0000-0001-7730-7877; Sobral, Filipa/0000-0002-8621-2738</t>
  </si>
  <si>
    <t>1359-432X</t>
  </si>
  <si>
    <t>1464-0643</t>
  </si>
  <si>
    <t>WOS:000350966900002</t>
  </si>
  <si>
    <t>Sescleifer, Anne M.; Francoisse, Caitlin A.; Webber, Janna C.; Rector, Jeffrey D.; Lin, Alexander Y.</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</si>
  <si>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t>
  </si>
  <si>
    <t>Lin, Alexander/0000-0003-4599-7230</t>
  </si>
  <si>
    <t>JAN 9</t>
  </si>
  <si>
    <t>e0227686</t>
  </si>
  <si>
    <t>WOS:000534341100033</t>
  </si>
  <si>
    <t>Triangular love-hate: management and control in creative crowdworking</t>
  </si>
  <si>
    <t>Schoerpf, Philip; Flecker, Joerg; Schoenauer, Annika; Eichmann, Hubert</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</si>
  <si>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t>
  </si>
  <si>
    <t>WOS:000395716500004</t>
  </si>
  <si>
    <t>Alewell, Dorothea; Hauff, Sven; Thommes, Kirsten; Weiland, Katrin</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</si>
  <si>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 have to be triggered. We analyze theoretically and empirically which triggers are relevant. In our definition, HR outsourcing includes a broad range of internal HR functions and the respective, externally procured personnel services (e. g., temporary agency work, payroll accounting, interim management, outplacement services, HR consulting, placement services and others).</t>
  </si>
  <si>
    <t>Alewell, Dorothea/0000-0002-2806-5100; Thommes, Kirsten/0000-0002-8057-7162; Hauff, Sven/0000-0002-4706-4533</t>
  </si>
  <si>
    <t>WOS:000268729500009</t>
  </si>
  <si>
    <t>Tropical Cyclone Intensity Estimation Using Multi-Dimensional Convolutional Neural Networks from Geostationary Satellite Data</t>
  </si>
  <si>
    <t>Lee, Juhyun; Im, Jungho; Cha, Dong-Hyun; Park, Haemi; Sim, Seongmun</t>
  </si>
  <si>
    <t>REMOTE SENSING</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</si>
  <si>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t>
  </si>
  <si>
    <t>Park, Haemi/AAT-8042-2020; Cha, Dong-Hyun/F-4901-2015; Im, Jungho/K-6257-2017</t>
  </si>
  <si>
    <t>Park, Haemi/0000-0002-4289-0713; Cha, Dong-Hyun/0000-0001-5053-6741; Im, Jungho/0000-0002-4506-6877</t>
  </si>
  <si>
    <t>2072-4292</t>
  </si>
  <si>
    <t>WOS:000515391700108</t>
  </si>
  <si>
    <t>TruCentive: A Game-theoretic Incentive Platform for Trustworthy Mobile Crowdsourcing Parking Services</t>
  </si>
  <si>
    <t>Hoh, Baik; Yan, Tingxin; Ganesan, Deepak; Tracton, Kenneth; Iwuchukwu, Toch; Lee, Juong-Sik</t>
  </si>
  <si>
    <t>2012 15TH INTERNATIONAL IEEE CONFERENCE ON INTELLIGENT TRANSPORTATION SYSTEMS (ITSC)</t>
  </si>
  <si>
    <t>15th International IEEE Conference on Intelligent Transportation Systems (ITSC)</t>
  </si>
  <si>
    <t>SEP 16-19, 2012</t>
  </si>
  <si>
    <t>Anchorage, AK</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</si>
  <si>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t>
  </si>
  <si>
    <t>2153-0009</t>
  </si>
  <si>
    <t>978-1-4673-3063-3</t>
  </si>
  <si>
    <t>WOS:000312599600027</t>
  </si>
  <si>
    <t>Trust and commitment: Effect of applying consumer data rights on US Consumers' attitudes toward online retailers in big data era</t>
  </si>
  <si>
    <t>Willis, Brooke; Jai, Tunmin (Catherine); Lauderdale, Mitzi</t>
  </si>
  <si>
    <t>JOURNAL OF CONSUMER BEHAVIOUR</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</si>
  <si>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t>
  </si>
  <si>
    <t>Jai, Tun-Min (Catherine)/0000-0001-5054-3183; Willis, Brooke/0000-0002-4453-1271</t>
  </si>
  <si>
    <t>1472-0817</t>
  </si>
  <si>
    <t>1479-1838</t>
  </si>
  <si>
    <t>WOS:000707606600001</t>
  </si>
  <si>
    <t>Berg, Lisbet; Slettemeas, Dag; Kjorstad, Ingrid; Rosenberg, Thea Grav</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</si>
  <si>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t>
  </si>
  <si>
    <t>WOS:000506907200001</t>
  </si>
  <si>
    <t>Trusted strangers: Carework platforms' cultural entrepreneurship in the on-demand economy</t>
  </si>
  <si>
    <t>Ticona, Julia; Mateescu, Alexandra</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</si>
  <si>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t>
  </si>
  <si>
    <t>WOS:000449285600023</t>
  </si>
  <si>
    <t>Tuning Crowdsourced Human Computation</t>
  </si>
  <si>
    <t>Cao, Chen; Tu, Jiayang; Liu, Zheng; Chen, Lei; Jagadish, H. V.</t>
  </si>
  <si>
    <t>2017 IEEE 33RD INTERNATIONAL CONFERENCE ON DATA ENGINEERING (ICDE 2017)</t>
  </si>
  <si>
    <t>IEEE 33rd International Conference on Data Engineering (ICDE)</t>
  </si>
  <si>
    <t>APR 19-22, 2017</t>
  </si>
  <si>
    <t>IEEE,IEEE Comp Soc,Data Engn,Huawei,Intel,IBM,Microsoft,Amazon,SAP,CISCO,UC San Diego,Gordon &amp; Betty Moore Fdn,WEKA IO</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</si>
  <si>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t>
  </si>
  <si>
    <t>978-1-5090-6543-1</t>
  </si>
  <si>
    <t>WOS:000403398200141</t>
  </si>
  <si>
    <t>Martin, David; O'Neill, Jacki; Gupta, Neha; Hanrahan, Benjamin V.</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</si>
  <si>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t>
  </si>
  <si>
    <t>WOS:000374661400002</t>
  </si>
  <si>
    <t>uber-Alienated: Powerless and Alone in the Gig Economy</t>
  </si>
  <si>
    <t>Glavin, Paul; Bierman, Alex; Schieman, Scott</t>
  </si>
  <si>
    <t>WORK AND OCCUPATIONS</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</si>
  <si>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t>
  </si>
  <si>
    <t>Glavin, Paul/0000-0003-2813-4791</t>
  </si>
  <si>
    <t>0730-8884</t>
  </si>
  <si>
    <t>1552-8464</t>
  </si>
  <si>
    <t>WOS:000665246700001</t>
  </si>
  <si>
    <t>Glaser, Alana Lee</t>
  </si>
  <si>
    <t>ANTHROPOLOGY OF WORK REVIEW</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</si>
  <si>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t>
  </si>
  <si>
    <t>Glaser, Alana/0000-0003-2389-1347</t>
  </si>
  <si>
    <t>0883-024X</t>
  </si>
  <si>
    <t>1548-1417</t>
  </si>
  <si>
    <t>WOS:000679662000004</t>
  </si>
  <si>
    <t>Engle, Sophie; Whalen, Sean; Joshi, Alark; Pollard, Katherine S.</t>
  </si>
  <si>
    <t>BMC BIOINFORMATICS</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</si>
  <si>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t>
  </si>
  <si>
    <t>Joshi, Alark/0000-0002-3180-8075; Engle, Sophie/0000-0003-4637-2953</t>
  </si>
  <si>
    <t>1471-2105</t>
  </si>
  <si>
    <t>FEB 15</t>
  </si>
  <si>
    <t>WOS:000397487600002</t>
  </si>
  <si>
    <t>Unconstrained Face Recognition: Establishing Baseline Human Performance via Crowdsourcing</t>
  </si>
  <si>
    <t>Best-Rowden, Lacey; Bisht, Shiwani; Klontz, Joshua C.; Jain, Anil K.</t>
  </si>
  <si>
    <t>2014 IEEE/IAPR INTERNATIONAL JOINT CONFERENCE ON BIOMETRICS (IJCB 2014)</t>
  </si>
  <si>
    <t>IEEE/IAPR International Joint Conference on Biometrics (IJCB)</t>
  </si>
  <si>
    <t>SEP 29-OCT 02, 2014</t>
  </si>
  <si>
    <t>Clearwater, FL</t>
  </si>
  <si>
    <t>IEEE,IAPR,IEEE Biometr Council,Lumidigm,Safran Morpho,Nielsen,3dMD,Cognitec,Cross Resolve, ,,Digital Signal Corp,Integrated Biometr,Morgan &amp; Claypool,SRI Int</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</si>
  <si>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t>
  </si>
  <si>
    <t>978-1-4799-3584-0</t>
  </si>
  <si>
    <t>WOS:000723659900075</t>
  </si>
  <si>
    <t>Wibowo, Santoso; Deng, Hepu; Duan, Sophia</t>
  </si>
  <si>
    <t>PACIFIC ASIA JOURNAL OF THE ASSOCIATION FOR INFORMATION SYSTEMS</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</si>
  <si>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t>
  </si>
  <si>
    <t>1943-7536</t>
  </si>
  <si>
    <t>1943-7544</t>
  </si>
  <si>
    <t>WOS:000789480700002</t>
  </si>
  <si>
    <t>Zhang, Yiyue; Rios, Kimberly</t>
  </si>
  <si>
    <t>In four studies (N=1176),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t>
  </si>
  <si>
    <t>WOS:000714306000001</t>
  </si>
  <si>
    <t>Zigerell, L. J.</t>
  </si>
  <si>
    <t>SOCIAL SCIENCE JOURNAL</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</si>
  <si>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t>
  </si>
  <si>
    <t>0362-3319</t>
  </si>
  <si>
    <t>1873-5355</t>
  </si>
  <si>
    <t>WOS:000598486300002</t>
  </si>
  <si>
    <t>Neo, Loo Seng</t>
  </si>
  <si>
    <t>INTERNATIONAL JOURNAL OF CYBER WARFARE AND TERRORISM</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</si>
  <si>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t>
  </si>
  <si>
    <t>1947-3435</t>
  </si>
  <si>
    <t>1947-3443</t>
  </si>
  <si>
    <t>WOS:000811798700008</t>
  </si>
  <si>
    <t>Wiredu, Gamel O.</t>
  </si>
  <si>
    <t>INFORMATION SYSTEMS JOURNAL</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</si>
  <si>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t>
  </si>
  <si>
    <t>Wiredu, Gamel O./AAW-5345-2021</t>
  </si>
  <si>
    <t>Wiredu, Gamel O./0000-0002-5387-0929</t>
  </si>
  <si>
    <t>1350-1917</t>
  </si>
  <si>
    <t>1365-2575</t>
  </si>
  <si>
    <t>WOS:000286840400004</t>
  </si>
  <si>
    <t>Narayan, Abhay; Das, Amitava</t>
  </si>
  <si>
    <t>2019 11TH INTERNATIONAL CONFERENCE ON COMMUNICATION SYSTEMS &amp; NETWORKS (COMSNETS)</t>
  </si>
  <si>
    <t>11th International Conference on Communication Systems &amp; Networks (COMSNETS)</t>
  </si>
  <si>
    <t>JAN 07-11, 2019</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</si>
  <si>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t>
  </si>
  <si>
    <t>Das, Amitava/AAJ-5682-2020</t>
  </si>
  <si>
    <t>978-1-5386-7902-9</t>
  </si>
  <si>
    <t>WOS:000470001000060</t>
  </si>
  <si>
    <t>Toni, Martina; Renzi, Maria Francesca; Mattia, Giovanni</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</si>
  <si>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(C) 2017 Elsevier Ltd. All rights reserved.</t>
  </si>
  <si>
    <t>Renzi, Maria Francesca/ABE-4324-2021</t>
  </si>
  <si>
    <t>TONI, Martina/0000-0002-2179-3519</t>
  </si>
  <si>
    <t>WOS:000423002500127</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</si>
  <si>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</si>
  <si>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</si>
  <si>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WOS:000273457500003</t>
  </si>
  <si>
    <t>Fieseler, Christian; Bucher, Eliane; Hoffmann, Christian Pieter</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</si>
  <si>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t>
  </si>
  <si>
    <t>Fieseler, Christian/J-4802-2019</t>
  </si>
  <si>
    <t>Fieseler, Christian/0000-0002-2466-3867; Hoffmann, Christian Pieter/0000-0002-5282-6950</t>
  </si>
  <si>
    <t>WOS:000468179200007</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</si>
  <si>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t>
  </si>
  <si>
    <t>WOS:000427758700007</t>
  </si>
  <si>
    <t>10.1016/j.infoorg.2021.100337</t>
  </si>
  <si>
    <t>Faraj, Samer; Renno, Wadih; Bhardwaj, Anand</t>
  </si>
  <si>
    <t>INFORMATION AND ORGANIZATION</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</si>
  <si>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t>
  </si>
  <si>
    <t>Renno, Wadih/H-1203-2018; Faraj, Samer/B-7934-2008</t>
  </si>
  <si>
    <t>Renno, Wadih/0000-0003-4999-0538; Faraj, Samer/0000-0002-6585-0351</t>
  </si>
  <si>
    <t>1471-7727</t>
  </si>
  <si>
    <t>1873-7919</t>
  </si>
  <si>
    <t>WOS:000636427200001</t>
  </si>
  <si>
    <t>Caldeira, Joao; Abreu, Fernando Brito e; Cardoso, Jorge; dos Reis, Jose Pereira</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</si>
  <si>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(approximate to 43%) between software cyclomatic complexity and process cyclomatic complexity. Using only process driven metrics, we computed approximate to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t>
  </si>
  <si>
    <t>dos Reis, José Pereira/GPK-8629-2022; Caldeira, João/EHV-7151-2022; Caldeira, Joao/D-6245-2016; Pereira dos Reis, Jose/D-9145-2016</t>
  </si>
  <si>
    <t>Caldeira, Joao/0000-0003-0960-0179; Cardoso, Jorge/0000-0001-8992-3466; Pereira dos Reis, Jose/0000-0002-2505-9565</t>
  </si>
  <si>
    <t>WOS:000740102300003</t>
  </si>
  <si>
    <t>Use or Consequences: Probing the Cognitive Difference Between Two Measures of Divergent Thinking</t>
  </si>
  <si>
    <t>Hass, Richard W.; Beaty, Roger E.</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</si>
  <si>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t>
  </si>
  <si>
    <t>Hass, Richard/0000-0002-9545-4800; Beaty, Roger/0000-0001-6114-5973</t>
  </si>
  <si>
    <t>WOS:000451487200001</t>
  </si>
  <si>
    <t>User Effort Minimization Through Adaptive Diversification</t>
  </si>
  <si>
    <t>Hasan, Mahbub; Kashyap, Abhijith; Hristidis, Vagelis; Tsotras, Vassilis</t>
  </si>
  <si>
    <t>PROCEEDINGS OF THE 20TH ACM SIGKDD INTERNATIONAL CONFERENCE ON KNOWLEDGE DISCOVERY AND DATA MINING (KDD'14)</t>
  </si>
  <si>
    <t>20th ACM SIGKDD International Conference on Knowledge Discovery and Data Mining (KDD)</t>
  </si>
  <si>
    <t>AUG 24-27, 2014</t>
  </si>
  <si>
    <t>Assoc Comp Machinery,ACM SIGKDD,ACM SIGMOD</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</si>
  <si>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t>
  </si>
  <si>
    <t>Hasan, Mahbub/ACO-6114-2022</t>
  </si>
  <si>
    <t>Tsotras, Vassilis/0000-0001-5462-9451; Christidis, Evangelos/0000-0001-8905-2832</t>
  </si>
  <si>
    <t>978-1-4503-2956-9</t>
  </si>
  <si>
    <t>WOS:000668155900025</t>
  </si>
  <si>
    <t>He, Xing; Zhang, Hansi; Bian, Jiang</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</si>
  <si>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 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Fl-scores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t>
  </si>
  <si>
    <t>Bian, Jiang/0000-0002-2238-5429; He, Xing/0000-0003-0290-8058</t>
  </si>
  <si>
    <t>WOS:000579807600024</t>
  </si>
  <si>
    <t>INTERNATIONAL JOURNAL OF HUMAN-COMPUTER STUDIES</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</si>
  <si>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t>
  </si>
  <si>
    <t>Toch, Eran/AAD-6233-2019</t>
  </si>
  <si>
    <t>1071-5819</t>
  </si>
  <si>
    <t>1095-9300</t>
  </si>
  <si>
    <t>WOS:000682983600004</t>
  </si>
  <si>
    <t>INFORMATION PROCESSING &amp; MANAGEMENT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</si>
  <si>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(C) 2012 Elsevier Ltd. All rights reserved.</t>
  </si>
  <si>
    <t>0306-4573</t>
  </si>
  <si>
    <t>1873-5371</t>
  </si>
  <si>
    <t>WOS:000309794000003</t>
  </si>
  <si>
    <t>USING EMOTIONAL NOISE TO UNCLOUD AUDIO-VISUAL EMOTION PERCEPTUAL EVALUATION</t>
  </si>
  <si>
    <t>Provost, Emily Mower; Zhu, Irene; Narayanan, Shrikanth</t>
  </si>
  <si>
    <t>2013 IEEE INTERNATIONAL CONFERENCE ON MULTIMEDIA AND EXPO (ICME 2013)</t>
  </si>
  <si>
    <t>IEEE International Conference on Multimedia and Expo Workshops (ICMEW)</t>
  </si>
  <si>
    <t>JUL 15-19, 2013</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</si>
  <si>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t>
  </si>
  <si>
    <t>Narayanan, Shrikanth S/D-5676-2012</t>
  </si>
  <si>
    <t>Provost, Emily/0000-0003-1870-6063</t>
  </si>
  <si>
    <t>1945-7871</t>
  </si>
  <si>
    <t>978-1-4799-0015-2</t>
  </si>
  <si>
    <t>WOS:000346507500116</t>
  </si>
  <si>
    <t>Using Simulation Games to Teach Global Software Engineering Courses</t>
  </si>
  <si>
    <t>Zeid, Amir</t>
  </si>
  <si>
    <t>FRONTIERS IN EDUCATION CONFERENCE (FIE), 2015</t>
  </si>
  <si>
    <t>45th Annual Frontiers in Education Conference (FIE)</t>
  </si>
  <si>
    <t>OCT 21-24, 2015</t>
  </si>
  <si>
    <t>El Paso, TX</t>
  </si>
  <si>
    <t>IEEE Educ Soc,IEEE Comp Soc,ASEE Educ Res &amp; Methods Div,New Mexico State Univ,Univ Texas El Paso,Hewlett Packard,VentureWell,Markkula Ctr Appl Eth,IEEE</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</si>
  <si>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t>
  </si>
  <si>
    <t>978-1-4799-8454-1</t>
  </si>
  <si>
    <t>WOS:000371705200095</t>
  </si>
  <si>
    <t>Using Stakeholder Theory to Examine Drivers' Stake in Uber</t>
  </si>
  <si>
    <t>Ma, Ning F.; Yuan, Chien Wen; Ghafurian, Moojan; Hanrahan, Benjamin</t>
  </si>
  <si>
    <t>PROCEEDINGS OF THE 2018 CHI CONFERENCE ON HUMAN FACTORS IN COMPUTING SYSTEMS (CHI 2018)</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</si>
  <si>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t>
  </si>
  <si>
    <t>Ghafurian, Moojan/0000-0001-5432-4236</t>
  </si>
  <si>
    <t>978-1-4503-5620-6</t>
  </si>
  <si>
    <t>WOS:000509673101008</t>
  </si>
  <si>
    <t>Merali, Hasan S.; Lin, Li-Yi; Li, Qingfeng; Bhalla, Kavi</t>
  </si>
  <si>
    <t>INJURY PREVENTION</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</si>
  <si>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degrees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t>
  </si>
  <si>
    <t>Merali, Hasan/AAT-4812-2021; Li, Qingfeng/J-9520-2016</t>
  </si>
  <si>
    <t>Merali, Hasan/0000-0002-0486-0425; Li, Qingfeng/0000-0002-6390-6921</t>
  </si>
  <si>
    <t>1353-8047</t>
  </si>
  <si>
    <t>1475-5785</t>
  </si>
  <si>
    <t>WOS:000523453000003</t>
  </si>
  <si>
    <t>Helle, Ashley C.; DeShong, Hilary L.; Lengel, Gregory J.; Meyer, Neil A.; Butler, Jaiden; Mullins-Sweatt, Stephanie N.</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</si>
  <si>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t>
  </si>
  <si>
    <t>DeShong, Hilary L./I-7030-2019</t>
  </si>
  <si>
    <t>DeShong, Hilary/0000-0001-8998-930X</t>
  </si>
  <si>
    <t>DEC 1</t>
  </si>
  <si>
    <t>WOS:000446144900017</t>
  </si>
  <si>
    <t>Zhang, Ying; Ali, Farhad; Wang, Kunhao; Nazir, Shah; Leng, Zeqi</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</si>
  <si>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 method will select the crowd according to their unique characteristics such as their skills, experiences, expertise, and knowledge.</t>
  </si>
  <si>
    <t>Nazir, Shah/D-2020-2015; ALI, FARHAD/AAT-8679-2021</t>
  </si>
  <si>
    <t>Nazir, Shah/0000-0003-0126-9944; ALI, FARHAD/0000-0001-8164-9511</t>
  </si>
  <si>
    <t>JUL 16</t>
  </si>
  <si>
    <t>WOS:000680530900003</t>
  </si>
  <si>
    <t>Reed, Derek D.; Becirevic, Amel; Atchley, Paul; Kaplan, Brent A.; Liese, Bruce S.</t>
  </si>
  <si>
    <t>PSYCHOLOGICAL RECORD</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</si>
  <si>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t>
  </si>
  <si>
    <t>Reed, Derek/0000-0002-5854-3425; Atchley, Paul/0000-0002-5261-4130; Kaplan, Brent/0000-0002-3758-6776</t>
  </si>
  <si>
    <t>0033-2933</t>
  </si>
  <si>
    <t>2163-3452</t>
  </si>
  <si>
    <t>WOS:000374336600006</t>
  </si>
  <si>
    <t>Vendors' Perspectives of Coordination in the Information Technology Offshore Outsourcing Industry: An Exploratory Study from the Philippines</t>
  </si>
  <si>
    <t>Ambe, Aloha May Hufana; Brereton, Margot F.; Rittenbruch, Markus</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</si>
  <si>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t>
  </si>
  <si>
    <t>Rittenbruch, Markus/J-1015-2012; Brereton, Margot/J-1021-2012</t>
  </si>
  <si>
    <t>Rittenbruch, Markus/0000-0001-9279-1599; Brereton, Margot/0000-0002-0982-3404; Ambe, Aloha/0000-0002-1337-6467</t>
  </si>
  <si>
    <t>WOS:000389809500026</t>
  </si>
  <si>
    <t>Hu, Yinin; Jiang, Boxiang; Kim, Helen; Schroen, Anneke T.; Smith, Philip W.; Rasmussen, Sara K.</t>
  </si>
  <si>
    <t>JOURNAL OF SURGICAL EDUCATION</t>
  </si>
  <si>
    <t>102nd Annual Clinical Congress and Scientific Forum of the American-College-of-Surgeons (ACS)/Excelsior-Society</t>
  </si>
  <si>
    <t>OCT 16-20, 2016</t>
  </si>
  <si>
    <t>Amer Coll Surg,Excelsior Soc</t>
  </si>
  <si>
    <t>BACKGROUND: Evaluation of fundamental surgical skills is invaluable to the training of medical students and junior residents. This study assessed the effectiveness of crowd 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(alpha).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(alpha = 0.95) than the strength of correlation between any 2 individual expert evaluators (alpha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(C) 2017 Association of Program Directors in Surgery. Published by Elsevier Inc. All rights reserved.</t>
  </si>
  <si>
    <t>Hu, Yinin/0000-0002-4324-9530</t>
  </si>
  <si>
    <t>1931-7204</t>
  </si>
  <si>
    <t>1878-7452</t>
  </si>
  <si>
    <t>WOS:000434907100019</t>
  </si>
  <si>
    <t>Garro-Abarca, Victor; Palos-Sanchez, Pedro; Aguayo-Camacho, Mariano</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</si>
  <si>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t>
  </si>
  <si>
    <t>Palos-Sanchez, Pedro/A-8952-2017</t>
  </si>
  <si>
    <t>Palos-Sanchez, Pedro/0000-0001-9966-0698; Aguayo-Camacho, Mariano/0000-0002-1375-3007</t>
  </si>
  <si>
    <t>FEB 17</t>
  </si>
  <si>
    <t>WOS:000624501600001</t>
  </si>
  <si>
    <t>Visualized Emotion Ontology: a model for representing visual cues of emotions</t>
  </si>
  <si>
    <t>Lin, Rebecca; Amith, Muhammad Tuan; Liang, Chen; Duan, Rui; Chen, Yong; Tao, Cui</t>
  </si>
  <si>
    <t>BMC MEDICAL INFORMATICS AND DECISION MAKING</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</si>
  <si>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bettermachine-readability (z = 1.12), linguistic quality (z = 0.61), and domain coverage (z = 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</si>
  <si>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Liang, Chen/U-1246-2018</t>
  </si>
  <si>
    <t>Liang, Chen/0000-0002-9803-9880; Lin, Rebecca/0000-0002-1469-0298; Tao, Cui/0000-0002-4267-1924; Amith, Muhammad/0000-0003-4333-1857</t>
  </si>
  <si>
    <t>1472-6947</t>
  </si>
  <si>
    <t>JUL 23</t>
  </si>
  <si>
    <t>WOS:000439486300011</t>
  </si>
  <si>
    <t>'Voice' and 'Choice' in Modern Working Practices: Problems With the Taylor Review</t>
  </si>
  <si>
    <t>Bales, Katie; Bogg, Alan; Novitz, Tonia</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</si>
  <si>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t>
  </si>
  <si>
    <t>WOS:000427931700002</t>
  </si>
  <si>
    <t>Voice through exit: Changing working conditions by independent contractors' participation</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</si>
  <si>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t>
  </si>
  <si>
    <t>Ruiner, Caroline/AAS-5737-2020</t>
  </si>
  <si>
    <t>WOS:000595098200005</t>
  </si>
  <si>
    <t>Rossier, Ted D.</t>
  </si>
  <si>
    <t>SOCIAL SCIENCE QUARTERLY</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</si>
  <si>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t>
  </si>
  <si>
    <t>0038-4941</t>
  </si>
  <si>
    <t>1540-6237</t>
  </si>
  <si>
    <t>WOS:000695922100001</t>
  </si>
  <si>
    <t>Vroom!: A Search Engine for Sounds by Vocal Imitation Queries</t>
  </si>
  <si>
    <t>Zhang, Yichi; Hu, Junbo; Zhang, Yiting; Pardo, Bryan; Duan, Zhiyao</t>
  </si>
  <si>
    <t>CHIIR'20: PROCEEDINGS OF THE 2020 CONFERENCE ON HUMAN INFORMATION INTERACTION AND RETRIEVAL</t>
  </si>
  <si>
    <t>5th ACM SIGIR Conference on Human Information Interaction and Retrieval (CHIIR)</t>
  </si>
  <si>
    <t>AUG 13-14, 2020</t>
  </si>
  <si>
    <t>ACM Special Interest Grp Informat Retrieval,ACM SIGCHI,Assoc Comp Machinery</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</si>
  <si>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t>
  </si>
  <si>
    <t>978-1-4503-6892-6</t>
  </si>
  <si>
    <t>WOS:000614660700005</t>
  </si>
  <si>
    <t>Wage Slave or Entrepreneur?: Contesting the Dualism of Legal Worker Identities</t>
  </si>
  <si>
    <t>Dubal, V. B.</t>
  </si>
  <si>
    <t>CALIFORNIA LAW REVIEW</t>
  </si>
  <si>
    <t>Today, whether a worker is legally classified as an employeeor an independent contractordetermines whether he or she is entitled to employment and labor law protections. With the proliferation of the on- 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 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 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t>
  </si>
  <si>
    <t>0008-1221</t>
  </si>
  <si>
    <t>1942-6542</t>
  </si>
  <si>
    <t>WOS:000396634200002</t>
  </si>
  <si>
    <t>Hipp, J. Aaron; Manteiga, Alicia; Burgess, Amanda; Stylianou, Abby; Pless, Robert</t>
  </si>
  <si>
    <t>FRONTIERS IN PUBLIC HEALTH</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</si>
  <si>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t>
  </si>
  <si>
    <t>Hipp, J. Aaron/AAF-9869-2021</t>
  </si>
  <si>
    <t>Hipp, J. Aaron/0000-0002-2394-7112</t>
  </si>
  <si>
    <t>2296-2565</t>
  </si>
  <si>
    <t>MAY 19</t>
  </si>
  <si>
    <t>WOS:000408278400001</t>
  </si>
  <si>
    <t>Lazaridis, Christos; Goldenberg, Fernando D.; Mansour, Ali; Kramer, Christopher; Tate, Alexandra</t>
  </si>
  <si>
    <t>WORLD NEUROSURGERY</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</si>
  <si>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t>
  </si>
  <si>
    <t>, Ali/ABE-6372-2021</t>
  </si>
  <si>
    <t>, Ali/0000-0002-2658-074X; Lazaridis, Christos/0000-0003-1814-4830</t>
  </si>
  <si>
    <t>1878-8750</t>
  </si>
  <si>
    <t>1878-8769</t>
  </si>
  <si>
    <t>E377</t>
  </si>
  <si>
    <t>E385</t>
  </si>
  <si>
    <t>WOS:000774367300041</t>
  </si>
  <si>
    <t>What If the Rival Drives a Porsche? Luxury Car Spending as a Costly Signal in Male Intrasexual Competition</t>
  </si>
  <si>
    <t>Hennighausen, Christine; Hudders, Liselot; Lange, Benjamin P.; Fink, Hanna</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</si>
  <si>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x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t>
  </si>
  <si>
    <t>Hudders, Liselot/AAM-9871-2021</t>
  </si>
  <si>
    <t>Hudders, Liselot/0000-0002-9585-7175</t>
  </si>
  <si>
    <t>WOS:000391101300009</t>
  </si>
  <si>
    <t>Albakry, Sara; Vaniea, Kami; Wolters, Maria K.</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</si>
  <si>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t>
  </si>
  <si>
    <t>; Wolters, Maria/V-3245-2018</t>
  </si>
  <si>
    <t>Vaniea, Kami/0000-0001-8042-3342; Wolters, Maria/0000-0002-3369-3558</t>
  </si>
  <si>
    <t>WOS:000695432500041</t>
  </si>
  <si>
    <t>Melian-Gonzalez, Santiago; Bulchand-Gidumal, Jacques</t>
  </si>
  <si>
    <t>JOURNAL OF MANAGEMENT &amp; ORGANIZATION</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</si>
  <si>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t>
  </si>
  <si>
    <t>Bulchand-Gidumal, Jacques/0000-0001-8522-2013; Melian-Gonzalez, Santiago/0000-0002-7662-3154</t>
  </si>
  <si>
    <t>1833-3672</t>
  </si>
  <si>
    <t>1839-3527</t>
  </si>
  <si>
    <t>PII S1833367218000536</t>
  </si>
  <si>
    <t>WOS:000724347200003</t>
  </si>
  <si>
    <t>Kasim, AA; Pranolo, A; Hernandez, L; Wibawa, AP; Voliansky, R; Ngemba, HR; Drezewski, R; Zachir; Haviluddin</t>
  </si>
  <si>
    <t>Indrawan, Nadina Adelia; Sucahyo, Yudho Giri; Ruldeviyani, Yova; Gandhi, Arfive</t>
  </si>
  <si>
    <t>2020 6TH INTERNATIONAL CONFERENCE ON SCIENCE IN INFORMATION TECHNOLOGY (ICSITECH): EMBRACING INDUSTRY 4.0: TOWARDS INNOVATION IN DISASTER MANAGEMENT</t>
  </si>
  <si>
    <t>6th International Conference on Science in Information Technology (ICSITech) - Embracing Industry 4.0 - Towards Innovation in Disaster Managemenr</t>
  </si>
  <si>
    <t>OCT 21-22, 2020</t>
  </si>
  <si>
    <t>Palu, INDONESIA</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</si>
  <si>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Naive Bayes, Complement Naive Bayes classifier, and Binary Relevance, Classifier Chain, and Label Power Sets as the data transformation method. This study used the reviews contained in the Gojek, Sampingan, and Ruang Guru applications, with 10,123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t>
  </si>
  <si>
    <t>978-1-7281-7349-8</t>
  </si>
  <si>
    <t>WOS:000675840500013</t>
  </si>
  <si>
    <t>Galiere, Sophia</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</si>
  <si>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t>
  </si>
  <si>
    <t>GALIERE, Sophia/0000-0001-6948-0688</t>
  </si>
  <si>
    <t>WOS:000596062500001</t>
  </si>
  <si>
    <t>Dahabiyeh, Laila; Najjar, Mohammad S.; Agrawal, Deepti</t>
  </si>
  <si>
    <t>ENTERTAINMENT COMPUTING</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</si>
  <si>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t>
  </si>
  <si>
    <t>Najjar, Mohammad S/M-3590-2017; Dahabiyeh, Laila/K-9756-2018</t>
  </si>
  <si>
    <t>Najjar, Mohammad S/0000-0002-2459-0784; Dahabiyeh, Laila/0000-0002-5946-2256</t>
  </si>
  <si>
    <t>1875-9521</t>
  </si>
  <si>
    <t>1875-953X</t>
  </si>
  <si>
    <t>WOS:000618344300004</t>
  </si>
  <si>
    <t>Sato, Shintaro; Arai, Akiko; Tsuji, Yosuke; Kay, Mark</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</si>
  <si>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x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t>
  </si>
  <si>
    <t>WOS:000514930500004</t>
  </si>
  <si>
    <t>Chambel, Maria Jose; Sobral, Filipa</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</si>
  <si>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t>
  </si>
  <si>
    <t>Chambel, Maria Jose/0000-0001-6588-7034; Sobral, Filipa/0000-0002-8621-2738</t>
  </si>
  <si>
    <t>WOS:000468942000005</t>
  </si>
  <si>
    <t>Bulchand-Gidumal, Jacques; Melian-Gonzalez, Santiago</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</si>
  <si>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t>
  </si>
  <si>
    <t>Melián-González, Santiago/ABF-9568-2021; Bulchand-Gidumal, Jacques/K-6642-2014</t>
  </si>
  <si>
    <t>APR 2019</t>
  </si>
  <si>
    <t>WOS:000465665400001</t>
  </si>
  <si>
    <t>Why Individuals Participate in Micro-task Crowdsourcing Work Environment: Revealing Crowdworkers' Perceptions</t>
  </si>
  <si>
    <t>Deng, Xuefei (Nancy); Joshi, K. D.</t>
  </si>
  <si>
    <t>JOURNAL OF THE ASSOCIATION FOR INFORMATION SYSTEMS</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</si>
  <si>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t>
  </si>
  <si>
    <t>Joshi, K. D. ; Kshiti, KD/0000-0002-2103-9495</t>
  </si>
  <si>
    <t>1536-9323</t>
  </si>
  <si>
    <t>1558-3457</t>
  </si>
  <si>
    <t>WOS:000393065500001</t>
  </si>
  <si>
    <t>Why lose control? A Study of Freelancers' Experiences with Gig Economy Platforms</t>
  </si>
  <si>
    <t>De La Vega, Juan Carlos Alvarez; Cecchinato, Marta E.; Rooksby, John</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</si>
  <si>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findings reveal tensions between wanting autonomy and control and the necessity of opportunities and convenience. Freelancing platforms are perceived as systems that present advantages to find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t>
  </si>
  <si>
    <t>Cecchinato, Marta/0000-0002-0627-8658; Rooksby, John/0000-0002-4719-4389</t>
  </si>
  <si>
    <t>WOS:000758168003059</t>
  </si>
  <si>
    <t>Why Not Interview? Investigating Interviews as a Method for Judging Honesty-Humility</t>
  </si>
  <si>
    <t>Pike, Melissa D.; Powell, Deborah M.; Bourdage, Joshua S.; Lukacik, Eden-Raye</t>
  </si>
  <si>
    <t>JOURNAL OF PERSONNEL PSYCHOLOGY</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</si>
  <si>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t>
  </si>
  <si>
    <t>Pike, Melissa/0000-0003-2208-9029; Powell, Deborah/0000-0001-6901-5671</t>
  </si>
  <si>
    <t>1866-5888</t>
  </si>
  <si>
    <t>2190-5150</t>
  </si>
  <si>
    <t>WOS:000835425500002</t>
  </si>
  <si>
    <t>Why the Development Outcome Does Not Meet the Product Owners' Expectations?</t>
  </si>
  <si>
    <t>Lassenius, C; Dingsoyr, T; Paasivaara, M</t>
  </si>
  <si>
    <t>Lehtinen, Timo O. A.; Virtanen, Risto; Heikkila, Ville T.; Itkonen, Juha</t>
  </si>
  <si>
    <t>AGILE PROCESSES, IN SOFTWARE ENGINEERING, AND EXTREME PROGRAMMING, XP 2015</t>
  </si>
  <si>
    <t>16th International Conference on Agile Software Development (XP)</t>
  </si>
  <si>
    <t>MAY 25-29, 2015</t>
  </si>
  <si>
    <t>Helsinki, FINLAND</t>
  </si>
  <si>
    <t>Aalto Univ, Dept Comp Sci,Ericsson,Reaktor,Nitor,Nokia,Omenia,Agilefant</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</si>
  <si>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t>
  </si>
  <si>
    <t>978-3-319-18612-2; 978-3-319-18611-5</t>
  </si>
  <si>
    <t>WOS:000373725800008</t>
  </si>
  <si>
    <t>Willingness to Share Wearable Device Data for Research Among Mechanical Turk Workers: Web-Based Survey Study</t>
  </si>
  <si>
    <t>Taylor, Casey Overby; Flaks-Manov, Natalie; Ramesh, Shankar; Choe, Eun Kyoung</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</si>
  <si>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&gt;=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t>
  </si>
  <si>
    <t>Choe, Eun Kyoung/AAD-3809-2022; Choe, Eun Kyoung/AAB-8388-2019; Taylor, Casey/V-1271-2018</t>
  </si>
  <si>
    <t>Choe, Eun Kyoung/0000-0001-5038-8320; Choe, Eun Kyoung/0000-0001-5038-8320; Flaks Manov, Natalie/0000-0002-9163-6295; Taylor, Casey/0000-0001-9302-5968</t>
  </si>
  <si>
    <t>OCT 21</t>
  </si>
  <si>
    <t>e19789</t>
  </si>
  <si>
    <t>WOS:000715042600003</t>
  </si>
  <si>
    <t>Word Embedding Evaluation Datasets and Wikipedia Title Embedding for Chinese</t>
  </si>
  <si>
    <t>Calzolari, N; Choukri, K; Cieri, C; Hasida, K; Isahara, H; Maegaard, B; Mariani, J; Moreno, A; Odijk, J; Piperidis, S; Tokunaga, T; Goggi, S; Mazo, H</t>
  </si>
  <si>
    <t>Chen, Chi-Yen; Ma, Wei-Yun</t>
  </si>
  <si>
    <t>PROCEEDINGS OF THE ELEVENTH INTERNATIONAL CONFERENCE ON LANGUAGE RESOURCES AND EVALUATION (LREC 2018)</t>
  </si>
  <si>
    <t>11th International Conference on Language Resources and Evaluation (LREC)</t>
  </si>
  <si>
    <t>MAY 07-12, 2018</t>
  </si>
  <si>
    <t>Miyazaki, JAPAN</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</si>
  <si>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t>
  </si>
  <si>
    <t>979-10-95546-00-9</t>
  </si>
  <si>
    <t>WOS:000725545000132</t>
  </si>
  <si>
    <t>Lindberg, Monika; Ranner, Maria; Mansson-Lexell, Eva; Jacobsson, Lars; Larsson-Lund, Maria</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</si>
  <si>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 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t>
  </si>
  <si>
    <t>Larsson-Lund, Maria/0000-0002-0341-6197</t>
  </si>
  <si>
    <t>NOV 15</t>
  </si>
  <si>
    <t>e0260013</t>
  </si>
  <si>
    <t>WOS:000755305800084</t>
  </si>
  <si>
    <t>Bertolotti, Fabiola; Fabbri, Tommaso; Mandreoli, Federica; Martoglia, Riccardo; Scapolan, Anna Chiara</t>
  </si>
  <si>
    <t>2020 IEEE 17TH ANNUAL CONSUMER COMMUNICATIONS &amp; NETWORKING CONFERENCE (CCNC 2020)</t>
  </si>
  <si>
    <t>IEEE 17th Annual Consumer Communications and Networking Conference (CCNC)</t>
  </si>
  <si>
    <t>JAN 10-13, 2020</t>
  </si>
  <si>
    <t>Las Vegas, NV</t>
  </si>
  <si>
    <t>IEEE,IEEE Commun Soc</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</si>
  <si>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t>
  </si>
  <si>
    <t>2331-9852</t>
  </si>
  <si>
    <t>978-1-7281-3893-0</t>
  </si>
  <si>
    <t>WOS:000544236100041</t>
  </si>
  <si>
    <t>Worker Demographics and Earnings on Amazon Mechanical Turk: An Exploratory Analysis</t>
  </si>
  <si>
    <t>Hara, Kotaro; Adams, Abigail; Milland, Kristy; Savage, Saiph; Hanrahan, Benjamin V.; Bigham, Jeffrey P.; Callison-Burch, Chris</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</si>
  <si>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t>
  </si>
  <si>
    <t>Hara, Kotaro/0000-0002-7893-6090</t>
  </si>
  <si>
    <t>WOS:000482042101155</t>
  </si>
  <si>
    <t>Jansson, Anna Berg; Engstrom, Asa</t>
  </si>
  <si>
    <t>INTENSIVE AND CRITICAL CARE NURSING</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</si>
  <si>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(C) 2016 Elsevier Ltd. All rights reserved.</t>
  </si>
  <si>
    <t>0964-3397</t>
  </si>
  <si>
    <t>1532-4036</t>
  </si>
  <si>
    <t>WOS:000405251200003</t>
  </si>
  <si>
    <t>Working with Machines: The Impact of Algorithmic and Data-Driven Management on Human Workers</t>
  </si>
  <si>
    <t>Lee, Min Kyung; Kusbit, Daniel; Metsky, Evan; Dabbish, Laura</t>
  </si>
  <si>
    <t>CHI 2015: PROCEEDINGS OF THE 33RD ANNUAL CHI CONFERENCE ON HUMAN FACTORS IN COMPUTING SYSTEMS</t>
  </si>
  <si>
    <t>33rd Annual CHI Conference on Human Factors in Computing Systems (CHI)</t>
  </si>
  <si>
    <t>APR 18-23, 2015</t>
  </si>
  <si>
    <t>Assoc Comp Machinery,Assoc Comp Machinery Special Interest Grp Comp Human Interact</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</si>
  <si>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t>
  </si>
  <si>
    <t>978-1-4503-3145-6</t>
  </si>
  <si>
    <t>WOS:000412395501077</t>
  </si>
  <si>
    <t>Margaryan, Anoush; Albert, Julian; Charlton-Czaplicki, Timothy</t>
  </si>
  <si>
    <t>INTERNATIONAL JOURNAL OF TRAINING AND DEVELOPMENT</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</si>
  <si>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t>
  </si>
  <si>
    <t>Margaryan, Anoush/0000-0002-1740-8104; Albert, Julian/0000-0002-1134-1359</t>
  </si>
  <si>
    <t>1360-3736</t>
  </si>
  <si>
    <t>1468-2419</t>
  </si>
  <si>
    <t>WOS:000796025700001</t>
  </si>
  <si>
    <t>Guda, Harish; Subramanian, Upender</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</si>
  <si>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t>
  </si>
  <si>
    <t>Guda, Harish/0000-0002-3930-0399</t>
  </si>
  <si>
    <t>WOS:000467797300003</t>
  </si>
  <si>
    <t>Pooley, Alan; Chan, Jin Hooi</t>
  </si>
  <si>
    <t>INTERNATIONAL JOURNAL OF BUSINESS PERFORMANCE MANAGEMENT</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</si>
  <si>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t>
  </si>
  <si>
    <t>Chan, Jin Hooi/G-3736-2010; Chan, Jin Hooi/O-7171-2018</t>
  </si>
  <si>
    <t>Chan, Jin Hooi/0000-0002-6275-9763; Chan, Jin Hooi/0000-0002-6275-9763</t>
  </si>
  <si>
    <t>1368-4892</t>
  </si>
  <si>
    <t>1741-5039</t>
  </si>
  <si>
    <t>WOS:000607976100001</t>
  </si>
  <si>
    <t>A Comparison of Time-aware Ranking Methods</t>
  </si>
  <si>
    <t>Kanhabua, Nattiya; Norvag, Kjetil</t>
  </si>
  <si>
    <t>PROCEEDINGS OF THE 34TH INTERNATIONAL ACM SIGIR CONFERENCE ON RESEARCH AND DEVELOPMENT IN INFORMATION RETRIEVAL (SIGIR'11)</t>
  </si>
  <si>
    <t>34th International ACM SIGIR Conference on Research and Development in Information Retrieval (SIGIR)</t>
  </si>
  <si>
    <t>JUL 24-28, 2011</t>
  </si>
  <si>
    <t>ACM,ACM SIGIR</t>
  </si>
  <si>
    <t>978-1-4503-0934-9</t>
  </si>
  <si>
    <t>WOS:000693921300196</t>
  </si>
  <si>
    <t>Coluna1</t>
  </si>
  <si>
    <t>Coluna2</t>
  </si>
  <si>
    <t>Coluna3</t>
  </si>
  <si>
    <t>Coluna4</t>
  </si>
  <si>
    <t>Coluna5</t>
  </si>
  <si>
    <t>Coluna6</t>
  </si>
  <si>
    <t>Coluna7</t>
  </si>
  <si>
    <t>Coluna8</t>
  </si>
  <si>
    <t>Coluna9</t>
  </si>
  <si>
    <t>Coluna10</t>
  </si>
  <si>
    <t>Coluna11</t>
  </si>
  <si>
    <t>Coluna12</t>
  </si>
  <si>
    <t>Coluna13</t>
  </si>
  <si>
    <t>Coluna14</t>
  </si>
  <si>
    <t>http://dx.doi.org/10.25100/iyc.23il.9503</t>
  </si>
  <si>
    <t>Functional point of view: It allows identifying the user's requirements and relevant derivative acceptance criteria to establish priorities in the tests.</t>
  </si>
  <si>
    <t>It allows identifying the components, shared libraries, and the implementation that are part of the architecture.</t>
  </si>
  <si>
    <t>It allows to identify the technological knowledge level, available tools support, or quality assurance measures.</t>
  </si>
  <si>
    <t>It allows to identify the requirements that need complex functionalities that tend to introduce more failures during implementation.</t>
  </si>
  <si>
    <t>It allows to identify the size of the functions that could affect the number of failures in a system.</t>
  </si>
  <si>
    <t>It allows to see the general modification status of each requirement. RMS represents the degree of modification of a requirement by comparing the same requirement with the previous version.</t>
  </si>
  <si>
    <t>It allows to see the potential security threats (PST), it is used as an indicator of the security-related risks that reside in the requirements.</t>
  </si>
  <si>
    <t>It allows to identify the number of planned tests, implemented and completed, the number of failures by function, the number of hours used in the tests for fault found, and the number of hours of use in the default setting (to correct the error and return the retest function).</t>
  </si>
  <si>
    <t>Change identification and validation</t>
  </si>
  <si>
    <t>It allows to identify the change in functionality since the previous launch, the size of the function (that is, lines of code number), the complexity (this could be functional complexity or structural complexity), and the quality of the design documentation.</t>
  </si>
  <si>
    <t>C317</t>
  </si>
  <si>
    <t>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t>
  </si>
  <si>
    <t>Metrics to assess risk-based testing</t>
  </si>
  <si>
    <t>C318</t>
  </si>
  <si>
    <t>Metrics  to assess risk-based testing activities</t>
  </si>
  <si>
    <t>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t>
  </si>
  <si>
    <t>http://dx.doi.org/10.1155/2022/2600160</t>
  </si>
  <si>
    <t>It has been emphasized in the existing literature that the lack of face to face meeting as a crucial challenge for the individuals working in the Global software development environment. Geographical distance minimizes the chances of face to face communication to occur frequently. It occurs because the development teams are widely dispersed, and therefore, it affects the working of the project. Also, there is a probability of misunderstanding of requirement due to lack of interaction. In general, due to the geographical dispersion among sites, limited face to face meetings can decrease the opportunity of informal interaction which leads towards lack of team awareness and
 team cohesiveness. More than 40% of the articles [L84] Continuous meeing schedules, to observe roles and responsibilities of team members [L111]
 cited lack of face to face meeting as a crucial risk factor in Global software development that occur due to the increases in geographical distance [L84].</t>
  </si>
  <si>
    <t>Analyze Data in Real Time, DevOps data quality assessment can be achieved if challenge like analyzing data in real time is been performed smoothly, as discussed in literature.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[L44]. Continuous scalability and performance measure for better release [L111]</t>
  </si>
  <si>
    <t>Customer feedback to improve development[L111]</t>
  </si>
  <si>
    <t>C319</t>
  </si>
  <si>
    <t>Training of DevOps activities</t>
  </si>
  <si>
    <t>http://dx.doi.org/10.13053/CyS-26-2-4256</t>
  </si>
  <si>
    <t>http://dx.doi.org/10.1093/jpo/joab015</t>
  </si>
  <si>
    <t>Barriers connected to the parties. The organization does not own or control the inflow of work. Varying level of digitalization among the parties.</t>
  </si>
  <si>
    <t>Barriers connected to digital technologies. Deficiencies in the current digital environment. Increased security risk with digital technologies.</t>
  </si>
  <si>
    <t>http://dx.doi.org/10.22452/mjcs.vol34no1.5</t>
  </si>
  <si>
    <t>Personal aptitude of doing work L114</t>
  </si>
  <si>
    <t>Training and monitoring</t>
  </si>
  <si>
    <t>http://dx.doi.org/10.22581/muet1982.2202.15</t>
  </si>
  <si>
    <t>Lifelong learning is the development of competencies for performing the various roles required in human life and figuring out the skills of learning. 
Lifelong learning has to be interpreted in a second way too. We have to decide whether we mean by this all learning in the Hilgard senses (the "process by which an activity originates or is changed through reacting to an encountered situation, provided that the characteristics of the change in activity cannot be explained on the basis of native response tendencies, maturation, or temporary states of the organism, e.g., fatigue, drugs, etc.") or whether we mean formal education through schools, educational television, or training courses, i.e., within institutions established for educational purposes, which are maintained by specially trained personnel and persist over a certain period. GROSS, Ronald. The lifelong learner. 1977.</t>
  </si>
  <si>
    <t xml:space="preserve">The arguments supporting the effects of New Product Development content on on-time performance are based on the relationships of content characteristics with uncertainty in New Product Development processes. More significant product newness requires more design and development tasks to be completed, thereby increasing lead-time and lead-time uncertainty. Technological novelty also creates uncertainty in New Product Development. 
</t>
  </si>
  <si>
    <t>Swink, M. (2003). Completing projects on-time: how project acceleration affects new product development. Journal of Engineering and Technology Management, 20(4), 319-344. https://doi.org/10.1016/j.jengtecman.2003.08.002</t>
  </si>
  <si>
    <t xml:space="preserve">Completion of assigned or agreed-upon responsibilities is the key behaviors of Completes assigned tasks in a timely and efficient manner.
</t>
  </si>
  <si>
    <t>https://hr.unl.edu/compensation/nuvalues/keybehaviors1.shtml/</t>
  </si>
  <si>
    <t xml:space="preserve">Demonstrates initiative and responsibility for individual performance to get the job done under direct supervision.
</t>
  </si>
  <si>
    <t xml:space="preserve">The benefit of software tools to aid the production of software has long been established.
</t>
  </si>
  <si>
    <t>Papathanasiou, I. V., Kleisiaris, C. F., Fradelos, E. C., Kakou, K., &amp; Kourkouta, L. (2014). Critical Thinking: The Development of an Essential Skill for Nursing Students. Acta Informatica Medica, 22(4), 283-286. https://doi.org/10.5455/aim.2014.22.283-286</t>
  </si>
  <si>
    <t>The person applying critical thinking works to develop the following attitudes and characteristics independence of thought, fairness, insight into the personal and public level, humble intellect and postpone the crisis, spiritual courage, integrity, perseverance, self-confidence, research interest considerations not only behind the feelings and emotions but also behind the thoughts and curiosity</t>
  </si>
  <si>
    <t>Creativity in approach to problem solving</t>
  </si>
  <si>
    <t>Creativity in approach to problem solving. Ability to capture and get inspired by external success stories</t>
  </si>
  <si>
    <t>https://jobs.smartrecruiters.com/Deezer/743999708394926-churn-prevention-director</t>
  </si>
  <si>
    <t>Lee McIntyre has written a book aimed at the general reader in which he argues that what makes science special is something he calls the "scientific attitude." By the scientific attitude, he means a willingness to change one's theory in the light of new empirical evidence. This attitude is a community ethos, not a psychological trait of individual scientists. To be a scientist is to participate in a community that has agreed to critically evaluate all ideas in the light of empirical evidence.</t>
  </si>
  <si>
    <t xml:space="preserve">Lee McIntyre, The Scientific Attitude: Defending Science from Denial, Fraud, and Pseudoscience, MIT Press, 2019, 277pp., $27.95 (hbk), ISBN 9780262039833.
</t>
  </si>
  <si>
    <t>Hutchinson, J. C., &amp; Tenenbaum, G. (2006). Perceived effort — Can it be considered gestalt?. Psychology of Sport and Exercise, 7(5), 463-476. https://doi.org/10.1016/j.psychsport.2006.01.007</t>
  </si>
  <si>
    <t>Effort reflects the effort exerted by the participant to complete the task, while exertion reflects the overall perception of strain caused by the task.  Perceptual sensations representing three dimensions of perceived effort (sensory-discriminative, motivational-affective, and cognitive-evaluative dimensions).</t>
  </si>
  <si>
    <t>It is common for passive participants to doubt their abilities to contribute to discussions and instead believe that they will do more good by remaining silent. Individuals such as these would instead remain unresponsive than encounter negative responses as this would further amplify their lack of confidence. On the other hand, individuals will be more likely to transition to posters when they feel sufficiently secure that they will receive positive responses and that they will add value to the group.</t>
  </si>
  <si>
    <t>Amichai-Hamburger, Y., Gazit, T., Bar-Ilan, J., Perez, O., Aharony, N., Bronstein, J., &amp; Sarah Dyne, T. (2016). Psychological factors behind the lack of participation in online discussions. Computers in Human Behavior, 55, 268-277. https://doi.org/10.1016/j.chb.2015.09.009</t>
  </si>
  <si>
    <t>Instill the values of good human relations and the need for working cooperatively, accepting criticism gracefully, being courteous and enthusiastic in the work, and maintaining friendly relationships.</t>
  </si>
  <si>
    <t>CRAMER, Harold L. PREPARATION OF EDUCATIONAL SPECIFICATIONS. 1965.</t>
  </si>
  <si>
    <t>MOURTOS, Nikos J. Defining, teaching, and assessing engineering design skills. International Journal of Quality Assurance in Engineering and Technology Education (IJQAETE), v. 2, n. 1, p. 14-30, 2012.</t>
  </si>
  <si>
    <t>https://www.hrzone.com/perform/people/what-is-workplace-incivility-why-should-we-care-and-what-should-we-do</t>
  </si>
  <si>
    <t xml:space="preserve">In a stakeholders context. 
Civility is acting with empathy, compassion, and kindness in every interaction and treating everyone you connect with online with dignity and respect.
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</si>
  <si>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Communicate clearly with team members when speaking and writing. Understand the direction of the team. </t>
  </si>
  <si>
    <t xml:space="preserve">Communicate clearly with stakeholders when speaking and writing. Understand the direction of the stakeholders. </t>
  </si>
  <si>
    <t xml:space="preserve">Collaborative work friendly is the ability to function on multidisciplinary teams. In today’s multicultural world, this outcome also implies an ability to collaborate with people from different cultures, abilities, and backgrounds. </t>
  </si>
  <si>
    <t>SANDA, Mohammed-Aminu; KUADA, John. Influencing dynamics of culture and employee factors on retail banks’ performances in a developing country context. Management Research Review, v. 39, n. 5, p. 599-628, 2016.</t>
  </si>
  <si>
    <t>An organizational commitment can be viewed as being triggered by a combination of three conditions, namely, desire, compulsion, and obligation to work for the focal organization. The commitment provides a basis for employees to engage in organization-supportive behaviors. Also, when employees are committed to their organizations, they display more outstanding “social capital” in their relationships with other employees and customers.</t>
  </si>
  <si>
    <t>Kashdan, T. B., Elhai, J. D., &amp; Breen, W. E. (2008). Social anxiety and disinhibition: An analysis of curiosity and social rank appraisals, approach-avoidance conflicts, and disruptive risk-taking behavior. Journal of anxiety disorders, 22(6), 925. https://doi.org/10.1016/j.janxdis.2007.09.009</t>
  </si>
  <si>
    <t>Social Activities: Telling people what to do. Spending time with people who are sharp and witty. Giving a speech. Attending “wild uninhibited” parties. Laughing without reservation. Voicing strong personal values and opinions in a group of people. Initiating a conversation. Confessing or apologizing. Getting a massage or backrub. Outwitting a “superior”. Telling a joke. Criticizing someone. Giving and receiving physical affection. Expressing love to someone. Asking for help or advice. Meeting someone new. Getting together with friends. Expressing appreciation or gratitude to someone. Borrowing something. Teasing someone. Talking about sex. Defending or protecting someone. Complimenting or praising someone.</t>
  </si>
  <si>
    <t>The number of working hours per each expert/personnel, according to the tasks, in the Terms of Reference/purpose of the project program.
Experience and region [L90].
 Experience of the sites having working together [L37].</t>
  </si>
  <si>
    <t>CHANSEAU, Adeline et al. How does peoples’ perception of control depend on the criticality of a task performed by a robot. Paladyn, Journal of Behavioral Robotics, v. 10, n. 1, p. 380-400, 2019.</t>
  </si>
  <si>
    <t>According to relational complexity (RC) theory, complexity is a function of the number of related variables in the task, and the most difficult tasks are those in which there is a constraint on decomposition into simpler subtasks.</t>
  </si>
  <si>
    <t>HALFORD, Graeme S.; BUNCH, Katie; MCCREDDEN, J. E. Problem decomposability as a factor in complexity of the dimensional change card sort task. Cognitive Development, v. 22, n. 3, p. 384-391, 2007.</t>
  </si>
  <si>
    <t>Degree of Task formality description</t>
  </si>
  <si>
    <t>Degree of Task formality description is the role of methodology (techniques, graphs, formulas...) to perform or justify professional services. Furthermore, formality governs workplace relationships between professionals within organizations that allow greater or lesser professional autonomy.</t>
  </si>
  <si>
    <t>MIEG, Harald A.; DE SOMBRE, Steffen; NÄF, Matthias Andreas. How formality works: The case of environmental professionals. Professions and Professionalism, v. 3, n. 1, 2013.</t>
  </si>
  <si>
    <t xml:space="preserve">The first lifecycle phase is the Development phase. Here, several well-organized methods and tools are applied during the software development process. These enable participating actors to assess impacts on sustainability that result from the software product over its whole lifecycle. Furthermore, it allows them to take action to improve the software product in order to optimize its
impacts. Hopefully, this leads to a more sustainable software product design. 
The Distribution phase is relevant for both standard and custom software. It takes impacts on sustainability into account that result
from the production of the data medium, the packaging, or the download of software packages. 
The next lifecycle phase is the Acquisition phase. Here, the acquisition means that one evaluates different standard
software products, chooses one that fits the needs best, and purchases it from a software retailer. During software selection, persons responsible should also, besides technical, functional, or licensing criteria, consider sustainability criteria. 
The Deployment lifecycle phase considers aspects that are relevant for administrators during the deployment of software products. The Usage and Maintenance phase considers direct and
indirect sustainability effects, which evolve from the utilization of the software product. 
The Deactivation phase considers aspects that become relevant if software products are taken out of service. 
The disposal phase takes impacts on sustainability into account that result from the disposal of the data medium and packaging. </t>
  </si>
  <si>
    <t>Process phase (lifecycle)</t>
  </si>
  <si>
    <t>DICK, Markus; NAUMANN, Stefan. Enhancing Software Engineering Processes towards Sustainable Software Product Design. In: EnviroInfo. 2010. p. 706-715.</t>
  </si>
  <si>
    <t>Coupling to others tasks</t>
  </si>
  <si>
    <t>Collaborative coupling, in general terms, indicates the intensity of user-user interaction to perform a task. Collaborative task coupling is categorized into loosely coupled and tightly coupled.</t>
  </si>
  <si>
    <t>Sigitov, A., Hinkenjann, A., Kruijff, E., &amp; Staadt, O. (2018). Task Dependent Group Coupling and Territorial Behavior on Large Tiled Displays. Frontiers in Robotics and AI, 6. https://doi.org/10.3389/frobt.2019.00128</t>
  </si>
  <si>
    <t>Degree of collaborative task coupling</t>
  </si>
  <si>
    <t>Degree of Business Process maturity</t>
  </si>
  <si>
    <t>The Business Process Maturity Model (BPMM) is a conceptual model that compares the maturity of an organization’s current practices against an industry standard. It helps the organization set priorities for improving its product/service (P/S) operations using a proven strategy and developing the capability required to execute its business strategy. Through a BPMM, an organization can efficiently and effectively manage its business process in while trying to achieve and realize its business objectives and values. We can also analyze whether the process meets the needs and expectations of the related stakeholders by reviewing the “as-is” process and performing a BPMM-based gap analysis.</t>
  </si>
  <si>
    <t>LEE, Jihyun; LEE, Danhyung; KANG, Sungwon. An overview of the business process maturity model (BPMM). Advances in web and network technologies, and information management, p. 384-395, 2007.</t>
  </si>
  <si>
    <t>In a Global Software Development environment, the size of the project is small, medium, and large.</t>
  </si>
  <si>
    <t>WOŹNIAKOWSKI, Tomasz; JAŁOWIECKI, Piotr. Risk management in e-learning projects. Information Systems in Management, v. 1, 2012.</t>
  </si>
  <si>
    <t xml:space="preserve">Because various initiatives compete for the same employees, a possible lack of resources appears (such as overloading of key personnel, unavailability of experts, and unavailability of the necessary training or equipment), which may lead to failure in the project not going according to the plan. </t>
  </si>
  <si>
    <t>ARROWSMITH, Sue; LINARELLI, John; WALLACE, Don. Regulation public procurement-national and international perspectives. Kluwer Law International BV, 2000.</t>
  </si>
  <si>
    <t xml:space="preserve">A contract is an agreement that creates obligations for the parties and that obliges the seller to provide the specified product, service, or result and the buyer to pay for it (PMI)
Contract management involves building a good working relationship between client and contractor. It continues throughout the life of a contract, and it involves managing proactively to anticipate future needs as well as reacting to situations and or risks that may arise in the course of executing the contract. </t>
  </si>
  <si>
    <t>Managers are not only confronted with their entire teams working from different locations but
also with having to agree on individual working patterns and work schedules with employees
to accommodate their care responsibilities. Managers are playing a pivotal role in supporting
employees and mitigating the harmful impact of overwork on their health and wellbeing. These
objectives can be achieved by effectively communicating realistic expectations, setting achievable
deadlines considering the highly unusual context in which teleworking currently takes place,
while ensuring business continuity and the required level of performance. On the contrary,
unrealistic expectations and additional pressure on already overstretched employees can lead to
disengagement and also increase the risk of burnout. Besides, enterprises need to be aware of the
increase in the work demands on managers themselves, which can result from managing remote
teams. Microsoft in China determined that leading teleworking teams added an extra 90 minutes
per week to the working time of managers, resulting from one-on-one calls and meetings</t>
  </si>
  <si>
    <t>Teleworking during the COVID-19 Pandemic and Beyond: A Practical Guide. Available online: 
https://www.ilo.org/wcmsp5/groups/public/---ed_protect/---protrav/---travail/documents/instructionalmaterial/wcms_751232.pdf 
(accessed on 24/09/22).</t>
  </si>
  <si>
    <t>In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Delivery in smal interaction L108</t>
  </si>
  <si>
    <t>ILYAS, Muhammad; KHAN, Siffat Ullah. Software integration in global software development: Success factors for GSD vendors. In: 2015 IEEE/ACIS 16th International Conference on Software Engineering, Artificial Intelligence, Networking and Parallel/Distributed Computing (SNPD). IEEE, 2015. p. 1-6.</t>
  </si>
  <si>
    <t>Agile software development brings its own set of novel challenges that must be addressed to satisfy the customer through the early and continuous delivery of valuable software.</t>
  </si>
  <si>
    <t>MONIRUZZAMAN, A. B. M.; HOSSAIN, Dr Syed Akhter. Comparative Study on Agile software development methodologies. arXiv preprint arXiv:1307.3356, 2013.</t>
  </si>
  <si>
    <t>The modularization approach segregates the code base into domain modules, identifies well-defined interfaces to these modules, and restricts the inter-module interactions through these interfaces.</t>
  </si>
  <si>
    <t>SARKAR, Santonu et al. Modularization of a large-scale business application: A case study. IEEE software, v. 26, n. 2, p. 28-35, 2009.</t>
  </si>
  <si>
    <t>Cross-functional teams</t>
  </si>
  <si>
    <t>Each team member, representing a different knowledge specialty, comes to a team with a different “thought world” so that each member understands the problem, critical elements, and steps in solving the problem differently from each other member. 
These individual thought worlds are internally coherent, with assumptions about causes and solutions, analytic criteria, and priorities embedded within them.
The localized knowledge that each member brings to the team fosters further differences between members. 
These differences create a lack of common ground, resulting in problems of information exchange, interpretation, and attribution.</t>
  </si>
  <si>
    <t>MAJCHRZAK, Ann; MORE, Philip HB; FARAJ, Samer. Transcending knowledge differences in cross-functional teams. Organization Science, v. 23, n. 4, p. 951-970, 2012.</t>
  </si>
  <si>
    <t>Having previous experience in the roles, practices, process, procedures and artifacts in Scrum [L51]</t>
  </si>
  <si>
    <t>Expert area (prior experience)</t>
  </si>
  <si>
    <t>Prior Experience. A measure of the number of team programmers who had par- ticipated in at least one similar project in the past. The level of uncertainty is expected to lessen as the number of team members with relevant experience increases.</t>
  </si>
  <si>
    <t>GOPAL, Anandasivam; MUKHOPADHYAY, Tridas; KRISHNAN, Mayuram S. The role of software processes and communication in offshore software development. Communications of the ACM, v. 45, n. 4, p. 193-200, 2002.</t>
  </si>
  <si>
    <t>Scrum is the Agile methodology most widely applied and is a process framework for delivering products and services of the highest possible quality and for handling complex problems or situations. Iterative and incremental approaches are used to develop products using cross-functional teams. [L51]</t>
  </si>
  <si>
    <t>Number of sprints. The sprints are short work cycles for incremental development.</t>
  </si>
  <si>
    <t>Soft skils: analytical thinking. High proficiency in a programming language to build codes with complex instructions.  Analytical thinking is required to support the success of highly dynamic Scrum projects in global software development. [L51]</t>
  </si>
  <si>
    <t>Time management planning is a practice where people plan what they intend to accomplish and when on a given day. How do people specifically engage, or how is technology involved with time management planning?</t>
  </si>
  <si>
    <t>LUND, John R.; WIESE, Jason. Less is more: exploring support for time management planning. In: Designing Interactive Systems Conference 2021. 2021. p. 392-405.</t>
  </si>
  <si>
    <t xml:space="preserve">Conflict management could be divided into "affective" and "substantive" conflict. "Affective" conflict implies emotional clashes
between individuals based on selfish or personal issues. "Substantive" conflict involves rational differences based on the content of the ideas or issues. This distinction may be helpful in addressing functional versus dysfunctional conflict in groups that are singularly task-oriented and that employ a rational model of decision-making. However, conflict in most social work practice settings would include both types of conflict, which might enhance or deter group progress and process. </t>
  </si>
  <si>
    <t>COWGER, Charles. Conflict and conflict management in working with groups. Social Work with Groups, v. 2, n. 4, p. 309-320, 1980.</t>
  </si>
  <si>
    <t>Adjusting one’s leadership style, method, or approach in response to different or changing contextual demands in a way that facilitates group performance.</t>
  </si>
  <si>
    <t>KAISER, Robert B.; OVERFIELD, Darren V. Assessing flexible leadership as a mastery of opposites. Consulting Psychology Journal: Practice and Research, v. 62, n. 2, p. 105, 2010.</t>
  </si>
  <si>
    <t>Stress is characteristically defined by the behavioral paradigm in terms of stimulus-response connections. Stress can be described as the stimulus or force that, if sufficiently strong, can cause tension in the individual who experiences it. The response is the coping or adaptation to the stimulus, which can either be successful or unsuccessful. What this basic definition misses, however, is that this relationship between stress and coping cannot be viewed in terms of exclusive attributes. They can be better understood by examining the circumstances or context (i.e., occupational or personal) surrounding the events.</t>
  </si>
  <si>
    <t>LAFROMBOISE, Teresa D.; ROWE, Wayne. Skills training for bicultural competence: Rationale and application. Journal of Counseling Psychology, v. 30, n. 4, p. 589, 1983.</t>
  </si>
  <si>
    <t>The globalized world has made the intercultural communication issue to be especially relevant, with its socio-cultural aspects relating to the professional activities of international affairs and diplomacy specialists. These are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</si>
  <si>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BILETSKA, Oksana; LASTOVSKYI, Valerii; SEMCHYNSKYY, Kostyantyn. Intercultural communication competence: International relations and diplomacy area. Linguistics and Culture Review, v. 5, n. S4, p. 1664-1675, 2021.</t>
  </si>
  <si>
    <t>CRUD (Create, Read, Update and Delete) pattern is very common in web application designs. If an application has to maintain persistent data, a mechanism for allowing it is required. 
This pattern could be used to maintain a database and manage the life cycle of creating, updating, deleting, and reading data.
CRUD use cases have been the origin of graphic interfaces for domain entity manipulation. It is very important for modeling related entity classes. Some definitions had to be made over the class model: required attributes; attributes visibility; instance level for relationships (associations, aggregations, compositions, and external links); and class level for relationships (generalization and realization). For each relationship, multiplicity and navigability were specified.</t>
  </si>
  <si>
    <t>DE_ALMEIDA MONTE-MOR, Juliano et al. Applying MDA approach to create graphical user interfaces. In: 2011 Eighth International Conference on Information Technology: New Generations. IEEE, 2011. p. 766-771.</t>
  </si>
  <si>
    <t>Code coverage is a measure of the degree to which a test suite exercises a software system. Although coverage is well established in software engineering research, deployment in the industry is often inhibited by the perceived usefulness and the computational costs of analyzing coverage at scale. Software testing is a practice often used to determine and sometimes improve software quality. It is also very labor and resource-intensive process that often accounts for more than 50% of the total cost of software development.</t>
  </si>
  <si>
    <t>YANG, Qian; LI, J. Jenny; WEISS, David. A survey of coverage based testing tools. In: Proceedings of the 2006 international workshop on Automation of software test. 2006. p. 99-103.</t>
  </si>
  <si>
    <t xml:space="preserve">Refactoring is the practice of continuously improving the design of existing code without changing the fundamental behavior. In Agile, teams maintain and enhance their code on an incremental basis from Sprint to Sprint. If code is not refactored in an Agile project, it will result in poor code quality, such as unhealthy dependencies between classes or packages, improper class responsibility allocation, too many responsibilities per method or class, duplicate code, and a variety of other types of confusion and clutter. Refactoring helps to remove this chaos and simplifies the unclear and complex code. </t>
  </si>
  <si>
    <t>A code smell is a term commonly used to describe potential problems in the design of the software.</t>
  </si>
  <si>
    <t>SANTOS, José Amancio M. et al. A systematic review on the code smell effect. Journal of Systems and Software, v. 144, p. 450-477, 2018.</t>
  </si>
  <si>
    <t>Global competition becomes a form of international competition in which the position of an enterprise in one country affects its competitive position in other countries. As a result, companies are competing among themselves for international leadership. As a result of such a struggle, the economy is globalizing.</t>
  </si>
  <si>
    <t>https://ibima.org/accepted-paper/global-competition-and-ways-to-ensure-business-competitiveness/#:~:text=Global%20competition%20becomes%20a%20form,struggle%2C%20the%20economy%20is%20globalizing.</t>
  </si>
  <si>
    <t>Progress in agile development is determined by the amount of ‘working software’ produced. Source code versioning, unit testing, continuous integration, and acceptance testing (AT) are technical factors that affect the maturity of the software artifacts produced.</t>
  </si>
  <si>
    <t>ALYAHYA, Sultan; IVINS, Wendy K.; GRAY, W. A. Co-ordination support for managing progress of distributed agile projects. In: 2011 IEEE Sixth International Conference on Global Software Engineering Workshop. IEEE, 2011. p. 31-34.</t>
  </si>
  <si>
    <t>Software Process Improvement (SPI) - Consultancy: the extent to which SPI consultants, based on their past experience, help small and medium Web companies in adopting formal SPI standards while staying aligned with the Web company’s vision.</t>
  </si>
  <si>
    <t>SULAYMAN, Muhammad et al. Software process improvement success factors for small and medium Web companies: A qualitative study. Information and Software Technology, v. 54, n. 5, p. 479-500, 2012.</t>
  </si>
  <si>
    <t xml:space="preserve">Process improvement evaluation. Most of the identified evaluation strategies are not explicitly designed for evaluating the outcome of Software Process improvement initiatives. However, an exception is given by the Philip Crosby Associates’ Approach, which suggests explicitly what to evaluate. The majority of the found evaluation strategies are very generic in nature, and different Organizations applied those methods for measuring different success indicators based on the organizational needs and contexts. This indicates that there is a shortcoming in the methods used to evaluate the outcome of the SPI initiative in a consistent and appropriate way and supports the demand for a comprehensive measurement framework for SPI. </t>
  </si>
  <si>
    <t>UNTERKALMSTEINER, Michael et al. Evaluation and measurement of software process improvement—a systematic literature review. IEEE Transactions on Software Engineering, v. 38, n. 2, p. 398-424, 2011.</t>
  </si>
  <si>
    <t>Process improvement standards and procedures: a set of policies and standard procedures which describe how processes in the firm will be conducted and maintained consistently.</t>
  </si>
  <si>
    <t>ATASEVEN, Cigdem; PRAJOGO, Daniel I.; NAIR, Anand. ISO 9000 internalization and organizational commitment—implications for process improvement and operational performance. IEEE Transactions on Engineering Management, v. 61, n. 1, p. 5-17, 2013.</t>
  </si>
  <si>
    <t>Personal availability</t>
  </si>
  <si>
    <t xml:space="preserve">Personal availability: practitioners sometimes find it hard to be personally available outside office hours because of a conflict with their private life. </t>
  </si>
  <si>
    <t>PLAT, Fredrik M. et al. Availability of Dutch general practitioners for after-hours palliative care. Journal of palliative care, v. 33, n. 3, p. 182-186, 2018.</t>
  </si>
  <si>
    <t>Component dependency. Component dependencies present in a product architecture give rise to communication and coordination needs. The architectural mechanisms other than module or component dependencies also give rise to coordination requirements. The component dependencies need to be addressed before the decision of allocation to temporally distant sites can be taken. [L61]</t>
  </si>
  <si>
    <t>Small Task Sizes: 4 Hours, 8 Hours, 16 Hours.
It’s time for some specific recommendations for putting these principles into action. First, when you and your team create tasks for user stories at the beginning of each iteration, limit your task sizes to 4 hours, 8 hours, or no more than 16 hours in size. And do not bother trying to get any “finer grained” than just those sizes. The goal of breaking work down into these small sizes is not to be exact with the sizes, nor to make you really good at estimating to the minute exactly how long you expect a task to take, but it is to ensure that the team can more easily function in a tightly integrated fashion.</t>
  </si>
  <si>
    <t>https://www.oreilly.com/library/view/being-agile-eleven/9780133375640/ch03lev2sec5.html</t>
  </si>
  <si>
    <t>Absorptive capacity has become one of the most significant constructs in the last twenty years precisely because external knowledge resources are so necessary. Absorptive capacity is the dynamic capacity that allows firms to create value and gain and sustain a competitive advantage through the management of external knowledge.</t>
  </si>
  <si>
    <t>Camisón, C., &amp; Forés, B. (2010). Knowledge absorptive capacity: New insights for its conceptualization and measurement. Journal of Business Research, 63(7), 707-715. https://doi.org/10.1016/j.jbusres.2009.04.022</t>
  </si>
  <si>
    <t>Organizations have taken benefit from quality management practices in manufacturing and logistics with respect to competitiveness as well as profitability. At the same time, an ever-growing share of the organizational value chain centers around transactional, administrative processes addressed by business process management concepts, e.g., in finance and accounting. Integrating these fields is thus very promising from a management perspective. Obtaining a clear understanding of business process quality constitutes the most critical prerequisite in this respect.</t>
  </si>
  <si>
    <t>LOHRMANN, Matthias; REICHERT, Manfred. Understanding business process quality. In: Business Process Management. Springer, Berlin, Heidelberg, 2013. p. 41-73.</t>
  </si>
  <si>
    <t>Interactions and relationships among participants become increasingly crucial for coordinating work and, thereby, improving performance. This more spontaneous form of coordination, referred to as relational coordination, is defined as a mutually reinforcing process of interaction between communication and relationships carried out for the purpose of task integration.</t>
  </si>
  <si>
    <t>Rundall, T. G., Wu, F. M., Lewis, V. A., Schoenherr, K. E., &amp; Shortell, S. M. (2016). Contributions of Relational Coordination to Care Management in ACOs:
Views of Managerial and Clinical Leaders. Health care management review, 41(2), 88. https://doi.org/10.1097/HMR.0000000000000064</t>
  </si>
  <si>
    <t>The incentives to expend effort and produce innovative services.
Knowledge-intensive business services, such as engineering, management consulting, and R&amp;D services, almost exclusively consist of transferring knowledge and skills to client organizations.</t>
  </si>
  <si>
    <t>LEIPONEN, Aija. Organization of knowledge exchange: an empirical study of knowledge-intensive business service relationships. Economics of Innovation and New Technology, v. 15, n. 4-5, p. 443-464, 2006.</t>
  </si>
  <si>
    <t>1. POLLARD, Katherine et al. Developing and evaluating guidelines for patient and public involvement (PPI) in research. International journal of health care quality assurance, v. 28, n. 2, p. 141-155, 2015.
2. BROWN, Juanita. The world café: Shaping our futures through conversations that matter. ReadHowYouWant. com, 2010.</t>
  </si>
  <si>
    <t xml:space="preserve"> The relationship between business and project processes is paramount for the understanding of project-based firms and how they sustain competitive advantage over time as they operate in multi-actor environments and on the basis of one-off projects. </t>
  </si>
  <si>
    <t>Gann, D. M., &amp; Salter, A. J. (2000). Innovation in project-based, service-enhanced firms: the construction of complex products and systems. Research Policy, 29(7-8), 955-972. https://doi.org/10.1016/S0048-7333(00)00114-1</t>
  </si>
  <si>
    <t>Customer relationship management (CRM) initiatives require vision, and each and every employee must understand the purpose and changes that CRM will bring.
Technology that tracks and analyzes customer behavior allows companies to quickly identify the best customers and focus marketing efforts and reward those who are likely to buy often. Acquiring a better understanding of existing customers allows companies to interact, respond, and communicate more effectively to improve retention rates significantly.</t>
  </si>
  <si>
    <t>CHEN, Injazz J.; POPOVICH, Karen. Understanding customer relationship management (CRM): People, process and technology. Business process management journal, 2003.</t>
  </si>
  <si>
    <t xml:space="preserve"> Group thinking and decision-making are suitable tools for reducing possible errors in decision-making and improving the efficiency of organizations, and utilization of scientific decision-making tools, such as brainstorming. Brainstorming is a suitable tool for receiving different ideas, and the effective factors in this regard are identified.</t>
  </si>
  <si>
    <t>YAZDANI, Amir-Abbas; TAVAKKOLI-MOGHADDAM, Reza. Integration of the fish bone diagram, brainstorming, and AHP method for problem solving and decision making—a case study. The International Journal of Advanced Manufacturing Technology, v. 63, n. 5, p. 651-657, 2012.</t>
  </si>
  <si>
    <t>Adaptability is crucially important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</si>
  <si>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ANDRÉS, Mercedes Rubio; MONSALVE, Juan Nicolás Montoya; BRONCANO, Santiago Gutiérrez. Could innovative teams provide the necessary flexibility to compete in the current context?. Cuadernos de Gestión, v. 15, n. 1, p. 145-163, 2015.</t>
  </si>
  <si>
    <t>For the Advance &amp; Uniform Development Environment, it is necessary that all the development teams in GSD use the same development environment otherwise, they will face horizontal integration problems where their component will not fit with each other. The use of the latest technology and tools is also a plus point for ease of integration by automatically generating the adopters for connecting the software components. To use the latest technology and tools the developers need to be properly trained so that they can acquire the required skill and knowledge which will ease the integration process in the long run. If the software component is COTS/OTS, the vendor should be consulted for proper support and training.</t>
  </si>
  <si>
    <t xml:space="preserve">In Efficient Incremental/Continuous Integration,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t>
  </si>
  <si>
    <t xml:space="preserve">Efficient specification for Interface Compatibility. Different components in a product interact and integrate with each other through well-defined interfaces. Through interfaces, the component avails and provides services. Interfaces and interactions between components in the system, therefore, should be managed carefully for the integration process to be successful. The developer should develop in-house components or select those COTS components, which are loosely coupled and which have well-defined interfaces to easily fit into the final product. </t>
  </si>
  <si>
    <t>Proper Documentation &amp; Configuration Management. The presence of component documentation eases the integration work and it is positively correlated with the integration success factors. Extensive information about components is necessary for proper integration and functioning. Along with documentation version and configuration management process support is also required. The version of the component should facilitate the tracing of each component from the beginning to the final delivery of the component. A different version of a product may have different sets and different versions of components, which need to be properly and consistently managed for successful product integration. Especially the development of a complicated software system in GSD an environment where the software components are developed in isolation by teams located at different sites needs a complete, coherent, and separate description and documentation of the integration phase.</t>
  </si>
  <si>
    <t>The factor “Component/Unit Testing prior to integration” is also a critical factor in the integration process. Whether the software component is in-house developed or COTS, it should be adequately tested before it can be fit into the final product during integration. If the distributed teams submit their developed components to the central team without proper unit tests, the integration phase will reveal a lot of problems delaying the whole development process, and fixing one problem may introduce another problem.
Commercial off the shelf (COTS) or off the shelf (OTS).</t>
  </si>
  <si>
    <t>Automated metrics It allows to define code complexity metrics. Semi-automated metrics It allows to measure the functional complexity, for example. Manual metrics It allows the frequency of use and the importance for the user.</t>
  </si>
  <si>
    <t>Automated metrics allow for to definition of code complexity metrics. Semi-automated metrics allow us to measure functional complexity, for example. Manual metrics allow the frequency of use and the importance for the user. [L110]</t>
  </si>
  <si>
    <t>The resource-based view of the firm shows that the activities in which a firm engages consist of a bundle of resources which include assets, processes, attributes, knowledge, information, and know-how that a firm possesses and can therefore use to formulate and implement competitive strategies. Resource-based view theory: (1) resources (and capabilities) are heterogeneously distributed among firms, and (2) resources are imperfectly mobile.</t>
  </si>
  <si>
    <t>COATES, Theresa Taylor; MCDERMOTT, Christopher M. An exploratory analysis of new competencies: a resource based view perspective. Journal of Operations Management, v. 20, n. 5, p. 435-450, 2002.</t>
  </si>
  <si>
    <t>Due to economic expansion, the sophistication of communication means, and cost pressure, it is crucial to understand the aspects related to the risks, challenges, opportunities, and good practices within this new software development scenario.</t>
  </si>
  <si>
    <t>MARQUES, Anna Beatriz; RODRIGUES, Rosiane; CONTE, Tayana. Systematic literature reviews in distributed software development: A tertiary study. In: 2012 IEEE Seventh International Conference on Global Software Engineering. IEEE, 2012. p. 134-143.</t>
  </si>
  <si>
    <t>Behavioral approaches; Style (textual, formal); the organizational and operational environment; organization condition; usage context; knowledge type; requirement purpose; Organization customs; type of product; and development process.</t>
  </si>
  <si>
    <t>KHAN, Huma Hayat; NAZ’RI BIN MAHRIN, Mohd; BT CHUPRAT, Suriayati. Standards and Models on and Around Software Requirement Engineering: A Review with Perspective of Varying Situations.</t>
  </si>
  <si>
    <t>Organizational Politics is primarily stated as a particular behavior of a person, which includes intentional actions to effect certain decisions to safeguard their personal interest. There is a relationship between politics in organizations and the survival of employees, as when employees see others benefiting from organizational politics, they are probably to be involved in such behavior. Therefore, nepotism and favoritism phenomena exist in the form of organizational politics, leading to creating conflicts between employees and employers relationships in all organizations.</t>
  </si>
  <si>
    <t>YASMEEN, Rehana; BIBI, Munaza; RAZA, Ali. Impact of organization politics on human resource management practices and employee performance. SEISENSE Journal of Management, v. 2, n. 2, p. 39-47, 2019.</t>
  </si>
  <si>
    <t xml:space="preserve">Organizational Practices are the behaviors and actions of employees. Think of your daily work habits. Are they aligned with the values that are core to your culture? Practices are one of the Five Ps of an organization. To clarify, the Five Ps are: Purpose, Philosophy, Priorities, Practices and Projections. </t>
  </si>
  <si>
    <t>https://sheilamargolis.com/core-culture-and-five-ps/the-five-ps-and-organizational-alignment/practices/#:~:text=Organizational%20Practices%20are%20the%20behaviors,%2C%20Priorities%2C%20Practices%20and%20Projections.</t>
  </si>
  <si>
    <t xml:space="preserve">The organizational size is defined as the number of employees at any given geographical location. This would include the total corporate organization if it is in one geographical location or a division of a decentralized corporation. </t>
  </si>
  <si>
    <t>BEER, Michael. Organizational size and job satisfaction. Academy of management Journal, v. 7, n. 1, p. 34-44, 1964.</t>
  </si>
  <si>
    <t>Inter-team culture is related to National Culture and Social Norms (NCASN). [L67]</t>
  </si>
  <si>
    <t>Inequality manifests in the unequal provision of social
amenities within the districts of the local government. The social amenities are educational, health, and market facilities, like drinking water, sanitation, electricity, housing qualities, and drainage arrangement.</t>
  </si>
  <si>
    <t xml:space="preserve">ADERAMO, Adekunle J.; AINA, O. A. Spatial inequalities in accessibility to social amenities in developing countries: A case from Nigeria. Australian Journal of Basic and Applied Sciences, v. 5, n. 6, p. 316-322, 2011.
KUMAR, Arjun. Access to basic amenities: Aspects of caste, ethnicity and poverty in rural and urban India—1993 to 2008–2009. Journal of Land and Rural Studies, v. 2, n. 1, p. 127-148, 2014.
</t>
  </si>
  <si>
    <t>Access to social amenities</t>
  </si>
  <si>
    <t xml:space="preserve">Social interaction </t>
  </si>
  <si>
    <t>Social interaction: the ways in which individuals act and react in relation to one another.</t>
  </si>
  <si>
    <t>CERULO, Karen A. Nonhumans in social interaction. Annual Review of Sociology, p. 531-552, 2009.</t>
  </si>
  <si>
    <t>The person paying the bill or the initial paying customer can be seen to be the project client.</t>
  </si>
  <si>
    <t>Walker, D. H. T. (2000). Client/customer or stakeholder focus? ISO 14000 EMS as a construction industry case study. The TQM Magazine, 12(1), 18–26. doi:10.1108/09544780010287221</t>
  </si>
  <si>
    <t>Stakeholder engagement</t>
  </si>
  <si>
    <t>Stakeholder engagement and stakeholder management are arguably the most important ingredients for successful project delivery, and yet are often regarded as a fringe activity or one that can be outsourced to business-as-usual functions. Project managers depend on people to respond to the outputs and benefits that they deliver. People will only respond if they are engaged.</t>
  </si>
  <si>
    <t>https://www.apm.org.uk/resources/find-a-resource/stakeholder-engagement/key-principles/</t>
  </si>
  <si>
    <t>Stakeholder Requirements, often referred to as user needs or user requirements, describe what users do with the system, such as the activities that users must be able to perform. User requirements are generally documented using narrative text, use cases, scenarios, user stories, or event-response tables. User requirements are generally documented in a User Requirements Document (URD).</t>
  </si>
  <si>
    <t>https://medium.com/@nhan.tran/business-requirements-vs-stakeholder-requirements-8a5127c4fb12</t>
  </si>
  <si>
    <t>Stakeholder Performance Domain</t>
  </si>
  <si>
    <t>This domain addresses activities and functions associated with stakeholders. What kinds of activities? Identifying, analyzing, prioritizing, engaging, and monitoring stakeholders.</t>
  </si>
  <si>
    <t>(A Guide to the Project Management Body of Knowledge, PMBOK® Guide, Page 8)</t>
  </si>
  <si>
    <t>In broad terms, the Problem Domain describes the area undergoing analysis. The scope of the problem domain needs to be identified upfront by the business analyst.  The size and scope of the problem domain can vary greatly depending on the goals of the project being undertaken.  The scope may align with the boundaries of an entire organization, or it may be much more granular, aligning with a single organizational unit, a specific business process, or a particular system.</t>
  </si>
  <si>
    <t>Stakeholder Attitude</t>
  </si>
  <si>
    <t>Weather generally refers to day-to-day temperature
and precipitation activity, whereas climate is the term for the average atmospheric conditions over longer periods of time.</t>
  </si>
  <si>
    <t>KRISHNAMURTHI, Karthik et al. Arduino based weather monitoring system. International Journal of Engineering Research and General Science, v. 3, n. 2, p. 452-458, 2015.</t>
  </si>
  <si>
    <t>Ecological-geological conditions are considered to be an environment created by a set of contemporary morphologically expressed geological factors that influence specific features of the functioning of the biota, including human beings, within the framework of the ecological-geological system.</t>
  </si>
  <si>
    <t>TROFIMOV, V. T. Ecological-geological conditions and factors of their formation. Moscow University Geology Bulletin, v. 65, n. 1, p. 54-57, 2010.</t>
  </si>
  <si>
    <t>Temperature, air quality, lighting, and noise conditions in the office affect work concentration and productivity. Numerous studies have consistently demonstrated that characteristics of the physical office environment can have a significant effect on the behavior, perceptions, and productivity of employees.</t>
  </si>
  <si>
    <t>Working and workplace atmosphere</t>
  </si>
  <si>
    <t>Kamarulzaman, N., Saleh, A., Hashim, S., Hashim, H., &amp; Abdul-Ghani, A. (2011). An Overview of the Influence of Physical Office Environments Towards Employee. Procedia Engineering, 20, 262-268. https://doi.org/10.1016/j.proeng.2011.11.164</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</si>
  <si>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</si>
  <si>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(A Guide to the Project Management Body of Knowledge, PMBOK® Guide)</t>
  </si>
  <si>
    <t>An estimate predicts how long a project will take or how much it will cost Estimation and planning are related topics, but estimation is not planning, and planning is not estimation. Estimation should be treated as an unbiased, analytical process, and planning should be treated as a biased, goal-seeking process.</t>
  </si>
  <si>
    <t>POPLI, Rashmi; CHAUHAN, Naresh. Research challenges of agile estimation. Journal of Intelligent Computing and Applications, 2012.</t>
  </si>
  <si>
    <t>Project management performance</t>
  </si>
  <si>
    <t>Project management performance questions: extent and frequency of plan changes; frequency of emergency meetings; agreement between effort invested and effort required; participant satisfaction; customer satisfaction; the number of post-delivery product changes. We addressed two complementary aspects of project management: efficiency and effectiveness. By efficiency, we meant that the project is managed without unnecessary expenditure of effort, which we attempted to measure by considering the extent of project plan changes, emergency meetings, and effort invested. By effectiveness, we meant meeting the expectations of those involved in the project.</t>
  </si>
  <si>
    <t>RAZ, Tzvi; MICHAEL, Erez. Use and benefits of tools for project risk management. International journal of project management, v. 19, n. 1, p. 9-17, 2001.</t>
  </si>
  <si>
    <t xml:space="preserve">Technology management tools are a subset of management tools related to decision-making and support around innovation-related activities. In strategic decision-making about which technologies to invest: R&amp;D project selection, new product selection, m capturing customers' needs, designing new products, promoting creativity, and monitoring and controlling development projects. </t>
  </si>
  <si>
    <t>BRADY, Tim et al. Tools for technology management: an academic perspective. Technovation, v. 17, n. 8, p. 417-426, 1997.</t>
  </si>
  <si>
    <t>Tools and technology: defect occurrence</t>
  </si>
  <si>
    <t xml:space="preserve">Defect data contains knowledge about specific work conditions. To prevent the reoccurrence of defects, a data feedback mechanism is required. However, most defective data are stored in unstructured ways, resulting in the fundamental problem of data utilization. </t>
  </si>
  <si>
    <t>LEE, Do-Yeop et al. A linked data system framework for sharing construction defect information using ontologies and BIM environments. Automation in Construction, v. 68, p. 102-113, 2016.</t>
  </si>
  <si>
    <t>The accuracy and quality of requirements immensely contribute to the success of a project/system development. The success or failure of a project is dependent on the accuracy and effective management of requirements. It is crucial to determine the mix of practical techniques to use for requirement acquisition and adequately document the process and the requirements to reduce the challenges and chances of failure.</t>
  </si>
  <si>
    <t>HUSSAIN, Azham; MKPOJIOGU, Emmanuel OC; KAMAL, Fazillah Mohmad. The role of requirements in the success or failure of software projects. International Review of Management and Marketing, v. 6, n. 7, p. 306-311, 2016.</t>
  </si>
  <si>
    <t>The popular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These terms and others are part of a new lexicon describing new forms of economic value.</t>
  </si>
  <si>
    <t>BONTIS, Nick. Assessing knowledge assets: a review of the models used to measure intellectual capital. International journal of management reviews, v. 3, n. 1, p. 41-60, 2001.</t>
  </si>
  <si>
    <t>Trust building is both a key factor for developing cross-boundary information sharing and, in a much broader sense is a crucial element of the social capital needed for any type of successful
cooperation or collaboration within and across social networks.</t>
  </si>
  <si>
    <t>PARDO, Theresa A.; GIL-GARCIA, J. Ramon; BURKE, G. Brian. Building response capacity through cross-boundary information sharing. 2008.</t>
  </si>
  <si>
    <t>Trust: confidence in the company and leadership and other stakeholders</t>
  </si>
  <si>
    <t>Trust: "confidence" in the company and leadership and other stakeholders</t>
  </si>
  <si>
    <t>We believe that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with fairness, trust and confidence in the leader will increase.</t>
  </si>
  <si>
    <t>GORDON, Gus; GILLEY, Jerry W. A trust‐leadership model. Performance Improvement, v. 51, n. 7, p. 28-35, 2012.</t>
  </si>
  <si>
    <t xml:space="preserve"> The project manager should adopt other team members to the project, increase the project’s coordination and integration among project elements and use a consistent method to guide and control project execution. This is similar to other construction project practices, where the relationship of different parties and work sequences should be viewed as a single entity, as the impact of one event or decision could affect overall project performance.</t>
  </si>
  <si>
    <t>BAKAR, Abu Hassan Abu et al. Project management best practices for achieving better housing development project performance: The case of Penang, Malaysia. International Journal of Construction Project Management, v. 3, n. 2, p. 127-143, 2011.</t>
  </si>
  <si>
    <t>Understanding the issues relating to organizations’ global project management readiness can help to facilitate the successful completion of projects.</t>
  </si>
  <si>
    <t>NIAZI, Mahmood et al. Challenges of project management in global software development: A client-vendor analysis. Information and Software Technology, v. 80, p. 1-19, 2016.</t>
  </si>
  <si>
    <t>In the project management literature, there is a consensus that involving end users during system development is paramount to ensuring project success.
The benefits and impact of user involvement on development comprise of: it delivers a more accurate and complete assessment of user requirements, it provides the developers with knowledge of the information system’s organizational and functional context, its increases users’ acceptance of the new system, it provides a forum for negotiation and conflict resolution, it often leads to satisfaction with the system, it fosters a feeling of ownership of the system in users, it encourages users’ commitment to the system, and it decreases users’ resistance to change.</t>
  </si>
  <si>
    <t>HUSSEIN, Bassam A.; HAFSELD, Kristin H. Organisational influences impacting user involvement in a major information system project: A case study in a governmental organisation. International Journal of Project Organisation and Management, v. 8, n. 1, p. 24-43, 2016.</t>
  </si>
  <si>
    <t>Labor cost</t>
  </si>
  <si>
    <t>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t>
  </si>
  <si>
    <t>Human Resource problems in companies come in many shapes and forms. They also vary in seriousness and complexity, depending on the challenge and where the company is located and operates.
Many of the most prevalent HR problems in companies are common across industries and companies, such as compliance with laws and regulations, health and safety, change management, compensation management, landing top talent, retention, and monitoring productivity and performance.</t>
  </si>
  <si>
    <t>https://recruitee.com/articles/common-hr-problems</t>
  </si>
  <si>
    <t>Advanced and uniform RCM infrastructure at GSD sites is another critical success factor as RCM activities are carried out on different overseas GSD sites simultaneously, and potential differences in infrastructure across sites might lead to compatibility issues. The GSD sites adopt advanced and uniform infrastructure while executing the RCM process in GSD projects.</t>
  </si>
  <si>
    <t>AKBAR, Muhammad Azeem et al. SRCMIMM: the software requirements change management and implementation maturity model in the domain of global software development industry. Information Technology and Management, p. 1-25, 2022.</t>
  </si>
  <si>
    <t>Software development mainly adopts two kinds of methodologies; Traditional and Agile. In both methods, software changes are inevitable due to the dynamic nature of the software development project itself. One of the factors that influence the effectiveness of the change acceptance decision is the accuracy of the change effort estimation. Two current models have been widely used to estimate change effort, which is algorithmic and non-algorithmic models. The algorithmic model is known for its formal and structural way of estimation and is best suited for Traditional methodology. While the non-algorithmic model is widely adopted for Agile methods of software projects due to its easiness and requires less work in terms of effort predictability.</t>
  </si>
  <si>
    <t>BASRI, Sufyan et al. An algorithmic-based change effort estimation model for software development. In: 2016 23rd Asia-Pacific Software Engineering Conference (APSEC). IEEE, 2016. p. 177-184.</t>
  </si>
  <si>
    <t>The primary ingredients that impact the software development productivity of globally distributed projects are project delivery rate, team size, and communication complexity. The project distribution can be effectively done depending on the estimated productivity for the different sites. The project distribution to multiple locations can be done in the order of decreasing productivity factor.</t>
  </si>
  <si>
    <t>MANOJ RAY, D.; SAMUEL, Philip. Improving the productivity in global software development. In: Innovations in Bio-Inspired Computing and Applications. Springer, Cham, 2016. p. 175-185.</t>
  </si>
  <si>
    <t>This factor comprises the risk variables, requirements analysis, design, and construction. This factor influences all categories of projects.  Global IT companies are certified in quality process frameworks such as CMMI. They have organization-wide quality policies that are tailored to suit the specific needs of a project. The PM must exercise due diligence in formulating and adopting appropriate quality processes, procedures, tools, templates, techniques, guidelines, and standards. [L72]</t>
  </si>
  <si>
    <t>This factor underlies the risk variables, retrofit test, regression test, and performance test. A regression test is done to ensure that the software changes do not impair the existing application functionality. Performance tests are undertaken to ensure that software changes do not affect application performance with rest to response time, CPU usage, data volumes, network traffic, user load, memory usage, and similar aspects. A retrofit test is about incorporating changes that have been already made to production code in parallel by other project teams. [L72]</t>
  </si>
  <si>
    <t>ALLEN, Richard; HELMS, Marilyn. Employee perceptions of the relationship between strategy, rewards, and organizational performance. Journal of business strategies, v. 19, n. 2, p. 115-139, 2002.
BERAHZER, Stacey Isaac. Retention: Recognize, Reward, and Retain Operators. Opflow, v. 35, n. 8, p. 22-24, 2009.</t>
  </si>
  <si>
    <t xml:space="preserve">Human resource practices should be selected that complement and support an organizational strategy. More specifically, the reward system should be aligned to motivate employee performance that is consistent with the firm's strategy, attract and retain people with the knowledge, skills, and abilities required to realize the firm's strategic goals and create a supportive culture and structure. Operator recognition and incentive programs can pay big dividends in a stable workforce. </t>
  </si>
  <si>
    <t>Team members coordinate their work through communication (exchange of information). Several studies of software development projects found that informal, unplanned, and ad hoc communication is critical in supporting collaboration. Discussions with peers are the most used and valued coordination technique. Thus, teams with frequent communication among their members tend to coordinate better. However, the distance between team members negatively affects the amount of communication.</t>
  </si>
  <si>
    <t>SETAMANIT, Siri-on; WAKELAND, Wayne; RAFFO, David. Improving global software development project performance using simulation. In: PICMET'07-2007 Portland International Conference on Management of Engineering &amp; Technology. IEEE, 2007. p. 2458-2466.</t>
  </si>
  <si>
    <t>In interdisciplinary requirements engineering, stakeholders need to understand how other disciplines think and work (mutual understanding) and agree on the system they develop (shared understanding) to collaborate effectively.</t>
  </si>
  <si>
    <t>HOFFMANN, Axel; BITTNER, Eva Alice Christiane; LEIMEISTER, Jan Marco. The emergence of mutual and shared understanding in the system development process. In: International Working Conference on Requirements Engineering: Foundation for Software Quality. Springer, Berlin, Heidelberg, 2013. p. 174-189.</t>
  </si>
  <si>
    <t>Barriers connected to digital technologies. We need technology that creates shared understanding. We need people who understand how to build bridges in divided communities to be better equipped to use technology.
Deficiencies in the current digital environment. Increased security risk with digital technologies. [L113]</t>
  </si>
  <si>
    <t>Lack of uniform process among different development sites, the best practices should be: arrange proper process-based training for new employees; ensure uniform development environment across all sites; ensure management level workshops sync global processes; follow standard processes and tools; follow a single process with all teams; follow documentation standards; use a shared project plan that is easily accessible to all team members; adopt standards for the assessment of processes; establish process training programs in the organization.</t>
  </si>
  <si>
    <t>NIAZI, Mahmood; MAHMOOD, Sajjad; ALSHAYEB, Mohammad. GLOB: A global project management readiness framework. Journal of Software: Evolution and Process, v. 32, n. 12, p. e2302, 2020.</t>
  </si>
  <si>
    <t>NOOR, Hina et al. Identifying Communication Issues Contributing to the Formation of Chaotic Situation: An AGSD View. International Journal of Advanced Computer Science and Applications, v. 12, n. 2, 2021.</t>
  </si>
  <si>
    <t>L110
UNTERKALMSTEINER, Michael. Coordinating requirements engineering and software testing. 2015. Tese de Doutorado. Blekinge Tekniska Högskola.</t>
  </si>
  <si>
    <t>Communication of customer requirements: It allows for identifying the user's requirements and relevant derivative acceptance criteria to establish priorities in the tests. Failures to meet customer requirements and expectations are often related to misunderstanding and misconception; a human failure although technical limitations, tools, equipment, specifications, and so on, also play a relevant role.</t>
  </si>
  <si>
    <t xml:space="preserve">There is an inherent paradox faced by far-flung due to their heterogeneous composition and the communication challenge that arises from team members conducting their core work mainly virtually through electronic media. The diversity of knowledge perspectives makes such teams fertile grounds for new knowledge creation. On the other hand, the multiplicity of different actors with different sets of expertise makes it challenging to understand each other simply. This shared understanding is often defined as the set of norms, behaviors, and understanding team members have about the assumptions, tasks, work processes, and contexts necessary for effective and successful collaboration. </t>
  </si>
  <si>
    <t>Malhotra, A. and Majchrzak, A. (2004), "Enabling knowledge creation in far‐flung teams: best practices for IT support and knowledge sharing", Journal of Knowledge Management, Vol. 8 No. 4, pp. 75-88. https://doi.org/10.1108/13673270410548496</t>
  </si>
  <si>
    <t>The degree to which organizations should emphasize cooperation or competition among the members of work teams is an age-old controversy. Competitive systems embody equity norms and highlight performance differences among team members, typically rewarding individuals with high performance and/or imposing sanctions on those with low performance. Therefore, some believe that competition promotes efficiency and innovation because it stimulates individuals to outperform each other by working faster, “smarter,” or cheaper, and the belief is that this activity will serve the long-term needs of their organization. 
Others believe that intra-team competition is destructive. In competing, individuals or subgroups place their own goals above those of the larger organization, and the gains achieved by one are
often obtained at the expense of another. For this reason, some argue that the needs of the larger organization are better met by employing cooperative reward structures. Collaborative systems embody equality norms and emphasize group accomplishments. They emphasize minimizing distinctions among group members (that is, distinctions based on performance) because they may impede teamwork, information sharing, and helping.</t>
  </si>
  <si>
    <t>BEERSMA, Bianca et al. Cooperation, competition, and team performance: Toward a contingency approach. Academy of Management Journal, v. 46, n. 5, p. 572-590, 2003.</t>
  </si>
  <si>
    <t>Knowledge is an outcome of the process of knowledge transfer and the integration of this transferred knowledge by learning and, in turn, shared knowledge influences the efficiency of this process by facilitating the transfer of knowledge. Thus, these knowledge-transfer processes are the prerequisite for knowledge integration that eventually lead to increased shared knowledge. Other important facets of the interpretation and integration of knowledge are standards providing a common frame of reference and definitions of key technical terms.  The IT Infrastructure Library (ITIL) is an industry-standard and sophisticated IT service process reference tool for enhancing communication and sharing knowledge with customers.</t>
  </si>
  <si>
    <t>BLUMENBERG, Stefan; WAGNER, Heinz-Theo; BEIMBORN, Daniel. Knowledge transfer processes in IT outsourcing relationships and their impact on shared knowledge and outsourcing performance. International journal of information management, v. 29, n. 5, p. 342-352, 2009.</t>
  </si>
  <si>
    <t>Mediating role knowledge transfer</t>
  </si>
  <si>
    <t>Strong ties are effective in providing useful knowledge. Such relationships are helpful because they tend to be trusting. The benevolence, and competence, based trust mediate the
link between strong ties and the receipt of useful knowledge. Trusting a knowledge source to be benevolent and competent should increase the chance that the knowledge receiver will learn from the interaction. When knowledge seekers ask for information, they become vulnerable to the benevolence of the knowledge source, e.g., in terms of their reputation.</t>
  </si>
  <si>
    <t>LEVIN, Daniel Z.; CROSS, Rob. The strength of weak ties you can trust: The mediating role of trust in effective knowledge transfer. Management science, v. 50, n. 11, p. 1477-1490, 2004.</t>
  </si>
  <si>
    <t>A well-thought and established process of knowledge transfer in software development helps us avoid project disruptions and keep knowledge within the company, despite employee rotation. Effective knowledge transfer methods for development teams: documentation, mutual code reviews, code comments, pair programming, face-to-face questions and answers sessions, mentoring, hackathons, brown bag lunches (BBLs), writing tests, communication and collaboration tools, and communities of practice.</t>
  </si>
  <si>
    <t>https://relevant.software/blog/effective-knowledge-transfer-between-software-teams/</t>
  </si>
  <si>
    <t>Benevolence refers to the perceived level of courtesy and positive attitude a trustee displays towards the trustor. It includes the extent to which a person seems: willing to help, available, sharing, has faith in intentions, receptive, kind, open, caring, and committed. Controlling benevolence in a tool can be a challenge. [L86]</t>
  </si>
  <si>
    <t>Internalized norms are integrity, discretion, honesty, fairness, and loyalty. This category refers to the intrinsic moral norms a trustee uses to guard his/her actions. The language Analysis regarding how a trustee uses the chat and walls could infer some people’s values. [L86]</t>
  </si>
  <si>
    <t>Accountability refers to the degree to which a person is liable and accountable for his/her acts and meets the expectations of another person. It includes the extent to which a person seems to be: reliable, consistent, self-confident, persistent, and responsible. [L86]</t>
  </si>
  <si>
    <t>Interpersonal relationships skills</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</si>
  <si>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(i.e., emotional appraisal), accurately labeling and categorizing feelings, and describing one’s and others’ emotional experiences (i.e., emotional understanding).</t>
  </si>
  <si>
    <t>Lack of interpersonal relationships originates due to geographical distance among globally distributed teams. Communication becomes low due to a lack of group interaction among distributed team members, which initiates multiple communication issues. Therefore, due to improper communication at remote sites, task dispute occurs, which might lead to relationship conflict, and the frequency of rework increases. [L84]</t>
  </si>
  <si>
    <t>BLICKLE, Gerhard et al. Construct and criterion‐related validation of a measure of emotional reasoning skills: A two‐study investigation. International Journal of Selection and Assessment, v. 17, n. 1, p. 101-118, 2009.</t>
  </si>
  <si>
    <t xml:space="preserve">A communication Protocol is a system of rules that allows two or more entities in a communications system to transmit information via any kind of variation of a physical quantity. Communication protocols are formal descriptions of formats and rules for producing digital messages for electronic data exchange. It is a set of rules defining how to coordinate between all the agents. The communication protocol is needed in a distributed system to ensure interaction between the different agents. </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</si>
  <si>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</si>
  <si>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https://www.cambridgeenglish.org/blog/benefits-of-testing-the-four-skills/</t>
  </si>
  <si>
    <t>The ability to motivate others and create trust happens when a person can motivate and inspires; builds potential in others; creates an environment that fosters learning, collaboration, and fluid teamwork, and attracts high performers.</t>
  </si>
  <si>
    <t>KLINGBORG, Donald J.; MOORE, Dale A.; VAREA-HAMMOND, Sonya. What is leadership?. Journal of Veterinary Medical Education, v. 33, n. 2, p. 280-283, 2006.</t>
  </si>
  <si>
    <t>Extroverted behaviors, for example, tend to result in a higher frequency of communication through electronic messages and an increase in team performance. It was found that high levels of positive personal traits, such as helpfulness and agreeableness increased team performance satisfaction. [L90]</t>
  </si>
  <si>
    <t>Time identification It allows knowing the average time taken to analyze a requirement with a certain number of lines. Identifying the productivity of RBT allows for verifying how productive are risk identification meetings. Identifying the productivity of RBT (low factor) It allows to the identification of the number of low-risk factors identified. Identifying the same risk exposure It allows the identification of the same risk exposure. To assess risk identification activity It allows setting the useful identified risks / meaningful to design test cases. [L110]</t>
  </si>
  <si>
    <t>Risk test cases allow us to verify how many risks have been mitigated. It allows verifying how many risks have been mitigated by requirement. Identifying prioritized risks allows us to confirm the prioritized risks with the highest level of requirements. Identifying risk category it allows verification of the risk classification according to categories or taxonomies.  Identify treated risks It allows us to verify how much the chances decrease in each iteration or test cycle. Verify risk reduction It allows to verification of the risk reduction leverage. Effort identification It allows supporting planning by providing effort estimates. Defect identification Indicates the quality of the RBT. Identify unidentified defects Defect unnoticed with RBT. [L110]</t>
  </si>
  <si>
    <t>Client and vendor organizational management commitment. Requirements change could frequently occur during the system development process, and organizational management must commit to and support the change management activities. The involvement of top and lower-level management is essential to implement the RCM process successfully. Also, the participation and commitment of the management could be helpful for requirements elicitation and change management. [L93]</t>
  </si>
  <si>
    <t>Use of English for communication. It is recommended to make some tests to verify if the practitioners detect some mistakes in English conversations (chats, e-mails, or phone calls) and show that they realize the problems of communication when non-native languages are being used. [L94]</t>
  </si>
  <si>
    <t>Lack of informal communication is another crucial considerable issue that comes within the teams while working in a distributed environment due to geographical distance. Informal communication help distributed teams establish a working relationship and permit an improved flow of information about the changes that come in the project. Lack of informal communication leads to challenges like a lack of mutual understanding of project objectives, misunderstanding of requirements, and the possibility of distrust between distributed teams. Lack of informal communication among the team members may result in a lack of implicit knowledge. [L84]</t>
  </si>
  <si>
    <t>Error management culture concerns the organization's culture of dealing with errors. A constructive error culture is seen as a prerequisite for a successful digital transformation, especially during the transition phase. [L16]</t>
  </si>
  <si>
    <t>Handling of data describes competence in the handling of data. This includes large data volumes and data security. [L16]</t>
  </si>
  <si>
    <t>Work-Life Balance Issues. The women reported that before the COVID-19 pandemic, the company was strict with the physical location. Many women left due to facing the trailing spouse effect, moving to another city or country when their spouse was relocated. After the COVID-19 pandemic and suddenly working from home, women reported being pressured to work extra hours, having no boundary set for working hours, and having to either attend meetings in different time zones or learn new knowledge. They also mentioned the consequences of not giving in to this pressure: they would be excluded from decisions made during the meetings and perceived by others as lacking in teamwork. When working extra and long hours, women feel stressed and have trouble disconnecting from work, impacting other household chores and having hardly any time left to bring some peace to mind. The lack of well-being support causes high levels of stress, which would be one of the reasons to quit. Besides the inflexible location, our participants also mentioned that before COVID-19, they lacked flexible work hours (which improved during the pandemic) and paid sick leave (specific for one location, for which the local laws do not cover this). These points are essential for those with parenting and caretaking responsibilities. Lack of daycare in the office was associated with a lack of parental support, which can cause women to leave the company. [L117]</t>
  </si>
  <si>
    <t>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t>
  </si>
  <si>
    <t>Sexism. The ambivalent sexism theory defines sexism as a multidimensional construct that includes two sets of attitudes: hostile and benevolent. Sexism has typically been conceptualized as a reflection of hostility toward women. Hostile sexism is related to the classic definition of prejudice. Our participants from our investigation reported microaggressions in which the opposite gender suppressed their voices. Besides not being heard during technical discussions, women receive various diminishing comments, such as that women cannot bring the same results as men and that women come to work only for time to pass or are not brilliant enough. Exposure to such diminishing comments can be a reason to leave. Benevolent sexism represents the subjectively positive feelings toward a gender that often bring some sexist antipathy. The participants reported being pampered, never being given hard/straight feedback, and being included in initiatives only because they are women, not because of their skills and capacity. [L117]</t>
  </si>
  <si>
    <t>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t>
  </si>
  <si>
    <t>Lack of Recognition. Feeling valued or appreciated is part of Maslow’s hierarchy of human needs. The participant mentioned not being recognized by her job and that women’s results are usually evaluated as OK, never as excellent, even when accomplishing exceptional work. No praise from managers was considered one of the reasons to leave. [L117]</t>
  </si>
  <si>
    <t>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t>
  </si>
  <si>
    <t>Lack of Peer Parity. Being surrounded by similar individuals to which to compare oneself, or identifying with at least one other peer in the team, is known as peer parity. The participants mentioned a [im]balance in men: women ratio and two consequences: (i) impact on their social capital, as they considered it hard to collaborate socially, [be]cause men to socialize in a different way than women do; and (ii) impact on developing their self-confidence due to lack of role models, as they lack strong women leaders as mentors. [L117]</t>
  </si>
  <si>
    <t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t>
  </si>
  <si>
    <t>Impostor Syndrome (also known as impostor phenomenon, fraud syndrome, perceived fraudulence, or the impostor experience), describes an experience of individuals who, despite their objective successes, struggle to internalize their accomplishments, feel persistent self-doubt, and being exposed as a fraud or impostor. Our participants mentioned it as a challenge and reason to leave situations in which women personalize failures and feel ashamed and inferior more than men and they tend to escape it by leaving [the company], but always masked as personal reasons.</t>
  </si>
  <si>
    <t>Impostor phenomenon (Women)</t>
  </si>
  <si>
    <t>Benevolent Sexism (Women)</t>
  </si>
  <si>
    <t>Prove-it Again it is the effect of a bias that occurs when a member of a group that does not align with stereotypes is measured at a stricter standard than those who do align with the stereotypes and, consequently, has to constantly provide more evidence to demonstrate competence. The participants mentioned that women need to show competence all the time: put extra effort to be heard when there is competition between men and have no room to slip[up]. Lastly, women feel they need to prove themselves when receiving an important task, [as] they are supervised by another person to guarantee they do it correctly. [L117]</t>
  </si>
  <si>
    <t>Maternal Wall describes the experience of mothers whose coworkers perceive and judge them as having made one of two choices: either they continue to work and neglect their family, making the mother less likable, or the mother prioritizes family over work, making them less reliable in the workplace. Our participants reported that women who are mothers receive [fewer] responsibilities because they have kids, as they are believed to not be able to handle much work. One of them reported surprising colleagues that [they] are able to handle it all. In addition, one of the reasons that cause women to leave is that when returning from maternity leave, not enough support is provided, or generally the woman is asked to step down from the role. [L117]</t>
  </si>
  <si>
    <t>Degree of task information, a content element of communication. In service exchanges, it is conveyed through functional, duty terms. The proportion of task terms to the total number of words in a message defines the degree of task information. Greater (lesser) degrees of task information decrease (increase) uncertainty. [L121]</t>
  </si>
  <si>
    <t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t>
  </si>
  <si>
    <t>The degree of affective intensity is a manner element of communication that is conveyed through affective terms. The proportion of affective terms to the total number of words in a message defines the degree of affective intensity.  [L121]</t>
  </si>
  <si>
    <t>The degree of personal information is a content element of communication that is conveyed through self-disclosing terms. The proportion of self-disclosing terms to the total number of words in a message defines the degree of personal information.  [L121]</t>
  </si>
  <si>
    <t>Degree of communication concreteness is a manner element of communication is conveyed by terms that are perceptible, precise, or specific. The proportion of concrete terms to the total number of words in a message defines the degree of concreteness. [L121]</t>
  </si>
  <si>
    <t>Team Empowerment</t>
  </si>
  <si>
    <t>Defined as the collective belief in a group that it can be effective and its role in determining the group's effectiveness. Empowerment is the delegation of authorities and responsibilities for decision-making, providing strengthening the role of people and teams. [L126]</t>
  </si>
  <si>
    <t>Computer anxiety</t>
  </si>
  <si>
    <t>Computer anxiety, in terms of anxiety, is the interactions with computers and negative global attitudes, and negative cognitions or self-critical internal dialogue.</t>
  </si>
  <si>
    <t>KORUKONDA, Appa Rao. Differences that do matter: A dialectic analysis of individual characteristics and personality dimensions contributing to computer anxiety. Computers in human behavior, v. 23, n. 4, p. 1921-1942, 2007.</t>
  </si>
  <si>
    <t>Sensitivity is an essential human trait that is in part determined by genes and in part by experiences made across life, at least when measured with a questionnaire. In this sense, sensitivity is very similar to other common personality traits. Sensitivity is a unique and specific combination of feelings and behaviors, though there is a degree of overlap with some common personality traits. In adults, sensitivity is related to Neuroticism and, to a lesser extent, Openness to Experiences. But it was not associated with Extraversion, Agreeableness, or Conscientiousness.</t>
  </si>
  <si>
    <t>Emotional stability (i.e., calm, steady, self-confident, and secure), of the five major personality dimensions, conscientiousness, and emotional stability are the most valid predictors of performance outcomes across different occupations.</t>
  </si>
  <si>
    <t>LOCKE, Edwin (Ed.). Handbook of principles of organizational behavior: Indispensable knowledge for evidence-based management. John Wiley &amp; Sons, 2011.</t>
  </si>
  <si>
    <t>Conscientiousness (personality dimensions)</t>
  </si>
  <si>
    <t>Conscientiousness describes a person’s ability to regulate impulse control to engage in goal-directed behaviors. It measures elements such as control, inhibition, and persistence of behavior.</t>
  </si>
  <si>
    <t>https://www.simplypsychology.org/big-five-personality.html</t>
  </si>
  <si>
    <t>Charismatic leadership</t>
  </si>
  <si>
    <t>Over the last 15 years, a substantial body of theory and empirical evidence has been accumulated concerning exceptional leaders who have extraordinary effects on their followers and, eventually, on social systems. Such leadership-alternatively called charismatic, visionary, transformational, and inspirational is claimed to influence followers in quantitatively greater and qualitatively different ways than the follower effects specified in past leadership theories. We refer to this new genre of leadership theories as charismatic because charisma is a central concept in all of them, either explicitly or implicitly.
According to charismatic leadership theory, such leaders transform the needs, values, preferences, desires, and aspirations of followers from self-interests to collective interests.</t>
  </si>
  <si>
    <t>https://doi.org/10.1016/1048-9843(92)90028-E</t>
  </si>
  <si>
    <t>DE A. MELO, Josias E. et al. An analysis of application usage for notes and reminders by older persons-eldernote case study. In: Proceedings of the 7th International Conference on Software Development and Technologies for Enhancing Accessibility and Fighting Info-exclusion. 2016. p. 339-345.</t>
  </si>
  <si>
    <t>Age is the number of years a person has lived. The age criteria are because cognitive functions begin to decline as we age, and older people may have more difficulty coping with managing an eventful daily routine, even those experiencing a healthy aging process.</t>
  </si>
  <si>
    <t>Usability consists of how the use of an interactive system in the work environment is affected by users' features (their cognition, capacity to act on the interface, and ability to perceive the system responses).
Software reusability is an attribute that refers to the expected reuse potential of a software component. Software reuse not only improves productivity but also positively impacts the quality and maintainability of software products.</t>
  </si>
  <si>
    <t>The need for a pre-start project briefing session; assign inexperienced employees with experienced employees whenever possible; language training for long-term assignments, if language is indeed a key component; and briefings on payroll, pension, and tax aspects.</t>
  </si>
  <si>
    <t>WELCH, Catherine L.; WELCH, Denice E.; TAHVANAINEN, Marja. Managing the HR dimension of international project operations. The International Journal of Human Resource Management, v. 19, n. 2, p. 205-222, 2008.</t>
  </si>
  <si>
    <t>Agile-driven human resource approaches are a departure from plan-driven traditional human resource management approaches. Moreover, research and surveys have shown that adopting agile human resource methodologies is an efficient way of excelling in agile software project management with significant advantages in production costs, time-to-market, complexity, and quality improvement over traditional human resource management methodologies.</t>
  </si>
  <si>
    <t>HUZOOREE, Geshwaree; RAMDOO, Vimla Devi. Review of effective human resource management techniques in agile software project management. International Journal of Computer Applications, v. 114, n. 5, 2015.</t>
  </si>
  <si>
    <t>Commitment is a ‘‘force that binds an individual to a course of action relevant to one or more targets”. the three-component model distinguishes between affective, normative, and continuance commitment. Affective commitment (AC) reflects identification with and involvement in the organization, normative commitment (NC) stems from a sense of obligation, and continuance commitment (CC) is based on a perceived necessity to stay with the organization.
Further work on the dimensionality of commitment suggests that CC contains two separate components: the perceived sacrifice associated with leaving, or high sacrifice (HS), and the perceived lack
of employment alternatives (LA). That is, AC, NC, HS, and LA provide distinct bases or motives used by employees to make sense of their behavior within and towards the organization. Conceptually, the four mindsets accompanying commitment closely parallel the four sources of commitment earlier identified by Scholl (1981) as identification, reciprocity, investments, and (lack of) alternatives.
Indeed, via social exchange and reciprocity mechanisms, employees feel compelled to reciprocate when offered valuable resources. Support, as it constitutes a socioemotional resource, leads employees to experience AC towards the organization. Furthermore, organizational support may contribute to AC by fulfilling basic socioemotional needs, such as affiliation, approval, and respect.</t>
  </si>
  <si>
    <t>PANACCIO, Alexandra; VANDENBERGHE, Christian. Perceived organizational support, organizational commitment and psychological well-being: A longitudinal study. Journal of vocational behavior, v. 75, n. 2, p. 224-236, 2009.</t>
  </si>
  <si>
    <t>CARRILLO DE GEA, Juan M. et al. Co‐located and distributed natural‐language requirements specification: traditional versus reuse‐based techniques. Journal of software: evolution and process, v. 28, n. 3, p. 205-227, 2016.</t>
  </si>
  <si>
    <t xml:space="preserve">Once the requirements specification techniques involved in the experiment have been presented, it would be helpful to compare them systematically.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not drastic but may still lead to some degree of process overload. For its part, the reuse ability is fully supported—and encouraged—when the catalog-based approach is applied. Reuse can occur when no specific techniques are applied, at least to some extent. Nevertheless, in this case, the benefits will be primarily decimated, mainly because of the lack of systematization. </t>
  </si>
  <si>
    <t xml:space="preserve">Eminence Education </t>
  </si>
  <si>
    <t>Eminence is the title reserved for individuals with fully developed talents who are extremely talented in one domain relative to other highly talented producers and artists in that domain. This relative superiority is recognized by the most knowledgeable members of the domain and is usually related to a sustained contribution or contributions that have had or will have a lasting and memorable impact on the domain.</t>
  </si>
  <si>
    <t>WORRELL, Frank C.; SUBOTNIK, Rena F.; OLSZEWSKI-KUBILIUS, Paula. Giftedness and eminence: Clarifying the relationship. Gifted and Talented International, v. 36, n. 1-2, p. 3-14, 2021.</t>
  </si>
  <si>
    <t>The conviction issue is related to a person who relies on verified evidence rather than personal observation, which can be biased, error-prone, and spotty. The rigorous, demanding experimental design constraints are needed (or even morally obligated) when the findings might contradict strongly-held prior beliefs and practices.</t>
  </si>
  <si>
    <t>DEVANBU, Prem; ZIMMERMANN, Thomas; BIRD, Christian. Belief &amp; evidence in empirical software engineering. In: Proceedings of the 38th international conference on software engineering. 2016. p. 108-119.</t>
  </si>
  <si>
    <t>Gender job segregation is widespread. Extensive literature documents the segregation of men and women into different occupations and the ensuing gender wage gap.
Scholars have long posited that, even within detailed occupations, men and women tend to be segregated into different jobs.
Within software engineering, the gender composition of workers hired differs significantly by occupational subspecialty.
Women are much more prevalent in software quality assurance than in other software subspecialties at the point of hire.</t>
  </si>
  <si>
    <t>CAMPERO, Santiago. Hiring and intra-occupational gender segregation in software engineering. American Sociological Review, v. 86, n. 1, p. 60-92, 2021.</t>
  </si>
  <si>
    <t>Information technology list of workforce skills:
Technical (Systems analysis, Systems design, Programming, System testing, Database design/management, Data warehousing, IT architecture/standards, Voice/data telecommunications, Operating systems, Server hosting, Security, Mainframe/legacy, Operations, Continuity/disaster recovery, Desktop support/helpdesk)
Business domain (Industry knowledge, Company-specific knowledge, Functional area process knowledge, Business process design/re-engineering, Change management/organization readiness, Managing stakeholder expectations, Communication)
Project management (Project planning/budgeting/scheduling, Project risk management, Negotiation, Project leadership, User relationship management, Project integration/program management, Working with virtual teams, Working globally, Capability maturity model utilization)
Sourcing - managing customers (Customer/product/service strategy, Customer selection or qualification, Contracting and legal, Managing customer relationships)
Sourcing—managing suppliers (Sourcing strategy, Third-party provider selection, Contracting and legal, Managing third-party providers)</t>
  </si>
  <si>
    <t>GOLES, Tim; HAWK, Stephen; KAISER, Kate M. Information technology workforce skills: The software and IT services provider perspective. In: Information Systems Outsourcing. Springer, Berlin, Heidelberg, 2009. p. 105-125.</t>
  </si>
  <si>
    <t>The use of cloud computing is increasing daily, and the loads experienced by cloud servers are also growing significantly. The demand on resources has therefore risen greatly, since there are large numbers of users of these applications; the popularity of cloud applications means that there are always a large number of customers. This leads to maximization of productivity, which reduces the response time in the cloud. Starvation of resources should be minimized to maintain an effective service, since this can lead to possible overloads. It is, therefore, necessary to reduce the load on the server so that all users are provided with equal performance.</t>
  </si>
  <si>
    <t>VANITHA, M.; MARIKKANNU, P. Effective resource utilization in cloud environment through a dynamic well-organized load balancing algorithm for virtual machines. Computers &amp; Electrical Engineering, v. 57, p. 199-208, 2017.</t>
  </si>
  <si>
    <t>Electronic industry is the world‟s largest and innovative industry for its kind. Tons of electronic items are shipped over oceans every year. However, after their usage time they become a complex waste matter. It consists of many hazardous heavy metals, acids, toxic chemicals and non-degradable plastics etc. About 75% of e-wastes are unsure for their purpose or finding ways to use them which include refurbishment, remanufacture and reuse their parts for repair etc.</t>
  </si>
  <si>
    <t>LAKSHMI, Sai et al. A review study of e-waste management in India. Asian Journal of Applied Science and Technology (AJAST) Volume, v. 1, p. 33-36, 2017.</t>
  </si>
  <si>
    <t>Green and sustainable management of product life cycle</t>
  </si>
  <si>
    <t>A Green or Sustainable PLM strategy could be defined as follows:
Mission. To supply products satisfying customer needs taking advance of company’s innovation, quality and sustainable production system considering all the lifecycle impacts.
Vision. To generate data, information and knowledge within the organization and to manage it from the perspective of sustainable product design, development, manufacturing and disposal. The company will coordinate the generation, change and storage of all the product relative metadata with metrics that will assess the sustainability of all the product lifecycle phases.
Objective. To share data, information and knowledge of all the product lifecycle stages among all the driving forces involved (internal and external) and to encourage the collaboration with clients, stakeholders and suppliers and to enable sustainability through Green Products and Processes (certified Green Factory).</t>
  </si>
  <si>
    <t>VILA, C. et al. An approach to sustainable product lifecycle management (Green PLM). Procedia engineering, v. 132, p. 585-592, 2015.</t>
  </si>
  <si>
    <t>The reengineering process comprises various activities, including model capture and analysis (i.e., reverse engineering), assessment of problems to be repaired, and migration from the legacy software towards the reengineered system. Although in practice this is an ongoing and iterative process, we can idealize it as a transformation through various abstraction layers from legacy code towards a new system.</t>
  </si>
  <si>
    <t>NIERSTRASZ, Oscar; DUCASSE, Stéphane; GǏRBA, Tudor. The story of Moose: an agile reengineering environment. In: Proceedings of the 10th European software engineering conference held jointly with 13th ACM SIGSOFT international symposium on Foundations of software engineering. 2005. p. 1-10.</t>
  </si>
  <si>
    <t>Agile software developers focus on polymorphic design that fit to meet the long‐term goals of the project. Sustainability of a software project can be compromised if the agile software developers do not consider the impact of simple and polymorphic design in software development. Agile methods emphasis on simple designs with the documentation needed to derive the software features. Agile methods also focus on optimized design for reuse, which helps to reduce coupling and dependencies with other software modules, and of course, this eliminates duplicated code. These features of agile methods support the development of green and sustainable software.</t>
  </si>
  <si>
    <t>RASHID, Nasir; KHAN, Siffat Ullah. Using agile methods for the development of green and sustainable software: Success factors for GSD vendors. Journal of Software: Evolution and Process, v. 30, n. 8, p. e1927, 2018.</t>
  </si>
  <si>
    <t>Training of DevOps activities has a positive impactwhile implementing DevOps. Proper training sessions are required to understand the concept and DevOps environment properly. The organization must support their teams for training sessions which will help their organization towards successful working of DevOps activities.</t>
  </si>
  <si>
    <t>RAFI, Saima; YU, Wu; AKBAR, Muhammad Azeem. RMDevOps: a road map for improvement in DevOps activities in context of software organizations. Proceedings of the Evaluation and Assessment in Software Engineering, p. 413-418, 2020.</t>
  </si>
  <si>
    <t>Expertise and knowledge in the application domain. High proficiency in a programming language to build codes with complex instructions [L51] [L37].</t>
  </si>
  <si>
    <t>Size of the product to be developed [L37].</t>
  </si>
  <si>
    <t>Number of of involved sites that needs to collaborate on project [L37].</t>
  </si>
  <si>
    <t>Use of Standard Model for Process, Data and Product’s Components. Typically, during the design process, the design team needs to identify the most adequate components to fulfill specific design requirements.</t>
  </si>
  <si>
    <t>COSTA, G.; MADRAZO, L. Connecting building component catalogues with BIM models using semantic technologies: an application for precast concrete components. Automation in construction, v. 57, p. 239-248, 2015.</t>
  </si>
  <si>
    <t>Integration is an activity of software development in which the isolated software components are combined in a single unit. The integration phase, or the synchronizing of the various parts, is one of the most complicated phases of software projects in Global Software Development environment [L66]</t>
  </si>
  <si>
    <t>Arranging traveling to remote sites frequently to build trust.</t>
  </si>
  <si>
    <t>Confidence of development team members [L108]</t>
  </si>
  <si>
    <t>Now-a-days the rise and fall of the software companies is common. Those who learnt lesson from their previous fails they succeed. Due to advancement in technology new approaches and methods are under development. Software industry also adopt new approaches with the change in technology and techniques.</t>
  </si>
  <si>
    <t>HAYAT, Faisal et al. The influence of agile methodology (Scrum) on software project management. In: 2019 20th IEEE/ACIS International Conference on Software Engineering, Artificial Intelligence, Networking and Parallel/Distributed Computing (SNPD). IEEE, 2019. p. 145-149.</t>
  </si>
  <si>
    <t xml:space="preserve">Individual initiatives, mentoring by core team, employee work life balance [L72]. Work life balance, and lack of attractive packages of hiring [L109]. </t>
  </si>
  <si>
    <t>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[L84]</t>
  </si>
  <si>
    <t>Clear vision to solve their professional problems towards the project outcome. The extent to which the client lead takes individual initiative and shared responsibility for developing solutions and resolving issues and problems that arise in the relationship. Is proactive at identifying and resolving potential problems with the proposed solution. Raises potentially problematic issues in a timely manner.</t>
  </si>
  <si>
    <t>BETTENCOURT, Lance A. et al. Client co-production in knowledge-intensive business services. California management review, v. 44, n. 4, p. 100-128, 2002.</t>
  </si>
  <si>
    <t>Requeriments elicitation techniques</t>
  </si>
  <si>
    <t>A basic question in Requirements Engineering is how to find out what users really need. Requirements elicitation is the process of defining stakeholders’
needs and putting this information together in an understandablemanner such that developers can construct a system that will address those needs.
One of the main challenges of requirements elicitation is that of fully understanding what the users really want. Interaction with the users usually takes place via natural language, which is not always straightforward. The consequence is that users tend to provide incomplete or ambiguous requirements. Another problem is that the requirements gathered during the early stages of the project are likely to evolve or be discarded in later phases of the project. A lack of user involvement or having unrealistic expectations are also common problems. Since the social context is much more crucial than the technical one, these issues cannot be solved in a purely technological way.</t>
  </si>
  <si>
    <t>ALDAVE, Ainhoa et al. Leveraging creativity in requirements elicitation within agile software development: A systematic literature review. Journal of Systems and Software, v. 157, p. 110396, 2019.</t>
  </si>
  <si>
    <t>To illustrate most of the financial maturity models presented, costs and revenues are plotted against an arithmetic time axis and a logarithmic dollar axis. Assuming this objective, financial maturity is defined to occur when a stand's anticipated future value growth will not increase the firm's present net worth. The maximum internal rate of return model assumes that access to all external investment opportunities is blocked, and like the incomplete financial maturity model used by Duerr, et a/., it does not consider inputs other than growing stock, particularly the input of land. The foregoing comparison of the internal rate of return and present net worth solutions illustrates the argument that the various financial maturity models may be distinguished according to implicit or explicit assumptions regarding accessibility of factor markets on input fixities.</t>
  </si>
  <si>
    <t>BENTLEY, William R.; TEEGUARDEN, Dennis E. Financial Maturity: A Theoretical Review. Economics of Forestry, p. 67-78, 2018.</t>
  </si>
  <si>
    <t>Budget constraint, it is determined to a large extent by the firm’s retained earnings, the net present value of its future investments, the quality of its management as well as the liquidation value of its assets.</t>
  </si>
  <si>
    <t>BOLTON, Patrick; DEWATRIPONT, Mathias. The time and budget constraints of the firm. European Economic Review, v. 39, n. 3-4, p. 691-699, 1995.</t>
  </si>
  <si>
    <t>The project scope is the work that must be performed to deliver a product, service, or result with specified features and functions.</t>
  </si>
  <si>
    <t>PMI PMBOOK</t>
  </si>
  <si>
    <t>In July 2014 ISO and IEC published a standard relating to public cloud computing and data protection. The standard aims to address the down-sides of cloud computing and the concerns of the cloud clients, mainly the lack of trust and transparency, by developing controls and recommendations for cloud service providers acting as  personally identifiable information processors.</t>
  </si>
  <si>
    <t xml:space="preserve">When it comes to selecting a cloud provider, the requirements you have and evaluation criteria you use will be unique to your organisation. However, there are some common areas of focus during any service provider assessment.  There are main 8 sections to help effectively compare suppliers and select a provider that delivers the value and benefits your organisation expects from the cloud. Certifications &amp; Standards. Technologies &amp; Service Roadmap. Data Security, Data Governance and Business policies. Service Dependencies &amp; Partnerships. Contracts, Commercials &amp; SLAs. Reliability &amp; Performance. Migration Support, Vendor Lock in &amp; Exit Planning. Business health &amp; Company profile. </t>
  </si>
  <si>
    <t>Criticality is the importance of getting the task done correctly in terms of its negative effects should problems occur" and a critical task is "to be one where a failure affects the life of a human.</t>
  </si>
  <si>
    <t>#1</t>
  </si>
  <si>
    <t>author</t>
  </si>
  <si>
    <t>#13</t>
  </si>
  <si>
    <t>year</t>
  </si>
  <si>
    <t>#133</t>
  </si>
  <si>
    <t>#12</t>
  </si>
  <si>
    <t>#5</t>
  </si>
  <si>
    <t>#52</t>
  </si>
  <si>
    <t>#6</t>
  </si>
  <si>
    <t>#7</t>
  </si>
  <si>
    <t>#8</t>
  </si>
  <si>
    <t>#9</t>
  </si>
  <si>
    <t>Nguyen-Duc et al.,</t>
  </si>
  <si>
    <t>&amp;</t>
  </si>
  <si>
    <t>\cite{L06}</t>
  </si>
  <si>
    <t>\\</t>
  </si>
  <si>
    <t>\hline</t>
  </si>
  <si>
    <t>Nidhra \&amp; Yanamadala,</t>
  </si>
  <si>
    <t>\cite{L09}</t>
  </si>
  <si>
    <t>Kluge et al.,</t>
  </si>
  <si>
    <t>\cite{L16}</t>
  </si>
  <si>
    <t>Humayun \&amp; Cui,</t>
  </si>
  <si>
    <t>\cite{L22}</t>
  </si>
  <si>
    <t>Richardson et al.,</t>
  </si>
  <si>
    <t>\cite{L26}</t>
  </si>
  <si>
    <t>Kroll et al.,</t>
  </si>
  <si>
    <t>\cite{L31}</t>
  </si>
  <si>
    <t>Ilyas \&amp; Khan,</t>
  </si>
  <si>
    <t>\cite{L32}</t>
  </si>
  <si>
    <t>Avritzer et al.,</t>
  </si>
  <si>
    <t>\cite{L36}</t>
  </si>
  <si>
    <t>Lamersdorf et al.,</t>
  </si>
  <si>
    <t>\cite{L37}</t>
  </si>
  <si>
    <t>Palacio et al.,</t>
  </si>
  <si>
    <t>\cite{L38}</t>
  </si>
  <si>
    <t>Kommeren \&amp; Parviainen,</t>
  </si>
  <si>
    <t>\cite{L39}</t>
  </si>
  <si>
    <t>Kuhrmann et al.,</t>
  </si>
  <si>
    <t>\cite{L41}</t>
  </si>
  <si>
    <t>Rafi et al.,</t>
  </si>
  <si>
    <t>\cite{L44}</t>
  </si>
  <si>
    <t>\cite{L46}</t>
  </si>
  <si>
    <t>Kamal et al.,</t>
  </si>
  <si>
    <t>\cite{L50}</t>
  </si>
  <si>
    <t>Hidayati et al.,</t>
  </si>
  <si>
    <t>\cite{L51}</t>
  </si>
  <si>
    <t>Hassan et al.,</t>
  </si>
  <si>
    <t>\cite{L54}</t>
  </si>
  <si>
    <t>Shanyour \&amp; Qusef,</t>
  </si>
  <si>
    <t>\cite{L55}</t>
  </si>
  <si>
    <t>Goyal \&amp; Gupta,</t>
  </si>
  <si>
    <t>\cite{L58}</t>
  </si>
  <si>
    <t>Akbar, Shameem, et al.,</t>
  </si>
  <si>
    <t>\cite{L59}</t>
  </si>
  <si>
    <t>A. A. Khan et al.,</t>
  </si>
  <si>
    <t>\cite{L60}</t>
  </si>
  <si>
    <t>Imtiaz \&amp; Ikram,</t>
  </si>
  <si>
    <t>\cite{L61}</t>
  </si>
  <si>
    <t>Sangaiah et al.,</t>
  </si>
  <si>
    <t>\cite{L62}</t>
  </si>
  <si>
    <t>\cite{L66}</t>
  </si>
  <si>
    <t>Gulzar et al.,</t>
  </si>
  <si>
    <t>\cite{L67}</t>
  </si>
  <si>
    <t>Yaseen et al.,</t>
  </si>
  <si>
    <t>\cite{L68}</t>
  </si>
  <si>
    <t>A. A. Khan \&amp; Akbar,</t>
  </si>
  <si>
    <t>\cite{L69}</t>
  </si>
  <si>
    <t>Bhatti \&amp; Ahsan,</t>
  </si>
  <si>
    <t>\cite{L71}</t>
  </si>
  <si>
    <t>Sundararajan et al.,</t>
  </si>
  <si>
    <t>\cite{L72}</t>
  </si>
  <si>
    <t xml:space="preserve">Dumitriu et al., </t>
  </si>
  <si>
    <t>\cite{L75}</t>
  </si>
  <si>
    <t>Chatzipetrou et al.,</t>
  </si>
  <si>
    <t>\cite{L76}</t>
  </si>
  <si>
    <t>Baldwin \&amp; Damian,</t>
  </si>
  <si>
    <t>\cite{L78}</t>
  </si>
  <si>
    <t>Sievi-Korte et al.,</t>
  </si>
  <si>
    <t>\cite{L83}</t>
  </si>
  <si>
    <t>Ammad et al.,</t>
  </si>
  <si>
    <t>\cite{L84}</t>
  </si>
  <si>
    <t>Gopal et al.,</t>
  </si>
  <si>
    <t>\cite{L85}</t>
  </si>
  <si>
    <t>Vizcaíno et al.,</t>
  </si>
  <si>
    <t>\cite{L86}</t>
  </si>
  <si>
    <t>Šablis \&amp; Šmite,</t>
  </si>
  <si>
    <t>\cite{L89}</t>
  </si>
  <si>
    <t>Monasor et al.,</t>
  </si>
  <si>
    <t>\cite{L90}</t>
  </si>
  <si>
    <t>Akbar, Mahmood, et al.,</t>
  </si>
  <si>
    <t>\cite{L93}</t>
  </si>
  <si>
    <t>\cite{L94}</t>
  </si>
  <si>
    <t>Defranco \&amp; Laplante,</t>
  </si>
  <si>
    <t>\cite{L96}</t>
  </si>
  <si>
    <t>Shameem et al.,</t>
  </si>
  <si>
    <t>\cite{L97}</t>
  </si>
  <si>
    <t>R. A. Khan et al.,</t>
  </si>
  <si>
    <t>\cite{L98}</t>
  </si>
  <si>
    <t>Moayedikia et al.,</t>
  </si>
  <si>
    <t>\cite{L101}</t>
  </si>
  <si>
    <t>Akbar, Alsalman, et al.,</t>
  </si>
  <si>
    <t>\cite{L102}</t>
  </si>
  <si>
    <t>Alsanoosy et al.,</t>
  </si>
  <si>
    <t>\cite{L103}</t>
  </si>
  <si>
    <t>Lai et al.,</t>
  </si>
  <si>
    <t>\cite{L108}</t>
  </si>
  <si>
    <t>Hussain et al.,</t>
  </si>
  <si>
    <t>\cite{L109}</t>
  </si>
  <si>
    <t xml:space="preserve">Sangaiah et al., </t>
  </si>
  <si>
    <t>\cite{L116}</t>
  </si>
  <si>
    <t>Trinkenreich et al.,</t>
  </si>
  <si>
    <t>Subbarao \&amp; Mahrin</t>
  </si>
  <si>
    <t>Afif Nurrahman, Giri Sucahyo, \&amp; Gandhi</t>
  </si>
  <si>
    <t>Sridhar \&amp; Vadivelu</t>
  </si>
  <si>
    <t xml:space="preserve">Ludwig et al., </t>
  </si>
  <si>
    <t>Rahman et al.,</t>
  </si>
  <si>
    <t>Rashid et al.,</t>
  </si>
  <si>
    <t>Iqbal et al.,</t>
  </si>
  <si>
    <t>Zhang et al.,</t>
  </si>
  <si>
    <t>Garro-Abarca, Palos-Sanchez, \&amp; Aguayo-Camacho</t>
  </si>
  <si>
    <t>Bastidas, Pardo, \&amp; Ardila</t>
  </si>
  <si>
    <t>Castro-Hernandez, Perez-Rosas, \&amp; Swigger</t>
  </si>
  <si>
    <t>Björkdahl \&amp; Kronblad</t>
  </si>
  <si>
    <t>Global Software Development: A Review of its Practices</t>
  </si>
  <si>
    <t>Ali \&amp; Lai</t>
  </si>
  <si>
    <t>Khan \&amp; Akbar</t>
  </si>
  <si>
    <t>\cite{L117}</t>
  </si>
  <si>
    <t>\cite{L118}</t>
  </si>
  <si>
    <t>\cite{L119}</t>
  </si>
  <si>
    <t>\cite{L120}</t>
  </si>
  <si>
    <t>\cite{L121}</t>
  </si>
  <si>
    <t>\cite{L122}</t>
  </si>
  <si>
    <t>\cite{L123}</t>
  </si>
  <si>
    <t>\cite{L124}</t>
  </si>
  <si>
    <t>\cite{L125}</t>
  </si>
  <si>
    <t>\cite{L126}</t>
  </si>
  <si>
    <t>\cite{L110}</t>
  </si>
  <si>
    <t>\cite{L111}</t>
  </si>
  <si>
    <t>\cite{L112}</t>
  </si>
  <si>
    <t>\cite{L113}</t>
  </si>
  <si>
    <t>\cite{L114}</t>
  </si>
  <si>
    <t>\cite{L115}</t>
  </si>
  <si>
    <t>Visibility / roles and responsibilities</t>
  </si>
  <si>
    <t>Overseas site response</t>
  </si>
  <si>
    <t>Requirement traceability</t>
  </si>
  <si>
    <t>Change management process awareness</t>
  </si>
  <si>
    <t>Standard and process for RCM</t>
  </si>
  <si>
    <t>Synchronisation of work at different sites</t>
  </si>
  <si>
    <t>Parallel project testing and feedback</t>
  </si>
  <si>
    <t>Lack of proper documentation</t>
  </si>
  <si>
    <t>Lack of compatibility</t>
  </si>
  <si>
    <t>Architecture mismatch</t>
  </si>
  <si>
    <t>Heterogeneous development environment and platforms</t>
  </si>
  <si>
    <t>Wrong OTS product selection and customization</t>
  </si>
  <si>
    <t>Lack of resources, knowledge, and skills</t>
  </si>
  <si>
    <t>Lack of proper component interfaces</t>
  </si>
  <si>
    <t>Lack of shared vision for the end product</t>
  </si>
  <si>
    <t>Difficulties in dealing with instability</t>
  </si>
  <si>
    <t>Various architecting modeling techniques</t>
  </si>
  <si>
    <t>Specialty ability of the teams</t>
  </si>
  <si>
    <t xml:space="preserve">The specialty ability of the teams. The gap would lead to some differences in performance. The practitioners with lower specialties might not have solid knowledge foundations (hard skills) and are comparatively weaker in thinking and learning abilities. Their self-confidence and motivation are insufficient, as well as their proficiency in self-cognition and self-control (soft skills). </t>
  </si>
  <si>
    <t>https://ieeexplore.ieee.org/document/6120973</t>
  </si>
  <si>
    <t>Lack of ICT and technological cohesion</t>
  </si>
  <si>
    <t>#</t>
  </si>
  <si>
    <t>%</t>
  </si>
  <si>
    <t>group</t>
  </si>
  <si>
    <t>co-citation</t>
  </si>
  <si>
    <t>title</t>
  </si>
  <si>
    <t>country</t>
  </si>
  <si>
    <t>ABSTRACT</t>
  </si>
  <si>
    <t>OVERVIEW</t>
  </si>
  <si>
    <t>GSD?</t>
  </si>
  <si>
    <t>CRITERIA VERIFY?</t>
  </si>
  <si>
    <t>critica</t>
  </si>
  <si>
    <t>comment</t>
  </si>
  <si>
    <t>KHAN S.U. 2011-1</t>
  </si>
  <si>
    <t>pakistan</t>
  </si>
  <si>
    <t>CONTEXT – Software development outsourcing is a contract-based relationship between client and vendor organisations in which a client contracts out all or part of its software development activities to a vendor, who provides agreed services for remuneration.
OBJECTIVE – The objective is to identify various barriers that have a negative impact on software outsourcing clients in the selection process of offshore software development outsourcing vendors.
METHOD – We have performed a Systematic Literature Review (SLR) process for the identification of barriers. We have performed all the SLR steps such as the protocol development, initial selection, final selection, quality assessment, data extraction and data synthesis.
RESULTS –We have identified barriers such as ‘language and cultural barriers’, ‘country instability’, ‘lack of project management’, ‘lack of protection for intellectual property rights’ and ‘lack of technical capability’ that generally have a negative impact on outsourcing clients. We have identified only one common frequently cited barrier in three types of organisations (i.e. small, medium and large) which is ‘language and cultural barriers’. We did not identify any common frequently cited barrier in three continents (Asia, North America and Europe) and in two decades (1990-1999 and 2000- mid 2008). The results also reveal the similarities and differences in the barriers identified through different study strategies.
CONCLUSIONS –Vendors should address frequently cited barriers such as ‘language and cultural barriers’, ‘country instability’, ‘lack of project management’, ‘lack of protection for intellectual property rights’ and ‘lack of technical capability’ in order to compete in the offshore outsourcing business.
Keywords: Systematic Literature Review; Software Development Outsourcing, Vendors, Barriers</t>
  </si>
  <si>
    <t>SLR TO IDENTIFY TO IDENTIFY BARRIERS AT GSD</t>
  </si>
  <si>
    <t>SOMENTE SLR</t>
  </si>
  <si>
    <t xml:space="preserve">Barriers </t>
  </si>
  <si>
    <t>KITCHENHAM B. 2007</t>
  </si>
  <si>
    <t>UK</t>
  </si>
  <si>
    <t>The objective of this report is to propose comprehensive guidelines for systematic literature reviews appropriate for software engineering researchers, including PhD students. A systematic literature review is a means of evaluating and interpreting all available research relevant to a particular research question, topic area, or phenomenon of interest. Systematic reviews aim to present a fair evaluation of a research topic by using a trustworthy, rigorous, and auditable methodology. The guidelines presented in this report were derived from three existing guidelines used by medical researchers, two books produced by researchers with social science backgrounds and discussions with researchers from other disciplines who are involved in evidence-based practice. The guidelines have been adapted to reflect the specific problems of software engineering research. The guidelines cover three phases of a systematic literature review: planning the review, conducting the review and reporting the review. They provide a relatively high level description. They do not consider the impact of the research questions on the review procedures, nor do they specify in detail the mechanisms needed to perform meta-analysis.</t>
  </si>
  <si>
    <t xml:space="preserve"> guidelines for SLR appropriate for software engineering researchers</t>
  </si>
  <si>
    <t>metodo de SLR dentro de software antigo, mas antigo</t>
  </si>
  <si>
    <t>SLR guideline</t>
  </si>
  <si>
    <t>KHAN S.U. 2011-2</t>
  </si>
  <si>
    <t>Context: Offshore software development outsourcing is a modern business strategy for developing high quality software at low cost. 
Objective: The objective of this research paper is to identify and analyse factors that are important in terms of the competitiveness of vendor organisations in attracting outsourcing projects. 
Method: We performed a systematic literature review (SLR) by applying our customised search strings which were derived from our research questions. We performed all the SLR steps, such as the protocol development, initial selection, final selection, quality assessment, data extraction and data synthesis. 
Results: We have identified factors such as cost-saving, skilled human resource, appropriate infrastructure, quality of product and services, efficient outsourcing relationships management, and an organisation’s track record of successful projects which are generally considered important by the outsourcing clients. Our results indicate that appropriate infrastructure, cost-saving, and skilled human resource are common in three continents, namely Asia, North America and Europe. We identified appropriate infrastructure, cost-saving, and quality of products and services as being common in three types of organisations (small, medium and large). We have also identified four factors-appropriate infrastructure, cost-saving, quality of products and services, and skilled human resource as being common in the two decades (1990–1999 and 2000–mid 2008). 
Conclusions: Cost-saving should not be considered as the driving factor in the selection process of software development outsourcing vendors. Vendors should rather address other factors in order to compete in the OSDO business, such as skilled human resource, appropriate infrastructure and quality of products and services.</t>
  </si>
  <si>
    <t>SLR TO IDENTIFY AND ANALYSE COMPETITIVE FACTORS OF GSD</t>
  </si>
  <si>
    <t>Success factors</t>
  </si>
  <si>
    <r>
      <t xml:space="preserve">Khan SU. </t>
    </r>
    <r>
      <rPr>
        <b/>
        <sz val="8"/>
        <color theme="9" tint="-0.249977111117893"/>
        <rFont val="Arial Nova"/>
        <family val="2"/>
      </rPr>
      <t>Software outsourcing vendors readiness model (SOVRM).</t>
    </r>
    <r>
      <rPr>
        <sz val="8"/>
        <color theme="9" tint="-0.249977111117893"/>
        <rFont val="Arial Nova"/>
        <family val="2"/>
      </rPr>
      <t xml:space="preserve"> In: School of Computing &amp; Maths. UK: Keele University; 2011:381.</t>
    </r>
  </si>
  <si>
    <r>
      <t xml:space="preserve">KHAN, Siffat Ullah; NIAZI, Mahmood; AHMAD, Rashid. </t>
    </r>
    <r>
      <rPr>
        <b/>
        <sz val="6"/>
        <color theme="9" tint="-0.249977111117893"/>
        <rFont val="Arial Nova"/>
        <family val="2"/>
      </rPr>
      <t>Factors influencing clients in the selection of offshore software outsourcing vendors: An exploratory study using a systematic literature review.</t>
    </r>
    <r>
      <rPr>
        <sz val="6"/>
        <color theme="9" tint="-0.249977111117893"/>
        <rFont val="Arial Nova"/>
        <family val="2"/>
      </rPr>
      <t xml:space="preserve"> Journal of systems and software, v. 84, n. 4, p. 686-699, 2011.</t>
    </r>
  </si>
  <si>
    <t>KITCHENHAM B. 2003</t>
  </si>
  <si>
    <r>
      <t>KITCHENHAM, Barbara A. et al. Preliminary guidelines for empirical research in software engineering. </t>
    </r>
    <r>
      <rPr>
        <b/>
        <sz val="8"/>
        <color theme="9" tint="-0.249977111117893"/>
        <rFont val="Arial"/>
        <family val="2"/>
      </rPr>
      <t>IEEE Transactions on software engineering</t>
    </r>
    <r>
      <rPr>
        <sz val="8"/>
        <color theme="9" tint="-0.249977111117893"/>
        <rFont val="Arial"/>
        <family val="2"/>
      </rPr>
      <t>, v. 28, n. 8, p. 721-734, 2002.</t>
    </r>
  </si>
  <si>
    <t>Empirical software engineering research needs research guidelines to improve the research and reporting processes. We propose a preliminary set of research guidelines aimed at stimulating discussion among software researchers. They are based on a review of research guidelines developed for medical researchers and on our own experience in doing and reviewing software engineering research. The guidelines are intended to assist researchers, reviewers and meta-analysts in designing, conducting and evaluating empirical studies. Editorial boards of software engineering journals may wish to use our recommendations as a basis for developing guidelines for reviewers and for framing policies for dealing with the design, data collection and analysis and reporting of empirical studies.</t>
  </si>
  <si>
    <t xml:space="preserve">preliminary set of research guidelines aimed at stimulating discussion among software researchers. </t>
  </si>
  <si>
    <t>estudo inicial</t>
  </si>
  <si>
    <t>inicial study</t>
  </si>
  <si>
    <t>SHAMEEM M. 2018</t>
  </si>
  <si>
    <r>
      <t>Shameem, M., Kumar, R.R., Kumar, C., Chandra, B. and Khan, A.A. (2018) ‘</t>
    </r>
    <r>
      <rPr>
        <b/>
        <sz val="8"/>
        <color theme="9" tint="-0.249977111117893"/>
        <rFont val="Arial"/>
        <family val="2"/>
      </rPr>
      <t>Prioritizing challenges of agile process in distributed software development environment using analytic hierarchy process</t>
    </r>
    <r>
      <rPr>
        <sz val="8"/>
        <color theme="9" tint="-0.249977111117893"/>
        <rFont val="Arial"/>
        <family val="2"/>
      </rPr>
      <t>’, Journal of Software: Evolution and Process, Vol. 30, No. 11, https://doi.org/10.1002/smr.1979.</t>
    </r>
  </si>
  <si>
    <t>Software organizations are increasingly combining agile methodologies and distributed software development (DSD) for efficiently and effectively built software products. There are numerous challenges associated with scaling agile methods in a distributed environment. Our study is intended to explore and prioritize the challenges for scaling agile practices in the DSD environment. This study was divided into 3 stages. In the first stage, 22 challenges were identified from literature review and grouped into 4 categories: management, team, technology, and process based on discussion with experts. In the second stage, an online questionnaire study was conducted to validate the identified challenges. Finally, analytic hierarchy process method was used to prioritize challenges and their categories based on their relative importance. The results highlighted that management is a most significant category as compared with the other categories. Similarly, lack of management commitments, lack of effective communication, lack of knowledge sharing, etc are identified as the most significant challenges that need to be focused by the organizations for scaling agile methodologies. On the basis of the research findings, we could conclude that the identified challenges along with their categories provide a robust framework to scale agile methodologies in the DSD environment.</t>
  </si>
  <si>
    <t>estudo mais robusto com AHP, mas ahp...</t>
  </si>
  <si>
    <t>Agile
Challenges</t>
  </si>
  <si>
    <t>FISNTAD K. 2010</t>
  </si>
  <si>
    <t>A series of usability tests was run on two enterprise software applications, followed by verbal administration of the System Usability Scale. The original instrument with its 5-point Likert items was presented, as well as an alternate version modified with 7-point Likert items. Participants in the 5-point scale condition were more likely than those presented with the 7-point scale to interpolate, i.e., attempt a response between two discrete values presented to them. In an applied setting, this implied that electronic radio-button style survey tools using 5-point items might not be accurately measuring participant responses. This finding supported the conclusion that 7-point Likert items provide a more accurate measure of a participant’s true evaluation and are more appropriate for electronically-distributed and otherwise unsupervised usability questionnaires.</t>
  </si>
  <si>
    <t>analise da escala de LIKERT</t>
  </si>
  <si>
    <t>NÃO APLICAVEL AO NOSSO ARTIGO</t>
  </si>
  <si>
    <t>n/a</t>
  </si>
  <si>
    <t>SINHA V. 2006</t>
  </si>
  <si>
    <r>
      <t>SENGUPTA, Bikram; CHANDRA, Satish; SINHA, Vibha. A</t>
    </r>
    <r>
      <rPr>
        <b/>
        <sz val="8"/>
        <color theme="9" tint="-0.249977111117893"/>
        <rFont val="Arial"/>
        <family val="2"/>
      </rPr>
      <t xml:space="preserve"> research agenda for distributed software development</t>
    </r>
    <r>
      <rPr>
        <sz val="8"/>
        <color theme="9" tint="-0.249977111117893"/>
        <rFont val="Arial"/>
        <family val="2"/>
      </rPr>
      <t>. In: </t>
    </r>
    <r>
      <rPr>
        <b/>
        <sz val="8"/>
        <color theme="9" tint="-0.249977111117893"/>
        <rFont val="Arial"/>
        <family val="2"/>
      </rPr>
      <t>Proceedings of the 28th international conference on Software engineering</t>
    </r>
    <r>
      <rPr>
        <sz val="8"/>
        <color theme="9" tint="-0.249977111117893"/>
        <rFont val="Arial"/>
        <family val="2"/>
      </rPr>
      <t>. 2006. p. 731-740.</t>
    </r>
  </si>
  <si>
    <t>In recent years, a number of business reasons have caused software development to become increasingly distributed. Remote development of software offers several advantages, but it is also fraught with challenges. In this paper, we report on our study of distributed software development that helped shape a research agenda for this field. Our study has identified four areas where important research questions need to be addressed to make distributed development more effective. These areas are: collaborative software tools, knowledge acquisition and management, testing in a distributed set-up and process and metrics issues. We present a brief summary of related research in each of these areas, and also outline open research issues.</t>
  </si>
  <si>
    <t>Agenda, composta por 4 temas, para pesquisas no GSD.</t>
  </si>
  <si>
    <t>2006, GSD study areas</t>
  </si>
  <si>
    <t>very good image of GSD</t>
  </si>
  <si>
    <t>NIAZI M. 2016</t>
  </si>
  <si>
    <r>
      <t xml:space="preserve">NIAZI, Mahmood et al. </t>
    </r>
    <r>
      <rPr>
        <b/>
        <sz val="8"/>
        <color theme="9" tint="-0.249977111117893"/>
        <rFont val="Arial"/>
        <family val="2"/>
      </rPr>
      <t>Challenges of project management in global software development: A client-vendor analysis</t>
    </r>
    <r>
      <rPr>
        <sz val="8"/>
        <color theme="9" tint="-0.249977111117893"/>
        <rFont val="Arial"/>
        <family val="2"/>
      </rPr>
      <t>. </t>
    </r>
    <r>
      <rPr>
        <b/>
        <sz val="8"/>
        <color theme="9" tint="-0.249977111117893"/>
        <rFont val="Arial"/>
        <family val="2"/>
      </rPr>
      <t>Information and Software Technology</t>
    </r>
    <r>
      <rPr>
        <sz val="8"/>
        <color theme="9" tint="-0.249977111117893"/>
        <rFont val="Arial"/>
        <family val="2"/>
      </rPr>
      <t>, v. 80, p. 1-19, 2016.</t>
    </r>
  </si>
  <si>
    <t>Saudi Arabia
Pakistan</t>
  </si>
  <si>
    <t>CONTEXT - Global Software Development (GSD) is the process whereby software is developed by different teams located in various parts of the globe. One of the major reasons for GSD project failure is that a number of organizations endorse global development prior to understanding project management challenges for the global activity. 
OBJECTIVE – The objective of this paper is to identify the challenges, from the client and vendor perspectives, which can undermine the successful management of GSD projects. 
METHOD - We followed a two-phase approach: we first identified the challenges via a Systematic Literature Review (SLR) and then the identified challenges were validated using a questionnaire-based survey. 
RESULTS – Through both approaches, we identified 19 challenges important to the success of GSD project management. A comparison of the challenges identified in client and vendor organizations indicates that there are more similarities than differences between the challenges. Our results show a positive correlation between the ranks obtained from the SLR and the questionnaire ((rs(19)= 0.102), p=0.679). The results of t-test (i.e., t = 0.299, p = 0.768 &gt; 0.05) show that there is no significant difference between the findings of SLR and questionnaire. 
CONCLUSIONS – GSD organizations should try to address the identified challenges when managing their global software development activities to increase the probability of project success.</t>
  </si>
  <si>
    <t>foi feito um questionário robusto</t>
  </si>
  <si>
    <t>Challenges</t>
  </si>
  <si>
    <t>AFZAL W. 2009</t>
  </si>
  <si>
    <t>Search-based software testing is the application of metaheuristic search techniques to generate software tests. The test adequacy criterion is transformed into a fitness function and a set of solutions in the search space are evaluated with respect to the fitness function using a metaheuristic search technique. The application of metaheuristic search techniques for testing is promising due to the fact that exhaustive testing is infeasible considering the size and complexity of software under test. Search-based software testing has been applied across the spectrum of test case design methods; this includes white-box (structural), black-box (functional) and grey-box (combination of structural and functional) testing. In addition, metaheuristic search techniques have also been applied to test non-functional properties. The overall objective of undertaking this systematic review is to examine existing work into non-functional search-based software testing (NFSBST). We are interested in types of non-functional testing targeted using metaheuristic search techniques, different fitness functions used in different types of search-based non-functional testing and challenges in the application of these techniques. The systematic review is based on a comprehensive set of 35 articles obtained after a multi-stage selection process and have been published in the time span 1996–2007. The results of the review show that metaheuristic search techniques have been applied for non-functional testing of execution time, quality of service, security, usability and safety. A variety of metaheuristic search techniques are found to be applicable for non-functional testing including simulated annealing, tabu search, genetic algorithms, ant colony methods, grammatical evolution, genetic programming (and its variants including linear genetic programming) and swarm intelligence methods. The review reports on different fitness functions used to guide the search for each of the categories of execution time, safety, usability, quality of service and security; along with a discussion of possible challenges in the application of metaheuristic search techniques.</t>
  </si>
  <si>
    <t>Search-based software testing is the application of metaheuristic search techniques to generate software tests.</t>
  </si>
  <si>
    <t>tema muito especifico da computação</t>
  </si>
  <si>
    <t>method</t>
  </si>
  <si>
    <t>MINHAS N.M. 2014</t>
  </si>
  <si>
    <r>
      <t xml:space="preserve">MINHAS, Nasir Mehmood et al. </t>
    </r>
    <r>
      <rPr>
        <b/>
        <sz val="8"/>
        <color theme="9" tint="-0.249977111117893"/>
        <rFont val="Arial"/>
        <family val="2"/>
      </rPr>
      <t>An improved framework for requirement change management in global software development</t>
    </r>
    <r>
      <rPr>
        <sz val="8"/>
        <color theme="9" tint="-0.249977111117893"/>
        <rFont val="Arial"/>
        <family val="2"/>
      </rPr>
      <t>. </t>
    </r>
    <r>
      <rPr>
        <b/>
        <sz val="8"/>
        <color rgb="FF222222"/>
        <rFont val="Arial"/>
        <family val="2"/>
      </rPr>
      <t>Journal of Software Engineering and Applications</t>
    </r>
    <r>
      <rPr>
        <sz val="8"/>
        <color rgb="FF222222"/>
        <rFont val="Arial"/>
        <family val="2"/>
      </rPr>
      <t>, v. 2014, 2014.</t>
    </r>
  </si>
  <si>
    <t>In this research, an improved framework for requirement change management in global software development (RCM_GSD) has been presented. The objective is to manage the change in require_x0002_ment specifically in global software development in an appropriate manner. The proposed frame_x0002_work RCM_GSD follows the required processes of RCM and reduces the concerns of GSD. Systemat_x0002_ic Literature Review (SLR) was conducted for exploration of relevant research. During literature study, it is analyzed that the existing techniques of change management were not suitable for global software development (GSD). The change in requirements becomes more complicated in distributed environment due to the lack of communication and collaboration among globally dis_x0002_persed stakeholders. The proposed model is compared with other models proposed in recent li_x0002_terature and analysis is made between them; feedback was obtained from the domain experts as well. The feedback and comparison results show that the proposed model provides an appropriate solution for requirement change management in GSD.</t>
  </si>
  <si>
    <t>SLR for RCM in GSD to make a propose model (framework) in an appropriate manner.
Also identigy GSD Challenges</t>
  </si>
  <si>
    <t>propos um fluxograma para o GSD</t>
  </si>
  <si>
    <t>limitation analysis of the studies</t>
  </si>
  <si>
    <t>KHAN A A 2012</t>
  </si>
  <si>
    <t>Presently, software systems are becoming an important module of businesses in the world. Most of the organizations are adopting Global Software Development (GSD), and it is continuously getting faster. Organizations are trying to distribute their work worldwide. However, distributed software development is not an easy task and the organizations face different challenges. Software Requirement Change Management (RCM) is one of them and it becomes more difficult in the context of the GSD. Currently, there is no framework available, which can be used for the RCM in GSD organizations. The aim of this study is to propose a framework for RCM in geographically distributed software development systems and describe the identification of the communication risks, their causes and effects during RCM in GSD systems. Keywords Framework, Requirement Change Management, Communication, Global Software Development</t>
  </si>
  <si>
    <t>o autor fez o mesmo que o MINHAS 2014, mas de maneira muito simples</t>
  </si>
  <si>
    <t xml:space="preserve"> Proposed RCM framework</t>
  </si>
  <si>
    <t>very poor</t>
  </si>
  <si>
    <t>LAI R 2013</t>
  </si>
  <si>
    <t>Lai, R. and Ali, N. (2013) Requirements Management Method for Global Software Development. Advances in Information Sciences (AIS), 1, 38-58.</t>
  </si>
  <si>
    <t>To perform requirements management, effective communication and collaboration between stakeholders is necessary. Global Software Development (GSD), where software teams are located in different parts of the world, has become increasingly popular. However, geographical distance between stakeholders creates difficulties for stakeholders in engaging in effective communication. Taking into consideration the factors involved in GSD, previous research shows that the ways by which requirements management is being performed in collocated software development projects cannot be used effectively for GSD projects. To address this issue, in this paper we present a requirements management method for GSD. The method consists of four stages: (1) establishing and maintaining a requirements repository; (2) generating a requirements traceability matrix; (3) communicating and discussing requirements; and (4) requirements change management. To validate our method, we implemented it in a controlled laboratory environment using a case study of an online shopping system. Keywords: Requirements Management, Global Software Development, Distributed Teams</t>
  </si>
  <si>
    <t>RCM for GSD method</t>
  </si>
  <si>
    <t>Very goog schema for RM traceability</t>
  </si>
  <si>
    <t>PRIKLADNICKI R 2004</t>
  </si>
  <si>
    <r>
      <t>PRIKLADNICKI, Rafael et al. Desenvolvimento distribuído de software: um modelo de classificação dos níveis de dispersão dos stakeholders. In: </t>
    </r>
    <r>
      <rPr>
        <b/>
        <sz val="8"/>
        <color rgb="FF222222"/>
        <rFont val="Arial"/>
        <family val="2"/>
      </rPr>
      <t>Anais do I Simpósio Brasileiro de Sistemas de Informação</t>
    </r>
    <r>
      <rPr>
        <sz val="8"/>
        <color rgb="FF222222"/>
        <rFont val="Arial"/>
        <family val="2"/>
      </rPr>
      <t>. SBC, 2004. p. 153-161.</t>
    </r>
  </si>
  <si>
    <t>BRASIL</t>
  </si>
  <si>
    <t>O objetivo deste artigo é propor um modelo de classificação dos níveis de dispersão dos stakeholders envolvidos em projetos de desenvolvimento distribuído de software. Para isto, propõem-se alguns critérios para a definição dos níveis de dispersão. O modelo de classificação proposto é parte resultante de uma dissertação de mestrado e foi aplicado em dois estudos de caso, cujos resultados são apresentados e discutidos. Estes estudos de caso compreendem uma organização multinacional que desenvolve projetos com equipes distribuídas em diversos países em mais de um continente. Esta pesquisa é caracterizada como exploratória, com estudo de caso como método de pesquisa principal. Como resultado, apresenta-se o modelo proposto, discutindo suas vantagens e a sua representação.
Palavras-chave: Desenvolvimento Distribuído de Software, Modelo, Classificação, Dispersão, Stakeholders</t>
  </si>
  <si>
    <t>Introdução ao tema de GSD</t>
  </si>
  <si>
    <t>muito básico</t>
  </si>
  <si>
    <t>estudo de caso</t>
  </si>
  <si>
    <t>INCE D C 1995</t>
  </si>
  <si>
    <r>
      <t>INCE, Darrel C. </t>
    </r>
    <r>
      <rPr>
        <b/>
        <sz val="8"/>
        <color rgb="FF222222"/>
        <rFont val="Arial"/>
        <family val="2"/>
      </rPr>
      <t>Introduction to software quality assurance and its implementation</t>
    </r>
    <r>
      <rPr>
        <sz val="8"/>
        <color rgb="FF222222"/>
        <rFont val="Arial"/>
        <family val="2"/>
      </rPr>
      <t>. McGraw-Hill, Inc., 1995.</t>
    </r>
  </si>
  <si>
    <t>An introduction to Software Quality Assurance and its Implementation will show you how to build up an efficient, workable system from fundamental principles through to writing procedures and gaining ISO 9001 certification. The book begins by providing an introduction to software quality and the technical background to the various software tasks. Darrel Ince then turns to a comprehensive 'checklist' of questions that will determine your current position and point you towards the most relevant areas for consideration. The bulk of the book covers all the key elements of SQA, including project planning, system design, configuration and process modelling and looks at the relationship with new technologies, as well as the often neglected issues surrounding the human-computer interface. One chapter examines ISO 9001 in detail and places it in the context of the SQA elements discussed. Actual implementation is illustrated in a practical case study. This lively book will be the ideal guide for project managers, quality managers and anyone involved in software development to planning, implementing and improving a quality system. Special features include: 25 questions which allow you to probe your software quality assurance weaknesses and introduce the topics discussed in the book; a chapter devoted to the meaning of ISO 9001; how to write standards and procedures for software development; discussion of the influence of new technology on software quality assurance; how to ensure quality in the human-computer interface; a case study of the implementation of a quality system in a medium sized company.</t>
  </si>
  <si>
    <t xml:space="preserve">Book, 1995,  introduction to Software Quality Assurance and its Implementation </t>
  </si>
  <si>
    <t>BOOK</t>
  </si>
  <si>
    <t>CORBIN J M 1990</t>
  </si>
  <si>
    <t>Grounded theory research: Procedures, canons, and evaluative criteria</t>
  </si>
  <si>
    <t>Using grounded theory as an example, this paper examines three methodologi_x0002_cal questions that are generally applicable to all qualitative methods. How should the usual scientific canons be reinterpreted for qualitative research? How should researchers report the procedures and canons used in their re_x0002_search? What evaluative criteria should be used in judging the research products? We propose that the criteria should be adapted to fit the procedures of the method. We demonstrate how this can be done for grounded theory and suggest criteria for evaluating studies following this approach. We argue that other qualitative researchers might be similarly specific about their procedures and evaluative criteria.</t>
  </si>
  <si>
    <t>Que critérios de avaliação devem ser usados no julgamento dos produtos de pesquisa?</t>
  </si>
  <si>
    <t>não ligado a GSD</t>
  </si>
  <si>
    <t>lista para analise de paper
SLR</t>
  </si>
  <si>
    <t>NIAZI M. 2006</t>
  </si>
  <si>
    <t>In this article, we present findings from our recent empirical study of the critical success factors (CSFs) for software process improvement (SPI) implementation with 34 SPI practitioners. The objective of this study is to provide SPI practitioners with sufficient knowledge about the nature of issues that play a positive role in the implementation of SPI programmes in order to assist them in effectively planning SPI implementation strategies. Through our empirical study we identified seven factors (higher management support, training, awareness, allocation of resources, staff involvement, experienced staff and defined SPI implementation methodology) that are generally considered critical for successfully implementing SPI. We also report on a literature survey of CSFs that impact SPI and identify six factors (senior management commitment, staff involvement, staff time and resources, training and mentoring, creating process action teams and reviews). We compared our empirical study results with the literature and confirmed the factors identified in the literature, and also identified two new CSFs (SPI awareness and defined SPI implementation methodology) that were not identified in the literature. Finally, we analyzed the CSFs identified by different groups of practitioners and found that they are aware of what is imperative for the successful implementation of SPI programmes. Copyright  2006 John Wiley &amp; Sons, Ltd.</t>
  </si>
  <si>
    <t>Critical Sucess factors - SPI - they identified 7 factors</t>
  </si>
  <si>
    <t>trabalho antigo</t>
  </si>
  <si>
    <t>tem uma imagem de união dos critérios que vieram da SLR e das entrevistas, Muito interessante</t>
  </si>
  <si>
    <t>KHAN A A 2017</t>
  </si>
  <si>
    <r>
      <t xml:space="preserve">A.A. Khan, J. Keung, M. Niazi, S. Hussain, A. Ahmad, </t>
    </r>
    <r>
      <rPr>
        <b/>
        <sz val="8"/>
        <color theme="9" tint="-0.249977111117893"/>
        <rFont val="Arial"/>
        <family val="2"/>
      </rPr>
      <t>Systematic literature review and empirical investigation of barriers to process improvement in global software development: Client–vendor</t>
    </r>
    <r>
      <rPr>
        <sz val="8"/>
        <color theme="9" tint="-0.249977111117893"/>
        <rFont val="Arial"/>
        <family val="2"/>
      </rPr>
      <t xml:space="preserve"> perspective, Inf. Softw. Technol. 87 (2017) 180–205.</t>
    </r>
  </si>
  <si>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Objective:The aim of the present study was to identify barriers that can negatively affect SPI initiatives in GSD organizations from both client and vendor perspectives. 
MethodA systematic literature review (SLR) and survey questionnaire were used to identify and validate the barriers. ResultsTwenty-two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t=2.28, p=0.011&lt;0.05). Our findings demonstrate that there is a moderate positive correlation between the ranks obtained from the SLR and the empirical study (rs (22)=0.567, p=0.006). 
Conclusions:The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</si>
  <si>
    <t>muito legal a forma de aplicação do questionario</t>
  </si>
  <si>
    <t>Barriers 
usou 6 categorias de RAMASUBBU N 2014</t>
  </si>
  <si>
    <t>RAMASUBBU N 2014</t>
  </si>
  <si>
    <r>
      <t>RAMASUBBU, Narayan. Governing software process improvementsin globally distributed product development. </t>
    </r>
    <r>
      <rPr>
        <b/>
        <sz val="8"/>
        <color rgb="FF222222"/>
        <rFont val="Arial"/>
        <family val="2"/>
      </rPr>
      <t>IEEE Transactions on Software Engineering</t>
    </r>
    <r>
      <rPr>
        <sz val="8"/>
        <color rgb="FF222222"/>
        <rFont val="Arial"/>
        <family val="2"/>
      </rPr>
      <t>, v. 40, n. 3, p. 235-250, 2013.</t>
    </r>
  </si>
  <si>
    <r>
      <t xml:space="preserve">Abstract—Continuous software process improvement (SPI) practices have been extensively prescribed to improve performance of software projects. However, SPI implementation mechanisms have received little scholarly attention, especially in the context of distributed software product development. We took an </t>
    </r>
    <r>
      <rPr>
        <b/>
        <sz val="5"/>
        <color rgb="FFFF0000"/>
        <rFont val="Arial Nova"/>
        <family val="2"/>
      </rPr>
      <t xml:space="preserve">action research </t>
    </r>
    <r>
      <rPr>
        <sz val="5"/>
        <color theme="9" tint="-0.249977111117893"/>
        <rFont val="Arial Nova"/>
        <family val="2"/>
      </rPr>
      <t>approach to study the SPI journey of a large multinational enterprise that adopted a distributed product development strategy. We describe the interventions and action research cycles enacted over a period of five years in collaboration with the firm, which resulted in a custom SPI framework that catered to both the social and technical needs of the firm’s distributed teams. Institutionalizing the process maturity framework got stalled initially because the SPI initiatives were perceived by product line managers as a mechanism for exercising wider controls by the firm’s top management. The implementation mechanism was subsequently altered to co-opt product line managers, which contributed to a wider adoption of the SPI framework. Insights that emerge from our analysis of the firm’s SPI journey pertain to the integration of the technical and social views of software development, preserving process diversity through the use of a multi-tiered, non-blueprint approach to SPI, the linkage between key process areas and project control modes, and the role of SPI in aiding organizational learning.</t>
    </r>
  </si>
  <si>
    <t xml:space="preserve">SPI GSD - action research - multinacional
resulted in a custom SPI framework that catered to both the social and technical needs of the firm’s distributed teams. </t>
  </si>
  <si>
    <t>trabalho de 5 anos e confuso de enteder os resultados</t>
  </si>
  <si>
    <t>KHAN A A 2017 citou este devido a criação das categorias</t>
  </si>
  <si>
    <t>CARMEL E. 1999</t>
  </si>
  <si>
    <t>book</t>
  </si>
  <si>
    <t>TEAM</t>
  </si>
  <si>
    <t>Book</t>
  </si>
  <si>
    <t>CARMEL E. 2001</t>
  </si>
  <si>
    <t>To overcome the problem of distance in global software development, various managers are experimenting and quickly adjusting their tactical approaches. We discuss some emerging approaches and explain their motivations from conceptual and practical perspectives. The most intuitive approach for alleviating distance is to apply communication technologies, but this is not our focus. Rather, we examine tactics that go beyond communication technologies[mdash]tactics aimed at reducing intensive collaboration, national and organizational cultural differences, and temporal distance.</t>
  </si>
  <si>
    <t>DISTANCE</t>
  </si>
  <si>
    <t>HERBSLEB J.D. 2001-1</t>
  </si>
  <si>
    <t>magazine paper
Dimensions of the problem
Physical separation among project members has diverse effects on many levels.</t>
  </si>
  <si>
    <t>HERBSLEB J.D. 2001-2</t>
  </si>
  <si>
    <t>HERBSLEB J.D. 2003</t>
  </si>
  <si>
    <t>Global software development is rapidly becoming the norm for technology companies. Previous qualitative research suggests that distributed development may increase development cycle time for individual work items (modification requests). We use both data from the source code change management system and survey data to model the extent of delay in a distributed software development organization and explore several possible mechanisms for this delay. One key finding is that distributed work items appear to take about two and one-half times as long to complete as similar items where all the work is colocated. The data strongly suggest a mechanism for the delay, i.e., that distributed work items involve more people than comparable same-site work items, and the number of people involved is strongly related to the calendar time to complete a work item. We replicate the analysis of change data in a different organization with a different product and different sites and confirm our main findings. We also report survey results showing differences between same-site and distributed social networks, testing several hypotheses about characteristics of distributed social networks that may be related to delay. We discuss implications of our findings for practices and collaboration technology that have the potential for dramatically speeding distributed software development.</t>
  </si>
  <si>
    <t>COMMUNICATION</t>
  </si>
  <si>
    <t>PRIKLADNICKI 2010</t>
  </si>
  <si>
    <t>Lanubile, F., Ebert, C., Prikladnicki, R., &amp; Vizcaíno, A. (2010). Collaboration tools for global software engineering. IEEE software, 27(2), 52-55.</t>
  </si>
  <si>
    <t>mAGAZINE PAPER
Software engineering involves people collaborating to develop better software. Collaboration is challenging, especially across time zones and without face-to-face meetings. We therefore use collaboration tools all along the product life cycle to let us work together, stay together, and achieve results together. Authors Filippo Lanubile, Rafael Prikladnicki, Aurora Vizcaíno, and I provide an overview of tools and technologies for improved collaboration. Our article summarizes experiences and trends chosen from recent IEEE International Conference on Global Software Engineering (IGSCE) conferences. I look forward to hearing from both readers and prospective column authors about this column and the technologies you want to know more about. —Christof Ebert</t>
  </si>
  <si>
    <t>COLLABORATION TOOLS</t>
  </si>
  <si>
    <t>MITE D 2008 (SMITE D)</t>
  </si>
  <si>
    <t>MOE, Nils Brede; ŠMITE, Darja. Understanding a lack of trust in Global Software Teams: a multiple‐case study. Software Process: Improvement and Practice, v. 13, n. 3, p. 217-231, 2008.</t>
  </si>
  <si>
    <t>LATVIA</t>
  </si>
  <si>
    <t>MITE D 2010</t>
  </si>
  <si>
    <r>
      <t>SMITE, Darja; BORZOVS, Juris. New forms of work in the light of globalization in software development. In: </t>
    </r>
    <r>
      <rPr>
        <b/>
        <sz val="8"/>
        <color rgb="FF222222"/>
        <rFont val="Arial"/>
        <family val="2"/>
      </rPr>
      <t>Infonomics for Distributed Business and Decision-Making Environments: Creating Information System Ecology</t>
    </r>
    <r>
      <rPr>
        <sz val="8"/>
        <color rgb="FF222222"/>
        <rFont val="Arial"/>
        <family val="2"/>
      </rPr>
      <t>. IGI Global, 2010. p. 277-287.</t>
    </r>
  </si>
  <si>
    <t>NOLL J. 2010</t>
  </si>
  <si>
    <t>REQUIREMENTS</t>
  </si>
  <si>
    <t xml:space="preserve">NÃO ESTA NO CO-CITATION </t>
  </si>
  <si>
    <t>HERBSLEB J.D. 2002</t>
  </si>
  <si>
    <t>DESHPANDE S 2010</t>
  </si>
  <si>
    <r>
      <t>Deshpande, S., Richardson, I., Casey, V., &amp; Beecham, S. (2010, August). Culture in global software development-a weakness or strength?. In </t>
    </r>
    <r>
      <rPr>
        <i/>
        <sz val="8"/>
        <color rgb="FF222222"/>
        <rFont val="Arial"/>
        <family val="2"/>
      </rPr>
      <t>2010 5th IEEE International Conference on Global Software Engineering</t>
    </r>
    <r>
      <rPr>
        <sz val="8"/>
        <color rgb="FF222222"/>
        <rFont val="Arial"/>
        <family val="2"/>
      </rPr>
      <t> (pp. 67-76). IEEE.</t>
    </r>
  </si>
  <si>
    <t>Cultural diversity is assumed to be a fundamental issue in global software development. Research carried out to date has raised concerns over how to manage cultural differences in global software development. Our empirical research in India, a major outsourcing destination, has helped us investigate this complex issue of global software development. A triangulated study based on a questionnaire, telephonic interviews and structured face-to-face interviews with 15 Project Managers and Senior Executives has revealed how they cope with the demands of cultural differences imposed by a geographically distributed environment. This research study brings forward various techniques initiated by these project managers to deal with cultural differences that exist within geographically distributed software development teams. We also discuss different strategies and make a case to explain how to build on and take advantage of cultural differences that exist in global software development.</t>
  </si>
  <si>
    <t>CULTURE</t>
  </si>
  <si>
    <t>RICHARDSON I 2012</t>
  </si>
  <si>
    <t>igual ao L26 - GSD GLOBAL TEAMS FRAMEWORK</t>
  </si>
  <si>
    <t>Já esta na SLR DO NOSSO PAPER</t>
  </si>
  <si>
    <t>AVRITZER A 2010</t>
  </si>
  <si>
    <t>in this paper, we report on our experience of using design structure matrices (DSMs), derived from architecture models developed at early stages of the project, to reveal the coordination needs among globally distributed development teams. Our approach is to automatically transform the box-and-line style software architecture model into an augmented constraint network (ACN), from which a DSM can be automatically generated. After that, we represent the coordination structure among the team members as communication matrices (COMs). We then assess the consistency between the DSM and COMs. Analysis of data gathered during the Global Studio Project Version 3.0 revealed that the architectural DSM model, representing the software modular structure, is highly consistent with the COMs that represent the actual coordination structure, showing that an architectural DSM has the potential to help guide the task assignments in global software development projects.</t>
  </si>
  <si>
    <t>RAMASUBBU N 2005</t>
  </si>
  <si>
    <r>
      <t>RAMASUBBU, Narayan; KRISHNAN, Mayuram S.; KOMPALLI, Prasad. Leveraging global resources: A process maturity framework for managing distributed development. </t>
    </r>
    <r>
      <rPr>
        <b/>
        <sz val="8"/>
        <color rgb="FF222222"/>
        <rFont val="Arial"/>
        <family val="2"/>
      </rPr>
      <t>IEEE software</t>
    </r>
    <r>
      <rPr>
        <sz val="8"/>
        <color rgb="FF222222"/>
        <rFont val="Arial"/>
        <family val="2"/>
      </rPr>
      <t>, v. 22, n. 3, p. 80-86, 2005.</t>
    </r>
  </si>
  <si>
    <t>The popular and well-tested software process frameworks such as the Software Engineering Institute's Capability Maturity Model and ISO 9001, details key process areas for software development. Focusing more on continuous improvement in code development processes, generic-process frameworks such as the CMM lack key process areas (KPA) that address capabilities for managing distributed software projects, such as establishing mutual knowledge and managing geographically dispersed social networks. We identify 24 new KPAs that address the wide-ranging capabilities needed for managing distributed software development and arrange them in an evolutionary order similar to the CMM framework. The evolutionary or phased approach in improving software management capabilities helps firms systematically assess their situations and plan for improvements. We also report the results of a statistically tested maturity assessment survey and test the overall rigor of our model against industry expert opinion and objective data collected from real-world projects implemented at SAP AG, a leading global-enterprise software firm.</t>
  </si>
  <si>
    <t>PAPER N/A</t>
  </si>
  <si>
    <t>BHAT J. M. 2006</t>
  </si>
  <si>
    <t>MAGAZINE PAPER</t>
  </si>
  <si>
    <t>CASEY V 2006</t>
  </si>
  <si>
    <t>When implementing software development in a global environment, a popular strategy is the establishment of virtual teams. The objective of this paper is to examine the effective project management of this type of team. In the virtual team environment problems arise due to the collaborative nature of software development and the impact distance introduces. Distance specifically impacts coordination, visibility, communication and cooperation within a virtual team. In these circumstances the project management of a virtual team must be carried out in a different manner to that of a team in a single-site location. Results from this research highlighted six specific project management related areas that need to be addressed to facilitate successful virtual team operation. Organizational structure, risk management, infrastructure, process, conflict management and team structure and organization. Additional related areas are the sustained support of senior management and the provision of effective infrastructure</t>
  </si>
  <si>
    <t>MALASIA</t>
  </si>
  <si>
    <t>COSTA RICA</t>
  </si>
  <si>
    <t>COLOMBIA</t>
  </si>
  <si>
    <t>ESPANHA</t>
  </si>
  <si>
    <t>SUECIA</t>
  </si>
  <si>
    <t>Europe</t>
  </si>
  <si>
    <t>Asia</t>
  </si>
  <si>
    <t>South America</t>
  </si>
  <si>
    <t>North America</t>
  </si>
  <si>
    <t>Continent</t>
  </si>
  <si>
    <t>Australia</t>
  </si>
  <si>
    <t>Rótulos de Linha</t>
  </si>
  <si>
    <t>Total Geral</t>
  </si>
  <si>
    <t>Contagem de Continent</t>
  </si>
  <si>
    <t>Rótulos de Coluna</t>
  </si>
  <si>
    <t>Criteria*</t>
  </si>
  <si>
    <t>Year of publication</t>
  </si>
  <si>
    <t>Total citation</t>
  </si>
  <si>
    <t>*</t>
  </si>
  <si>
    <t>Low concentration of the criterion.</t>
  </si>
  <si>
    <t>High concentration of the criterion.</t>
  </si>
  <si>
    <t>crite</t>
  </si>
  <si>
    <t>2021/ 
2022</t>
  </si>
  <si>
    <t>Metrics  to assess risk-based testing activities (time)</t>
  </si>
  <si>
    <t>code</t>
  </si>
  <si>
    <t>conciso</t>
  </si>
  <si>
    <t>FATORES COLETADOS</t>
  </si>
  <si>
    <t>#2</t>
  </si>
  <si>
    <t>#3</t>
  </si>
  <si>
    <t>Criterias definition for Paper</t>
  </si>
  <si>
    <t>#4</t>
  </si>
  <si>
    <t xml:space="preserve"> &amp;</t>
  </si>
  <si>
    <t>Communication is the biggest challenge for GSD due to the lack of effective and proper way of communication general, or the lack of informal communication, or the lack of face-to-face communication \cite{L50,L68,L94}.</t>
  </si>
  <si>
    <t>58,1\%</t>
  </si>
  <si>
    <t>Each culture has its standards, styles and moral principles, which can provoke communication related issues when individual belonging from different cultural background communicate with another one \cite{L84}.</t>
  </si>
  <si>
    <t>48,8\%</t>
  </si>
  <si>
    <t>Personal or impersonal, including cognitive trust, which refers to beliefs about others’ competence and reliability. This can lead individuals to engage in less self-protective actions and be more likely to take risks \cite{L85,L94,L22}.</t>
  </si>
  <si>
    <t>44,2\%</t>
  </si>
  <si>
    <t>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challenges\cite{L26,L84}.</t>
  </si>
  <si>
    <t>It is defined as time differences between teams that work in several remote locations. Delayed feedback and responses are considered problematic and restricts the possibility of synchronous interaction, cooperation, and confidence assessment\cite{L06,L84}.</t>
  </si>
  <si>
    <t>39,5\%</t>
  </si>
  <si>
    <t xml:space="preserve">The usage of a different language among distributed team members. In the current years, the English language has been widely used as a professional language at both national and international platforms \cite{L36,L84}. </t>
  </si>
  <si>
    <t>32,6\%</t>
  </si>
  <si>
    <t>u</t>
  </si>
  <si>
    <t>A process of exchange of explicit or tacit knowledge between two agents, during which one agent purposefully receives and uses the knowledge provided by another. Knowledge transfer is referred to as the unidirectional exchange of knowledge, typically having an unambiguous goal\cite{L84,L85}.</t>
  </si>
  <si>
    <t>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location\cite{L26,L94}.</t>
  </si>
  <si>
    <t xml:space="preserve">Defined of roles and responsibilities  &amp; It is important to assign the right responsibility and task to the right person and the right time, and should be clearly defined, articulated, and effectively disseminated for all team members\cite{L26,L59}. </t>
  </si>
  <si>
    <t>30,2\%</t>
  </si>
  <si>
    <t>Geographical distance is defined as dispersion among the team members that are located at multiple remote locations. Whenever the geographical distance increases, communication risk also increases and leads toward the miscommunication. Geographical distance is defined as an effort needed for one individual to visit another individual located at a remote location \cite{L84,L06}.</t>
  </si>
  <si>
    <t xml:space="preserve">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information\cite{L26,L93,L09}.</t>
  </si>
  <si>
    <t>23,3\%</t>
  </si>
  <si>
    <t>Lack of resources, knowledge, and skills. Lack of suitable infrastructure for integration and nonavailability of skilled human resources to solve integration issues in time hinder the integration process. The lack of sharing a common infrastructure may hurdle the integration process and increase the overall time and cost of the project \cite{L32, L54, L16}.</t>
  </si>
  <si>
    <t>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stage\cite{L32,L59}.</t>
  </si>
  <si>
    <t>20,9\%</t>
  </si>
  <si>
    <t>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innovation\cite{L09,L26,L60,L85}.</t>
  </si>
  <si>
    <t>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integrated\cite{L39,L54}.</t>
  </si>
  <si>
    <t>16,3\%</t>
  </si>
  <si>
    <t>Employees desire good error management, forms of participation, and a culture of leadership that includes support and the establishment of common mindsets, stability, and reliability of corporate values \cite{L16,L60}.</t>
  </si>
  <si>
    <t>Vision and goal for change</t>
  </si>
  <si>
    <t>Vision and mission of demanded changes, knowing the scope and purpose of change management is important for the successful implementation of the requested changes \cite{L50,L93,L85}.</t>
  </si>
  <si>
    <t xml:space="preserve">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 \cite{L59,L39,L93}. </t>
  </si>
  <si>
    <t>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testing\cite{L32,L54}.</t>
  </si>
  <si>
    <t>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 \cite{L69, L93}.</t>
  </si>
  <si>
    <t>Types of training: Induction Program, Training on Application Functionality, On the job Training, Trainee ramp-up. The education and support to distributed team members are essential in GSD \cite{L59,L72}.</t>
  </si>
  <si>
    <t>14,0\%</t>
  </si>
  <si>
    <t>architecture mismatch</t>
  </si>
  <si>
    <t>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 \cite{L32,L39}.</t>
  </si>
  <si>
    <t>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 \cite{L84}.</t>
  </si>
  <si>
    <t>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 [L26] [L37] [L94]</t>
  </si>
  <si>
    <t>11,6\%</t>
  </si>
  <si>
    <t>Traceability of data is a key issue Working in a heterogeneous data environment. Traceability can only be assessed by checking the quality and quantity of links among related data resources from different software tools \cite{L44}.</t>
  </si>
  <si>
    <t xml:space="preserve"> The organizational management must provide training and certification opportunities to Requirements change management team members. It is much important to held workshops and seminars to motivate the team members to participate in process awareness \cite{L59}.</t>
  </si>
  <si>
    <t xml:space="preserve">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 [L06, L09, L69].	</t>
  </si>
  <si>
    <t>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 \cite{L32,L44}.</t>
  </si>
  <si>
    <t>Lack of detailed requirements specification documentation for global teams. Evaluating the project quality concerning the service \cite{L85,L46}.</t>
  </si>
  <si>
    <t>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 \cite{L69}.</t>
  </si>
  <si>
    <t>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 \cite{L84}.</t>
  </si>
  <si>
    <t>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members\cite{L26}.</t>
  </si>
  <si>
    <t>9,3\%</t>
  </si>
  <si>
    <t>While transferring knowledge from client location to offshore location, the knowledge transfer takes a long time and requires more iterations. It is difficult to measure how much cost it must invest for knowledge transfer. \cite{L09,L59}.</t>
  </si>
  <si>
    <t>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locations\cite{L26,L59}.</t>
  </si>
  <si>
    <t>Proficiency in a programming language  &amp; Expertise and knowledge in the application domain. High proficiency in a programming language to build codes with complex instructions\cite{L37,L51}.</t>
  </si>
  <si>
    <t>The practitioner should adopt formal standards and procedures for success. The team members should use formal processes, frameworks, and best practices. The standards and procedures guide the practitioners about “what to do” and “how to do it.”\cite{L59,L93}.</t>
  </si>
  <si>
    <t>(9,3\%)</t>
  </si>
  <si>
    <t xml:space="preserve">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 \cite{L84}. </t>
  </si>
  <si>
    <t>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 \cite{L09,L37}.</t>
  </si>
  <si>
    <t>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 \cite{L54,L09}.</t>
  </si>
  <si>
    <t>The knowledge of client language and culture. Gathering the information and experience among teams \cite{L93, L85}.</t>
  </si>
  <si>
    <t>The lack of face to face meeting as a crucial challenge. Geographical distance minimizes the chances of face to face communication occurring frequently. It occurs because the development teams are widely dispersed, and therefore, it affects the working of the project. Also, there is a probability of misunderstanding of requirements due to lack of interaction. In general, limited face-to-face meetings can decrease the opportunity for informal interaction which leads to a lack of team awareness and team cohesiveness \cite {L84}.</t>
  </si>
  <si>
    <t xml:space="preserve">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 \cite{L83}.	</t>
  </si>
  <si>
    <t>There are micro and macro-risk elements. Micro-risks can often be correctly determined, and alternative strategies put in place to mitigate their potential impact. Macro-risks on the other hand may not even be considered. It is important to analyze the need and the root cause of change\cite{L26,L59}.</t>
  </si>
  <si>
    <t>(7,0\%)</t>
  </si>
  <si>
    <t>Visibility / roles
and responsibilities</t>
  </si>
  <si>
    <t>It is important to assign the right task and responsibilities to the relevant person. The roles and responsibilities need to be clearly articulated and understood by all the relevant parties\cite{L26,L59,L97}.</t>
  </si>
  <si>
    <t>Experience of the staff in similar projects\cite{L37}.</t>
  </si>
  <si>
    <t>Roles and responsibilities</t>
  </si>
  <si>
    <t xml:space="preserve">Clear assignment of roles and responsibilities. The roles and responsibilities of the team members must be clearly defined, which is vital for controlling and managing the misconceptions during the implementation of process activities \cite{L93,L50}. </t>
  </si>
  <si>
    <t>Strong team relationship  &amp;  The arduous relationship among team members (global service climate). The relationships of overseas team members should be formalized to share and accommodate secret requirements and build trust \cite{L50,L60}.</t>
  </si>
  <si>
    <t>Skilled human resources is a core consideration in the agile software development paradigm also is important for the successful implementation of requested requirements\cite{L50}.</t>
  </si>
  <si>
    <t>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 \cite{L84}.</t>
  </si>
  <si>
    <t xml:space="preserve">The root cause of most integration problems is inadequate documentation. Many of the project documentation is hard for the client organization because most of the knowledge concentrates and remains hidden in the vendor organization. In some cases, even if the documentation exists, it is obsolete and outdated and plays no role other than introducing new people to the coarse grain \cite{L32}.	  </t>
  </si>
  <si>
    <t>heterogeneous development environment and platforms</t>
  </si>
  <si>
    <t xml:space="preserve">In GSD, many software components are not properly integrated because of heterogeneous programming languages, operating systems, and communication tools. In GSD, mostly a common infrastructure is not shared across sites, which hinders the integration of components developed at those sites. Another big problem for integration is that the environment for integration is not well prepared \cite{L44, L32}.  </t>
  </si>
  <si>
    <t>process maturity</t>
  </si>
  <si>
    <t>If there are no stable requirements and requirement changes, this change has to be communicated. This is not easily possible if there is no maturity or no good communication infrastructure between sites \cite {L37, L67, L68}.</t>
  </si>
  <si>
    <t>Learning, and sharing the technical information and work materials of teams. Loss of data during transfer, due to the geographical separation, it is sometimes required to share project details at remote sites through an online communication medium. This leads towards the issue of loss of data during the transfer because of the low communication bandwidth \cite{L44, L85, L84}.</t>
  </si>
  <si>
    <t>The impact analysis of a specific change request is important to estimate its effect on cost, time, and the quality of the system. The poor analysis of the scope of demanded changes could cause the poor estimation of time, cost, and effort that could bring the project towards failure \cite {L59, L93}.</t>
  </si>
  <si>
    <t xml:space="preserve">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 \cite{L84, L60}.	  </t>
  </si>
  <si>
    <t>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 \cite{L84}.</t>
  </si>
  <si>
    <t xml:space="preserve">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 \cite {L85, L16}.  </t>
  </si>
  <si>
    <t>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 \cite {L71, L85}.</t>
  </si>
  <si>
    <t>Enhancement in technology and applications for knowledge transfer	\cite{L85}</t>
  </si>
  <si>
    <t>Monitoring and controlling the requiremente change mangament activities at offshore sites \cite{L93}.</t>
  </si>
  <si>
    <t>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\cite{L83, L72, L69}.</t>
  </si>
  <si>
    <t xml:space="preserve">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\cite{L83, L72}. </t>
  </si>
  <si>
    <t>Communication frequency reduces when team members are dispersed at a remote location due to temporal distances. Also, the important concerns might not be communicated on time that may impact the working patterns and schedules of the next working days. Due to the low communication frequency among distributed teams, the risk of miscommunication and misconception increases \cite{84}.</t>
  </si>
  <si>
    <t>Appropriate planning must be required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\cite{L84, L93}.</t>
  </si>
  <si>
    <t>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 \cite{L84}.</t>
  </si>
  <si>
    <t>Up-to-date progress reporting, and an organized frequent meeting among distributed teams \cite{L16, L93}.</t>
  </si>
  <si>
    <t>Fear's impact can manifest itself in numerous ways, including the desire to prevent or limit communication with remote colleagues. In some instances, the objective can be to hinder the work of these remote colleagues directly \cite{L26}.</t>
  </si>
  <si>
    <t>Technical Team Selection</t>
  </si>
  <si>
    <t>We must base the selection of global team members on the project's technical requirements. Therefore, the Project Manager needs direct access to information about the academic and technical skills and experiences of potential team members \cite{L26}.</t>
  </si>
  <si>
    <t>Effective task partitioning between team members and sites can be modularized, phased, or integrated. The selection often depends on the nature of the work or the physical location of specific tools or skill sets \cite{L26}.</t>
  </si>
  <si>
    <t xml:space="preserve">Knowledge interchange rate is a process of exchange of explicit or tacit knowledge between two agents, during which one agent purposefully receives and uses the knowledge provided by another \cite{L84, L85}.	</t>
  </si>
  <si>
    <t>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 \cite{L26}.</t>
  </si>
  <si>
    <t>The technical issues comprise all the challenges associated with the technology used to initiate communication among distributed team members. This problem could cause hindrance and misunderstanding \cite{L84, L26}.</t>
  </si>
  <si>
    <t xml:space="preserve">Staff experience on similar projects, programming language, and tool experiences \cite{L37}.	  </t>
  </si>
  <si>
    <t>JADHAV, Anil S.; SONAR, Rajendra M. Evaluating and selecting software packages: A review. Information and software technology, v. 51, n. 3, p. 555-563, 2009.</t>
  </si>
  <si>
    <t xml:space="preserve">Evaluating and selecting software packages that meet an organization’s requirements is a complex software engineering process. Selection of the wrong software package can be costly and adversely affect business processes \cite{jadhav2009evaluating}. </t>
  </si>
  <si>
    <t>Contribution to the team effort</t>
  </si>
  <si>
    <t>Team's effort contribution</t>
  </si>
  <si>
    <t xml:space="preserve">A team's effort contribution is the participation in helping each other, mutual support of team members, suggestions, and contribution of teams on project outcomes \cite{L85}.	</t>
  </si>
  <si>
    <t>Demonstrates initiative and responsibility for individual performance to get the job done under direct supervision \cite{NEBRASKA–LINCOLN}.</t>
  </si>
  <si>
    <t>Task efficiency is the completion of assigned or agreed-upon responsibilities is the critical behavior of completing assigned tasks in a timely and efficient manner \cite{NEBRASKA–LINCOLN}.</t>
  </si>
  <si>
    <t>Task effectiveness is significant because the uncertainty on product and technological novelty requires more design and development tasks to be completed on time, avoiding the increasing lead time uncertainty \cite{swink2003completing}.</t>
  </si>
  <si>
    <t>Independence of thought and action is the person who applies critical thinking work to develop fairness, insight into the personal and public level, humble intellect and postponing the crisis, spiritual courage, integrity, perseverance, self-confidence, and research interest \cite{yildirim2011critical}.</t>
  </si>
  <si>
    <t>Creativity in problem-solving</t>
  </si>
  <si>
    <t xml:space="preserve">Creativity in problem-solving is capturing and getting inspired by external success stories \cite{L58}.	  </t>
  </si>
  <si>
    <t>The scientific attitude is a willingness to change one's theory in the light of new empirical evidence critically. This attitude is a community ethos, not a psychological trait of individual scientists \cite{mcintyre2019scientific}.</t>
  </si>
  <si>
    <t>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 \cite{hutchinson2006perceived}.</t>
  </si>
  <si>
    <t xml:space="preserve">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 \cite{amichai2016psychological}.	 </t>
  </si>
  <si>
    <t>Communicate clearly with team members when speaking and writing. Understand the direction of the team \cite{mourtos2012defining}.</t>
  </si>
  <si>
    <t>In a team context, civility is acting with empathy, compassion, and kindness in every interaction and treating everyone connected online with dignity and respect \cite{hr-zone}.</t>
  </si>
  <si>
    <t>Communicate clearly with stakeholders when speaking and writing. Understand the direction of the stakeholders \cite{mourtos2012defining}.</t>
  </si>
  <si>
    <t xml:space="preserve">In a team context. Civility is acting with empathy, compassion, and kindness in every interaction and treating everyone you connect with online with dignity and respect.Incivility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</si>
  <si>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In a stakeholders context, civility is acting with empathy, compassion, and kindness in every interaction and treating everyone connected online with dignity and respect \cite{hr-zone}.	  </t>
  </si>
  <si>
    <t>Collaborative work friendly is the ability to function on multidisciplinary teams. In today’s multicultural world, this outcome also implies an ability to collaborate with people from different cultures, abilities, and backgrounds \cite{mourtos2012defining}.</t>
  </si>
  <si>
    <t xml:space="preserve">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 \cite{L86}.	 </t>
  </si>
  <si>
    <t xml:space="preserve">Tracking, monitoring, and controlling the Requirements change management activities in the offshore software development environment. We should establish a geographically distributed CCB (change control block) to verify and determine the reasoning behind the requested changes  \cite{L50, L59}.	   </t>
  </si>
  <si>
    <t>Resistance management</t>
  </si>
  <si>
    <t xml:space="preserve">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 \cite{L50}.	  </t>
  </si>
  <si>
    <t>An organizational commitment can be triggered by a combination of three conditions: desire, compulsion, and obligation to work for the focal organization. Commitment provides a foundation for employees to engage in behaviors that support the organization \cite{sanda2016influencing}.</t>
  </si>
  <si>
    <t>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 \cite{kashdan2008social}.</t>
  </si>
  <si>
    <t xml:space="preserve">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 \cite{L09}.	  </t>
  </si>
  <si>
    <t xml:space="preserve">The client‘s knowledge loss becomes a problem of knowledge transfer when the company moves from an old vendor relationship to a new vendor relationship, as the client no longer holds all the information that the new vendor critically needs to involve in services with the client \cite{L09}.	  </t>
  </si>
  <si>
    <t xml:space="preserve">When the knowledge's codifiability is higher, the knowledge can be easily transferred to knowledge recipients, and in some cases, employees need help finding updated knowledge transfer documents in their project repository, leading to delays in project delivery \cite{L09}.	</t>
  </si>
  <si>
    <t xml:space="preserve">Knowledge codifiability in an organizational project repository happens when complex knowledge is not codified in a high-level manner and is not straightforward to understand \cite{L09}.	  </t>
  </si>
  <si>
    <t>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 \cite{L32}.</t>
  </si>
  <si>
    <t xml:space="preserve">Lack of proper component interfaces is the interface through which a component requests services or provides services. Inconsistencies between components/modules create problems during the integration stage \cite{L32}.	</t>
  </si>
  <si>
    <t>Lack of employee respect issues. Has the team met or talked personally? This event grows the relationship between people at different sites, increasing the efficient outsourcing relationships in organizational management \cite{L109, L90, L37}.</t>
  </si>
  <si>
    <t xml:space="preserve">The common work experience is the site's experience working together; or the number of hours worked together by each team, depending on the project program objective \cite{L37, L90}.  </t>
  </si>
  <si>
    <t>Criticality is the importance of getting the task done correctly in terms of its adverse effects should problems occur, and a critical task is one where a failure impacts the life of a human \cite{chanseau2019does}.</t>
  </si>
  <si>
    <t>Complexity is a function of the number of interconnected variables in the task, and the most challenging tasks are those in which there is a constraint on decomposition into simpler subtasks \cite{halford2007problem}.</t>
  </si>
  <si>
    <t xml:space="preserve">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 \cite{mieg2013formality}	  </t>
  </si>
  <si>
    <t xml:space="preserve"> The process phase (lifecycle) comprises the development, distribution, acquisition, deployment, use, maintenance, deactivation, and disposal phases \cite{dick2010enhancing}.</t>
  </si>
  <si>
    <t>Collaborative coupling, in broad terms, signifies the intensity of user-user interaction to accomplish a task. Collaborative task coupling is categorized into loosely coupled, and tightly coupled \cite{sigitov2019task}.</t>
  </si>
  <si>
    <t>The product size to be developed comprise program code, an integral component of the software; architectural design size:  components, their functions, and their interactions (interfaces); and specification size like the Unified Modeling Language \cite{zhao2021some}.</t>
  </si>
  <si>
    <t xml:space="preserve">The high degree of requirements changes during the project may provoke significant delays, with a good chance of introducing errors and misunderstandings. The impact of unstable requirements is generally high for any software development project \cite{L37, L39}.	  </t>
  </si>
  <si>
    <t xml:space="preserve">In global software development, it is necessary to observe the number of involved sites that needs to collaborate on a project \cite{L37}.	  </t>
  </si>
  <si>
    <t>Pressure on people working on the project \cite{L37} results in developers attempting to find shortcuts and adopt different approaches to complete software development to accomplish the given deadline \cite{L54}.</t>
  </si>
  <si>
    <t>A clear integration plan is necessary to ensure efficiency and without extra complexity when finally putting the system together. Thus, integration asks for a centrally controlled approach \cite{L39}.</t>
  </si>
  <si>
    <t xml:space="preserve">Distributed members must be aware of the rules and regulations they must observe during the project, and a shared vision for the project can align team members toward shared goals \cite{mohapatra2010causal}. </t>
  </si>
  <si>
    <t xml:space="preserve">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 \cite{Woniakowski2012RiskMI}.	  </t>
  </si>
  <si>
    <t xml:space="preserve">The software development team must know the data's status before using it in the deployment phase to make data more consistent since continuous deployment leads all importance towards the development of the process, which causes errors and inconsistency in data \cite{L44}.	  </t>
  </si>
  <si>
    <t xml:space="preserve">The development and operation teams working together in a DevOps environment may adopt best practices to resolve data entry issues avoiding misspellings in data entry. Thus, to validate the performance of product efficiency, data must counter checked to resolve such issues \cite{L44}.	</t>
  </si>
  <si>
    <t>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 \cite{L44}.</t>
  </si>
  <si>
    <t xml:space="preserve">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 [L44].	 </t>
  </si>
  <si>
    <t xml:space="preserve">Visualization of data it can be claimed that, without suitable visualization and understanding of large integrated data sets in a heterogeneous data environment, it is critical day by day to understand the purpose of data \cite{L44}.	</t>
  </si>
  <si>
    <t xml:space="preserve">Data provenance means the location of specific data and when and where that data was generated. Data comes from multiple sources, causing reliability challenges in heterogeneous data environments. Therefore, integrity and authenticity must be assessed when analyzing data \cite{L44}. </t>
  </si>
  <si>
    <t xml:space="preserve">Storage of transition logs while considering data validity and security, storage of transition logs is a challenge in a DevOps environment \cite{L44}.	  </t>
  </si>
  <si>
    <t>The low quality of telecommunication bandwidth is another issue that needs to be evaluated. Often, via a communication medium, because of the context, tone and emotion were disoriented, an excess of time spent describing things being addressed, and with poor quality of transmission hampering communication implements, communication networks can be slow and unreliable.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t>
  </si>
  <si>
    <t xml:space="preserve">Data Aggregation is one of the critical challenges in the mining process; data searched, reported, and presented from a different source is vital to gain specific business objectives. Therefore, a consistent approach is required to present and aggregate data \cite{L44, L85, L84}.	  </t>
  </si>
  <si>
    <t xml:space="preserve">Data generated in real-time, i.e., online development systems, must check data assessment while sharing data in a continuous environment of DevOps during production \cite{L44}, and proper tools are required to maintain continuous scalability and performance measures for better release \cite{L111}.   </t>
  </si>
  <si>
    <t xml:space="preserve">New visualization techniques and their assessments to implement or integrate new techniques with the existing system must follow all privacy guidelines suggested by developers. Thus, if appropriately implemented with whole team discussion, such tools may help reduce time and cost \cite{L44}.	  </t>
  </si>
  <si>
    <t>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 \cite{international2020teleworking}.</t>
  </si>
  <si>
    <t>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 \cite{ilyas2015software}.</t>
  </si>
  <si>
    <t>Agile software development brings its own set of novel challenges that must be addressed to satisfy the customer through the early and continuous delivery of valuable software \cite{moniruzzaman2013comparative}.</t>
  </si>
  <si>
    <t xml:space="preserve">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 \cite{majchrzak2012transcending}.	  </t>
  </si>
  <si>
    <t>The prior experience measures the number of team programmers who have participated in at least one similar project. Therefore, the level of uncertainty is expected to decrease as the number of team members with relevant experience increases \cite{gopal2002role}.</t>
  </si>
  <si>
    <t xml:space="preserve">Having previous experience in the roles, practices, processes, procedures, and artifacts in Scrum \cite{L51}.	  </t>
  </si>
  <si>
    <t xml:space="preserve">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 \cite{L51}. </t>
  </si>
  <si>
    <t xml:space="preserve">The number of sprints is short work cycles for incremental development \cite{L51}. </t>
  </si>
  <si>
    <t>Time management planning is a practice where people plan what they intend to accomplish and when on a given day. How do people specifically engage, or how is technology involved with time management planning? \cite{lund2021less}.</t>
  </si>
  <si>
    <t>Conflict management could be divided into affective and substantive conflict. Affective conflict implies emotional clashes between individuals based on selfish or personal issues. Substantive conflict involves rational differences based on the content of the ideas or issues \cite{cowger1980conflict}.</t>
  </si>
  <si>
    <t xml:space="preserve">Flexibility is adjusting one’s leadership style, method, or approach in response to different or changing contextual demands to facilitate group performance \cite{kaiser2010assessing}. </t>
  </si>
  <si>
    <t xml:space="preserve">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 \cite{lafromboise1983skills}.	  </t>
  </si>
  <si>
    <t xml:space="preserve">The problem-solving ability or the inability to see the problem arises due to the uncooperative motivational attitude of higher-ranking management interacting with the team members at remote sites, resulting in a lack of team cohesiveness \cite{L84}.	  </t>
  </si>
  <si>
    <t>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 \cite{biletska2021intercultural}.</t>
  </si>
  <si>
    <t>If an application has to maintain persistent data, a mechanism for allowing it is required. CRUD pattern could be used to maintain a database and manage the life cycle of creating, updating, deleting, and reading data. In addition, it is essential for modeling related entity classes \cite{de_almeida2011applying, L51}.</t>
  </si>
  <si>
    <t>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 \cite{yang2006survey}.</t>
  </si>
  <si>
    <t>WILLIAMS, Laurie. Agile software development methodologies and practices. In: Advances in computers. Elsevier, 2010. p. 1-44.</t>
  </si>
  <si>
    <t>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 \cite{williams2010agile}.</t>
  </si>
  <si>
    <t xml:space="preserve">A code smell is a term commonly used to describe potential problems in software design \cite{santos2018systematic}.	  </t>
  </si>
  <si>
    <t xml:space="preserve">The requirements are timely updated owing to the evolving needs of customers, stakeholders, the organization, and the work environment. Furthermore, the updated requirements show customer satisfaction, achievement of business goals, and competence in the market \cite{L59}.	  </t>
  </si>
  <si>
    <t xml:space="preserve">The involvement of top and lower-level management is essential to implement the Requirements change management process successfully. Besides, the participation and commitment of the management could be helpful for requirement elicitation and change management \cite{L59}.	  </t>
  </si>
  <si>
    <t>Global competition becomes a form of international competition in which the position of an enterprise in one country affects its competitive position in other countries. As a result, companies compete for international leadership \cite{ibima2021}.</t>
  </si>
  <si>
    <t xml:space="preserve">The amount of working software produced determines progress in agile development. In addition, source code versioning, unit testing, continuous integration, and acceptance testing are technical factors that affect the software artifacts' maturity \cite{alyahya2011co}.  </t>
  </si>
  <si>
    <t xml:space="preserve">The consultancy in software process improvement is the capability of the consultants, based on their experience, to help small and medium Web companies adopt formal software process improvement standards while remaining aligned with the Web company’s vision \cite{sulayman2012software}.  </t>
  </si>
  <si>
    <t xml:space="preserve">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 \cite{unterkalmsteiner2011evaluation}. </t>
  </si>
  <si>
    <t>Process improvement standards and procedures: a set of policies and standard procedures describing how the firm's processes will be conducted and maintained consistently \cite{ataseven2013iso}.</t>
  </si>
  <si>
    <t>Site characteristics, including analyst capability, programmer capability, language and tool experience, personnel continuity, and customer proximity, are variable factors in the task allocation decision \cite{L61}.</t>
  </si>
  <si>
    <t>Task‐site dependencies, including application experience and platform experience, are also considered during task allocation, and team division \cite{L61, L108}.</t>
  </si>
  <si>
    <t>Practitioners sometimes require support to have personal availability. For example, unsurprisingly, the need for a designated professional to work with user experience is a difficulty most often pointed out by respondents from start-ups that do not have user experience professionals \cite{smite2021collaboration}.</t>
  </si>
  <si>
    <t xml:space="preserve">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 \cite{L61}. </t>
  </si>
  <si>
    <t>Component dependencies in a product architecture give rise to communication and coordination needs. The architectural mechanisms other than module or component dependencies also create coordination requirements. The component dependencies must be addressed before allocating to temporally distant sites can be taken \cite{L61}.</t>
  </si>
  <si>
    <t>First, when creating tasks for user stories at the beginning of each iteration, limit the size of the tasks to 4 hours, 8 hours, or no more than 16 hours in length. Thus, this will ensure that the team can work more efficiently in a fully integrated way \cite{o_reilly}.</t>
  </si>
  <si>
    <t xml:space="preserve">The managerial practice of persistent, conscientious responsiveness information of teams on project outcomes establishes pertinent information towards the project outcome \cite{L85}.	  </t>
  </si>
  <si>
    <t xml:space="preserve">Absorptive capacity is the dynamic capacity that allows firms to create value and gain and sustain a competitive advantage by managing external knowledge \cite{camison2010knowledge}.	  </t>
  </si>
  <si>
    <t xml:space="preserve">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 \cite{rundall2016contributions}.	</t>
  </si>
  <si>
    <t>In the context of service leadership, it is necessary to have a clear objective to initiate the project in the global software development environment \cite{L62}.</t>
  </si>
  <si>
    <t>Knowledge-intensive business services, such as engineering, management consulting, and R&amp;D, almost exclusively transfer knowledge and skills to client organizations—the incentives to expend effort and produce innovative services \cite{leiponen2006organization}.</t>
  </si>
  <si>
    <t xml:space="preserve">Pilot knowledge between teams. 
Pilot knowledge like the Coffee (space/place where we meet with friends to talk, visit, and share our latest news and thinking or to make connections and build relationships) offers a relatively informal and sociable way of engaging participants in conversations, often making it easier for those whose voices are generally not heard to be engaged. In addition, such conversations can reveal tacit organizational knowledge that can inform organizational learning. The format thus allows attendees to explore questions that matter to them in a process that values everyone’s contributions.	</t>
  </si>
  <si>
    <t>Pilot knowledge between teams is like a Café event, a space/place where we meet with friends to chat, visit and share our latest news and thoughts or make connections and build relationships that offer a relatively informal and sociable way to engage participants in conversations \cite{pollard2015developing}.</t>
  </si>
  <si>
    <t xml:space="preserve">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 \cite{gann2000innovation}. 	  </t>
  </si>
  <si>
    <t>Group thinking and decision-making are suitable tools for reducing possible errors in decision-making, improving organizations' efficiency, and utilizing scientific decision-making tools, such as Brainstorming \cite{yazdani2012integration}.</t>
  </si>
  <si>
    <t xml:space="preserve">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 \cite{andres2015could}.	  </t>
  </si>
  <si>
    <t>Learning of innovative technology is the participation, acceptance, and learning incentive of innovative technology in the global service climate \cite{L85}.</t>
  </si>
  <si>
    <t>Component or Unit Testing prior to integration</t>
  </si>
  <si>
    <t>If the distributed teams submit their developed components to the central team without proper component or unit tests, the integration phase will reveal many problems delaying the whole development process, and fixing one problem may introduce another problem \cite{ilyas2015software}.</t>
  </si>
  <si>
    <t>Advance and Uniform Development Environment and Training</t>
  </si>
  <si>
    <t>Proper Documentation \&amp; Configuration Management</t>
  </si>
  <si>
    <t>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 \cite{ilyas2015software}.</t>
  </si>
  <si>
    <t>Continuous integration</t>
  </si>
  <si>
    <t>Continuous Integration is a software practice where developers frequently integrate, at least daily \cite{staahl2013modeling}.</t>
  </si>
  <si>
    <t xml:space="preserve">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 \cite{ilyas2015software}. </t>
  </si>
  <si>
    <t xml:space="preserve">Components evaluation </t>
  </si>
  <si>
    <t>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 \cite{L66}.</t>
  </si>
  <si>
    <t xml:space="preserve">Typically, during the design process, the design team must identify adequate components to fulfill specific design requirements and use a standard model for process, data, and product components \cite{costa2015connecting}. </t>
  </si>
  <si>
    <t>Automated metrics allow for to definition of code complexity metrics. Semi-automated metrics allow us to measure functional complexity, for example. Finally, manual metrics allow the frequency of use and the importance for the user \cite{L110}.</t>
  </si>
  <si>
    <t>The specific integration timing in the integration phase, or the synchronizing of the various parts, is one of the most challenging phases of software projects in the GSD environment \cite{L66}.</t>
  </si>
  <si>
    <t>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 \cite{coates2002exploratory}.</t>
  </si>
  <si>
    <t xml:space="preserve">Due to economic expansion, the sophistication of communication means, and cost pressure, it is crucial to comprehend the risks, challenges, opportunities, and good practices within this new software development scenario to construct business strategies \cite{marques2012systematic}.	  </t>
  </si>
  <si>
    <t>Standard in an organization is a behavioral approach like style (textual, formal); the organizational and operational environment; organization condition; usage context; knowledge type; requirement purpose; organization customs; type of product; and development process \cite{jackson1995understanding}.</t>
  </si>
  <si>
    <t>Organizational Policy is mainly expressed as a particular behavior of a person, which includes intentional actions to effect specific decisions to safeguard their interests \cite{yasmeen2019impact}.</t>
  </si>
  <si>
    <t>Organizational Practices are the behaviors and actions of employees. Hence, are the employees' daily work habits aligned with the core values of organizational culture? Practices are one of the Five Ps (purpose, philosophy, priorities, practices, and projections) of an organization \cite{margolis2022}.</t>
  </si>
  <si>
    <t>The regulation describes any attempt to influence a population's behavior, whether, by law, force, nudging, or surreptitious manipulation \cite{hildebrandt2018algorithmic}.</t>
  </si>
  <si>
    <t>The term ‘regulation’ has two different meanings that should be
distinguished, though they are not mutually exclusive. They concern a different level of analysis.
On the one hand, regulation is used to describe any attempt to influence the behaviour of
a population, whether by means of law, by force, by nudging or by means of surreptitious
manipulation. This way of using the term entails an external perspective on law. It is external
because it ‘thinks’ in terms of behaviour instead of action and in terms of information instead
of meaning. On the other hand, regulation may refer to the policy rules enacted by ‘regulators’,
in the sense of administrative bodies endowed with regulatory or decisional competences by a
legislator. Under this definition, a regulator is not a legislator, but an administrative body.2 In
the context of data protection, the US Federal Trade Commission is usually referred to as the
regulator. This US terminology has contaminated EU discourse, where data protection authorities
and the European data protection supervisor are now often qualified as regulators</t>
  </si>
  <si>
    <t>HILDEBRANDT, Mireille. Algorithmic regulation and the rule of law. Philosophical Transactions of the Royal Society A: Mathematical, Physical and Engineering Sciences, v. 376, n. 2128, p. 20170355, 2018.</t>
  </si>
  <si>
    <t>MULYANI, Sitti Rizki; RIDWAN, Muhammad; ALI, Hapzi. Model of human services and resources: The improvement efforts of Silungkang restaurant attractiveness on consumers. Talent Development &amp; Excellence, v. 12, n. 1, 2020.</t>
  </si>
  <si>
    <t>Internal environment analysis is the stage to find out the strengths and weaknesses that exist in the company to
face competition. The internal environment aspect can be observed using a functional approach consisting of
production and operations, human resources, finance, management, and marketing information systems. The
external environment is all events outside the company that has the potential to affect the company, Williams in
Idris (2015). strategy can be affected by macroeconomic environment, Thompson (2008) Analysis of the
external environment of Silungkang Restaurant is a stage to find out the opportunities and threats faced by the
company. The external aspects analyzed are the macro environment and the microenvironment.</t>
  </si>
  <si>
    <t>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 \cite{mulyani2020model}.</t>
  </si>
  <si>
    <t xml:space="preserve"> Inter-team culture is related to National Culture and Social Norms \cite{L67}.</t>
  </si>
  <si>
    <t>Social interaction is how individuals act and react concerning one another \cite{cerulo2009nonhumans}.</t>
  </si>
  <si>
    <t>The stakeholder relationship is associated with customer feedback to improve development \cite{L111}.</t>
  </si>
  <si>
    <t>The person paying the bill or the initial paying customer can be seen to be the project client \cite{walker2000client}.</t>
  </si>
  <si>
    <t>Stakeholder Requirements, or user requirements, describe what users do with the system, such as the activities that users must be able to perform. Usually, we use narrative text, use cases, scenarios, user stories, or event-response tables to document it \cite{tran_2019}.</t>
  </si>
  <si>
    <t xml:space="preserve">Stakeholder: requirements </t>
  </si>
  <si>
    <t>GREGOR, Shirley; HEVNER, Alan R. Positioning and presenting design science research for maximum impact. MIS quarterly, p. 337-355, 2013.</t>
  </si>
  <si>
    <t>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 \cite{gregor2013positioning}.</t>
  </si>
  <si>
    <t>FISCAL, Zeryl Joy M. Social Psychology. 2018.</t>
  </si>
  <si>
    <t>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 \cite{fiscal2018social}.</t>
  </si>
  <si>
    <t>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 \cite{kamarulzaman2011overview}.</t>
  </si>
  <si>
    <t xml:space="preserve">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 \cite{pmi2021, arrowsmith2000regulation}. </t>
  </si>
  <si>
    <t>This domain addresses activities (identifying, analyzing, prioritizing, engaging, and monitoring)and functions associated with stakeholders \cite{pmi2021}.</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</si>
  <si>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 \cite{pmi2021}.</t>
  </si>
  <si>
    <t>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 \cite{popli2012research}.</t>
  </si>
  <si>
    <t>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 \cite{L84}.</t>
  </si>
  <si>
    <t>Project management performance questions: extent and frequency of plan changes; frequency of emergency meetings; agreement between effort invested and effort required; participant satisfaction; customer satisfaction; the number of post-delivery product changes \cite{raz2001use}.</t>
  </si>
  <si>
    <t>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 \cite{brady1997tools}.</t>
  </si>
  <si>
    <t>Defect data contains knowledge about specific work conditions. 
A data feedback mechanism is required to prevent the reoccurrence of defects. However, most defective data are stored in unstructured ways, resulting in the fundamental problem of data utilization \cite{lee2016linked}.</t>
  </si>
  <si>
    <t>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 \cite{hussain2016role}.</t>
  </si>
  <si>
    <t>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\cite{bontis2001assessing}.</t>
  </si>
  <si>
    <t>Trust among team members is the confidence of development team members \cite{L108}.</t>
  </si>
  <si>
    <t>Trust building is a critical factor for developing cross-boundary information sharing and, in a much broader sense, is a crucial element of the social capital needed for any successful cooperation or collaboration within and across social networks \cite{pardo2008building}.</t>
  </si>
  <si>
    <t>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 \cite{gordon2012trust}.</t>
  </si>
  <si>
    <t xml:space="preserve">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 \cite{L84}.	</t>
  </si>
  <si>
    <t>The project manager should adopt other team members to the project, increase the project’s coordination and integration among project elements and use a consistent method to guide and control project execution \cite{bakar2011project}.</t>
  </si>
  <si>
    <t xml:space="preserve">The team experience evolves different project background issues arise due to the difference in working culture when developers from different countries need to work on a project that is not similar to the existing project background \cite{L84}.	</t>
  </si>
  <si>
    <t xml:space="preserve">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 \cite{L124}.	</t>
  </si>
  <si>
    <t xml:space="preserve">In general, due to the geographical dispersion among sites, limited face-to-face meetings can decrease the opportunity for informal interaction, leading to a lack of team awareness and cohesiveness. Also, misunderstanding requirements are probably due to a lack of interaction \cite{L111, L84}.	  </t>
  </si>
  <si>
    <t xml:space="preserve">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 \cite{L111, L84}.	</t>
  </si>
  <si>
    <t xml:space="preserve">Companies' common human resource problems are compliance with laws and regulations, health and safety, change management, compensation management, landing top talent, retention, and monitoring productivity and performance \cite{Mcconnell2021}.	  </t>
  </si>
  <si>
    <t xml:space="preserve">Potential differences in infrastructure across sites might lead to compatibility issues. Therefore, the GSD sites need to adopt advanced and uniform infrastructure while executing the requirement change management process \cite{akbar2022srcmimm}.	  </t>
  </si>
  <si>
    <t xml:space="preserve">Software changes are inevitable due to the dynamic nature of the software development project itself. One factor influencing the effectiveness of the change acceptance decision is the accuracy of the change effort estimation \cite{basri2016algorithmic}.	  </t>
  </si>
  <si>
    <t xml:space="preserve">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 \cite{manoj2016improving}.	  </t>
  </si>
  <si>
    <t xml:space="preserve">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 \cite{hayat2019influence}.	  </t>
  </si>
  <si>
    <t xml:space="preserve"> Build quality comprises the risk variables, requirements analysis, design, and construction. Therefore, the project manager must be diligent in formulating and adopting appropriate quality processes, procedures, tools, templates, techniques, guidelines, and standards \cite{L72}.</t>
  </si>
  <si>
    <t xml:space="preserve">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 \cite{L72}.	  </t>
  </si>
  <si>
    <t xml:space="preserve"> Employee facilitation includes individual initiatives, mentoring by a core team, and employee work-life balance. Also, work-life balance and the need for attractive packages for hiring \cite{L109, L72}</t>
  </si>
  <si>
    <t>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 \cite{L84, L833}.</t>
  </si>
  <si>
    <t xml:space="preserve">Project instability manifests itself as changing team structures, responsibilities between sites, personnel changes, and roles of existing personnel \cite{L83}.	</t>
  </si>
  <si>
    <t xml:space="preserve">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 \cite{L83}.	</t>
  </si>
  <si>
    <t xml:space="preserve">Align architecture with organization arrangement, include business goals in design, base architectural decisions on available resources, and establish quality management practices \cite{L83}.	  </t>
  </si>
  <si>
    <t>Architectural knowledge management between sites</t>
  </si>
  <si>
    <t xml:space="preserve">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 \cite{L83}.	</t>
  </si>
  <si>
    <t xml:space="preserve">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 \cite{L83}.	  </t>
  </si>
  <si>
    <t>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 \cite{L83}.</t>
  </si>
  <si>
    <t xml:space="preserve">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 \cite{L83}.	  </t>
  </si>
  <si>
    <t xml:space="preserve">Identifying dependencies on architectural design decisions, insufficient decoupling, or cross-component features are challenges brought about by software complexity and difficulties defining logical entities and finding interface boundaries in architecture \cite{L83}.	  </t>
  </si>
  <si>
    <t xml:space="preserve">Architectural design practices are about implementing well-defined interfaces to increase modularization and aid loose coupling. Strive for high modularity and separation of concerns. Locate dependencies within architecture \cite{L83}.	</t>
  </si>
  <si>
    <t xml:space="preserve">Architecting modeling techniques use (call) graphs/matrices to depict and detect coupling. Use visualization of decisions/metrics. Use collaborative modeling. Using a variety of diagrams promotes awareness \cite{L83}.	  </t>
  </si>
  <si>
    <t>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 \cite{L83}.</t>
  </si>
  <si>
    <t>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 \cite{L84}.</t>
  </si>
  <si>
    <t>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 \cite{L84}.</t>
  </si>
  <si>
    <t>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 \cite{L84}.</t>
  </si>
  <si>
    <t>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 \cite{L84}.</t>
  </si>
  <si>
    <t>The effort to initiate contact is an obstacle between team members isolated by geographic distance. In addition, it may lead developers to make a minor modification to the system without contacting someone with rich knowledge about it \cite{L84}.</t>
  </si>
  <si>
    <t>Less overlapping working hours increase the possibility of using asynchrony communication, as the overlapping working hours is the only time synchrony communication is feasible \cite{L84}.</t>
  </si>
  <si>
    <t>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 \cite{84}.</t>
  </si>
  <si>
    <t xml:space="preserve">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 \cite{L84, L93}.	</t>
  </si>
  <si>
    <t xml:space="preserve">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 \cite{L84, L93}.	 </t>
  </si>
  <si>
    <t xml:space="preserve">Due to the low communication frequency among distributed teams, the risk of miscommunication and misconception increases, provoking a low detailed level of communication \cite{84}.	</t>
  </si>
  <si>
    <t xml:space="preserve">In interdisciplinary requirements engineering, stakeholders need to understand how other disciplines think and work (mutual understanding) and agree on the system they develop (shared understanding) to collaborate effectively \cite{hoffmann2013emergence}.	  </t>
  </si>
  <si>
    <t>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	\cite{L84}.</t>
  </si>
  <si>
    <t>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 \cite{L84}.</t>
  </si>
  <si>
    <t>We need technology that creates shared understanding. We need people who understand how to build bridges in divided communities to be better equipped to use technology, avoiding deficiencies in the current digital environment \cite{L113}.</t>
  </si>
  <si>
    <t>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 \cite{niazi2020glob}.</t>
  </si>
  <si>
    <t>Communication of customer requirements allows for identifying the user's requirements and relevant derivative acceptance criteria to establish priorities in the tests. Failures to meet customer requirements and expectations are often related to misunderstanding, and misconception \cite{unterkalmsteiner2015coordinating, L110, L84}.</t>
  </si>
  <si>
    <t>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 \cite{malhotra2004enabling}.</t>
  </si>
  <si>
    <t>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 \cite{beersma2003cooperation}.</t>
  </si>
  <si>
    <t>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 \cite{blumenberg2009knowledge}.</t>
  </si>
  <si>
    <t>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 \cite{Guoyong2011}.</t>
  </si>
  <si>
    <t>Strong ties are effective in providing valuable knowledge. Such relationships are helpful because they tend to be trusting. The benevolence and competence-based trust mediate the link between strong ties and the receipt of helpful knowledge \cite{levin2004strength}.</t>
  </si>
  <si>
    <t>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 \cite{dziuba2021}.</t>
  </si>
  <si>
    <t>Communality refers to the personal characteristics that the trustor has in common with the trustee, like a similar goal they wish to achieve, shared language use, common identity characteristics, or shared values \cite{L86}.</t>
  </si>
  <si>
    <t>Benevolence is the willingness to help, availability, sharing, faith in intentions, friendliness, openness, caring, and commitment. Also, it refers to the perceived level of courtesy and positive attitude a trustee displays towards the trustor \cite{L86}.</t>
  </si>
  <si>
    <t>Internalized norms are integrity, discretion, honesty, fairness, and loyalty. This criterion refers to the intrinsic moral norms a trustee uses to guard his/her actions. The language Analysis regarding how a trustee uses the chat and walls could infer some people’s values \cite{L86}.</t>
  </si>
  <si>
    <t>Accountability refers to the degree to which a person is liable and accountable for his/her acts and meets another person's expectations. It includes the extent to which a person seems to be: reliable, consistent, self-confident, persistent, and responsible \cite{L86}.</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</si>
  <si>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 \cite{L86}.</t>
  </si>
  <si>
    <t>YEROMIN, Mykola Borysovych (Ed.). Universal Codes of Media in International Political Communications: Emerging Research and Opportunities: Emerging Research and Opportunities. 2020.</t>
  </si>
  <si>
    <t>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 \cite{yeromin2020universal}.</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</si>
  <si>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 \cite{galaczi2018}.</t>
  </si>
  <si>
    <t>The ability to motivate others and create trust happens when a person can motivate and inspires; builds potential in others; creates an environment that fosters learning, collaboration, and fluid teamwork, and attracts high performers \cite{klingborg2006leadership}.</t>
  </si>
  <si>
    <t>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 \cite{L90}.</t>
  </si>
  <si>
    <t>ASSARY, Elham et al. Genetic architecture of Environmental Sensitivity reflects multiple heritable components: A twin study with adolescents. Molecular Psychiatry, v. 26, n. 9, p. 4896-4904, 2021.</t>
  </si>
  <si>
    <t>Enhanced sensitivity predicts both reactivities to adverse contexts and the propensity to benefit from supportive resources from favorable environments. In other words, sensitivity is proposed to better and worse influence the impact of environmental influences \cite{assary2021genetic}.</t>
  </si>
  <si>
    <t>Emotional stability (i.e., calm, steady, self-confident, and secure), of the five major personality dimensions, conscientiousness, and emotional stability are the most valid predictors of performance outcomes across different occupations \cite{locke2011handbook}.</t>
  </si>
  <si>
    <t>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 \cite{HOUSE199281}.</t>
  </si>
  <si>
    <t>Requirements elicitation is the process of defining stakeholders’  needs and putting this information together in an understandable manner such that developers can construct a system that will address those needs \cite{aldave2019leveraging}.</t>
  </si>
  <si>
    <t>Due to change frequently occurring in requirements during the system development process, organizational management must commit to and support change management activities. Therefore, upper and lower management involvement is essential to implement the RCM process successfully \cite{L93}.</t>
  </si>
  <si>
    <t>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 \cite{bentley2018financial}.</t>
  </si>
  <si>
    <t>Use of English for communication. It is recommended to do some tests to see if practitioners detect some errors in conversations in English (chats, emails, or phone calls) and show that they notice communication problems when non-native languages are being used \cite{L94}.</t>
  </si>
  <si>
    <t>Lack of informal communication leads to a lack of mutual understanding of project goals, misunderstanding of requirements, and mistrust between distributed teams. In addition, a lack of informal communication between team members can result in a lack of implicit knowledge \cite{L84}.</t>
  </si>
  <si>
    <t>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 \cite{welch2008managing}.</t>
  </si>
  <si>
    <t>The firm’s retained earnings mainly determine budget constraints, the net present value of its future investments, the quality of its management, and the liquidation value of its assets are other examples \cite{bolton1995time}.</t>
  </si>
  <si>
    <t>Project scope is the work that must be performed to deliver a product, service, or result with specified characteristics and functions \cite{pmi2021}.</t>
  </si>
  <si>
    <t>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 \cite{panaccio2009perceived}.</t>
  </si>
  <si>
    <t>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 \cite{marinho2021toward}.</t>
  </si>
  <si>
    <t>MARINHO, Marcelo; CAMARA, Rafael; SAMPAIO, Suzana. Toward unveiling how SAFe framework supports agile in global software development. IEEE Access, v. 9, p. 109671-109692, 2021.</t>
  </si>
  <si>
    <t>The error management culture refers to the organization's culture of bargaining with errors. A productive culture of error is seen as a prerequisite for a successful digital transformation, especially during the transition phase \cite{L16}.</t>
  </si>
  <si>
    <t>Handling of data describes competence in the handling of data, also includes large data volumes and data security \cite{L16}.</t>
  </si>
  <si>
    <t>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 \cite{de2016cloud}.</t>
  </si>
  <si>
    <t>AL NAFEA, Roaa; ALMAIAH, Mohammed Amin. Cyber security threats in cloud: Literature review. In: 2021 International Conference on Information Technology (ICIT). IEEE, 2021. p. 779-786.</t>
  </si>
  <si>
    <t>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 \cite{al2021cyber}.</t>
  </si>
  <si>
    <t>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 \cite{nicolas2018risks}.</t>
  </si>
  <si>
    <t>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 \cite{nicolas2018risks}.</t>
  </si>
  <si>
    <t>Gender segregation at work is widespread; within software engineering, the gender composition of contract workers differs significantly by occupational subspecialty. For example, women are far more prevalent in software quality assurance than in other software subspecialties \cite{campero2021hiring}.</t>
  </si>
  <si>
    <t>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 \cite{L117}.</t>
  </si>
  <si>
    <t xml:space="preserve">Benevolent sexism represents the subjectively positive feelings towards gender that often bring some sexist antipathy. For example, the study of \citeonline{L117} reported that participants were spoiled, never receiving harsh/direct feedback, and being included in initiatives only because they were women, not because of their skills and abilities. </t>
  </si>
  <si>
    <t xml:space="preserve">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 \cite{L117}.	</t>
  </si>
  <si>
    <t xml:space="preserve">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 \cite{L117}.	  </t>
  </si>
  <si>
    <t xml:space="preserve">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 \cite{L117}.	 </t>
  </si>
  <si>
    <t xml:space="preserve">Pay inequality between genders and inferior career growth opportunities. Men raise only their counterparts to the top layer. Lack of transparency about the laddering criteria \cite{L117}.	  </t>
  </si>
  <si>
    <t xml:space="preserve">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  \cite{L117}.	</t>
  </si>
  <si>
    <t xml:space="preserve">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 \cite{L117}.	 </t>
  </si>
  <si>
    <t xml:space="preserve">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 \cite{L121}.	  </t>
  </si>
  <si>
    <t xml:space="preserve">The degree of personal information is a communication content element conveyed through self-disclosure terms. The ratio of self-disclosure terms to the total number of words in a message defines the degree of personal information \cite{L121}.	  </t>
  </si>
  <si>
    <t xml:space="preserve">Degree of communication concreteness is a manner element of communication conveyed by perceptible, precise, or specific terms. The ratio of concrete terms to the total number of words in a message defines the degree of concreteness \cite{L121}.	  </t>
  </si>
  <si>
    <t xml:space="preserve">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 \cite{de2016analysis}.	  </t>
  </si>
  <si>
    <t>PRIYONO, Anjar; MOIN, Abdul; PUTRI, Vera Nur Aini Oktaviani. Identifying digital transformation paths in the business model of SMEs during the COVID-19 pandemic. Journal of Open Innovation: Technology, Market, and Complexity, v. 6, n. 4, p. 104, 2020.</t>
  </si>
  <si>
    <t xml:space="preserve">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 \cite{priyono2020identifying}.	  </t>
  </si>
  <si>
    <t xml:space="preserve">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 \cite{vanitha2017effective}.	  </t>
  </si>
  <si>
    <t xml:space="preserve">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 \cite{lakshmi2017review}.	</t>
  </si>
  <si>
    <t xml:space="preserve">A Green or Sustainable Product Life Management strategy could be defined as follows. First,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 \cite{vila2015approach}.	  </t>
  </si>
  <si>
    <t xml:space="preserve">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 \cite{da2022spread}.	</t>
  </si>
  <si>
    <t xml:space="preserve">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 \cite{rashid2018using}.	  </t>
  </si>
  <si>
    <t xml:space="preserve">Team empowerment is defined as the collective belief in a group that it can be effective and its role in determining the group's effectiveness. Empowerment is the delegation of authority and decision-making responsibilities, strengthening the role of people and teams \cite{L126}.	 </t>
  </si>
  <si>
    <t xml:space="preserve">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 \cite{L110}.	  </t>
  </si>
  <si>
    <t xml:space="preserve">Metrics to assess risk-based testing time identification allows knowing the average time taken to analyze a requirement with a certain number of lines. Assessing risk identification activity allows setting useful or meaningful risks to develop test cases \cite{L110}.	  </t>
  </si>
  <si>
    <t xml:space="preserve">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 \cite{rafi2020rmdevops}.	</t>
  </si>
  <si>
    <t>#73</t>
  </si>
  <si>
    <t>#722</t>
  </si>
  <si>
    <t xml:space="preserve">Defined roles and responsibilities are essential to assign the proper responsibility and task to the right person and time and should be clearly defined, articulated, and effectively disseminated for all team members \cite{L26,L59}. 	</t>
  </si>
  <si>
    <t>The arduous relationship among team members (global service climate). The relationships of overseas team members should be formalized to share and accommodate secret requirements and build trust \cite{L50,L60}.</t>
  </si>
  <si>
    <t>#723</t>
  </si>
  <si>
    <t>(51\%)</t>
  </si>
  <si>
    <t>(43\%)</t>
  </si>
  <si>
    <t>(42\%)</t>
  </si>
  <si>
    <t>(40\%)</t>
  </si>
  <si>
    <t>(34\%)</t>
  </si>
  <si>
    <t>(31\%)</t>
  </si>
  <si>
    <t>(29\%)</t>
  </si>
  <si>
    <t>(25\%)</t>
  </si>
  <si>
    <t>(22\%)</t>
  </si>
  <si>
    <t>(18\%)</t>
  </si>
  <si>
    <t>(15\%)</t>
  </si>
  <si>
    <t>(14\%)</t>
  </si>
  <si>
    <t>(12\%)</t>
  </si>
  <si>
    <t>(11\%)</t>
  </si>
  <si>
    <t>(9\%)</t>
  </si>
  <si>
    <t>(8\%)</t>
  </si>
  <si>
    <t>(6\%)</t>
  </si>
  <si>
    <t>(5\%)</t>
  </si>
  <si>
    <t>(3\%)</t>
  </si>
  <si>
    <t>(2\%)</t>
  </si>
  <si>
    <t>(0\%)</t>
  </si>
  <si>
    <t>Organisational culture encompasses the values, beliefs, and behaviours of organisational employees (Schein, 1992). Values correspond
to what individuals think can be done and relate to moral and ethical
codes (Holt &amp; Stewart, 2000). Beliefs refer to individuals' perceptions
that can be regarded as either true or false (ibid). Behaviours are the
pattern of activities carried out by individuals based on their values
and beliefs (Schein, 1992). Values, beliefs, and behaviours become
embodied in an ideology or organisational philosophy, which serves
as a guide to dealing with the uncertainty of uncontrollable or difficult
events that occur in organisational life (Schein, 1992).</t>
  </si>
  <si>
    <t>ROSCOE, Samuel et al. Green human resource management and the enablers of green organisational culture: Enhancing a firm's environmental performance for sustainable development. Business Strategy and the Environment, v. 28, n. 5, p. 737-749, 2019.</t>
  </si>
  <si>
    <t xml:space="preserve">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 \cite{roscoe2019green}.	  </t>
  </si>
  <si>
    <t>MIRKOVIĆ, Vladimir et al. Key characteristics of organizational structure that supports digital transformation. In: International Scientific Conference Strategic Management and Decision Support Systems in Strategic Management. 2019.</t>
  </si>
  <si>
    <t>The organizational structure that has proven to be effective in practice is characterized by a flatter structure, decentralized decision-making, greater collaboration and coordination, faster knowledge transfer between employees, knowledge networking, teamwork, proactive approach, horizontal communication, flexibility , agility</t>
  </si>
  <si>
    <t xml:space="preserve">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 \cite{mirkovic2019key}.	  </t>
  </si>
  <si>
    <t xml:space="preserve">Proficiency in a programming language and expertise and knowledge in the application domain. High proficiency in a programming language to build codes with complex instructions. It is a personal technical dimension \cite{L37,L51}.	</t>
  </si>
  <si>
    <t xml:space="preserve">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  \cite{L26}.	</t>
  </si>
  <si>
    <t xml:space="preserve">Learning to work together, master the domain, and understand mutual sub-domains may take years. This fact may result in underestimating the learning curve in multi-site software development. It is a personal technical dimension \cite{L39}.	  </t>
  </si>
  <si>
    <t xml:space="preserve">All global team members' technical capability and skill levels must be available to the Project Manager to facilitate effective global team operation. In addition, this information needs to be efficiently maintained, understood, and easily accessible. It is a human resource dimension \cite{L26}.	</t>
  </si>
  <si>
    <t xml:space="preserve">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 \cite{ilyas2015software}.	</t>
  </si>
  <si>
    <t xml:space="preserve">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 \cite{allen2002employee}.	  </t>
  </si>
  <si>
    <t xml:space="preserve">Communality refers to the personal characteristics that the trustor has in common with the trustee, like a similar goal they wish to achieve, shared language use, common identity characteristics, or shared values. It is a personal technical dimension \cite{L86}.	  </t>
  </si>
  <si>
    <t xml:space="preserve">Conscientiousness describes a person’s ability to regulate impulse control to engage in goal-directed behaviors. It measures elements such as control, inhibition, and persistence of behavior. It is related to personality dimensions \cite{lim2020}.	</t>
  </si>
  <si>
    <t>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 \cite{devanbu2018belief}.</t>
  </si>
  <si>
    <t xml:space="preserve">A total number of technical skills (one employee) comprise the following capabilities information technology, business domain, project management, and sourcing managing customers or suppliers. In addition, it is a personal technical dimension related to the human resource department \cite{goles2009information}.	</t>
  </si>
  <si>
    <t xml:space="preserve">The degree of personal affective intensity is a manner element of communication conveyed through affective terms. The ratio of affective terms to the total number of words in a message defines the degree of affective intensity. It is related to personality dimensions \cite{L121}.	 </t>
  </si>
  <si>
    <t xml:space="preserve">Lack of human resources, knowledge, and skills. Lack of suitable infrastructure for integration and the nonavailability of skilled human resources to solve integration issues in time hinder the integration process. This criterion is related to a human resources department issue \cite{L32, L54, L16}.	</t>
  </si>
  <si>
    <t xml:space="preserve">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  \cite{L44, L32}.  	  </t>
  </si>
  <si>
    <t>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 \cite{de2016analysis}.</t>
  </si>
  <si>
    <t xml:space="preserve">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 \cite{61}.	  	</t>
  </si>
  <si>
    <t>Agile team training</t>
  </si>
  <si>
    <t>Computer anxiety (personality dimensions)</t>
  </si>
  <si>
    <t xml:space="preserve">In terms of anxiety, computer anxiety is the interactions with computers, negative global attitudes, and negative cognitions or self-critical internal dialogue. It is related to personality dimensions \cite{korukonda2007differences}.	</t>
  </si>
  <si>
    <t xml:space="preserve">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 \cite{L83}.	</t>
  </si>
  <si>
    <t xml:space="preserve">Self-control is the personal aptitude and behavior to do work. It is related to personality dimensions \cite{L114}.	 </t>
  </si>
  <si>
    <t>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 \cite{L51}.</t>
  </si>
  <si>
    <t xml:space="preserve">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 \cite{L16}.	</t>
  </si>
  <si>
    <t xml:space="preserve">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 \cite {L54}.	</t>
  </si>
  <si>
    <t xml:space="preserve">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 \cite{bettencourt2002client}.	 </t>
  </si>
  <si>
    <t xml:space="preserve">Skilled human resources </t>
  </si>
  <si>
    <t>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  \cite{huzooree2015review}.</t>
  </si>
  <si>
    <t>Weather generally refers to day-to-day temperature and precipitation activity, whereas climate is the term for the average atmospheric conditions over more extended periods. Climate is the average weather conditions for a particular geographical location over notable years \cite{krishnamurthi2015arduino}.</t>
  </si>
  <si>
    <t>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  \cite{trofimov2010ecological}.</t>
  </si>
  <si>
    <t xml:space="preserve">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 
\cite{L32}.	  </t>
  </si>
  <si>
    <t>Geographical distance is the dispersion geographically between team members in remote sites. Communication risk increases whenever geographic distance increases. Therefore, this criterion is related to the geographic dimension  \cite{L84,L06}.</t>
  </si>
  <si>
    <t>Temporal issues</t>
  </si>
  <si>
    <t>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 \cite{L06, L84}.</t>
  </si>
  <si>
    <t>Accepting criticism gracefully (personality dimensions)</t>
  </si>
  <si>
    <t xml:space="preserve">Instill the values of good human relations and the need to work cooperatively, accept criticism gracefully, be courteous and enthusiastic, and maintain friendly relationships. It is related to personality dimensions \cite{cramer1965preparation}.	</t>
  </si>
  <si>
    <t>Communication is the biggest challenge for GSD due to the need for adequate and proper ways of communication in general. In addition, the reduced communication frequency with the project team members became a problem due to the need for more informal or face-to-face contact \cite{L84 ,L94}.</t>
  </si>
  <si>
    <t>Availability of human resources</t>
  </si>
  <si>
    <t xml:space="preserve">Skilled human resources are the types of skills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 \cite{L50}.	</t>
  </si>
  <si>
    <t xml:space="preserve">In an Agile software project, the modularization approach segregates the code base into domain modules, identifies well-defined interfaces to these modules, and restricts the inter-module interactions through these interfaces \cite{sarkar2009modularization}.	</t>
  </si>
  <si>
    <t xml:space="preserve">Inequality manifests in the unequal provision of social amenities within local government districts. The social amenities are educational, health, and market facilities, like drinking water, sanitation, electricity, housing qualities, and drainage arrangement. It is connected to geographic dimension \cite{L67}.	</t>
  </si>
  <si>
    <r>
      <t xml:space="preserve">HERBSLEB, James D.. ; MOCKUS, Audris. </t>
    </r>
    <r>
      <rPr>
        <b/>
        <sz val="8"/>
        <color theme="9" tint="-0.249977111117893"/>
        <rFont val="Arial"/>
        <family val="2"/>
      </rPr>
      <t>An empirical study of speed and communication in globally distributed software development</t>
    </r>
    <r>
      <rPr>
        <sz val="8"/>
        <color theme="9" tint="-0.249977111117893"/>
        <rFont val="Arial"/>
        <family val="2"/>
      </rPr>
      <t>. </t>
    </r>
    <r>
      <rPr>
        <b/>
        <sz val="8"/>
        <color theme="9" tint="-0.249977111117893"/>
        <rFont val="Arial"/>
        <family val="2"/>
      </rPr>
      <t>IEEE Transactions on software engineering</t>
    </r>
    <r>
      <rPr>
        <sz val="8"/>
        <color theme="9" tint="-0.249977111117893"/>
        <rFont val="Arial"/>
        <family val="2"/>
      </rPr>
      <t>, v. 29, n. 6, p. 481-494, 2003.</t>
    </r>
  </si>
  <si>
    <r>
      <t xml:space="preserve">KHAN, Siffat Ullah; NIAZI, Mahmood; AHMAD, Rashid. </t>
    </r>
    <r>
      <rPr>
        <b/>
        <sz val="8"/>
        <color theme="4" tint="-0.249977111117893"/>
        <rFont val="Arial Nova"/>
        <family val="2"/>
      </rPr>
      <t>Barriers in the selection of offshore software development outsourcing vendors: An exploratory study using a systematic literature review</t>
    </r>
    <r>
      <rPr>
        <sz val="8"/>
        <color theme="4" tint="-0.249977111117893"/>
        <rFont val="Arial Nova"/>
        <family val="2"/>
      </rPr>
      <t>. Information and Software Technology, v. 53, n. 7, p. 693-706, 2011.</t>
    </r>
  </si>
  <si>
    <r>
      <t>B.Kitchenham and S.Charters, "</t>
    </r>
    <r>
      <rPr>
        <b/>
        <sz val="8"/>
        <color theme="4" tint="-0.249977111117893"/>
        <rFont val="Arial Nova"/>
        <family val="2"/>
      </rPr>
      <t>Guidelines for performing Systematic Literature Reviews in Software Engineering</t>
    </r>
    <r>
      <rPr>
        <sz val="8"/>
        <color theme="4" tint="-0.249977111117893"/>
        <rFont val="Arial Nova"/>
        <family val="2"/>
      </rPr>
      <t>," Keele University, UK 2007.</t>
    </r>
  </si>
  <si>
    <r>
      <t xml:space="preserve">KHAN, Siffat Ullah; NIAZI, Mahmood; AHMAD, Rashid. </t>
    </r>
    <r>
      <rPr>
        <b/>
        <sz val="8"/>
        <color theme="4" tint="-0.249977111117893"/>
        <rFont val="Arial Nova"/>
        <family val="2"/>
      </rPr>
      <t>Factors influencing clients in the selection of offshore software outsourcing vendors: An exploratory study using a systematic literature review.</t>
    </r>
    <r>
      <rPr>
        <sz val="8"/>
        <color theme="4" tint="-0.249977111117893"/>
        <rFont val="Arial Nova"/>
        <family val="2"/>
      </rPr>
      <t xml:space="preserve"> Journal of systems and software, v. 84, n. 4, p. 686-699, 2011.</t>
    </r>
  </si>
  <si>
    <r>
      <t>Finstad, K.: ‘</t>
    </r>
    <r>
      <rPr>
        <b/>
        <sz val="8"/>
        <color theme="4" tint="-0.249977111117893"/>
        <rFont val="Arial"/>
        <family val="2"/>
      </rPr>
      <t>Response interpolation and scale sensitivity: evidence against 5- point scale</t>
    </r>
    <r>
      <rPr>
        <sz val="8"/>
        <color theme="4" tint="-0.249977111117893"/>
        <rFont val="Arial"/>
        <family val="2"/>
      </rPr>
      <t>s’, J. Usability. Stud., 2010, 5, pp. 104–110</t>
    </r>
  </si>
  <si>
    <r>
      <t>Afzal, W., Torkar, R. and Feldt, R. (2009) ‘</t>
    </r>
    <r>
      <rPr>
        <b/>
        <sz val="8"/>
        <color theme="4" tint="-0.249977111117893"/>
        <rFont val="Arial"/>
        <family val="2"/>
      </rPr>
      <t>A systematic review of search-based testing for non-functional system properties</t>
    </r>
    <r>
      <rPr>
        <sz val="8"/>
        <color theme="4" tint="-0.249977111117893"/>
        <rFont val="Arial"/>
        <family val="2"/>
      </rPr>
      <t>’, Information and Software Technology, Vol. 51, No. 6, pp.957–976.</t>
    </r>
  </si>
  <si>
    <r>
      <t xml:space="preserve">Khan, A.A., Basri, S., Dominic, P.D.D. and Amin, F. (2012) </t>
    </r>
    <r>
      <rPr>
        <b/>
        <sz val="8"/>
        <color theme="4" tint="-0.249977111117893"/>
        <rFont val="Arial"/>
        <family val="2"/>
      </rPr>
      <t>A Propose Framework for Requirement Change Management in Global Software Development</t>
    </r>
    <r>
      <rPr>
        <sz val="8"/>
        <color theme="4" tint="-0.249977111117893"/>
        <rFont val="Arial"/>
        <family val="2"/>
      </rPr>
      <t xml:space="preserve">. International Conference on Computer &amp; Information Science (ICCIS), 2, 944-
947. </t>
    </r>
  </si>
  <si>
    <r>
      <t>NIAZI, Mahmood; WILSON, David; ZOWGHI, Didar. Critical success factors for software process improvement implementation: an empirical study. </t>
    </r>
    <r>
      <rPr>
        <b/>
        <sz val="8"/>
        <color theme="4" tint="-0.249977111117893"/>
        <rFont val="Arial"/>
        <family val="2"/>
      </rPr>
      <t>Software Process: Improvement and Practice</t>
    </r>
    <r>
      <rPr>
        <sz val="8"/>
        <color theme="4" tint="-0.249977111117893"/>
        <rFont val="Arial"/>
        <family val="2"/>
      </rPr>
      <t>, v. 11, n. 2, p. 193-211, 2006.</t>
    </r>
  </si>
  <si>
    <r>
      <t>CARMEL, Erran. </t>
    </r>
    <r>
      <rPr>
        <b/>
        <sz val="8"/>
        <color theme="5" tint="-0.249977111117893"/>
        <rFont val="Arial"/>
        <family val="2"/>
      </rPr>
      <t>Global software teams: collaborating across borders and time zones</t>
    </r>
    <r>
      <rPr>
        <sz val="8"/>
        <color theme="5" tint="-0.249977111117893"/>
        <rFont val="Arial"/>
        <family val="2"/>
      </rPr>
      <t>. Prentice Hall PTR, 1999.</t>
    </r>
  </si>
  <si>
    <r>
      <t>CARMEL, Erran; AGARWAL, Ritu. Tactical approaches for alleviating distance in global software development. </t>
    </r>
    <r>
      <rPr>
        <b/>
        <sz val="8"/>
        <color theme="5" tint="-0.249977111117893"/>
        <rFont val="Arial"/>
        <family val="2"/>
      </rPr>
      <t>IEEE software</t>
    </r>
    <r>
      <rPr>
        <sz val="8"/>
        <color theme="5" tint="-0.249977111117893"/>
        <rFont val="Arial"/>
        <family val="2"/>
      </rPr>
      <t>, v. 18, n. 2, p. 22-29, 2001.</t>
    </r>
  </si>
  <si>
    <r>
      <t>HERBSLEB, James D.; MOITRA, Deependra. Global software development. </t>
    </r>
    <r>
      <rPr>
        <b/>
        <sz val="8"/>
        <color theme="5" tint="-0.249977111117893"/>
        <rFont val="Arial"/>
        <family val="2"/>
      </rPr>
      <t>IEEE software</t>
    </r>
    <r>
      <rPr>
        <sz val="8"/>
        <color theme="5" tint="-0.249977111117893"/>
        <rFont val="Arial"/>
        <family val="2"/>
      </rPr>
      <t>, v. 18, n. 2, p. 16-20, 2001.</t>
    </r>
  </si>
  <si>
    <r>
      <t>HERBSLEB, James D. et al. An empirical study of global software development: distance and speed. In: </t>
    </r>
    <r>
      <rPr>
        <b/>
        <sz val="8"/>
        <color theme="5" tint="-0.249977111117893"/>
        <rFont val="Arial"/>
        <family val="2"/>
      </rPr>
      <t>Proceedings of the 23rd International Conference on Software Engineering. ICSE 2001</t>
    </r>
    <r>
      <rPr>
        <sz val="8"/>
        <color theme="5" tint="-0.249977111117893"/>
        <rFont val="Arial"/>
        <family val="2"/>
      </rPr>
      <t>. IEEE, 2001. p. 81-90.</t>
    </r>
  </si>
  <si>
    <r>
      <t>NOLL, John; LIU, Wei-Ming. Requirements elicitation in open source software development: a case study. In: </t>
    </r>
    <r>
      <rPr>
        <b/>
        <sz val="8"/>
        <color theme="5" tint="-0.249977111117893"/>
        <rFont val="Arial"/>
        <family val="2"/>
      </rPr>
      <t>Proceedings of the 3rd International Workshop on Emerging Trends in Free/Libre/Open Source Software Research and Development</t>
    </r>
    <r>
      <rPr>
        <sz val="8"/>
        <color theme="5" tint="-0.249977111117893"/>
        <rFont val="Arial"/>
        <family val="2"/>
      </rPr>
      <t>. 2010. p. 35-40.</t>
    </r>
  </si>
  <si>
    <r>
      <t>MOCKUS, Audris; FIELDING, Roy T.; HERBSLEB, James D. Two case studies of open source software development: Apache and Mozilla. </t>
    </r>
    <r>
      <rPr>
        <b/>
        <sz val="8"/>
        <color theme="5" tint="-0.249977111117893"/>
        <rFont val="Arial"/>
        <family val="2"/>
      </rPr>
      <t>ACM Transactions on Software Engineering and Methodology (TOSEM)</t>
    </r>
    <r>
      <rPr>
        <sz val="8"/>
        <color theme="5" tint="-0.249977111117893"/>
        <rFont val="Arial"/>
        <family val="2"/>
      </rPr>
      <t>, v. 11, n. 3, p. 309-346, 2002.</t>
    </r>
  </si>
  <si>
    <r>
      <t>AVRITZER, Alberto et al. Coordination implications of software architecture in a global software development project. </t>
    </r>
    <r>
      <rPr>
        <b/>
        <sz val="8"/>
        <color theme="5" tint="-0.249977111117893"/>
        <rFont val="Arial"/>
        <family val="2"/>
      </rPr>
      <t>Journal of Systems and Software</t>
    </r>
    <r>
      <rPr>
        <sz val="8"/>
        <color theme="5" tint="-0.249977111117893"/>
        <rFont val="Arial"/>
        <family val="2"/>
      </rPr>
      <t>, v. 83, n. 10, p. 1881-1895, 2010.</t>
    </r>
  </si>
  <si>
    <r>
      <t>BHAT, Jyoti M.; GUPTA, Mayank; MURTHY, Santhosh N. Overcoming requirements engineering challenges: Lessons from offshore outsourcing. </t>
    </r>
    <r>
      <rPr>
        <b/>
        <sz val="8"/>
        <color theme="5" tint="-0.249977111117893"/>
        <rFont val="Arial"/>
        <family val="2"/>
      </rPr>
      <t>IEEE software</t>
    </r>
    <r>
      <rPr>
        <sz val="8"/>
        <color theme="5" tint="-0.249977111117893"/>
        <rFont val="Arial"/>
        <family val="2"/>
      </rPr>
      <t>, v. 23, n. 5, p. 38-44, 2006.</t>
    </r>
  </si>
  <si>
    <r>
      <t>CASEY, Valentine; RICHARDSON, Ita. Project management within virtual software teams. In: </t>
    </r>
    <r>
      <rPr>
        <b/>
        <sz val="8"/>
        <color theme="5" tint="-0.249977111117893"/>
        <rFont val="Arial"/>
        <family val="2"/>
      </rPr>
      <t>2006 IEEE International Conference on Global Software Engineering (ICGSE'06)</t>
    </r>
    <r>
      <rPr>
        <sz val="8"/>
        <color theme="5" tint="-0.249977111117893"/>
        <rFont val="Arial"/>
        <family val="2"/>
      </rPr>
      <t>. IEEE, 2006. p. 33-42.</t>
    </r>
  </si>
  <si>
    <t>damian d. 2007</t>
  </si>
  <si>
    <t>Stakeholders in Global Requirements Engineering: Lessons Learned from Practice</t>
  </si>
  <si>
    <t>Due to its communication and collaboration-intensive nature, as well as inherent interaction with most other development processes, the practice of requirements engineering is becoming a key challenge in global software engineering (GSE). In distributed projects, cross-functional stakeholder groups must specify and manage requirements across cultural, time-zone, and organizational boundaries. This creates a unique set of problems, not only when an organization opens new development subsidiaries across the world but also when software development is a multiorganizational business affair. We need innovative processes and technologies to manage stakeholders' expectations and interaction in global projects. This article reports on the state of the practice, drawn from industrial empirical studies, of stakeholders' interaction in global RE. The article revisits stakeholders' needs in global RE, discusses the challenges they face in distributed interaction, and offers practical advice to alleviate these challenges, as distilled from empirical studies of GSE practice</t>
  </si>
  <si>
    <t>BELGICA</t>
  </si>
  <si>
    <t>ebert c. 2001</t>
  </si>
  <si>
    <t>Surviving global software development</t>
  </si>
  <si>
    <t>Alcatel aims for global software development in its switching and routing business. Although there are many good reasons to globally distribute development activities, success is not guaranteed by just opening a development center in a low-cost region. The authors summarize experiences and distill best practices from true global software development involving over 5,000 engineers on almost all the continents.</t>
  </si>
  <si>
    <t>verner j.m. 2014</t>
  </si>
  <si>
    <t>easterbrook s. 2008</t>
  </si>
  <si>
    <t>Context
There is extensive interest in global software development (GSD) which has led to a large number of papers reporting on GSD. A number of systematic literature reviews (SLRs) have attempted to aggregate information from individual studies.
Objective
We wish to investigate GSD SLR research with a focus on discovering what research has been conducted in the area and to determine if the SLRs furnish appropriate risk and risk mitigation advice to provide guidance to organizations involved with GSD.
Method
We performed a broad automated search to identify GSD SLRs. Data extracted from each study included: (1) authors, their affiliation and publishing venue, (2) SLR quality, (3) research focus, (4) GSD risks, (5) risk mitigation strategies and, (6) for each SLR the number of primary studies reporting each risk and risk mitigation strategy.
Results
We found a total of 37 papers reporting 24 unique GSD SLR studies. Major GSD topics covered include: (1) organizational environment, (2) project execution, (3) project planning and control and (4) project scope and requirements. We extracted 85 risks and 77 risk mitigation advice items and categorized them under four major headings: outsourcing rationale, software development, human resources, and project management. The largest group of risks was related to project management. GSD outsourcing rationale risks ranked highest in terms of primary study support but in many cases these risks were only identified by a single SLR.
Conclusions
The focus of the GSD SLRs we identified is mapping the research rather than providing evidence-based guidance to industry. Empirical support for the majority of risks identified is moderate to low, both in terms of the number of SLRs identifying the risk, and in the number of primary studies providing empirical support. Risk mitigation advice is also limited, and empirical support for these items is low.</t>
  </si>
  <si>
    <t>Risks and risk mitigation in global software development: A tertiary study</t>
  </si>
  <si>
    <t>Risks and risk mitigation</t>
  </si>
  <si>
    <t xml:space="preserve">Selecting a research method for empirical software engineering research is problematic because the benefits and challenges to using each method are not yet well catalogued. Therefore, this chapter describes a number of empirical methods available. It examines the goals of each and analyzes the types of questions each best addresses. Theoretical stances behind the methods, practical considerations in the application of the methods and data collection are also briefly reviewed. Taken together, this information provides a suitable basis for both understanding and selecting from the variety of methods applicable to empirical software engineering.
</t>
  </si>
  <si>
    <t>Selecting Empirical Methods for Software Engineering Research</t>
  </si>
  <si>
    <t xml:space="preserve">\citeonline{Niazi2016} made a questionnaire to validate the management's challenges in GSD. </t>
  </si>
  <si>
    <t xml:space="preserve">the author \citeonline{Shameem2018}, investigated the challenges for agile GSD using an online questionary and prioritized the category challenges through an analytic hierarchy process (AHP). </t>
  </si>
  <si>
    <t>alzoubi y.i. 2016</t>
  </si>
  <si>
    <t>kabra g. 2015</t>
  </si>
  <si>
    <t>khan a.a. 2016</t>
  </si>
  <si>
    <t>kitchenham b. 2007-2</t>
  </si>
  <si>
    <t>layman l. 2006</t>
  </si>
  <si>
    <t>Empirical studies of geographically distributed agile development communication challenges: A systematic review</t>
  </si>
  <si>
    <t xml:space="preserve">There is increasing interest in studying and applying geographically distributed agile development (GDAD). Much has been published on GDAD communication. There is a need to systematically review and synthesize the literature on GDAD communication challenges. Using the SLR approach and applying customized search criteria derived from the research questions, 21 relevant empirical studies were identified and reviewed in this paper. The data from these papers were extracted to identify communication challenges and the techniques used to overcome these challenges. The findings of this research serve as a resource for GDAD practitioners and researchers when setting future research priorities and directions.
</t>
  </si>
  <si>
    <t>Identification and prioritization of coordination barriers in humanitarian supply chain management</t>
  </si>
  <si>
    <t xml:space="preserve">In the wake of disaster, several organizations work for the welfare of the disaster victims, although lack of coordination among them hampers the performance of relief operations. This study sets out to explore and prioritize the coordination barriers in the humanitarian supply chain management (HSCM), particularly in the Indian context to enhance the performance of relief operations. The study is divided into three phases. Initially, barriers to coordination were identified through an extensive literature review, allied to brainstorming sessions with experts. These were then grouped into 5 categories, i.e. management barriers, technological barriers, cultural barriers, people barriers and organizational barriers. Secondly, a survey questionnaire was designed, tested and refined to incorporate the views of the managers involved in the relief operations of the disaster that occurred in the Uttarakhand (a Northern state in India) on June 14, 2013 in order to empirically verify the barriers to coordination. Finally, barriers were prioritized on the basis of their severity using fuzzy analytic hierarchy process (F-AHP) which considers the uncertainty of the data and impreciseness rather than crisp value. The results indicate that lack of top management commitment, improper organizational structure to create and share knowledge and lack of policy for coordination are the major barriers. These are the areas that need to be handled first in order to remove coordination barriers. The findings of the study throw some new light on the coordination issues in HSCM and provide a more effective, efficient, robust and systematic way to overcome coordination barriers.
</t>
  </si>
  <si>
    <t>Systematic review of success factors and barriers for software process improvement in global software development (2016)</t>
  </si>
  <si>
    <t xml:space="preserve">Nowadays, many software development organisations are globalising their work throughout the world. The motivation behind the software globalisation is competitive advantage and business profits that it yields to an organisation. Besides, these organisations are facing various challenges due to the distributed nature of the software development. However, software process improvement (SPI) is one of the biggest issues in the domain of global software development (GSD). The aim of this research study is to identify success factors and barriers to assist GSD organisations for successful implementation of SPI program. Accordingly, a systematic literature review approach was adopted to identify the success factors and barriers. A total of nine success factors and six barriers were identified that could impact SPI. Using the criteria of the factors having a frequency &gt;50% as critical, total four success factors were ranked as critical success factors, i.e. management commitment, staff involvement, allocated resources and pilot projects. Moreover, total four barriers were classified as critical barriers, i.e. lack of resources, inexperienced staff, organisational politics and time pressure.
</t>
  </si>
  <si>
    <t>Barrier SPI</t>
  </si>
  <si>
    <t>Lessons from applying the systematic literature review process within the software engineering domain</t>
  </si>
  <si>
    <t xml:space="preserve">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
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t>
  </si>
  <si>
    <t>SLR</t>
  </si>
  <si>
    <t>Essential communication practices for Extreme Programming in a global software development team</t>
  </si>
  <si>
    <t xml:space="preserve">We conducted an industrial case study of a distributed team in the USA and the Czech Republic that used Extreme Programming. Our goal was to understand how this globally-distributed team created a successful project in a new problem domain using a methodology that is dependent on informal, face-to-face communication. We collected quantitative and qualitative data and used grounded theory to identify four key factors for communication in globally-distributed XP teams working within a new problem domain. Our study suggests that, if these critical enabling factors are addressed, methodologies dependent on informal communication can be used on global software development projects.
</t>
  </si>
  <si>
    <t>challenge</t>
  </si>
  <si>
    <t>#724</t>
  </si>
  <si>
    <t>\ref{tab:list_of_criteria1}</t>
  </si>
  <si>
    <t>#7232</t>
  </si>
  <si>
    <t>Flexibility</t>
  </si>
  <si>
    <t>Precise cost estimation</t>
  </si>
  <si>
    <t>New vendor relationship</t>
  </si>
  <si>
    <t>Requirements elicitation techniques</t>
  </si>
  <si>
    <t>Architecture-based task allocation</t>
  </si>
  <si>
    <t>Identifying dependencies on architectural design decision</t>
  </si>
  <si>
    <t>The organizational size is defined as the number of employees at any given location, and this would include the entire corporate organization if it is in one geographical location or a division of a decentralized corporation \cite{beer1964organizational}.</t>
  </si>
  <si>
    <t>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 \cite{macnicol2014}.</t>
  </si>
  <si>
    <t>Björkdahl &amp; Kronblad (2021)</t>
  </si>
  <si>
    <t>Bastidas, Pardo, &amp; Ardila (2021)</t>
  </si>
  <si>
    <t>Garro-Abarca, Palos-Sanchez, &amp; Aguayo-Camacho (2021)</t>
  </si>
  <si>
    <t>Iqbal et al. (2022)</t>
  </si>
  <si>
    <t>Rashid et al. (2021)</t>
  </si>
  <si>
    <t>Ludwig et al. (2022)</t>
  </si>
  <si>
    <t>Nurrahman et al. (2021)</t>
  </si>
  <si>
    <t>Subbarao &amp; Mahrin (2021)</t>
  </si>
  <si>
    <t>Trinkenreich et al. (2022)</t>
  </si>
  <si>
    <t>Sangaiah et al. (2015)</t>
  </si>
  <si>
    <t>Kluge et al. (2020)</t>
  </si>
  <si>
    <t>Shameem et al. (2020)</t>
  </si>
  <si>
    <t>Vizcaíno et al. (2019)</t>
  </si>
  <si>
    <t>Akbar, Mahmood, et al. (2020)</t>
  </si>
  <si>
    <t>Monasor et al. (2012)</t>
  </si>
  <si>
    <t>Vizcaíno et al. (2018)</t>
  </si>
  <si>
    <t>Gopal et al. (2018)</t>
  </si>
  <si>
    <t>Ammad et al. (2019)</t>
  </si>
  <si>
    <t>Sievi-Korte et al. (2019)</t>
  </si>
  <si>
    <t>Sundararajan et al. (2019)</t>
  </si>
  <si>
    <t>A. A. Khan &amp; Akbar (2020)</t>
  </si>
  <si>
    <t>Yaseen et al. (2016)</t>
  </si>
  <si>
    <t>Gulzar et al. (2018)</t>
  </si>
  <si>
    <t>Imtiaz &amp; Ikram (2017)</t>
  </si>
  <si>
    <t>A. A. Khan et al. (2019)</t>
  </si>
  <si>
    <t>Akbar, M. A. et al. (2020)</t>
  </si>
  <si>
    <t>Hassan et al. (2019)</t>
  </si>
  <si>
    <t>Hidayati et al. (2020)</t>
  </si>
  <si>
    <t>Kamal et al. (2020)</t>
  </si>
  <si>
    <t>Rafi et al. (2020)</t>
  </si>
  <si>
    <t>Kommeren &amp; Parviainen (2007)</t>
  </si>
  <si>
    <t>Lamersdorf et al. (2012)</t>
  </si>
  <si>
    <t>Avritzer et al. (2014)</t>
  </si>
  <si>
    <t>Ilyas &amp; Khan (2017)</t>
  </si>
  <si>
    <t>Humayun &amp; Cui (2013)</t>
  </si>
  <si>
    <t>Nidhra &amp; Yanamadala (2013)</t>
  </si>
  <si>
    <t>Nguyen-Duc et al. (2015)</t>
  </si>
  <si>
    <t>Richardson et al. (2012)</t>
  </si>
  <si>
    <t>Moayedikia et al. (2020)</t>
  </si>
  <si>
    <t xml:space="preserve">0.5 -Partial </t>
  </si>
  <si>
    <t>0.5</t>
  </si>
  <si>
    <t>0.5 - Partial aligned</t>
  </si>
  <si>
    <r>
      <t>DE HERT, Paul; PAPAKONSTANTINOU, Vagelis; KAMARA, Irene. The cloud computing standard ISO/IEC 27018 through the lens of the EU legislation on data protection. </t>
    </r>
    <r>
      <rPr>
        <b/>
        <sz val="8"/>
        <color rgb="FF222222"/>
        <rFont val="Times New Roman"/>
        <family val="1"/>
      </rPr>
      <t>Computer Law &amp; Security Review</t>
    </r>
    <r>
      <rPr>
        <sz val="8"/>
        <color rgb="FF222222"/>
        <rFont val="Times New Roman"/>
        <family val="1"/>
      </rPr>
      <t>, v. 32, n. 1, p. 16-30, 2016.</t>
    </r>
  </si>
  <si>
    <t>Communication. Communication is the biggest challenge for GSD due to the need for adequate and proper ways of communication in general. In addition, the reduced communication frequency with the project team members became a problem due to the need for more informal or face-to-face contact.</t>
  </si>
  <si>
    <t>English domain. The usage of a different language among distributed team members. In the current years, the English language has been widely used as a professional language at both national and international platforms.</t>
  </si>
  <si>
    <t>Cultural differences among teams. Each culture has its standards, styles and moral principles, which can provoke communication related issues when individual belonging from different cultural background communicate with another one.</t>
  </si>
  <si>
    <t>Temporal issues. 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t>
  </si>
  <si>
    <t>Fear impact. Fear's impact can manifest itself in numerous ways, including the desire to prevent or limit communication with remote colleagues. In some instances, the objective can be to hinder the work of these remote colleagues directly.</t>
  </si>
  <si>
    <t>Employee Satisfaction. 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t>
  </si>
  <si>
    <t>Trust building. Personal or impersonal, including cognitive trust, which refers to beliefs about others’ competence and reliability. This can lead individuals to engage in less self-protective actions and be more likely to take risks.</t>
  </si>
  <si>
    <t>Degree of cooperation.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t>
  </si>
  <si>
    <t>Precise cost stimation. While transferring knowledge from client location to offshore location, the knowledge transfer takes a long time and requires more iterations. It is difficult to measure how much cost it must invest for knowledge transfer.</t>
  </si>
  <si>
    <t>Effective leadership. 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t>
  </si>
  <si>
    <t>Project failure risk. There are micro and macro-risk elements. Micro-risks can often be correctly determined, and alternative strategies put in place to mitigate their potential impact. Macro-risks on the other hand may not even be considered. It is important to analyze the need and the root cause of change.</t>
  </si>
  <si>
    <t>Defined of roles and responsibilities. Defined roles and responsibilities are essential to assign the proper responsibility and task to the right person and time and should be clearly defined, articulated, and effectively disseminated for all team members.</t>
  </si>
  <si>
    <t>Technical requirements. We must base the selection of global team members on the project's technical requirements. Therefore, the Project Manager needs direct access to information about the academic and technical skills and experiences of potential team members.</t>
  </si>
  <si>
    <t>Effective Partitioning. Effective task partitioning between team members and sites can be modularized, phased, or integrated. The selection often depends on the nature of the work or the physical location of specific tools or skill sets.</t>
  </si>
  <si>
    <t>Team Skills Database. All global team members' technical capability and skill levels must be available to the Project Manager to facilitate effective global team operation. In addition, this information needs to be efficiently maintained, understood, and easily accessible. It is a human resource dimension.</t>
  </si>
  <si>
    <t>Knowledge interchange rate. Knowledge interchange rate is a process of exchange of explicit or tacit knowledge between two agents, during which one agent purposefully receives and uses the knowledge provided by another.</t>
  </si>
  <si>
    <t>Coordination challenges level. 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t>
  </si>
  <si>
    <t>Transparency of roles and responsibilities. It is important to assign the right task and responsibilities to the relevant person. The roles and responsibilities need to be clearly articulated and understood by all the relevant parties.</t>
  </si>
  <si>
    <t>Reporting requirement. 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t>
  </si>
  <si>
    <t>Relevant information disclosure. 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t>
  </si>
  <si>
    <t>Team issues.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t>
  </si>
  <si>
    <t>Process Management. 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t>
  </si>
  <si>
    <t>Software support tools. 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t>
  </si>
  <si>
    <t>Technical support. The technical issues comprise all the challenges associated with the technology used to initiate communication among distributed team members. This problem could cause hindrance and misunderstanding.</t>
  </si>
  <si>
    <t>Communication Tools. 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t>
  </si>
  <si>
    <t xml:space="preserve">Proficiency in a programming language. Proficiency in a programming language and expertise and knowledge in the application domain. High proficiency in a programming language to build codes with complex instructions. It is a personal technical dimension.	</t>
  </si>
  <si>
    <t>Experience in similar projects. Staff experience on similar projects, programming language, and tool experiences.</t>
  </si>
  <si>
    <t>Use of software tools. Evaluating and selecting software packages that meet an organization’s requirements is a complex software engineering process. Selection of the wrong software package can be costly and adversely affect business processes.</t>
  </si>
  <si>
    <t>Contribution to team effort. A team's effort contribution is the participation in helping each other, mutual support of team members, suggestions, and contribution of teams on project outcomes.</t>
  </si>
  <si>
    <t>Accomplishment of assigned responsibilities. Demonstrates initiative and responsibility for individual performance to get the job done under direct supervision.</t>
  </si>
  <si>
    <t>Task efficiency. Task efficiency is the completion of assigned or agreed-upon responsibilities is the critical behavior of completing assigned tasks in a timely and efficient manner.</t>
  </si>
  <si>
    <t>Tasks effectiveness. Task effectiveness is significant because the uncertainty on product and technological novelty requires more design and development tasks to be completed on time, avoiding the increasing lead time uncertainty.</t>
  </si>
  <si>
    <t>Independence of thought and action. Independence of thought and action is the person who applies critical thinking work to develop fairness, insight into the personal and public level, humble intellect and postponing the crisis, spiritual courage, integrity, perseverance, self-confidence, and research interest.</t>
  </si>
  <si>
    <t>Creativity in approach to problem solving (personality dimensions). Creativity in problem-solving is capturing and getting inspired by external success stories.</t>
  </si>
  <si>
    <t>Scientific attitude. The scientific attitude is a willingness to change one's theory in the light of new empirical evidence critically. This attitude is a community ethos, not a psychological trait of individual scientists.</t>
  </si>
  <si>
    <t>Determination and effort. 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t>
  </si>
  <si>
    <t>Contributing to discussions. 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t>
  </si>
  <si>
    <t>Accepting criticism gracefully (personality dimension). Instill the values of good human relations and the need to work cooperatively, accept criticism gracefully, be courteous and enthusiastic, and maintain friendly relationships. It is related to personality dimensions.</t>
  </si>
  <si>
    <t>Communicate clearly with team. Communicate clearly with team members when speaking and writing. Understand the direction of the team.</t>
  </si>
  <si>
    <t>Communicate civility with team. In a team context, civility is acting with empathy, compassion, and kindness in every interaction and treating everyone connected online with dignity and respect.</t>
  </si>
  <si>
    <t>Communicate clearly with stakeholders. Communicate clearly with stakeholders when speaking and writing. Understand the direction of the stakeholders.</t>
  </si>
  <si>
    <t>Communicate civility with stakeholders. In a stakeholders context, civility is acting with empathy, compassion, and kindness in every interaction and treating everyone connected online with dignity and respect.</t>
  </si>
  <si>
    <t>Collaborative work friendly. Collaborative work friendly is the ability to function on multidisciplinary teams. In today’s multicultural world, this outcome also implies an ability to collaborate with people from different cultures, abilities, and backgrounds.</t>
  </si>
  <si>
    <t>Culture of leadership. Employees desire good error management, forms of participation, and a culture of leadership that includes support and the establishment of common mindsets, stability, and reliability of corporate values.</t>
  </si>
  <si>
    <t>Comprehension ability. 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t>
  </si>
  <si>
    <t>Assignment of roles and responsibilities. Clear assignment of roles and responsibilities. The roles and responsibilities of the team members must be clearly defined, which is vital for controlling and managing the misconceptions during the implementation of process activities.</t>
  </si>
  <si>
    <t>Transparency of Vision and goal. Vision and mission of demanded changes, knowing the scope and purpose of change management is important for the successful implementation of the requested changes.</t>
  </si>
  <si>
    <t>Team training and monitoring. Types of training: Induction Program, Training on Application Functionality, On the job Training, Trainee ramp-up. The education and support to distributed team members are essential in GSD.</t>
  </si>
  <si>
    <t>Geographically distributed CCB (change control block). Tracking, monitoring, and controlling the Requirements change management activities in the offshore software development environment. We should establish a geographically distributed CCB (change control block) to verify and determine the reasoning behind the requested changes.</t>
  </si>
  <si>
    <t>Resistance management of changing. 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t>
  </si>
  <si>
    <t>Strong team relationship. The arduous relationship among team members (global service climate). The relationships of overseas team members should be formalized to share and accommodate secret requirements and build trust.</t>
  </si>
  <si>
    <t>Skilled human resources. Skilled human resources are the type of skill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t>
  </si>
  <si>
    <t>Response/ feedback online.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t>
  </si>
  <si>
    <t>Requirement and data traceability. Traceability of data is a key issue Working in a heterogeneous data environment. Traceability can only be assessed by checking the quality and quantity of links among related data resources from different software tools.</t>
  </si>
  <si>
    <t>Process awareness.  The organizational management must provide training and certification opportunities to Requirements change management team members. It is much important to held workshops and seminars to motivate the team members to participate in process awareness.</t>
  </si>
  <si>
    <t>Formal standard and procedures. The practitioner should adopt formal standards and procedures for success. The team members should use formal processes, frameworks, and best practices. The standards and procedures guide the practitioners about what to do and how to do it.</t>
  </si>
  <si>
    <t>Change acceptability. 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t>
  </si>
  <si>
    <t>Continuous organisational support. An organizational commitment can be triggered by a combination of three conditions: desire, compulsion, and obligation to work for the focal organization. Commitment provides a foundation for employees to engage in behaviors that support the organization.</t>
  </si>
  <si>
    <t>Frequency of social events. 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t>
  </si>
  <si>
    <t>Task synchronization. 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t>
  </si>
  <si>
    <t>Software testing methods. 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t>
  </si>
  <si>
    <t>Geographical dimension. Geographical distance is the dispersion geographically between team members in remote sites. Communication risk increases whenever geographic distance increases. Therefore, this criterion is related to the geographic dimension.</t>
  </si>
  <si>
    <t>Organizational dispersion. 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t>
  </si>
  <si>
    <t>Turnover (team/staff). 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t>
  </si>
  <si>
    <t>Degree of novelty. 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t>
  </si>
  <si>
    <t>New vendor relantionship. The client‘s knowledge loss becomes a problem of knowledge transfer when the company moves from an old vendor relationship to a new vendor relationship, as the client no longer holds all the information that the new vendor critically needs to involve in services with the client.</t>
  </si>
  <si>
    <t>Updated Knowledge transfer documents. When the knowledge's codifiability is higher, the knowledge can be easily transferred to knowledge recipients, and in some cases, employees need help finding updated knowledge transfer documents in their project repository, leading to delays in project delivery.</t>
  </si>
  <si>
    <t>Knowledge Codifiability. Knowledge codifiability in an organizational project repository happens when complex knowledge is not codified in a high-level manner and is not straightforward to understand.</t>
  </si>
  <si>
    <t>Proper documentation. 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t>
  </si>
  <si>
    <t>Compatibility of data. 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t>
  </si>
  <si>
    <t>Appropriate architecture. 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t>
  </si>
  <si>
    <t>Similar programming languages. 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t>
  </si>
  <si>
    <t>Product selection and customization (off the shelf). 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t>
  </si>
  <si>
    <t>Availability of human resource. Lack of human resources, knowledge, and skills. Lack of suitable infrastructure for integration and the nonavailability of skilled human resources to solve integration issues in time hinder the integration process. This criterion is related to a human resources department issue.</t>
  </si>
  <si>
    <t>Proper component interfaces. Lack of proper component interfaces is the interface through which a component requests services or provides services. Inconsistencies between components/modules create problems during the integration stage.</t>
  </si>
  <si>
    <t>Relationship between person at different sites. Lack of employee respect issues. Has the team met or talked personally? This event grows the relationship between people at different sites, increasing the efficient outsourcing relationships in organizational management.</t>
  </si>
  <si>
    <t>Common working experience. The common work experience is the site's experience working together; or the number of hours worked together by each team, depending on the project program objective.</t>
  </si>
  <si>
    <t>Criticality of the task. Criticality is the importance of getting the task done correctly in terms of its adverse effects should problems occur, and a critical task is one where a failure impacts the life of a human.</t>
  </si>
  <si>
    <t>Complexity of the task. Complexity is a function of the number of interconnected variables in the task, and the most challenging tasks are those in which there is a constraint on decomposition into simpler subtasks.</t>
  </si>
  <si>
    <t>Degree of Task formality description. 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t>
  </si>
  <si>
    <t>Process phase (lifecycle).  The process phase (lifecycle) comprises the development, distribution, acquisition, deployment, use, maintenance, deactivation, and disposal phases.</t>
  </si>
  <si>
    <t>Degree of collaborative task coupling. Collaborative coupling, in broad terms, signifies the intensity of user-user interaction to accomplish a task. Collaborative task coupling is categorized into loosely coupled, and tightly coupled.</t>
  </si>
  <si>
    <t>Degree of Business Process maturity. If there are no stable requirements and requirement changes, this change has to be communicated. This is not easily possible if there is no maturity or no good communication infrastructure between sites.</t>
  </si>
  <si>
    <t>Product size. The product size to be developed comprise program code, an integral component of the software; architectural design size:  components, their functions, and their interactions (interfaces); and specification size like the Unified Modeling Language.</t>
  </si>
  <si>
    <t>Stable requirements. The high degree of requirements changes during the project may provoke significant delays, with a good chance of introducing errors and misunderstandings. The impact of unstable requirements is generally high for any software development project.</t>
  </si>
  <si>
    <t>Number of involved sites. In global software development, it is necessary to observe the number of involved sites that needs to collaborate on a project.</t>
  </si>
  <si>
    <t>Time pressure. Pressure on people working on the project {L37} results in developers attempting to find shortcuts and adopt different approaches to complete software development to accomplish the given deadline.</t>
  </si>
  <si>
    <t>Learning curve. Learning to work together, master the domain, and understand mutual sub-domains may take years. This fact may result in underestimating the learning curve in multi-site software development. It is a personal technical dimension.</t>
  </si>
  <si>
    <t>Integration plan. A clear integration plan is necessary to ensure efficiency and without extra complexity when finally putting the system together. Thus, integration asks for a centrally controlled approach.</t>
  </si>
  <si>
    <t>Vision for the end product. Distributed members must be aware of the rules and regulations they must observe during the project, and a shared vision for the project can align team members toward shared goals.</t>
  </si>
  <si>
    <t>Overloading of key personnel. 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t>
  </si>
  <si>
    <t>Consistent data. The software development team must know the data's status before using it in the deployment phase to make data more consistent since continuous deployment leads all importance towards the development of the process, which causes errors and inconsistency in data.</t>
  </si>
  <si>
    <t>Misspelling in data entry. The development and operation teams working together in a DevOps environment may adopt best practices to resolve data entry issues avoiding misspellings in data entry. Thus, to validate the performance of product efficiency, data must counter checked to resolve such issues.</t>
  </si>
  <si>
    <t>Missing information. 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t>
  </si>
  <si>
    <t>Data Harmonization. 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t>
  </si>
  <si>
    <t>Data visualization tools. Visualization of data it can be claimed that, without suitable visualization and understanding of large integrated data sets in a heterogeneous data environment, it is critical day by day to understand the purpose of data.</t>
  </si>
  <si>
    <t>Data aggregation. Data Aggregation is one of the critical challenges in the mining process; data searched, reported, and presented from a different source is vital to gain specific business objectives. Therefore, a consistent approach is required to present and aggregate data.</t>
  </si>
  <si>
    <t>Measuring provenance of data. Data provenance means the location of specific data and when and where that data was generated. Data comes from multiple sources, causing reliability challenges in heterogeneous data environments. Therefore, integrity and authenticity must be assessed when analyzing data.</t>
  </si>
  <si>
    <t>Storage of transition logs. Storage of transition logs while considering data validity and security, storage of transition logs is a challenge in a DevOps environment.</t>
  </si>
  <si>
    <t>Analyze Data in Real Time. Data generated in real-time, i.e., online development systems, must check data assessment while sharing data in a continuous environment of DevOps during production {L44}, and proper tools are required to maintain continuous scalability and performance measures for better release.</t>
  </si>
  <si>
    <t>New visualization techniques and their assessments. New visualization techniques and their assessments to implement or integrate new techniques with the existing system must follow all privacy guidelines suggested by developers. Thus, if appropriately implemented with whole team discussion, such tools may help reduce time and cost.</t>
  </si>
  <si>
    <t>Contract management. 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t>
  </si>
  <si>
    <t>Task updating. 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t>
  </si>
  <si>
    <t>Quality assurance procedure. Lack of detailed requirements specification documentation for global teams. Evaluating the project quality concerning the service.</t>
  </si>
  <si>
    <t>Incremental integration. 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t>
  </si>
  <si>
    <t>Regular deliveries. Agile software development brings its own set of novel challenges that must be addressed to satisfy the customer through the early and continuous delivery of valuable software.</t>
  </si>
  <si>
    <t>Use of modular approach. In Agile software project, the modularization approach segregates the code base into domain modules, identifies well-defined interfaces to these modules, and restricts the inter-module interactions through these interfaces.</t>
  </si>
  <si>
    <t>Cross-functional teams. 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t>
  </si>
  <si>
    <t>Expert area (prior experience). The prior experience measures the number of team programmers who have participated in at least one similar project. Therefore, the level of uncertainty is expected to decrease as the number of team members with relevant experience increases.</t>
  </si>
  <si>
    <t>Scrum expertise. Having previous experience in the roles, practices, processes, procedures, and artifacts in Scrum.</t>
  </si>
  <si>
    <t>Scrum hours. 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t>
  </si>
  <si>
    <t>Number os sprints. The number of sprints is short work cycles for incremental development.</t>
  </si>
  <si>
    <t>Analytical thinking (personality dimensions). Individual 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t>
  </si>
  <si>
    <t>Time management (personality dimensions). Time management planning is a practice where people plan what they intend to accomplish and when on a given day. How do people specifically engage, or how is technology involved with time management planning?</t>
  </si>
  <si>
    <t>Conflict management. Conflict management could be divided into affective and substantive conflict. Affective conflict implies emotional clashes between individuals based on selfish or personal issues. Substantive conflict involves rational differences based on the content of the ideas or issues.</t>
  </si>
  <si>
    <t>Flexibilility. Flexibility is adjusting one’s leadership style, method, or approach in response to different or changing contextual demands to facilitate group performance.</t>
  </si>
  <si>
    <t>Handling stress. 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t>
  </si>
  <si>
    <t>Problem solving. The problem-solving ability or the inability to see the problem arises due to the uncooperative motivational attitude of higher-ranking management interacting with the team members at remote sites, resulting in a lack of team cohesiveness.</t>
  </si>
  <si>
    <t>Diplomacy. 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</si>
  <si>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Interfacing with different layers of development framework. If an application has to maintain persistent data, a mechanism for allowing it is required. CRUD pattern could be used to maintain a database and manage the life cycle of creating, updating, deleting, and reading data. In addition, it is essential for modeling related entity classes.</t>
  </si>
  <si>
    <t>Code coverage concepts and tools. 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t>
  </si>
  <si>
    <t>Refactoring concepts. 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t>
  </si>
  <si>
    <t>Code-smell concepts. A code smell is a term commonly used to describe potential problems in software design.</t>
  </si>
  <si>
    <t>Religion and political individual attitudes (personality dimension). 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t>
  </si>
  <si>
    <t>Updated requirements. The requirements are timely updated owing to the evolving needs of customers, stakeholders, the organization, and the work environment. Furthermore, the updated requirements show customer satisfaction, achievement of business goals, and competence in the market.</t>
  </si>
  <si>
    <t>Change impact analysis in all sites. The impact analysis of a specific change request is important to estimate its effect on cost, time, and the quality of the system. The poor analysis of the scope of demanded changes could cause the poor estimation of time, cost, and effort that could bring the project towards failure.</t>
  </si>
  <si>
    <t>Management support. The involvement of top and lower-level management is essential to implement the Requirements change management process successfully. Besides, the participation and commitment of the management could be helpful for requirement elicitation and change management.</t>
  </si>
  <si>
    <t>Globally compete to market. Global competition becomes a form of international competition in which the position of an enterprise in one country affects its competitive position in other countries. As a result, companies compete for international leadership.</t>
  </si>
  <si>
    <t>Progress measure in distributed sites. The amount of working software produced determines progress in agile development. In addition, source code versioning, unit testing, continuous integration, and acceptance testing are technical factors that affect the software artifacts'.</t>
  </si>
  <si>
    <t>Management commitment.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t>
  </si>
  <si>
    <t>Software Process improvement - Consultancy. The consultancy in software process improvement is the capability of the consultants, based on their experience, to help small and medium Web companies adopt formal software process improvement standards while remaining aligned with the Web company’s vision.</t>
  </si>
  <si>
    <t>Process improvement evaluation. 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t>
  </si>
  <si>
    <t>Process improvement standards and procedures. Process improvement standards and procedures: a set of policies and standard procedures describing how the firm's processes will be conducted and maintained consistently.</t>
  </si>
  <si>
    <t>Site characteristics. Site characteristics, including analyst capability, programmer capability, language and tool experience, personnel continuity, and customer proximity, are variable factors in the task allocation decision.</t>
  </si>
  <si>
    <t>Task site dependency. Task‐site dependencies, including application experience and platform experience, are also considered during task allocation, and team division.</t>
  </si>
  <si>
    <t>Personal availability. Practitioners sometimes require support to have personal availability. For example, unsurprisingly, the need for a designated professional to work with user experience is a difficulty most often pointed out by respondents from start-ups that do not have user experience professionals.</t>
  </si>
  <si>
    <t>Process ownership. 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t>
  </si>
  <si>
    <t>Component dependency. Software component dependencies in a product architecture give rise to communication and coordination needs. The architectural mechanisms other than module or software component dependencies also create coordination requirements. The software component dependencies must be addressed before allocating to temporally distant sites can be taken.</t>
  </si>
  <si>
    <t>Workload. 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t>
  </si>
  <si>
    <t>Task Size. First, when creating tasks for user stories at the beginning of each iteration, limit the size of the tasks to 4 hours, 8 hours, or no more than 16 hours in length. Thus, this will ensure that the team can work more efficiently in a fully integrated way.</t>
  </si>
  <si>
    <t>Participation and support to solve issues. 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t>
  </si>
  <si>
    <t>Persistent, conscientious responsiveness information of teams. The managerial practice of persistent, conscientious responsiveness information of teams on project outcomes establishes pertinent information towards the project outcome.</t>
  </si>
  <si>
    <t>Project requirements. 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t>
  </si>
  <si>
    <t>Capacity to absorb technical and business knowledge. Absorptive capacity is the dynamic capacity that allows firms to create value and gain and sustain a competitive advantage by managing external knowledge.</t>
  </si>
  <si>
    <t>Understanding the process. 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t>
  </si>
  <si>
    <t>Mutual coordination among team members (managerial practices).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t>
  </si>
  <si>
    <t>Clear objective. In the context of service leadership, it is necessary to have a clear objective to initiate the project in the global software development environment.</t>
  </si>
  <si>
    <t>Knowledge incentive toward client business process. Knowledge-intensive business services, such as engineering, management consulting, and R&amp;D, almost exclusively transfer knowledge and skills to client organizations—the incentives to expend effort and produce innovative services.</t>
  </si>
  <si>
    <t>Pilot knowledge between teams. Pilot knowledge between teams is like a Café event, a space/place where we meet with friends to chat, visit and share our latest news and thoughts or make connections and build relationships that offer a relatively informal and sociable way to engage participants in conversations.</t>
  </si>
  <si>
    <t>Project functionality toward client’s business process. 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t>
  </si>
  <si>
    <t>Understanding over the client’s business process environment. The knowledge of client language and culture. Gathering the information and experience among teams.</t>
  </si>
  <si>
    <t>Brainstorming actions for organizations. Group thinking and decision-making are suitable tools for reducing possible errors in decision-making, improving organizations' efficiency, and utilizing scientific decision-making tools, such as Brainstorming.</t>
  </si>
  <si>
    <t>Flexibility among teams. 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</si>
  <si>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Learning of innovative technology. Learning of innovative technology is the participation, acceptance, and learning incentive of innovative technology in the global service climate.</t>
  </si>
  <si>
    <t>Component or Unit Testing prior to integration. If the distributed teams submit their developed components to the central team without proper component or unit tests, the integration phase will reveal many problems delaying the whole development process, and fixing one problem may introduce another problem.</t>
  </si>
  <si>
    <t>Advance and Uniform Development Environment and Training. 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t>
  </si>
  <si>
    <t>Continuous integration. Continuous Integration is a software practice where developers frequently integrate, at least daily.</t>
  </si>
  <si>
    <t>Interface Compatibility. 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t>
  </si>
  <si>
    <t>Configuration management. 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t>
  </si>
  <si>
    <t>Components evaluation . 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t>
  </si>
  <si>
    <t>Process, Data and Product’s Components. Typically, during the design process, the design team must identify adequate components to fulfill specific design requirements and use a standard model for process, data, and product components.</t>
  </si>
  <si>
    <t>Metrics. Automated metrics allow for to definition of code complexity metrics. Semi-automated metrics allow us to measure functional complexity, for example. Finally, manual metrics allow the frequency of use and the importance for the user.</t>
  </si>
  <si>
    <t>Specific Integration Timing. The specific integration timing in the integration phase, or the synchronizing of the various parts, is one of the most challenging phases of software projects in the GSD environment.</t>
  </si>
  <si>
    <t>Organization: resource. 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t>
  </si>
  <si>
    <t>Organization: strategies. Due to economic expansion, the sophistication of communication means, and cost pressure, it is crucial to comprehend the risks, challenges, opportunities, and good practices within this new software development scenario to construct business strategies.</t>
  </si>
  <si>
    <t>Organization: standard. Standard in an organization is a behavioral approach like style (textual, formal); the organizational and operational environment; organization condition; usage context; knowledge type; requirement purpose; organization customs; type of product; and development process.</t>
  </si>
  <si>
    <t>Organization: culture. 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t>
  </si>
  <si>
    <t>Organization: politics. Organizational Policy is mainly expressed as a particular behavior of a person, which includes intentional actions to effect specific decisions to safeguard their interests.</t>
  </si>
  <si>
    <t>Organization: practices. Organizational Practices are the behaviors and actions of employees. Hence, are the employees' daily work habits aligned with the core values of organizational culture? Practices are one of the Five Ps (purpose, philosophy, priorities, practices, and projections) of an organization.</t>
  </si>
  <si>
    <t>Organization: regulations. The regulation describes any attempt to influence a population's behavior, whether, by law, force, nudging, or surreptitious manipulation.</t>
  </si>
  <si>
    <t>Organization: environment. 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t>
  </si>
  <si>
    <t>Organization: structure. 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t>
  </si>
  <si>
    <t>Organization: size. The organizational size is defined as the number of employees at any given location, and this would include the entire corporate organization if it is in one geographical location or a division of a decentralized corporation.</t>
  </si>
  <si>
    <t>Inter-team culture (NCASN).  Inter-team culture is related to National Culture and Social Norms.</t>
  </si>
  <si>
    <t>Social facilities. Inequality manifests in the unequal provision of social amenities within the districts of the local government. The social amenities are educational, health, and market facilities, like drinking water, sanitation, electricity, housing qualities, and drainage arrangement. It is connected to geographic dimension.</t>
  </si>
  <si>
    <t>Social interaction. Social interaction is how individuals act and react concerning one another.</t>
  </si>
  <si>
    <t>Stakeholder: Client. The person paying the bill or the initial paying customer can be seen to be the project client.</t>
  </si>
  <si>
    <t>Stakeholder: Relationship. The stakeholder relationship is associated with customer feedback to improve development.</t>
  </si>
  <si>
    <t>Stakeholder engagement. 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t>
  </si>
  <si>
    <t>Stakeholder: requirements . Stakeholder Requirements, or user requirements, describe what users do with the system, such as the activities that users must be able to perform. Usually, we use narrative text, use cases, scenarios, user stories, or event-response tables to document it.</t>
  </si>
  <si>
    <t>Stakeholder Performance Domain. This domain addresses activities (identifying, analyzing, prioritizing, engaging, and monitoring)and functions associated with stakeholders.</t>
  </si>
  <si>
    <t>Stakeholder: problem domain. 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t>
  </si>
  <si>
    <t>Stakeholder Attitude. 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t>
  </si>
  <si>
    <t>Climatic condition.  Weather generally refers to day-to-day temperature and precipitation activity, whereas climate is the term for the average atmospheric conditions over more extended periods. Climate is the average weather conditions for a particular geographical location over notable years.</t>
  </si>
  <si>
    <t>Geological condition. 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t>
  </si>
  <si>
    <t>Working and workplace atmosphere. 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t>
  </si>
  <si>
    <t>Project: Characteristics. 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</si>
  <si>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Requirement estimation. 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t>
  </si>
  <si>
    <t>Collaboration, communication and coordination: inter-team, inter-site. 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t>
  </si>
  <si>
    <t>Collaboration, communication and coordination: cross-boundary. 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t>
  </si>
  <si>
    <t>Tools and technology: process selection. 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t>
  </si>
  <si>
    <t>Project management performance. Project management performance questions: extent and frequency of plan changes; frequency of emergency meetings; agreement between effort invested and effort required; participant satisfaction; customer satisfaction; the number of post-delivery product changes.</t>
  </si>
  <si>
    <t>Tools and technology: management decision. 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t>
  </si>
  <si>
    <t>Tools and technology: defect occurrence. Defect data contains knowledge about specific work conditions. A data feedback mechanism is required to prevent the reoccurrence of defects. However, most defective data are stored in unstructured ways, resulting in the fundamental problem of data utilization.</t>
  </si>
  <si>
    <t>Tools and technology: testing accuracy. 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t>
  </si>
  <si>
    <t>Knowledge assets. 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t>
  </si>
  <si>
    <t>Trust: among team members. Trust among team members is the confidence of development team members.</t>
  </si>
  <si>
    <t>Trust: cross-boundary. Trust building is a critical factor for developing cross-boundary information sharing and, in a much broader sense, is a crucial element of the social capital needed for any successful cooperation or collaboration within and across social networks.</t>
  </si>
  <si>
    <t>Trust: confidence in the company and leadership and other stakeholders.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t>
  </si>
  <si>
    <t>Team size/ structure. 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t>
  </si>
  <si>
    <t>Team cohesion. 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t>
  </si>
  <si>
    <t>Capability to adopt team members. The project manager should adopt other team members to the project, increase the project’s coordination and integration among project elements and use a consistent method to guide and control project execution.</t>
  </si>
  <si>
    <t>Team experience. The team experience evolves different project background issues arise due to the difference in working culture when developers from different countries need to work on a project that is not similar to the existing project background.</t>
  </si>
  <si>
    <t>Requirement management. Monitoring and controlling the requiremente change mangament activities at offshore sites.</t>
  </si>
  <si>
    <t>Global project management issues. 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t>
  </si>
  <si>
    <t>Face to face meeting. In general, due to the geographical dispersion among sites, limited face-to-face meetings can decrease the opportunity for informal interaction, leading to a lack of team awareness and cohesiveness. Also, misunderstanding requirements are probably due to a lack of interaction.</t>
  </si>
  <si>
    <t>User involvement. 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t>
  </si>
  <si>
    <t>Labor cost. 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t>
  </si>
  <si>
    <t>Human related problems. Companies' common human resource problems are compliance with laws and regulations, health and safety, change management, compensation management, landing top talent, retention, and monitoring productivity and performance.</t>
  </si>
  <si>
    <t>Technical Infrastructure. 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t>
  </si>
  <si>
    <t>Infrastructure. Potential differences in infrastructure across sites might lead to compatibility issues. Therefore, the GSD sites need to adopt advanced and uniform infrastructure while executing the requirement change management process.</t>
  </si>
  <si>
    <t>Effort and cost estimation for change. Software changes are inevitable due to the dynamic nature of the software development project itself. One factor influencing the effectiveness of the change acceptance decision is the accuracy of the change effort estimation.</t>
  </si>
  <si>
    <t>Productivity. 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t>
  </si>
  <si>
    <t>Project methodology (approach, mentoring). 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t>
  </si>
  <si>
    <t>Quality of build.  Build quality comprises the risk variables, requirements analysis, design, and construction. Therefore, the project manager must be diligent in formulating and adopting appropriate quality processes, procedures, tools, templates, techniques, guidelines, and standards.</t>
  </si>
  <si>
    <t>Quality of test. 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t>
  </si>
  <si>
    <t>Team rewards and recognitions. 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t>
  </si>
  <si>
    <t>Employee facilitation.  Employee facilitation includes individual initiatives, mentoring by a core team, and employee work-life balance. Also, work-life balance and the need for attractive packages for hiring.</t>
  </si>
  <si>
    <t>Alignment between architectural decisions to organization structure. 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t>
  </si>
  <si>
    <t>Project instability. Project instability manifests itself as changing team structures, responsibilities between sites, personnel changes, and roles of existing personnel.</t>
  </si>
  <si>
    <t>Software quality control. 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t>
  </si>
  <si>
    <t>Align architecture with organization arrangement. Align architecture with organization arrangement, include business goals in design, base architectural decisions on available resources, and establish quality management practices.</t>
  </si>
  <si>
    <t>knowledge management practices. 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t>
  </si>
  <si>
    <t>Communicate architectural decisions to all stakeholders. 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t>
  </si>
  <si>
    <t>Conformance to share practices. 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t>
  </si>
  <si>
    <t>Standardize architectural practices. 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t>
  </si>
  <si>
    <t>Identifyind dependencies on architectural desing decision. Identifying dependencies on architectural design decisions, insufficient decoupling, or cross-component features are challenges brought about by software complexity and difficulties defining logical entities and finding interface boundaries in architecture.</t>
  </si>
  <si>
    <t>Architectural design practices. Architectural design practices are about implementing well-defined interfaces to increase modularization and aid loose coupling. Strive for high modularity and separation of concerns. Locate dependencies within architecture.</t>
  </si>
  <si>
    <t>Architecting modeling techniques. Architecting modeling techniques use (call) graphs/matrices to depict and detect coupling. Use visualization of decisions/metrics. Use collaborative modeling. Using a variety of diagrams promotes awareness.</t>
  </si>
  <si>
    <t>Task allocation. 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t>
  </si>
  <si>
    <t>Architecturebased task allocation. 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t>
  </si>
  <si>
    <t xml:space="preserve">Compliance to processes. 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t>
  </si>
  <si>
    <t>Governance implemented. 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t>
  </si>
  <si>
    <t>Handling soft issues. Individual ability of 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t>
  </si>
  <si>
    <t>Socio-culture distance. 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t>
  </si>
  <si>
    <t>Team member's attitude. 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t>
  </si>
  <si>
    <t>Customer relationship. 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t>
  </si>
  <si>
    <t>Cost and logistics of meetings. 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t>
  </si>
  <si>
    <t>Effort to initiate contact. The effort to initiate contact is an obstacle between team members isolated by geographic distance. In addition, it may lead developers to make a minor modification to the system without contacting someone with rich knowledge about it.</t>
  </si>
  <si>
    <t>Time overlapping. Less overlapping working hours increase the possibility of using asynchrony communication, as the overlapping working hours is the only time synchrony communication is feasible.</t>
  </si>
  <si>
    <t>Communication frequency. 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t>
  </si>
  <si>
    <t>Detailed level of communication. Due to the low communication frequency among distributed teams, the risk of miscommunication and misconception increases, provoking a low detailed level of communication.</t>
  </si>
  <si>
    <t>Mutual undestanding. In interdisciplinary requirements engineering, stakeholders need to understand how other disciplines think and work (mutual understanding) and agree on the system they develop (shared understanding) to collaborate effectively.</t>
  </si>
  <si>
    <t>Domain of manager's opinion. 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t>
  </si>
  <si>
    <t>Connectivity issues. 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t>
  </si>
  <si>
    <t>Degree of infrastructure. 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t>
  </si>
  <si>
    <t>Quality of telecommunication bandwidth. 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t>
  </si>
  <si>
    <t>Lack of ICT and technological cohesion. We need technology that creates shared understanding. We need people who understand how to build bridges in divided communities to be better equipped to use technology, avoiding deficiencies in the current digital environment.</t>
  </si>
  <si>
    <t>Uniform processes. 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t>
  </si>
  <si>
    <t>Communication of customer requirements. Communication of customer requirements allows for identifying the user's requirements and relevant derivative acceptance criteria to establish priorities in the tests. Failures to meet customer requirements and expectations are often related to misunderstanding, and misconception.</t>
  </si>
  <si>
    <t>knowledge creation ability among the teams. 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t>
  </si>
  <si>
    <t>Ability to solve their professional problems (personality dimenstion). 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t>
  </si>
  <si>
    <t>Cooperation and competition within the teams’ to fulfill the goals. 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t>
  </si>
  <si>
    <t>Explicit and standard communication pattern for knowledge transfer effectiveness. 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t>
  </si>
  <si>
    <t>Specialty ability of the teams. 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t>
  </si>
  <si>
    <t>Mediating role knowledge transfer. Strong ties are effective in providing valuable knowledge. Such relationships are helpful because they tend to be trusting. The benevolence and competence-based trust mediate the link between strong ties and the receipt of helpful knowledge.</t>
  </si>
  <si>
    <t>Assessment of teams knowledge transfer effectiveness. 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t>
  </si>
  <si>
    <t>Communality. Communality refers to the personal characteristics that the trustor has in common with the trustee, like a similar goal they wish to achieve, shared language use, common identity characteristics, or shared values. It is a personal technical dimension.</t>
  </si>
  <si>
    <t>Benevolence (personality dimensions). Benevolence is the willingness to help, availability, sharing, faith in intentions, friendliness, openness, caring, and commitment. Also, it refers to the perceived level of courtesy and positive attitude a trustee displays towards the trustor. It is a personality dimension.</t>
  </si>
  <si>
    <t>Internalised norms. Internalized norms are integrity, discretion, honesty, fairness, and loyalty. This criterion refers to the intrinsic moral norms a trustee uses to guard his/her actions. The language Analysis regarding how a trustee uses the chat and walls could infer some people’s values.</t>
  </si>
  <si>
    <t>Accountability. Accountability refers to the degree to which a person is liable and accountable for his/her acts and meets another person's expectations. It includes the extent to which a person seems to be: reliable, consistent, self-confident, persistent, and responsible.</t>
  </si>
  <si>
    <t>Interpersonal relationships skills. 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t>
  </si>
  <si>
    <t>Reasoning skills. 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t>
  </si>
  <si>
    <t>Communication protocols and customs. 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t>
  </si>
  <si>
    <t>Communication skills in a second language. 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</si>
  <si>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Ability to motivate others and create trust. The ability to motivate others and create trust happens when a person can motivate and inspires; builds potential in others; creates an environment that fosters learning, collaboration, and fluid teamwork, and attracts high performers.</t>
  </si>
  <si>
    <t>Extroversion (personality dimensions). 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t>
  </si>
  <si>
    <t>Computer anxiety (personality dimensions). In terms of anxiety, individual computer anxiety is the interactions with computers, negative global attitudes, and negative cognitions or self-critical internal dialogue. It is related to personality dimensions.</t>
  </si>
  <si>
    <t>Self-control (personality dimensions). Self-control is the personal aptitude and behavior to do work. It is related to personality dimensions.</t>
  </si>
  <si>
    <t>Sensitivity (personality dimensions). Enhanced sensitivity predicts both reactivities to adverse contexts and the propensity to benefit from supportive resources from favorable environments. In other words, sensitivity is proposed to better and worse influence the impact of environmental influences.</t>
  </si>
  <si>
    <t>Emotional stability (personality dimensions). Emotional stability (i.e., calm, steady, self-confident, and secure), of the five major personality dimensions, conscientiousness, and emotional stability are the most valid predictors of performance outcomes across different occupations.</t>
  </si>
  <si>
    <t>Conscientiousness (personality dimensions). Conscientiousness describes a person’s ability to regulate impulse control to engage in goal-directed behaviors. It measures elements such as control, inhibition, and persistence of behavior.</t>
  </si>
  <si>
    <t>Charismatic leadership. 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t>
  </si>
  <si>
    <t>Age (personality dimensions). 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t>
  </si>
  <si>
    <t>Frequent information sharing. Up-to-date progress reporting, and an organized frequent meeting among distributed teams.</t>
  </si>
  <si>
    <t>Requeriments elicitation techniques. Requirements elicitation is the process of defining stakeholders’  needs and putting this information together in an understandable manner such that developers can construct a system that will address those needs.</t>
  </si>
  <si>
    <t>Client and vendor organizational management commitment. Due to change frequently occurring in requirements during the system development process, organizational management must commit to and support change management activities. Therefore, upper and lower management involvement is essential to implement the RCM process successfully.</t>
  </si>
  <si>
    <t>Financial maturity. 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t>
  </si>
  <si>
    <t>Use of English for communication. Use of English for communication. It is recommended to do some tests to see if practitioners detect some errors in conversations in English (chats, emails, or phone calls) and show that they notice communication problems when non-native languages are being used.</t>
  </si>
  <si>
    <t>Informal communication. Lack of informal communication leads to a lack of mutual understanding of project goals, misunderstanding of requirements, and mistrust between distributed teams. In addition, a lack of informal communication between team members can result in a lack of implicit knowledge.</t>
  </si>
  <si>
    <t>Experienced staff. 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t>
  </si>
  <si>
    <t>Agile training. 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t>
  </si>
  <si>
    <t>Budget constraints. The firm’s retained earnings mainly determine budget constraints, the net present value of its future investments, the quality of its management, and the liquidation value of its assets are other examples.</t>
  </si>
  <si>
    <t>Project scope. Project scope is the work that must be performed to deliver a product, service, or result with specified characteristics and functions.</t>
  </si>
  <si>
    <t>Organizational commitments. 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t>
  </si>
  <si>
    <t>Scaling tools and standards. 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t>
  </si>
  <si>
    <t>Error management culture. The error management culture refers to the organization's culture of bargaining with errors. A productive culture of error is seen as a prerequisite for a successful digital transformation, especially during the transition phase.</t>
  </si>
  <si>
    <t>Handling of data. Handling of data describes competence in the handling of data, also includes large data volumes and data security.</t>
  </si>
  <si>
    <t>Lifelong learning (personality dimensions). 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t>
  </si>
  <si>
    <t>Legislation and regulation with cloud provider. 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t>
  </si>
  <si>
    <t>Choose the right cloud service provider. 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t>
  </si>
  <si>
    <t>Reuse ability.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t>
  </si>
  <si>
    <t>Eminence Education . 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t>
  </si>
  <si>
    <t>Lack of conviction issues. 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t>
  </si>
  <si>
    <t>Gender preference and segregation. Gender segregation at work is widespread; within software engineering, the gender composition of contract workers differs significantly by occupational subspecialty. For example, women are far more prevalent in software quality assurance than in other software subspecialties.</t>
  </si>
  <si>
    <t>Work-Life Balance Issues (Women). 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t>
  </si>
  <si>
    <t>Benevolent Sexism (Women). Benevolent sexism represents the subjectively positive feelings towards gender that often bring some sexist antipathy. For example, the study of Bianca et. al. reported that participants were spoiled, never receiving harsh/direct feedback, and being included in initiatives only because they were women, not because of their skills and abilities.</t>
  </si>
  <si>
    <t>Lack of Recognition (Women). 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t>
  </si>
  <si>
    <t>Lack of Peer Parity (Women). 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t>
  </si>
  <si>
    <t>Impostor phenomenon (Women). 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t>
  </si>
  <si>
    <t>Pay inequality between genders (Women). Pay inequality between genders and inferior career growth opportunities. Men raise only their counterparts to the top layer. Lack of transparency about the laddering criteria.</t>
  </si>
  <si>
    <t>Prove-it Again (Women). 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t>
  </si>
  <si>
    <t>Maternal Wall (Women). 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t>
  </si>
  <si>
    <t>Total number of technical skills (one employee). A total number of technical skills (one employee) comprise the following capabilities information technology, business domain, project management, and sourcing managing customers or suppliers. In addition, it is a personal technical dimension related to the human resource department.</t>
  </si>
  <si>
    <t>Degree of task information. 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t>
  </si>
  <si>
    <t>Degree of personal information. The degree of personal information is a communication content element conveyed through self-disclosure terms. The ratio of self-disclosure terms to the total number of words in a message defines the degree of personal information.</t>
  </si>
  <si>
    <t>Degree of communication concreteness. Degree of communication concreteness is a manner element of communication conveyed by perceptible, precise, or specific terms. The ratio of concrete terms to the total number of words in a message defines the degree of concreteness.</t>
  </si>
  <si>
    <t>Degree of affective intensity. The degree of personal affective intensity is a manner element of communication conveyed through affective terms. The ratio of affective terms to the total number of words in a message defines the degree of affective intensity. It is related to personality dimensions.</t>
  </si>
  <si>
    <t>Limited support for reusability. 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t>
  </si>
  <si>
    <t>Lack of long-term planning. 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t>
  </si>
  <si>
    <t>Efficient utilization of time and computing resources. 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t>
  </si>
  <si>
    <t>E-waste minimization. 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t>
  </si>
  <si>
    <t>Green and sustainable management of product life cycle. A Green or Sustainable Product Life Management strategy could be defined as follows. First, Company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t>
  </si>
  <si>
    <t>Minimal reengineering. 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t>
  </si>
  <si>
    <t>Polymorphic design. 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t>
  </si>
  <si>
    <t>Team Empowerment. Team empowerment is defined as the collective belief in a group that it can be effective and its role in determining the group's effectiveness. Empowerment is the delegation of authority and decision-making responsibilities, strengthening the role of people and teams.</t>
  </si>
  <si>
    <t>Metrics to assess risk-based testing. 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t>
  </si>
  <si>
    <t>Metrics  to assess risk-based testing activities (time). Metrics to assess risk-based testing time identification allows knowing the average time taken to analyze a requirement with a certain number of lines. Assessing risk identification activity allows setting useful or meaningful risks to develop test cases.</t>
  </si>
  <si>
    <t>Training of DevOps activities. 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t>
  </si>
  <si>
    <t>CRITERIA DEFINITION</t>
  </si>
  <si>
    <t>External Reference</t>
  </si>
  <si>
    <t>CRITERIA TYPES:</t>
  </si>
  <si>
    <t>Grouping the Criteria as an Indicator</t>
  </si>
  <si>
    <t>All-Criteria Definitions</t>
  </si>
  <si>
    <r>
      <t xml:space="preserve">Final Criteria definition </t>
    </r>
    <r>
      <rPr>
        <b/>
        <sz val="14"/>
        <color theme="2" tint="-0.499984740745262"/>
        <rFont val="Times New Roman"/>
        <family val="1"/>
      </rPr>
      <t>(for NLP)</t>
    </r>
  </si>
  <si>
    <t>All-Criteria Definitions_2</t>
  </si>
  <si>
    <t>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t>
  </si>
  <si>
    <t>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t>
  </si>
  <si>
    <t>Management overhead</t>
  </si>
  <si>
    <t>Information sharing</t>
  </si>
  <si>
    <t>Reluctance to share information or propensity for non-reporting of the problems because of the fear of negative consequences.</t>
  </si>
  <si>
    <t>Staff involvement</t>
  </si>
  <si>
    <t>Process owership</t>
  </si>
  <si>
    <t>Tools and technology to facilitate knowledge transfer within the teams</t>
  </si>
  <si>
    <t>Organization infrastruture</t>
  </si>
  <si>
    <t>Quality of communication tools and network speed between sites</t>
  </si>
  <si>
    <t>High proficiency in a programming language to build codes with complex instructions</t>
  </si>
  <si>
    <t>Expertise and knowledge in the application domain</t>
  </si>
  <si>
    <t>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t>
  </si>
  <si>
    <t>Process improvement leadership</t>
  </si>
  <si>
    <t>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t>
  </si>
  <si>
    <t>Requirement traceability, change impact analysis</t>
  </si>
  <si>
    <t>Process improvement awareness</t>
  </si>
  <si>
    <t>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t>
  </si>
  <si>
    <t>Continuos validation</t>
  </si>
  <si>
    <t>Project pilot implementation</t>
  </si>
  <si>
    <t>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t>
  </si>
  <si>
    <t>Geographic distance, which determines how difficult it is to meet face to face</t>
  </si>
  <si>
    <t>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</si>
  <si>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Organization culture</t>
  </si>
  <si>
    <t>Degree of novelty of the product for involved persons</t>
  </si>
  <si>
    <t>Process improvement expertise</t>
  </si>
  <si>
    <t>Expertise</t>
  </si>
  <si>
    <t>Experience of the sites having working together</t>
  </si>
  <si>
    <t>Do failure threaten project success?</t>
  </si>
  <si>
    <t>Required documentation</t>
  </si>
  <si>
    <t>Degree of formality and fine granularity of task description.</t>
  </si>
  <si>
    <t>Requirements, coding, testing</t>
  </si>
  <si>
    <t>Proper task coupling</t>
  </si>
  <si>
    <t>Dependency and required communication between taks</t>
  </si>
  <si>
    <t>Cmmi level, can also be seen as site characteristic - in this enviroment, the sites in a project were of equal maturity</t>
  </si>
  <si>
    <t>Size of the product to be developed</t>
  </si>
  <si>
    <t>Degree of change in the requirements during the project</t>
  </si>
  <si>
    <t>Number of sites that need to collaborate</t>
  </si>
  <si>
    <t>Pressure on people working on the project</t>
  </si>
  <si>
    <t>MOHAPATRA, Prateeti; BJORNDAL, Petra; SMILEY, Karen. Causal analysis of factors governing collaboration in global software development teams. In: 2010 5th IEEE International Conference on Global Software Engineering. IEEE, 2010. p. 128-132.</t>
  </si>
  <si>
    <t>Client and vendor rely on oral agreement.</t>
  </si>
  <si>
    <t>Having previous experience in the roles, practices, process, procedures, artifacts is scrum</t>
  </si>
  <si>
    <t>RCM process measurement</t>
  </si>
  <si>
    <t>Understanding of requested changes</t>
  </si>
  <si>
    <t>Coordination of teams to achieve the project goals.</t>
  </si>
  <si>
    <t>Lack of customer's presence</t>
  </si>
  <si>
    <t>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</si>
  <si>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Is the ability to work at the highest level of effectiveness for na extended period of time. This means delivering quality products on time, within budget, while satisfying stakeholders.</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</si>
  <si>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t>
  </si>
  <si>
    <t>Tool usage, project govenance plan, knowledge transfer, metrics and continual improvement, planning for SME time</t>
  </si>
  <si>
    <t>No record of the conversation.</t>
  </si>
  <si>
    <t>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</si>
  <si>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LACK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t>
  </si>
  <si>
    <t>OLSON, Kenneth R. Engagement and self-control: Superordinate dimensions of Big Five traits. Personality and individual differences, v. 38, n. 7, p. 1689-1700, 2005.</t>
  </si>
  <si>
    <t>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t>
  </si>
  <si>
    <t>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t>
  </si>
  <si>
    <t>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t>
  </si>
  <si>
    <t>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t>
  </si>
  <si>
    <t>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t>
  </si>
  <si>
    <t>Safeguard workmates’ jobs This cultural aspect refers 
to the impact of end-users’ behaviour intended to protect 
workmates from losing their jobs during requirements 
elicitation. Hofstede et al. [39] argued that people living in low IDV culture protect themselves and their family for 
loyalty. Thanasankit and Corbitt [72] found that, in Thailand 
(low IDV culture),  end-users resisted providing complete 
or accurate requirements because they feared that they or 
their colleagues could lose their jobs. Users believed that the 
software could make them redundant. During the elicitation 
session,  end-users might spend little time on explaining the 
problem of the current system or, in the worst situation, they 
did not attend the meetings [72].</t>
  </si>
  <si>
    <t xml:space="preserve">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t>
  </si>
  <si>
    <t>Hierarchical structure This cultural aspect refers to the 
infuence of the hierarchical structure of organisations in 
approving the requirements specifcations. The social and 
cultural hierarchy among the society’s members is refected 
in the hierarchy structure of organisations [63]. In high PDI 
cultures, organisations centralised the power and privilege 
on very few people [39]. According to Thanasankit [71], 
the hierarchical structure of Thai organisations signifcantly 
hampered the progress of a project because two committees 
within diferent privileges had to approve the requirements. 
So, if requirements were not approved by the two commit_x0002_tees, practitioners would not implement them.</t>
  </si>
  <si>
    <t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t>
  </si>
  <si>
    <t>Gender preference This cultural aspect refers to the preferences of clients to deal with either female or male requirements engineers. Liu et al. [54] examined whether the Chinese clients preferred female or male engineers to elicit their requirements because it is believed in the Chi_x0002_nese culture that females are good communicators who can produce excellent work. However, in terms of RE activities, no gender preference was revealed. Instead, the RE activities were assigned based on the requirements engineers’ experi_x0002_ence and expertise. Also, Fernandez-Sanz and Misra [27] stated that there are no signifcant diferences between the performance of men and that of women during requirements analysis.</t>
  </si>
  <si>
    <t>Alsanoosy et al. (2020)</t>
  </si>
  <si>
    <t>0.5 - in doubt</t>
  </si>
  <si>
    <t>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t>
  </si>
  <si>
    <t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t>
  </si>
  <si>
    <t>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t>
  </si>
  <si>
    <t>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t>
  </si>
  <si>
    <t>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</si>
  <si>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t>
  </si>
  <si>
    <t>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t>
  </si>
  <si>
    <t>Avoid taking responsibility This cultural aspect refers to the avoidance of  end-users to take responsibility. The authors stated that, in Saudi Arabia and Thailand (high UAI cultures), subordinates avoided taking responsibility because they were afraid of making a bad decision and taking respon_x0002_sibility for the consequences of that decision [4, 72]. More_x0002_over, Liu et al. [54] urther argued that the UAI cultural 
dimension should be studied from the client’s perspective 
because the client, not the software developer, attempted 
to avoid uncertainty. Presumably, clients typically wanted 
to avoid uncertainty because they did not have expertise in 
software engineering and feared to become involved in the 
RE process.</t>
  </si>
  <si>
    <t>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 Next refer.:Communication.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 Next refer.:sf14|| Next refer.:Lack of effective and proper way of communication|| Next refer.:Explicit and standard communication pattern in GSD environment|| Next refer.:Khan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</si>
  <si>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 Next refer.:LANGUAGE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 Next refer.:Language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 Next refer.:English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 Next refer.:Knowledge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</si>
  <si>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Appoiting cultural liaisons or proxies (individuals who are familiar with the culture of client and vendor)|| Next refer.:Face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 Next refer.:Cultural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 Next refer.:Hofstede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 Next refer.:CULTURAL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 Next refer.:Inter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 Next refer.:Culture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 Next refer.:An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 Next refer.:National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 Next refer.:Cultural dispersion is the difference in a team member’s language, cultural background and national context Difference in national and cultural background and customs, religion, politics, language</t>
  </si>
  <si>
    <t>Establising proximity development center in the region having no or a little time zone difference from the region of client.|| Next refer.:Time-zone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 Next refer.:It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 Next refer.:SF2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 Next refer.:The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 Next refer.:Temporal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 Next refer.:Temporal dispersion occurs when there is a difference in working times among distributed teams members There are difference in working time among distributed team members</t>
  </si>
  <si>
    <t>Motivating the practitioners|| Next refer.:sf25|| Next refer.:A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</si>
  <si>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 Next refer.:Trust.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 Next refer.:Trust building|| Next refer.:Personal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 Next refer.:Trust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 Next refer.:Trust relationship among teams|| Next refer.:Damian89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 Next refer.:Similarly,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 Next refer.:A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 Next refer.:Trust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 Next refer.:Trust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</si>
  <si>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Collaboration among distributed teams|| Next refer.:Teamwork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 Next refer.:Client reluctant to share information</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</si>
  <si>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 Next refer.:It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 Next refer.:In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</si>
  <si>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 Next refer.:The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 Next refer.:As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 Next refer.:To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</si>
  <si>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Management overhead|| Next refer.:Similarly,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 Next refer.:The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</si>
  <si>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sf7|| Next refer.:We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 Next refer.:It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 Next refer.:Work dispersion refers to a variety of work environment, such as engineering process, management policy and control
 Difference in task and expertise distribution
 Difference in tool adoption and practices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</si>
  <si>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 Next refer.:Previous research has defined knowledge transfer as: ‘‘a process of exchange of explicit or tacit knowledge between two agents, during which one agent purposefully receives and uses the knowledge provided by another’’ [7]. IInvigorate sharing knowledge and new values with teams|| Next refer.:INSUFFICIENT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 Next refer.:Learning and sharing the work materials of employees|| Next refer.:Information sharing|| Next refer.:Effective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</si>
  <si>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 The student faces situations where s/he should distribute work between team members, with due consideration given to some features such as time-overlap, members’ profiles, or previous experience working together.|| Next refer.:Co-ordination of teams to achieve the project goals|| Next refer.:LACK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 Next refer.:Distance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 Next refer.:Team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</si>
  <si>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Lack of project transparency (coordination)|| Next refer.:SF12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 Next refer.:Due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</si>
  <si>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 Next refer.:Given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</si>
  <si>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Reluctance to share information or propensity for non-reporting of the problems because of the fear of negative consequences.|| Next refer.:A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</si>
  <si>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 Next refer.:Lack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Next refer.:Team participation and communication relationship|| Next refer.:Team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 Next refer.:Staff involvement||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</si>
  <si>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Process owership|| Next refer.:Process owership|| Next refer.:RCM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 Next refer.:A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</si>
  <si>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and technology to facilitate knowledge transfer within the teams|| Next refer.:Tools and technology: tools|| Next refer.:Organization infrastruture|| Next refer.:Where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 Next refer.:During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</si>
  <si>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 Next refer.:The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</si>
  <si>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Next refer.:Lack of collaborative tools|| Next refer.:Quality of communication tools and network speed between sites|| Next refer.:An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</si>
  <si>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High proficiency in a programming language to build codes with complex instructions|| Next refer.:Expertise and knowledge in the application domain</t>
  </si>
  <si>
    <t>Sharing the knowledge and experiences among team members|| Next refer.:Participation in helping each other, Mutual support of team members, Suggestions and contribution of teams on project outcomes</t>
  </si>
  <si>
    <t>Process improvement leadership|| Next refer.:In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</si>
  <si>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 Next refer.:SF4 Accountability|| Next refer.:Moreover,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</si>
  <si>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mission of demanded changes|| Next refer.:Goals and responsibilities of teams on business process|| Next refer.:Paasivaara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</si>
  <si>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Induction Program, Training on Application Functionality, On the job Training, Trainee ramp up|| Next refer.:The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refer.:To perform ARCM activities in a GSD environment, an F5 (Training and monitoring) environment should be developed. Thus, training sessions with senior members and independent external experts should be established. While implementing the requested requirement changes,</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</si>
  <si>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 Next refer.:While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</si>
  <si>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Lack of formal communication|| Next refer.:Building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 Next refer.:Arduous relationship among team members (global service climate)|| Next refer.:Noll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</si>
  <si>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 Next refer.:Effects of IT human capability</t>
  </si>
  <si>
    <t>It allows to see the general modification status of each requirement. RMS represents the degree of modification of a requirement by comparing the same requirement with the previous version.|| Next refer.:Requirement traceability, change impact analysis|| Next refer.:CCH6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</si>
  <si>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 Next refer.:Process improvement awareness||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</si>
  <si>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 Next refer.:The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</si>
  <si>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Continuos validation|| Next refer.:It allows to identify the change in functionality since the previous launch, the size of the function (that is, lines of code number), the complexity (this could be functional complexity or structural complexity), and the quality of the design documentation.|| Next refer.:In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 Next refer.:It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 Next refer.:Change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</si>
  <si>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Project pilot implementation|| Next refer.:In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 Next refer.:We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</si>
  <si>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Trying to find natural overlapping of working hours. Assessing the around-the-clock capability of working|| Next refer.:Geographical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 Next refer.:Geographic distance, which determines how difficult it is to meet face to face|| Next refer.:Geographical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</si>
  <si>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refer.:Organizational changes|| Next refer.:Organization culture|| Next refer.:Information misinterpretation due to repeatedly readjust to variety of methods
 Frequently readjusting to alternative methods of their business units
 Loss of tacit knowledge due to replace of onshore with offshore staff 
 Delay due to changes in staff|| Next refer.:Organizational dispersion occurs when a team consists of members from different organizations or independent organizational units. Difference in team identity. Difference in organizational objective and strategy.</t>
  </si>
  <si>
    <t>Degree of novelty of the product for involved persons|| Next refer.:One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</si>
  <si>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 Next refer.:Configuration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 Next refer.:The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</si>
  <si>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 Next refer.:The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Next refer.:The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</si>
  <si>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 Next refer.:The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</si>
  <si>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Expertise|| Next refer.:Expertise|| Next refer.:Process improvement expertise|| Next refer.:In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 Next refer.:We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 Next refer.:Superordinate competencies. This subcategory supplements describes the additional competences necessary competences to be able to be successful in the digitalized working world. Besides the classic job profiles. This includes social and technical skills</t>
  </si>
  <si>
    <t>Efficient outsourcing relationships between organizational management|| Next refer.:Have they met or talked personally? - relationship between person at different sites</t>
  </si>
  <si>
    <t>Experience and region|| Next refer.:Experience of the sites having working together</t>
  </si>
  <si>
    <t>Proper task coupling|| Next refer.:Dependency and required communication between taks</t>
  </si>
  <si>
    <t>Proper maturity|| Next refer.:Tools and technology: process maturity|| Next refer.:Cmmi level, can also be seen as site characteristic - in this enviroment, the sites in a project were of equal maturity</t>
  </si>
  <si>
    <t>It allows to see the potential security threats (PST), it is used as an indicator of the security-related risks that reside in the requirements.|| Next refer.:The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Next refer.:Degree of change in the requirements during the project</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</si>
  <si>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 Next refer.:Pressure on people working on the project</t>
  </si>
  <si>
    <t>Learning, and sharing the technical information and work materials of teams|| Next refer.:LOSS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 Next refer.:CCH9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</si>
  <si>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Client and vendor rely on oral agreement.|| Next refer.:In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</si>
  <si>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It allows to identify the technological knowledge level, available tools support, or quality assurance measures.|| Next refer.:Evaluating the project quality with respect to the service</t>
  </si>
  <si>
    <t>It allows to identify the size of the functions that could affect the number of failures in a system.|| Next refer.:Updated software requirements specification|| Next refer.:According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</si>
  <si>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 Next refer.:According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 Next refer.:The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</si>
  <si>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It allows to identify the number of planned tests, implemented and completed, the number of failures by function, the number of hours used in the tests for fault found, and the number of hours of use in the default setting (to correct the error and return the retest function).|| Next refer.:RCM process measurement</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</si>
  <si>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 Next refer.:Khan et al. [71] define management commitment as ‘‘the degree at which the higher and lower level management in an organization financially support, realize and are involved in SPI activities’’</t>
  </si>
  <si>
    <t>Team members ability to provide assistance to solving problems|| Next refer.:Personal attachment and support towards the project Team members’ ability to provide assistance in solving problems|| Next refer.:This category consists of ideas to increase the acceptance of, and commitment to, both the organization and the transformation process. This can be achieved by the employee’s participation in organizational processes- and structures</t>
  </si>
  <si>
    <t>Understanding of requested changes|| Next refer.:Clear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</si>
  <si>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It allows to identify the requirements that need complex functionalities that tend to introduce more failures during implementation.|| Next refer.: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 Next refer.:Understanding the process with respect to knowledge transfer effectiveness on project outcome</t>
  </si>
  <si>
    <t>Knowledge of client language and culture|| Next refer.:Gathering the information and experience among teams</t>
  </si>
  <si>
    <t>Tools and technology to facilitate knowledge transfer within teams.|| Next refer.:Enhancement in technology and applications for knowledge transfer</t>
  </si>
  <si>
    <t>Automated metrics It allows to define code complexity metrics. Semi-automated metrics It allows to measure the functional complexity, for example. Manual metrics It allows the frequency of use and the importance for the user.|| Next refer.:Tools and technology: quality metrics</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</si>
  <si>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 Next refer.:Lack of customer's presence</t>
  </si>
  <si>
    <t>Internal project communication|| Next refer.:Intrainformation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</si>
  <si>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Defined as the commitment of each team member to remain united in the persuit of the team's goals and to each member's affective needs|| Next refer.:Feeling of togetherness or closeness within the teams|| Next refer.:LOSS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</si>
  <si>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Gathering the information and experiences among teams.|| Next refer.:DIFFERENT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</si>
  <si>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Establisiong proper infrastructure to facilitate communication and ensuring that it works properly.|| Next refer.:TECHNICAL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 Next refer.:Tools and technology: techniques</t>
  </si>
  <si>
    <t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 Next refer.:Poor user stories and their specifications (software methodology)</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</si>
  <si>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 Next refer.:Lack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</si>
  <si>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It allows identifying the components, shared libraries, and the implementation that are part of the architecture.|| Next refer.:Include business goals in design (P6 co1 slr) Base architectural decisions on available resources (P6 co2 emp) Establish quality management practices (P6 co3 emp)</t>
  </si>
  <si>
    <t>Regularly checking and notifying the progress about mutually agreed upon artifacts.|| Next refer.:Difficulties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</si>
  <si>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 Next refer.:Allocation of core team. Allocation of whole team|| Next refer.:RCM tasks allocation across GSD sites</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</si>
  <si>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 Next refer.:Identify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</si>
  <si>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 Next refer.:Tool usage, project govenance plan, knowledge transfer, metrics and continual improvement, planning for SME time</t>
  </si>
  <si>
    <t>Adapting and understanding the culture of other stackholders means knowing about the traditions, beliefs, ethos and native language.|| Next refer.:Every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</si>
  <si>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No record of the conversation.|| Next refer.:This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</si>
  <si>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Encouraging synchronous communication in form of chatting, telephone calls, and videoconferencing.|| Next refer.:REDUCED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</si>
  <si>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Focusing on improving the communication language, for example, offering English language courses.|| Next refer.:LACK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</si>
  <si>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 Next refer.:Effective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</si>
  <si>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Barriers connected to the parties. The organization does not own or control the inflow of work. Varying level of digitalization among the parties.|| Next refer.:CONNECTIVITY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</si>
  <si>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Advanced and uniform communication infrastructure|| Next refer.:LIMITED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</si>
  <si>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Barriers connected to digital technologies. Deficiencies in the current digital environment. Increased security risk with digital technologies.|| Next refer.:LACK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</si>
  <si>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Having clearly delineated and comprehended requirements enginnering processes.|| Next refer.:LACK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</si>
  <si>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Functional point of view: It allows identifying the user's requirements and relevant derivative acceptance criteria to establish priorities in the tests.|| Next refer.:MISCOMMUNICATION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</si>
  <si>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Learning and sharing the technical information and work materials 
of teams|| Next refer.:Frequent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 Next refer.:Up-to-date progress reporting</t>
  </si>
  <si>
    <t>Represent elements of task uncertainty that have been the basis of many studies of organizational structure and process.|| Next refer.:A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</si>
  <si>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CRITERIA DEFINITION GROUP</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</si>
  <si>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</si>
  <si>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</si>
  <si>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International Multitopic Conference (INMIC). IEEE,</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</si>
  <si>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</si>
  <si>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Company_x0002_A stands at level-1. We have observed from the second case study that Company-B has implemented all
the critical challenges of the level-2 only; therefore, Company-B is at level-2 ‘‘success’’ of the proposed
assessment model.</t>
  </si>
  <si>
    <t>Decision Support Systems</t>
  </si>
  <si>
    <t xml:space="preserve">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after_x0002_worker quality estimation, meaning that workers need to complete all tasks after which point their quality can be 
estimated; and one-off quality estimation method which estimates workers' quality only at the start of micro_x0002_tasking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esti_x0002_mate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 </t>
  </si>
  <si>
    <t>The software organizations widely consider the cloud based global software develop_x0002_ment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</si>
</sst>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0000%"/>
  </numFmts>
  <fonts count="80"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name val="Arial Nova"/>
      <family val="2"/>
    </font>
    <font>
      <sz val="10"/>
      <color theme="0" tint="-0.499984740745262"/>
      <name val="Arial Nova"/>
      <family val="2"/>
    </font>
    <font>
      <sz val="11"/>
      <color theme="0" tint="-0.499984740745262"/>
      <name val="Arial Nova"/>
      <family val="2"/>
    </font>
    <font>
      <sz val="6"/>
      <color theme="0" tint="-0.499984740745262"/>
      <name val="Arial Narrow"/>
      <family val="2"/>
    </font>
    <font>
      <sz val="10"/>
      <color theme="1"/>
      <name val="Arial Nova"/>
      <family val="2"/>
    </font>
    <font>
      <b/>
      <sz val="11"/>
      <color theme="1"/>
      <name val="Arial Nova"/>
      <family val="2"/>
    </font>
    <font>
      <u/>
      <sz val="11"/>
      <color theme="10"/>
      <name val="Arial Nova"/>
      <family val="2"/>
    </font>
    <font>
      <sz val="11"/>
      <color rgb="FF7030A0"/>
      <name val="Arial Nova"/>
      <family val="2"/>
    </font>
    <font>
      <b/>
      <sz val="10"/>
      <color theme="1"/>
      <name val="Arial Nova"/>
      <family val="2"/>
    </font>
    <font>
      <sz val="10"/>
      <name val="Arial"/>
      <family val="2"/>
    </font>
    <font>
      <b/>
      <sz val="11"/>
      <color rgb="FFFA7D00"/>
      <name val="Arial Nova"/>
      <family val="2"/>
    </font>
    <font>
      <b/>
      <sz val="11"/>
      <color theme="6" tint="-0.499984740745262"/>
      <name val="Arial Nova"/>
      <family val="2"/>
    </font>
    <font>
      <sz val="11"/>
      <color rgb="FF9C5700"/>
      <name val="Arial Nova"/>
      <family val="2"/>
    </font>
    <font>
      <b/>
      <sz val="11"/>
      <color rgb="FF00B050"/>
      <name val="Arial Nova"/>
      <family val="2"/>
    </font>
    <font>
      <sz val="8"/>
      <name val="Calibri"/>
      <family val="2"/>
      <scheme val="minor"/>
    </font>
    <font>
      <sz val="11"/>
      <color rgb="FF9C0006"/>
      <name val="Calibri"/>
      <family val="2"/>
      <scheme val="minor"/>
    </font>
    <font>
      <sz val="10"/>
      <color theme="6" tint="-0.499984740745262"/>
      <name val="Arial"/>
      <family val="2"/>
    </font>
    <font>
      <sz val="11"/>
      <color theme="6" tint="-0.499984740745262"/>
      <name val="Arial Nova"/>
      <family val="2"/>
    </font>
    <font>
      <sz val="11"/>
      <color theme="6" tint="-0.499984740745262"/>
      <name val="Calibri"/>
      <family val="2"/>
      <scheme val="minor"/>
    </font>
    <font>
      <u/>
      <sz val="11"/>
      <color theme="10"/>
      <name val="Calibri"/>
      <family val="2"/>
      <scheme val="minor"/>
    </font>
    <font>
      <sz val="8"/>
      <color rgb="FF222222"/>
      <name val="Arial"/>
      <family val="2"/>
    </font>
    <font>
      <b/>
      <sz val="8"/>
      <color rgb="FF222222"/>
      <name val="Arial"/>
      <family val="2"/>
    </font>
    <font>
      <sz val="11"/>
      <color rgb="FFFF0000"/>
      <name val="Arial Nova"/>
      <family val="2"/>
    </font>
    <font>
      <b/>
      <sz val="11"/>
      <color rgb="FF7030A0"/>
      <name val="Arial Nova"/>
      <family val="2"/>
    </font>
    <font>
      <sz val="8"/>
      <color theme="1"/>
      <name val="Arial Nova"/>
      <family val="2"/>
    </font>
    <font>
      <b/>
      <sz val="11"/>
      <color theme="0"/>
      <name val="Arial Nova"/>
      <family val="2"/>
    </font>
    <font>
      <sz val="8"/>
      <color theme="9" tint="-0.249977111117893"/>
      <name val="Arial Nova"/>
      <family val="2"/>
    </font>
    <font>
      <b/>
      <sz val="8"/>
      <color theme="9" tint="-0.249977111117893"/>
      <name val="Arial Nova"/>
      <family val="2"/>
    </font>
    <font>
      <sz val="11"/>
      <color theme="9" tint="-0.249977111117893"/>
      <name val="Arial Nova"/>
      <family val="2"/>
    </font>
    <font>
      <sz val="5"/>
      <color theme="9" tint="-0.249977111117893"/>
      <name val="Arial Nova"/>
      <family val="2"/>
    </font>
    <font>
      <sz val="6"/>
      <color theme="9" tint="-0.249977111117893"/>
      <name val="Arial Nova"/>
      <family val="2"/>
    </font>
    <font>
      <b/>
      <sz val="6"/>
      <color theme="9" tint="-0.249977111117893"/>
      <name val="Arial Nova"/>
      <family val="2"/>
    </font>
    <font>
      <sz val="8"/>
      <color theme="9" tint="-0.249977111117893"/>
      <name val="Arial"/>
      <family val="2"/>
    </font>
    <font>
      <b/>
      <sz val="8"/>
      <color theme="9" tint="-0.249977111117893"/>
      <name val="Arial"/>
      <family val="2"/>
    </font>
    <font>
      <sz val="5"/>
      <color theme="9" tint="-0.249977111117893"/>
      <name val="Arial"/>
      <family val="2"/>
    </font>
    <font>
      <b/>
      <sz val="5"/>
      <color rgb="FFFF0000"/>
      <name val="Arial Nova"/>
      <family val="2"/>
    </font>
    <font>
      <sz val="5"/>
      <color theme="1"/>
      <name val="Arial Nova"/>
      <family val="2"/>
    </font>
    <font>
      <sz val="8"/>
      <color rgb="FFC00000"/>
      <name val="Arial"/>
      <family val="2"/>
    </font>
    <font>
      <sz val="5"/>
      <color rgb="FFC00000"/>
      <name val="Arial Nova"/>
      <family val="2"/>
    </font>
    <font>
      <sz val="8"/>
      <color rgb="FFC00000"/>
      <name val="Arial Nova"/>
      <family val="2"/>
    </font>
    <font>
      <sz val="11"/>
      <color rgb="FFC00000"/>
      <name val="Arial Nova"/>
      <family val="2"/>
    </font>
    <font>
      <i/>
      <sz val="8"/>
      <color rgb="FF222222"/>
      <name val="Arial"/>
      <family val="2"/>
    </font>
    <font>
      <sz val="6"/>
      <color theme="1"/>
      <name val="Arial Nova"/>
      <family val="2"/>
    </font>
    <font>
      <sz val="12"/>
      <color theme="1"/>
      <name val="Times New Roman"/>
      <family val="1"/>
    </font>
    <font>
      <sz val="10"/>
      <color theme="1"/>
      <name val="Times New Roman"/>
      <family val="1"/>
    </font>
    <font>
      <b/>
      <sz val="4"/>
      <color theme="1"/>
      <name val="Arial Nova"/>
      <family val="2"/>
    </font>
    <font>
      <sz val="4"/>
      <color theme="1"/>
      <name val="Arial Nova"/>
      <family val="2"/>
    </font>
    <font>
      <sz val="11"/>
      <name val="Calibri"/>
      <family val="2"/>
      <scheme val="minor"/>
    </font>
    <font>
      <b/>
      <sz val="11"/>
      <color theme="0"/>
      <name val="Calibri"/>
      <family val="2"/>
      <scheme val="minor"/>
    </font>
    <font>
      <sz val="11"/>
      <color theme="0"/>
      <name val="Calibri"/>
      <family val="2"/>
      <scheme val="minor"/>
    </font>
    <font>
      <sz val="8"/>
      <color theme="4" tint="-0.249977111117893"/>
      <name val="Arial Nova"/>
      <family val="2"/>
    </font>
    <font>
      <b/>
      <sz val="8"/>
      <color theme="4" tint="-0.249977111117893"/>
      <name val="Arial Nova"/>
      <family val="2"/>
    </font>
    <font>
      <sz val="11"/>
      <color theme="4" tint="-0.249977111117893"/>
      <name val="Arial Nova"/>
      <family val="2"/>
    </font>
    <font>
      <sz val="5"/>
      <color theme="4" tint="-0.249977111117893"/>
      <name val="Arial Nova"/>
      <family val="2"/>
    </font>
    <font>
      <sz val="8"/>
      <color theme="4" tint="-0.249977111117893"/>
      <name val="Arial"/>
      <family val="2"/>
    </font>
    <font>
      <b/>
      <sz val="8"/>
      <color theme="4" tint="-0.249977111117893"/>
      <name val="Arial"/>
      <family val="2"/>
    </font>
    <font>
      <sz val="5"/>
      <color theme="4" tint="-0.249977111117893"/>
      <name val="Arial"/>
      <family val="2"/>
    </font>
    <font>
      <sz val="8"/>
      <color theme="5" tint="-0.249977111117893"/>
      <name val="Arial"/>
      <family val="2"/>
    </font>
    <font>
      <b/>
      <sz val="8"/>
      <color theme="5" tint="-0.249977111117893"/>
      <name val="Arial"/>
      <family val="2"/>
    </font>
    <font>
      <sz val="11"/>
      <color theme="8" tint="-0.249977111117893"/>
      <name val="Arial Nova"/>
      <family val="2"/>
    </font>
    <font>
      <sz val="9"/>
      <color rgb="FF000000"/>
      <name val="Times New Roman"/>
      <family val="1"/>
    </font>
    <font>
      <b/>
      <sz val="10"/>
      <color rgb="FF000000"/>
      <name val="Times New Roman"/>
      <family val="1"/>
    </font>
    <font>
      <sz val="9"/>
      <color theme="1"/>
      <name val="Times New Roman"/>
      <family val="1"/>
    </font>
    <font>
      <b/>
      <sz val="11"/>
      <color rgb="FF000000"/>
      <name val="Times New Roman"/>
      <family val="1"/>
    </font>
    <font>
      <b/>
      <sz val="11"/>
      <color rgb="FF00B050"/>
      <name val="Times New Roman"/>
      <family val="1"/>
    </font>
    <font>
      <sz val="11"/>
      <color theme="1"/>
      <name val="Times New Roman"/>
      <family val="1"/>
    </font>
    <font>
      <sz val="11"/>
      <color rgb="FF000000"/>
      <name val="Times New Roman"/>
      <family val="1"/>
    </font>
    <font>
      <sz val="6"/>
      <color rgb="FF000000"/>
      <name val="Times New Roman"/>
      <family val="1"/>
    </font>
    <font>
      <b/>
      <sz val="6"/>
      <color rgb="FF000000"/>
      <name val="Times New Roman"/>
      <family val="1"/>
    </font>
    <font>
      <b/>
      <sz val="11"/>
      <name val="Times New Roman"/>
      <family val="1"/>
    </font>
    <font>
      <u/>
      <sz val="11"/>
      <color theme="10"/>
      <name val="Times New Roman"/>
      <family val="1"/>
    </font>
    <font>
      <b/>
      <sz val="8"/>
      <color rgb="FF222222"/>
      <name val="Times New Roman"/>
      <family val="1"/>
    </font>
    <font>
      <sz val="8"/>
      <color rgb="FF222222"/>
      <name val="Times New Roman"/>
      <family val="1"/>
    </font>
    <font>
      <b/>
      <sz val="14"/>
      <color rgb="FF000000"/>
      <name val="Times New Roman"/>
      <family val="1"/>
    </font>
    <font>
      <b/>
      <sz val="14"/>
      <color theme="2" tint="-0.499984740745262"/>
      <name val="Times New Roman"/>
      <family val="1"/>
    </font>
    <font>
      <sz val="6"/>
      <name val="Times New Roman"/>
      <family val="1"/>
    </font>
  </fonts>
  <fills count="20">
    <fill>
      <patternFill patternType="none"/>
    </fill>
    <fill>
      <patternFill patternType="gray125"/>
    </fill>
    <fill>
      <patternFill patternType="solid">
        <fgColor rgb="FFFFEB9C"/>
      </patternFill>
    </fill>
    <fill>
      <patternFill patternType="solid">
        <fgColor rgb="FFF2F2F2"/>
      </patternFill>
    </fill>
    <fill>
      <patternFill patternType="solid">
        <fgColor theme="7" tint="0.79998168889431442"/>
        <bgColor theme="7" tint="0.79998168889431442"/>
      </patternFill>
    </fill>
    <fill>
      <patternFill patternType="solid">
        <fgColor rgb="FFFFFF00"/>
        <bgColor indexed="64"/>
      </patternFill>
    </fill>
    <fill>
      <patternFill patternType="solid">
        <fgColor rgb="FFDDEBF7"/>
        <bgColor rgb="FFDDEBF7"/>
      </patternFill>
    </fill>
    <fill>
      <patternFill patternType="solid">
        <fgColor rgb="FFFFF2CC"/>
        <bgColor rgb="FFFFF2CC"/>
      </patternFill>
    </fill>
    <fill>
      <patternFill patternType="solid">
        <fgColor rgb="FFECECEC"/>
        <bgColor rgb="FFECECEC"/>
      </patternFill>
    </fill>
    <fill>
      <patternFill patternType="solid">
        <fgColor rgb="FFE2EFDA"/>
        <bgColor rgb="FFE2EFDA"/>
      </patternFill>
    </fill>
    <fill>
      <patternFill patternType="solid">
        <fgColor rgb="FFFFC7CE"/>
      </patternFill>
    </fill>
    <fill>
      <patternFill patternType="solid">
        <fgColor rgb="FFA5A5A5"/>
      </patternFill>
    </fill>
    <fill>
      <patternFill patternType="solid">
        <fgColor theme="6" tint="0.79998168889431442"/>
        <bgColor theme="6" tint="0.79998168889431442"/>
      </patternFill>
    </fill>
    <fill>
      <patternFill patternType="solid">
        <fgColor rgb="FFD5DCF4"/>
        <bgColor indexed="64"/>
      </patternFill>
    </fill>
    <fill>
      <patternFill patternType="solid">
        <fgColor rgb="FF6073B2"/>
        <bgColor indexed="64"/>
      </patternFill>
    </fill>
    <fill>
      <patternFill patternType="solid">
        <fgColor theme="7" tint="0.79998168889431442"/>
        <bgColor rgb="FFECECE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patternFill>
    </fill>
    <fill>
      <patternFill patternType="solid">
        <fgColor theme="0" tint="-0.14999847407452621"/>
        <bgColor indexed="64"/>
      </patternFill>
    </fill>
  </fills>
  <borders count="93">
    <border>
      <left/>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style="double">
        <color indexed="64"/>
      </left>
      <right/>
      <top/>
      <bottom/>
      <diagonal/>
    </border>
    <border>
      <left/>
      <right style="thin">
        <color indexed="64"/>
      </right>
      <top/>
      <bottom/>
      <diagonal/>
    </border>
    <border>
      <left/>
      <right style="double">
        <color indexed="64"/>
      </right>
      <top/>
      <bottom/>
      <diagonal/>
    </border>
    <border>
      <left style="thin">
        <color theme="7"/>
      </left>
      <right/>
      <top style="thin">
        <color theme="7"/>
      </top>
      <bottom/>
      <diagonal/>
    </border>
    <border>
      <left style="thin">
        <color theme="7"/>
      </left>
      <right/>
      <top style="medium">
        <color theme="7"/>
      </top>
      <bottom/>
      <diagonal/>
    </border>
    <border>
      <left style="thin">
        <color theme="7"/>
      </left>
      <right/>
      <top style="thin">
        <color theme="7"/>
      </top>
      <bottom style="thin">
        <color theme="7"/>
      </bottom>
      <diagonal/>
    </border>
    <border>
      <left style="thin">
        <color theme="7"/>
      </left>
      <right/>
      <top/>
      <bottom/>
      <diagonal/>
    </border>
    <border>
      <left style="thin">
        <color theme="6"/>
      </left>
      <right style="thin">
        <color theme="6"/>
      </right>
      <top style="thin">
        <color theme="6"/>
      </top>
      <bottom style="medium">
        <color theme="6"/>
      </bottom>
      <diagonal/>
    </border>
    <border>
      <left style="medium">
        <color indexed="64"/>
      </left>
      <right/>
      <top style="medium">
        <color indexed="64"/>
      </top>
      <bottom style="medium">
        <color indexed="64"/>
      </bottom>
      <diagonal/>
    </border>
    <border>
      <left style="thin">
        <color rgb="FF7F7F7F"/>
      </left>
      <right/>
      <top style="thin">
        <color rgb="FF7F7F7F"/>
      </top>
      <bottom style="thin">
        <color rgb="FF7F7F7F"/>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rgb="FF000000"/>
      </left>
      <right/>
      <top style="thin">
        <color rgb="FF000000"/>
      </top>
      <bottom style="thin">
        <color rgb="FF000000"/>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style="medium">
        <color indexed="64"/>
      </left>
      <right style="thin">
        <color rgb="FF7F7F7F"/>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7"/>
      </left>
      <right style="thin">
        <color theme="6"/>
      </right>
      <top style="thin">
        <color theme="7"/>
      </top>
      <bottom style="medium">
        <color theme="6"/>
      </bottom>
      <diagonal/>
    </border>
    <border>
      <left style="thin">
        <color theme="6"/>
      </left>
      <right style="thin">
        <color theme="6"/>
      </right>
      <top style="thin">
        <color theme="6"/>
      </top>
      <bottom style="thin">
        <color theme="6"/>
      </bottom>
      <diagonal/>
    </border>
    <border>
      <left style="thin">
        <color theme="7"/>
      </left>
      <right style="thin">
        <color theme="6"/>
      </right>
      <top style="thin">
        <color theme="6"/>
      </top>
      <bottom style="thin">
        <color theme="6"/>
      </bottom>
      <diagonal/>
    </border>
    <border>
      <left style="thin">
        <color theme="7"/>
      </left>
      <right style="thin">
        <color theme="6"/>
      </right>
      <top style="thin">
        <color theme="7"/>
      </top>
      <bottom style="thin">
        <color theme="6"/>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14996795556505021"/>
      </right>
      <top style="medium">
        <color theme="0" tint="-0.24994659260841701"/>
      </top>
      <bottom style="thin">
        <color theme="0" tint="-0.14996795556505021"/>
      </bottom>
      <diagonal/>
    </border>
    <border>
      <left style="thin">
        <color theme="0" tint="-0.14996795556505021"/>
      </left>
      <right style="thin">
        <color theme="0" tint="-0.14996795556505021"/>
      </right>
      <top style="medium">
        <color theme="0" tint="-0.24994659260841701"/>
      </top>
      <bottom style="thin">
        <color theme="0" tint="-0.14996795556505021"/>
      </bottom>
      <diagonal/>
    </border>
    <border>
      <left style="thin">
        <color theme="0" tint="-0.14996795556505021"/>
      </left>
      <right/>
      <top style="medium">
        <color theme="0" tint="-0.24994659260841701"/>
      </top>
      <bottom style="thin">
        <color theme="0" tint="-0.14996795556505021"/>
      </bottom>
      <diagonal/>
    </border>
    <border>
      <left/>
      <right style="thin">
        <color theme="0" tint="-0.14996795556505021"/>
      </right>
      <top style="thin">
        <color theme="0" tint="-0.14996795556505021"/>
      </top>
      <bottom style="medium">
        <color theme="0" tint="-0.24994659260841701"/>
      </bottom>
      <diagonal/>
    </border>
    <border>
      <left style="thin">
        <color theme="0" tint="-0.14996795556505021"/>
      </left>
      <right style="thin">
        <color theme="0" tint="-0.14996795556505021"/>
      </right>
      <top style="thin">
        <color theme="0" tint="-0.14996795556505021"/>
      </top>
      <bottom style="medium">
        <color theme="0" tint="-0.24994659260841701"/>
      </bottom>
      <diagonal/>
    </border>
    <border>
      <left style="thin">
        <color theme="0" tint="-0.14996795556505021"/>
      </left>
      <right/>
      <top style="thin">
        <color theme="0" tint="-0.14996795556505021"/>
      </top>
      <bottom style="medium">
        <color theme="0" tint="-0.24994659260841701"/>
      </bottom>
      <diagonal/>
    </border>
    <border>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top style="thin">
        <color theme="0" tint="-0.24994659260841701"/>
      </top>
      <bottom style="medium">
        <color theme="0" tint="-0.24994659260841701"/>
      </bottom>
      <diagonal/>
    </border>
    <border>
      <left style="thin">
        <color theme="0" tint="-0.24994659260841701"/>
      </left>
      <right style="thin">
        <color theme="0" tint="-0.249977111117893"/>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indexed="64"/>
      </left>
      <right/>
      <top style="thin">
        <color indexed="64"/>
      </top>
      <bottom style="thin">
        <color indexed="64"/>
      </bottom>
      <diagonal/>
    </border>
    <border>
      <left style="thin">
        <color theme="0"/>
      </left>
      <right style="thin">
        <color theme="0"/>
      </right>
      <top style="thin">
        <color theme="0"/>
      </top>
      <bottom style="thin">
        <color theme="0"/>
      </bottom>
      <diagonal/>
    </border>
    <border>
      <left/>
      <right style="hair">
        <color theme="0"/>
      </right>
      <top style="hair">
        <color theme="0"/>
      </top>
      <bottom style="hair">
        <color theme="0"/>
      </bottom>
      <diagonal/>
    </border>
    <border>
      <left style="thin">
        <color theme="0"/>
      </left>
      <right style="thin">
        <color theme="0"/>
      </right>
      <top style="thin">
        <color theme="0"/>
      </top>
      <bottom style="thin">
        <color indexed="64"/>
      </bottom>
      <diagonal/>
    </border>
    <border>
      <left/>
      <right style="hair">
        <color theme="0"/>
      </right>
      <top style="hair">
        <color theme="0"/>
      </top>
      <bottom style="thin">
        <color indexed="64"/>
      </bottom>
      <diagonal/>
    </border>
    <border>
      <left style="hair">
        <color theme="0"/>
      </left>
      <right style="hair">
        <color theme="0"/>
      </right>
      <top style="hair">
        <color theme="0"/>
      </top>
      <bottom style="hair">
        <color theme="0"/>
      </bottom>
      <diagonal/>
    </border>
    <border>
      <left style="thin">
        <color indexed="64"/>
      </left>
      <right/>
      <top style="thin">
        <color indexed="64"/>
      </top>
      <bottom/>
      <diagonal/>
    </border>
    <border>
      <left style="thin">
        <color theme="0"/>
      </left>
      <right style="thin">
        <color theme="0"/>
      </right>
      <top style="thin">
        <color theme="0"/>
      </top>
      <bottom/>
      <diagonal/>
    </border>
    <border>
      <left/>
      <right style="hair">
        <color theme="0"/>
      </right>
      <top style="hair">
        <color theme="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bottom style="thin">
        <color rgb="FFFFFFFF"/>
      </bottom>
      <diagonal/>
    </border>
    <border>
      <left/>
      <right/>
      <top style="thin">
        <color rgb="FFFFFFFF"/>
      </top>
      <bottom/>
      <diagonal/>
    </border>
    <border>
      <left style="double">
        <color rgb="FF000000"/>
      </left>
      <right/>
      <top style="thin">
        <color rgb="FF000000"/>
      </top>
      <bottom/>
      <diagonal/>
    </border>
    <border>
      <left/>
      <right style="double">
        <color rgb="FF000000"/>
      </right>
      <top style="thin">
        <color rgb="FF000000"/>
      </top>
      <bottom/>
      <diagonal/>
    </border>
    <border>
      <left style="double">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double">
        <color rgb="FF000000"/>
      </left>
      <right style="thin">
        <color rgb="FFFFFFFF"/>
      </right>
      <top/>
      <bottom style="thin">
        <color rgb="FFFFFFFF"/>
      </bottom>
      <diagonal/>
    </border>
    <border>
      <left/>
      <right style="double">
        <color rgb="FF000000"/>
      </right>
      <top/>
      <bottom style="thin">
        <color rgb="FFFFFFFF"/>
      </bottom>
      <diagonal/>
    </border>
    <border>
      <left style="thin">
        <color rgb="FFFFFFFF"/>
      </left>
      <right/>
      <top/>
      <bottom style="thin">
        <color rgb="FFFFFFFF"/>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indexed="64"/>
      </bottom>
      <diagonal/>
    </border>
    <border>
      <left/>
      <right style="thin">
        <color rgb="FFFFFFFF"/>
      </right>
      <top style="thin">
        <color rgb="FFFFFFFF"/>
      </top>
      <bottom style="thin">
        <color indexed="64"/>
      </bottom>
      <diagonal/>
    </border>
    <border>
      <left/>
      <right/>
      <top style="thin">
        <color rgb="FFFFFFFF"/>
      </top>
      <bottom style="thin">
        <color indexed="64"/>
      </bottom>
      <diagonal/>
    </border>
    <border>
      <left style="double">
        <color rgb="FF000000"/>
      </left>
      <right style="thin">
        <color rgb="FFFFFFFF"/>
      </right>
      <top/>
      <bottom style="thin">
        <color indexed="64"/>
      </bottom>
      <diagonal/>
    </border>
    <border>
      <left/>
      <right style="thin">
        <color rgb="FFFFFFFF"/>
      </right>
      <top/>
      <bottom style="thin">
        <color indexed="64"/>
      </bottom>
      <diagonal/>
    </border>
    <border>
      <left/>
      <right style="double">
        <color rgb="FF000000"/>
      </right>
      <top/>
      <bottom style="thin">
        <color indexed="64"/>
      </bottom>
      <diagonal/>
    </border>
    <border>
      <left style="thin">
        <color rgb="FFFFFFFF"/>
      </left>
      <right/>
      <top style="thin">
        <color rgb="FFFFFFFF"/>
      </top>
      <bottom style="thin">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hair">
        <color theme="0" tint="-0.14996795556505021"/>
      </right>
      <top style="hair">
        <color theme="0" tint="-0.14996795556505021"/>
      </top>
      <bottom style="hair">
        <color theme="0" tint="-0.14996795556505021"/>
      </bottom>
      <diagonal/>
    </border>
    <border>
      <left style="thin">
        <color rgb="FFFFFFFF"/>
      </left>
      <right style="double">
        <color rgb="FF000000"/>
      </right>
      <top/>
      <bottom style="thin">
        <color rgb="FFFFFFFF"/>
      </bottom>
      <diagonal/>
    </border>
    <border>
      <left style="thin">
        <color rgb="FFFFFFFF"/>
      </left>
      <right style="double">
        <color rgb="FF000000"/>
      </right>
      <top style="thin">
        <color rgb="FFFFFFFF"/>
      </top>
      <bottom style="thin">
        <color rgb="FFFFFFFF"/>
      </bottom>
      <diagonal/>
    </border>
    <border>
      <left style="thin">
        <color rgb="FFFFFFFF"/>
      </left>
      <right style="double">
        <color rgb="FF000000"/>
      </right>
      <top style="thin">
        <color rgb="FFFFFFFF"/>
      </top>
      <bottom style="thin">
        <color indexed="64"/>
      </bottom>
      <diagonal/>
    </border>
    <border>
      <left/>
      <right style="hair">
        <color theme="2"/>
      </right>
      <top style="thin">
        <color rgb="FF000000"/>
      </top>
      <bottom style="hair">
        <color theme="2"/>
      </bottom>
      <diagonal/>
    </border>
    <border>
      <left style="hair">
        <color theme="2"/>
      </left>
      <right style="thin">
        <color rgb="FFFFFFFF"/>
      </right>
      <top style="thin">
        <color rgb="FF000000"/>
      </top>
      <bottom style="hair">
        <color theme="2"/>
      </bottom>
      <diagonal/>
    </border>
    <border>
      <left/>
      <right style="hair">
        <color theme="2"/>
      </right>
      <top style="hair">
        <color theme="2"/>
      </top>
      <bottom style="hair">
        <color theme="2"/>
      </bottom>
      <diagonal/>
    </border>
    <border>
      <left style="hair">
        <color theme="2"/>
      </left>
      <right style="thin">
        <color rgb="FFFFFFFF"/>
      </right>
      <top style="hair">
        <color theme="2"/>
      </top>
      <bottom style="hair">
        <color theme="2"/>
      </bottom>
      <diagonal/>
    </border>
    <border>
      <left/>
      <right style="hair">
        <color theme="2"/>
      </right>
      <top style="hair">
        <color theme="2"/>
      </top>
      <bottom style="thin">
        <color indexed="64"/>
      </bottom>
      <diagonal/>
    </border>
    <border>
      <left style="hair">
        <color theme="2"/>
      </left>
      <right style="thin">
        <color rgb="FFFFFFFF"/>
      </right>
      <top style="hair">
        <color theme="2"/>
      </top>
      <bottom style="thin">
        <color indexed="64"/>
      </bottom>
      <diagonal/>
    </border>
  </borders>
  <cellStyleXfs count="14">
    <xf numFmtId="0" fontId="0" fillId="0" borderId="0"/>
    <xf numFmtId="0" fontId="4" fillId="0" borderId="0"/>
    <xf numFmtId="0" fontId="10" fillId="0" borderId="0" applyNumberFormat="0" applyFill="0" applyBorder="0" applyAlignment="0" applyProtection="0"/>
    <xf numFmtId="9" fontId="4" fillId="0" borderId="0" applyFont="0" applyFill="0" applyBorder="0" applyAlignment="0" applyProtection="0"/>
    <xf numFmtId="0" fontId="1" fillId="0" borderId="0"/>
    <xf numFmtId="0" fontId="13" fillId="0" borderId="0"/>
    <xf numFmtId="0" fontId="14" fillId="3" borderId="1" applyNumberFormat="0" applyAlignment="0" applyProtection="0"/>
    <xf numFmtId="0" fontId="16" fillId="2" borderId="0" applyNumberFormat="0" applyBorder="0" applyAlignment="0" applyProtection="0"/>
    <xf numFmtId="0" fontId="19" fillId="10" borderId="0" applyNumberFormat="0" applyBorder="0" applyAlignment="0" applyProtection="0"/>
    <xf numFmtId="0" fontId="23" fillId="0" borderId="0" applyNumberFormat="0" applyFill="0" applyBorder="0" applyAlignment="0" applyProtection="0"/>
    <xf numFmtId="9" fontId="1" fillId="0" borderId="0" applyFont="0" applyFill="0" applyBorder="0" applyAlignment="0" applyProtection="0"/>
    <xf numFmtId="0" fontId="29" fillId="11" borderId="28" applyNumberFormat="0" applyAlignment="0" applyProtection="0"/>
    <xf numFmtId="0" fontId="53" fillId="18" borderId="0" applyNumberFormat="0" applyBorder="0" applyAlignment="0" applyProtection="0"/>
    <xf numFmtId="43" fontId="1" fillId="0" borderId="0" applyFont="0" applyFill="0" applyBorder="0" applyAlignment="0" applyProtection="0"/>
  </cellStyleXfs>
  <cellXfs count="336">
    <xf numFmtId="0" fontId="0" fillId="0" borderId="0" xfId="0"/>
    <xf numFmtId="0" fontId="5" fillId="0" borderId="0" xfId="1" applyFont="1"/>
    <xf numFmtId="0" fontId="6" fillId="0" borderId="0" xfId="1" applyFont="1" applyAlignment="1">
      <alignment horizontal="center" vertical="center"/>
    </xf>
    <xf numFmtId="0" fontId="6" fillId="0" borderId="0" xfId="1" applyFont="1"/>
    <xf numFmtId="0" fontId="5" fillId="0" borderId="0" xfId="1" applyFont="1" applyAlignment="1">
      <alignment horizontal="left" vertical="center"/>
    </xf>
    <xf numFmtId="0" fontId="5" fillId="0" borderId="2" xfId="1" applyFont="1" applyBorder="1"/>
    <xf numFmtId="0" fontId="5" fillId="0" borderId="0" xfId="1" applyFont="1" applyAlignment="1">
      <alignment horizontal="center" vertical="center"/>
    </xf>
    <xf numFmtId="0" fontId="5" fillId="0" borderId="0" xfId="1" applyFont="1" applyAlignment="1">
      <alignment horizontal="left" wrapText="1"/>
    </xf>
    <xf numFmtId="0" fontId="6" fillId="0" borderId="0" xfId="1" applyFont="1" applyAlignment="1">
      <alignment horizontal="left" wrapText="1"/>
    </xf>
    <xf numFmtId="0" fontId="5" fillId="0" borderId="2" xfId="1" applyFont="1" applyBorder="1" applyAlignment="1">
      <alignment wrapText="1"/>
    </xf>
    <xf numFmtId="0" fontId="5" fillId="0" borderId="0" xfId="1" applyFont="1" applyAlignment="1">
      <alignment wrapText="1"/>
    </xf>
    <xf numFmtId="0" fontId="5" fillId="0" borderId="4" xfId="1" applyFont="1" applyBorder="1" applyAlignment="1">
      <alignment wrapText="1"/>
    </xf>
    <xf numFmtId="0" fontId="7" fillId="0" borderId="3" xfId="1" applyFont="1" applyBorder="1" applyAlignment="1">
      <alignment horizontal="left" textRotation="90" wrapText="1"/>
    </xf>
    <xf numFmtId="0" fontId="7" fillId="0" borderId="0" xfId="1" applyFont="1" applyAlignment="1">
      <alignment horizontal="left" textRotation="90" wrapText="1"/>
    </xf>
    <xf numFmtId="0" fontId="5" fillId="0" borderId="0" xfId="1" applyFont="1" applyAlignment="1">
      <alignment horizontal="center" vertical="center" wrapText="1"/>
    </xf>
    <xf numFmtId="0" fontId="5" fillId="0" borderId="3" xfId="1" applyFont="1" applyBorder="1"/>
    <xf numFmtId="0" fontId="8" fillId="0" borderId="0" xfId="1" applyFont="1" applyAlignment="1">
      <alignment horizontal="left" vertical="center" textRotation="90" wrapText="1"/>
    </xf>
    <xf numFmtId="0" fontId="4" fillId="0" borderId="0" xfId="1" applyAlignment="1">
      <alignment horizontal="left" textRotation="90" wrapText="1"/>
    </xf>
    <xf numFmtId="0" fontId="8" fillId="0" borderId="0" xfId="1" applyFont="1" applyAlignment="1">
      <alignment horizontal="center" vertical="center" textRotation="90" wrapText="1"/>
    </xf>
    <xf numFmtId="0" fontId="8" fillId="0" borderId="2" xfId="1" applyFont="1" applyBorder="1" applyAlignment="1">
      <alignment horizontal="left" vertical="center" textRotation="90" wrapText="1"/>
    </xf>
    <xf numFmtId="0" fontId="8" fillId="0" borderId="3" xfId="1" applyFont="1" applyBorder="1" applyAlignment="1">
      <alignment horizontal="left" vertical="center" textRotation="90" wrapText="1"/>
    </xf>
    <xf numFmtId="0" fontId="8" fillId="0" borderId="0" xfId="1" applyFont="1" applyAlignment="1">
      <alignment horizontal="left" textRotation="90" wrapText="1"/>
    </xf>
    <xf numFmtId="0" fontId="8" fillId="0" borderId="0" xfId="1" applyFont="1"/>
    <xf numFmtId="0" fontId="4" fillId="0" borderId="0" xfId="1"/>
    <xf numFmtId="0" fontId="4" fillId="0" borderId="0" xfId="1" applyAlignment="1">
      <alignment horizontal="center"/>
    </xf>
    <xf numFmtId="0" fontId="4" fillId="4" borderId="7" xfId="1" applyFill="1" applyBorder="1"/>
    <xf numFmtId="0" fontId="4" fillId="0" borderId="2" xfId="1" applyBorder="1"/>
    <xf numFmtId="0" fontId="4" fillId="0" borderId="3" xfId="1" applyBorder="1"/>
    <xf numFmtId="0" fontId="8" fillId="0" borderId="0" xfId="1" applyFont="1" applyAlignment="1">
      <alignment horizontal="center" vertical="center"/>
    </xf>
    <xf numFmtId="0" fontId="4" fillId="0" borderId="0" xfId="1" applyAlignment="1">
      <alignment horizontal="center" vertical="center"/>
    </xf>
    <xf numFmtId="0" fontId="4" fillId="0" borderId="6" xfId="1" applyBorder="1"/>
    <xf numFmtId="0" fontId="4" fillId="0" borderId="2" xfId="1" applyBorder="1" applyAlignment="1">
      <alignment horizontal="center" vertical="center"/>
    </xf>
    <xf numFmtId="0" fontId="4" fillId="0" borderId="3" xfId="1" applyBorder="1" applyAlignment="1">
      <alignment horizontal="center" vertical="center"/>
    </xf>
    <xf numFmtId="0" fontId="4" fillId="4" borderId="6" xfId="1" applyFill="1" applyBorder="1"/>
    <xf numFmtId="0" fontId="8" fillId="0" borderId="3" xfId="1" applyFont="1" applyBorder="1" applyAlignment="1">
      <alignment horizontal="center" vertical="center"/>
    </xf>
    <xf numFmtId="0" fontId="8" fillId="0" borderId="0" xfId="1" applyFont="1" applyAlignment="1">
      <alignment horizontal="center"/>
    </xf>
    <xf numFmtId="0" fontId="4" fillId="0" borderId="2" xfId="1" applyBorder="1" applyAlignment="1">
      <alignment horizontal="center"/>
    </xf>
    <xf numFmtId="0" fontId="4" fillId="0" borderId="3" xfId="1" applyBorder="1" applyAlignment="1">
      <alignment horizontal="center"/>
    </xf>
    <xf numFmtId="0" fontId="10" fillId="4" borderId="6" xfId="2" applyFill="1" applyBorder="1"/>
    <xf numFmtId="0" fontId="4" fillId="4" borderId="8" xfId="1" applyFill="1" applyBorder="1"/>
    <xf numFmtId="0" fontId="4" fillId="4" borderId="6" xfId="1" applyFill="1" applyBorder="1" applyAlignment="1">
      <alignment horizontal="center" vertical="center"/>
    </xf>
    <xf numFmtId="0" fontId="8" fillId="0" borderId="2" xfId="1" applyFont="1" applyBorder="1" applyAlignment="1">
      <alignment horizontal="center" vertical="center"/>
    </xf>
    <xf numFmtId="0" fontId="4" fillId="4" borderId="9" xfId="1" applyFill="1" applyBorder="1" applyAlignment="1">
      <alignment horizontal="center" vertical="center"/>
    </xf>
    <xf numFmtId="0" fontId="4" fillId="4" borderId="9" xfId="1" applyFill="1" applyBorder="1"/>
    <xf numFmtId="0" fontId="8" fillId="0" borderId="2" xfId="1" applyFont="1" applyBorder="1" applyAlignment="1">
      <alignment horizontal="center"/>
    </xf>
    <xf numFmtId="0" fontId="8" fillId="0" borderId="3" xfId="1" applyFont="1" applyBorder="1" applyAlignment="1">
      <alignment horizontal="center"/>
    </xf>
    <xf numFmtId="0" fontId="8" fillId="0" borderId="0" xfId="1" applyFont="1" applyAlignment="1">
      <alignment vertical="center"/>
    </xf>
    <xf numFmtId="0" fontId="4" fillId="0" borderId="0" xfId="1" applyAlignment="1">
      <alignment vertical="center"/>
    </xf>
    <xf numFmtId="9" fontId="8" fillId="0" borderId="0" xfId="3" applyFont="1" applyBorder="1" applyAlignment="1">
      <alignment vertical="center"/>
    </xf>
    <xf numFmtId="0" fontId="1" fillId="0" borderId="0" xfId="4"/>
    <xf numFmtId="0" fontId="6" fillId="0" borderId="0" xfId="5" applyFont="1"/>
    <xf numFmtId="0" fontId="6" fillId="0" borderId="0" xfId="5" applyFont="1" applyAlignment="1">
      <alignment horizontal="center" vertical="center"/>
    </xf>
    <xf numFmtId="0" fontId="5" fillId="0" borderId="0" xfId="5" applyFont="1" applyAlignment="1">
      <alignment horizontal="left" vertical="center"/>
    </xf>
    <xf numFmtId="0" fontId="5" fillId="0" borderId="2" xfId="5" applyFont="1" applyBorder="1"/>
    <xf numFmtId="0" fontId="5" fillId="0" borderId="0" xfId="5" applyFont="1"/>
    <xf numFmtId="0" fontId="6" fillId="0" borderId="0" xfId="5" applyFont="1" applyAlignment="1">
      <alignment horizontal="left" wrapText="1"/>
    </xf>
    <xf numFmtId="0" fontId="5" fillId="0" borderId="0" xfId="5" applyFont="1" applyAlignment="1">
      <alignment horizontal="left" wrapText="1"/>
    </xf>
    <xf numFmtId="0" fontId="5" fillId="0" borderId="2" xfId="5" applyFont="1" applyBorder="1" applyAlignment="1">
      <alignment wrapText="1"/>
    </xf>
    <xf numFmtId="0" fontId="5" fillId="0" borderId="0" xfId="5" applyFont="1" applyAlignment="1">
      <alignment wrapText="1"/>
    </xf>
    <xf numFmtId="0" fontId="5" fillId="0" borderId="4" xfId="5" applyFont="1" applyBorder="1" applyAlignment="1">
      <alignment wrapText="1"/>
    </xf>
    <xf numFmtId="0" fontId="13" fillId="0" borderId="0" xfId="5" applyAlignment="1">
      <alignment horizontal="left" textRotation="90" wrapText="1"/>
    </xf>
    <xf numFmtId="0" fontId="9" fillId="0" borderId="6" xfId="5" applyFont="1" applyBorder="1" applyAlignment="1">
      <alignment horizontal="left" textRotation="90" wrapText="1"/>
    </xf>
    <xf numFmtId="0" fontId="8" fillId="0" borderId="0" xfId="5" applyFont="1" applyAlignment="1">
      <alignment horizontal="left" vertical="center" textRotation="90" wrapText="1"/>
    </xf>
    <xf numFmtId="0" fontId="8" fillId="0" borderId="2" xfId="5" applyFont="1" applyBorder="1" applyAlignment="1">
      <alignment horizontal="left" vertical="center" textRotation="90" wrapText="1"/>
    </xf>
    <xf numFmtId="0" fontId="12" fillId="0" borderId="10" xfId="5" applyFont="1" applyBorder="1" applyAlignment="1">
      <alignment horizontal="left" vertical="center" textRotation="90" wrapText="1"/>
    </xf>
    <xf numFmtId="0" fontId="1" fillId="0" borderId="0" xfId="4" applyAlignment="1">
      <alignment horizontal="left" textRotation="90" wrapText="1"/>
    </xf>
    <xf numFmtId="0" fontId="15" fillId="3" borderId="0" xfId="6" applyFont="1" applyBorder="1" applyAlignment="1">
      <alignment horizontal="left" textRotation="90" wrapText="1"/>
    </xf>
    <xf numFmtId="0" fontId="16" fillId="2" borderId="11" xfId="7" applyBorder="1" applyAlignment="1">
      <alignment horizontal="left" textRotation="90" wrapText="1"/>
    </xf>
    <xf numFmtId="0" fontId="15" fillId="3" borderId="1" xfId="6" applyFont="1" applyAlignment="1">
      <alignment horizontal="left" textRotation="90" wrapText="1"/>
    </xf>
    <xf numFmtId="0" fontId="15" fillId="3" borderId="12" xfId="6" applyFont="1" applyBorder="1" applyAlignment="1">
      <alignment horizontal="left" textRotation="90" wrapText="1"/>
    </xf>
    <xf numFmtId="0" fontId="16" fillId="2" borderId="13" xfId="7" applyBorder="1" applyAlignment="1">
      <alignment horizontal="left" textRotation="90" wrapText="1"/>
    </xf>
    <xf numFmtId="0" fontId="3" fillId="0" borderId="0" xfId="4" applyFont="1" applyAlignment="1">
      <alignment horizontal="left" textRotation="90" wrapText="1"/>
    </xf>
    <xf numFmtId="0" fontId="1" fillId="0" borderId="14" xfId="4" applyBorder="1"/>
    <xf numFmtId="0" fontId="1" fillId="0" borderId="0" xfId="4" applyAlignment="1">
      <alignment horizontal="center"/>
    </xf>
    <xf numFmtId="0" fontId="1" fillId="0" borderId="0" xfId="4" applyAlignment="1">
      <alignment horizontal="center" vertical="center"/>
    </xf>
    <xf numFmtId="0" fontId="3" fillId="0" borderId="0" xfId="4" applyFont="1"/>
    <xf numFmtId="0" fontId="2" fillId="5" borderId="0" xfId="4" applyFont="1" applyFill="1"/>
    <xf numFmtId="0" fontId="2" fillId="0" borderId="0" xfId="4" applyFont="1"/>
    <xf numFmtId="0" fontId="1" fillId="0" borderId="15" xfId="4" applyBorder="1"/>
    <xf numFmtId="0" fontId="1" fillId="0" borderId="16" xfId="4" applyBorder="1"/>
    <xf numFmtId="0" fontId="8" fillId="0" borderId="0" xfId="0" applyFont="1" applyAlignment="1">
      <alignment horizontal="center" vertical="center"/>
    </xf>
    <xf numFmtId="0" fontId="4" fillId="0" borderId="0" xfId="0" applyFont="1" applyAlignment="1">
      <alignment horizontal="center" vertical="center"/>
    </xf>
    <xf numFmtId="0" fontId="8" fillId="0" borderId="2" xfId="0" applyFont="1" applyBorder="1" applyAlignment="1">
      <alignment horizontal="center" vertical="center"/>
    </xf>
    <xf numFmtId="0" fontId="14" fillId="3" borderId="1" xfId="6" applyAlignment="1">
      <alignment horizontal="center" vertical="center"/>
    </xf>
    <xf numFmtId="0" fontId="8" fillId="0" borderId="5" xfId="1" applyFont="1" applyBorder="1" applyAlignment="1">
      <alignment horizontal="center"/>
    </xf>
    <xf numFmtId="0" fontId="20" fillId="0" borderId="0" xfId="5" applyFont="1" applyAlignment="1">
      <alignment horizontal="left" textRotation="90" wrapText="1"/>
    </xf>
    <xf numFmtId="0" fontId="21" fillId="2" borderId="25" xfId="7" applyFont="1" applyBorder="1" applyAlignment="1">
      <alignment horizontal="left" textRotation="90" wrapText="1"/>
    </xf>
    <xf numFmtId="0" fontId="21" fillId="2" borderId="13" xfId="7" applyFont="1" applyBorder="1" applyAlignment="1">
      <alignment horizontal="left" textRotation="90" wrapText="1"/>
    </xf>
    <xf numFmtId="0" fontId="22" fillId="10" borderId="26" xfId="8" applyFont="1" applyBorder="1" applyAlignment="1">
      <alignment horizontal="left" textRotation="90" wrapText="1"/>
    </xf>
    <xf numFmtId="0" fontId="20" fillId="0" borderId="0" xfId="5" applyFont="1"/>
    <xf numFmtId="0" fontId="20" fillId="0" borderId="0" xfId="5" applyFont="1" applyAlignment="1">
      <alignment horizontal="center"/>
    </xf>
    <xf numFmtId="0" fontId="20" fillId="0" borderId="14" xfId="5" applyFont="1" applyBorder="1"/>
    <xf numFmtId="0" fontId="20" fillId="0" borderId="0" xfId="5" quotePrefix="1" applyFont="1"/>
    <xf numFmtId="0" fontId="22" fillId="0" borderId="0" xfId="4" applyFont="1"/>
    <xf numFmtId="0" fontId="22" fillId="0" borderId="0" xfId="4" applyFont="1" applyAlignment="1">
      <alignment horizontal="center"/>
    </xf>
    <xf numFmtId="0" fontId="20" fillId="0" borderId="15" xfId="5" applyFont="1" applyBorder="1"/>
    <xf numFmtId="0" fontId="21" fillId="0" borderId="0" xfId="1" applyFont="1"/>
    <xf numFmtId="0" fontId="21" fillId="0" borderId="0" xfId="1" applyFont="1" applyAlignment="1">
      <alignment horizontal="center"/>
    </xf>
    <xf numFmtId="0" fontId="21" fillId="0" borderId="0" xfId="1" applyFont="1" applyAlignment="1">
      <alignment horizontal="left" textRotation="90" wrapText="1"/>
    </xf>
    <xf numFmtId="0" fontId="20" fillId="5" borderId="0" xfId="5" applyFont="1" applyFill="1" applyAlignment="1">
      <alignment horizontal="left" textRotation="90" wrapText="1"/>
    </xf>
    <xf numFmtId="0" fontId="20" fillId="5" borderId="0" xfId="5" applyFont="1" applyFill="1"/>
    <xf numFmtId="0" fontId="4" fillId="0" borderId="0" xfId="1" applyAlignment="1">
      <alignment wrapText="1"/>
    </xf>
    <xf numFmtId="0" fontId="4" fillId="0" borderId="0" xfId="1" quotePrefix="1" applyAlignment="1">
      <alignment wrapText="1"/>
    </xf>
    <xf numFmtId="0" fontId="4" fillId="0" borderId="0" xfId="1" quotePrefix="1"/>
    <xf numFmtId="0" fontId="4" fillId="5" borderId="0" xfId="1" applyFill="1"/>
    <xf numFmtId="0" fontId="4" fillId="0" borderId="27" xfId="1" applyBorder="1" applyAlignment="1">
      <alignment wrapText="1"/>
    </xf>
    <xf numFmtId="0" fontId="4" fillId="0" borderId="27" xfId="1" quotePrefix="1" applyBorder="1" applyAlignment="1">
      <alignment wrapText="1"/>
    </xf>
    <xf numFmtId="0" fontId="4" fillId="0" borderId="27" xfId="1" applyBorder="1"/>
    <xf numFmtId="9" fontId="0" fillId="0" borderId="0" xfId="3" applyFont="1"/>
    <xf numFmtId="9" fontId="0" fillId="0" borderId="0" xfId="3" applyFont="1" applyAlignment="1">
      <alignment wrapText="1"/>
    </xf>
    <xf numFmtId="164" fontId="0" fillId="0" borderId="0" xfId="3" applyNumberFormat="1" applyFont="1"/>
    <xf numFmtId="9" fontId="4" fillId="0" borderId="0" xfId="10" applyFont="1"/>
    <xf numFmtId="0" fontId="26" fillId="0" borderId="0" xfId="1" applyFont="1"/>
    <xf numFmtId="9" fontId="26" fillId="0" borderId="0" xfId="10" applyFont="1"/>
    <xf numFmtId="0" fontId="27" fillId="0" borderId="0" xfId="1" applyFont="1"/>
    <xf numFmtId="0" fontId="4" fillId="0" borderId="0" xfId="1" applyAlignment="1">
      <alignment horizontal="left" vertical="top"/>
    </xf>
    <xf numFmtId="0" fontId="28" fillId="0" borderId="0" xfId="1" applyFont="1" applyAlignment="1">
      <alignment horizontal="left" vertical="top" wrapText="1"/>
    </xf>
    <xf numFmtId="0" fontId="28" fillId="0" borderId="0" xfId="1" applyFont="1" applyAlignment="1">
      <alignment horizontal="left" vertical="top"/>
    </xf>
    <xf numFmtId="0" fontId="29" fillId="11" borderId="28" xfId="11" applyAlignment="1">
      <alignment horizontal="left" vertical="top"/>
    </xf>
    <xf numFmtId="0" fontId="30" fillId="0" borderId="0" xfId="1" applyFont="1" applyAlignment="1">
      <alignment horizontal="left" vertical="top" wrapText="1"/>
    </xf>
    <xf numFmtId="0" fontId="32" fillId="0" borderId="0" xfId="1" applyFont="1" applyAlignment="1">
      <alignment horizontal="left" vertical="top"/>
    </xf>
    <xf numFmtId="0" fontId="33" fillId="0" borderId="0" xfId="1" applyFont="1" applyAlignment="1">
      <alignment horizontal="left" vertical="top" wrapText="1"/>
    </xf>
    <xf numFmtId="0" fontId="34" fillId="0" borderId="0" xfId="1" applyFont="1" applyAlignment="1">
      <alignment horizontal="left" vertical="top" wrapText="1"/>
    </xf>
    <xf numFmtId="0" fontId="36" fillId="0" borderId="0" xfId="1" applyFont="1" applyAlignment="1">
      <alignment horizontal="left" vertical="top" wrapText="1"/>
    </xf>
    <xf numFmtId="0" fontId="38" fillId="0" borderId="0" xfId="1" applyFont="1" applyAlignment="1">
      <alignment horizontal="left" vertical="top" wrapText="1"/>
    </xf>
    <xf numFmtId="0" fontId="32" fillId="0" borderId="0" xfId="1" applyFont="1" applyAlignment="1">
      <alignment horizontal="left" vertical="top" wrapText="1"/>
    </xf>
    <xf numFmtId="0" fontId="40" fillId="0" borderId="0" xfId="1" applyFont="1" applyAlignment="1">
      <alignment horizontal="left" vertical="top"/>
    </xf>
    <xf numFmtId="0" fontId="41" fillId="0" borderId="0" xfId="1" applyFont="1" applyAlignment="1">
      <alignment wrapText="1"/>
    </xf>
    <xf numFmtId="0" fontId="42" fillId="0" borderId="0" xfId="1" applyFont="1" applyAlignment="1">
      <alignment horizontal="left" vertical="top"/>
    </xf>
    <xf numFmtId="0" fontId="43" fillId="0" borderId="0" xfId="1" applyFont="1" applyAlignment="1">
      <alignment horizontal="left" vertical="top"/>
    </xf>
    <xf numFmtId="0" fontId="44" fillId="0" borderId="0" xfId="1" applyFont="1" applyAlignment="1">
      <alignment horizontal="left" vertical="top"/>
    </xf>
    <xf numFmtId="0" fontId="41" fillId="0" borderId="0" xfId="1" applyFont="1" applyAlignment="1">
      <alignment vertical="top" wrapText="1"/>
    </xf>
    <xf numFmtId="0" fontId="28" fillId="0" borderId="0" xfId="1" quotePrefix="1" applyFont="1" applyAlignment="1">
      <alignment horizontal="left" vertical="top" wrapText="1"/>
    </xf>
    <xf numFmtId="0" fontId="46" fillId="0" borderId="0" xfId="1" applyFont="1" applyAlignment="1">
      <alignment horizontal="left" vertical="top"/>
    </xf>
    <xf numFmtId="0" fontId="4" fillId="12" borderId="32" xfId="1" applyFill="1" applyBorder="1"/>
    <xf numFmtId="0" fontId="4" fillId="0" borderId="32" xfId="1" applyBorder="1"/>
    <xf numFmtId="0" fontId="4" fillId="4" borderId="32" xfId="1" applyFill="1" applyBorder="1"/>
    <xf numFmtId="0" fontId="4" fillId="4" borderId="31" xfId="1" applyFill="1" applyBorder="1"/>
    <xf numFmtId="0" fontId="4" fillId="0" borderId="31" xfId="1" applyBorder="1"/>
    <xf numFmtId="0" fontId="4" fillId="12" borderId="31" xfId="1" applyFill="1" applyBorder="1"/>
    <xf numFmtId="0" fontId="12" fillId="0" borderId="10" xfId="1" applyFont="1" applyBorder="1" applyAlignment="1">
      <alignment horizontal="left" vertical="center" textRotation="90" wrapText="1"/>
    </xf>
    <xf numFmtId="0" fontId="4" fillId="12" borderId="30" xfId="1" applyFill="1" applyBorder="1" applyAlignment="1">
      <alignment horizontal="center" vertical="center"/>
    </xf>
    <xf numFmtId="0" fontId="4" fillId="0" borderId="30" xfId="1" applyBorder="1" applyAlignment="1">
      <alignment horizontal="center" vertical="center"/>
    </xf>
    <xf numFmtId="0" fontId="4" fillId="12" borderId="30" xfId="1" applyFill="1" applyBorder="1" applyAlignment="1">
      <alignment horizontal="center"/>
    </xf>
    <xf numFmtId="0" fontId="11" fillId="0" borderId="30" xfId="1" applyFont="1" applyBorder="1" applyAlignment="1">
      <alignment horizontal="center"/>
    </xf>
    <xf numFmtId="0" fontId="11" fillId="12" borderId="30" xfId="1" applyFont="1" applyFill="1" applyBorder="1" applyAlignment="1">
      <alignment horizontal="center"/>
    </xf>
    <xf numFmtId="0" fontId="17" fillId="12" borderId="30" xfId="1" applyFont="1" applyFill="1" applyBorder="1" applyAlignment="1">
      <alignment horizontal="center"/>
    </xf>
    <xf numFmtId="0" fontId="17" fillId="0" borderId="30" xfId="1" applyFont="1" applyBorder="1" applyAlignment="1">
      <alignment horizontal="center"/>
    </xf>
    <xf numFmtId="0" fontId="9" fillId="0" borderId="29" xfId="1" applyFont="1" applyBorder="1" applyAlignment="1">
      <alignment horizontal="left" wrapText="1"/>
    </xf>
    <xf numFmtId="0" fontId="0" fillId="0" borderId="0" xfId="0" pivotButton="1"/>
    <xf numFmtId="0" fontId="0" fillId="0" borderId="0" xfId="0" applyAlignment="1">
      <alignment horizontal="left"/>
    </xf>
    <xf numFmtId="0" fontId="47" fillId="0" borderId="0" xfId="1" applyFont="1"/>
    <xf numFmtId="0" fontId="47" fillId="0" borderId="33" xfId="1" applyFont="1" applyBorder="1"/>
    <xf numFmtId="0" fontId="47" fillId="0" borderId="34" xfId="1" applyFont="1" applyBorder="1" applyAlignment="1">
      <alignment horizontal="center" vertical="center"/>
    </xf>
    <xf numFmtId="0" fontId="47" fillId="0" borderId="35" xfId="1" applyFont="1" applyBorder="1" applyAlignment="1">
      <alignment horizontal="center" vertical="center"/>
    </xf>
    <xf numFmtId="0" fontId="47" fillId="0" borderId="36" xfId="1" applyFont="1" applyBorder="1"/>
    <xf numFmtId="0" fontId="47" fillId="0" borderId="37" xfId="1" applyFont="1" applyBorder="1" applyAlignment="1">
      <alignment horizontal="center" vertical="center"/>
    </xf>
    <xf numFmtId="0" fontId="47" fillId="0" borderId="38" xfId="1" applyFont="1" applyBorder="1" applyAlignment="1">
      <alignment horizontal="center" vertical="center"/>
    </xf>
    <xf numFmtId="0" fontId="47" fillId="0" borderId="43" xfId="1" applyFont="1" applyBorder="1" applyAlignment="1">
      <alignment horizontal="center" vertical="center"/>
    </xf>
    <xf numFmtId="0" fontId="47" fillId="0" borderId="43" xfId="1" applyFont="1" applyBorder="1" applyAlignment="1">
      <alignment horizontal="center" vertical="center" wrapText="1"/>
    </xf>
    <xf numFmtId="0" fontId="47" fillId="0" borderId="45" xfId="1" applyFont="1" applyBorder="1"/>
    <xf numFmtId="0" fontId="47" fillId="0" borderId="46" xfId="1" applyFont="1" applyBorder="1" applyAlignment="1">
      <alignment horizontal="center" vertical="center"/>
    </xf>
    <xf numFmtId="0" fontId="47" fillId="0" borderId="47" xfId="1" applyFont="1" applyBorder="1" applyAlignment="1">
      <alignment horizontal="center" vertical="center"/>
    </xf>
    <xf numFmtId="0" fontId="47" fillId="0" borderId="49" xfId="1" applyFont="1" applyBorder="1" applyAlignment="1">
      <alignment horizontal="center" vertical="center"/>
    </xf>
    <xf numFmtId="0" fontId="47" fillId="0" borderId="48" xfId="1" applyFont="1" applyBorder="1" applyAlignment="1">
      <alignment horizontal="center" vertical="center"/>
    </xf>
    <xf numFmtId="0" fontId="47" fillId="0" borderId="0" xfId="1" applyFont="1" applyAlignment="1">
      <alignment horizontal="right"/>
    </xf>
    <xf numFmtId="0" fontId="47" fillId="13" borderId="0" xfId="1" applyFont="1" applyFill="1"/>
    <xf numFmtId="0" fontId="48" fillId="0" borderId="0" xfId="1" applyFont="1"/>
    <xf numFmtId="0" fontId="47" fillId="14" borderId="0" xfId="1" applyFont="1" applyFill="1"/>
    <xf numFmtId="0" fontId="12" fillId="0" borderId="0" xfId="1" applyFont="1" applyAlignment="1">
      <alignment horizontal="center" vertical="center"/>
    </xf>
    <xf numFmtId="0" fontId="12" fillId="0" borderId="50" xfId="1" applyFont="1" applyBorder="1" applyAlignment="1">
      <alignment horizontal="center" vertical="center" wrapText="1"/>
    </xf>
    <xf numFmtId="0" fontId="12" fillId="16" borderId="51" xfId="1" applyFont="1" applyFill="1" applyBorder="1" applyAlignment="1">
      <alignment horizontal="center" vertical="center" wrapText="1"/>
    </xf>
    <xf numFmtId="0" fontId="12" fillId="16" borderId="0" xfId="1" applyFont="1" applyFill="1" applyAlignment="1">
      <alignment horizontal="center" vertical="center" wrapText="1"/>
    </xf>
    <xf numFmtId="0" fontId="12" fillId="17" borderId="52" xfId="1" applyFont="1" applyFill="1" applyBorder="1" applyAlignment="1">
      <alignment horizontal="center" vertical="center" wrapText="1"/>
    </xf>
    <xf numFmtId="0" fontId="49" fillId="0" borderId="0" xfId="1" applyFont="1" applyAlignment="1">
      <alignment horizontal="center" vertical="center"/>
    </xf>
    <xf numFmtId="0" fontId="12" fillId="0" borderId="0" xfId="1" applyFont="1" applyAlignment="1">
      <alignment horizontal="left" vertical="center" wrapText="1"/>
    </xf>
    <xf numFmtId="0" fontId="12" fillId="16" borderId="51" xfId="1" applyFont="1" applyFill="1" applyBorder="1" applyAlignment="1">
      <alignment horizontal="left" vertical="center" wrapText="1"/>
    </xf>
    <xf numFmtId="0" fontId="12" fillId="16" borderId="0" xfId="1" applyFont="1" applyFill="1" applyAlignment="1">
      <alignment horizontal="left" vertical="center" wrapText="1"/>
    </xf>
    <xf numFmtId="0" fontId="46" fillId="17" borderId="52" xfId="1" applyFont="1" applyFill="1" applyBorder="1" applyAlignment="1">
      <alignment horizontal="left" vertical="center" wrapText="1"/>
    </xf>
    <xf numFmtId="0" fontId="50" fillId="0" borderId="0" xfId="1" applyFont="1" applyAlignment="1">
      <alignment horizontal="left" vertical="top"/>
    </xf>
    <xf numFmtId="0" fontId="46" fillId="0" borderId="0" xfId="1" applyFont="1" applyAlignment="1">
      <alignment horizontal="right" vertical="top"/>
    </xf>
    <xf numFmtId="0" fontId="8" fillId="0" borderId="0" xfId="1" applyFont="1" applyAlignment="1">
      <alignment horizontal="right" vertical="top"/>
    </xf>
    <xf numFmtId="0" fontId="8" fillId="0" borderId="27" xfId="1" applyFont="1" applyBorder="1" applyAlignment="1">
      <alignment horizontal="center" vertical="center"/>
    </xf>
    <xf numFmtId="0" fontId="12" fillId="0" borderId="27" xfId="1" applyFont="1" applyBorder="1" applyAlignment="1">
      <alignment horizontal="left" vertical="center" wrapText="1"/>
    </xf>
    <xf numFmtId="0" fontId="12" fillId="16" borderId="53" xfId="1" applyFont="1" applyFill="1" applyBorder="1" applyAlignment="1">
      <alignment horizontal="left" vertical="center" wrapText="1"/>
    </xf>
    <xf numFmtId="0" fontId="12" fillId="16" borderId="27" xfId="1" applyFont="1" applyFill="1" applyBorder="1" applyAlignment="1">
      <alignment horizontal="left" vertical="center" wrapText="1"/>
    </xf>
    <xf numFmtId="0" fontId="46" fillId="17" borderId="54" xfId="1" applyFont="1" applyFill="1" applyBorder="1" applyAlignment="1">
      <alignment horizontal="left" vertical="center" wrapText="1"/>
    </xf>
    <xf numFmtId="164" fontId="0" fillId="0" borderId="27" xfId="3" applyNumberFormat="1" applyFont="1" applyBorder="1"/>
    <xf numFmtId="0" fontId="4" fillId="0" borderId="27" xfId="1" quotePrefix="1" applyBorder="1"/>
    <xf numFmtId="0" fontId="46" fillId="0" borderId="0" xfId="1" quotePrefix="1" applyFont="1" applyAlignment="1">
      <alignment horizontal="right" vertical="top"/>
    </xf>
    <xf numFmtId="0" fontId="46" fillId="17" borderId="55" xfId="1" applyFont="1" applyFill="1" applyBorder="1" applyAlignment="1">
      <alignment horizontal="left" vertical="center" wrapText="1"/>
    </xf>
    <xf numFmtId="0" fontId="8" fillId="0" borderId="0" xfId="1" applyFont="1" applyAlignment="1">
      <alignment horizontal="right" vertical="top" wrapText="1"/>
    </xf>
    <xf numFmtId="0" fontId="8" fillId="16" borderId="0" xfId="1" applyFont="1" applyFill="1" applyAlignment="1">
      <alignment horizontal="right" vertical="top" wrapText="1"/>
    </xf>
    <xf numFmtId="0" fontId="46" fillId="17" borderId="55" xfId="1" applyFont="1" applyFill="1" applyBorder="1" applyAlignment="1">
      <alignment horizontal="right" vertical="top" wrapText="1"/>
    </xf>
    <xf numFmtId="0" fontId="0" fillId="0" borderId="0" xfId="0" applyAlignment="1">
      <alignment wrapText="1"/>
    </xf>
    <xf numFmtId="9" fontId="0" fillId="0" borderId="0" xfId="10" applyFont="1"/>
    <xf numFmtId="9" fontId="4" fillId="0" borderId="0" xfId="10" applyFont="1" applyAlignment="1"/>
    <xf numFmtId="9" fontId="0" fillId="0" borderId="0" xfId="10" applyFont="1" applyBorder="1"/>
    <xf numFmtId="9" fontId="23" fillId="0" borderId="0" xfId="9" applyNumberFormat="1" applyBorder="1"/>
    <xf numFmtId="0" fontId="36" fillId="0" borderId="0" xfId="1" applyFont="1" applyAlignment="1">
      <alignment vertical="top" wrapText="1"/>
    </xf>
    <xf numFmtId="0" fontId="54" fillId="0" borderId="0" xfId="1" applyFont="1" applyAlignment="1">
      <alignment horizontal="left" vertical="top" wrapText="1"/>
    </xf>
    <xf numFmtId="0" fontId="56" fillId="0" borderId="0" xfId="1" applyFont="1" applyAlignment="1">
      <alignment horizontal="left" vertical="top"/>
    </xf>
    <xf numFmtId="0" fontId="57" fillId="0" borderId="0" xfId="1" applyFont="1" applyAlignment="1">
      <alignment horizontal="left" vertical="top" wrapText="1"/>
    </xf>
    <xf numFmtId="0" fontId="58" fillId="0" borderId="0" xfId="1" applyFont="1" applyAlignment="1">
      <alignment horizontal="left" vertical="top" wrapText="1"/>
    </xf>
    <xf numFmtId="0" fontId="60" fillId="0" borderId="0" xfId="1" applyFont="1" applyAlignment="1">
      <alignment horizontal="left" vertical="top" wrapText="1"/>
    </xf>
    <xf numFmtId="0" fontId="56" fillId="0" borderId="0" xfId="1" applyFont="1" applyAlignment="1">
      <alignment horizontal="left" vertical="top" wrapText="1"/>
    </xf>
    <xf numFmtId="0" fontId="61" fillId="0" borderId="0" xfId="1" applyFont="1" applyAlignment="1">
      <alignment wrapText="1"/>
    </xf>
    <xf numFmtId="0" fontId="61" fillId="0" borderId="0" xfId="1" applyFont="1" applyAlignment="1">
      <alignment vertical="top" wrapText="1"/>
    </xf>
    <xf numFmtId="0" fontId="52" fillId="18" borderId="0" xfId="12" applyFont="1" applyAlignment="1">
      <alignment horizontal="center" vertical="center"/>
    </xf>
    <xf numFmtId="0" fontId="52" fillId="18" borderId="0" xfId="12" applyFont="1" applyAlignment="1">
      <alignment horizontal="left" vertical="center"/>
    </xf>
    <xf numFmtId="0" fontId="52" fillId="18" borderId="0" xfId="12" applyFont="1" applyAlignment="1">
      <alignment horizontal="left" vertical="center" wrapText="1"/>
    </xf>
    <xf numFmtId="0" fontId="29" fillId="11" borderId="28" xfId="11" applyAlignment="1">
      <alignment horizontal="left" vertical="top" wrapText="1"/>
    </xf>
    <xf numFmtId="0" fontId="63" fillId="0" borderId="0" xfId="1" applyFont="1" applyAlignment="1">
      <alignment horizontal="left" vertical="top"/>
    </xf>
    <xf numFmtId="0" fontId="32" fillId="19" borderId="0" xfId="1" applyFont="1" applyFill="1" applyAlignment="1">
      <alignment horizontal="left" vertical="top"/>
    </xf>
    <xf numFmtId="165" fontId="28" fillId="0" borderId="0" xfId="10" applyNumberFormat="1" applyFont="1" applyAlignment="1">
      <alignment horizontal="left" vertical="top"/>
    </xf>
    <xf numFmtId="43" fontId="40" fillId="0" borderId="0" xfId="13" applyFont="1" applyAlignment="1">
      <alignment horizontal="left" vertical="top"/>
    </xf>
    <xf numFmtId="0" fontId="12" fillId="0" borderId="56" xfId="1" applyFont="1" applyBorder="1" applyAlignment="1">
      <alignment horizontal="center" vertical="center" wrapText="1"/>
    </xf>
    <xf numFmtId="0" fontId="12" fillId="16" borderId="57" xfId="1" applyFont="1" applyFill="1" applyBorder="1" applyAlignment="1">
      <alignment horizontal="center" vertical="center" wrapText="1"/>
    </xf>
    <xf numFmtId="0" fontId="12" fillId="17" borderId="58" xfId="1" applyFont="1" applyFill="1" applyBorder="1" applyAlignment="1">
      <alignment horizontal="center" vertical="center" wrapText="1"/>
    </xf>
    <xf numFmtId="0" fontId="51" fillId="0" borderId="0" xfId="0" applyFont="1" applyAlignment="1">
      <alignment wrapText="1"/>
    </xf>
    <xf numFmtId="0" fontId="2" fillId="0" borderId="0" xfId="0" applyFont="1" applyAlignment="1">
      <alignment wrapText="1"/>
    </xf>
    <xf numFmtId="0" fontId="5" fillId="0" borderId="4" xfId="1" applyFont="1" applyBorder="1"/>
    <xf numFmtId="0" fontId="5" fillId="0" borderId="3" xfId="1" applyFont="1" applyBorder="1" applyAlignment="1">
      <alignment wrapText="1"/>
    </xf>
    <xf numFmtId="0" fontId="8" fillId="0" borderId="4" xfId="1" applyFont="1" applyBorder="1" applyAlignment="1">
      <alignment horizontal="left" vertical="center" textRotation="90" wrapText="1"/>
    </xf>
    <xf numFmtId="0" fontId="4" fillId="0" borderId="4" xfId="1" applyBorder="1"/>
    <xf numFmtId="0" fontId="4" fillId="0" borderId="4" xfId="1" applyBorder="1" applyAlignment="1">
      <alignment horizontal="center" vertical="center"/>
    </xf>
    <xf numFmtId="0" fontId="4" fillId="0" borderId="4" xfId="1" applyBorder="1" applyAlignment="1">
      <alignment horizontal="center"/>
    </xf>
    <xf numFmtId="0" fontId="8" fillId="0" borderId="4" xfId="1" applyFont="1" applyBorder="1" applyAlignment="1">
      <alignment horizontal="center" vertical="center"/>
    </xf>
    <xf numFmtId="0" fontId="8" fillId="0" borderId="4" xfId="1" applyFont="1" applyBorder="1" applyAlignment="1">
      <alignment horizontal="center"/>
    </xf>
    <xf numFmtId="0" fontId="8" fillId="0" borderId="4" xfId="1" applyFont="1" applyBorder="1"/>
    <xf numFmtId="0" fontId="8" fillId="0" borderId="3" xfId="1" applyFont="1" applyBorder="1"/>
    <xf numFmtId="0" fontId="64" fillId="0" borderId="0" xfId="0" applyFont="1" applyAlignment="1">
      <alignment horizontal="center" vertical="center"/>
    </xf>
    <xf numFmtId="0" fontId="64" fillId="0" borderId="0" xfId="0" applyFont="1" applyAlignment="1">
      <alignment horizontal="center" vertical="center" wrapText="1"/>
    </xf>
    <xf numFmtId="0" fontId="64" fillId="6" borderId="0" xfId="0" applyFont="1" applyFill="1" applyAlignment="1">
      <alignment horizontal="center" vertical="center" wrapText="1"/>
    </xf>
    <xf numFmtId="0" fontId="64" fillId="8" borderId="61" xfId="0" applyFont="1" applyFill="1" applyBorder="1" applyAlignment="1">
      <alignment vertical="center"/>
    </xf>
    <xf numFmtId="0" fontId="64" fillId="8" borderId="62" xfId="0" applyFont="1" applyFill="1" applyBorder="1" applyAlignment="1">
      <alignment vertical="center"/>
    </xf>
    <xf numFmtId="0" fontId="66" fillId="0" borderId="0" xfId="0" applyFont="1" applyAlignment="1">
      <alignment vertical="center"/>
    </xf>
    <xf numFmtId="0" fontId="69" fillId="0" borderId="0" xfId="0" applyFont="1"/>
    <xf numFmtId="0" fontId="67" fillId="6" borderId="18" xfId="0" applyFont="1" applyFill="1" applyBorder="1" applyAlignment="1">
      <alignment horizontal="left" wrapText="1"/>
    </xf>
    <xf numFmtId="0" fontId="67" fillId="7" borderId="19" xfId="0" applyFont="1" applyFill="1" applyBorder="1" applyAlignment="1">
      <alignment horizontal="left"/>
    </xf>
    <xf numFmtId="0" fontId="67" fillId="8" borderId="19" xfId="0" applyFont="1" applyFill="1" applyBorder="1" applyAlignment="1">
      <alignment horizontal="left"/>
    </xf>
    <xf numFmtId="0" fontId="67" fillId="15" borderId="19" xfId="0" applyFont="1" applyFill="1" applyBorder="1" applyAlignment="1">
      <alignment horizontal="left"/>
    </xf>
    <xf numFmtId="0" fontId="64" fillId="9" borderId="19" xfId="0" applyFont="1" applyFill="1" applyBorder="1" applyAlignment="1">
      <alignment horizontal="left" wrapText="1"/>
    </xf>
    <xf numFmtId="0" fontId="71" fillId="6" borderId="18" xfId="0" applyFont="1" applyFill="1" applyBorder="1" applyAlignment="1">
      <alignment horizontal="left" wrapText="1"/>
    </xf>
    <xf numFmtId="0" fontId="71" fillId="6" borderId="24" xfId="0" applyFont="1" applyFill="1" applyBorder="1" applyAlignment="1">
      <alignment horizontal="left" wrapText="1"/>
    </xf>
    <xf numFmtId="0" fontId="73" fillId="7" borderId="19" xfId="0" applyFont="1" applyFill="1" applyBorder="1" applyAlignment="1">
      <alignment horizontal="left"/>
    </xf>
    <xf numFmtId="0" fontId="67" fillId="6" borderId="20" xfId="0" applyFont="1" applyFill="1" applyBorder="1" applyAlignment="1">
      <alignment horizontal="left" wrapText="1"/>
    </xf>
    <xf numFmtId="0" fontId="67" fillId="7" borderId="21" xfId="0" applyFont="1" applyFill="1" applyBorder="1" applyAlignment="1">
      <alignment horizontal="left"/>
    </xf>
    <xf numFmtId="0" fontId="67" fillId="6" borderId="22" xfId="0" applyFont="1" applyFill="1" applyBorder="1" applyAlignment="1">
      <alignment horizontal="left" wrapText="1"/>
    </xf>
    <xf numFmtId="0" fontId="67" fillId="7" borderId="23" xfId="0" applyFont="1" applyFill="1" applyBorder="1" applyAlignment="1">
      <alignment horizontal="left"/>
    </xf>
    <xf numFmtId="0" fontId="64" fillId="9" borderId="21" xfId="0" applyFont="1" applyFill="1" applyBorder="1" applyAlignment="1">
      <alignment horizontal="left" wrapText="1"/>
    </xf>
    <xf numFmtId="0" fontId="64" fillId="9" borderId="23" xfId="0" applyFont="1" applyFill="1" applyBorder="1" applyAlignment="1">
      <alignment horizontal="left" wrapText="1"/>
    </xf>
    <xf numFmtId="0" fontId="73" fillId="6" borderId="22" xfId="0" applyFont="1" applyFill="1" applyBorder="1" applyAlignment="1">
      <alignment horizontal="left" wrapText="1"/>
    </xf>
    <xf numFmtId="0" fontId="69" fillId="0" borderId="0" xfId="0" applyFont="1" applyAlignment="1">
      <alignment wrapText="1"/>
    </xf>
    <xf numFmtId="0" fontId="67" fillId="7" borderId="63" xfId="0" applyFont="1" applyFill="1" applyBorder="1" applyAlignment="1">
      <alignment horizontal="left"/>
    </xf>
    <xf numFmtId="0" fontId="73" fillId="7" borderId="63" xfId="0" applyFont="1" applyFill="1" applyBorder="1" applyAlignment="1">
      <alignment horizontal="left"/>
    </xf>
    <xf numFmtId="0" fontId="67" fillId="7" borderId="0" xfId="0" applyFont="1" applyFill="1" applyAlignment="1">
      <alignment horizontal="left"/>
    </xf>
    <xf numFmtId="0" fontId="67" fillId="7" borderId="64" xfId="0" applyFont="1" applyFill="1" applyBorder="1" applyAlignment="1">
      <alignment horizontal="left"/>
    </xf>
    <xf numFmtId="0" fontId="67" fillId="8" borderId="69" xfId="0" applyFont="1" applyFill="1" applyBorder="1" applyAlignment="1">
      <alignment horizontal="left"/>
    </xf>
    <xf numFmtId="0" fontId="67" fillId="8" borderId="70" xfId="0" applyFont="1" applyFill="1" applyBorder="1" applyAlignment="1">
      <alignment horizontal="left"/>
    </xf>
    <xf numFmtId="0" fontId="73" fillId="8" borderId="69" xfId="0" applyFont="1" applyFill="1" applyBorder="1" applyAlignment="1">
      <alignment horizontal="left"/>
    </xf>
    <xf numFmtId="0" fontId="67" fillId="8" borderId="62" xfId="0" applyFont="1" applyFill="1" applyBorder="1" applyAlignment="1">
      <alignment vertical="center"/>
    </xf>
    <xf numFmtId="0" fontId="70" fillId="8" borderId="62" xfId="0" applyFont="1" applyFill="1" applyBorder="1" applyAlignment="1">
      <alignment vertical="center"/>
    </xf>
    <xf numFmtId="0" fontId="70" fillId="8" borderId="66" xfId="0" applyFont="1" applyFill="1" applyBorder="1" applyAlignment="1">
      <alignment vertical="center"/>
    </xf>
    <xf numFmtId="0" fontId="70" fillId="9" borderId="0" xfId="0" applyFont="1" applyFill="1" applyAlignment="1">
      <alignment horizontal="center" vertical="center" wrapText="1"/>
    </xf>
    <xf numFmtId="0" fontId="67" fillId="6" borderId="0" xfId="0" applyFont="1" applyFill="1" applyAlignment="1">
      <alignment horizontal="right" vertical="center" wrapText="1"/>
    </xf>
    <xf numFmtId="0" fontId="64" fillId="6" borderId="5" xfId="0" applyFont="1" applyFill="1" applyBorder="1" applyAlignment="1">
      <alignment horizontal="center" vertical="center" wrapText="1"/>
    </xf>
    <xf numFmtId="0" fontId="65" fillId="8" borderId="65" xfId="0" applyFont="1" applyFill="1" applyBorder="1" applyAlignment="1">
      <alignment horizontal="right" vertical="center"/>
    </xf>
    <xf numFmtId="0" fontId="77" fillId="0" borderId="59" xfId="0" applyFont="1" applyBorder="1" applyAlignment="1">
      <alignment horizontal="center" vertical="center"/>
    </xf>
    <xf numFmtId="0" fontId="77" fillId="0" borderId="59" xfId="0" applyFont="1" applyBorder="1" applyAlignment="1">
      <alignment horizontal="center" vertical="center" wrapText="1"/>
    </xf>
    <xf numFmtId="0" fontId="77" fillId="6" borderId="59" xfId="0" applyFont="1" applyFill="1" applyBorder="1" applyAlignment="1">
      <alignment horizontal="center" vertical="center" wrapText="1"/>
    </xf>
    <xf numFmtId="0" fontId="77" fillId="7" borderId="59" xfId="0" applyFont="1" applyFill="1" applyBorder="1" applyAlignment="1">
      <alignment horizontal="center" vertical="center"/>
    </xf>
    <xf numFmtId="0" fontId="77" fillId="7" borderId="17" xfId="0" applyFont="1" applyFill="1" applyBorder="1" applyAlignment="1">
      <alignment horizontal="center" vertical="center"/>
    </xf>
    <xf numFmtId="0" fontId="77" fillId="9" borderId="60" xfId="0" applyFont="1" applyFill="1" applyBorder="1" applyAlignment="1">
      <alignment horizontal="center" vertical="center" wrapText="1"/>
    </xf>
    <xf numFmtId="0" fontId="71" fillId="6" borderId="71" xfId="0" applyFont="1" applyFill="1" applyBorder="1" applyAlignment="1">
      <alignment horizontal="left" vertical="top" wrapText="1"/>
    </xf>
    <xf numFmtId="0" fontId="71" fillId="6" borderId="72" xfId="0" applyFont="1" applyFill="1" applyBorder="1" applyAlignment="1">
      <alignment horizontal="left" vertical="top" wrapText="1"/>
    </xf>
    <xf numFmtId="0" fontId="69" fillId="0" borderId="0" xfId="0" applyFont="1" applyAlignment="1">
      <alignment vertical="top"/>
    </xf>
    <xf numFmtId="0" fontId="67" fillId="6" borderId="73" xfId="0" applyFont="1" applyFill="1" applyBorder="1" applyAlignment="1">
      <alignment horizontal="left" wrapText="1"/>
    </xf>
    <xf numFmtId="0" fontId="67" fillId="7" borderId="74" xfId="0" applyFont="1" applyFill="1" applyBorder="1" applyAlignment="1">
      <alignment horizontal="left"/>
    </xf>
    <xf numFmtId="0" fontId="67" fillId="7" borderId="75" xfId="0" applyFont="1" applyFill="1" applyBorder="1" applyAlignment="1">
      <alignment horizontal="left"/>
    </xf>
    <xf numFmtId="0" fontId="67" fillId="8" borderId="76" xfId="0" applyFont="1" applyFill="1" applyBorder="1" applyAlignment="1">
      <alignment horizontal="left"/>
    </xf>
    <xf numFmtId="0" fontId="67" fillId="15" borderId="77" xfId="0" applyFont="1" applyFill="1" applyBorder="1" applyAlignment="1">
      <alignment horizontal="left"/>
    </xf>
    <xf numFmtId="0" fontId="67" fillId="8" borderId="77" xfId="0" applyFont="1" applyFill="1" applyBorder="1" applyAlignment="1">
      <alignment horizontal="left"/>
    </xf>
    <xf numFmtId="0" fontId="67" fillId="8" borderId="78" xfId="0" applyFont="1" applyFill="1" applyBorder="1" applyAlignment="1">
      <alignment horizontal="left"/>
    </xf>
    <xf numFmtId="0" fontId="64" fillId="9" borderId="74" xfId="0" applyFont="1" applyFill="1" applyBorder="1" applyAlignment="1">
      <alignment horizontal="left" wrapText="1"/>
    </xf>
    <xf numFmtId="0" fontId="71" fillId="6" borderId="73" xfId="0" applyFont="1" applyFill="1" applyBorder="1" applyAlignment="1">
      <alignment horizontal="left" wrapText="1"/>
    </xf>
    <xf numFmtId="0" fontId="71" fillId="6" borderId="79" xfId="0" applyFont="1" applyFill="1" applyBorder="1" applyAlignment="1">
      <alignment horizontal="left" vertical="top" wrapText="1"/>
    </xf>
    <xf numFmtId="0" fontId="68" fillId="0" borderId="81" xfId="0" applyFont="1" applyBorder="1" applyAlignment="1">
      <alignment horizontal="center" vertical="center" wrapText="1"/>
    </xf>
    <xf numFmtId="0" fontId="68" fillId="0" borderId="82" xfId="0" applyFont="1" applyBorder="1" applyAlignment="1">
      <alignment horizontal="center" vertical="center" wrapText="1"/>
    </xf>
    <xf numFmtId="0" fontId="71" fillId="0" borderId="80" xfId="0" applyFont="1" applyBorder="1" applyAlignment="1">
      <alignment horizontal="left" vertical="top" wrapText="1"/>
    </xf>
    <xf numFmtId="0" fontId="71" fillId="0" borderId="80" xfId="0" applyFont="1" applyBorder="1" applyAlignment="1">
      <alignment horizontal="right" vertical="top" wrapText="1"/>
    </xf>
    <xf numFmtId="0" fontId="72" fillId="0" borderId="80" xfId="0" applyFont="1" applyBorder="1" applyAlignment="1">
      <alignment horizontal="left" vertical="top" wrapText="1"/>
    </xf>
    <xf numFmtId="0" fontId="79" fillId="0" borderId="80" xfId="0" applyFont="1" applyBorder="1" applyAlignment="1">
      <alignment horizontal="left" vertical="top" wrapText="1"/>
    </xf>
    <xf numFmtId="0" fontId="74" fillId="0" borderId="80" xfId="9" applyFont="1" applyBorder="1" applyAlignment="1">
      <alignment horizontal="left" vertical="top" wrapText="1"/>
    </xf>
    <xf numFmtId="0" fontId="71" fillId="0" borderId="80" xfId="0" applyFont="1" applyBorder="1" applyAlignment="1">
      <alignment vertical="top" wrapText="1"/>
    </xf>
    <xf numFmtId="0" fontId="71" fillId="0" borderId="83" xfId="0" applyFont="1" applyBorder="1" applyAlignment="1">
      <alignment horizontal="left" vertical="top" wrapText="1"/>
    </xf>
    <xf numFmtId="0" fontId="79" fillId="0" borderId="83" xfId="0" applyFont="1" applyBorder="1" applyAlignment="1">
      <alignment horizontal="left" vertical="top" wrapText="1"/>
    </xf>
    <xf numFmtId="0" fontId="71" fillId="0" borderId="83" xfId="0" applyFont="1" applyBorder="1" applyAlignment="1">
      <alignment vertical="top" wrapText="1"/>
    </xf>
    <xf numFmtId="0" fontId="77" fillId="6" borderId="68" xfId="0" applyFont="1" applyFill="1" applyBorder="1" applyAlignment="1">
      <alignment horizontal="center" vertical="center" wrapText="1"/>
    </xf>
    <xf numFmtId="0" fontId="71" fillId="6" borderId="84" xfId="0" applyFont="1" applyFill="1" applyBorder="1" applyAlignment="1">
      <alignment horizontal="left" vertical="top" wrapText="1"/>
    </xf>
    <xf numFmtId="0" fontId="71" fillId="6" borderId="85" xfId="0" applyFont="1" applyFill="1" applyBorder="1" applyAlignment="1">
      <alignment horizontal="left" vertical="top" wrapText="1"/>
    </xf>
    <xf numFmtId="0" fontId="71" fillId="6" borderId="86" xfId="0" applyFont="1" applyFill="1" applyBorder="1" applyAlignment="1">
      <alignment horizontal="left" vertical="top" wrapText="1"/>
    </xf>
    <xf numFmtId="0" fontId="69" fillId="0" borderId="80" xfId="0" applyFont="1" applyBorder="1" applyAlignment="1">
      <alignment vertical="top"/>
    </xf>
    <xf numFmtId="0" fontId="77" fillId="8" borderId="67" xfId="0" applyFont="1" applyFill="1" applyBorder="1" applyAlignment="1">
      <alignment horizontal="center" vertical="center"/>
    </xf>
    <xf numFmtId="0" fontId="77" fillId="15" borderId="59" xfId="0" applyFont="1" applyFill="1" applyBorder="1" applyAlignment="1">
      <alignment horizontal="center" vertical="center"/>
    </xf>
    <xf numFmtId="0" fontId="77" fillId="8" borderId="59" xfId="0" applyFont="1" applyFill="1" applyBorder="1" applyAlignment="1">
      <alignment horizontal="center" vertical="center"/>
    </xf>
    <xf numFmtId="0" fontId="77" fillId="8" borderId="68" xfId="0" applyFont="1" applyFill="1" applyBorder="1" applyAlignment="1">
      <alignment horizontal="center" vertical="center"/>
    </xf>
    <xf numFmtId="0" fontId="69" fillId="0" borderId="0" xfId="0" applyFont="1" applyAlignment="1">
      <alignment horizontal="center" vertical="center"/>
    </xf>
    <xf numFmtId="0" fontId="70" fillId="0" borderId="87" xfId="0" applyFont="1" applyBorder="1" applyAlignment="1">
      <alignment horizontal="center"/>
    </xf>
    <xf numFmtId="0" fontId="67" fillId="0" borderId="88" xfId="0" applyFont="1" applyBorder="1" applyAlignment="1">
      <alignment horizontal="left" wrapText="1"/>
    </xf>
    <xf numFmtId="0" fontId="70" fillId="0" borderId="89" xfId="0" applyFont="1" applyBorder="1" applyAlignment="1">
      <alignment horizontal="center"/>
    </xf>
    <xf numFmtId="0" fontId="67" fillId="0" borderId="90" xfId="0" applyFont="1" applyBorder="1" applyAlignment="1">
      <alignment horizontal="left" wrapText="1"/>
    </xf>
    <xf numFmtId="0" fontId="70" fillId="0" borderId="91" xfId="0" applyFont="1" applyBorder="1" applyAlignment="1">
      <alignment horizontal="center"/>
    </xf>
    <xf numFmtId="0" fontId="67" fillId="0" borderId="92" xfId="0" applyFont="1" applyBorder="1" applyAlignment="1">
      <alignment horizontal="left" wrapText="1"/>
    </xf>
    <xf numFmtId="0" fontId="6" fillId="0" borderId="0" xfId="1" applyFont="1" applyAlignment="1">
      <alignment vertical="top"/>
    </xf>
    <xf numFmtId="0" fontId="6" fillId="0" borderId="0" xfId="1" applyFont="1" applyAlignment="1">
      <alignment vertical="top" wrapText="1"/>
    </xf>
    <xf numFmtId="0" fontId="5" fillId="0" borderId="2" xfId="5" applyFont="1" applyBorder="1" applyAlignment="1">
      <alignment horizontal="right" vertical="center" wrapText="1"/>
    </xf>
    <xf numFmtId="0" fontId="5" fillId="0" borderId="0" xfId="5" applyFont="1" applyAlignment="1">
      <alignment horizontal="right" vertical="center" wrapText="1"/>
    </xf>
    <xf numFmtId="0" fontId="5" fillId="0" borderId="5" xfId="5" applyFont="1" applyBorder="1" applyAlignment="1">
      <alignment horizontal="right" vertical="center" wrapText="1"/>
    </xf>
    <xf numFmtId="0" fontId="5" fillId="0" borderId="2" xfId="5" applyFont="1" applyBorder="1" applyAlignment="1">
      <alignment horizontal="center"/>
    </xf>
    <xf numFmtId="0" fontId="5" fillId="0" borderId="0" xfId="5" applyFont="1" applyAlignment="1">
      <alignment horizontal="center"/>
    </xf>
    <xf numFmtId="0" fontId="5" fillId="0" borderId="4" xfId="5" applyFont="1" applyBorder="1" applyAlignment="1">
      <alignment horizontal="center"/>
    </xf>
    <xf numFmtId="0" fontId="5" fillId="0" borderId="5" xfId="5" applyFont="1" applyBorder="1" applyAlignment="1">
      <alignment horizontal="center"/>
    </xf>
    <xf numFmtId="0" fontId="5" fillId="0" borderId="3" xfId="1" applyFont="1" applyBorder="1" applyAlignment="1">
      <alignment horizontal="center"/>
    </xf>
    <xf numFmtId="0" fontId="5" fillId="0" borderId="0" xfId="1" applyFont="1" applyAlignment="1">
      <alignment horizontal="center"/>
    </xf>
    <xf numFmtId="0" fontId="5" fillId="0" borderId="2" xfId="1" applyFont="1" applyBorder="1" applyAlignment="1">
      <alignment horizontal="right" vertical="center" wrapText="1"/>
    </xf>
    <xf numFmtId="0" fontId="5" fillId="0" borderId="0" xfId="1" applyFont="1" applyAlignment="1">
      <alignment horizontal="right" vertical="center" wrapText="1"/>
    </xf>
    <xf numFmtId="0" fontId="5" fillId="0" borderId="5" xfId="1" applyFont="1" applyBorder="1" applyAlignment="1">
      <alignment horizontal="right" vertical="center" wrapText="1"/>
    </xf>
    <xf numFmtId="0" fontId="5" fillId="0" borderId="4" xfId="1" applyFont="1" applyBorder="1" applyAlignment="1">
      <alignment horizontal="center"/>
    </xf>
    <xf numFmtId="0" fontId="5" fillId="0" borderId="2" xfId="1" applyFont="1" applyBorder="1" applyAlignment="1">
      <alignment horizontal="center"/>
    </xf>
    <xf numFmtId="0" fontId="5" fillId="0" borderId="5" xfId="1" applyFont="1" applyBorder="1" applyAlignment="1">
      <alignment horizontal="center"/>
    </xf>
    <xf numFmtId="0" fontId="47" fillId="0" borderId="39" xfId="1" applyFont="1" applyBorder="1" applyAlignment="1">
      <alignment horizontal="center" vertical="center"/>
    </xf>
    <xf numFmtId="0" fontId="47" fillId="0" borderId="42" xfId="1" applyFont="1" applyBorder="1" applyAlignment="1">
      <alignment horizontal="center" vertical="center"/>
    </xf>
    <xf numFmtId="0" fontId="47" fillId="0" borderId="40" xfId="1" applyFont="1" applyBorder="1" applyAlignment="1">
      <alignment horizontal="center"/>
    </xf>
    <xf numFmtId="0" fontId="47" fillId="0" borderId="41" xfId="1" applyFont="1" applyBorder="1" applyAlignment="1">
      <alignment horizontal="center" vertical="center" wrapText="1"/>
    </xf>
    <xf numFmtId="0" fontId="47" fillId="0" borderId="44" xfId="1" applyFont="1" applyBorder="1" applyAlignment="1">
      <alignment horizontal="center" vertical="center" wrapText="1"/>
    </xf>
  </cellXfs>
  <cellStyles count="14">
    <cellStyle name="Cálculo 2" xfId="6" xr:uid="{9DBACBDB-CA70-4043-8AAA-6ADC2880E97C}"/>
    <cellStyle name="Célula de Verificação 2" xfId="11" xr:uid="{69B9761B-57CF-4776-B525-5BDE7F236A23}"/>
    <cellStyle name="Ênfase1" xfId="12" builtinId="29"/>
    <cellStyle name="Hiperlink" xfId="9" builtinId="8"/>
    <cellStyle name="Hiperlink 2" xfId="2" xr:uid="{B6932ADE-CE17-4F00-9E61-D739519A1D40}"/>
    <cellStyle name="Neutro 2" xfId="7" xr:uid="{B982B92A-E014-4795-A75A-087EDB2CC6DD}"/>
    <cellStyle name="Normal" xfId="0" builtinId="0"/>
    <cellStyle name="Normal 2" xfId="1" xr:uid="{726756F4-C6B8-4A23-893A-199C2F889271}"/>
    <cellStyle name="Normal 2 2" xfId="5" xr:uid="{5CAF6B04-6E06-46CC-94BC-D40FE83C86F7}"/>
    <cellStyle name="Normal 3" xfId="4" xr:uid="{93000F30-61AF-4D36-8D2A-F7D370BAE28D}"/>
    <cellStyle name="Porcentagem" xfId="10" builtinId="5"/>
    <cellStyle name="Porcentagem 2" xfId="3" xr:uid="{682C84F0-9334-456E-B6E9-70451F49545D}"/>
    <cellStyle name="Ruim" xfId="8" builtinId="27"/>
    <cellStyle name="Vírgula" xfId="13" builtinId="3"/>
  </cellStyles>
  <dxfs count="861">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numFmt numFmtId="0" formatCode="General"/>
      <alignment horizontal="center" vertical="center"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right style="thin">
          <color indexed="64"/>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border diagonalUp="0" diagonalDown="0" outline="0">
        <left style="thin">
          <color indexed="64"/>
        </left>
        <right/>
        <top/>
        <bottom/>
      </border>
    </dxf>
    <dxf>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alignment horizontal="center"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strike val="0"/>
        <outline val="0"/>
        <shadow val="0"/>
        <u val="none"/>
        <vertAlign val="baseline"/>
        <sz val="10"/>
        <name val="Arial Nova"/>
        <family val="2"/>
        <scheme val="none"/>
      </font>
    </dxf>
    <dxf>
      <alignment horizontal="left" vertical="bottom" textRotation="9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horizontal="general" vertical="bottom" textRotation="0" wrapText="0" indent="0" justifyLastLine="0" shrinkToFit="0" readingOrder="0"/>
    </dxf>
    <dxf>
      <numFmt numFmtId="164" formatCode="0.0%"/>
    </dxf>
    <dxf>
      <font>
        <b val="0"/>
        <i val="0"/>
        <strike val="0"/>
        <condense val="0"/>
        <extend val="0"/>
        <outline val="0"/>
        <shadow val="0"/>
        <u val="none"/>
        <vertAlign val="baseline"/>
        <sz val="6"/>
        <color theme="1"/>
        <name val="Arial Nova"/>
        <family val="2"/>
        <scheme val="none"/>
      </font>
      <fill>
        <patternFill patternType="solid">
          <fgColor indexed="64"/>
          <bgColor theme="8" tint="0.79998168889431442"/>
        </patternFill>
      </fill>
      <alignment horizontal="left" vertical="center" textRotation="0" wrapText="1" indent="0" justifyLastLine="0" shrinkToFit="0" readingOrder="0"/>
      <border diagonalUp="0" diagonalDown="0">
        <left/>
        <right style="hair">
          <color theme="0"/>
        </right>
        <top style="hair">
          <color theme="0"/>
        </top>
        <bottom style="hair">
          <color theme="0"/>
        </bottom>
        <vertical/>
        <horizontal/>
      </border>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i val="0"/>
        <strike val="0"/>
        <condense val="0"/>
        <extend val="0"/>
        <outline val="0"/>
        <shadow val="0"/>
        <u val="none"/>
        <vertAlign val="baseline"/>
        <sz val="10"/>
        <color theme="1"/>
        <name val="Arial Nova"/>
        <family val="2"/>
        <scheme val="none"/>
      </font>
      <alignment horizontal="left" vertical="center"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Nova"/>
        <family val="2"/>
        <scheme val="none"/>
      </font>
      <alignment horizontal="right" vertical="top" textRotation="0" wrapText="0" indent="0" justifyLastLine="0" shrinkToFit="0" readingOrder="0"/>
    </dxf>
    <dxf>
      <font>
        <b/>
        <i val="0"/>
        <strike val="0"/>
        <condense val="0"/>
        <extend val="0"/>
        <outline val="0"/>
        <shadow val="0"/>
        <u val="none"/>
        <vertAlign val="baseline"/>
        <sz val="10"/>
        <color theme="1"/>
        <name val="Arial Nova"/>
        <family val="2"/>
        <scheme val="none"/>
      </font>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medium">
          <color indexed="64"/>
        </left>
        <right/>
        <top/>
        <bottom/>
        <vertical/>
        <horizontal/>
      </border>
    </dxf>
    <dxf>
      <numFmt numFmtId="0" formatCode="General"/>
    </dxf>
    <dxf>
      <numFmt numFmtId="0" formatCode="General"/>
    </dxf>
    <dxf>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numFmt numFmtId="0" formatCode="General"/>
    </dxf>
    <dxf>
      <font>
        <strike val="0"/>
        <outline val="0"/>
        <shadow val="0"/>
        <u val="none"/>
        <vertAlign val="baseline"/>
        <sz val="10"/>
        <color theme="6" tint="-0.499984740745262"/>
        <name val="Arial"/>
        <family val="2"/>
        <scheme val="none"/>
      </font>
      <numFmt numFmtId="0" formatCode="General"/>
    </dxf>
    <dxf>
      <font>
        <b val="0"/>
        <i val="0"/>
        <strike val="0"/>
        <condense val="0"/>
        <extend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color theme="6" tint="-0.499984740745262"/>
      </font>
      <numFmt numFmtId="0" formatCode="General"/>
      <alignment horizontal="center" vertical="bottom" indent="0" justifyLastLine="0" shrinkToFit="0" readingOrder="0"/>
    </dxf>
    <dxf>
      <font>
        <strike val="0"/>
        <outline val="0"/>
        <shadow val="0"/>
        <u val="none"/>
        <vertAlign val="baseline"/>
        <sz val="10"/>
        <color theme="6" tint="-0.499984740745262"/>
        <name val="Arial"/>
        <family val="2"/>
      </font>
      <numFmt numFmtId="0" formatCode="General"/>
      <border diagonalUp="0" diagonalDown="0">
        <left style="medium">
          <color indexed="64"/>
        </left>
        <right/>
        <top/>
        <bottom/>
        <vertical/>
        <horizontal/>
      </border>
    </dxf>
    <dxf>
      <font>
        <b val="0"/>
        <i val="0"/>
        <strike val="0"/>
        <condense val="0"/>
        <extend val="0"/>
        <outline val="0"/>
        <shadow val="0"/>
        <u val="none"/>
        <vertAlign val="baseline"/>
        <sz val="10"/>
        <color theme="6" tint="-0.499984740745262"/>
        <name val="Arial"/>
        <family val="2"/>
        <scheme val="none"/>
      </font>
    </dxf>
    <dxf>
      <font>
        <b val="0"/>
        <i val="0"/>
        <strike val="0"/>
        <condense val="0"/>
        <extend val="0"/>
        <outline val="0"/>
        <shadow val="0"/>
        <u val="none"/>
        <vertAlign val="baseline"/>
        <sz val="10"/>
        <color theme="6" tint="-0.499984740745262"/>
        <name val="Arial"/>
        <family val="2"/>
        <scheme val="none"/>
      </font>
      <numFmt numFmtId="0" formatCode="Genera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highly_cited!$B$1</c:f>
              <c:strCache>
                <c:ptCount val="1"/>
                <c:pt idx="0">
                  <c:v>Research methodology</c:v>
                </c:pt>
              </c:strCache>
            </c:strRef>
          </c:tx>
          <c:spPr>
            <a:solidFill>
              <a:srgbClr val="6073B2"/>
            </a:solidFill>
            <a:ln w="9525" cap="flat" cmpd="sng" algn="ctr">
              <a:noFill/>
              <a:round/>
            </a:ln>
            <a:effectLst/>
          </c:spPr>
          <c:invertIfNegative val="0"/>
          <c:dLbls>
            <c:delete val="1"/>
          </c:dLbls>
          <c:cat>
            <c:strRef>
              <c:f>highly_cited!$A$2:$A$15</c:f>
              <c:strCache>
                <c:ptCount val="14"/>
                <c:pt idx="0">
                  <c:v>Availability of human resource</c:v>
                </c:pt>
                <c:pt idx="1">
                  <c:v>Software support tools</c:v>
                </c:pt>
                <c:pt idx="2">
                  <c:v>Effective leadership</c:v>
                </c:pt>
                <c:pt idx="3">
                  <c:v>Degree of cooperation</c:v>
                </c:pt>
                <c:pt idx="4">
                  <c:v>Geographical dimension</c:v>
                </c:pt>
                <c:pt idx="5">
                  <c:v>Defined of roles and responsibilities</c:v>
                </c:pt>
                <c:pt idx="6">
                  <c:v>Knowledge interchange rate</c:v>
                </c:pt>
                <c:pt idx="7">
                  <c:v>English domain</c:v>
                </c:pt>
                <c:pt idx="8">
                  <c:v>Temporal distances</c:v>
                </c:pt>
                <c:pt idx="9">
                  <c:v>Team issues </c:v>
                </c:pt>
                <c:pt idx="10">
                  <c:v>Coordination challenges level</c:v>
                </c:pt>
                <c:pt idx="11">
                  <c:v>Trust building</c:v>
                </c:pt>
                <c:pt idx="12">
                  <c:v>Cultural differences among teams</c:v>
                </c:pt>
                <c:pt idx="13">
                  <c:v>Communication</c:v>
                </c:pt>
              </c:strCache>
            </c:strRef>
          </c:cat>
          <c:val>
            <c:numRef>
              <c:f>highly_cited!$B$2:$B$15</c:f>
              <c:numCache>
                <c:formatCode>0.0%</c:formatCode>
                <c:ptCount val="14"/>
                <c:pt idx="0">
                  <c:v>0.20833333333333334</c:v>
                </c:pt>
                <c:pt idx="1">
                  <c:v>0.22916666666666666</c:v>
                </c:pt>
                <c:pt idx="2">
                  <c:v>0.22916666666666666</c:v>
                </c:pt>
                <c:pt idx="3">
                  <c:v>0.25</c:v>
                </c:pt>
                <c:pt idx="4">
                  <c:v>0.29166666666666669</c:v>
                </c:pt>
                <c:pt idx="5">
                  <c:v>0.29166666666666669</c:v>
                </c:pt>
                <c:pt idx="6">
                  <c:v>0.33333333333333331</c:v>
                </c:pt>
                <c:pt idx="7">
                  <c:v>0.33333333333333331</c:v>
                </c:pt>
                <c:pt idx="8">
                  <c:v>0.375</c:v>
                </c:pt>
                <c:pt idx="9">
                  <c:v>0.375</c:v>
                </c:pt>
                <c:pt idx="10">
                  <c:v>0.45833333333333331</c:v>
                </c:pt>
                <c:pt idx="11">
                  <c:v>0.47916666666666669</c:v>
                </c:pt>
                <c:pt idx="12">
                  <c:v>0.47916666666666669</c:v>
                </c:pt>
                <c:pt idx="13">
                  <c:v>0.60416666666666663</c:v>
                </c:pt>
              </c:numCache>
            </c:numRef>
          </c:val>
          <c:extLst>
            <c:ext xmlns:c16="http://schemas.microsoft.com/office/drawing/2014/chart" uri="{C3380CC4-5D6E-409C-BE32-E72D297353CC}">
              <c16:uniqueId val="{00000000-B4DA-4D68-8A8F-65B6E017DEBF}"/>
            </c:ext>
          </c:extLst>
        </c:ser>
        <c:dLbls>
          <c:showLegendKey val="0"/>
          <c:showVal val="1"/>
          <c:showCatName val="0"/>
          <c:showSerName val="0"/>
          <c:showPercent val="0"/>
          <c:showBubbleSize val="0"/>
        </c:dLbls>
        <c:gapWidth val="75"/>
        <c:axId val="1262169184"/>
        <c:axId val="1262180000"/>
      </c:barChart>
      <c:catAx>
        <c:axId val="126216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80000"/>
        <c:crosses val="autoZero"/>
        <c:auto val="1"/>
        <c:lblAlgn val="ctr"/>
        <c:lblOffset val="100"/>
        <c:noMultiLvlLbl val="0"/>
      </c:catAx>
      <c:valAx>
        <c:axId val="1262180000"/>
        <c:scaling>
          <c:orientation val="minMax"/>
          <c:max val="0.70000000000000007"/>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6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[SI - file.xlsx]annual_sc_prod!Tabela dinâmica1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annual_sc_prod!$J$2:$J$3</c:f>
              <c:strCache>
                <c:ptCount val="1"/>
                <c:pt idx="0">
                  <c:v>Asia</c:v>
                </c:pt>
              </c:strCache>
            </c:strRef>
          </c:tx>
          <c:spPr>
            <a:solidFill>
              <a:schemeClr val="accent1"/>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annual_sc_prod!$J$4:$J$17</c:f>
              <c:numCache>
                <c:formatCode>General</c:formatCode>
                <c:ptCount val="13"/>
                <c:pt idx="2">
                  <c:v>1</c:v>
                </c:pt>
                <c:pt idx="3">
                  <c:v>1</c:v>
                </c:pt>
                <c:pt idx="5">
                  <c:v>2</c:v>
                </c:pt>
                <c:pt idx="6">
                  <c:v>3</c:v>
                </c:pt>
                <c:pt idx="7">
                  <c:v>2</c:v>
                </c:pt>
                <c:pt idx="8">
                  <c:v>2</c:v>
                </c:pt>
                <c:pt idx="9">
                  <c:v>6</c:v>
                </c:pt>
                <c:pt idx="10">
                  <c:v>11</c:v>
                </c:pt>
                <c:pt idx="11">
                  <c:v>6</c:v>
                </c:pt>
                <c:pt idx="12">
                  <c:v>2</c:v>
                </c:pt>
              </c:numCache>
            </c:numRef>
          </c:val>
          <c:extLst>
            <c:ext xmlns:c16="http://schemas.microsoft.com/office/drawing/2014/chart" uri="{C3380CC4-5D6E-409C-BE32-E72D297353CC}">
              <c16:uniqueId val="{00000000-DA96-4788-B196-6C652912FAE5}"/>
            </c:ext>
          </c:extLst>
        </c:ser>
        <c:ser>
          <c:idx val="1"/>
          <c:order val="1"/>
          <c:tx>
            <c:strRef>
              <c:f>annual_sc_prod!$K$2:$K$3</c:f>
              <c:strCache>
                <c:ptCount val="1"/>
                <c:pt idx="0">
                  <c:v>Australia</c:v>
                </c:pt>
              </c:strCache>
            </c:strRef>
          </c:tx>
          <c:spPr>
            <a:solidFill>
              <a:schemeClr val="accent2"/>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annual_sc_prod!$K$4:$K$17</c:f>
              <c:numCache>
                <c:formatCode>General</c:formatCode>
                <c:ptCount val="13"/>
                <c:pt idx="10">
                  <c:v>2</c:v>
                </c:pt>
                <c:pt idx="11">
                  <c:v>1</c:v>
                </c:pt>
                <c:pt idx="12">
                  <c:v>1</c:v>
                </c:pt>
              </c:numCache>
            </c:numRef>
          </c:val>
          <c:extLst>
            <c:ext xmlns:c16="http://schemas.microsoft.com/office/drawing/2014/chart" uri="{C3380CC4-5D6E-409C-BE32-E72D297353CC}">
              <c16:uniqueId val="{0000000E-DA96-4788-B196-6C652912FAE5}"/>
            </c:ext>
          </c:extLst>
        </c:ser>
        <c:ser>
          <c:idx val="2"/>
          <c:order val="2"/>
          <c:tx>
            <c:strRef>
              <c:f>annual_sc_prod!$L$2:$L$3</c:f>
              <c:strCache>
                <c:ptCount val="1"/>
                <c:pt idx="0">
                  <c:v>Europe</c:v>
                </c:pt>
              </c:strCache>
            </c:strRef>
          </c:tx>
          <c:spPr>
            <a:solidFill>
              <a:schemeClr val="accent3"/>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annual_sc_prod!$L$4:$L$17</c:f>
              <c:numCache>
                <c:formatCode>General</c:formatCode>
                <c:ptCount val="13"/>
                <c:pt idx="0">
                  <c:v>1</c:v>
                </c:pt>
                <c:pt idx="1">
                  <c:v>2</c:v>
                </c:pt>
                <c:pt idx="2">
                  <c:v>3</c:v>
                </c:pt>
                <c:pt idx="3">
                  <c:v>1</c:v>
                </c:pt>
                <c:pt idx="5">
                  <c:v>1</c:v>
                </c:pt>
                <c:pt idx="6">
                  <c:v>2</c:v>
                </c:pt>
                <c:pt idx="8">
                  <c:v>1</c:v>
                </c:pt>
                <c:pt idx="9">
                  <c:v>2</c:v>
                </c:pt>
                <c:pt idx="10">
                  <c:v>1</c:v>
                </c:pt>
                <c:pt idx="11">
                  <c:v>1</c:v>
                </c:pt>
                <c:pt idx="12">
                  <c:v>1</c:v>
                </c:pt>
              </c:numCache>
            </c:numRef>
          </c:val>
          <c:extLst>
            <c:ext xmlns:c16="http://schemas.microsoft.com/office/drawing/2014/chart" uri="{C3380CC4-5D6E-409C-BE32-E72D297353CC}">
              <c16:uniqueId val="{0000000F-DA96-4788-B196-6C652912FAE5}"/>
            </c:ext>
          </c:extLst>
        </c:ser>
        <c:ser>
          <c:idx val="3"/>
          <c:order val="3"/>
          <c:tx>
            <c:strRef>
              <c:f>annual_sc_prod!$M$2:$M$3</c:f>
              <c:strCache>
                <c:ptCount val="1"/>
                <c:pt idx="0">
                  <c:v>North America</c:v>
                </c:pt>
              </c:strCache>
            </c:strRef>
          </c:tx>
          <c:spPr>
            <a:solidFill>
              <a:schemeClr val="accent4"/>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annual_sc_prod!$M$4:$M$17</c:f>
              <c:numCache>
                <c:formatCode>General</c:formatCode>
                <c:ptCount val="13"/>
                <c:pt idx="1">
                  <c:v>1</c:v>
                </c:pt>
                <c:pt idx="3">
                  <c:v>1</c:v>
                </c:pt>
                <c:pt idx="4">
                  <c:v>1</c:v>
                </c:pt>
                <c:pt idx="7">
                  <c:v>1</c:v>
                </c:pt>
                <c:pt idx="12">
                  <c:v>2</c:v>
                </c:pt>
              </c:numCache>
            </c:numRef>
          </c:val>
          <c:extLst>
            <c:ext xmlns:c16="http://schemas.microsoft.com/office/drawing/2014/chart" uri="{C3380CC4-5D6E-409C-BE32-E72D297353CC}">
              <c16:uniqueId val="{00000010-DA96-4788-B196-6C652912FAE5}"/>
            </c:ext>
          </c:extLst>
        </c:ser>
        <c:ser>
          <c:idx val="4"/>
          <c:order val="4"/>
          <c:tx>
            <c:strRef>
              <c:f>annual_sc_prod!$N$2:$N$3</c:f>
              <c:strCache>
                <c:ptCount val="1"/>
                <c:pt idx="0">
                  <c:v>South America</c:v>
                </c:pt>
              </c:strCache>
            </c:strRef>
          </c:tx>
          <c:spPr>
            <a:solidFill>
              <a:schemeClr val="accent5"/>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annual_sc_prod!$N$4:$N$17</c:f>
              <c:numCache>
                <c:formatCode>General</c:formatCode>
                <c:ptCount val="13"/>
                <c:pt idx="8">
                  <c:v>1</c:v>
                </c:pt>
                <c:pt idx="11">
                  <c:v>2</c:v>
                </c:pt>
              </c:numCache>
            </c:numRef>
          </c:val>
          <c:extLst>
            <c:ext xmlns:c16="http://schemas.microsoft.com/office/drawing/2014/chart" uri="{C3380CC4-5D6E-409C-BE32-E72D297353CC}">
              <c16:uniqueId val="{00000011-DA96-4788-B196-6C652912FAE5}"/>
            </c:ext>
          </c:extLst>
        </c:ser>
        <c:dLbls>
          <c:showLegendKey val="0"/>
          <c:showVal val="0"/>
          <c:showCatName val="0"/>
          <c:showSerName val="0"/>
          <c:showPercent val="0"/>
          <c:showBubbleSize val="0"/>
        </c:dLbls>
        <c:gapWidth val="219"/>
        <c:overlap val="100"/>
        <c:axId val="1111369071"/>
        <c:axId val="1111380303"/>
      </c:barChart>
      <c:catAx>
        <c:axId val="111136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80303"/>
        <c:crosses val="autoZero"/>
        <c:auto val="1"/>
        <c:lblAlgn val="ctr"/>
        <c:lblOffset val="100"/>
        <c:noMultiLvlLbl val="0"/>
      </c:catAx>
      <c:valAx>
        <c:axId val="111138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509270</xdr:colOff>
      <xdr:row>1</xdr:row>
      <xdr:rowOff>102870</xdr:rowOff>
    </xdr:from>
    <xdr:to>
      <xdr:col>13</xdr:col>
      <xdr:colOff>261620</xdr:colOff>
      <xdr:row>19</xdr:row>
      <xdr:rowOff>158750</xdr:rowOff>
    </xdr:to>
    <xdr:graphicFrame macro="">
      <xdr:nvGraphicFramePr>
        <xdr:cNvPr id="2" name="Gráfico 1">
          <a:extLst>
            <a:ext uri="{FF2B5EF4-FFF2-40B4-BE49-F238E27FC236}">
              <a16:creationId xmlns:a16="http://schemas.microsoft.com/office/drawing/2014/main" id="{C1087C99-16FB-42B8-A325-2CED211FC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571500</xdr:colOff>
      <xdr:row>7</xdr:row>
      <xdr:rowOff>25310</xdr:rowOff>
    </xdr:from>
    <xdr:to>
      <xdr:col>26</xdr:col>
      <xdr:colOff>272143</xdr:colOff>
      <xdr:row>13</xdr:row>
      <xdr:rowOff>40823</xdr:rowOff>
    </xdr:to>
    <xdr:sp macro="" textlink="">
      <xdr:nvSpPr>
        <xdr:cNvPr id="5" name="Retângulo: Cantos Arredondados 4">
          <a:extLst>
            <a:ext uri="{FF2B5EF4-FFF2-40B4-BE49-F238E27FC236}">
              <a16:creationId xmlns:a16="http://schemas.microsoft.com/office/drawing/2014/main" id="{33FFEF1F-FE2B-9B70-4563-223D75DD3A35}"/>
            </a:ext>
          </a:extLst>
        </xdr:cNvPr>
        <xdr:cNvSpPr/>
      </xdr:nvSpPr>
      <xdr:spPr>
        <a:xfrm>
          <a:off x="20655643" y="1263560"/>
          <a:ext cx="2762250" cy="10768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600"/>
            <a:t>Ver arquivo</a:t>
          </a:r>
          <a:r>
            <a:rPr lang="pt-BR" sz="1600" baseline="0"/>
            <a:t> Versão V12</a:t>
          </a:r>
          <a:endParaRPr lang="pt-BR"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49793</xdr:colOff>
      <xdr:row>17</xdr:row>
      <xdr:rowOff>126649</xdr:rowOff>
    </xdr:from>
    <xdr:to>
      <xdr:col>12</xdr:col>
      <xdr:colOff>831500</xdr:colOff>
      <xdr:row>32</xdr:row>
      <xdr:rowOff>107074</xdr:rowOff>
    </xdr:to>
    <xdr:graphicFrame macro="">
      <xdr:nvGraphicFramePr>
        <xdr:cNvPr id="2" name="Gráfico 1">
          <a:extLst>
            <a:ext uri="{FF2B5EF4-FFF2-40B4-BE49-F238E27FC236}">
              <a16:creationId xmlns:a16="http://schemas.microsoft.com/office/drawing/2014/main" id="{DD8CEFD3-8DE3-52FD-3272-D53BA7A03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rivelton" id="{0EE782FA-D5D1-48A0-9F55-4384E838DB0E}" userId="Erivelton" providerId="None"/>
  <person displayName="erivelton.santos@unifenas.br" id="{0B3164CC-0288-4BC2-866E-8AB519A98AD1}" userId="erivelton.santos@unifenas.br"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velton A dos Santos" refreshedDate="44868.312656828704" createdVersion="8" refreshedVersion="8" minRefreshableVersion="3" recordCount="65" xr:uid="{3AFD2ABC-87E0-4729-881F-8C62B6B3875A}">
  <cacheSource type="worksheet">
    <worksheetSource ref="B2:E67" sheet="annual_sc_prod"/>
  </cacheSource>
  <cacheFields count="4">
    <cacheField name="Int code" numFmtId="0">
      <sharedItems/>
    </cacheField>
    <cacheField name="Affiliations CITY" numFmtId="0">
      <sharedItems/>
    </cacheField>
    <cacheField name="Continent" numFmtId="0">
      <sharedItems count="5">
        <s v="Europe"/>
        <s v="Asia"/>
        <s v="South America"/>
        <s v="North America"/>
        <s v="Australia"/>
      </sharedItems>
    </cacheField>
    <cacheField name="Year" numFmtId="0">
      <sharedItems containsSemiMixedTypes="0" containsString="0" containsNumber="1" containsInteger="1" minValue="2007" maxValue="2022" count="13">
        <n v="2015"/>
        <n v="2013"/>
        <n v="2020"/>
        <n v="2012"/>
        <n v="2018"/>
        <n v="2017"/>
        <n v="2014"/>
        <n v="2011"/>
        <n v="2007"/>
        <n v="2016"/>
        <n v="2019"/>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L06"/>
    <s v="NORWAY"/>
    <x v="0"/>
    <x v="0"/>
  </r>
  <r>
    <s v="L09"/>
    <s v="SWEDEN"/>
    <x v="0"/>
    <x v="1"/>
  </r>
  <r>
    <s v="L16"/>
    <s v="GERMANY"/>
    <x v="0"/>
    <x v="2"/>
  </r>
  <r>
    <s v="L22"/>
    <s v="CHINA"/>
    <x v="1"/>
    <x v="1"/>
  </r>
  <r>
    <s v="L26"/>
    <s v="IRELAND"/>
    <x v="0"/>
    <x v="3"/>
  </r>
  <r>
    <s v="L31"/>
    <s v="BRAZIL"/>
    <x v="2"/>
    <x v="4"/>
  </r>
  <r>
    <s v="L32"/>
    <s v="PAKISTAN"/>
    <x v="1"/>
    <x v="5"/>
  </r>
  <r>
    <s v="L36"/>
    <s v="USA"/>
    <x v="3"/>
    <x v="6"/>
  </r>
  <r>
    <s v="L37"/>
    <s v="GERMANY"/>
    <x v="0"/>
    <x v="3"/>
  </r>
  <r>
    <s v="L38"/>
    <s v="MEXICO"/>
    <x v="3"/>
    <x v="7"/>
  </r>
  <r>
    <s v="L39"/>
    <s v="FINLAND"/>
    <x v="0"/>
    <x v="8"/>
  </r>
  <r>
    <s v="L41"/>
    <s v="DENMARK"/>
    <x v="0"/>
    <x v="9"/>
  </r>
  <r>
    <s v="L44"/>
    <s v="CHINA"/>
    <x v="1"/>
    <x v="2"/>
  </r>
  <r>
    <s v="L46"/>
    <s v="PAKISTAN"/>
    <x v="1"/>
    <x v="3"/>
  </r>
  <r>
    <s v="L50"/>
    <s v="CHINA"/>
    <x v="1"/>
    <x v="2"/>
  </r>
  <r>
    <s v="L51"/>
    <s v="INDONESIA"/>
    <x v="1"/>
    <x v="2"/>
  </r>
  <r>
    <s v="L54"/>
    <s v="PAKISTAN"/>
    <x v="1"/>
    <x v="10"/>
  </r>
  <r>
    <s v="L55"/>
    <s v="JORDAN"/>
    <x v="1"/>
    <x v="10"/>
  </r>
  <r>
    <s v="L58"/>
    <s v="INDIA"/>
    <x v="1"/>
    <x v="2"/>
  </r>
  <r>
    <s v="L59"/>
    <s v="CHINA"/>
    <x v="1"/>
    <x v="2"/>
  </r>
  <r>
    <s v="L60"/>
    <s v="CHINA"/>
    <x v="1"/>
    <x v="10"/>
  </r>
  <r>
    <s v="L61"/>
    <s v="PAKISTAN"/>
    <x v="1"/>
    <x v="5"/>
  </r>
  <r>
    <s v="L62"/>
    <s v="INDIA"/>
    <x v="1"/>
    <x v="0"/>
  </r>
  <r>
    <s v="L66"/>
    <s v="PAKISTAN"/>
    <x v="1"/>
    <x v="9"/>
  </r>
  <r>
    <s v="L67"/>
    <s v="CHINA"/>
    <x v="1"/>
    <x v="4"/>
  </r>
  <r>
    <s v="L68"/>
    <s v="PAKISTAN"/>
    <x v="1"/>
    <x v="9"/>
  </r>
  <r>
    <s v="L69"/>
    <s v="CHINA"/>
    <x v="1"/>
    <x v="2"/>
  </r>
  <r>
    <s v="L71"/>
    <s v="PAKISTAN"/>
    <x v="1"/>
    <x v="9"/>
  </r>
  <r>
    <s v="L72"/>
    <s v="INDIA"/>
    <x v="1"/>
    <x v="10"/>
  </r>
  <r>
    <s v="L75"/>
    <s v="ROMANIA"/>
    <x v="0"/>
    <x v="7"/>
  </r>
  <r>
    <s v="L76"/>
    <s v="GREECE"/>
    <x v="0"/>
    <x v="7"/>
  </r>
  <r>
    <s v="L78"/>
    <s v="CANADA"/>
    <x v="3"/>
    <x v="1"/>
  </r>
  <r>
    <s v="L83"/>
    <s v="FINLAND"/>
    <x v="0"/>
    <x v="10"/>
  </r>
  <r>
    <s v="L84"/>
    <s v="PAKISTAN"/>
    <x v="1"/>
    <x v="10"/>
  </r>
  <r>
    <s v="L85"/>
    <s v="INDIA"/>
    <x v="1"/>
    <x v="4"/>
  </r>
  <r>
    <s v="L86"/>
    <s v="SPAIN"/>
    <x v="0"/>
    <x v="4"/>
  </r>
  <r>
    <s v="L89"/>
    <s v="SWEDEN"/>
    <x v="0"/>
    <x v="9"/>
  </r>
  <r>
    <s v="L90"/>
    <s v="SPAIN"/>
    <x v="0"/>
    <x v="3"/>
  </r>
  <r>
    <s v="L93"/>
    <s v="CHINA"/>
    <x v="1"/>
    <x v="2"/>
  </r>
  <r>
    <s v="L94"/>
    <s v="SPAIN"/>
    <x v="0"/>
    <x v="10"/>
  </r>
  <r>
    <s v="L96"/>
    <s v="USA"/>
    <x v="3"/>
    <x v="5"/>
  </r>
  <r>
    <s v="L97"/>
    <s v="INDIA"/>
    <x v="1"/>
    <x v="2"/>
  </r>
  <r>
    <s v="L98"/>
    <s v="PAKISTAN"/>
    <x v="1"/>
    <x v="10"/>
  </r>
  <r>
    <s v="L101"/>
    <s v="AUSTRALIA"/>
    <x v="4"/>
    <x v="2"/>
  </r>
  <r>
    <s v="L102"/>
    <s v="CHINA"/>
    <x v="1"/>
    <x v="2"/>
  </r>
  <r>
    <s v="L103"/>
    <s v="AUSTRALIA"/>
    <x v="4"/>
    <x v="2"/>
  </r>
  <r>
    <s v="L108"/>
    <s v="CHINA"/>
    <x v="1"/>
    <x v="2"/>
  </r>
  <r>
    <s v="L109"/>
    <s v="PAKISTAN"/>
    <x v="1"/>
    <x v="11"/>
  </r>
  <r>
    <s v="L116"/>
    <s v="INDIA"/>
    <x v="1"/>
    <x v="0"/>
  </r>
  <r>
    <s v="L117"/>
    <s v="USA"/>
    <x v="3"/>
    <x v="12"/>
  </r>
  <r>
    <s v="L118"/>
    <s v="MALASIA"/>
    <x v="1"/>
    <x v="11"/>
  </r>
  <r>
    <s v="L119"/>
    <s v="INDONESIA"/>
    <x v="1"/>
    <x v="11"/>
  </r>
  <r>
    <s v="L120"/>
    <s v="INDIA"/>
    <x v="1"/>
    <x v="2"/>
  </r>
  <r>
    <s v="L121"/>
    <s v="AUSTRALIA"/>
    <x v="4"/>
    <x v="12"/>
  </r>
  <r>
    <s v="L122"/>
    <s v="PAKISTAN"/>
    <x v="1"/>
    <x v="11"/>
  </r>
  <r>
    <s v="L123"/>
    <s v="PAKISTAN"/>
    <x v="1"/>
    <x v="11"/>
  </r>
  <r>
    <s v="L124"/>
    <s v="PAKISTAN"/>
    <x v="1"/>
    <x v="12"/>
  </r>
  <r>
    <s v="L125"/>
    <s v="CHINA"/>
    <x v="1"/>
    <x v="11"/>
  </r>
  <r>
    <s v="L126"/>
    <s v="COSTA RICA"/>
    <x v="2"/>
    <x v="11"/>
  </r>
  <r>
    <s v="L110"/>
    <s v="COLOMBIA"/>
    <x v="2"/>
    <x v="11"/>
  </r>
  <r>
    <s v="L111"/>
    <s v="ESPANHA"/>
    <x v="0"/>
    <x v="12"/>
  </r>
  <r>
    <s v="L112"/>
    <s v="USA"/>
    <x v="3"/>
    <x v="12"/>
  </r>
  <r>
    <s v="L113"/>
    <s v="SUECIA"/>
    <x v="0"/>
    <x v="11"/>
  </r>
  <r>
    <s v="L114"/>
    <s v="AUSTRALIA"/>
    <x v="4"/>
    <x v="11"/>
  </r>
  <r>
    <s v="L115"/>
    <s v="MALASIA"/>
    <x v="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61EF3C-812D-4322-8C4D-CA41B87F2F60}"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I2:O17" firstHeaderRow="1" firstDataRow="2" firstDataCol="1"/>
  <pivotFields count="4">
    <pivotField showAll="0"/>
    <pivotField showAll="0"/>
    <pivotField axis="axisCol" dataField="1" showAll="0">
      <items count="6">
        <item x="1"/>
        <item x="4"/>
        <item x="0"/>
        <item x="3"/>
        <item x="2"/>
        <item t="default"/>
      </items>
    </pivotField>
    <pivotField axis="axisRow" showAll="0">
      <items count="14">
        <item x="8"/>
        <item x="7"/>
        <item x="3"/>
        <item x="1"/>
        <item x="6"/>
        <item x="0"/>
        <item x="9"/>
        <item x="5"/>
        <item x="4"/>
        <item x="10"/>
        <item x="2"/>
        <item x="11"/>
        <item x="12"/>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6">
    <i>
      <x/>
    </i>
    <i>
      <x v="1"/>
    </i>
    <i>
      <x v="2"/>
    </i>
    <i>
      <x v="3"/>
    </i>
    <i>
      <x v="4"/>
    </i>
    <i t="grand">
      <x/>
    </i>
  </colItems>
  <dataFields count="1">
    <dataField name="Contagem de Continent" fld="2" subtotal="count" baseField="0" baseItem="0"/>
  </dataFields>
  <chartFormats count="19">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3" count="1" selected="0">
            <x v="10"/>
          </reference>
        </references>
      </pivotArea>
    </chartFormat>
    <chartFormat chart="1"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2">
          <reference field="4294967294" count="1" selected="0">
            <x v="0"/>
          </reference>
          <reference field="3" count="1" selected="0">
            <x v="1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2">
          <reference field="4294967294" count="1" selected="0">
            <x v="0"/>
          </reference>
          <reference field="2" count="1" selected="0">
            <x v="1"/>
          </reference>
        </references>
      </pivotArea>
    </chartFormat>
    <chartFormat chart="1" format="15" series="1">
      <pivotArea type="data" outline="0" fieldPosition="0">
        <references count="2">
          <reference field="4294967294" count="1" selected="0">
            <x v="0"/>
          </reference>
          <reference field="2" count="1" selected="0">
            <x v="2"/>
          </reference>
        </references>
      </pivotArea>
    </chartFormat>
    <chartFormat chart="1" format="16" series="1">
      <pivotArea type="data" outline="0" fieldPosition="0">
        <references count="2">
          <reference field="4294967294" count="1" selected="0">
            <x v="0"/>
          </reference>
          <reference field="2" count="1" selected="0">
            <x v="3"/>
          </reference>
        </references>
      </pivotArea>
    </chartFormat>
    <chartFormat chart="1" format="17" series="1">
      <pivotArea type="data" outline="0" fieldPosition="0">
        <references count="2">
          <reference field="4294967294" count="1" selected="0">
            <x v="0"/>
          </reference>
          <reference field="2" count="1" selected="0">
            <x v="4"/>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1661C4A8-6F72-4C31-A82A-6D6D1A12C1C1}" autoFormatId="16" applyNumberFormats="0" applyBorderFormats="0" applyFontFormats="0" applyPatternFormats="0" applyAlignmentFormats="0" applyWidthHeightFormats="0">
  <queryTableRefresh nextId="75">
    <queryTableFields count="61">
      <queryTableField id="3" name="Title" tableColumnId="3"/>
      <queryTableField id="70" dataBound="0" tableColumnId="62"/>
      <queryTableField id="67" dataBound="0" tableColumnId="61"/>
      <queryTableField id="57" dataBound="0" tableColumnId="56"/>
      <queryTableField id="64" dataBound="0" tableColumnId="58"/>
      <queryTableField id="66" dataBound="0" tableColumnId="60"/>
      <queryTableField id="65" dataBound="0" tableColumnId="59"/>
      <queryTableField id="13" dataBound="0" tableColumnId="13"/>
      <queryTableField id="2" dataBound="0" tableColumnId="2"/>
      <queryTableField id="17" dataBound="0" tableColumnId="17"/>
      <queryTableField id="74" dataBound="0" tableColumnId="63"/>
      <queryTableField id="4" name="Year" tableColumnId="4"/>
      <queryTableField id="1" dataBound="0" tableColumnId="1"/>
      <queryTableField id="5" dataBound="0" tableColumnId="5"/>
      <queryTableField id="6" dataBound="0" tableColumnId="6"/>
      <queryTableField id="7" dataBound="0" tableColumnId="7"/>
      <queryTableField id="8" name="Art. No." tableColumnId="8"/>
      <queryTableField id="9" dataBound="0" tableColumnId="9"/>
      <queryTableField id="10" dataBound="0" tableColumnId="10"/>
      <queryTableField id="11" dataBound="0" tableColumnId="11"/>
      <queryTableField id="12" dataBound="0" tableColumnId="12"/>
      <queryTableField id="56" dataBound="0" tableColumnId="14"/>
      <queryTableField id="15" name="Affiliations" tableColumnId="15"/>
      <queryTableField id="16" name="Authors with affiliations" tableColumnId="16"/>
      <queryTableField id="18" name="Author Keywords" tableColumnId="18"/>
      <queryTableField id="19" name="Index Keywords" tableColumnId="19"/>
      <queryTableField id="20" name="Molecular Sequence Numbers" tableColumnId="20"/>
      <queryTableField id="21" name="Chemicals/CAS" tableColumnId="21"/>
      <queryTableField id="22" name="Tradenames" tableColumnId="22"/>
      <queryTableField id="23" name="Manufacturers" tableColumnId="23"/>
      <queryTableField id="24" name="Funding Details" tableColumnId="24"/>
      <queryTableField id="25" name="Funding Text 1" tableColumnId="25"/>
      <queryTableField id="26" name="Funding Text 2" tableColumnId="26"/>
      <queryTableField id="27" name="Funding Text 3" tableColumnId="27"/>
      <queryTableField id="28" name="Funding Text 4" tableColumnId="28"/>
      <queryTableField id="29" name="Funding Text 5" tableColumnId="29"/>
      <queryTableField id="30" name="Funding Text 6" tableColumnId="30"/>
      <queryTableField id="31" name="Funding Text 7" tableColumnId="31"/>
      <queryTableField id="32" name="Funding Text 8" tableColumnId="32"/>
      <queryTableField id="33" name="Funding Text 9" tableColumnId="33"/>
      <queryTableField id="34" name="Funding Text 10" tableColumnId="34"/>
      <queryTableField id="35" name="References" tableColumnId="35"/>
      <queryTableField id="36" name="Correspondence Address" tableColumnId="36"/>
      <queryTableField id="37" name="Editors" tableColumnId="37"/>
      <queryTableField id="38" name="Sponsors" tableColumnId="38"/>
      <queryTableField id="39" name="Publisher" tableColumnId="39"/>
      <queryTableField id="40" name="Conference name" tableColumnId="40"/>
      <queryTableField id="41" name="Conference date" tableColumnId="41"/>
      <queryTableField id="42" name="Conference location" tableColumnId="42"/>
      <queryTableField id="43" name="Conference code" tableColumnId="43"/>
      <queryTableField id="44" name="ISSN" tableColumnId="44"/>
      <queryTableField id="45" name="ISBN" tableColumnId="45"/>
      <queryTableField id="46" name="CODEN" tableColumnId="46"/>
      <queryTableField id="47" name="PubMed ID" tableColumnId="47"/>
      <queryTableField id="48" name="Language of Original Document" tableColumnId="48"/>
      <queryTableField id="49" name="Abbreviated Source Title" tableColumnId="49"/>
      <queryTableField id="50" name="Document Type" tableColumnId="50"/>
      <queryTableField id="51" name="Publication Stage" tableColumnId="51"/>
      <queryTableField id="52" name="Open Access" tableColumnId="52"/>
      <queryTableField id="53" name="Source" tableColumnId="53"/>
      <queryTableField id="54" name="EID" tableColumnId="54"/>
    </queryTableFields>
    <queryTableDeletedFields count="12">
      <deletedField name="DOI"/>
      <deletedField name="Author(s) ID"/>
      <deletedField name="Abstract"/>
      <deletedField name="Authors"/>
      <deletedField name="Source title"/>
      <deletedField name="Volume"/>
      <deletedField name="Issue"/>
      <deletedField name="Page start"/>
      <deletedField name="Page end"/>
      <deletedField name="Page count"/>
      <deletedField name="Cited by"/>
      <deletedField name="Link"/>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B813A9-CCE4-4F70-8222-FC8B77600D65}" name="Tabela17" displayName="Tabela17" ref="A5:CC1037" totalsRowShown="0" headerRowDxfId="858" dataDxfId="857" headerRowCellStyle="Normal 2" dataCellStyle="Normal 2">
  <autoFilter ref="A5:CC1037" xr:uid="{B6B813A9-CCE4-4F70-8222-FC8B77600D65}">
    <filterColumn colId="2">
      <filters>
        <filter val="1"/>
      </filters>
    </filterColumn>
    <filterColumn colId="6">
      <filters>
        <filter val="1"/>
      </filters>
    </filterColumn>
  </autoFilter>
  <sortState xmlns:xlrd2="http://schemas.microsoft.com/office/spreadsheetml/2017/richdata2" ref="A6:CC134">
    <sortCondition descending="1" ref="E13:E1037"/>
  </sortState>
  <tableColumns count="81">
    <tableColumn id="9" xr3:uid="{5456168A-C4C5-4E26-882F-60D22F515983}" name="Article Title" dataDxfId="856" dataCellStyle="Normal 2"/>
    <tableColumn id="81" xr3:uid="{3342BF6D-2B23-4713-9A58-2F4FA631BF0F}" name="Int code" dataDxfId="855" dataCellStyle="Normal 2">
      <calculatedColumnFormula>+#REF!</calculatedColumnFormula>
    </tableColumn>
    <tableColumn id="79" xr3:uid="{BCB85E9E-82FC-4F68-964E-E9D3700B3149}" name="was the article found?" dataDxfId="854" dataCellStyle="Normal 2"/>
    <tableColumn id="74" xr3:uid="{D74295D8-6203-44CA-9358-0B8182C01C58}" name="DATABASE WOS 9-2-21" dataDxfId="853" dataCellStyle="Normal 2"/>
    <tableColumn id="75" xr3:uid="{542162C6-5409-4ADD-9DD5-BDAA1087D636}" name="title screen 2022" dataDxfId="852" dataCellStyle="Normal 2"/>
    <tableColumn id="78" xr3:uid="{073B7516-6AA6-49B9-87C9-59198B26C681}" name="ABS screen 2022" dataDxfId="851" dataCellStyle="Normal 2"/>
    <tableColumn id="80" xr3:uid="{F86175B0-E7C5-4CB2-B302-C864173AFC24}" name="Paper sreen" dataDxfId="850" dataCellStyle="Normal 2"/>
    <tableColumn id="73" xr3:uid="{E626316A-93FD-4FC7-B3AD-ED0A50123AB7}" name="Coluna2" dataDxfId="849" dataCellStyle="Normal 2 2"/>
    <tableColumn id="76" xr3:uid="{06FA11A7-0C19-4C39-8F33-05BA6A2F8ACC}" name="Coluna3" dataDxfId="848" dataCellStyle="Normal 2 2"/>
    <tableColumn id="77" xr3:uid="{C05D7E1F-8694-46C6-BC16-BA42797F2333}" name="Coluna1" dataDxfId="847" dataCellStyle="Normal 2 2"/>
    <tableColumn id="57" xr3:uid="{B87E3F26-504D-47A3-B357-0B9826558FBF}" name="Coluna4" dataDxfId="846" dataCellStyle="Normal 2 2"/>
    <tableColumn id="1" xr3:uid="{4CF37CB5-3677-4D81-8833-98D8EE55E5AD}" name="Coluna12" dataDxfId="845" dataCellStyle="Normal 2 2"/>
    <tableColumn id="2" xr3:uid="{C1375F4A-3E4F-4A2D-B971-6BE327DB34E1}" name="Coluna5" dataDxfId="844" dataCellStyle="Normal 2 2"/>
    <tableColumn id="3" xr3:uid="{1E24144D-EE8B-4A5A-B326-FCE4ADB99E9F}" name="Coluna7" dataDxfId="843" dataCellStyle="Normal 2 2"/>
    <tableColumn id="4" xr3:uid="{321D6028-4A09-46DD-8779-641F8EA7BB32}" name="Book Editors" dataDxfId="842" dataCellStyle="Normal 2"/>
    <tableColumn id="5" xr3:uid="{2CEA5D49-362B-49E9-A306-C5C1F7B56556}" name="Coluna9" dataDxfId="841" dataCellStyle="Normal 2 2"/>
    <tableColumn id="6" xr3:uid="{CAEDE4F0-AEA4-443D-94EE-2E3500678841}" name="Coluna8" dataDxfId="840" dataCellStyle="Normal 2"/>
    <tableColumn id="7" xr3:uid="{73C08A96-44F2-4246-B72B-C39E3C550CD4}" name="Coluna10" dataDxfId="839" dataCellStyle="Normal 2 2"/>
    <tableColumn id="8" xr3:uid="{3F9D19DE-96A5-4D69-B1DA-8FF67494ABEA}" name="Coluna11" dataDxfId="838" dataCellStyle="Normal 2 2"/>
    <tableColumn id="10" xr3:uid="{2DF205C7-AA7A-45BB-82EA-06B288E6BF70}" name="Coluna6" dataDxfId="837" dataCellStyle="Normal 2 2"/>
    <tableColumn id="11" xr3:uid="{6AE66E4E-0624-403E-A246-8B899B97FD09}" name="Coluna13" dataDxfId="836" dataCellStyle="Normal 2 2"/>
    <tableColumn id="12" xr3:uid="{1A9699A8-B1ED-480F-BAB7-156815E65AD1}" name="Coluna14" dataDxfId="835" dataCellStyle="Normal 2"/>
    <tableColumn id="13" xr3:uid="{7DF2C009-E8D2-44BD-BFF1-428335E6A0E1}" name="Language" dataDxfId="834" dataCellStyle="Normal 2"/>
    <tableColumn id="14" xr3:uid="{26FA1675-CBF8-45F1-B165-455B4FE9159B}" name="Document Type" dataDxfId="833" dataCellStyle="Normal 2"/>
    <tableColumn id="15" xr3:uid="{F84624BE-4D2E-4F00-80C0-941BE4D4AAF7}" name="Conference Title" dataDxfId="832" dataCellStyle="Normal 2"/>
    <tableColumn id="16" xr3:uid="{1A022029-3173-4ACF-BF0F-09ABB0F79270}" name="Conference Date" dataDxfId="831" dataCellStyle="Normal 2"/>
    <tableColumn id="17" xr3:uid="{0F046446-53D5-4366-BDCB-6714EBE5A7B0}" name="Conference Location" dataDxfId="830" dataCellStyle="Normal 2"/>
    <tableColumn id="18" xr3:uid="{CB744836-7DD9-4D34-8D63-0690E8AC9654}" name="Conference Sponsor" dataDxfId="829" dataCellStyle="Normal 2"/>
    <tableColumn id="19" xr3:uid="{45689B05-16B8-4BAD-81C5-9720A0988D82}" name="Conference Host" dataDxfId="828" dataCellStyle="Normal 2"/>
    <tableColumn id="20" xr3:uid="{6E4CA423-8A8D-4F59-92E6-628B6ED7F3FC}" name="Author Keywords" dataDxfId="827" dataCellStyle="Normal 2"/>
    <tableColumn id="21" xr3:uid="{081281C3-F395-4AE9-AE50-27D17126C561}" name="Keywords Plus" dataDxfId="826" dataCellStyle="Normal 2"/>
    <tableColumn id="22" xr3:uid="{33AEF667-CA49-454A-823A-D11FD3BDDC85}" name="Abstract" dataDxfId="825" dataCellStyle="Normal 2"/>
    <tableColumn id="23" xr3:uid="{D1E92892-C22F-49BE-9260-736B5D47F5C5}" name="Addresses" dataDxfId="824" dataCellStyle="Normal 2"/>
    <tableColumn id="24" xr3:uid="{FCB3BE64-E09A-4E79-8170-21D1A2AE4D4A}" name="Affiliations" dataDxfId="823" dataCellStyle="Normal 2"/>
    <tableColumn id="25" xr3:uid="{CACB63C3-7DD8-4BDA-B7FD-FD8C0045D46A}" name="Reprint Addresses" dataDxfId="822" dataCellStyle="Normal 2"/>
    <tableColumn id="26" xr3:uid="{F2777922-8FEE-45D3-9B09-03751EBA9141}" name="Email Addresses" dataDxfId="821" dataCellStyle="Normal 2"/>
    <tableColumn id="27" xr3:uid="{83C09C61-7D38-426B-AAE7-F6B61037C5F3}" name="Researcher Ids" dataDxfId="820" dataCellStyle="Normal 2"/>
    <tableColumn id="28" xr3:uid="{EBB0EE90-F90C-4CE6-800F-A9D05895F7A0}" name="ORCIDs" dataDxfId="819" dataCellStyle="Normal 2"/>
    <tableColumn id="29" xr3:uid="{91D7A406-F139-470B-AC4A-AC95FB1926D2}" name="Funding Orgs" dataDxfId="818" dataCellStyle="Normal 2"/>
    <tableColumn id="30" xr3:uid="{A4B1CD24-EEC1-4C96-B3B7-1A833C5233BA}" name="Funding Name Preferred" dataDxfId="817" dataCellStyle="Normal 2"/>
    <tableColumn id="31" xr3:uid="{BBA6F9F3-0A2C-4F51-B1C4-366F33776C8F}" name="Funding Text" dataDxfId="816" dataCellStyle="Normal 2"/>
    <tableColumn id="32" xr3:uid="{1B34FA67-B896-4500-8F06-796BD75403B6}" name="Cited References" dataDxfId="815" dataCellStyle="Normal 2"/>
    <tableColumn id="33" xr3:uid="{766FBCB1-63C2-4B06-B155-B3E12EE8F31F}" name="Cited Reference Count" dataDxfId="814" dataCellStyle="Normal 2"/>
    <tableColumn id="34" xr3:uid="{76BB4C99-6BA1-41D2-A089-832FF55FF5BE}" name="Times Cited, WoS Core" dataDxfId="813" dataCellStyle="Normal 2"/>
    <tableColumn id="35" xr3:uid="{1B345763-323C-4BE4-9F16-FBDC1B36BAE6}" name="Times Cited, All Databases" dataDxfId="812" dataCellStyle="Normal 2"/>
    <tableColumn id="36" xr3:uid="{3453B36E-B280-459D-A40F-7FD52DC4DE40}" name="180 Day Usage Count" dataDxfId="811" dataCellStyle="Normal 2"/>
    <tableColumn id="37" xr3:uid="{815ECEBC-E955-4156-9CC2-5310EE95D76C}" name="Since 2013 Usage Count" dataDxfId="810" dataCellStyle="Normal 2"/>
    <tableColumn id="38" xr3:uid="{48605D72-C161-4B54-8003-6AEC117EB6B8}" name="Publisher" dataDxfId="809" dataCellStyle="Normal 2"/>
    <tableColumn id="39" xr3:uid="{8292D074-BE6F-421F-9B95-3205BF0FB612}" name="Publisher City" dataDxfId="808" dataCellStyle="Normal 2"/>
    <tableColumn id="40" xr3:uid="{D6509135-E14F-486F-A8D4-6E21C175BD00}" name="Publisher Address" dataDxfId="807" dataCellStyle="Normal 2"/>
    <tableColumn id="41" xr3:uid="{5DD4202C-49EE-4C89-94C1-3CE377241A3F}" name="ISSN" dataDxfId="806" dataCellStyle="Normal 2"/>
    <tableColumn id="42" xr3:uid="{4C5D2206-0C6A-4149-951D-2BDF3E86117F}" name="eISSN" dataDxfId="805" dataCellStyle="Normal 2"/>
    <tableColumn id="43" xr3:uid="{05433881-D5FA-4BF1-9B73-89C1567153B3}" name="ISBN" dataDxfId="804" dataCellStyle="Normal 2"/>
    <tableColumn id="44" xr3:uid="{5D423D11-4733-4F2F-B1C5-F92F3605B6E7}" name="Journal Abbreviation" dataDxfId="803" dataCellStyle="Normal 2"/>
    <tableColumn id="45" xr3:uid="{0ACAE258-048E-4771-B937-14CD673D275D}" name="Journal ISO Abbreviation" dataDxfId="802" dataCellStyle="Normal 2"/>
    <tableColumn id="46" xr3:uid="{A72AFE66-1E4D-4B04-BF39-85B4ACA021AF}" name="Publication Date" dataDxfId="801" dataCellStyle="Normal 2"/>
    <tableColumn id="47" xr3:uid="{0E6D852A-D137-4028-8DE3-74CC8022A696}" name="Publication Year" dataDxfId="800" dataCellStyle="Normal 2"/>
    <tableColumn id="48" xr3:uid="{DD3FDC04-6B8E-4E9D-92CC-720812137E84}" name="Volume" dataDxfId="799" dataCellStyle="Normal 2"/>
    <tableColumn id="49" xr3:uid="{30771EA3-10F8-4E1E-A520-A14F1C08C1A4}" name="Issue" dataDxfId="798" dataCellStyle="Normal 2"/>
    <tableColumn id="50" xr3:uid="{72F02F57-B6A9-48AB-912D-3C8FC907944B}" name="Part Number" dataDxfId="797" dataCellStyle="Normal 2"/>
    <tableColumn id="51" xr3:uid="{E2F38984-AECA-4460-AE86-97522FD7F483}" name="Supplement" dataDxfId="796" dataCellStyle="Normal 2"/>
    <tableColumn id="52" xr3:uid="{DB4F21BC-D332-4A87-9C91-E667BEEF4527}" name="Special Issue" dataDxfId="795" dataCellStyle="Normal 2"/>
    <tableColumn id="53" xr3:uid="{C5DADBEA-C593-4242-9E19-CF7573EF297D}" name="Meeting Abstract" dataDxfId="794" dataCellStyle="Normal 2"/>
    <tableColumn id="54" xr3:uid="{6414FCBE-949D-42B3-B160-03EE50AB28A0}" name="Start Page" dataDxfId="793" dataCellStyle="Normal 2"/>
    <tableColumn id="55" xr3:uid="{6999B645-9C26-4BBA-9207-4F58B5BD807D}" name="End Page" dataDxfId="792" dataCellStyle="Normal 2"/>
    <tableColumn id="56" xr3:uid="{F56AFE9A-B79F-4D10-8A50-60A2B40F36A7}" name="Article Number" dataDxfId="791" dataCellStyle="Normal 2"/>
    <tableColumn id="58" xr3:uid="{F1EF88CA-4BF9-49D4-A7B2-8359E5881C90}" name="DOI Link" dataDxfId="790" dataCellStyle="Normal 2"/>
    <tableColumn id="59" xr3:uid="{71103D1D-FE8A-408F-9DF3-A15F39220704}" name="Book DOI" dataDxfId="789" dataCellStyle="Normal 2"/>
    <tableColumn id="60" xr3:uid="{ACBC4F81-680E-4536-8C5D-B9E3A16B7B71}" name="Early Access Date" dataDxfId="788" dataCellStyle="Normal 2"/>
    <tableColumn id="61" xr3:uid="{601F1E1C-52E8-40E7-85D9-4590C7523965}" name="Number of Pages" dataDxfId="787" dataCellStyle="Normal 2"/>
    <tableColumn id="62" xr3:uid="{AAFAE2BC-2C47-4840-BE4B-3BB00CE76525}" name="WoS Categories" dataDxfId="786" dataCellStyle="Normal 2"/>
    <tableColumn id="63" xr3:uid="{B7B8C257-8037-4F7B-96BD-5EEC077301B2}" name="Web of Science Index" dataDxfId="785" dataCellStyle="Normal 2"/>
    <tableColumn id="64" xr3:uid="{78876B8F-B78D-421D-8116-586F26DBF835}" name="Research Areas" dataDxfId="784" dataCellStyle="Normal 2"/>
    <tableColumn id="65" xr3:uid="{45555C5F-896E-4427-9619-5FD66BC00AA9}" name="IDS Number" dataDxfId="783" dataCellStyle="Normal 2"/>
    <tableColumn id="66" xr3:uid="{AC61578A-DE08-4A7B-A51A-1E3FF7D9DBC7}" name="Pubmed Id" dataDxfId="782" dataCellStyle="Normal 2"/>
    <tableColumn id="67" xr3:uid="{0D724A74-5E6C-4A78-BEB5-7414EF831AC7}" name="Open Access Designations" dataDxfId="781" dataCellStyle="Normal 2"/>
    <tableColumn id="68" xr3:uid="{BFF963F6-953A-4122-98CD-9F9216D73D80}" name="Highly Cited Status" dataDxfId="780" dataCellStyle="Normal 2"/>
    <tableColumn id="69" xr3:uid="{74990C9D-275C-4AAE-BDD0-01EF0D3E6E1B}" name="Hot Paper Status" dataDxfId="779" dataCellStyle="Normal 2"/>
    <tableColumn id="70" xr3:uid="{3BDC34D5-85F3-4B37-9366-F96DDAC9ACAA}" name="Date of Export" dataDxfId="778" dataCellStyle="Normal 2"/>
    <tableColumn id="71" xr3:uid="{C8318C9E-7C53-4683-8CC0-4B7FEA940E70}" name="UT (Unique WOS ID)" dataDxfId="777" dataCellStyle="Normal 2"/>
    <tableColumn id="72" xr3:uid="{C83114AD-7623-4590-B08B-48D0411A4348}" name="Web of Science Record" dataDxfId="776"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0FF6D2-ED6D-448B-B6C2-7436E6316138}" name="scopus__5" displayName="scopus__5" ref="A5:BI1752" tableType="queryTable" totalsRowShown="0" headerRowDxfId="773">
  <autoFilter ref="A5:BI1752" xr:uid="{B10FF6D2-ED6D-448B-B6C2-7436E6316138}">
    <filterColumn colId="1">
      <filters>
        <filter val="L103"/>
        <filter val="L107"/>
        <filter val="L108"/>
        <filter val="L109"/>
        <filter val="L116"/>
        <filter val="L117"/>
        <filter val="L118"/>
        <filter val="L119"/>
        <filter val="L120"/>
        <filter val="L121"/>
        <filter val="L122"/>
        <filter val="L123"/>
        <filter val="L124"/>
        <filter val="L125"/>
        <filter val="L126"/>
        <filter val="L98"/>
      </filters>
    </filterColumn>
    <filterColumn colId="6">
      <filters>
        <filter val="1"/>
      </filters>
    </filterColumn>
  </autoFilter>
  <tableColumns count="61">
    <tableColumn id="3" xr3:uid="{3C1EF65D-D093-4E6B-90AD-A743B8F205F8}" uniqueName="3" name="Title" queryTableFieldId="3" dataDxfId="772" dataCellStyle="Normal 3"/>
    <tableColumn id="62" xr3:uid="{C76E838F-968D-4425-9391-4559CCFFBD0E}" uniqueName="62" name="Int code" queryTableFieldId="70" dataDxfId="771" dataCellStyle="Normal 3"/>
    <tableColumn id="61" xr3:uid="{72ADD10F-00EA-462B-B444-916F07B68C71}" uniqueName="61" name="was the article found?" queryTableFieldId="67" dataCellStyle="Normal 3"/>
    <tableColumn id="56" xr3:uid="{F17DD2C8-66D7-47DF-A3E2-D86BB69E84E6}" uniqueName="56" name="DATABASE scopus 9-2-2021" queryTableFieldId="57" dataDxfId="770" dataCellStyle="Normal 3"/>
    <tableColumn id="58" xr3:uid="{860CB745-84CD-4934-8AD6-9FBBED4CAF0A}" uniqueName="58" name="title screen 2022" queryTableFieldId="64" dataDxfId="769" dataCellStyle="Normal 3"/>
    <tableColumn id="60" xr3:uid="{55DA6551-E7E8-4AAF-9A5B-7BB2F539480B}" uniqueName="60" name="ABS screen 2022" queryTableFieldId="66" dataCellStyle="Normal 3"/>
    <tableColumn id="59" xr3:uid="{418AAFF0-35BB-4050-80D4-DFDDC3ABEFE8}" uniqueName="59" name="Paper sreen" queryTableFieldId="65" dataCellStyle="Normal 3"/>
    <tableColumn id="13" xr3:uid="{7B28CC92-E4F8-4B6E-9F1C-72099BEF0381}" uniqueName="13" name="DOI" queryTableFieldId="13" dataDxfId="768" dataCellStyle="Normal 3"/>
    <tableColumn id="2" xr3:uid="{A459318F-3EB5-44D4-80AA-AC17E56400FE}" uniqueName="2" name="Authors" queryTableFieldId="2" dataDxfId="767" dataCellStyle="Normal 3"/>
    <tableColumn id="17" xr3:uid="{B314E98E-E105-4796-8D7B-0EB03694F637}" uniqueName="17" name="Author(s) ID" queryTableFieldId="17" dataDxfId="766" dataCellStyle="Normal 3"/>
    <tableColumn id="63" xr3:uid="{26337389-3230-4E61-954D-903C298DD25B}" uniqueName="63" name="Abstract" queryTableFieldId="74" dataCellStyle="Normal 3"/>
    <tableColumn id="4" xr3:uid="{759208F2-9DA7-4AE9-8059-AEFB7AB10486}" uniqueName="4" name="AREA GSD" queryTableFieldId="4" dataDxfId="765" dataCellStyle="Normal 3"/>
    <tableColumn id="1" xr3:uid="{4DA7DD8B-E38F-4514-817D-163970C5F6B2}" uniqueName="1" name="Year" queryTableFieldId="1" dataDxfId="764" dataCellStyle="Normal 3"/>
    <tableColumn id="5" xr3:uid="{9F7AF25B-C1CE-4FD4-A736-0915CA8686DF}" uniqueName="5" name="Source title" queryTableFieldId="5" dataDxfId="763" dataCellStyle="Normal 3"/>
    <tableColumn id="6" xr3:uid="{C12EB49C-CB1D-4FC1-9A91-C0A11B0DA035}" uniqueName="6" name="Cited by" queryTableFieldId="6" dataDxfId="762" dataCellStyle="Normal 3"/>
    <tableColumn id="7" xr3:uid="{CAFDDAFC-910E-470C-8FF3-CEAEA8F6BB0B}" uniqueName="7" name="Link" queryTableFieldId="7" dataDxfId="761" dataCellStyle="Normal 3"/>
    <tableColumn id="8" xr3:uid="{325E5B30-486A-4BCB-A536-4DF696FE4D8C}" uniqueName="8" name="Affiliations CITY" queryTableFieldId="8" dataDxfId="760"/>
    <tableColumn id="9" xr3:uid="{21187008-5431-4FE9-B972-503658384159}" uniqueName="9" name="Affiliations" queryTableFieldId="9" dataDxfId="759" dataCellStyle="Normal 3"/>
    <tableColumn id="10" xr3:uid="{DCAE96B7-427D-4A8D-A337-9E8720EDC847}" uniqueName="10" name="Authors with affiliations" queryTableFieldId="10" dataDxfId="758" dataCellStyle="Normal 3"/>
    <tableColumn id="11" xr3:uid="{044FB1DC-4F05-41AF-9EA5-44BEBC85DDF4}" uniqueName="11" name="Correspondence Address" queryTableFieldId="11" dataDxfId="757" dataCellStyle="Normal 3"/>
    <tableColumn id="12" xr3:uid="{85F63F56-3D06-40CD-A735-888AEA19B551}" uniqueName="12" name="Document Type" queryTableFieldId="12" dataCellStyle="Normal 3"/>
    <tableColumn id="14" xr3:uid="{6D2D9DE9-B5C9-4F92-B885-E03F2FA222C2}" uniqueName="14" name="WOS titer _x000a_29-8-22" queryTableFieldId="56" dataDxfId="756" dataCellStyle="Normal 3"/>
    <tableColumn id="15" xr3:uid="{00F2FBFF-0F3D-4BF4-AB52-6E1D5D688004}" uniqueName="15" name="Coluna16" queryTableFieldId="15" dataDxfId="755"/>
    <tableColumn id="16" xr3:uid="{60A0B007-6227-40D4-893E-66442AA7C0EE}" uniqueName="16" name="Coluna17" queryTableFieldId="16" dataDxfId="754"/>
    <tableColumn id="18" xr3:uid="{70F407EC-8288-494E-B419-60437B7ACD5A}" uniqueName="18" name="Coluna18" queryTableFieldId="18" dataDxfId="753"/>
    <tableColumn id="19" xr3:uid="{391D0E22-DB90-4198-95E2-DC91E078F571}" uniqueName="19" name="Coluna19" queryTableFieldId="19" dataDxfId="752"/>
    <tableColumn id="20" xr3:uid="{61D79E41-0780-469A-8E9F-51235715B856}" uniqueName="20" name="Coluna20" queryTableFieldId="20" dataDxfId="751"/>
    <tableColumn id="21" xr3:uid="{64021C4D-0D91-432F-A0C7-34FCBE8E330C}" uniqueName="21" name="Coluna21" queryTableFieldId="21" dataDxfId="750"/>
    <tableColumn id="22" xr3:uid="{7213ED71-598D-4DBF-9937-C06FFE15EB99}" uniqueName="22" name="Coluna22" queryTableFieldId="22" dataDxfId="749"/>
    <tableColumn id="23" xr3:uid="{C3A21BFD-623E-4587-BFB1-33F50008592A}" uniqueName="23" name="Coluna23" queryTableFieldId="23" dataDxfId="748"/>
    <tableColumn id="24" xr3:uid="{999F5F9C-C39D-441C-9C7C-4ED634E65325}" uniqueName="24" name="Coluna24" queryTableFieldId="24" dataDxfId="747"/>
    <tableColumn id="25" xr3:uid="{9D752320-CAB1-4608-9441-1D0BB54F18FE}" uniqueName="25" name="Coluna25" queryTableFieldId="25" dataDxfId="746"/>
    <tableColumn id="26" xr3:uid="{A1A928DF-F54D-4E2A-9FEF-9E32F1C6C774}" uniqueName="26" name="Coluna26" queryTableFieldId="26" dataDxfId="745"/>
    <tableColumn id="27" xr3:uid="{F1BDD79C-63E3-41D5-8F93-49F6CE80F717}" uniqueName="27" name="Coluna27" queryTableFieldId="27" dataDxfId="744"/>
    <tableColumn id="28" xr3:uid="{B218BD38-2332-42C9-BD6C-D6D00AECC4C9}" uniqueName="28" name="Coluna28" queryTableFieldId="28" dataDxfId="743"/>
    <tableColumn id="29" xr3:uid="{F7A00A8B-4984-43BF-8A3F-B5817F9E365F}" uniqueName="29" name="Coluna29" queryTableFieldId="29" dataDxfId="742"/>
    <tableColumn id="30" xr3:uid="{B2DFE55B-F059-4C86-BC34-A8BF1C179C45}" uniqueName="30" name="Coluna30" queryTableFieldId="30" dataDxfId="741"/>
    <tableColumn id="31" xr3:uid="{38313AB0-E598-462E-B596-5CF9EE7284C3}" uniqueName="31" name="Coluna31" queryTableFieldId="31" dataDxfId="740"/>
    <tableColumn id="32" xr3:uid="{1C972A38-55B6-4D38-A7F2-B118FFC7C07F}" uniqueName="32" name="Coluna32" queryTableFieldId="32" dataDxfId="739"/>
    <tableColumn id="33" xr3:uid="{E4927B39-FC56-47F9-85B0-98FEFDDE9377}" uniqueName="33" name="Coluna33" queryTableFieldId="33" dataDxfId="738"/>
    <tableColumn id="34" xr3:uid="{07C62BBD-8EF7-47D7-824A-68414A353974}" uniqueName="34" name="Coluna34" queryTableFieldId="34" dataDxfId="737"/>
    <tableColumn id="35" xr3:uid="{86FB40D8-CBE8-4B73-B5CF-E168C1BF285D}" uniqueName="35" name="Coluna35" queryTableFieldId="35" dataDxfId="736"/>
    <tableColumn id="36" xr3:uid="{F27320C8-BD1B-4696-A009-510CD68330CF}" uniqueName="36" name="Coluna36" queryTableFieldId="36" dataDxfId="735"/>
    <tableColumn id="37" xr3:uid="{2588424E-B973-4DC5-A822-1D481864A907}" uniqueName="37" name="Coluna37" queryTableFieldId="37" dataDxfId="734"/>
    <tableColumn id="38" xr3:uid="{5AE539ED-BA61-440D-AAF6-40639258E351}" uniqueName="38" name="Coluna38" queryTableFieldId="38" dataDxfId="733"/>
    <tableColumn id="39" xr3:uid="{421F7AA4-3C3C-4874-86B1-27BF0E7F1328}" uniqueName="39" name="Coluna39" queryTableFieldId="39" dataDxfId="732"/>
    <tableColumn id="40" xr3:uid="{FF34F438-AAA7-46B6-945A-298689823192}" uniqueName="40" name="Coluna40" queryTableFieldId="40" dataDxfId="731"/>
    <tableColumn id="41" xr3:uid="{8B6255F2-7648-40EC-B270-FD8295040DB1}" uniqueName="41" name="Coluna41" queryTableFieldId="41" dataDxfId="730"/>
    <tableColumn id="42" xr3:uid="{0ED5F6BC-EF4C-4BFB-9455-EE924BE1A8E1}" uniqueName="42" name="Coluna42" queryTableFieldId="42" dataDxfId="729"/>
    <tableColumn id="43" xr3:uid="{C6CF3459-5715-40E4-8AA5-EB547D538AC3}" uniqueName="43" name="Coluna43" queryTableFieldId="43"/>
    <tableColumn id="44" xr3:uid="{E8E9D2AB-5BC7-4CCA-A27A-D83D9049ED52}" uniqueName="44" name="Coluna44" queryTableFieldId="44" dataDxfId="728"/>
    <tableColumn id="45" xr3:uid="{83CEAA7C-266C-4310-BF29-0954055AF735}" uniqueName="45" name="Coluna45" queryTableFieldId="45"/>
    <tableColumn id="46" xr3:uid="{0FF64B37-8FA8-4F67-84E4-F28C0D5C6C25}" uniqueName="46" name="Coluna46" queryTableFieldId="46" dataDxfId="727"/>
    <tableColumn id="47" xr3:uid="{385BE285-E5C2-4266-A5C2-49F5964FAF93}" uniqueName="47" name="Coluna47" queryTableFieldId="47"/>
    <tableColumn id="48" xr3:uid="{DE8A0EEB-DB4B-4023-81B9-9EC9BC191C82}" uniqueName="48" name="Coluna48" queryTableFieldId="48" dataDxfId="726"/>
    <tableColumn id="49" xr3:uid="{E64F42EC-76CD-4A11-9610-E6468A501DFF}" uniqueName="49" name="Coluna49" queryTableFieldId="49" dataDxfId="725"/>
    <tableColumn id="50" xr3:uid="{F583E91C-F6DA-4BF9-BA89-D29D9B7E74A5}" uniqueName="50" name="Coluna50" queryTableFieldId="50" dataDxfId="724"/>
    <tableColumn id="51" xr3:uid="{E171B6BB-6E5B-4B34-8EF3-F94DA57274FC}" uniqueName="51" name="Coluna51" queryTableFieldId="51" dataDxfId="723"/>
    <tableColumn id="52" xr3:uid="{3E43C9E1-C0DA-4551-90F7-8BA676EDD054}" uniqueName="52" name="Coluna52" queryTableFieldId="52" dataDxfId="722"/>
    <tableColumn id="53" xr3:uid="{AED7C5A2-D628-41EC-B36B-6AB9D2DD9634}" uniqueName="53" name="Coluna53" queryTableFieldId="53" dataDxfId="721"/>
    <tableColumn id="54" xr3:uid="{783F624F-0242-4044-9C0E-24606F22407D}" uniqueName="54" name="Coluna54" queryTableFieldId="54" dataDxfId="720"/>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85096C-4ADA-4DDE-AFA9-50395F630F50}" name="Tabela51013" displayName="Tabela51013" ref="A1:O68" totalsRowShown="0" headerRowDxfId="719" dataDxfId="718">
  <sortState xmlns:xlrd2="http://schemas.microsoft.com/office/spreadsheetml/2017/richdata2" ref="A2:N68">
    <sortCondition descending="1" ref="L3:L68"/>
  </sortState>
  <tableColumns count="15">
    <tableColumn id="2" xr3:uid="{52453A5A-00C4-4B76-8B0F-963279B5863A}" name="code" dataDxfId="717"/>
    <tableColumn id="7" xr3:uid="{9DB0EA88-779B-4322-BDE0-B3EFB9687E55}" name="conciso" dataDxfId="716"/>
    <tableColumn id="43" xr3:uid="{60CBFB4F-962C-4000-8370-AB5F48BBAF36}" name="#" dataCellStyle="Normal"/>
    <tableColumn id="3" xr3:uid="{E2E65B87-AFD5-4BCD-A639-F5B8B0A92901}" name="FATORES COLETADOS" dataDxfId="715"/>
    <tableColumn id="44" xr3:uid="{4B4792B4-0A17-47A0-A53D-67B35BAC579C}" name="#2" dataCellStyle="Normal"/>
    <tableColumn id="4" xr3:uid="{CC79A980-1001-4136-BEB0-83FD6A1F438C}" name="Criteria" dataDxfId="714"/>
    <tableColumn id="6" xr3:uid="{4019AD6F-9C8B-49D9-9393-2B2A962935F1}" name="Coluna2" dataDxfId="713"/>
    <tableColumn id="5" xr3:uid="{4A7BA095-C6C1-4831-B430-A820E156E2BB}" name="Coluna1" dataDxfId="712"/>
    <tableColumn id="45" xr3:uid="{B62D0D90-2906-4D82-AADE-0777D3231BA9}" name="#3" dataCellStyle="Normal"/>
    <tableColumn id="41" xr3:uid="{28F937C6-A4FF-4F5A-A9AF-741B41E248F9}" name="Criterias definition for Paper" dataDxfId="711"/>
    <tableColumn id="50" xr3:uid="{9E1D34EE-1555-4258-93FF-9B9BCE3E3C62}" name="#4" dataCellStyle="Normal"/>
    <tableColumn id="47" xr3:uid="{37BAFFCD-C0A3-43DE-B1EB-C4F49A990D5E}" name="#5" dataCellStyle="Normal"/>
    <tableColumn id="48" xr3:uid="{5A330B2C-8F50-4CEB-916C-F01C432D6890}" name="#7" dataDxfId="710" dataCellStyle="Porcentagem"/>
    <tableColumn id="49" xr3:uid="{EE30CB80-39DB-4631-9BE7-DD9E6224CB10}" name="#8" dataCellStyle="Normal"/>
    <tableColumn id="51" xr3:uid="{8A55095A-6620-4771-9267-025530DED2E0}" name="#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C818C7E-780B-460E-A64D-A4770418D438}" name="Tabela8" displayName="Tabela8" ref="A1:O320" totalsRowShown="0" headerRowDxfId="709" headerRowCellStyle="Normal 2">
  <sortState xmlns:xlrd2="http://schemas.microsoft.com/office/spreadsheetml/2017/richdata2" ref="A2:O320">
    <sortCondition ref="A2:A320"/>
  </sortState>
  <tableColumns count="15">
    <tableColumn id="1" xr3:uid="{6B60E716-1403-408E-9F52-B011C82DE00C}" name="code"/>
    <tableColumn id="2" xr3:uid="{5B00C5C5-B1B5-4D84-9950-6E650CE592B9}" name="#"/>
    <tableColumn id="3" xr3:uid="{DDFFC147-D6E6-41CB-91B7-963D002CFD1A}" name="FATORES COLETADOS" dataDxfId="708"/>
    <tableColumn id="4" xr3:uid="{13B4BC1B-D213-4F5B-8A8B-FE0A6E400437}" name="#2"/>
    <tableColumn id="5" xr3:uid="{3D9ABA52-9BB5-42F9-B94D-08447265EBFB}" name="Criteria" dataDxfId="707"/>
    <tableColumn id="6" xr3:uid="{95A86608-B6E5-4C51-A610-9839DADFE490}" name="#3"/>
    <tableColumn id="7" xr3:uid="{4EBE95EE-16F6-48C1-9045-2C6865EEABED}" name="Criterias definition for Paper" dataDxfId="706"/>
    <tableColumn id="8" xr3:uid="{C6780764-E959-4E82-9C60-EC234460F463}" name="#4"/>
    <tableColumn id="11" xr3:uid="{F9F98617-8603-4F9C-9251-747EDDB98014}" name="#8" dataDxfId="705" dataCellStyle="Porcentagem"/>
    <tableColumn id="17" xr3:uid="{3224348A-4E2B-4891-BC99-A4F50D621397}" name="#723" dataDxfId="704" dataCellStyle="Porcentagem"/>
    <tableColumn id="12" xr3:uid="{DC0FA46B-93F3-4664-88AD-3C8DFF76F954}" name="#7232" dataDxfId="703" dataCellStyle="Porcentagem"/>
    <tableColumn id="10" xr3:uid="{158AA2BB-EEA3-48FF-9A4B-635C7D805CCE}" name="#724" dataDxfId="702" dataCellStyle="Porcentagem"/>
    <tableColumn id="16" xr3:uid="{BB5D4115-7543-4F45-BA3A-F2189D11F34A}" name="#722" dataDxfId="701" dataCellStyle="Porcentagem"/>
    <tableColumn id="15" xr3:uid="{B700C932-3E08-440F-A72B-A3A55E26A17A}" name="#73" dataDxfId="700" dataCellStyle="Porcentagem"/>
    <tableColumn id="9" xr3:uid="{9FFE69BE-FB05-4FB0-BEE2-A77F218D484F}" name="#5" dataDxfId="699" dataCellStyle="Porcentagem"/>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CD2F71-D4FD-4915-AEFA-083524D64B66}" name="Tabela7" displayName="Tabela7" ref="A4:MU132" totalsRowCount="1" headerRowDxfId="698">
  <autoFilter ref="A4:MU131" xr:uid="{14CD2F71-D4FD-4915-AEFA-083524D64B66}">
    <filterColumn colId="2">
      <filters>
        <filter val="1"/>
      </filters>
    </filterColumn>
    <filterColumn colId="6">
      <filters>
        <filter val="1"/>
      </filters>
    </filterColumn>
  </autoFilter>
  <tableColumns count="359">
    <tableColumn id="1" xr3:uid="{23F4CB64-2D42-4100-95DA-432CE3C38AB9}" name="Title" dataDxfId="697" totalsRowDxfId="696"/>
    <tableColumn id="2" xr3:uid="{D79B6A87-D206-47EE-863B-FB356D519A63}" name="Int code" totalsRowDxfId="695"/>
    <tableColumn id="3" xr3:uid="{26992B46-1522-4F76-9652-67AFFDC0CDE0}" name="Paper found?" totalsRowDxfId="694"/>
    <tableColumn id="5" xr3:uid="{7A6ED09D-BD83-4C2C-8309-8234EF24E17B}" name="SOURCE ATUAL" totalsRowDxfId="693"/>
    <tableColumn id="6" xr3:uid="{4000B492-F2FB-428C-8C37-DFB03ABD0098}" name="Title screening?" totalsRowDxfId="692"/>
    <tableColumn id="7" xr3:uid="{B524340A-F943-4F01-A993-327B5BE6E0C2}" name="Abstract screening?" totalsRowDxfId="691"/>
    <tableColumn id="8" xr3:uid="{A2FBF0C4-247B-4ACF-AD60-2A168F3FA9B7}" name="CRITERIA? _x000a_Paper screening" dataDxfId="690" totalsRowDxfId="689"/>
    <tableColumn id="4" xr3:uid="{4690AF93-F4EB-4747-B1DE-D7648748D884}" name="DOI"/>
    <tableColumn id="9" xr3:uid="{60FDB908-B55A-4395-A0AD-EF28F7F303FD}" name="Authors" dataDxfId="688"/>
    <tableColumn id="10" xr3:uid="{F9957910-919F-4D57-96F2-1A90D896674C}" name="Author(s) ID" dataDxfId="687"/>
    <tableColumn id="11" xr3:uid="{39F76474-A013-487A-ADA7-68A9A49C7281}" name="Abstract" dataDxfId="686"/>
    <tableColumn id="152" xr3:uid="{11EC5470-82D8-408B-9D50-4C3F1DE54349}" name="AREA GSD" totalsRowLabel="0" dataDxfId="685"/>
    <tableColumn id="12" xr3:uid="{A7BA6CBD-8EA4-4CBA-969E-168FB94D677E}" name="Year" dataDxfId="684"/>
    <tableColumn id="13" xr3:uid="{29270396-E3EF-484C-8FA0-EF0EA74CAE43}" name="Source title" dataDxfId="683"/>
    <tableColumn id="14" xr3:uid="{746AE8BD-9416-424C-8312-404D897E7D08}" name="Cited by" dataDxfId="682"/>
    <tableColumn id="15" xr3:uid="{C424B990-A75C-4035-A6C7-D3B41D3B57B8}" name="Link" dataDxfId="681"/>
    <tableColumn id="158" xr3:uid="{50301AD7-E5A5-470E-9C62-550A3DE6E706}" name="Affiliations CITY" dataDxfId="680"/>
    <tableColumn id="16" xr3:uid="{6763781F-3F6D-4315-92AD-2E9D0C5F569C}" name="Affiliations" dataDxfId="679"/>
    <tableColumn id="17" xr3:uid="{569FDA73-C781-4AD0-B70D-A0B2ADFF89AA}" name="Authors with affiliations" dataDxfId="678"/>
    <tableColumn id="18" xr3:uid="{03204806-2EF2-4730-B08D-5B156C111AE2}" name="Correspondence Address" dataDxfId="677"/>
    <tableColumn id="19" xr3:uid="{5A7690C2-213D-4DC8-A970-57689CA23AFD}" name="Document Type" dataDxfId="676"/>
    <tableColumn id="20" xr3:uid="{0114583A-A6A3-4432-840B-5F39403F0ED8}" name="Source2" dataDxfId="675"/>
    <tableColumn id="21" xr3:uid="{B211506E-6536-4C9E-BC9B-BA4D7845BC8A}" name="Alignment?" totalsRowDxfId="674"/>
    <tableColumn id="22" xr3:uid="{2A171884-8D83-46D2-AC68-EDE44C4CDA1A}" name="Have the criteria been defined or explained?" totalsRowDxfId="673"/>
    <tableColumn id="23" xr3:uid="{BCE8EE95-DA4B-4D01-8F0F-95D60D2CE421}" name="Single _x000a_case-study" totalsRowFunction="sum" dataDxfId="672" totalsRowDxfId="671"/>
    <tableColumn id="24" xr3:uid="{6DEFC9B6-3989-49C8-841C-B95BEA3CC87C}" name="Multi-case/  _x000a_Long study" totalsRowFunction="custom" totalsRowDxfId="670">
      <totalsRowFormula>SUBTOTAL(109,Z5:Z131)</totalsRowFormula>
    </tableColumn>
    <tableColumn id="25" xr3:uid="{ED1086C2-E72C-4153-A213-5F5D558C59AD}" name="Literature review" totalsRowFunction="custom" totalsRowDxfId="669">
      <totalsRowFormula>SUBTOTAL(109,AA5:AA131)</totalsRowFormula>
    </tableColumn>
    <tableColumn id="292" xr3:uid="{8C9335F3-0DA5-45E8-A8CD-6BD23023BEA5}" name="Conceptual model proposal" totalsRowFunction="custom" dataDxfId="668" totalsRowDxfId="667">
      <totalsRowFormula>SUBTOTAL(109,AB5:AB131)</totalsRowFormula>
    </tableColumn>
    <tableColumn id="308" xr3:uid="{40204A89-C897-4565-A9E8-E40E7E85E02D}" name="Model proposal and testing" totalsRowFunction="custom" dataDxfId="666" totalsRowDxfId="665">
      <totalsRowFormula>SUBTOTAL(109,AC5:AC131)</totalsRowFormula>
    </tableColumn>
    <tableColumn id="26" xr3:uid="{5A9C4BF7-D9E9-455C-A103-02847FE5061F}" name="Survey/interview" totalsRowFunction="custom" dataDxfId="664" totalsRowDxfId="663">
      <totalsRowFormula>SUBTOTAL(109,AD5:AD131)</totalsRowFormula>
    </tableColumn>
    <tableColumn id="27" xr3:uid="{3EE79FA5-AA4F-47E4-893A-4D509AB9CF4B}" name="0 - context analysis" totalsRowFunction="custom" totalsRowDxfId="662">
      <totalsRowFormula>SUBTOTAL(109,AE5:AE131)</totalsRowFormula>
    </tableColumn>
    <tableColumn id="28" xr3:uid="{CA24F4BD-38A7-46BE-9F61-DA8E95DAC6C3}" name="1 - identification" totalsRowFunction="custom" totalsRowDxfId="661">
      <totalsRowFormula>SUBTOTAL(109,AF5:AF131)</totalsRowFormula>
    </tableColumn>
    <tableColumn id="29" xr3:uid="{EB4E7FC9-7F0E-4283-BF58-7B7F5307E13D}" name="2 - evaluation" totalsRowFunction="custom" dataDxfId="660" totalsRowDxfId="659">
      <totalsRowFormula>SUBTOTAL(109,AG5:AG131)</totalsRowFormula>
    </tableColumn>
    <tableColumn id="30" xr3:uid="{CB75AD0E-949A-4963-8BE4-B2ADF337AF33}" name="3 - treatment" totalsRowFunction="custom" totalsRowDxfId="658">
      <totalsRowFormula>SUBTOTAL(109,AH5:AH131)</totalsRowFormula>
    </tableColumn>
    <tableColumn id="31" xr3:uid="{A8A72CCD-AD78-4153-9B55-DAAFE8AAB7F4}" name="4 - monitor and report" totalsRowFunction="custom" totalsRowDxfId="657">
      <totalsRowFormula>SUBTOTAL(109,AI5:AI131)</totalsRowFormula>
    </tableColumn>
    <tableColumn id="315" xr3:uid="{9D2E30C2-0D87-466A-90B9-AF6A94B8583A}" name="Problems/ issues/ gaps (Fact)" totalsRowFunction="custom" dataDxfId="656" totalsRowDxfId="655">
      <totalsRowFormula>SUBTOTAL(109,AJ5:AJ131)</totalsRowFormula>
    </tableColumn>
    <tableColumn id="32" xr3:uid="{53D7E26D-1B15-438A-968A-60A4B31478D2}" name="Challenges/ Barriers" totalsRowFunction="custom" totalsRowDxfId="654">
      <totalsRowFormula>SUBTOTAL(109,AK5:AK131)</totalsRowFormula>
    </tableColumn>
    <tableColumn id="317" xr3:uid="{73AFCCE9-AEB9-4238-ADBE-B1984255715C}" name="Risks and threats" totalsRowFunction="custom" dataDxfId="653" totalsRowDxfId="652">
      <totalsRowFormula>SUBTOTAL(109,AL5:AL131)</totalsRowFormula>
    </tableColumn>
    <tableColumn id="33" xr3:uid="{E07DF6C7-DC4A-4B85-B6E0-31FF726D4CBA}" name="Best Practices/ Success factors" totalsRowFunction="custom" totalsRowDxfId="651">
      <totalsRowFormula>SUBTOTAL(109,AM5:AM131)</totalsRowFormula>
    </tableColumn>
    <tableColumn id="306" xr3:uid="{BAFE641F-22A6-4C8E-B4C7-8DFD0F9470FD}" name="Communication" totalsRowFunction="custom" dataDxfId="650" totalsRowDxfId="649">
      <totalsRowFormula>SUBTOTAL(109,AN5:AN131)</totalsRowFormula>
    </tableColumn>
    <tableColumn id="307" xr3:uid="{878A8303-0304-48B3-88A0-17598E5C30BB}" name="English domain" totalsRowFunction="custom" dataDxfId="648" totalsRowDxfId="647">
      <totalsRowFormula>SUBTOTAL(109,AO5:AO131)</totalsRowFormula>
    </tableColumn>
    <tableColumn id="319" xr3:uid="{65636131-0DAA-444D-AC9F-A071B1400143}" name="Cultural differences among teams" totalsRowFunction="custom" dataDxfId="646" totalsRowDxfId="645">
      <totalsRowFormula>SUBTOTAL(109,AP5:AP131)</totalsRowFormula>
    </tableColumn>
    <tableColumn id="310" xr3:uid="{3D17FB55-649D-4689-9D74-51E61FF20852}" name="Temporal distances" totalsRowFunction="custom" dataDxfId="644" totalsRowDxfId="643">
      <totalsRowFormula>SUBTOTAL(109,AQ5:AQ131)</totalsRowFormula>
    </tableColumn>
    <tableColumn id="320" xr3:uid="{098CDDF4-3722-4D56-8896-6197D2273C47}" name="Fear impact" totalsRowFunction="custom" dataDxfId="642" totalsRowDxfId="641">
      <totalsRowFormula>SUBTOTAL(109,AR5:AR131)</totalsRowFormula>
    </tableColumn>
    <tableColumn id="34" xr3:uid="{9D463942-AC38-4BCA-958F-A4DFC63DDDEC}" name="Employee Satisfaction" totalsRowFunction="custom" dataDxfId="640" totalsRowDxfId="639">
      <totalsRowFormula>SUBTOTAL(109,AS5:AS131)</totalsRowFormula>
    </tableColumn>
    <tableColumn id="322" xr3:uid="{4A785241-915D-4976-ACC5-90EC95785978}" name="Trust building" totalsRowFunction="custom" dataDxfId="638" totalsRowDxfId="637">
      <totalsRowFormula>SUBTOTAL(109,AT5:AT131)</totalsRowFormula>
    </tableColumn>
    <tableColumn id="35" xr3:uid="{D227CD6B-30B4-435B-80FC-B6A829B2430A}" name="Degree of cooperation" totalsRowFunction="custom" totalsRowDxfId="636">
      <totalsRowFormula>SUBTOTAL(109,AU5:AU131)</totalsRowFormula>
    </tableColumn>
    <tableColumn id="324" xr3:uid="{055C4662-8956-4482-AEDF-49C216A33916}" name="Precise cost stimation" totalsRowFunction="custom" dataDxfId="635" totalsRowDxfId="634">
      <totalsRowFormula>SUBTOTAL(109,AV5:AV131)</totalsRowFormula>
    </tableColumn>
    <tableColumn id="325" xr3:uid="{66292C62-354E-436D-BF5B-D5BD70427B32}" name="Effective leadership" totalsRowFunction="custom" dataDxfId="633" totalsRowDxfId="632">
      <totalsRowFormula>SUBTOTAL(109,AW5:AW131)</totalsRowFormula>
    </tableColumn>
    <tableColumn id="326" xr3:uid="{886BB3FE-0D85-47B1-96C2-5EC096593C8D}" name="Project failure risk" totalsRowFunction="custom" dataDxfId="631" totalsRowDxfId="630">
      <totalsRowFormula>SUBTOTAL(109,AX5:AX131)</totalsRowFormula>
    </tableColumn>
    <tableColumn id="327" xr3:uid="{33A1872E-5718-453C-BAA2-DE76618FD33A}" name="Defined of roles and responsibilities" totalsRowFunction="custom" dataDxfId="629" totalsRowDxfId="628">
      <totalsRowFormula>SUBTOTAL(109,AY5:AY131)</totalsRowFormula>
    </tableColumn>
    <tableColumn id="328" xr3:uid="{DD978F7E-EEBB-4CD6-915E-65FC6ABFDFDE}" name="Technical requirements" totalsRowFunction="custom" dataDxfId="627" totalsRowDxfId="626">
      <totalsRowFormula>SUBTOTAL(109,AZ5:AZ131)</totalsRowFormula>
    </tableColumn>
    <tableColumn id="329" xr3:uid="{FEB71952-EBAD-4372-B13C-4A72113AAC3E}" name="Effective Partitioning" totalsRowFunction="custom" dataDxfId="625" totalsRowDxfId="624">
      <totalsRowFormula>SUBTOTAL(109,BA5:BA131)</totalsRowFormula>
    </tableColumn>
    <tableColumn id="330" xr3:uid="{9A3100A2-C148-4FF1-9982-AB62F18D0DE5}" name="Team Skills Database" totalsRowFunction="custom" dataDxfId="623" totalsRowDxfId="622">
      <totalsRowFormula>SUBTOTAL(109,BB5:BB131)</totalsRowFormula>
    </tableColumn>
    <tableColumn id="36" xr3:uid="{B1C00800-CD98-4A13-996B-DA79BBC25F0E}" name="Knowledge interchange rate" totalsRowFunction="custom" totalsRowDxfId="621">
      <totalsRowFormula>SUBTOTAL(109,BC5:BC131)</totalsRowFormula>
    </tableColumn>
    <tableColumn id="37" xr3:uid="{B1F49CBA-A83D-42D5-A057-20F6EA5969E8}" name="Coordination challenges level" totalsRowFunction="custom" totalsRowDxfId="620">
      <totalsRowFormula>SUBTOTAL(109,BD5:BD131)</totalsRowFormula>
    </tableColumn>
    <tableColumn id="38" xr3:uid="{1B85F2A3-0DC1-4555-ADD3-A3A5AB8D9DF3}" name="Transparency of roles and responsibilities" totalsRowFunction="custom" dataDxfId="619" totalsRowDxfId="618">
      <totalsRowFormula>SUBTOTAL(109,BE5:BE131)</totalsRowFormula>
    </tableColumn>
    <tableColumn id="39" xr3:uid="{C405C348-F828-44A5-BDCD-14C51ACB2F6C}" name="Reporting requirement" totalsRowFunction="custom" dataDxfId="617" totalsRowDxfId="616">
      <totalsRowFormula>SUBTOTAL(109,BF5:BF131)</totalsRowFormula>
    </tableColumn>
    <tableColumn id="40" xr3:uid="{1CF01E0F-A351-4F73-9CCB-C947B6962254}" name="Relevant information disclosure" totalsRowFunction="custom" dataDxfId="615" totalsRowDxfId="614">
      <totalsRowFormula>SUBTOTAL(109,BG5:BG131)</totalsRowFormula>
    </tableColumn>
    <tableColumn id="41" xr3:uid="{18FD2846-4426-47C6-AEDC-284058EAB74A}" name="Team issues" totalsRowFunction="custom" dataDxfId="613" totalsRowDxfId="612">
      <totalsRowFormula>SUBTOTAL(109,BH5:BH131)</totalsRowFormula>
    </tableColumn>
    <tableColumn id="42" xr3:uid="{79984B18-1BDA-422E-B9BD-35F0271BED04}" name="Process Management" totalsRowFunction="custom" dataDxfId="611" totalsRowDxfId="610">
      <totalsRowFormula>SUBTOTAL(109,BI5:BI131)</totalsRowFormula>
    </tableColumn>
    <tableColumn id="43" xr3:uid="{46F8C77F-2F3D-4B7E-8A42-B009F08DD62C}" name="Software support tools" totalsRowFunction="custom" dataDxfId="609" totalsRowDxfId="608">
      <totalsRowFormula>SUBTOTAL(109,BJ5:BJ131)</totalsRowFormula>
    </tableColumn>
    <tableColumn id="44" xr3:uid="{520C9628-2379-48E4-9BF5-0A3CD216E36D}" name="Technical support" totalsRowFunction="custom" dataDxfId="607" totalsRowDxfId="606">
      <totalsRowFormula>SUBTOTAL(109,BK5:BK131)</totalsRowFormula>
    </tableColumn>
    <tableColumn id="45" xr3:uid="{49965FBF-6290-49F1-8D3C-881F8CFB6614}" name="Communication Tools" totalsRowFunction="custom" dataDxfId="605" totalsRowDxfId="604">
      <totalsRowFormula>SUBTOTAL(109,BL5:BL131)</totalsRowFormula>
    </tableColumn>
    <tableColumn id="46" xr3:uid="{02FB3E70-3AC7-4FCD-8389-38C480F65131}" name="Proficiency in a programming language" totalsRowFunction="custom" dataDxfId="603" totalsRowDxfId="602">
      <totalsRowFormula>SUBTOTAL(109,BM5:BM131)</totalsRowFormula>
    </tableColumn>
    <tableColumn id="47" xr3:uid="{303DAB84-DD28-4F4F-89A5-CAC491C2F5FF}" name="Experience in similar projects" totalsRowFunction="custom" dataDxfId="601" totalsRowDxfId="600">
      <totalsRowFormula>SUBTOTAL(109,BN5:BN131)</totalsRowFormula>
    </tableColumn>
    <tableColumn id="48" xr3:uid="{F7590AC3-7C02-48D0-A9F8-7869AF76D767}" name="Use of software tools" totalsRowFunction="custom" dataDxfId="599" totalsRowDxfId="598">
      <totalsRowFormula>SUBTOTAL(109,BO5:BO131)</totalsRowFormula>
    </tableColumn>
    <tableColumn id="49" xr3:uid="{F77B8F32-532C-4D49-8094-905B46F61A68}" name="Contribution to team effort" totalsRowFunction="custom" dataDxfId="597" totalsRowDxfId="596">
      <totalsRowFormula>SUBTOTAL(109,BP5:BP131)</totalsRowFormula>
    </tableColumn>
    <tableColumn id="50" xr3:uid="{7E6DBABE-3842-4C83-A413-812EEF1F1D6D}" name="Accomplishment of assigned responsibilities" totalsRowFunction="custom" dataDxfId="595" totalsRowDxfId="594">
      <totalsRowFormula>SUBTOTAL(109,BQ5:BQ131)</totalsRowFormula>
    </tableColumn>
    <tableColumn id="51" xr3:uid="{29A0B37E-203F-48F8-97D0-2C014216A6C6}" name="Task efficiency" totalsRowFunction="custom" dataDxfId="593" totalsRowDxfId="592">
      <totalsRowFormula>SUBTOTAL(109,BR5:BR131)</totalsRowFormula>
    </tableColumn>
    <tableColumn id="52" xr3:uid="{9A686BDB-552F-448E-8098-4AF0DFE208B7}" name="Tasks effectiveness" totalsRowFunction="custom" dataDxfId="591" totalsRowDxfId="590">
      <totalsRowFormula>SUBTOTAL(109,BS5:BS131)</totalsRowFormula>
    </tableColumn>
    <tableColumn id="53" xr3:uid="{0F6FDF28-CF76-4C17-84D4-384088D4459D}" name="Independence of thought and action" totalsRowFunction="custom" dataDxfId="589" totalsRowDxfId="588">
      <totalsRowFormula>SUBTOTAL(109,BT5:BT131)</totalsRowFormula>
    </tableColumn>
    <tableColumn id="54" xr3:uid="{5247A1DE-B6A1-4F02-8254-DB1E1C50673A}" name="Creativity in approach to problem solving" totalsRowFunction="custom" dataDxfId="587" totalsRowDxfId="586">
      <totalsRowFormula>SUBTOTAL(109,BU5:BU131)</totalsRowFormula>
    </tableColumn>
    <tableColumn id="55" xr3:uid="{ACC4EF37-10F4-4603-96DF-F34E65EC6C6F}" name="Scientific attitude" totalsRowFunction="custom" dataDxfId="585" totalsRowDxfId="584">
      <totalsRowFormula>SUBTOTAL(109,BV5:BV131)</totalsRowFormula>
    </tableColumn>
    <tableColumn id="56" xr3:uid="{BDCB9306-0BC8-4B10-A2BE-EB005952E3A4}" name="Determination and effort" totalsRowFunction="custom" dataDxfId="583" totalsRowDxfId="582">
      <totalsRowFormula>SUBTOTAL(109,BW5:BW131)</totalsRowFormula>
    </tableColumn>
    <tableColumn id="57" xr3:uid="{F06B20CE-662A-45D5-94A3-CFFF9636494A}" name="Contributing to discussions" totalsRowFunction="custom" dataDxfId="581" totalsRowDxfId="580">
      <totalsRowFormula>SUBTOTAL(109,BX5:BX131)</totalsRowFormula>
    </tableColumn>
    <tableColumn id="58" xr3:uid="{93EF385A-475C-488B-80CE-C92F6013616A}" name="Accepting criticism gracefully" totalsRowFunction="custom" dataDxfId="579" totalsRowDxfId="578">
      <totalsRowFormula>SUBTOTAL(109,BY5:BY131)</totalsRowFormula>
    </tableColumn>
    <tableColumn id="59" xr3:uid="{66951C2D-DCCC-4DF3-BA34-3F8C663435DD}" name="Communicate clearly with team" totalsRowFunction="custom" dataDxfId="577" totalsRowDxfId="576">
      <totalsRowFormula>SUBTOTAL(109,BZ5:BZ131)</totalsRowFormula>
    </tableColumn>
    <tableColumn id="60" xr3:uid="{6366F45F-347D-497C-A5EE-16F4711026F7}" name="Communicate civility with team" totalsRowFunction="custom" dataDxfId="575" totalsRowDxfId="574">
      <totalsRowFormula>SUBTOTAL(109,CA5:CA131)</totalsRowFormula>
    </tableColumn>
    <tableColumn id="61" xr3:uid="{B1BE0753-BB6E-4C26-A4FB-197E5F05A959}" name="Communicate clearly with stakeholders" totalsRowFunction="custom" dataDxfId="573" totalsRowDxfId="572">
      <totalsRowFormula>SUBTOTAL(109,CB5:CB131)</totalsRowFormula>
    </tableColumn>
    <tableColumn id="62" xr3:uid="{F25D6C7E-69A1-44B9-9278-A3E841803330}" name="Communicate civility with stakeholders" totalsRowFunction="custom" dataDxfId="571" totalsRowDxfId="570">
      <totalsRowFormula>SUBTOTAL(109,CC5:CC131)</totalsRowFormula>
    </tableColumn>
    <tableColumn id="63" xr3:uid="{57843A48-B249-4F67-916F-5C1B447ECB17}" name="Collaborative work friendly" totalsRowFunction="custom" dataDxfId="569" totalsRowDxfId="568">
      <totalsRowFormula>SUBTOTAL(109,CD5:CD131)</totalsRowFormula>
    </tableColumn>
    <tableColumn id="64" xr3:uid="{76F90AAC-64F8-438A-AEBF-C3AB05F8882D}" name="Culture of leadership" totalsRowFunction="custom" dataDxfId="567" totalsRowDxfId="566">
      <totalsRowFormula>SUBTOTAL(109,CE5:CE131)</totalsRowFormula>
    </tableColumn>
    <tableColumn id="65" xr3:uid="{7193ECC8-5684-4BB1-A06A-F2B97C8A1216}" name="Comprehension ability" totalsRowFunction="custom" dataDxfId="565" totalsRowDxfId="564">
      <totalsRowFormula>SUBTOTAL(109,CF5:CF131)</totalsRowFormula>
    </tableColumn>
    <tableColumn id="66" xr3:uid="{E7585140-6DFD-4719-8CC4-E3CB27CB3256}" name="Assignment of roles and responsibilities" totalsRowFunction="custom" dataDxfId="563" totalsRowDxfId="562">
      <totalsRowFormula>SUBTOTAL(109,CG5:CG131)</totalsRowFormula>
    </tableColumn>
    <tableColumn id="67" xr3:uid="{580E161B-CAF7-4F0D-A68E-9B8EA3F92676}" name="Transparency of Vision and goal" totalsRowFunction="custom" dataDxfId="561" totalsRowDxfId="560">
      <totalsRowFormula>SUBTOTAL(109,CH5:CH131)</totalsRowFormula>
    </tableColumn>
    <tableColumn id="68" xr3:uid="{EB2DEEA6-ADC2-46A4-A7FE-CDBECD904345}" name="Team training and monitoring" totalsRowFunction="custom" dataDxfId="559" totalsRowDxfId="558">
      <totalsRowFormula>SUBTOTAL(109,CI5:CI131)</totalsRowFormula>
    </tableColumn>
    <tableColumn id="69" xr3:uid="{C6D4E066-8C1E-434B-9AEC-2AFC6622FE2C}" name="Geographically distributed CCB (change control block)" totalsRowFunction="custom" dataDxfId="557" totalsRowDxfId="556">
      <totalsRowFormula>SUBTOTAL(109,CJ5:CJ131)</totalsRowFormula>
    </tableColumn>
    <tableColumn id="70" xr3:uid="{A70C8B27-3BB9-405F-956D-C9B27FCB5814}" name="Resistance management of changing" totalsRowFunction="custom" dataDxfId="555" totalsRowDxfId="554">
      <totalsRowFormula>SUBTOTAL(109,CK5:CK131)</totalsRowFormula>
    </tableColumn>
    <tableColumn id="71" xr3:uid="{9E6C7AEA-528E-4170-83F2-EAAD7BEFEA5E}" name="Strong team relationship" totalsRowFunction="custom" dataDxfId="553" totalsRowDxfId="552">
      <totalsRowFormula>SUBTOTAL(109,CL5:CL131)</totalsRowFormula>
    </tableColumn>
    <tableColumn id="72" xr3:uid="{77BBFD31-E5FD-4A7A-AA07-2E1371699188}" name="Skilled human resources (type of skill or expertise of practitioners)" totalsRowFunction="custom" dataDxfId="551" totalsRowDxfId="550">
      <totalsRowFormula>SUBTOTAL(109,CM5:CM131)</totalsRowFormula>
    </tableColumn>
    <tableColumn id="73" xr3:uid="{6863F81E-5461-4047-9333-CFB8765E68E3}" name="Response/ feedback online" totalsRowFunction="custom" dataDxfId="549" totalsRowDxfId="548">
      <totalsRowFormula>SUBTOTAL(109,CN5:CN131)</totalsRowFormula>
    </tableColumn>
    <tableColumn id="74" xr3:uid="{40B440F1-7722-487F-B8CB-34AAF192B905}" name="Requirement and data traceability" totalsRowFunction="custom" dataDxfId="547" totalsRowDxfId="546">
      <totalsRowFormula>SUBTOTAL(109,CO5:CO131)</totalsRowFormula>
    </tableColumn>
    <tableColumn id="75" xr3:uid="{109A252B-F9AE-4021-A7FE-B77D632D0DF3}" name="Process awareness" totalsRowFunction="custom" dataDxfId="545" totalsRowDxfId="544">
      <totalsRowFormula>SUBTOTAL(109,CP5:CP131)</totalsRowFormula>
    </tableColumn>
    <tableColumn id="397" xr3:uid="{7A94146D-7631-4556-ABAE-150747B2F092}" name="Formal standard and procedures" totalsRowFunction="custom" dataDxfId="543" totalsRowDxfId="542">
      <totalsRowFormula>SUBTOTAL(109,CQ5:CQ131)</totalsRowFormula>
    </tableColumn>
    <tableColumn id="76" xr3:uid="{6F78B298-7A92-4862-B196-020DAB885D4E}" name="Change acceptability" totalsRowFunction="custom" dataDxfId="541" totalsRowDxfId="540">
      <totalsRowFormula>SUBTOTAL(109,CR5:CR131)</totalsRowFormula>
    </tableColumn>
    <tableColumn id="398" xr3:uid="{0093F129-887C-402D-B748-59CEF84398AC}" name="Continuous organisational support" totalsRowFunction="custom" dataDxfId="539" totalsRowDxfId="538">
      <totalsRowFormula>SUBTOTAL(109,CS5:CS131)</totalsRowFormula>
    </tableColumn>
    <tableColumn id="77" xr3:uid="{23850695-D478-422F-91D2-E15A1285147A}" name="Frequency of social events" totalsRowFunction="custom" dataDxfId="537" totalsRowDxfId="536">
      <totalsRowFormula>SUBTOTAL(109,CT5:CT131)</totalsRowFormula>
    </tableColumn>
    <tableColumn id="78" xr3:uid="{ED9D8840-7F99-4F0A-B3AC-BAA6E0C6661E}" name="Task synchronization" totalsRowFunction="custom" dataDxfId="535" totalsRowDxfId="534">
      <totalsRowFormula>SUBTOTAL(109,CU5:CU131)</totalsRowFormula>
    </tableColumn>
    <tableColumn id="80" xr3:uid="{936AF9E9-4133-4EC9-B3F0-B54D5924E3C6}" name="Software testing methods" totalsRowFunction="custom" dataDxfId="533" totalsRowDxfId="532">
      <totalsRowFormula>SUBTOTAL(109,CV5:CV131)</totalsRowFormula>
    </tableColumn>
    <tableColumn id="81" xr3:uid="{C3F5BA92-4CC0-42E8-A7B7-7508720DB01A}" name="Geographical dimension" totalsRowFunction="custom" dataDxfId="531" totalsRowDxfId="530">
      <totalsRowFormula>SUBTOTAL(109,CW5:CW131)</totalsRowFormula>
    </tableColumn>
    <tableColumn id="83" xr3:uid="{76942EBB-8901-48FA-81A4-55B002A35D92}" name="Organizational dispersion" totalsRowFunction="custom" dataDxfId="529" totalsRowDxfId="528">
      <totalsRowFormula>SUBTOTAL(109,CX5:CX131)</totalsRowFormula>
    </tableColumn>
    <tableColumn id="84" xr3:uid="{96151713-5A5C-450F-88D8-FC62457D61AA}" name="Turnover (team/staff)" totalsRowFunction="custom" dataDxfId="527" totalsRowDxfId="526">
      <totalsRowFormula>SUBTOTAL(109,CY5:CY131)</totalsRowFormula>
    </tableColumn>
    <tableColumn id="85" xr3:uid="{705D01E8-A5D5-4C07-8BDA-94FDDD1D22E6}" name="Degree of novelty" totalsRowFunction="custom" dataDxfId="525" totalsRowDxfId="524">
      <totalsRowFormula>SUBTOTAL(109,CZ5:CZ131)</totalsRowFormula>
    </tableColumn>
    <tableColumn id="86" xr3:uid="{2BAC032C-5AA9-421B-A385-BEE6B08A4C60}" name="New vendor relantionship" totalsRowFunction="custom" dataDxfId="523" totalsRowDxfId="522">
      <totalsRowFormula>SUBTOTAL(109,DA5:DA131)</totalsRowFormula>
    </tableColumn>
    <tableColumn id="87" xr3:uid="{8F956871-9F39-49A3-9BE1-13D551671277}" name="Updated Knowledge transfer documents" totalsRowFunction="custom" dataDxfId="521" totalsRowDxfId="520">
      <totalsRowFormula>SUBTOTAL(109,DB5:DB131)</totalsRowFormula>
    </tableColumn>
    <tableColumn id="88" xr3:uid="{80776DB5-7DE9-407A-AF9D-8AB9DF9CC8F1}" name="Knowledge Codifiability" totalsRowFunction="custom" dataDxfId="519" totalsRowDxfId="518">
      <totalsRowFormula>SUBTOTAL(109,DC5:DC131)</totalsRowFormula>
    </tableColumn>
    <tableColumn id="89" xr3:uid="{81D671AE-43D4-4F18-B43F-FED957D9797B}" name="Proper documentation" totalsRowFunction="custom" dataDxfId="517" totalsRowDxfId="516">
      <totalsRowFormula>SUBTOTAL(109,DD5:DD131)</totalsRowFormula>
    </tableColumn>
    <tableColumn id="90" xr3:uid="{29C6B5B9-EF3D-46E7-B1D0-DA4F31894F2D}" name="Compatibility of data" totalsRowFunction="custom" dataDxfId="515" totalsRowDxfId="514">
      <totalsRowFormula>SUBTOTAL(109,DE5:DE131)</totalsRowFormula>
    </tableColumn>
    <tableColumn id="92" xr3:uid="{A39320AB-AAFC-48DC-90F3-68BAC9205F96}" name="Appropriate architecture" totalsRowFunction="custom" dataDxfId="513" totalsRowDxfId="512">
      <totalsRowFormula>SUBTOTAL(109,DF5:DF131)</totalsRowFormula>
    </tableColumn>
    <tableColumn id="93" xr3:uid="{55D6D281-6F23-437F-A09F-C38749EFFDE2}" name="Similar programming languages" totalsRowFunction="custom" dataDxfId="511" totalsRowDxfId="510">
      <totalsRowFormula>SUBTOTAL(109,DG5:DG131)</totalsRowFormula>
    </tableColumn>
    <tableColumn id="95" xr3:uid="{DB897065-006A-45B9-9643-E5F06F8FC184}" name="Product selection and customization (off the shelf)" totalsRowFunction="custom" dataDxfId="509" totalsRowDxfId="508">
      <totalsRowFormula>SUBTOTAL(109,DH5:DH131)</totalsRowFormula>
    </tableColumn>
    <tableColumn id="96" xr3:uid="{9E1A348C-B62B-459A-B69B-2B4BBAB1D392}" name="Availability of human resource" totalsRowFunction="custom" dataDxfId="507" totalsRowDxfId="506">
      <totalsRowFormula>SUBTOTAL(109,DI5:DI131)</totalsRowFormula>
    </tableColumn>
    <tableColumn id="97" xr3:uid="{DF3AF4DC-9811-4E18-95CC-77909AFF276E}" name="Proper component interfaces" totalsRowFunction="custom" dataDxfId="505" totalsRowDxfId="504">
      <totalsRowFormula>SUBTOTAL(109,DJ5:DJ131)</totalsRowFormula>
    </tableColumn>
    <tableColumn id="98" xr3:uid="{E6F0ECBD-F4B7-481C-9208-ED12C86B1DBC}" name="Relationship between person at different sites" totalsRowFunction="custom" dataDxfId="503" totalsRowDxfId="502">
      <totalsRowFormula>SUBTOTAL(109,DK5:DK131)</totalsRowFormula>
    </tableColumn>
    <tableColumn id="99" xr3:uid="{19141468-A1A1-4E0E-B89C-22350C23807F}" name="Common working experience" totalsRowFunction="custom" dataDxfId="501" totalsRowDxfId="500">
      <totalsRowFormula>SUBTOTAL(109,DL5:DL131)</totalsRowFormula>
    </tableColumn>
    <tableColumn id="100" xr3:uid="{555073DC-3D6D-4662-B8C1-668EA2742410}" name="Criticality of the task" totalsRowFunction="custom" dataDxfId="499" totalsRowDxfId="498">
      <totalsRowFormula>SUBTOTAL(109,DM5:DM131)</totalsRowFormula>
    </tableColumn>
    <tableColumn id="101" xr3:uid="{F9F82868-B088-4526-A0FC-8F68A006AD8B}" name="Complexity of the task" totalsRowFunction="custom" dataDxfId="497" totalsRowDxfId="496">
      <totalsRowFormula>SUBTOTAL(109,DN5:DN131)</totalsRowFormula>
    </tableColumn>
    <tableColumn id="102" xr3:uid="{E74E7FC4-BAFB-4C54-A3C0-4A0D37DFE969}" name="Degree of Task formality description" totalsRowFunction="custom" dataDxfId="495" totalsRowDxfId="494">
      <totalsRowFormula>SUBTOTAL(109,DO5:DO131)</totalsRowFormula>
    </tableColumn>
    <tableColumn id="103" xr3:uid="{961427EF-9489-481E-AC50-3AF72F0746EF}" name="Process phase (lifecycle)" totalsRowFunction="custom" dataDxfId="493" totalsRowDxfId="492">
      <totalsRowFormula>SUBTOTAL(109,DP5:DP131)</totalsRowFormula>
    </tableColumn>
    <tableColumn id="104" xr3:uid="{B698A88E-C40A-475A-9ABF-1444C3137B02}" name="Degree of collaborative task coupling" totalsRowFunction="custom" dataDxfId="491" totalsRowDxfId="490">
      <totalsRowFormula>SUBTOTAL(109,DQ5:DQ131)</totalsRowFormula>
    </tableColumn>
    <tableColumn id="105" xr3:uid="{1A41EE36-263B-4C5C-BD9F-8472445B453C}" name="Degree of Business Process maturity" totalsRowFunction="custom" dataDxfId="489" totalsRowDxfId="488">
      <totalsRowFormula>SUBTOTAL(109,DR5:DR131)</totalsRowFormula>
    </tableColumn>
    <tableColumn id="399" xr3:uid="{8FD77FD6-5056-468A-A30E-9EEE908A0CCD}" name="Product size" totalsRowFunction="custom" dataDxfId="487" totalsRowDxfId="486">
      <totalsRowFormula>SUBTOTAL(109,DS5:DS131)</totalsRowFormula>
    </tableColumn>
    <tableColumn id="106" xr3:uid="{845A3F68-EDBA-4D69-A943-7F0B0F97A6E9}" name="Stable requirements" totalsRowFunction="custom" dataDxfId="485" totalsRowDxfId="484">
      <totalsRowFormula>SUBTOTAL(109,DT5:DT131)</totalsRowFormula>
    </tableColumn>
    <tableColumn id="82" xr3:uid="{970A616E-F4F5-4541-94E6-A8B1EA275363}" name="Number of involved sites" totalsRowFunction="custom" dataDxfId="483" totalsRowDxfId="482">
      <totalsRowFormula>SUBTOTAL(109,DU5:DU131)</totalsRowFormula>
    </tableColumn>
    <tableColumn id="107" xr3:uid="{C9B109CD-A88A-4727-B338-BDE8F1F0DFDB}" name="Time pressure" totalsRowFunction="custom" dataDxfId="481" totalsRowDxfId="480">
      <totalsRowFormula>SUBTOTAL(109,DV5:DV131)</totalsRowFormula>
    </tableColumn>
    <tableColumn id="108" xr3:uid="{BF66C565-5428-4229-9FBE-B58F26CF2C89}" name="Learning curve" totalsRowFunction="custom" dataDxfId="479" totalsRowDxfId="478">
      <totalsRowFormula>SUBTOTAL(109,DW5:DW131)</totalsRowFormula>
    </tableColumn>
    <tableColumn id="109" xr3:uid="{E5FDD5F0-38DC-4088-9975-AFAC8609D823}" name="Integration plan" totalsRowFunction="custom" dataDxfId="477" totalsRowDxfId="476">
      <totalsRowFormula>SUBTOTAL(109,DX5:DX131)</totalsRowFormula>
    </tableColumn>
    <tableColumn id="110" xr3:uid="{B8771C01-DAD7-463F-8AE6-EA9C5068AECE}" name="Vision for the end product" totalsRowFunction="custom" dataDxfId="475" totalsRowDxfId="474">
      <totalsRowFormula>SUBTOTAL(109,DY5:DY131)</totalsRowFormula>
    </tableColumn>
    <tableColumn id="111" xr3:uid="{D437FA9C-B90E-476E-92DF-91C0CD96A8D5}" name="Overloading of key personnel" totalsRowFunction="custom" dataDxfId="473" totalsRowDxfId="472">
      <totalsRowFormula>SUBTOTAL(109,DZ5:DZ131)</totalsRowFormula>
    </tableColumn>
    <tableColumn id="112" xr3:uid="{607A5778-ADE0-421E-9A0D-075EA65DAC9F}" name="Consistent data" totalsRowFunction="custom" dataDxfId="471" totalsRowDxfId="470">
      <totalsRowFormula>SUBTOTAL(109,EA5:EA131)</totalsRowFormula>
    </tableColumn>
    <tableColumn id="113" xr3:uid="{598F4CA3-9197-4DC6-ABE4-46EACA2D022E}" name="Spelling in data entry" totalsRowFunction="custom" dataDxfId="469" totalsRowDxfId="468">
      <totalsRowFormula>SUBTOTAL(109,EB5:EB131)</totalsRowFormula>
    </tableColumn>
    <tableColumn id="114" xr3:uid="{DF51A435-CA89-4284-AE6F-DE814AA54886}" name="Missing information" totalsRowFunction="custom" dataDxfId="467" totalsRowDxfId="466">
      <totalsRowFormula>SUBTOTAL(109,EC5:EC131)</totalsRowFormula>
    </tableColumn>
    <tableColumn id="115" xr3:uid="{B4F782C7-FE94-424E-98D1-2FFB55F6368C}" name="Data Harmonization" totalsRowFunction="custom" dataDxfId="465" totalsRowDxfId="464">
      <totalsRowFormula>SUBTOTAL(109,ED5:ED131)</totalsRowFormula>
    </tableColumn>
    <tableColumn id="116" xr3:uid="{E7665C80-AEFE-482C-B2DF-EE0218878FE4}" name="Data visualization tools" totalsRowFunction="custom" dataDxfId="463" totalsRowDxfId="462">
      <totalsRowFormula>SUBTOTAL(109,EE5:EE131)</totalsRowFormula>
    </tableColumn>
    <tableColumn id="117" xr3:uid="{F2D75620-740B-4BF4-AC4A-27F595D3935A}" name="Sharing project details" totalsRowFunction="custom" dataDxfId="461" totalsRowDxfId="460">
      <totalsRowFormula>SUBTOTAL(109,EF5:EF131)</totalsRowFormula>
    </tableColumn>
    <tableColumn id="118" xr3:uid="{5CF2166E-21A0-4F80-B32D-BA1BC822F753}" name="Measuring provenance of data" totalsRowFunction="custom" dataDxfId="459" totalsRowDxfId="458">
      <totalsRowFormula>SUBTOTAL(109,EG5:EG131)</totalsRowFormula>
    </tableColumn>
    <tableColumn id="119" xr3:uid="{AF891CFD-9BF1-4EFA-A8E6-94EB1CD304D8}" name="Storage of transition logs" totalsRowFunction="custom" dataDxfId="457" totalsRowDxfId="456">
      <totalsRowFormula>SUBTOTAL(109,EH5:EH131)</totalsRowFormula>
    </tableColumn>
    <tableColumn id="120" xr3:uid="{E75EC405-7861-4C3A-ADC0-FA24A7AAC30F}" name="Analyze Data in Real Time" totalsRowFunction="custom" dataDxfId="455" totalsRowDxfId="454">
      <totalsRowFormula>SUBTOTAL(109,EI5:EI131)</totalsRowFormula>
    </tableColumn>
    <tableColumn id="121" xr3:uid="{E6628F55-9EEE-4322-8F1D-789C3F5EDC4B}" name="Integration of new visualization techniques" totalsRowFunction="custom" dataDxfId="453" totalsRowDxfId="452">
      <totalsRowFormula>SUBTOTAL(109,EJ5:EJ131)</totalsRowFormula>
    </tableColumn>
    <tableColumn id="122" xr3:uid="{F2636B7D-459E-4084-89E1-A67161DD9CC4}" name="Contract management" totalsRowFunction="custom" dataDxfId="451" totalsRowDxfId="450">
      <totalsRowFormula>SUBTOTAL(109,EK5:EK131)</totalsRowFormula>
    </tableColumn>
    <tableColumn id="123" xr3:uid="{9D96F24E-BD40-4590-9BCF-4C3A70246902}" name="Task updating" totalsRowFunction="custom" dataDxfId="449" totalsRowDxfId="448">
      <totalsRowFormula>SUBTOTAL(109,EL5:EL131)</totalsRowFormula>
    </tableColumn>
    <tableColumn id="124" xr3:uid="{20DDFEED-8945-479D-82BA-BBFDCC24FD23}" name="Quality assurance procedure" totalsRowFunction="custom" dataDxfId="447" totalsRowDxfId="446">
      <totalsRowFormula>SUBTOTAL(109,EM5:EM131)</totalsRowFormula>
    </tableColumn>
    <tableColumn id="125" xr3:uid="{018432FB-8D3D-4591-89C0-DDED966E4691}" name="Incremental integration" totalsRowFunction="custom" dataDxfId="445" totalsRowDxfId="444">
      <totalsRowFormula>SUBTOTAL(109,EN5:EN131)</totalsRowFormula>
    </tableColumn>
    <tableColumn id="126" xr3:uid="{94874AF9-CAFF-4543-961F-D9E4AE7EF5E0}" name="Regular deliveries" totalsRowFunction="custom" dataDxfId="443" totalsRowDxfId="442">
      <totalsRowFormula>SUBTOTAL(109,EO5:EO131)</totalsRowFormula>
    </tableColumn>
    <tableColumn id="127" xr3:uid="{B6989379-1B45-4ACD-928F-882DCA5DE097}" name="Use of modular approach" totalsRowFunction="custom" dataDxfId="441" totalsRowDxfId="440">
      <totalsRowFormula>SUBTOTAL(109,EP5:EP131)</totalsRowFormula>
    </tableColumn>
    <tableColumn id="128" xr3:uid="{655DFD68-4A7F-4C95-8DAF-9072D2FD27D4}" name="Cross-functional teams" totalsRowFunction="custom" dataDxfId="439" totalsRowDxfId="438">
      <totalsRowFormula>SUBTOTAL(109,EQ5:EQ131)</totalsRowFormula>
    </tableColumn>
    <tableColumn id="129" xr3:uid="{6D4F61F2-788C-4837-A9CE-324963FBF7A1}" name="Expert area (prior experience)" totalsRowFunction="custom" dataDxfId="437" totalsRowDxfId="436">
      <totalsRowFormula>SUBTOTAL(109,ER5:ER131)</totalsRowFormula>
    </tableColumn>
    <tableColumn id="130" xr3:uid="{FF54FA5D-7020-432C-BF11-78EDC7E16696}" name="Scrum expertise" totalsRowFunction="custom" dataDxfId="435" totalsRowDxfId="434">
      <totalsRowFormula>SUBTOTAL(109,ES5:ES131)</totalsRowFormula>
    </tableColumn>
    <tableColumn id="131" xr3:uid="{49B6852F-2E25-44F4-B6FA-D341EC6EC273}" name="Scrum hours" totalsRowFunction="custom" dataDxfId="433" totalsRowDxfId="432">
      <totalsRowFormula>SUBTOTAL(109,ET5:ET131)</totalsRowFormula>
    </tableColumn>
    <tableColumn id="132" xr3:uid="{3FF02190-F90F-4A3F-8D01-471539EAA72A}" name="Number os sprints" totalsRowFunction="custom" dataDxfId="431" totalsRowDxfId="430">
      <totalsRowFormula>SUBTOTAL(109,EU5:EU131)</totalsRowFormula>
    </tableColumn>
    <tableColumn id="133" xr3:uid="{64B300F8-C5A2-4FBC-95E3-80926DD893C8}" name="Analytical thinking" totalsRowFunction="custom" dataDxfId="429" totalsRowDxfId="428">
      <totalsRowFormula>SUBTOTAL(109,EV5:EV131)</totalsRowFormula>
    </tableColumn>
    <tableColumn id="134" xr3:uid="{62ADE8EE-8753-4E81-BD09-6EF958BD27C1}" name="Time management" totalsRowFunction="custom" dataDxfId="427" totalsRowDxfId="426">
      <totalsRowFormula>SUBTOTAL(109,EW5:EW131)</totalsRowFormula>
    </tableColumn>
    <tableColumn id="135" xr3:uid="{58F79CBF-DBFA-4145-8D74-C5AFB376F56E}" name="Conflict management" totalsRowFunction="custom" dataDxfId="425" totalsRowDxfId="424">
      <totalsRowFormula>SUBTOTAL(109,EX5:EX131)</totalsRowFormula>
    </tableColumn>
    <tableColumn id="136" xr3:uid="{1624A1B8-DB07-422D-B2CC-D76774C14C0A}" name="Flexibilility" totalsRowFunction="custom" dataDxfId="423" totalsRowDxfId="422">
      <totalsRowFormula>SUBTOTAL(109,EY5:EY131)</totalsRowFormula>
    </tableColumn>
    <tableColumn id="137" xr3:uid="{E043B8DF-9A7F-40B8-BA01-B64315A416BC}" name="Handling stress" totalsRowFunction="custom" dataDxfId="421" totalsRowDxfId="420">
      <totalsRowFormula>SUBTOTAL(109,EZ5:EZ131)</totalsRowFormula>
    </tableColumn>
    <tableColumn id="138" xr3:uid="{A404E2FB-55B9-46F1-9520-4C57624E2862}" name="Problem solving" totalsRowFunction="custom" dataDxfId="419" totalsRowDxfId="418">
      <totalsRowFormula>SUBTOTAL(109,FA5:FA131)</totalsRowFormula>
    </tableColumn>
    <tableColumn id="139" xr3:uid="{E0A212C2-074E-46BF-8A3B-2C7DD3F4D52F}" name="Diplomacy" totalsRowFunction="custom" dataDxfId="417" totalsRowDxfId="416">
      <totalsRowFormula>SUBTOTAL(109,FB5:FB131)</totalsRowFormula>
    </tableColumn>
    <tableColumn id="140" xr3:uid="{09C05CBB-3828-4DFA-87E6-3912ECC3A61E}" name="Interfacing with different layers of development framework" totalsRowFunction="custom" dataDxfId="415" totalsRowDxfId="414">
      <totalsRowFormula>SUBTOTAL(109,FC5:FC131)</totalsRowFormula>
    </tableColumn>
    <tableColumn id="141" xr3:uid="{8A723C30-D70A-42A7-9218-562C9AD20A04}" name="Code coverage concepts and tools" totalsRowFunction="custom" dataDxfId="413" totalsRowDxfId="412">
      <totalsRowFormula>SUBTOTAL(109,FD5:FD131)</totalsRowFormula>
    </tableColumn>
    <tableColumn id="400" xr3:uid="{E7E65919-8870-4D6D-A230-074A968F081E}" name="Refactoring concepts" totalsRowFunction="custom" dataDxfId="411" totalsRowDxfId="410">
      <totalsRowFormula>SUBTOTAL(109,FE5:FE131)</totalsRowFormula>
    </tableColumn>
    <tableColumn id="142" xr3:uid="{125BE0AE-8E4A-4CBF-81BE-2AADD9847598}" name="Code-smell concepts" totalsRowFunction="custom" dataDxfId="409" totalsRowDxfId="408">
      <totalsRowFormula>SUBTOTAL(109,FF5:FF131)</totalsRowFormula>
    </tableColumn>
    <tableColumn id="143" xr3:uid="{B60763E6-6503-4414-80F0-11312D67A5E2}" name="Religion and political attitudes" totalsRowFunction="custom" dataDxfId="407" totalsRowDxfId="406">
      <totalsRowFormula>SUBTOTAL(109,FG5:FG131)</totalsRowFormula>
    </tableColumn>
    <tableColumn id="145" xr3:uid="{AEE46028-25FB-418A-A7CB-0C889D835811}" name="Updated requirements" totalsRowFunction="custom" dataDxfId="405" totalsRowDxfId="404">
      <totalsRowFormula>SUBTOTAL(109,FH5:FH131)</totalsRowFormula>
    </tableColumn>
    <tableColumn id="146" xr3:uid="{985FDA7C-FDD2-4079-B88C-870BD0537DA6}" name="Change impact analysis in all sites" totalsRowFunction="custom" dataDxfId="403" totalsRowDxfId="402">
      <totalsRowFormula>SUBTOTAL(109,FI5:FI131)</totalsRowFormula>
    </tableColumn>
    <tableColumn id="147" xr3:uid="{60A7FFC3-DB08-4277-A6A6-00AC68C816FA}" name="Management support" totalsRowFunction="custom" dataDxfId="401" totalsRowDxfId="400">
      <totalsRowFormula>SUBTOTAL(109,FJ5:FJ131)</totalsRowFormula>
    </tableColumn>
    <tableColumn id="148" xr3:uid="{A5D073A6-EF0E-4C32-B060-2B90E352EA43}" name="Globally compete to market" totalsRowFunction="custom" dataDxfId="399" totalsRowDxfId="398">
      <totalsRowFormula>SUBTOTAL(109,FK5:FK131)</totalsRowFormula>
    </tableColumn>
    <tableColumn id="149" xr3:uid="{8014CD44-01A7-4278-9709-F536F0A5CF6C}" name="Progress measure in distributed sites" totalsRowFunction="custom" dataDxfId="397" totalsRowDxfId="396">
      <totalsRowFormula>SUBTOTAL(109,FL5:FL131)</totalsRowFormula>
    </tableColumn>
    <tableColumn id="150" xr3:uid="{7D2AC3AA-4EEC-4B44-998A-41D98094BA2A}" name="Management commitment" totalsRowFunction="custom" dataDxfId="395" totalsRowDxfId="394">
      <totalsRowFormula>SUBTOTAL(109,FM5:FM131)</totalsRowFormula>
    </tableColumn>
    <tableColumn id="154" xr3:uid="{F8A52510-1216-4BF2-B8A6-5AE40E28BCF3}" name="Software Process improvement - Consultancy" totalsRowFunction="custom" dataDxfId="393" totalsRowDxfId="392">
      <totalsRowFormula>SUBTOTAL(109,FN5:FN131)</totalsRowFormula>
    </tableColumn>
    <tableColumn id="156" xr3:uid="{7BBE24A8-0E99-42B0-9440-039F4D42DFF0}" name="Process improvement evaluation" totalsRowFunction="custom" dataDxfId="391" totalsRowDxfId="390">
      <totalsRowFormula>SUBTOTAL(109,FO5:FO131)</totalsRowFormula>
    </tableColumn>
    <tableColumn id="157" xr3:uid="{FE01BC5B-05A2-4A96-8825-9E309EC506EE}" name="Process improvement standards and procedures" totalsRowFunction="custom" dataDxfId="389" totalsRowDxfId="388">
      <totalsRowFormula>SUBTOTAL(109,FP5:FP131)</totalsRowFormula>
    </tableColumn>
    <tableColumn id="159" xr3:uid="{BA734396-0867-4BF2-AE36-93F58918391C}" name="Site characteristics" totalsRowFunction="custom" dataDxfId="387" totalsRowDxfId="386">
      <totalsRowFormula>SUBTOTAL(109,FQ5:FQ131)</totalsRowFormula>
    </tableColumn>
    <tableColumn id="160" xr3:uid="{D0FC35E9-E028-435A-B0EE-C2BAC0D00922}" name="Task site dependency" totalsRowFunction="custom" dataDxfId="385" totalsRowDxfId="384">
      <totalsRowFormula>SUBTOTAL(109,FR5:FR131)</totalsRowFormula>
    </tableColumn>
    <tableColumn id="161" xr3:uid="{046D6442-644A-4F84-929D-F005E0164D16}" name="Personal availability" totalsRowFunction="custom" dataDxfId="383" totalsRowDxfId="382">
      <totalsRowFormula>SUBTOTAL(109,FS5:FS131)</totalsRowFormula>
    </tableColumn>
    <tableColumn id="162" xr3:uid="{8C400328-2115-452A-946B-2D20D31ADE82}" name="Process ownership" totalsRowFunction="custom" dataDxfId="381" totalsRowDxfId="380">
      <totalsRowFormula>SUBTOTAL(109,FT5:FT131)</totalsRowFormula>
    </tableColumn>
    <tableColumn id="163" xr3:uid="{7C5670F2-A6CB-4843-9268-338A68EB178A}" name="Component dependency" totalsRowFunction="custom" dataDxfId="379" totalsRowDxfId="378">
      <totalsRowFormula>SUBTOTAL(109,FU5:FU131)</totalsRowFormula>
    </tableColumn>
    <tableColumn id="164" xr3:uid="{B7568563-6CA5-4E05-919B-832EED52E88B}" name="Workload" totalsRowFunction="custom" dataDxfId="377" totalsRowDxfId="376">
      <totalsRowFormula>SUBTOTAL(109,FV5:FV131)</totalsRowFormula>
    </tableColumn>
    <tableColumn id="165" xr3:uid="{149C7F70-F4EE-4F19-B94A-E7D17904E76E}" name="Task Size" totalsRowFunction="custom" dataDxfId="375" totalsRowDxfId="374">
      <totalsRowFormula>SUBTOTAL(109,FW5:FW131)</totalsRowFormula>
    </tableColumn>
    <tableColumn id="167" xr3:uid="{F7C93F64-3C05-412C-864D-EDAB5BCF549C}" name="Participation and support to solve issues" totalsRowFunction="custom" dataDxfId="373" totalsRowDxfId="372">
      <totalsRowFormula>SUBTOTAL(109,FX5:FX131)</totalsRowFormula>
    </tableColumn>
    <tableColumn id="168" xr3:uid="{D816FC86-E84D-457E-9C26-CFA00EDC7B46}" name="Persistent, conscientious responsiveness information of teams" totalsRowFunction="custom" dataDxfId="371" totalsRowDxfId="370">
      <totalsRowFormula>SUBTOTAL(109,FY5:FY131)</totalsRowFormula>
    </tableColumn>
    <tableColumn id="169" xr3:uid="{6F83CB07-53F8-444A-AB9C-EB701F24A5E5}" name="Project requirements" totalsRowFunction="custom" dataDxfId="369" totalsRowDxfId="368">
      <totalsRowFormula>SUBTOTAL(109,FZ5:FZ131)</totalsRowFormula>
    </tableColumn>
    <tableColumn id="170" xr3:uid="{F527C669-A1F2-4329-B688-BED471ED954B}" name="Capacity to absorb technical and business knowledge" totalsRowFunction="custom" dataDxfId="367" totalsRowDxfId="366">
      <totalsRowFormula>SUBTOTAL(109,GA5:GA131)</totalsRowFormula>
    </tableColumn>
    <tableColumn id="171" xr3:uid="{0370F378-ADB1-4171-8132-A704FB287053}" name="Understanding the process" totalsRowFunction="custom" dataDxfId="365" totalsRowDxfId="364">
      <totalsRowFormula>SUBTOTAL(109,GB5:GB131)</totalsRowFormula>
    </tableColumn>
    <tableColumn id="172" xr3:uid="{820CD79F-A277-4BA9-9DDC-01B77563448F}" name="Mutual coordination among team members (managerial practices)" totalsRowFunction="custom" dataDxfId="363" totalsRowDxfId="362">
      <totalsRowFormula>SUBTOTAL(109,GC5:GC131)</totalsRowFormula>
    </tableColumn>
    <tableColumn id="173" xr3:uid="{3F1E5945-A0F2-45FC-B46C-543DF20F8CCB}" name="Clear objective" totalsRowFunction="custom" dataDxfId="361" totalsRowDxfId="360">
      <totalsRowFormula>SUBTOTAL(109,GD5:GD131)</totalsRowFormula>
    </tableColumn>
    <tableColumn id="174" xr3:uid="{109E06B1-D8C1-4000-B6E3-030C8E310484}" name="Knowledge incentive toward client business process" totalsRowFunction="custom" dataDxfId="359" totalsRowDxfId="358">
      <totalsRowFormula>SUBTOTAL(109,GE5:GE131)</totalsRowFormula>
    </tableColumn>
    <tableColumn id="175" xr3:uid="{6E9E3C05-4847-48C9-B53B-267E00A90D10}" name="Pilot knowledge between teams" totalsRowFunction="custom" dataDxfId="357" totalsRowDxfId="356">
      <totalsRowFormula>SUBTOTAL(109,GF5:GF131)</totalsRowFormula>
    </tableColumn>
    <tableColumn id="176" xr3:uid="{83FC7D0B-5B8B-4E1A-BA5E-3E8A453415A3}" name="Project functionality toward client’s business process" totalsRowFunction="custom" dataDxfId="355" totalsRowDxfId="354">
      <totalsRowFormula>SUBTOTAL(109,GG5:GG131)</totalsRowFormula>
    </tableColumn>
    <tableColumn id="177" xr3:uid="{A6351A9C-D1B7-4ABF-B279-3019B2F93589}" name="Understanding over the client’s business process environment" totalsRowFunction="custom" dataDxfId="353" totalsRowDxfId="352">
      <totalsRowFormula>SUBTOTAL(109,GH5:GH131)</totalsRowFormula>
    </tableColumn>
    <tableColumn id="178" xr3:uid="{F41609E6-9800-4D62-B2DE-008E2074F599}" name="Brainstorming actions for organizations" totalsRowFunction="custom" dataDxfId="351" totalsRowDxfId="350">
      <totalsRowFormula>SUBTOTAL(109,GI5:GI131)</totalsRowFormula>
    </tableColumn>
    <tableColumn id="179" xr3:uid="{A3C1A326-BF4E-4C03-A85A-5AB506CBC4D2}" name="Flexibility among teams" totalsRowFunction="custom" dataDxfId="349" totalsRowDxfId="348">
      <totalsRowFormula>SUBTOTAL(109,GJ5:GJ131)</totalsRowFormula>
    </tableColumn>
    <tableColumn id="180" xr3:uid="{2751DE1C-DEFE-44DB-ABB0-BA5B87649904}" name="Learning of innovative technology" totalsRowFunction="custom" dataDxfId="347" totalsRowDxfId="346">
      <totalsRowFormula>SUBTOTAL(109,GK5:GK131)</totalsRowFormula>
    </tableColumn>
    <tableColumn id="181" xr3:uid="{C2CFA2E0-0E8D-4AF2-B39D-9B095637DFE0}" name="Component/Unit Testing prior to integration" totalsRowFunction="custom" dataDxfId="345" totalsRowDxfId="344">
      <totalsRowFormula>SUBTOTAL(109,GL5:GL131)</totalsRowFormula>
    </tableColumn>
    <tableColumn id="182" xr3:uid="{595FBBBA-7F41-43FC-BB40-56B3AB0911B6}" name="Development Environment and Training" totalsRowFunction="custom" dataDxfId="343" totalsRowDxfId="342">
      <totalsRowFormula>SUBTOTAL(109,GM5:GM131)</totalsRowFormula>
    </tableColumn>
    <tableColumn id="183" xr3:uid="{0E438AEC-E80E-4FC9-9539-1D3FFDF2494F}" name="Efficient Incremental/Continuous integration" totalsRowFunction="custom" dataDxfId="341" totalsRowDxfId="340">
      <totalsRowFormula>SUBTOTAL(109,GN5:GN131)</totalsRowFormula>
    </tableColumn>
    <tableColumn id="184" xr3:uid="{A70191D9-C5D8-447A-AD12-8766C846BDDC}" name="Interface Compatibility" totalsRowFunction="custom" dataDxfId="339" totalsRowDxfId="338">
      <totalsRowFormula>SUBTOTAL(109,GO5:GO131)</totalsRowFormula>
    </tableColumn>
    <tableColumn id="185" xr3:uid="{78361A24-AE81-4A17-B9AA-A4C0D5FB9095}" name="Configuration management" totalsRowFunction="custom" dataDxfId="337" totalsRowDxfId="336">
      <totalsRowFormula>SUBTOTAL(109,GP5:GP131)</totalsRowFormula>
    </tableColumn>
    <tableColumn id="186" xr3:uid="{2B01BCF1-B348-4ACD-8C1A-8B1C53DAF26E}" name="Components evaluation (off the shelf)" totalsRowFunction="custom" dataDxfId="335" totalsRowDxfId="334">
      <totalsRowFormula>SUBTOTAL(109,GQ5:GQ131)</totalsRowFormula>
    </tableColumn>
    <tableColumn id="187" xr3:uid="{46EA6B95-E8AC-4930-85C6-804AF332087C}" name="Process, Data and Product’s Components" totalsRowFunction="custom" dataDxfId="333" totalsRowDxfId="332">
      <totalsRowFormula>SUBTOTAL(109,GR5:GR131)</totalsRowFormula>
    </tableColumn>
    <tableColumn id="188" xr3:uid="{44ACBD2F-6601-40F5-AB74-5CFF364CD988}" name="Metrics" totalsRowFunction="custom" dataDxfId="331" totalsRowDxfId="330">
      <totalsRowFormula>SUBTOTAL(109,GS5:GS131)</totalsRowFormula>
    </tableColumn>
    <tableColumn id="189" xr3:uid="{145C5A3B-3BD8-45FD-BD35-1AB606735277}" name="Specific Integration Timing" totalsRowFunction="custom" dataDxfId="329" totalsRowDxfId="328">
      <totalsRowFormula>SUBTOTAL(109,GT5:GT131)</totalsRowFormula>
    </tableColumn>
    <tableColumn id="190" xr3:uid="{C4E798D3-2218-463C-9F4A-E14C504C1C9C}" name="Organization: resource" totalsRowFunction="custom" dataDxfId="327" totalsRowDxfId="326">
      <totalsRowFormula>SUBTOTAL(109,GU5:GU131)</totalsRowFormula>
    </tableColumn>
    <tableColumn id="191" xr3:uid="{1E4FF63C-E6B9-46F2-8DAC-2F4A6226F122}" name="Organization: strategies" totalsRowFunction="custom" dataDxfId="325" totalsRowDxfId="324">
      <totalsRowFormula>SUBTOTAL(109,GV5:GV131)</totalsRowFormula>
    </tableColumn>
    <tableColumn id="192" xr3:uid="{6B5B2830-C3AA-4194-8CF9-02B6994799BD}" name="Organization: standard" totalsRowFunction="custom" dataDxfId="323" totalsRowDxfId="322">
      <totalsRowFormula>SUBTOTAL(109,GW5:GW131)</totalsRowFormula>
    </tableColumn>
    <tableColumn id="193" xr3:uid="{5E1B688E-995B-497C-838B-6344260701A6}" name="Organization: culture" totalsRowFunction="custom" dataDxfId="321" totalsRowDxfId="320">
      <totalsRowFormula>SUBTOTAL(109,GX5:GX131)</totalsRowFormula>
    </tableColumn>
    <tableColumn id="194" xr3:uid="{37755D65-48CA-4985-B50A-C1E4F424C747}" name="Organization: politics" totalsRowFunction="custom" dataDxfId="319" totalsRowDxfId="318">
      <totalsRowFormula>SUBTOTAL(109,GY5:GY131)</totalsRowFormula>
    </tableColumn>
    <tableColumn id="195" xr3:uid="{71E4C4E8-2C39-47D5-8D31-1DDB679BA3A4}" name="Organization: practices" totalsRowFunction="custom" dataDxfId="317" totalsRowDxfId="316">
      <totalsRowFormula>SUBTOTAL(109,GZ5:GZ131)</totalsRowFormula>
    </tableColumn>
    <tableColumn id="197" xr3:uid="{07C13DC3-862A-4A53-9D56-D30D273B80EE}" name="Organization: regulations" totalsRowFunction="custom" dataDxfId="315" totalsRowDxfId="314">
      <totalsRowFormula>SUBTOTAL(109,HA5:HA131)</totalsRowFormula>
    </tableColumn>
    <tableColumn id="198" xr3:uid="{83152FB9-7D3B-4EC3-93DB-7E26AB96BAF1}" name="Organization: environment" totalsRowFunction="custom" dataDxfId="313" totalsRowDxfId="312">
      <totalsRowFormula>SUBTOTAL(109,HB5:HB131)</totalsRowFormula>
    </tableColumn>
    <tableColumn id="201" xr3:uid="{638EEA70-59D0-4F04-A601-14EAE2336EAD}" name="Organization: structure" totalsRowFunction="custom" dataDxfId="311" totalsRowDxfId="310">
      <totalsRowFormula>SUBTOTAL(109,HC5:HC131)</totalsRowFormula>
    </tableColumn>
    <tableColumn id="202" xr3:uid="{F00D77F0-B491-4FD8-B680-089346ADF83A}" name="Organization: size" totalsRowFunction="custom" dataDxfId="309" totalsRowDxfId="308">
      <totalsRowFormula>SUBTOTAL(109,HD5:HD131)</totalsRowFormula>
    </tableColumn>
    <tableColumn id="203" xr3:uid="{A48DA54C-7F76-4BDE-9695-8CC743C3351F}" name="Inter-team culture (NCASN)" totalsRowFunction="custom" dataDxfId="307" totalsRowDxfId="306">
      <totalsRowFormula>SUBTOTAL(109,HE5:HE131)</totalsRowFormula>
    </tableColumn>
    <tableColumn id="204" xr3:uid="{3C1CFC06-E702-4B19-86E7-01933A7580A0}" name="Social facilities" totalsRowFunction="custom" dataDxfId="305" totalsRowDxfId="304">
      <totalsRowFormula>SUBTOTAL(109,HF5:HF131)</totalsRowFormula>
    </tableColumn>
    <tableColumn id="205" xr3:uid="{BD21A91C-EF59-4F51-AF08-7E6CD67726A6}" name="Social interaction" totalsRowFunction="custom" dataDxfId="303" totalsRowDxfId="302">
      <totalsRowFormula>SUBTOTAL(109,HG5:HG131)</totalsRowFormula>
    </tableColumn>
    <tableColumn id="207" xr3:uid="{FFD08753-5EDF-4515-81AA-7E8737A6CFCD}" name="Stakeholder: Client" totalsRowFunction="custom" dataDxfId="301" totalsRowDxfId="300">
      <totalsRowFormula>SUBTOTAL(109,HH5:HH131)</totalsRowFormula>
    </tableColumn>
    <tableColumn id="208" xr3:uid="{DACDECB9-2F31-4A56-810A-4F79518505B0}" name="Stakeholder: Relationship" totalsRowFunction="custom" dataDxfId="299" totalsRowDxfId="298">
      <totalsRowFormula>SUBTOTAL(109,HI5:HI131)</totalsRowFormula>
    </tableColumn>
    <tableColumn id="210" xr3:uid="{C090AFB2-8361-48DA-9E8E-1872177A37DB}" name="Stakeholder engagement" totalsRowFunction="custom" dataDxfId="297" totalsRowDxfId="296">
      <totalsRowFormula>SUBTOTAL(109,HJ5:HJ131)</totalsRowFormula>
    </tableColumn>
    <tableColumn id="212" xr3:uid="{E7B1CF58-4974-43C4-B435-3BC0EA868505}" name="Stakeholder: requirements realization" totalsRowFunction="custom" dataDxfId="295" totalsRowDxfId="294">
      <totalsRowFormula>SUBTOTAL(109,HK5:HK131)</totalsRowFormula>
    </tableColumn>
    <tableColumn id="213" xr3:uid="{59CCD605-A47E-4F44-B9F4-3CE6FCED4571}" name="Stakeholder Performance Domain" totalsRowFunction="custom" dataDxfId="293" totalsRowDxfId="292">
      <totalsRowFormula>SUBTOTAL(109,HL5:HL131)</totalsRowFormula>
    </tableColumn>
    <tableColumn id="214" xr3:uid="{7798FFBE-954E-4F13-816D-319850980D43}" name="Stakeholder: problem domain" totalsRowFunction="custom" dataDxfId="291" totalsRowDxfId="290">
      <totalsRowFormula>SUBTOTAL(109,HM5:HM131)</totalsRowFormula>
    </tableColumn>
    <tableColumn id="215" xr3:uid="{ED2F8483-112E-454B-AEAC-92E75C724911}" name="Stakeholder Attitude" totalsRowFunction="custom" dataDxfId="289" totalsRowDxfId="288">
      <totalsRowFormula>SUBTOTAL(109,HN5:HN131)</totalsRowFormula>
    </tableColumn>
    <tableColumn id="216" xr3:uid="{3015B130-D11D-48C2-A56D-CD08514F27A3}" name="Climatic condition" totalsRowFunction="custom" dataDxfId="287" totalsRowDxfId="286">
      <totalsRowFormula>SUBTOTAL(109,HO5:HO131)</totalsRowFormula>
    </tableColumn>
    <tableColumn id="217" xr3:uid="{3372613D-FDDC-40CF-B6B6-30C9B3940E7A}" name="Geological condition" totalsRowFunction="custom" dataDxfId="285" totalsRowDxfId="284">
      <totalsRowFormula>SUBTOTAL(109,HP5:HP131)</totalsRowFormula>
    </tableColumn>
    <tableColumn id="218" xr3:uid="{73C2EEE0-7B93-408E-9570-37E39826F238}" name="Working and workplace atmosphere" totalsRowFunction="custom" dataDxfId="283" totalsRowDxfId="282">
      <totalsRowFormula>SUBTOTAL(109,HQ5:HQ131)</totalsRowFormula>
    </tableColumn>
    <tableColumn id="219" xr3:uid="{062874AD-30F1-4B71-8E9D-14B1692117A4}" name="Project: Characteristics" totalsRowFunction="custom" dataDxfId="281" totalsRowDxfId="280">
      <totalsRowFormula>SUBTOTAL(109,HR5:HR131)</totalsRowFormula>
    </tableColumn>
    <tableColumn id="220" xr3:uid="{B2B3D9C2-CD1C-4293-9671-91588B29F68F}" name="Requirement estimation" totalsRowFunction="custom" dataDxfId="279" totalsRowDxfId="278">
      <totalsRowFormula>SUBTOTAL(109,HS5:HS131)</totalsRowFormula>
    </tableColumn>
    <tableColumn id="221" xr3:uid="{0CEBF3B9-DDC7-41CD-B4C2-A3B59C22D97D}" name="Collaboration, communication and coordination: inter-team, inter-site" totalsRowFunction="custom" dataDxfId="277" totalsRowDxfId="276">
      <totalsRowFormula>SUBTOTAL(109,HT5:HT131)</totalsRowFormula>
    </tableColumn>
    <tableColumn id="222" xr3:uid="{DF6021B3-080D-4819-9CD6-8ECA747332E3}" name="Collaboration, communication and coordination: cross-boundary" totalsRowFunction="custom" dataDxfId="275" totalsRowDxfId="274">
      <totalsRowFormula>SUBTOTAL(109,HU5:HU131)</totalsRowFormula>
    </tableColumn>
    <tableColumn id="223" xr3:uid="{E4F0B625-569B-46E2-BAC7-44A3087F193D}" name="Tools and technology: process selection" totalsRowFunction="custom" dataDxfId="273" totalsRowDxfId="272">
      <totalsRowFormula>SUBTOTAL(109,HV5:HV131)</totalsRowFormula>
    </tableColumn>
    <tableColumn id="224" xr3:uid="{F952D85C-06F9-40CF-9E2F-9FD80A88BA69}" name="Project management performance" totalsRowFunction="custom" dataDxfId="271" totalsRowDxfId="270">
      <totalsRowFormula>SUBTOTAL(109,HW5:HW131)</totalsRowFormula>
    </tableColumn>
    <tableColumn id="225" xr3:uid="{C196E0E2-16BA-4771-AEF4-8046FFE63D7C}" name="Tools and technology: management decision" totalsRowFunction="custom" dataDxfId="269" totalsRowDxfId="268">
      <totalsRowFormula>SUBTOTAL(109,HX5:HX131)</totalsRowFormula>
    </tableColumn>
    <tableColumn id="226" xr3:uid="{25EF6AF5-8E05-4859-917F-3169D2B436C1}" name="Tools and technology: defect occurrence" totalsRowFunction="custom" dataDxfId="267" totalsRowDxfId="266">
      <totalsRowFormula>SUBTOTAL(109,HY5:HY131)</totalsRowFormula>
    </tableColumn>
    <tableColumn id="227" xr3:uid="{AA79E224-DF4F-477F-8766-35F5EC35AB25}" name="Tools and technology: testing accuracy" totalsRowFunction="custom" dataDxfId="265" totalsRowDxfId="264">
      <totalsRowFormula>SUBTOTAL(109,HZ5:HZ131)</totalsRowFormula>
    </tableColumn>
    <tableColumn id="228" xr3:uid="{02B245EC-6E3D-4FB4-9BEF-BB1803EF1E0B}" name="Knowledge assets" totalsRowFunction="custom" dataDxfId="263" totalsRowDxfId="262">
      <totalsRowFormula>SUBTOTAL(109,IA5:IA131)</totalsRowFormula>
    </tableColumn>
    <tableColumn id="229" xr3:uid="{2C7E9E7B-26E6-49D6-8F93-826F2AE8F552}" name="Trust: among team members" totalsRowFunction="custom" dataDxfId="261" totalsRowDxfId="260">
      <totalsRowFormula>SUBTOTAL(109,IB5:IB131)</totalsRowFormula>
    </tableColumn>
    <tableColumn id="230" xr3:uid="{D30BA768-9DBF-4F58-BE7E-F80C4539F79E}" name="Trust: cross-boundary" totalsRowFunction="custom" dataDxfId="259" totalsRowDxfId="258">
      <totalsRowFormula>SUBTOTAL(109,IC5:IC131)</totalsRowFormula>
    </tableColumn>
    <tableColumn id="231" xr3:uid="{9A9E365C-DE57-42D1-9DD7-8DA9C6685C6E}" name="Trust: &quot;confidence&quot; in the company and leadership and other stakeholders" totalsRowFunction="custom" dataDxfId="257" totalsRowDxfId="256">
      <totalsRowFormula>SUBTOTAL(109,ID5:ID131)</totalsRowFormula>
    </tableColumn>
    <tableColumn id="232" xr3:uid="{89E9199D-0E0E-4637-8970-E4D441C01DBE}" name="Team size/ structure" totalsRowFunction="custom" dataDxfId="255" totalsRowDxfId="254">
      <totalsRowFormula>SUBTOTAL(109,IE5:IE131)</totalsRowFormula>
    </tableColumn>
    <tableColumn id="233" xr3:uid="{2F56D4B2-E595-4BCC-B74F-CCD5DE33A417}" name="Team cohesion" totalsRowFunction="custom" dataDxfId="253" totalsRowDxfId="252">
      <totalsRowFormula>SUBTOTAL(109,IF5:IF131)</totalsRowFormula>
    </tableColumn>
    <tableColumn id="234" xr3:uid="{4D02CB05-49AC-415C-92F4-E9C26A78425A}" name="Capability to adopt team members" totalsRowFunction="custom" dataDxfId="251" totalsRowDxfId="250">
      <totalsRowFormula>SUBTOTAL(109,IG5:IG131)</totalsRowFormula>
    </tableColumn>
    <tableColumn id="235" xr3:uid="{E69D6EE4-A15D-45C1-8B45-96D91659401E}" name="Team experience" totalsRowFunction="custom" dataDxfId="249" totalsRowDxfId="248">
      <totalsRowFormula>SUBTOTAL(109,IH5:IH131)</totalsRowFormula>
    </tableColumn>
    <tableColumn id="236" xr3:uid="{D2AC6F28-EC6A-4989-9975-1176746CDE01}" name="Requirement management" totalsRowFunction="custom" dataDxfId="247" totalsRowDxfId="246">
      <totalsRowFormula>SUBTOTAL(109,II5:II131)</totalsRowFormula>
    </tableColumn>
    <tableColumn id="239" xr3:uid="{8AA30EE4-2105-49A5-9FF6-064DAB7F15A4}" name="Global project management issues" totalsRowFunction="custom" dataDxfId="245" totalsRowDxfId="244">
      <totalsRowFormula>SUBTOTAL(109,IJ5:IJ131)</totalsRowFormula>
    </tableColumn>
    <tableColumn id="242" xr3:uid="{386E920B-17FD-44F7-8D42-B13A35F2DA9C}" name="Face to face meeting" totalsRowFunction="custom" dataDxfId="243" totalsRowDxfId="242">
      <totalsRowFormula>SUBTOTAL(109,IK5:IK131)</totalsRowFormula>
    </tableColumn>
    <tableColumn id="243" xr3:uid="{CD368116-E799-4794-A460-5CFEBE8CCCBB}" name="User involvement" totalsRowFunction="custom" dataDxfId="241" totalsRowDxfId="240">
      <totalsRowFormula>SUBTOTAL(109,IL5:IL131)</totalsRowFormula>
    </tableColumn>
    <tableColumn id="245" xr3:uid="{D866B9B0-4D0F-48BC-AEFC-06987A9B8A9C}" name="Labor cost" totalsRowFunction="custom" dataDxfId="239" totalsRowDxfId="238">
      <totalsRowFormula>SUBTOTAL(109,IM5:IM131)</totalsRowFormula>
    </tableColumn>
    <tableColumn id="248" xr3:uid="{0E7969EF-60F7-405A-B946-20F1C9348AC6}" name="Human related problems" totalsRowFunction="custom" dataDxfId="237" totalsRowDxfId="236">
      <totalsRowFormula>SUBTOTAL(109,IN5:IN131)</totalsRowFormula>
    </tableColumn>
    <tableColumn id="249" xr3:uid="{AED4497C-C443-467C-BFEE-3CAEA53A504F}" name="Technical Infrastructure" totalsRowFunction="custom" dataDxfId="235" totalsRowDxfId="234">
      <totalsRowFormula>SUBTOTAL(109,IO5:IO131)</totalsRowFormula>
    </tableColumn>
    <tableColumn id="251" xr3:uid="{50A76712-5882-4C7D-8D73-BCB7659BE33E}" name="Infrastructure" totalsRowFunction="custom" dataDxfId="233" totalsRowDxfId="232">
      <totalsRowFormula>SUBTOTAL(109,IP5:IP131)</totalsRowFormula>
    </tableColumn>
    <tableColumn id="252" xr3:uid="{CC3D9D55-D34F-471B-A9DA-B8800D842DD2}" name="Effort and cost estimation for change" totalsRowFunction="custom" dataDxfId="231" totalsRowDxfId="230">
      <totalsRowFormula>SUBTOTAL(109,IQ5:IQ131)</totalsRowFormula>
    </tableColumn>
    <tableColumn id="255" xr3:uid="{C04C516E-9B33-4AFD-ACA5-675858E395C3}" name="Productivity" totalsRowFunction="custom" dataDxfId="229" totalsRowDxfId="228">
      <totalsRowFormula>SUBTOTAL(109,IR5:IR131)</totalsRowFormula>
    </tableColumn>
    <tableColumn id="256" xr3:uid="{821D1027-AF4D-4D90-8A75-82D229CB6783}" name="Project methodology (approach, mentoring)" totalsRowFunction="custom" dataDxfId="227" totalsRowDxfId="226">
      <totalsRowFormula>SUBTOTAL(109,IS5:IS131)</totalsRowFormula>
    </tableColumn>
    <tableColumn id="257" xr3:uid="{3B90CE15-0CC0-4986-960D-65575AAD264B}" name="Quality of build" totalsRowFunction="custom" dataDxfId="225" totalsRowDxfId="224">
      <totalsRowFormula>SUBTOTAL(109,IT5:IT131)</totalsRowFormula>
    </tableColumn>
    <tableColumn id="258" xr3:uid="{F4C6AC05-E75B-4ACB-A39B-162D2DD87B5F}" name="Quality of test" totalsRowFunction="custom" dataDxfId="223" totalsRowDxfId="222">
      <totalsRowFormula>SUBTOTAL(109,IU5:IU131)</totalsRowFormula>
    </tableColumn>
    <tableColumn id="259" xr3:uid="{AE6C7D40-BABC-4B25-A648-54A2ABBFC77C}" name="Team rewards and recognitions" totalsRowFunction="custom" dataDxfId="221" totalsRowDxfId="220">
      <totalsRowFormula>SUBTOTAL(109,IV5:IV131)</totalsRowFormula>
    </tableColumn>
    <tableColumn id="260" xr3:uid="{9C8A11FB-76F2-4E09-819F-8BB422312029}" name="Employee facilitation" totalsRowFunction="custom" dataDxfId="219" totalsRowDxfId="218">
      <totalsRowFormula>SUBTOTAL(109,IW5:IW131)</totalsRowFormula>
    </tableColumn>
    <tableColumn id="261" xr3:uid="{3B41D654-4DB8-4AAB-97E4-F99AD9243666}" name="Alignment between architectural decisions to organization structure" totalsRowFunction="custom" dataDxfId="217" totalsRowDxfId="216">
      <totalsRowFormula>SUBTOTAL(109,IX5:IX131)</totalsRowFormula>
    </tableColumn>
    <tableColumn id="262" xr3:uid="{077E961C-ED95-4968-AD71-16E6F4A1F4F3}" name="Project instability" totalsRowFunction="custom" dataDxfId="215" totalsRowDxfId="214">
      <totalsRowFormula>SUBTOTAL(109,IY5:IY131)</totalsRowFormula>
    </tableColumn>
    <tableColumn id="263" xr3:uid="{322378A4-7B1D-441D-9442-C884C9EDC7F3}" name="Software quality control" totalsRowFunction="custom" dataDxfId="213" totalsRowDxfId="212">
      <totalsRowFormula>SUBTOTAL(109,IZ5:IZ131)</totalsRowFormula>
    </tableColumn>
    <tableColumn id="264" xr3:uid="{E35AD899-B90C-426F-9933-EABA2966A6AC}" name="Align architecture with organization arrangement" totalsRowFunction="custom" dataDxfId="211" totalsRowDxfId="210">
      <totalsRowFormula>SUBTOTAL(109,JA5:JA131)</totalsRowFormula>
    </tableColumn>
    <tableColumn id="265" xr3:uid="{3E788B52-8C9E-41B5-A7D0-788A185FA367}" name="knowledge management practices" totalsRowFunction="custom" dataDxfId="209" totalsRowDxfId="208">
      <totalsRowFormula>SUBTOTAL(109,JB5:JB131)</totalsRowFormula>
    </tableColumn>
    <tableColumn id="266" xr3:uid="{75E864F5-BDA2-457C-8A5C-7C2E4A37F79E}" name="Communicate architectural decisions to all stakeholders" totalsRowFunction="custom" dataDxfId="207" totalsRowDxfId="206">
      <totalsRowFormula>SUBTOTAL(109,JC5:JC131)</totalsRowFormula>
    </tableColumn>
    <tableColumn id="267" xr3:uid="{E10436B4-1FFA-48D6-B57A-D0502A517589}" name="Conformance to share practices" totalsRowFunction="custom" dataDxfId="205" totalsRowDxfId="204">
      <totalsRowFormula>SUBTOTAL(109,JD5:JD131)</totalsRowFormula>
    </tableColumn>
    <tableColumn id="268" xr3:uid="{D76E67DB-43A7-4557-9B0F-B1B72D4240B4}" name="Standardize architectural practices" totalsRowFunction="custom" dataDxfId="203" totalsRowDxfId="202">
      <totalsRowFormula>SUBTOTAL(109,JE5:JE131)</totalsRowFormula>
    </tableColumn>
    <tableColumn id="269" xr3:uid="{DD4D6B1F-0C21-43A8-BB2F-BC330DD2BE93}" name="Identifyind dependencies on architectural desing decision" totalsRowFunction="custom" dataDxfId="201" totalsRowDxfId="200">
      <totalsRowFormula>SUBTOTAL(109,JF5:JF131)</totalsRowFormula>
    </tableColumn>
    <tableColumn id="270" xr3:uid="{CCE7D0D9-C1D3-4F18-83A4-4701DC3EBF44}" name="Architectural design practices" totalsRowFunction="custom" dataDxfId="199" totalsRowDxfId="198">
      <totalsRowFormula>SUBTOTAL(109,JG5:JG131)</totalsRowFormula>
    </tableColumn>
    <tableColumn id="274" xr3:uid="{38FA46FA-FABD-4A07-A656-A9ABA8B9144C}" name="Architecting modeling techniques" totalsRowFunction="custom" dataDxfId="197" totalsRowDxfId="196">
      <totalsRowFormula>SUBTOTAL(109,JH5:JH131)</totalsRowFormula>
    </tableColumn>
    <tableColumn id="276" xr3:uid="{DC23A145-DFD6-4F9C-9B00-B939603AFF00}" name="Task allocation" totalsRowFunction="custom" dataDxfId="195" totalsRowDxfId="194">
      <totalsRowFormula>SUBTOTAL(109,JI5:JI131)</totalsRowFormula>
    </tableColumn>
    <tableColumn id="278" xr3:uid="{BF65C22C-82AC-4ACB-AE3F-0A34CF02C0CF}" name="Architecturebased task allocation" totalsRowFunction="custom" dataDxfId="193" totalsRowDxfId="192">
      <totalsRowFormula>SUBTOTAL(109,JJ5:JJ131)</totalsRowFormula>
    </tableColumn>
    <tableColumn id="279" xr3:uid="{A4AA12FF-AC1A-4EEB-A889-974C3FD9D0AE}" name="Compliance to processes" totalsRowFunction="custom" dataDxfId="191" totalsRowDxfId="190">
      <totalsRowFormula>SUBTOTAL(109,JK5:JK131)</totalsRowFormula>
    </tableColumn>
    <tableColumn id="280" xr3:uid="{2B8652B1-60AF-4860-B4EC-BC9980DF8F5F}" name="Governance implemented" totalsRowFunction="custom" dataDxfId="189" totalsRowDxfId="188">
      <totalsRowFormula>SUBTOTAL(109,JL5:JL131)</totalsRowFormula>
    </tableColumn>
    <tableColumn id="281" xr3:uid="{1FE01F2D-01ED-4EA1-99E3-E21226A02F68}" name="Handling soft issues" totalsRowFunction="custom" dataDxfId="187" totalsRowDxfId="186">
      <totalsRowFormula>SUBTOTAL(109,JM5:JM131)</totalsRowFormula>
    </tableColumn>
    <tableColumn id="282" xr3:uid="{C7536621-5F2C-4143-B4A6-B1F2464A4069}" name="Socio-culture distance" totalsRowFunction="custom" dataDxfId="185" totalsRowDxfId="184">
      <totalsRowFormula>SUBTOTAL(109,JN5:JN131)</totalsRowFormula>
    </tableColumn>
    <tableColumn id="283" xr3:uid="{B5080F1E-72C7-4390-810C-CF66D416771F}" name="Team member's attitude" totalsRowFunction="custom" dataDxfId="183" totalsRowDxfId="182">
      <totalsRowFormula>SUBTOTAL(109,JO5:JO131)</totalsRowFormula>
    </tableColumn>
    <tableColumn id="284" xr3:uid="{39B4D511-B81F-496C-9C36-5DD85DD7D5E2}" name="Customer relationship" totalsRowFunction="custom" dataDxfId="181" totalsRowDxfId="180">
      <totalsRowFormula>SUBTOTAL(109,JP5:JP131)</totalsRowFormula>
    </tableColumn>
    <tableColumn id="285" xr3:uid="{995C9B10-F898-4251-877C-9959423B9C66}" name="Cost and logistics of meetings" totalsRowFunction="custom" dataDxfId="179" totalsRowDxfId="178">
      <totalsRowFormula>SUBTOTAL(109,JQ5:JQ131)</totalsRowFormula>
    </tableColumn>
    <tableColumn id="286" xr3:uid="{0D948527-F34C-4D5C-B1CD-D1CC518502C9}" name="Effort to initiate contact" totalsRowFunction="custom" dataDxfId="177" totalsRowDxfId="176">
      <totalsRowFormula>SUBTOTAL(109,JR5:JR131)</totalsRowFormula>
    </tableColumn>
    <tableColumn id="287" xr3:uid="{72713662-BEF1-411C-A71F-F3D969CAFC9B}" name="Time overlapping" totalsRowFunction="custom" dataDxfId="175" totalsRowDxfId="174">
      <totalsRowFormula>SUBTOTAL(109,JS5:JS131)</totalsRowFormula>
    </tableColumn>
    <tableColumn id="288" xr3:uid="{F4B176F7-5472-4D48-9BB0-FA624E728D02}" name="Communication frequency" totalsRowFunction="custom" dataDxfId="173" totalsRowDxfId="172">
      <totalsRowFormula>SUBTOTAL(109,JT5:JT131)</totalsRowFormula>
    </tableColumn>
    <tableColumn id="289" xr3:uid="{443A9F6F-9293-4137-8137-DA2BABB49BF6}" name="Detailed level of communication" totalsRowFunction="custom" dataDxfId="171" totalsRowDxfId="170">
      <totalsRowFormula>SUBTOTAL(109,JU5:JU131)</totalsRowFormula>
    </tableColumn>
    <tableColumn id="290" xr3:uid="{172FB367-97D6-453A-A36A-956CB0A611AE}" name="Mutual undestanding" totalsRowFunction="custom" dataDxfId="169" totalsRowDxfId="168">
      <totalsRowFormula>SUBTOTAL(109,JV5:JV131)</totalsRowFormula>
    </tableColumn>
    <tableColumn id="293" xr3:uid="{8BAD0BC9-7338-4781-81D2-DA1F5358F128}" name="Domain of manager's opinion" totalsRowFunction="custom" dataDxfId="167" totalsRowDxfId="166">
      <totalsRowFormula>SUBTOTAL(109,JW5:JW131)</totalsRowFormula>
    </tableColumn>
    <tableColumn id="294" xr3:uid="{E946D7D1-892A-4787-9FC2-2C170BE0043E}" name="Connectivity issues" totalsRowFunction="custom" dataDxfId="165" totalsRowDxfId="164">
      <totalsRowFormula>SUBTOTAL(109,JX5:JX131)</totalsRowFormula>
    </tableColumn>
    <tableColumn id="295" xr3:uid="{579A9C96-812E-4809-B337-906AA4BD3835}" name="Degree of infrastructure" totalsRowFunction="custom" dataDxfId="163" totalsRowDxfId="162">
      <totalsRowFormula>SUBTOTAL(109,JY5:JY131)</totalsRowFormula>
    </tableColumn>
    <tableColumn id="296" xr3:uid="{7746F378-43B8-4920-A951-F3055356C218}" name="Quality of telecommunication bandwidth" totalsRowFunction="custom" dataDxfId="161" totalsRowDxfId="160">
      <totalsRowFormula>SUBTOTAL(109,JZ5:JZ131)</totalsRowFormula>
    </tableColumn>
    <tableColumn id="297" xr3:uid="{762F0C87-4469-4BC5-9524-EA38BEF2C792}" name="Lack of ICT and technological cohesion" totalsRowFunction="custom" dataDxfId="159" totalsRowDxfId="158">
      <totalsRowFormula>SUBTOTAL(109,KA5:KA131)</totalsRowFormula>
    </tableColumn>
    <tableColumn id="298" xr3:uid="{BC7C22B9-52F2-4EB6-89A3-490660B07D1B}" name="Uniform processes" totalsRowFunction="custom" dataDxfId="157" totalsRowDxfId="156">
      <totalsRowFormula>SUBTOTAL(109,KB5:KB131)</totalsRowFormula>
    </tableColumn>
    <tableColumn id="300" xr3:uid="{38F13E3C-AB92-4DA7-9654-5BB3FAA5DEE9}" name="Communication of customer requirements" totalsRowFunction="custom" dataDxfId="155" totalsRowDxfId="154">
      <totalsRowFormula>SUBTOTAL(109,KC5:KC131)</totalsRowFormula>
    </tableColumn>
    <tableColumn id="302" xr3:uid="{2990DD4E-71DF-4A83-B8E8-ABD32924F25C}" name="knowledge creation ability among the teams" totalsRowFunction="custom" dataDxfId="153" totalsRowDxfId="152">
      <totalsRowFormula>SUBTOTAL(109,KD5:KD131)</totalsRowFormula>
    </tableColumn>
    <tableColumn id="305" xr3:uid="{0A20A3C9-6F63-4A34-B174-C82489617433}" name="Ability to solve their professional problems" totalsRowFunction="custom" dataDxfId="151" totalsRowDxfId="150">
      <totalsRowFormula>SUBTOTAL(109,KE5:KE131)</totalsRowFormula>
    </tableColumn>
    <tableColumn id="311" xr3:uid="{21AE5A0F-277E-457E-9EC4-A11F3C9873FF}" name="Cooperation and competition within the teams’ to fulfill the goals" totalsRowFunction="custom" dataDxfId="149" totalsRowDxfId="148">
      <totalsRowFormula>SUBTOTAL(109,KF5:KF131)</totalsRowFormula>
    </tableColumn>
    <tableColumn id="331" xr3:uid="{B765AB1C-C5BC-4FD7-A46D-2F9BEE16C7F7}" name="Explicit and standard communication pattern for knowledge transfer effectiveness" totalsRowFunction="custom" dataDxfId="147" totalsRowDxfId="146">
      <totalsRowFormula>SUBTOTAL(109,KG5:KG131)</totalsRowFormula>
    </tableColumn>
    <tableColumn id="334" xr3:uid="{D3ED25DD-1369-4F57-BDB5-9F443DFC386C}" name="Specialty ability of the teams" totalsRowFunction="custom" dataDxfId="145" totalsRowDxfId="144">
      <totalsRowFormula>SUBTOTAL(109,KH5:KH131)</totalsRowFormula>
    </tableColumn>
    <tableColumn id="339" xr3:uid="{380E3B49-4341-43D4-85E5-8C4D3C822589}" name="Mediating role knowledge transfer" totalsRowFunction="custom" dataDxfId="143" totalsRowDxfId="142">
      <totalsRowFormula>SUBTOTAL(109,KI5:KI131)</totalsRowFormula>
    </tableColumn>
    <tableColumn id="342" xr3:uid="{01339677-3017-4288-BC5F-6D4FC8BFF53D}" name="Assessment of teams knowledge transfer effectiveness" totalsRowFunction="custom" dataDxfId="141" totalsRowDxfId="140">
      <totalsRowFormula>SUBTOTAL(109,KJ5:KJ131)</totalsRowFormula>
    </tableColumn>
    <tableColumn id="343" xr3:uid="{90ADFE62-6F31-4C60-962C-ABCFC7BD5D7A}" name="Communality" totalsRowFunction="custom" dataDxfId="139" totalsRowDxfId="138">
      <totalsRowFormula>SUBTOTAL(109,KK5:KK131)</totalsRowFormula>
    </tableColumn>
    <tableColumn id="345" xr3:uid="{A1E140E7-986A-4840-A51A-273AA97D7FDF}" name="Benevolence" totalsRowFunction="custom" dataDxfId="137" totalsRowDxfId="136">
      <totalsRowFormula>SUBTOTAL(109,KL5:KL131)</totalsRowFormula>
    </tableColumn>
    <tableColumn id="346" xr3:uid="{AED70921-3FEF-4918-883F-714F19D6E923}" name="Internalised norms" totalsRowFunction="custom" dataDxfId="135" totalsRowDxfId="134">
      <totalsRowFormula>SUBTOTAL(109,KM5:KM131)</totalsRowFormula>
    </tableColumn>
    <tableColumn id="347" xr3:uid="{725F7A03-5987-4D6F-9040-A65B488D1169}" name="Accountability" totalsRowFunction="custom" dataDxfId="133" totalsRowDxfId="132">
      <totalsRowFormula>SUBTOTAL(109,KN5:KN131)</totalsRowFormula>
    </tableColumn>
    <tableColumn id="352" xr3:uid="{35A1CE3B-CEEB-4DC6-924C-B1C0CAC6657D}" name="Interpersonal relationships skills" totalsRowFunction="custom" dataDxfId="131" totalsRowDxfId="130">
      <totalsRowFormula>SUBTOTAL(109,KO5:KO131)</totalsRowFormula>
    </tableColumn>
    <tableColumn id="353" xr3:uid="{2FA3B6C4-AD59-4D70-919F-B5EADFF9DF0E}" name="Reasoning skills" totalsRowFunction="custom" dataDxfId="129" totalsRowDxfId="128">
      <totalsRowFormula>SUBTOTAL(109,KP5:KP131)</totalsRowFormula>
    </tableColumn>
    <tableColumn id="354" xr3:uid="{B394C20F-E020-4A92-923E-2BDA5C7EE21D}" name="Communication protocols and customs" totalsRowFunction="custom" dataDxfId="127" totalsRowDxfId="126">
      <totalsRowFormula>SUBTOTAL(109,KQ5:KQ131)</totalsRowFormula>
    </tableColumn>
    <tableColumn id="355" xr3:uid="{1137E8DB-AFA2-4ECF-BE31-9EDC426EF526}" name="Communication skills in a second language" totalsRowFunction="custom" dataDxfId="125" totalsRowDxfId="124">
      <totalsRowFormula>SUBTOTAL(109,KR5:KR131)</totalsRowFormula>
    </tableColumn>
    <tableColumn id="356" xr3:uid="{BD751EC6-A9DD-4CD4-A217-5E9A459102B1}" name="Ability to motivate others and create trust" totalsRowFunction="custom" dataDxfId="123" totalsRowDxfId="122">
      <totalsRowFormula>SUBTOTAL(109,KS5:KS131)</totalsRowFormula>
    </tableColumn>
    <tableColumn id="358" xr3:uid="{BFAFEA28-E627-4D27-BAC4-6D7987E14286}" name="Extroversion (personality dimensions)" totalsRowFunction="custom" dataDxfId="121" totalsRowDxfId="120">
      <totalsRowFormula>SUBTOTAL(109,KT5:KT131)</totalsRowFormula>
    </tableColumn>
    <tableColumn id="359" xr3:uid="{F62C0415-3A05-4271-B273-C472D64E863F}" name="Computer anxiety" totalsRowFunction="custom" dataDxfId="119" totalsRowDxfId="118">
      <totalsRowFormula>SUBTOTAL(109,KU5:KU131)</totalsRowFormula>
    </tableColumn>
    <tableColumn id="360" xr3:uid="{FB5284B5-C07B-44A6-A205-24AC307E1B35}" name="Self-control (personality dimensions)" totalsRowFunction="custom" dataDxfId="117" totalsRowDxfId="116">
      <totalsRowFormula>SUBTOTAL(109,KV5:KV131)</totalsRowFormula>
    </tableColumn>
    <tableColumn id="361" xr3:uid="{90C07CB0-927B-4259-9033-27CC19233E27}" name="Sensitivity (personality dimensions)" totalsRowFunction="custom" dataDxfId="115" totalsRowDxfId="114">
      <totalsRowFormula>SUBTOTAL(109,KW5:KW131)</totalsRowFormula>
    </tableColumn>
    <tableColumn id="362" xr3:uid="{2BC17E4B-B5A8-4876-A247-FA39567FA2AE}" name="Emotional stability (personality dimensions)" totalsRowFunction="custom" dataDxfId="113" totalsRowDxfId="112">
      <totalsRowFormula>SUBTOTAL(109,KX5:KX131)</totalsRowFormula>
    </tableColumn>
    <tableColumn id="363" xr3:uid="{95642A65-E8E9-46C9-A3EE-9F10A4B513D1}" name="Conscientiousness (personality dimensions)" totalsRowFunction="custom" dataDxfId="111" totalsRowDxfId="110">
      <totalsRowFormula>SUBTOTAL(109,KY5:KY131)</totalsRowFormula>
    </tableColumn>
    <tableColumn id="364" xr3:uid="{C7079C71-B7C4-4190-95A5-8DB4B3754507}" name="Charismatic leadership" totalsRowFunction="custom" dataDxfId="109" totalsRowDxfId="108">
      <totalsRowFormula>SUBTOTAL(109,KZ5:KZ131)</totalsRowFormula>
    </tableColumn>
    <tableColumn id="365" xr3:uid="{30EAF18C-F2EA-474B-BB2A-B913A5525B13}" name="Age" totalsRowFunction="custom" dataDxfId="107" totalsRowDxfId="106">
      <totalsRowFormula>SUBTOTAL(109,LA5:LA131)</totalsRowFormula>
    </tableColumn>
    <tableColumn id="369" xr3:uid="{7BC77215-D080-4687-9485-71FEB3248DD0}" name="Frequent information sharing" totalsRowFunction="custom" dataDxfId="105" totalsRowDxfId="104">
      <totalsRowFormula>SUBTOTAL(109,LB5:LB131)</totalsRowFormula>
    </tableColumn>
    <tableColumn id="371" xr3:uid="{B0B7A574-5854-473D-843B-6FDA1F2BB579}" name="Requeriments elicitation techniques" totalsRowFunction="custom" dataDxfId="103" totalsRowDxfId="102">
      <totalsRowFormula>SUBTOTAL(109,LC5:LC131)</totalsRowFormula>
    </tableColumn>
    <tableColumn id="377" xr3:uid="{01D5EAD5-5B1B-44F1-8D17-02120FD39686}" name="Client and vendor organizational management commitment" totalsRowFunction="custom" dataDxfId="101" totalsRowDxfId="100">
      <totalsRowFormula>SUBTOTAL(109,LD5:LD131)</totalsRowFormula>
    </tableColumn>
    <tableColumn id="379" xr3:uid="{DEAE38A3-2EFA-4251-B5BA-001DAFBC2386}" name="Financial maturity" totalsRowFunction="custom" dataDxfId="99" totalsRowDxfId="98">
      <totalsRowFormula>SUBTOTAL(109,LE5:LE131)</totalsRowFormula>
    </tableColumn>
    <tableColumn id="382" xr3:uid="{B7B1C33A-CBD2-457F-869F-72E9DD3E4DB1}" name="Use of English for communication" totalsRowFunction="custom" dataDxfId="97" totalsRowDxfId="96">
      <totalsRowFormula>SUBTOTAL(109,LF5:LF131)</totalsRowFormula>
    </tableColumn>
    <tableColumn id="383" xr3:uid="{EB822192-39EB-4E91-AAEC-EEFD18CDD355}" name="Informal communication" totalsRowFunction="custom" dataDxfId="95" totalsRowDxfId="94">
      <totalsRowFormula>SUBTOTAL(109,LG5:LG131)</totalsRowFormula>
    </tableColumn>
    <tableColumn id="384" xr3:uid="{7B4B18F7-000F-4C86-964A-49A6B3A7FCBD}" name="Experienced staff" totalsRowFunction="custom" dataDxfId="93" totalsRowDxfId="92">
      <totalsRowFormula>SUBTOTAL(109,LH5:LH131)</totalsRowFormula>
    </tableColumn>
    <tableColumn id="386" xr3:uid="{CE0FAC88-F6AE-4BAE-B982-1BF656F17000}" name="Agile training" totalsRowFunction="custom" dataDxfId="91" totalsRowDxfId="90">
      <totalsRowFormula>SUBTOTAL(109,LI5:LI131)</totalsRowFormula>
    </tableColumn>
    <tableColumn id="388" xr3:uid="{AF803585-64BB-4888-A952-F326A0C15681}" name="Budget constraints" totalsRowFunction="custom" dataDxfId="89" totalsRowDxfId="88">
      <totalsRowFormula>SUBTOTAL(109,LJ5:LJ131)</totalsRowFormula>
    </tableColumn>
    <tableColumn id="389" xr3:uid="{69EED085-21E2-4172-BD02-E975F79087BF}" name="Project scope" totalsRowFunction="custom" dataDxfId="87" totalsRowDxfId="86">
      <totalsRowFormula>SUBTOTAL(109,LK5:LK131)</totalsRowFormula>
    </tableColumn>
    <tableColumn id="390" xr3:uid="{F66BAB6B-0273-47E4-8F89-CAF64DCEAB9C}" name="Organizational commitments" totalsRowFunction="custom" dataDxfId="85" totalsRowDxfId="84">
      <totalsRowFormula>SUBTOTAL(109,LL5:LL131)</totalsRowFormula>
    </tableColumn>
    <tableColumn id="392" xr3:uid="{BDCB4495-B5F4-4FA0-9EE5-4D6091B80E8D}" name="Scaling tools and standards" totalsRowFunction="custom" dataDxfId="83" totalsRowDxfId="82">
      <totalsRowFormula>SUBTOTAL(109,LM5:LM131)</totalsRowFormula>
    </tableColumn>
    <tableColumn id="393" xr3:uid="{E5BD1DEE-4ACC-4D09-883F-9A2B3A41D13D}" name="Error management culture" totalsRowFunction="custom" dataDxfId="81" totalsRowDxfId="80">
      <totalsRowFormula>SUBTOTAL(109,LN5:LN131)</totalsRowFormula>
    </tableColumn>
    <tableColumn id="394" xr3:uid="{10532FD0-1BA5-4DE7-B9DC-8CEA4A642080}" name="Handling of data" totalsRowFunction="custom" dataDxfId="79" totalsRowDxfId="78">
      <totalsRowFormula>SUBTOTAL(109,LO5:LO131)</totalsRowFormula>
    </tableColumn>
    <tableColumn id="395" xr3:uid="{B66E6F3B-D8BC-49A2-83FF-A371C244CE21}" name="Lifelong learning" totalsRowFunction="custom" dataDxfId="77" totalsRowDxfId="76">
      <totalsRowFormula>SUBTOTAL(109,LP5:LP131)</totalsRowFormula>
    </tableColumn>
    <tableColumn id="79" xr3:uid="{D3815FF2-816F-45DD-BD41-4A02515B5168}" name="Legislation and regulation with cloud provider" totalsRowFunction="custom" dataDxfId="75" totalsRowDxfId="74">
      <totalsRowFormula>SUBTOTAL(109,LQ5:LQ131)</totalsRowFormula>
    </tableColumn>
    <tableColumn id="91" xr3:uid="{2E8A8749-8E84-4A9E-BC91-3A84DDB4EDBF}" name="Choose the right cloud service provider" totalsRowFunction="custom" dataDxfId="73" totalsRowDxfId="72">
      <totalsRowFormula>SUBTOTAL(109,LR5:LR131)</totalsRowFormula>
    </tableColumn>
    <tableColumn id="94" xr3:uid="{215929B6-86FA-4174-9243-2E3ECBFB767A}" name="Reuse ability" totalsRowFunction="custom" dataDxfId="71" totalsRowDxfId="70">
      <totalsRowFormula>SUBTOTAL(109,LS5:LS131)</totalsRowFormula>
    </tableColumn>
    <tableColumn id="155" xr3:uid="{A5955113-CE2E-46CB-B468-D829E284A276}" name="Eminence Education " totalsRowFunction="custom" dataDxfId="69" totalsRowDxfId="68">
      <totalsRowFormula>SUBTOTAL(109,LT5:LT131)</totalsRowFormula>
    </tableColumn>
    <tableColumn id="153" xr3:uid="{55E60E1E-450D-493D-8095-F10007E72C3C}" name="Lack of conviction issues" totalsRowFunction="custom" dataDxfId="67" totalsRowDxfId="66">
      <totalsRowFormula>SUBTOTAL(109,LU5:LU131)</totalsRowFormula>
    </tableColumn>
    <tableColumn id="151" xr3:uid="{ACA3FE1C-C0A7-43AD-9288-8707D7C50475}" name="Gender preference and segregation" totalsRowFunction="custom" dataDxfId="65" totalsRowDxfId="64" dataCellStyle="Normal 2">
      <totalsRowFormula>SUBTOTAL(109,LV5:LV131)</totalsRowFormula>
    </tableColumn>
    <tableColumn id="206" xr3:uid="{8D2F43AE-416B-4444-9B46-C141ABB96172}" name="Work-Life Balance Issues (Women)" totalsRowFunction="custom" dataDxfId="63" totalsRowDxfId="62" dataCellStyle="Normal 2">
      <totalsRowFormula>SUBTOTAL(109,LW5:LW131)</totalsRowFormula>
    </tableColumn>
    <tableColumn id="209" xr3:uid="{6F6FDA0E-6DB2-47CE-8D13-E0A937C165C1}" name="Benevolent Sexism (Women)" totalsRowFunction="custom" dataDxfId="61" totalsRowDxfId="60" dataCellStyle="Normal 2">
      <totalsRowFormula>SUBTOTAL(109,LX5:LX131)</totalsRowFormula>
    </tableColumn>
    <tableColumn id="211" xr3:uid="{DA503E28-1990-4BE4-999B-C0F3EA9C76F7}" name="Lack of Recognition (Women)" totalsRowFunction="custom" dataDxfId="59" totalsRowDxfId="58" dataCellStyle="Normal 2">
      <totalsRowFormula>SUBTOTAL(109,LY5:LY131)</totalsRowFormula>
    </tableColumn>
    <tableColumn id="237" xr3:uid="{B4C32DF5-9FFC-45E1-B0CF-891E0D25518B}" name="Lack of Peer Parity (Women)" totalsRowFunction="custom" dataDxfId="57" totalsRowDxfId="56" dataCellStyle="Normal 2">
      <totalsRowFormula>SUBTOTAL(109,LZ5:LZ131)</totalsRowFormula>
    </tableColumn>
    <tableColumn id="199" xr3:uid="{C4A470DD-D458-4678-ABDF-C7AF11D84934}" name="Impostor phenomenon (Women)" totalsRowFunction="custom" dataDxfId="55" totalsRowDxfId="54" dataCellStyle="Normal 2">
      <totalsRowFormula>SUBTOTAL(109,MA5:MA131)</totalsRowFormula>
    </tableColumn>
    <tableColumn id="200" xr3:uid="{8E47B67F-6479-4C59-9EB0-A1D1A9D26451}" name="Pay inequality between genders (Women)" totalsRowFunction="custom" dataDxfId="53" totalsRowDxfId="52" dataCellStyle="Normal 2">
      <totalsRowFormula>SUBTOTAL(109,MB5:MB131)</totalsRowFormula>
    </tableColumn>
    <tableColumn id="196" xr3:uid="{E350E335-DA0E-41A8-AC7B-33F1AB9CA618}" name="Prove-it Again (Women)" totalsRowFunction="custom" dataDxfId="51" totalsRowDxfId="50" dataCellStyle="Normal 2">
      <totalsRowFormula>SUBTOTAL(109,MC5:MC131)</totalsRowFormula>
    </tableColumn>
    <tableColumn id="166" xr3:uid="{E2273954-A677-4848-BB48-31BB690265E1}" name="Maternal Wall (Women)" totalsRowFunction="custom" dataDxfId="49" totalsRowDxfId="48" dataCellStyle="Normal 2">
      <totalsRowFormula>SUBTOTAL(109,MD5:MD131)</totalsRowFormula>
    </tableColumn>
    <tableColumn id="238" xr3:uid="{BC3114B5-4A5A-44A3-96C4-2B1B5346C12F}" name="Total number of technical skills (one employee)" totalsRowFunction="custom" dataDxfId="47" totalsRowDxfId="46" dataCellStyle="Normal 2">
      <totalsRowFormula>SUBTOTAL(109,ME5:ME131)</totalsRowFormula>
    </tableColumn>
    <tableColumn id="244" xr3:uid="{64C5B35E-F737-47D0-A932-8A5EA38419F8}" name="Degree of task information" totalsRowFunction="custom" dataDxfId="45" totalsRowDxfId="44" dataCellStyle="Normal 2">
      <totalsRowFormula>SUBTOTAL(109,MF5:MF131)</totalsRowFormula>
    </tableColumn>
    <tableColumn id="246" xr3:uid="{332998B1-B5A7-412D-9DE2-C175B2E45CFD}" name="Degree of personal information" totalsRowFunction="custom" dataDxfId="43" totalsRowDxfId="42" dataCellStyle="Normal 2">
      <totalsRowFormula>SUBTOTAL(109,MG5:MG131)</totalsRowFormula>
    </tableColumn>
    <tableColumn id="241" xr3:uid="{D1C2BDFA-FF64-4768-9DB7-A90B5ADA7940}" name="Degree of communication concreteness" totalsRowFunction="custom" dataDxfId="41" totalsRowDxfId="40" dataCellStyle="Normal 2">
      <totalsRowFormula>SUBTOTAL(109,MH5:MH131)</totalsRowFormula>
    </tableColumn>
    <tableColumn id="240" xr3:uid="{628F8595-1C4D-49F0-96D1-F040F0CE8F7B}" name="Degree of affective intensity" totalsRowFunction="custom" dataDxfId="39" totalsRowDxfId="38" dataCellStyle="Normal 2">
      <totalsRowFormula>SUBTOTAL(109,MI5:MI131)</totalsRowFormula>
    </tableColumn>
    <tableColumn id="273" xr3:uid="{7E264B3D-E4F6-458C-9C91-8F932FB46B8E}" name="Limited support for reusability" totalsRowFunction="custom" dataDxfId="37" totalsRowDxfId="36" dataCellStyle="Normal 2">
      <totalsRowFormula>SUBTOTAL(109,MJ5:MJ131)</totalsRowFormula>
    </tableColumn>
    <tableColumn id="271" xr3:uid="{93CA3F0E-6491-4BFE-87A8-8D0741E51373}" name="Lack of long-term planning" totalsRowFunction="custom" dataDxfId="35" totalsRowDxfId="34" dataCellStyle="Normal 2">
      <totalsRowFormula>SUBTOTAL(109,MK5:MK131)</totalsRowFormula>
    </tableColumn>
    <tableColumn id="272" xr3:uid="{B1AEEAFE-91D7-4E72-8288-E9B2E6FADCE3}" name="Efficient utilization of time and computing resources" totalsRowFunction="custom" dataDxfId="33" totalsRowDxfId="32" dataCellStyle="Normal 2">
      <totalsRowFormula>SUBTOTAL(109,ML5:ML131)</totalsRowFormula>
    </tableColumn>
    <tableColumn id="253" xr3:uid="{31BA3C86-3DA8-412B-90E4-594A05751E5E}" name="E-waste minimization" totalsRowFunction="custom" dataDxfId="31" totalsRowDxfId="30" dataCellStyle="Normal 2">
      <totalsRowFormula>SUBTOTAL(109,MM5:MM131)</totalsRowFormula>
    </tableColumn>
    <tableColumn id="254" xr3:uid="{FAF69A88-C5FD-46F3-958A-948B701FCBBF}" name="Green and sustainable management of product lige cycle" totalsRowFunction="custom" dataDxfId="29" totalsRowDxfId="28" dataCellStyle="Normal 2">
      <totalsRowFormula>SUBTOTAL(109,MN5:MN131)</totalsRowFormula>
    </tableColumn>
    <tableColumn id="250" xr3:uid="{E144A63F-8EBB-4D83-B3A2-7AAFCAA06C80}" name="Minimal reengineering" totalsRowFunction="custom" dataDxfId="27" totalsRowDxfId="26" dataCellStyle="Normal 2">
      <totalsRowFormula>SUBTOTAL(109,MO5:MO131)</totalsRowFormula>
    </tableColumn>
    <tableColumn id="247" xr3:uid="{D8C63B9E-78F3-4646-A1C1-D018B4256AD4}" name="Polymorphic design" totalsRowFunction="custom" dataDxfId="25" totalsRowDxfId="24" dataCellStyle="Normal 2">
      <totalsRowFormula>SUBTOTAL(109,MP5:MP131)</totalsRowFormula>
    </tableColumn>
    <tableColumn id="275" xr3:uid="{512BA072-E272-4D04-8FF7-F8DCC0B9B333}" name="Team Empowerment" totalsRowFunction="custom" dataDxfId="23" totalsRowDxfId="22" dataCellStyle="Normal 2">
      <totalsRowFormula>SUBTOTAL(109,MQ5:MQ131)</totalsRowFormula>
    </tableColumn>
    <tableColumn id="291" xr3:uid="{BF66E536-E02C-4690-A013-A02F4002AFDB}" name="Metrics to assess risk-based testing" totalsRowFunction="custom" dataDxfId="21" totalsRowDxfId="20" dataCellStyle="Normal 2">
      <totalsRowFormula>SUBTOTAL(109,MR5:MR131)</totalsRowFormula>
    </tableColumn>
    <tableColumn id="277" xr3:uid="{4D87323B-7217-4AF7-BC45-08249F06DDAD}" name="Metrics  to assess risk-based testing activities" totalsRowFunction="custom" dataDxfId="19" totalsRowDxfId="18" dataCellStyle="Normal 2">
      <totalsRowFormula>SUBTOTAL(109,MS5:MS131)</totalsRowFormula>
    </tableColumn>
    <tableColumn id="299" xr3:uid="{B6639FB8-FCA1-4B70-A7CC-C16AFDD6F436}" name="Training of DevOps activities" totalsRowFunction="custom" dataDxfId="17" totalsRowDxfId="16" dataCellStyle="Normal 2">
      <totalsRowFormula>SUBTOTAL(109,MT5:MT131)</totalsRowFormula>
    </tableColumn>
    <tableColumn id="144" xr3:uid="{E98A7760-E6F7-4D88-9A26-C9599E50DFBD}" name="Sub-total" totalsRowFunction="custom" dataDxfId="15" totalsRowDxfId="14">
      <calculatedColumnFormula>SUM(Tabela7[[#This Row],[Communication]:[Training of DevOps activities]])</calculatedColumnFormula>
      <totalsRowFormula>SUBTOTAL(109,MU5:MU131)</totalsRowFormula>
    </tableColumn>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25494-2C0F-44D8-B982-6F342A2EE1EB}" name="Tabela914" displayName="Tabela914" ref="B3:M68" totalsRowShown="0">
  <autoFilter ref="B3:M68" xr:uid="{28C19BEE-B351-4121-B0A9-279BCE37C3E0}"/>
  <sortState xmlns:xlrd2="http://schemas.microsoft.com/office/spreadsheetml/2017/richdata2" ref="B4:M68">
    <sortCondition ref="F7:F68"/>
  </sortState>
  <tableColumns count="12">
    <tableColumn id="1" xr3:uid="{CD228FFD-D8C7-4634-8F24-DB05A8888DD5}" name="#1" dataDxfId="13" dataCellStyle="Normal 2"/>
    <tableColumn id="8" xr3:uid="{057E2988-F589-4A5D-A07D-242552E4B5A3}" name="author"/>
    <tableColumn id="7" xr3:uid="{FFB4B931-0C21-4B22-BB49-4B5C447F93E1}" name="#12" dataDxfId="12" dataCellStyle="Normal 2"/>
    <tableColumn id="2" xr3:uid="{9674AF1B-457B-477F-9E49-121569549601}" name="#13" dataDxfId="11"/>
    <tableColumn id="4" xr3:uid="{A045D9A7-A625-4AB4-9658-10F59663E8C2}" name="year" dataDxfId="10"/>
    <tableColumn id="3" xr3:uid="{F583F9F9-7C0F-462D-8C5F-7B7C5CF4C32F}" name="#133" dataDxfId="9"/>
    <tableColumn id="5" xr3:uid="{B504B242-43E4-42EB-AAE6-6BFDB0AD82ED}" name="#5" dataDxfId="8"/>
    <tableColumn id="10" xr3:uid="{63422555-80B1-4709-83E3-BA147653D62D}" name="#52" dataDxfId="7"/>
    <tableColumn id="6" xr3:uid="{F5D825BF-2F04-4784-B192-3026726891D0}" name="#6"/>
    <tableColumn id="11" xr3:uid="{D78A2BDC-75FB-4D43-AEBF-D4B431B4D14F}" name="#7" dataDxfId="6"/>
    <tableColumn id="12" xr3:uid="{57740BA0-6BE9-41C1-AB8A-75DEBCBE7FD3}" name="#8" dataDxfId="5"/>
    <tableColumn id="13" xr3:uid="{60E5B89C-C4CC-449B-8F32-3B4238EA7EBA}" name="#9" dataDxfId="4"/>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D7DB4D-0E07-4A7F-8BF1-EB4013AB23D2}" name="Tabela5" displayName="Tabela5" ref="T2:U16" totalsRowShown="0" headerRowDxfId="3" dataDxfId="2" headerRowCellStyle="Normal 2" dataCellStyle="Normal 2">
  <autoFilter ref="T2:U16" xr:uid="{1ED7DB4D-0E07-4A7F-8BF1-EB4013AB23D2}"/>
  <sortState xmlns:xlrd2="http://schemas.microsoft.com/office/spreadsheetml/2017/richdata2" ref="T3:U16">
    <sortCondition ref="T5:T16"/>
  </sortState>
  <tableColumns count="2">
    <tableColumn id="1" xr3:uid="{4C19D928-E127-42A6-8D2A-87D626F9B63D}" name="year" dataDxfId="1" dataCellStyle="Normal 2"/>
    <tableColumn id="2" xr3:uid="{B9512A93-39A1-454F-B6BF-365BC4C4E807}" name="crite" dataDxfId="0" dataCellStyle="Normal 2"/>
  </tableColumns>
  <tableStyleInfo name="TableStyleLight4"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75" dT="2022-09-02T13:55:34.31" personId="{0B3164CC-0288-4BC2-866E-8AB519A98AD1}" id="{9361C52E-2AB5-4E0D-9E43-F6DEE10AC6CB}">
    <text>EXPLICAR O USO DA STRING DE BUSCA</text>
  </threadedComment>
  <threadedComment ref="A918" dT="2022-09-03T17:04:41.88" personId="{0B3164CC-0288-4BC2-866E-8AB519A98AD1}" id="{54E84392-D1FC-4DD3-9548-C187844FCDE5}">
    <text>EXCELENTE ARTIGO DE REVISÃO SISTEMATICA DE LITERATURA</text>
  </threadedComment>
</ThreadedComments>
</file>

<file path=xl/threadedComments/threadedComment2.xml><?xml version="1.0" encoding="utf-8"?>
<ThreadedComments xmlns="http://schemas.microsoft.com/office/spreadsheetml/2018/threadedcomments" xmlns:x="http://schemas.openxmlformats.org/spreadsheetml/2006/main">
  <threadedComment ref="C5" dT="2020-10-11T17:33:06.04" personId="{0EE782FA-D5D1-48A0-9F55-4384E838DB0E}" id="{D1120887-F8BC-4EE6-BD14-D5ABDCA0C087}">
    <text>Solicitação enviada</text>
  </threadedComment>
  <threadedComment ref="C12" dT="2020-10-11T17:33:55.77" personId="{0EE782FA-D5D1-48A0-9F55-4384E838DB0E}" id="{D763F4E1-E2F9-4BEF-908A-590D85C82DCC}">
    <text>paper não encontrado no researchgate</text>
  </threadedComment>
  <threadedComment ref="C20" dT="2020-10-11T17:34:53.43" personId="{0EE782FA-D5D1-48A0-9F55-4384E838DB0E}" id="{33B573C1-643B-4E48-A3FD-C6DC54819146}">
    <text>solicitação enviada</text>
  </threadedComment>
  <threadedComment ref="C20" dT="2020-11-08T10:35:07.27" personId="{0EE782FA-D5D1-48A0-9F55-4384E838DB0E}" id="{B2F5B752-3B21-446E-B701-C1C8EF5DC7DA}" parentId="{33B573C1-643B-4E48-A3FD-C6DC54819146}">
    <text>recebido dia 06-11</text>
  </threadedComment>
  <threadedComment ref="C21" dT="2020-10-11T17:36:02.30" personId="{0EE782FA-D5D1-48A0-9F55-4384E838DB0E}" id="{554BE8A8-5928-411C-82A8-5A734840A940}">
    <text>solicitação enviada</text>
  </threadedComment>
  <threadedComment ref="C25" dT="2020-10-11T17:36:34.03" personId="{0EE782FA-D5D1-48A0-9F55-4384E838DB0E}" id="{8A7B7702-964A-444B-8716-30C09ACED45C}">
    <text>não encontrado no researchgate</text>
  </threadedComment>
  <threadedComment ref="G26" dT="2020-09-20T10:39:02.54" personId="{0EE782FA-D5D1-48A0-9F55-4384E838DB0E}" id="{1E539ABC-1BAC-4333-8880-27B326B80B7F}">
    <text>trust</text>
  </threadedComment>
  <threadedComment ref="C33" dT="2020-10-11T17:37:07.37" personId="{0EE782FA-D5D1-48A0-9F55-4384E838DB0E}" id="{F79F2636-3813-411C-AE27-2EE3694A3366}">
    <text>solicitação enviada</text>
  </threadedComment>
  <threadedComment ref="C44" dT="2020-10-11T17:37:50.96" personId="{0EE782FA-D5D1-48A0-9F55-4384E838DB0E}" id="{BD7FA580-6F7E-48CC-A39A-FB566E730F24}">
    <text>solicitação enviada</text>
  </threadedComment>
  <threadedComment ref="C51" dT="2020-10-11T17:38:40.19" personId="{0EE782FA-D5D1-48A0-9F55-4384E838DB0E}" id="{C5BC9C65-4DCC-48BF-B632-E154C9148D80}">
    <text>paper não encontrado</text>
  </threadedComment>
  <threadedComment ref="C61" dT="2020-10-11T17:23:37.30" personId="{0EE782FA-D5D1-48A0-9F55-4384E838DB0E}" id="{D7E1C65E-447C-4634-81F7-DB211A221EC7}">
    <text>solicitação de paper enviada</text>
  </threadedComment>
  <threadedComment ref="C69" dT="2020-10-11T17:28:00.46" personId="{0EE782FA-D5D1-48A0-9F55-4384E838DB0E}" id="{AC6EF650-2DEC-428B-8999-B48CF9E80CF3}">
    <text>não encontrado no researchgate</text>
  </threadedComment>
  <threadedComment ref="B71" dT="2020-11-02T11:57:53.19" personId="{0EE782FA-D5D1-48A0-9F55-4384E838DB0E}" id="{55D23BE2-7502-4EAA-9BEE-47E0CCD6EE16}">
    <text>Metodologia muito alinhada</text>
  </threadedComment>
  <threadedComment ref="B75" dT="2020-11-02T17:41:04.58" personId="{0EE782FA-D5D1-48A0-9F55-4384E838DB0E}" id="{608589FC-EE44-40D1-94B5-F32D47CCD865}">
    <text>Gráfico de hierarquia e mapa mental</text>
  </threadedComment>
  <threadedComment ref="B76" dT="2020-11-02T18:23:09.60" personId="{0EE782FA-D5D1-48A0-9F55-4384E838DB0E}" id="{173D9E5E-4A06-43C6-925A-D12E2EA0A904}">
    <text>PCA</text>
  </threadedComment>
  <threadedComment ref="B80" dT="2020-11-02T20:27:46.93" personId="{0EE782FA-D5D1-48A0-9F55-4384E838DB0E}" id="{820407BE-3FFE-4AF7-8BDE-4231AC1221DC}">
    <text>cluster</text>
  </threadedComment>
  <threadedComment ref="B88" dT="2020-11-03T18:14:01.60" personId="{0EE782FA-D5D1-48A0-9F55-4384E838DB0E}" id="{34324461-214B-4CD4-9ED7-30BE3EA4F655}">
    <text>MUITO COMPLETO</text>
  </threadedComment>
  <threadedComment ref="C92" dT="2020-10-11T17:29:06.71" personId="{0EE782FA-D5D1-48A0-9F55-4384E838DB0E}" id="{44A91B88-E829-4142-AFF8-D30CF2BBFA32}">
    <text>Solicitação enviada</text>
  </threadedComment>
  <threadedComment ref="C98" dT="2020-10-11T17:30:10.15" personId="{0EE782FA-D5D1-48A0-9F55-4384E838DB0E}" id="{DD212920-2BFA-4160-9FF3-4886455F6426}">
    <text>Solicitação enviada</text>
  </threadedComment>
  <threadedComment ref="C98" dT="2020-10-13T09:51:07.51" personId="{0EE782FA-D5D1-48A0-9F55-4384E838DB0E}" id="{A7FFD300-4C3B-4A44-AAA1-178D680F5864}" parentId="{DD212920-2BFA-4160-9FF3-4886455F6426}">
    <text>resposta ok</text>
  </threadedComment>
  <threadedComment ref="C99" dT="2020-10-11T17:32:24.39" personId="{0EE782FA-D5D1-48A0-9F55-4384E838DB0E}" id="{8C1C9B04-3719-4FE0-9D23-5E2FD4E0B4B5}">
    <text>não encontrado no researchgate</text>
  </threadedComment>
  <threadedComment ref="C103" dT="2020-10-11T17:28:08.70" personId="{0EE782FA-D5D1-48A0-9F55-4384E838DB0E}" id="{3A503320-354D-4686-AC7F-8515A1A6195F}">
    <text>solicitação enviada</text>
  </threadedComment>
  <threadedComment ref="B109" dT="2021-02-12T22:54:08.08" personId="{0EE782FA-D5D1-48A0-9F55-4384E838DB0E}" id="{00829BCD-72DF-4550-A918-B04AE7EA171C}">
    <text>artigo de 1995 - muito interessante utilização do método de newton como inteligencia artificial</text>
  </threadedComment>
</ThreadedComments>
</file>

<file path=xl/threadedComments/threadedComment3.xml><?xml version="1.0" encoding="utf-8"?>
<ThreadedComments xmlns="http://schemas.microsoft.com/office/spreadsheetml/2018/threadedcomments" xmlns:x="http://schemas.openxmlformats.org/spreadsheetml/2006/main">
  <threadedComment ref="B27" dT="2020-11-02T11:57:53.19" personId="{0EE782FA-D5D1-48A0-9F55-4384E838DB0E}" id="{AE57015C-034F-4570-AE92-F701500D3E4A}">
    <text>Metodologia muito alinhada</text>
  </threadedComment>
  <threadedComment ref="B30" dT="2020-11-02T17:41:04.58" personId="{0EE782FA-D5D1-48A0-9F55-4384E838DB0E}" id="{BF5B5DD1-2767-4013-B9E1-7089BB4A47EB}">
    <text>Gráfico de hierarquia e mapa mental</text>
  </threadedComment>
  <threadedComment ref="B31" dT="2020-11-02T18:23:09.60" personId="{0EE782FA-D5D1-48A0-9F55-4384E838DB0E}" id="{C57D41A3-607E-469D-9AD0-6C00629D3B24}">
    <text>PCA</text>
  </threadedComment>
  <threadedComment ref="B33" dT="2020-11-02T20:27:46.93" personId="{0EE782FA-D5D1-48A0-9F55-4384E838DB0E}" id="{645F1A7F-E4B4-4716-BB54-8911A6FBEB5F}">
    <text>cluster</text>
  </threadedComment>
  <threadedComment ref="B36" dT="2020-11-03T18:14:01.60" personId="{0EE782FA-D5D1-48A0-9F55-4384E838DB0E}" id="{C2A9BC1E-B29A-4F72-8C05-9797F068D09A}">
    <text>MUITO COMPLETO</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 TargetMode="External"/><Relationship Id="rId299" Type="http://schemas.openxmlformats.org/officeDocument/2006/relationships/hyperlink" Target="\" TargetMode="External"/><Relationship Id="rId21" Type="http://schemas.openxmlformats.org/officeDocument/2006/relationships/hyperlink" Target="\" TargetMode="External"/><Relationship Id="rId63" Type="http://schemas.openxmlformats.org/officeDocument/2006/relationships/hyperlink" Target="\" TargetMode="External"/><Relationship Id="rId159" Type="http://schemas.openxmlformats.org/officeDocument/2006/relationships/hyperlink" Target="\" TargetMode="External"/><Relationship Id="rId170" Type="http://schemas.openxmlformats.org/officeDocument/2006/relationships/hyperlink" Target="\" TargetMode="External"/><Relationship Id="rId226" Type="http://schemas.openxmlformats.org/officeDocument/2006/relationships/hyperlink" Target="\" TargetMode="External"/><Relationship Id="rId268" Type="http://schemas.openxmlformats.org/officeDocument/2006/relationships/hyperlink" Target="\" TargetMode="External"/><Relationship Id="rId32" Type="http://schemas.openxmlformats.org/officeDocument/2006/relationships/hyperlink" Target="\" TargetMode="External"/><Relationship Id="rId74" Type="http://schemas.openxmlformats.org/officeDocument/2006/relationships/hyperlink" Target="\" TargetMode="External"/><Relationship Id="rId128" Type="http://schemas.openxmlformats.org/officeDocument/2006/relationships/hyperlink" Target="\" TargetMode="External"/><Relationship Id="rId5" Type="http://schemas.openxmlformats.org/officeDocument/2006/relationships/hyperlink" Target="\" TargetMode="External"/><Relationship Id="rId181" Type="http://schemas.openxmlformats.org/officeDocument/2006/relationships/hyperlink" Target="\" TargetMode="External"/><Relationship Id="rId237" Type="http://schemas.openxmlformats.org/officeDocument/2006/relationships/hyperlink" Target="\" TargetMode="External"/><Relationship Id="rId279" Type="http://schemas.openxmlformats.org/officeDocument/2006/relationships/hyperlink" Target="\" TargetMode="External"/><Relationship Id="rId43" Type="http://schemas.openxmlformats.org/officeDocument/2006/relationships/hyperlink" Target="\" TargetMode="External"/><Relationship Id="rId139" Type="http://schemas.openxmlformats.org/officeDocument/2006/relationships/hyperlink" Target="\" TargetMode="External"/><Relationship Id="rId290" Type="http://schemas.openxmlformats.org/officeDocument/2006/relationships/hyperlink" Target="\" TargetMode="External"/><Relationship Id="rId304" Type="http://schemas.openxmlformats.org/officeDocument/2006/relationships/hyperlink" Target="\" TargetMode="External"/><Relationship Id="rId85" Type="http://schemas.openxmlformats.org/officeDocument/2006/relationships/hyperlink" Target="\" TargetMode="External"/><Relationship Id="rId150" Type="http://schemas.openxmlformats.org/officeDocument/2006/relationships/hyperlink" Target="\" TargetMode="External"/><Relationship Id="rId192" Type="http://schemas.openxmlformats.org/officeDocument/2006/relationships/hyperlink" Target="\" TargetMode="External"/><Relationship Id="rId206" Type="http://schemas.openxmlformats.org/officeDocument/2006/relationships/hyperlink" Target="\" TargetMode="External"/><Relationship Id="rId248" Type="http://schemas.openxmlformats.org/officeDocument/2006/relationships/hyperlink" Target="\" TargetMode="External"/><Relationship Id="rId12" Type="http://schemas.openxmlformats.org/officeDocument/2006/relationships/hyperlink" Target="\" TargetMode="External"/><Relationship Id="rId108" Type="http://schemas.openxmlformats.org/officeDocument/2006/relationships/hyperlink" Target="\" TargetMode="External"/><Relationship Id="rId315" Type="http://schemas.openxmlformats.org/officeDocument/2006/relationships/hyperlink" Target="\" TargetMode="External"/><Relationship Id="rId54" Type="http://schemas.openxmlformats.org/officeDocument/2006/relationships/hyperlink" Target="\" TargetMode="External"/><Relationship Id="rId96" Type="http://schemas.openxmlformats.org/officeDocument/2006/relationships/hyperlink" Target="\" TargetMode="External"/><Relationship Id="rId161" Type="http://schemas.openxmlformats.org/officeDocument/2006/relationships/hyperlink" Target="\" TargetMode="External"/><Relationship Id="rId217" Type="http://schemas.openxmlformats.org/officeDocument/2006/relationships/hyperlink" Target="\" TargetMode="External"/><Relationship Id="rId259" Type="http://schemas.openxmlformats.org/officeDocument/2006/relationships/hyperlink" Target="\" TargetMode="External"/><Relationship Id="rId23" Type="http://schemas.openxmlformats.org/officeDocument/2006/relationships/hyperlink" Target="\" TargetMode="External"/><Relationship Id="rId119" Type="http://schemas.openxmlformats.org/officeDocument/2006/relationships/hyperlink" Target="\" TargetMode="External"/><Relationship Id="rId270" Type="http://schemas.openxmlformats.org/officeDocument/2006/relationships/hyperlink" Target="\" TargetMode="External"/><Relationship Id="rId65" Type="http://schemas.openxmlformats.org/officeDocument/2006/relationships/hyperlink" Target="\" TargetMode="External"/><Relationship Id="rId130" Type="http://schemas.openxmlformats.org/officeDocument/2006/relationships/hyperlink" Target="\" TargetMode="External"/><Relationship Id="rId172" Type="http://schemas.openxmlformats.org/officeDocument/2006/relationships/hyperlink" Target="\" TargetMode="External"/><Relationship Id="rId228" Type="http://schemas.openxmlformats.org/officeDocument/2006/relationships/hyperlink" Target="\" TargetMode="External"/><Relationship Id="rId13" Type="http://schemas.openxmlformats.org/officeDocument/2006/relationships/hyperlink" Target="\" TargetMode="External"/><Relationship Id="rId109" Type="http://schemas.openxmlformats.org/officeDocument/2006/relationships/hyperlink" Target="\" TargetMode="External"/><Relationship Id="rId260" Type="http://schemas.openxmlformats.org/officeDocument/2006/relationships/hyperlink" Target="\" TargetMode="External"/><Relationship Id="rId281" Type="http://schemas.openxmlformats.org/officeDocument/2006/relationships/hyperlink" Target="\" TargetMode="External"/><Relationship Id="rId316" Type="http://schemas.openxmlformats.org/officeDocument/2006/relationships/hyperlink" Target="\" TargetMode="External"/><Relationship Id="rId34" Type="http://schemas.openxmlformats.org/officeDocument/2006/relationships/hyperlink" Target="\" TargetMode="External"/><Relationship Id="rId55" Type="http://schemas.openxmlformats.org/officeDocument/2006/relationships/hyperlink" Target="\" TargetMode="External"/><Relationship Id="rId76" Type="http://schemas.openxmlformats.org/officeDocument/2006/relationships/hyperlink" Target="\" TargetMode="External"/><Relationship Id="rId97" Type="http://schemas.openxmlformats.org/officeDocument/2006/relationships/hyperlink" Target="\" TargetMode="External"/><Relationship Id="rId120" Type="http://schemas.openxmlformats.org/officeDocument/2006/relationships/hyperlink" Target="\" TargetMode="External"/><Relationship Id="rId141" Type="http://schemas.openxmlformats.org/officeDocument/2006/relationships/hyperlink" Target="\" TargetMode="External"/><Relationship Id="rId7" Type="http://schemas.openxmlformats.org/officeDocument/2006/relationships/hyperlink" Target="\" TargetMode="External"/><Relationship Id="rId162" Type="http://schemas.openxmlformats.org/officeDocument/2006/relationships/hyperlink" Target="\" TargetMode="External"/><Relationship Id="rId183" Type="http://schemas.openxmlformats.org/officeDocument/2006/relationships/hyperlink" Target="\" TargetMode="External"/><Relationship Id="rId218" Type="http://schemas.openxmlformats.org/officeDocument/2006/relationships/hyperlink" Target="\" TargetMode="External"/><Relationship Id="rId239" Type="http://schemas.openxmlformats.org/officeDocument/2006/relationships/hyperlink" Target="\" TargetMode="External"/><Relationship Id="rId250" Type="http://schemas.openxmlformats.org/officeDocument/2006/relationships/hyperlink" Target="\" TargetMode="External"/><Relationship Id="rId271" Type="http://schemas.openxmlformats.org/officeDocument/2006/relationships/hyperlink" Target="\" TargetMode="External"/><Relationship Id="rId292" Type="http://schemas.openxmlformats.org/officeDocument/2006/relationships/hyperlink" Target="\" TargetMode="External"/><Relationship Id="rId306" Type="http://schemas.openxmlformats.org/officeDocument/2006/relationships/hyperlink" Target="\" TargetMode="External"/><Relationship Id="rId24" Type="http://schemas.openxmlformats.org/officeDocument/2006/relationships/hyperlink" Target="\" TargetMode="External"/><Relationship Id="rId45" Type="http://schemas.openxmlformats.org/officeDocument/2006/relationships/hyperlink" Target="\" TargetMode="External"/><Relationship Id="rId66" Type="http://schemas.openxmlformats.org/officeDocument/2006/relationships/hyperlink" Target="\" TargetMode="External"/><Relationship Id="rId87" Type="http://schemas.openxmlformats.org/officeDocument/2006/relationships/hyperlink" Target="\" TargetMode="External"/><Relationship Id="rId110" Type="http://schemas.openxmlformats.org/officeDocument/2006/relationships/hyperlink" Target="\" TargetMode="External"/><Relationship Id="rId131" Type="http://schemas.openxmlformats.org/officeDocument/2006/relationships/hyperlink" Target="\" TargetMode="External"/><Relationship Id="rId152" Type="http://schemas.openxmlformats.org/officeDocument/2006/relationships/hyperlink" Target="\" TargetMode="External"/><Relationship Id="rId173" Type="http://schemas.openxmlformats.org/officeDocument/2006/relationships/hyperlink" Target="\" TargetMode="External"/><Relationship Id="rId194" Type="http://schemas.openxmlformats.org/officeDocument/2006/relationships/hyperlink" Target="\" TargetMode="External"/><Relationship Id="rId208" Type="http://schemas.openxmlformats.org/officeDocument/2006/relationships/hyperlink" Target="\" TargetMode="External"/><Relationship Id="rId229" Type="http://schemas.openxmlformats.org/officeDocument/2006/relationships/hyperlink" Target="\" TargetMode="External"/><Relationship Id="rId240" Type="http://schemas.openxmlformats.org/officeDocument/2006/relationships/hyperlink" Target="\" TargetMode="External"/><Relationship Id="rId261" Type="http://schemas.openxmlformats.org/officeDocument/2006/relationships/hyperlink" Target="\" TargetMode="External"/><Relationship Id="rId14" Type="http://schemas.openxmlformats.org/officeDocument/2006/relationships/hyperlink" Target="\" TargetMode="External"/><Relationship Id="rId35" Type="http://schemas.openxmlformats.org/officeDocument/2006/relationships/hyperlink" Target="\" TargetMode="External"/><Relationship Id="rId56" Type="http://schemas.openxmlformats.org/officeDocument/2006/relationships/hyperlink" Target="\" TargetMode="External"/><Relationship Id="rId77" Type="http://schemas.openxmlformats.org/officeDocument/2006/relationships/hyperlink" Target="\" TargetMode="External"/><Relationship Id="rId100" Type="http://schemas.openxmlformats.org/officeDocument/2006/relationships/hyperlink" Target="\" TargetMode="External"/><Relationship Id="rId282" Type="http://schemas.openxmlformats.org/officeDocument/2006/relationships/hyperlink" Target="\" TargetMode="External"/><Relationship Id="rId317" Type="http://schemas.openxmlformats.org/officeDocument/2006/relationships/hyperlink" Target="\" TargetMode="External"/><Relationship Id="rId8" Type="http://schemas.openxmlformats.org/officeDocument/2006/relationships/hyperlink" Target="\" TargetMode="External"/><Relationship Id="rId98" Type="http://schemas.openxmlformats.org/officeDocument/2006/relationships/hyperlink" Target="\" TargetMode="External"/><Relationship Id="rId121" Type="http://schemas.openxmlformats.org/officeDocument/2006/relationships/hyperlink" Target="\" TargetMode="External"/><Relationship Id="rId142" Type="http://schemas.openxmlformats.org/officeDocument/2006/relationships/hyperlink" Target="\" TargetMode="External"/><Relationship Id="rId163" Type="http://schemas.openxmlformats.org/officeDocument/2006/relationships/hyperlink" Target="\" TargetMode="External"/><Relationship Id="rId184" Type="http://schemas.openxmlformats.org/officeDocument/2006/relationships/hyperlink" Target="\" TargetMode="External"/><Relationship Id="rId219" Type="http://schemas.openxmlformats.org/officeDocument/2006/relationships/hyperlink" Target="\" TargetMode="External"/><Relationship Id="rId230" Type="http://schemas.openxmlformats.org/officeDocument/2006/relationships/hyperlink" Target="\" TargetMode="External"/><Relationship Id="rId251" Type="http://schemas.openxmlformats.org/officeDocument/2006/relationships/hyperlink" Target="\" TargetMode="External"/><Relationship Id="rId25" Type="http://schemas.openxmlformats.org/officeDocument/2006/relationships/hyperlink" Target="\" TargetMode="External"/><Relationship Id="rId46" Type="http://schemas.openxmlformats.org/officeDocument/2006/relationships/hyperlink" Target="\" TargetMode="External"/><Relationship Id="rId67" Type="http://schemas.openxmlformats.org/officeDocument/2006/relationships/hyperlink" Target="\" TargetMode="External"/><Relationship Id="rId272" Type="http://schemas.openxmlformats.org/officeDocument/2006/relationships/hyperlink" Target="\" TargetMode="External"/><Relationship Id="rId293" Type="http://schemas.openxmlformats.org/officeDocument/2006/relationships/hyperlink" Target="\" TargetMode="External"/><Relationship Id="rId307" Type="http://schemas.openxmlformats.org/officeDocument/2006/relationships/hyperlink" Target="\" TargetMode="External"/><Relationship Id="rId88" Type="http://schemas.openxmlformats.org/officeDocument/2006/relationships/hyperlink" Target="\" TargetMode="External"/><Relationship Id="rId111" Type="http://schemas.openxmlformats.org/officeDocument/2006/relationships/hyperlink" Target="\" TargetMode="External"/><Relationship Id="rId132" Type="http://schemas.openxmlformats.org/officeDocument/2006/relationships/hyperlink" Target="\" TargetMode="External"/><Relationship Id="rId153" Type="http://schemas.openxmlformats.org/officeDocument/2006/relationships/hyperlink" Target="\" TargetMode="External"/><Relationship Id="rId174" Type="http://schemas.openxmlformats.org/officeDocument/2006/relationships/hyperlink" Target="\" TargetMode="External"/><Relationship Id="rId195" Type="http://schemas.openxmlformats.org/officeDocument/2006/relationships/hyperlink" Target="\" TargetMode="External"/><Relationship Id="rId209" Type="http://schemas.openxmlformats.org/officeDocument/2006/relationships/hyperlink" Target="\" TargetMode="External"/><Relationship Id="rId220" Type="http://schemas.openxmlformats.org/officeDocument/2006/relationships/hyperlink" Target="\" TargetMode="External"/><Relationship Id="rId241" Type="http://schemas.openxmlformats.org/officeDocument/2006/relationships/hyperlink" Target="\" TargetMode="External"/><Relationship Id="rId15" Type="http://schemas.openxmlformats.org/officeDocument/2006/relationships/hyperlink" Target="\" TargetMode="External"/><Relationship Id="rId36" Type="http://schemas.openxmlformats.org/officeDocument/2006/relationships/hyperlink" Target="\" TargetMode="External"/><Relationship Id="rId57" Type="http://schemas.openxmlformats.org/officeDocument/2006/relationships/hyperlink" Target="\" TargetMode="External"/><Relationship Id="rId262" Type="http://schemas.openxmlformats.org/officeDocument/2006/relationships/hyperlink" Target="\" TargetMode="External"/><Relationship Id="rId283" Type="http://schemas.openxmlformats.org/officeDocument/2006/relationships/hyperlink" Target="\" TargetMode="External"/><Relationship Id="rId318" Type="http://schemas.openxmlformats.org/officeDocument/2006/relationships/hyperlink" Target="\" TargetMode="External"/><Relationship Id="rId78" Type="http://schemas.openxmlformats.org/officeDocument/2006/relationships/hyperlink" Target="\" TargetMode="External"/><Relationship Id="rId99" Type="http://schemas.openxmlformats.org/officeDocument/2006/relationships/hyperlink" Target="\" TargetMode="External"/><Relationship Id="rId101" Type="http://schemas.openxmlformats.org/officeDocument/2006/relationships/hyperlink" Target="\" TargetMode="External"/><Relationship Id="rId122" Type="http://schemas.openxmlformats.org/officeDocument/2006/relationships/hyperlink" Target="\" TargetMode="External"/><Relationship Id="rId143" Type="http://schemas.openxmlformats.org/officeDocument/2006/relationships/hyperlink" Target="\" TargetMode="External"/><Relationship Id="rId164" Type="http://schemas.openxmlformats.org/officeDocument/2006/relationships/hyperlink" Target="\" TargetMode="External"/><Relationship Id="rId185" Type="http://schemas.openxmlformats.org/officeDocument/2006/relationships/hyperlink" Target="\" TargetMode="External"/><Relationship Id="rId9" Type="http://schemas.openxmlformats.org/officeDocument/2006/relationships/hyperlink" Target="\" TargetMode="External"/><Relationship Id="rId210" Type="http://schemas.openxmlformats.org/officeDocument/2006/relationships/hyperlink" Target="\" TargetMode="External"/><Relationship Id="rId26" Type="http://schemas.openxmlformats.org/officeDocument/2006/relationships/hyperlink" Target="\" TargetMode="External"/><Relationship Id="rId231" Type="http://schemas.openxmlformats.org/officeDocument/2006/relationships/hyperlink" Target="\" TargetMode="External"/><Relationship Id="rId252" Type="http://schemas.openxmlformats.org/officeDocument/2006/relationships/hyperlink" Target="\" TargetMode="External"/><Relationship Id="rId273" Type="http://schemas.openxmlformats.org/officeDocument/2006/relationships/hyperlink" Target="\" TargetMode="External"/><Relationship Id="rId294" Type="http://schemas.openxmlformats.org/officeDocument/2006/relationships/hyperlink" Target="\" TargetMode="External"/><Relationship Id="rId308" Type="http://schemas.openxmlformats.org/officeDocument/2006/relationships/hyperlink" Target="\" TargetMode="External"/><Relationship Id="rId47" Type="http://schemas.openxmlformats.org/officeDocument/2006/relationships/hyperlink" Target="\" TargetMode="External"/><Relationship Id="rId68" Type="http://schemas.openxmlformats.org/officeDocument/2006/relationships/hyperlink" Target="\" TargetMode="External"/><Relationship Id="rId89" Type="http://schemas.openxmlformats.org/officeDocument/2006/relationships/hyperlink" Target="\" TargetMode="External"/><Relationship Id="rId112" Type="http://schemas.openxmlformats.org/officeDocument/2006/relationships/hyperlink" Target="\" TargetMode="External"/><Relationship Id="rId133" Type="http://schemas.openxmlformats.org/officeDocument/2006/relationships/hyperlink" Target="\" TargetMode="External"/><Relationship Id="rId154" Type="http://schemas.openxmlformats.org/officeDocument/2006/relationships/hyperlink" Target="\" TargetMode="External"/><Relationship Id="rId175" Type="http://schemas.openxmlformats.org/officeDocument/2006/relationships/hyperlink" Target="\" TargetMode="External"/><Relationship Id="rId196" Type="http://schemas.openxmlformats.org/officeDocument/2006/relationships/hyperlink" Target="\" TargetMode="External"/><Relationship Id="rId200" Type="http://schemas.openxmlformats.org/officeDocument/2006/relationships/hyperlink" Target="\" TargetMode="External"/><Relationship Id="rId16" Type="http://schemas.openxmlformats.org/officeDocument/2006/relationships/hyperlink" Target="\" TargetMode="External"/><Relationship Id="rId221" Type="http://schemas.openxmlformats.org/officeDocument/2006/relationships/hyperlink" Target="\" TargetMode="External"/><Relationship Id="rId242" Type="http://schemas.openxmlformats.org/officeDocument/2006/relationships/hyperlink" Target="\" TargetMode="External"/><Relationship Id="rId263" Type="http://schemas.openxmlformats.org/officeDocument/2006/relationships/hyperlink" Target="\" TargetMode="External"/><Relationship Id="rId284" Type="http://schemas.openxmlformats.org/officeDocument/2006/relationships/hyperlink" Target="\" TargetMode="External"/><Relationship Id="rId319" Type="http://schemas.openxmlformats.org/officeDocument/2006/relationships/hyperlink" Target="\" TargetMode="External"/><Relationship Id="rId37" Type="http://schemas.openxmlformats.org/officeDocument/2006/relationships/hyperlink" Target="\" TargetMode="External"/><Relationship Id="rId58" Type="http://schemas.openxmlformats.org/officeDocument/2006/relationships/hyperlink" Target="\" TargetMode="External"/><Relationship Id="rId79" Type="http://schemas.openxmlformats.org/officeDocument/2006/relationships/hyperlink" Target="\" TargetMode="External"/><Relationship Id="rId102" Type="http://schemas.openxmlformats.org/officeDocument/2006/relationships/hyperlink" Target="\" TargetMode="External"/><Relationship Id="rId123" Type="http://schemas.openxmlformats.org/officeDocument/2006/relationships/hyperlink" Target="\" TargetMode="External"/><Relationship Id="rId144" Type="http://schemas.openxmlformats.org/officeDocument/2006/relationships/hyperlink" Target="\" TargetMode="External"/><Relationship Id="rId90" Type="http://schemas.openxmlformats.org/officeDocument/2006/relationships/hyperlink" Target="\" TargetMode="External"/><Relationship Id="rId165" Type="http://schemas.openxmlformats.org/officeDocument/2006/relationships/hyperlink" Target="\" TargetMode="External"/><Relationship Id="rId186" Type="http://schemas.openxmlformats.org/officeDocument/2006/relationships/hyperlink" Target="\" TargetMode="External"/><Relationship Id="rId211" Type="http://schemas.openxmlformats.org/officeDocument/2006/relationships/hyperlink" Target="\" TargetMode="External"/><Relationship Id="rId232" Type="http://schemas.openxmlformats.org/officeDocument/2006/relationships/hyperlink" Target="\" TargetMode="External"/><Relationship Id="rId253" Type="http://schemas.openxmlformats.org/officeDocument/2006/relationships/hyperlink" Target="\" TargetMode="External"/><Relationship Id="rId274" Type="http://schemas.openxmlformats.org/officeDocument/2006/relationships/hyperlink" Target="\" TargetMode="External"/><Relationship Id="rId295" Type="http://schemas.openxmlformats.org/officeDocument/2006/relationships/hyperlink" Target="\" TargetMode="External"/><Relationship Id="rId309" Type="http://schemas.openxmlformats.org/officeDocument/2006/relationships/hyperlink" Target="\" TargetMode="External"/><Relationship Id="rId27" Type="http://schemas.openxmlformats.org/officeDocument/2006/relationships/hyperlink" Target="\" TargetMode="External"/><Relationship Id="rId48" Type="http://schemas.openxmlformats.org/officeDocument/2006/relationships/hyperlink" Target="\" TargetMode="External"/><Relationship Id="rId69" Type="http://schemas.openxmlformats.org/officeDocument/2006/relationships/hyperlink" Target="\" TargetMode="External"/><Relationship Id="rId113" Type="http://schemas.openxmlformats.org/officeDocument/2006/relationships/hyperlink" Target="\" TargetMode="External"/><Relationship Id="rId134" Type="http://schemas.openxmlformats.org/officeDocument/2006/relationships/hyperlink" Target="\" TargetMode="External"/><Relationship Id="rId320" Type="http://schemas.openxmlformats.org/officeDocument/2006/relationships/table" Target="../tables/table4.xml"/><Relationship Id="rId80" Type="http://schemas.openxmlformats.org/officeDocument/2006/relationships/hyperlink" Target="\" TargetMode="External"/><Relationship Id="rId155" Type="http://schemas.openxmlformats.org/officeDocument/2006/relationships/hyperlink" Target="\" TargetMode="External"/><Relationship Id="rId176" Type="http://schemas.openxmlformats.org/officeDocument/2006/relationships/hyperlink" Target="\" TargetMode="External"/><Relationship Id="rId197" Type="http://schemas.openxmlformats.org/officeDocument/2006/relationships/hyperlink" Target="\" TargetMode="External"/><Relationship Id="rId201" Type="http://schemas.openxmlformats.org/officeDocument/2006/relationships/hyperlink" Target="\" TargetMode="External"/><Relationship Id="rId222" Type="http://schemas.openxmlformats.org/officeDocument/2006/relationships/hyperlink" Target="\" TargetMode="External"/><Relationship Id="rId243" Type="http://schemas.openxmlformats.org/officeDocument/2006/relationships/hyperlink" Target="\" TargetMode="External"/><Relationship Id="rId264" Type="http://schemas.openxmlformats.org/officeDocument/2006/relationships/hyperlink" Target="\" TargetMode="External"/><Relationship Id="rId285" Type="http://schemas.openxmlformats.org/officeDocument/2006/relationships/hyperlink" Target="\" TargetMode="External"/><Relationship Id="rId17" Type="http://schemas.openxmlformats.org/officeDocument/2006/relationships/hyperlink" Target="\" TargetMode="External"/><Relationship Id="rId38" Type="http://schemas.openxmlformats.org/officeDocument/2006/relationships/hyperlink" Target="\" TargetMode="External"/><Relationship Id="rId59" Type="http://schemas.openxmlformats.org/officeDocument/2006/relationships/hyperlink" Target="\" TargetMode="External"/><Relationship Id="rId103" Type="http://schemas.openxmlformats.org/officeDocument/2006/relationships/hyperlink" Target="\" TargetMode="External"/><Relationship Id="rId124" Type="http://schemas.openxmlformats.org/officeDocument/2006/relationships/hyperlink" Target="\" TargetMode="External"/><Relationship Id="rId310" Type="http://schemas.openxmlformats.org/officeDocument/2006/relationships/hyperlink" Target="\" TargetMode="External"/><Relationship Id="rId70" Type="http://schemas.openxmlformats.org/officeDocument/2006/relationships/hyperlink" Target="\" TargetMode="External"/><Relationship Id="rId91" Type="http://schemas.openxmlformats.org/officeDocument/2006/relationships/hyperlink" Target="\" TargetMode="External"/><Relationship Id="rId145" Type="http://schemas.openxmlformats.org/officeDocument/2006/relationships/hyperlink" Target="\" TargetMode="External"/><Relationship Id="rId166" Type="http://schemas.openxmlformats.org/officeDocument/2006/relationships/hyperlink" Target="\" TargetMode="External"/><Relationship Id="rId187" Type="http://schemas.openxmlformats.org/officeDocument/2006/relationships/hyperlink" Target="\" TargetMode="External"/><Relationship Id="rId1" Type="http://schemas.openxmlformats.org/officeDocument/2006/relationships/hyperlink" Target="\" TargetMode="External"/><Relationship Id="rId212" Type="http://schemas.openxmlformats.org/officeDocument/2006/relationships/hyperlink" Target="\" TargetMode="External"/><Relationship Id="rId233" Type="http://schemas.openxmlformats.org/officeDocument/2006/relationships/hyperlink" Target="\" TargetMode="External"/><Relationship Id="rId254" Type="http://schemas.openxmlformats.org/officeDocument/2006/relationships/hyperlink" Target="\" TargetMode="External"/><Relationship Id="rId28" Type="http://schemas.openxmlformats.org/officeDocument/2006/relationships/hyperlink" Target="\" TargetMode="External"/><Relationship Id="rId49" Type="http://schemas.openxmlformats.org/officeDocument/2006/relationships/hyperlink" Target="\" TargetMode="External"/><Relationship Id="rId114" Type="http://schemas.openxmlformats.org/officeDocument/2006/relationships/hyperlink" Target="\" TargetMode="External"/><Relationship Id="rId275" Type="http://schemas.openxmlformats.org/officeDocument/2006/relationships/hyperlink" Target="\" TargetMode="External"/><Relationship Id="rId296" Type="http://schemas.openxmlformats.org/officeDocument/2006/relationships/hyperlink" Target="\" TargetMode="External"/><Relationship Id="rId300" Type="http://schemas.openxmlformats.org/officeDocument/2006/relationships/hyperlink" Target="\" TargetMode="External"/><Relationship Id="rId60" Type="http://schemas.openxmlformats.org/officeDocument/2006/relationships/hyperlink" Target="\" TargetMode="External"/><Relationship Id="rId81" Type="http://schemas.openxmlformats.org/officeDocument/2006/relationships/hyperlink" Target="\" TargetMode="External"/><Relationship Id="rId135" Type="http://schemas.openxmlformats.org/officeDocument/2006/relationships/hyperlink" Target="\" TargetMode="External"/><Relationship Id="rId156" Type="http://schemas.openxmlformats.org/officeDocument/2006/relationships/hyperlink" Target="\" TargetMode="External"/><Relationship Id="rId177" Type="http://schemas.openxmlformats.org/officeDocument/2006/relationships/hyperlink" Target="\" TargetMode="External"/><Relationship Id="rId198" Type="http://schemas.openxmlformats.org/officeDocument/2006/relationships/hyperlink" Target="\" TargetMode="External"/><Relationship Id="rId202" Type="http://schemas.openxmlformats.org/officeDocument/2006/relationships/hyperlink" Target="\" TargetMode="External"/><Relationship Id="rId223" Type="http://schemas.openxmlformats.org/officeDocument/2006/relationships/hyperlink" Target="\" TargetMode="External"/><Relationship Id="rId244" Type="http://schemas.openxmlformats.org/officeDocument/2006/relationships/hyperlink" Target="\" TargetMode="External"/><Relationship Id="rId18" Type="http://schemas.openxmlformats.org/officeDocument/2006/relationships/hyperlink" Target="\" TargetMode="External"/><Relationship Id="rId39" Type="http://schemas.openxmlformats.org/officeDocument/2006/relationships/hyperlink" Target="\" TargetMode="External"/><Relationship Id="rId265" Type="http://schemas.openxmlformats.org/officeDocument/2006/relationships/hyperlink" Target="\" TargetMode="External"/><Relationship Id="rId286" Type="http://schemas.openxmlformats.org/officeDocument/2006/relationships/hyperlink" Target="\" TargetMode="External"/><Relationship Id="rId50" Type="http://schemas.openxmlformats.org/officeDocument/2006/relationships/hyperlink" Target="\" TargetMode="External"/><Relationship Id="rId104" Type="http://schemas.openxmlformats.org/officeDocument/2006/relationships/hyperlink" Target="\" TargetMode="External"/><Relationship Id="rId125" Type="http://schemas.openxmlformats.org/officeDocument/2006/relationships/hyperlink" Target="\" TargetMode="External"/><Relationship Id="rId146" Type="http://schemas.openxmlformats.org/officeDocument/2006/relationships/hyperlink" Target="\" TargetMode="External"/><Relationship Id="rId167" Type="http://schemas.openxmlformats.org/officeDocument/2006/relationships/hyperlink" Target="\" TargetMode="External"/><Relationship Id="rId188" Type="http://schemas.openxmlformats.org/officeDocument/2006/relationships/hyperlink" Target="\" TargetMode="External"/><Relationship Id="rId311" Type="http://schemas.openxmlformats.org/officeDocument/2006/relationships/hyperlink" Target="\" TargetMode="External"/><Relationship Id="rId71" Type="http://schemas.openxmlformats.org/officeDocument/2006/relationships/hyperlink" Target="\" TargetMode="External"/><Relationship Id="rId92" Type="http://schemas.openxmlformats.org/officeDocument/2006/relationships/hyperlink" Target="\" TargetMode="External"/><Relationship Id="rId213" Type="http://schemas.openxmlformats.org/officeDocument/2006/relationships/hyperlink" Target="\" TargetMode="External"/><Relationship Id="rId234" Type="http://schemas.openxmlformats.org/officeDocument/2006/relationships/hyperlink" Target="\" TargetMode="External"/><Relationship Id="rId2" Type="http://schemas.openxmlformats.org/officeDocument/2006/relationships/hyperlink" Target="\" TargetMode="External"/><Relationship Id="rId29" Type="http://schemas.openxmlformats.org/officeDocument/2006/relationships/hyperlink" Target="\" TargetMode="External"/><Relationship Id="rId255" Type="http://schemas.openxmlformats.org/officeDocument/2006/relationships/hyperlink" Target="\" TargetMode="External"/><Relationship Id="rId276" Type="http://schemas.openxmlformats.org/officeDocument/2006/relationships/hyperlink" Target="\" TargetMode="External"/><Relationship Id="rId297" Type="http://schemas.openxmlformats.org/officeDocument/2006/relationships/hyperlink" Target="\" TargetMode="External"/><Relationship Id="rId40" Type="http://schemas.openxmlformats.org/officeDocument/2006/relationships/hyperlink" Target="\" TargetMode="External"/><Relationship Id="rId115" Type="http://schemas.openxmlformats.org/officeDocument/2006/relationships/hyperlink" Target="\" TargetMode="External"/><Relationship Id="rId136" Type="http://schemas.openxmlformats.org/officeDocument/2006/relationships/hyperlink" Target="\" TargetMode="External"/><Relationship Id="rId157" Type="http://schemas.openxmlformats.org/officeDocument/2006/relationships/hyperlink" Target="\" TargetMode="External"/><Relationship Id="rId178" Type="http://schemas.openxmlformats.org/officeDocument/2006/relationships/hyperlink" Target="\" TargetMode="External"/><Relationship Id="rId301" Type="http://schemas.openxmlformats.org/officeDocument/2006/relationships/hyperlink" Target="\" TargetMode="External"/><Relationship Id="rId61" Type="http://schemas.openxmlformats.org/officeDocument/2006/relationships/hyperlink" Target="\" TargetMode="External"/><Relationship Id="rId82" Type="http://schemas.openxmlformats.org/officeDocument/2006/relationships/hyperlink" Target="\" TargetMode="External"/><Relationship Id="rId199" Type="http://schemas.openxmlformats.org/officeDocument/2006/relationships/hyperlink" Target="\" TargetMode="External"/><Relationship Id="rId203" Type="http://schemas.openxmlformats.org/officeDocument/2006/relationships/hyperlink" Target="\" TargetMode="External"/><Relationship Id="rId19" Type="http://schemas.openxmlformats.org/officeDocument/2006/relationships/hyperlink" Target="\" TargetMode="External"/><Relationship Id="rId224" Type="http://schemas.openxmlformats.org/officeDocument/2006/relationships/hyperlink" Target="\" TargetMode="External"/><Relationship Id="rId245" Type="http://schemas.openxmlformats.org/officeDocument/2006/relationships/hyperlink" Target="\" TargetMode="External"/><Relationship Id="rId266" Type="http://schemas.openxmlformats.org/officeDocument/2006/relationships/hyperlink" Target="\" TargetMode="External"/><Relationship Id="rId287" Type="http://schemas.openxmlformats.org/officeDocument/2006/relationships/hyperlink" Target="\" TargetMode="External"/><Relationship Id="rId30" Type="http://schemas.openxmlformats.org/officeDocument/2006/relationships/hyperlink" Target="\" TargetMode="External"/><Relationship Id="rId105" Type="http://schemas.openxmlformats.org/officeDocument/2006/relationships/hyperlink" Target="\" TargetMode="External"/><Relationship Id="rId126" Type="http://schemas.openxmlformats.org/officeDocument/2006/relationships/hyperlink" Target="\" TargetMode="External"/><Relationship Id="rId147" Type="http://schemas.openxmlformats.org/officeDocument/2006/relationships/hyperlink" Target="\" TargetMode="External"/><Relationship Id="rId168" Type="http://schemas.openxmlformats.org/officeDocument/2006/relationships/hyperlink" Target="\" TargetMode="External"/><Relationship Id="rId312" Type="http://schemas.openxmlformats.org/officeDocument/2006/relationships/hyperlink" Target="\" TargetMode="External"/><Relationship Id="rId51" Type="http://schemas.openxmlformats.org/officeDocument/2006/relationships/hyperlink" Target="\" TargetMode="External"/><Relationship Id="rId72" Type="http://schemas.openxmlformats.org/officeDocument/2006/relationships/hyperlink" Target="\" TargetMode="External"/><Relationship Id="rId93" Type="http://schemas.openxmlformats.org/officeDocument/2006/relationships/hyperlink" Target="\" TargetMode="External"/><Relationship Id="rId189" Type="http://schemas.openxmlformats.org/officeDocument/2006/relationships/hyperlink" Target="\" TargetMode="External"/><Relationship Id="rId3" Type="http://schemas.openxmlformats.org/officeDocument/2006/relationships/hyperlink" Target="\" TargetMode="External"/><Relationship Id="rId214" Type="http://schemas.openxmlformats.org/officeDocument/2006/relationships/hyperlink" Target="\" TargetMode="External"/><Relationship Id="rId235" Type="http://schemas.openxmlformats.org/officeDocument/2006/relationships/hyperlink" Target="\" TargetMode="External"/><Relationship Id="rId256" Type="http://schemas.openxmlformats.org/officeDocument/2006/relationships/hyperlink" Target="\" TargetMode="External"/><Relationship Id="rId277" Type="http://schemas.openxmlformats.org/officeDocument/2006/relationships/hyperlink" Target="\" TargetMode="External"/><Relationship Id="rId298" Type="http://schemas.openxmlformats.org/officeDocument/2006/relationships/hyperlink" Target="\" TargetMode="External"/><Relationship Id="rId116" Type="http://schemas.openxmlformats.org/officeDocument/2006/relationships/hyperlink" Target="\" TargetMode="External"/><Relationship Id="rId137" Type="http://schemas.openxmlformats.org/officeDocument/2006/relationships/hyperlink" Target="\" TargetMode="External"/><Relationship Id="rId158" Type="http://schemas.openxmlformats.org/officeDocument/2006/relationships/hyperlink" Target="\" TargetMode="External"/><Relationship Id="rId302" Type="http://schemas.openxmlformats.org/officeDocument/2006/relationships/hyperlink" Target="\" TargetMode="External"/><Relationship Id="rId20" Type="http://schemas.openxmlformats.org/officeDocument/2006/relationships/hyperlink" Target="\" TargetMode="External"/><Relationship Id="rId41" Type="http://schemas.openxmlformats.org/officeDocument/2006/relationships/hyperlink" Target="\" TargetMode="External"/><Relationship Id="rId62" Type="http://schemas.openxmlformats.org/officeDocument/2006/relationships/hyperlink" Target="\" TargetMode="External"/><Relationship Id="rId83" Type="http://schemas.openxmlformats.org/officeDocument/2006/relationships/hyperlink" Target="\" TargetMode="External"/><Relationship Id="rId179" Type="http://schemas.openxmlformats.org/officeDocument/2006/relationships/hyperlink" Target="\" TargetMode="External"/><Relationship Id="rId190" Type="http://schemas.openxmlformats.org/officeDocument/2006/relationships/hyperlink" Target="\" TargetMode="External"/><Relationship Id="rId204" Type="http://schemas.openxmlformats.org/officeDocument/2006/relationships/hyperlink" Target="\" TargetMode="External"/><Relationship Id="rId225" Type="http://schemas.openxmlformats.org/officeDocument/2006/relationships/hyperlink" Target="\" TargetMode="External"/><Relationship Id="rId246" Type="http://schemas.openxmlformats.org/officeDocument/2006/relationships/hyperlink" Target="\" TargetMode="External"/><Relationship Id="rId267" Type="http://schemas.openxmlformats.org/officeDocument/2006/relationships/hyperlink" Target="\" TargetMode="External"/><Relationship Id="rId288" Type="http://schemas.openxmlformats.org/officeDocument/2006/relationships/hyperlink" Target="\" TargetMode="External"/><Relationship Id="rId106" Type="http://schemas.openxmlformats.org/officeDocument/2006/relationships/hyperlink" Target="\" TargetMode="External"/><Relationship Id="rId127" Type="http://schemas.openxmlformats.org/officeDocument/2006/relationships/hyperlink" Target="\" TargetMode="External"/><Relationship Id="rId313" Type="http://schemas.openxmlformats.org/officeDocument/2006/relationships/hyperlink" Target="\" TargetMode="External"/><Relationship Id="rId10" Type="http://schemas.openxmlformats.org/officeDocument/2006/relationships/hyperlink" Target="\" TargetMode="External"/><Relationship Id="rId31" Type="http://schemas.openxmlformats.org/officeDocument/2006/relationships/hyperlink" Target="\" TargetMode="External"/><Relationship Id="rId52" Type="http://schemas.openxmlformats.org/officeDocument/2006/relationships/hyperlink" Target="\" TargetMode="External"/><Relationship Id="rId73" Type="http://schemas.openxmlformats.org/officeDocument/2006/relationships/hyperlink" Target="\" TargetMode="External"/><Relationship Id="rId94" Type="http://schemas.openxmlformats.org/officeDocument/2006/relationships/hyperlink" Target="\" TargetMode="External"/><Relationship Id="rId148" Type="http://schemas.openxmlformats.org/officeDocument/2006/relationships/hyperlink" Target="\" TargetMode="External"/><Relationship Id="rId169" Type="http://schemas.openxmlformats.org/officeDocument/2006/relationships/hyperlink" Target="\" TargetMode="External"/><Relationship Id="rId4" Type="http://schemas.openxmlformats.org/officeDocument/2006/relationships/hyperlink" Target="\" TargetMode="External"/><Relationship Id="rId180" Type="http://schemas.openxmlformats.org/officeDocument/2006/relationships/hyperlink" Target="\" TargetMode="External"/><Relationship Id="rId215" Type="http://schemas.openxmlformats.org/officeDocument/2006/relationships/hyperlink" Target="\" TargetMode="External"/><Relationship Id="rId236" Type="http://schemas.openxmlformats.org/officeDocument/2006/relationships/hyperlink" Target="\" TargetMode="External"/><Relationship Id="rId257" Type="http://schemas.openxmlformats.org/officeDocument/2006/relationships/hyperlink" Target="\" TargetMode="External"/><Relationship Id="rId278" Type="http://schemas.openxmlformats.org/officeDocument/2006/relationships/hyperlink" Target="\" TargetMode="External"/><Relationship Id="rId303" Type="http://schemas.openxmlformats.org/officeDocument/2006/relationships/hyperlink" Target="\" TargetMode="External"/><Relationship Id="rId42" Type="http://schemas.openxmlformats.org/officeDocument/2006/relationships/hyperlink" Target="\" TargetMode="External"/><Relationship Id="rId84" Type="http://schemas.openxmlformats.org/officeDocument/2006/relationships/hyperlink" Target="\" TargetMode="External"/><Relationship Id="rId138" Type="http://schemas.openxmlformats.org/officeDocument/2006/relationships/hyperlink" Target="\" TargetMode="External"/><Relationship Id="rId191" Type="http://schemas.openxmlformats.org/officeDocument/2006/relationships/hyperlink" Target="\" TargetMode="External"/><Relationship Id="rId205" Type="http://schemas.openxmlformats.org/officeDocument/2006/relationships/hyperlink" Target="\" TargetMode="External"/><Relationship Id="rId247" Type="http://schemas.openxmlformats.org/officeDocument/2006/relationships/hyperlink" Target="\" TargetMode="External"/><Relationship Id="rId107" Type="http://schemas.openxmlformats.org/officeDocument/2006/relationships/hyperlink" Target="\" TargetMode="External"/><Relationship Id="rId289" Type="http://schemas.openxmlformats.org/officeDocument/2006/relationships/hyperlink" Target="\" TargetMode="External"/><Relationship Id="rId11" Type="http://schemas.openxmlformats.org/officeDocument/2006/relationships/hyperlink" Target="\" TargetMode="External"/><Relationship Id="rId53" Type="http://schemas.openxmlformats.org/officeDocument/2006/relationships/hyperlink" Target="\" TargetMode="External"/><Relationship Id="rId149" Type="http://schemas.openxmlformats.org/officeDocument/2006/relationships/hyperlink" Target="\" TargetMode="External"/><Relationship Id="rId314" Type="http://schemas.openxmlformats.org/officeDocument/2006/relationships/hyperlink" Target="\" TargetMode="External"/><Relationship Id="rId95" Type="http://schemas.openxmlformats.org/officeDocument/2006/relationships/hyperlink" Target="\" TargetMode="External"/><Relationship Id="rId160" Type="http://schemas.openxmlformats.org/officeDocument/2006/relationships/hyperlink" Target="\" TargetMode="External"/><Relationship Id="rId216" Type="http://schemas.openxmlformats.org/officeDocument/2006/relationships/hyperlink" Target="\" TargetMode="External"/><Relationship Id="rId258" Type="http://schemas.openxmlformats.org/officeDocument/2006/relationships/hyperlink" Target="\" TargetMode="External"/><Relationship Id="rId22" Type="http://schemas.openxmlformats.org/officeDocument/2006/relationships/hyperlink" Target="\" TargetMode="External"/><Relationship Id="rId64" Type="http://schemas.openxmlformats.org/officeDocument/2006/relationships/hyperlink" Target="\" TargetMode="External"/><Relationship Id="rId118" Type="http://schemas.openxmlformats.org/officeDocument/2006/relationships/hyperlink" Target="\" TargetMode="External"/><Relationship Id="rId171" Type="http://schemas.openxmlformats.org/officeDocument/2006/relationships/hyperlink" Target="\" TargetMode="External"/><Relationship Id="rId227" Type="http://schemas.openxmlformats.org/officeDocument/2006/relationships/hyperlink" Target="\" TargetMode="External"/><Relationship Id="rId269" Type="http://schemas.openxmlformats.org/officeDocument/2006/relationships/hyperlink" Target="\" TargetMode="External"/><Relationship Id="rId33" Type="http://schemas.openxmlformats.org/officeDocument/2006/relationships/hyperlink" Target="\" TargetMode="External"/><Relationship Id="rId129" Type="http://schemas.openxmlformats.org/officeDocument/2006/relationships/hyperlink" Target="\" TargetMode="External"/><Relationship Id="rId280" Type="http://schemas.openxmlformats.org/officeDocument/2006/relationships/hyperlink" Target="\" TargetMode="External"/><Relationship Id="rId75" Type="http://schemas.openxmlformats.org/officeDocument/2006/relationships/hyperlink" Target="\" TargetMode="External"/><Relationship Id="rId140" Type="http://schemas.openxmlformats.org/officeDocument/2006/relationships/hyperlink" Target="\" TargetMode="External"/><Relationship Id="rId182" Type="http://schemas.openxmlformats.org/officeDocument/2006/relationships/hyperlink" Target="\" TargetMode="External"/><Relationship Id="rId6" Type="http://schemas.openxmlformats.org/officeDocument/2006/relationships/hyperlink" Target="\" TargetMode="External"/><Relationship Id="rId238" Type="http://schemas.openxmlformats.org/officeDocument/2006/relationships/hyperlink" Target="\" TargetMode="External"/><Relationship Id="rId291" Type="http://schemas.openxmlformats.org/officeDocument/2006/relationships/hyperlink" Target="\" TargetMode="External"/><Relationship Id="rId305" Type="http://schemas.openxmlformats.org/officeDocument/2006/relationships/hyperlink" Target="\" TargetMode="External"/><Relationship Id="rId44" Type="http://schemas.openxmlformats.org/officeDocument/2006/relationships/hyperlink" Target="\" TargetMode="External"/><Relationship Id="rId86" Type="http://schemas.openxmlformats.org/officeDocument/2006/relationships/hyperlink" Target="\" TargetMode="External"/><Relationship Id="rId151" Type="http://schemas.openxmlformats.org/officeDocument/2006/relationships/hyperlink" Target="\" TargetMode="External"/><Relationship Id="rId193" Type="http://schemas.openxmlformats.org/officeDocument/2006/relationships/hyperlink" Target="\" TargetMode="External"/><Relationship Id="rId207" Type="http://schemas.openxmlformats.org/officeDocument/2006/relationships/hyperlink" Target="\" TargetMode="External"/><Relationship Id="rId249" Type="http://schemas.openxmlformats.org/officeDocument/2006/relationships/hyperlink" Target="\"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hyperlink" Target="https://www.scopus.com/inward/record.uri?eid=2-s2.0-85070913819&amp;doi=10.22381%2fLPI1820197&amp;partnerID=40&amp;md5=b9836ef3602e528545665d38abd6d229"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iedunote.com/organizational-environment-elements" TargetMode="External"/><Relationship Id="rId2" Type="http://schemas.openxmlformats.org/officeDocument/2006/relationships/hyperlink" Target="https://www.hrzone.com/perform/people/what-is-workplace-incivility-why-should-we-care-and-what-should-we-do" TargetMode="External"/><Relationship Id="rId1" Type="http://schemas.openxmlformats.org/officeDocument/2006/relationships/hyperlink" Target="https://www.hrzone.com/perform/people/what-is-workplace-incivility-why-should-we-care-and-what-should-we-do" TargetMode="Externa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BC68-BDC7-4EF6-B7A1-9173CBFE55E2}">
  <sheetPr>
    <tabColor rgb="FF0070C0"/>
  </sheetPr>
  <dimension ref="A1:CC1037"/>
  <sheetViews>
    <sheetView zoomScaleNormal="100" workbookViewId="0">
      <selection activeCell="A44" sqref="A44:V44"/>
    </sheetView>
  </sheetViews>
  <sheetFormatPr defaultColWidth="12.6640625" defaultRowHeight="13.8" x14ac:dyDescent="0.25"/>
  <cols>
    <col min="1" max="1" width="37.109375" style="96" customWidth="1"/>
    <col min="2" max="2" width="5.5546875" style="96" bestFit="1" customWidth="1"/>
    <col min="3" max="3" width="8.44140625" style="96" bestFit="1" customWidth="1"/>
    <col min="4" max="4" width="12" style="96" bestFit="1" customWidth="1"/>
    <col min="5" max="5" width="8.44140625" style="97" bestFit="1" customWidth="1"/>
    <col min="6" max="6" width="8.44140625" style="96" bestFit="1" customWidth="1"/>
    <col min="7" max="7" width="5.6640625" style="23" bestFit="1" customWidth="1"/>
    <col min="8" max="8" width="12.6640625" style="23"/>
    <col min="9" max="13" width="12.6640625" style="89"/>
    <col min="14" max="14" width="12.6640625" style="89" customWidth="1"/>
    <col min="15" max="15" width="12.6640625" style="96" customWidth="1"/>
    <col min="16" max="23" width="12.6640625" style="89" customWidth="1"/>
    <col min="24" max="24" width="12.6640625" style="96" customWidth="1"/>
    <col min="25" max="33" width="12.6640625" style="89" customWidth="1"/>
    <col min="34" max="34" width="50.109375" style="89" customWidth="1"/>
    <col min="35" max="70" width="12.6640625" style="89"/>
    <col min="71" max="71" width="12.6640625" style="96"/>
    <col min="72" max="16384" width="12.6640625" style="89"/>
  </cols>
  <sheetData>
    <row r="1" spans="1:81" s="49" customFormat="1" ht="14.4" x14ac:dyDescent="0.3">
      <c r="A1" s="23"/>
      <c r="B1" s="23"/>
      <c r="C1" s="23"/>
      <c r="D1" s="23"/>
      <c r="E1" s="24"/>
      <c r="F1" s="23"/>
      <c r="G1" s="23"/>
      <c r="H1" s="50"/>
      <c r="I1" s="51"/>
      <c r="J1" s="50"/>
      <c r="K1" s="50"/>
      <c r="L1" s="50"/>
      <c r="M1" s="50"/>
      <c r="N1" s="50"/>
      <c r="O1" s="50"/>
      <c r="P1" s="50"/>
      <c r="Q1" s="50"/>
      <c r="R1" s="50"/>
      <c r="S1" s="50"/>
      <c r="T1" s="50"/>
      <c r="U1" s="50"/>
      <c r="V1" s="50"/>
      <c r="W1" s="52" t="s">
        <v>1</v>
      </c>
      <c r="X1" s="52" t="s">
        <v>2</v>
      </c>
      <c r="Y1" s="53"/>
      <c r="Z1" s="54"/>
      <c r="AA1" s="54"/>
      <c r="AB1" s="54"/>
      <c r="AC1" s="54"/>
      <c r="AD1" s="54"/>
      <c r="AE1" s="53"/>
      <c r="AF1" s="54"/>
      <c r="AG1" s="54"/>
      <c r="AH1" s="54"/>
      <c r="AI1" s="54"/>
      <c r="AJ1" s="53"/>
      <c r="AK1" s="54"/>
      <c r="AL1" s="54"/>
      <c r="AM1" s="54"/>
    </row>
    <row r="2" spans="1:81" s="49" customFormat="1" ht="27" x14ac:dyDescent="0.3">
      <c r="A2" s="23"/>
      <c r="B2" s="23"/>
      <c r="C2" s="23"/>
      <c r="D2" s="23"/>
      <c r="E2" s="24"/>
      <c r="F2" s="23"/>
      <c r="G2" s="23"/>
      <c r="H2" s="55"/>
      <c r="I2" s="55"/>
      <c r="J2" s="55"/>
      <c r="K2" s="55"/>
      <c r="L2" s="55"/>
      <c r="M2" s="55"/>
      <c r="N2" s="55"/>
      <c r="O2" s="55"/>
      <c r="P2" s="55"/>
      <c r="Q2" s="55"/>
      <c r="R2" s="55"/>
      <c r="S2" s="55"/>
      <c r="T2" s="55"/>
      <c r="U2" s="55"/>
      <c r="V2" s="55"/>
      <c r="W2" s="56" t="s">
        <v>5</v>
      </c>
      <c r="X2" s="56" t="s">
        <v>6</v>
      </c>
      <c r="Y2" s="57"/>
      <c r="Z2" s="58"/>
      <c r="AA2" s="58"/>
      <c r="AB2" s="58"/>
      <c r="AC2" s="58"/>
      <c r="AD2" s="59"/>
      <c r="AE2" s="57"/>
      <c r="AF2" s="58"/>
      <c r="AG2" s="58"/>
      <c r="AH2" s="58"/>
      <c r="AI2" s="59"/>
      <c r="AJ2" s="316" t="s">
        <v>7</v>
      </c>
      <c r="AK2" s="317"/>
      <c r="AL2" s="317"/>
      <c r="AM2" s="318"/>
    </row>
    <row r="3" spans="1:81" s="49" customFormat="1" ht="14.4" x14ac:dyDescent="0.3">
      <c r="A3" s="23"/>
      <c r="B3" s="23"/>
      <c r="C3" s="23"/>
      <c r="D3" s="23"/>
      <c r="E3" s="24"/>
      <c r="F3" s="23"/>
      <c r="G3" s="23"/>
      <c r="H3" s="50"/>
      <c r="I3" s="51"/>
      <c r="J3" s="50"/>
      <c r="K3" s="50"/>
      <c r="L3" s="50"/>
      <c r="M3" s="50"/>
      <c r="N3" s="50"/>
      <c r="O3" s="50"/>
      <c r="P3" s="50"/>
      <c r="Q3" s="50"/>
      <c r="R3" s="50"/>
      <c r="S3" s="50"/>
      <c r="T3" s="50"/>
      <c r="U3" s="50"/>
      <c r="V3" s="50"/>
      <c r="W3" s="52" t="s">
        <v>9</v>
      </c>
      <c r="X3" s="52" t="s">
        <v>10</v>
      </c>
      <c r="Y3" s="319" t="s">
        <v>11</v>
      </c>
      <c r="Z3" s="320"/>
      <c r="AA3" s="320"/>
      <c r="AB3" s="320"/>
      <c r="AC3" s="320"/>
      <c r="AD3" s="321"/>
      <c r="AE3" s="319" t="s">
        <v>12</v>
      </c>
      <c r="AF3" s="320"/>
      <c r="AG3" s="320"/>
      <c r="AH3" s="320"/>
      <c r="AI3" s="321"/>
      <c r="AJ3" s="319" t="s">
        <v>13</v>
      </c>
      <c r="AK3" s="320"/>
      <c r="AL3" s="320"/>
      <c r="AM3" s="322"/>
    </row>
    <row r="4" spans="1:81" s="49" customFormat="1" ht="82.8" thickBot="1" x14ac:dyDescent="0.35">
      <c r="A4" s="23"/>
      <c r="B4" s="23"/>
      <c r="C4" s="23"/>
      <c r="D4" s="23"/>
      <c r="E4" s="24"/>
      <c r="F4" s="23"/>
      <c r="G4" s="23"/>
      <c r="H4" s="60" t="s">
        <v>315</v>
      </c>
      <c r="I4" s="61" t="s">
        <v>316</v>
      </c>
      <c r="J4" s="61" t="s">
        <v>317</v>
      </c>
      <c r="K4" s="61" t="s">
        <v>318</v>
      </c>
      <c r="L4" s="61" t="s">
        <v>319</v>
      </c>
      <c r="M4" s="61" t="s">
        <v>320</v>
      </c>
      <c r="N4" s="61" t="s">
        <v>321</v>
      </c>
      <c r="O4" s="61" t="s">
        <v>322</v>
      </c>
      <c r="P4" s="61" t="s">
        <v>323</v>
      </c>
      <c r="Q4" s="61" t="s">
        <v>324</v>
      </c>
      <c r="R4" s="61" t="s">
        <v>325</v>
      </c>
      <c r="S4" s="61" t="s">
        <v>326</v>
      </c>
      <c r="T4" s="61" t="s">
        <v>327</v>
      </c>
      <c r="U4" s="61" t="s">
        <v>328</v>
      </c>
      <c r="V4" s="61" t="s">
        <v>329</v>
      </c>
      <c r="W4" s="62" t="s">
        <v>330</v>
      </c>
      <c r="X4" s="62" t="s">
        <v>331</v>
      </c>
      <c r="Y4" s="63" t="s">
        <v>332</v>
      </c>
      <c r="Z4" s="62" t="s">
        <v>333</v>
      </c>
      <c r="AA4" s="62" t="s">
        <v>334</v>
      </c>
      <c r="AB4" s="62" t="s">
        <v>335</v>
      </c>
      <c r="AC4" s="62" t="s">
        <v>336</v>
      </c>
      <c r="AD4" s="62" t="s">
        <v>337</v>
      </c>
      <c r="AE4" s="63" t="s">
        <v>338</v>
      </c>
      <c r="AF4" s="62" t="s">
        <v>339</v>
      </c>
      <c r="AG4" s="62" t="s">
        <v>340</v>
      </c>
      <c r="AH4" s="62" t="s">
        <v>341</v>
      </c>
      <c r="AI4" s="62" t="s">
        <v>342</v>
      </c>
      <c r="AJ4" s="63" t="s">
        <v>343</v>
      </c>
      <c r="AK4" s="62" t="s">
        <v>344</v>
      </c>
      <c r="AL4" s="62" t="s">
        <v>345</v>
      </c>
      <c r="AM4" s="62" t="s">
        <v>346</v>
      </c>
    </row>
    <row r="5" spans="1:81" s="85" customFormat="1" ht="76.95" customHeight="1" thickBot="1" x14ac:dyDescent="0.35">
      <c r="A5" s="85" t="s">
        <v>17401</v>
      </c>
      <c r="B5" s="64" t="s">
        <v>310</v>
      </c>
      <c r="C5" s="66" t="s">
        <v>1725</v>
      </c>
      <c r="D5" s="86" t="s">
        <v>17402</v>
      </c>
      <c r="E5" s="68" t="s">
        <v>1727</v>
      </c>
      <c r="F5" s="69" t="s">
        <v>1728</v>
      </c>
      <c r="G5" s="66" t="s">
        <v>1729</v>
      </c>
      <c r="H5" s="87" t="s">
        <v>25498</v>
      </c>
      <c r="I5" s="87" t="s">
        <v>25499</v>
      </c>
      <c r="J5" s="88" t="s">
        <v>25497</v>
      </c>
      <c r="K5" s="85" t="s">
        <v>25500</v>
      </c>
      <c r="L5" s="98" t="s">
        <v>25508</v>
      </c>
      <c r="M5" s="85" t="s">
        <v>25501</v>
      </c>
      <c r="N5" s="85" t="s">
        <v>25503</v>
      </c>
      <c r="O5" s="85" t="s">
        <v>17403</v>
      </c>
      <c r="P5" s="85" t="s">
        <v>25505</v>
      </c>
      <c r="Q5" s="85" t="s">
        <v>25504</v>
      </c>
      <c r="R5" s="85" t="s">
        <v>25506</v>
      </c>
      <c r="S5" s="85" t="s">
        <v>25507</v>
      </c>
      <c r="T5" s="98" t="s">
        <v>25502</v>
      </c>
      <c r="U5" s="85" t="s">
        <v>25509</v>
      </c>
      <c r="V5" s="99" t="s">
        <v>25510</v>
      </c>
      <c r="W5" s="85" t="s">
        <v>16763</v>
      </c>
      <c r="X5" s="85" t="s">
        <v>328</v>
      </c>
      <c r="Y5" s="85" t="s">
        <v>17404</v>
      </c>
      <c r="Z5" s="85" t="s">
        <v>17405</v>
      </c>
      <c r="AA5" s="85" t="s">
        <v>17406</v>
      </c>
      <c r="AB5" s="85" t="s">
        <v>17407</v>
      </c>
      <c r="AC5" s="85" t="s">
        <v>17408</v>
      </c>
      <c r="AD5" s="85" t="s">
        <v>17409</v>
      </c>
      <c r="AE5" s="85" t="s">
        <v>17410</v>
      </c>
      <c r="AF5" s="85" t="s">
        <v>318</v>
      </c>
      <c r="AG5" s="85" t="s">
        <v>17411</v>
      </c>
      <c r="AH5" s="85" t="s">
        <v>325</v>
      </c>
      <c r="AI5" s="85" t="s">
        <v>17412</v>
      </c>
      <c r="AJ5" s="85" t="s">
        <v>17413</v>
      </c>
      <c r="AK5" s="85" t="s">
        <v>17414</v>
      </c>
      <c r="AL5" s="85" t="s">
        <v>17415</v>
      </c>
      <c r="AM5" s="85" t="s">
        <v>17416</v>
      </c>
      <c r="AN5" s="85" t="s">
        <v>17417</v>
      </c>
      <c r="AO5" s="85" t="s">
        <v>17418</v>
      </c>
      <c r="AP5" s="85" t="s">
        <v>17419</v>
      </c>
      <c r="AQ5" s="85" t="s">
        <v>17420</v>
      </c>
      <c r="AR5" s="85" t="s">
        <v>17421</v>
      </c>
      <c r="AS5" s="85" t="s">
        <v>17422</v>
      </c>
      <c r="AT5" s="85" t="s">
        <v>17423</v>
      </c>
      <c r="AU5" s="85" t="s">
        <v>17424</v>
      </c>
      <c r="AV5" s="85" t="s">
        <v>17425</v>
      </c>
      <c r="AW5" s="85" t="s">
        <v>17426</v>
      </c>
      <c r="AX5" s="85" t="s">
        <v>17427</v>
      </c>
      <c r="AY5" s="85" t="s">
        <v>17428</v>
      </c>
      <c r="AZ5" s="85" t="s">
        <v>17429</v>
      </c>
      <c r="BA5" s="85" t="s">
        <v>17430</v>
      </c>
      <c r="BB5" s="85" t="s">
        <v>17431</v>
      </c>
      <c r="BC5" s="85" t="s">
        <v>17432</v>
      </c>
      <c r="BD5" s="85" t="s">
        <v>17433</v>
      </c>
      <c r="BE5" s="85" t="s">
        <v>17434</v>
      </c>
      <c r="BF5" s="85" t="s">
        <v>17435</v>
      </c>
      <c r="BG5" s="85" t="s">
        <v>17436</v>
      </c>
      <c r="BH5" s="85" t="s">
        <v>17437</v>
      </c>
      <c r="BI5" s="85" t="s">
        <v>17438</v>
      </c>
      <c r="BJ5" s="85" t="s">
        <v>17439</v>
      </c>
      <c r="BK5" s="85" t="s">
        <v>17440</v>
      </c>
      <c r="BL5" s="85" t="s">
        <v>17441</v>
      </c>
      <c r="BM5" s="85" t="s">
        <v>17442</v>
      </c>
      <c r="BN5" s="85" t="s">
        <v>17443</v>
      </c>
      <c r="BO5" s="85" t="s">
        <v>17444</v>
      </c>
      <c r="BP5" s="85" t="s">
        <v>17445</v>
      </c>
      <c r="BQ5" s="85" t="s">
        <v>17446</v>
      </c>
      <c r="BR5" s="85" t="s">
        <v>17447</v>
      </c>
      <c r="BS5" s="85" t="s">
        <v>17448</v>
      </c>
      <c r="BT5" s="85" t="s">
        <v>17449</v>
      </c>
      <c r="BU5" s="85" t="s">
        <v>17450</v>
      </c>
      <c r="BV5" s="85" t="s">
        <v>17451</v>
      </c>
      <c r="BW5" s="85" t="s">
        <v>17452</v>
      </c>
      <c r="BX5" s="85" t="s">
        <v>17453</v>
      </c>
      <c r="BY5" s="85" t="s">
        <v>17454</v>
      </c>
      <c r="BZ5" s="85" t="s">
        <v>17455</v>
      </c>
      <c r="CA5" s="85" t="s">
        <v>17456</v>
      </c>
      <c r="CB5" s="85" t="s">
        <v>17457</v>
      </c>
      <c r="CC5" s="85" t="s">
        <v>17458</v>
      </c>
    </row>
    <row r="6" spans="1:81" ht="13.2" x14ac:dyDescent="0.25">
      <c r="A6" s="89" t="s">
        <v>17459</v>
      </c>
      <c r="B6" s="89" t="s">
        <v>1712</v>
      </c>
      <c r="C6" s="90">
        <v>1</v>
      </c>
      <c r="D6" s="91" t="s">
        <v>17460</v>
      </c>
      <c r="E6" s="90">
        <v>1</v>
      </c>
      <c r="F6" s="90">
        <v>1</v>
      </c>
      <c r="G6" s="90">
        <v>1</v>
      </c>
      <c r="H6" s="89" t="s">
        <v>17461</v>
      </c>
      <c r="I6" s="89" t="s">
        <v>17463</v>
      </c>
      <c r="J6" s="89" t="s">
        <v>17466</v>
      </c>
      <c r="K6" s="89" t="s">
        <v>17465</v>
      </c>
      <c r="M6" s="89">
        <v>2021</v>
      </c>
      <c r="N6" s="89" t="s">
        <v>17464</v>
      </c>
      <c r="O6" s="89" t="s">
        <v>646</v>
      </c>
      <c r="P6" s="89" t="str">
        <f>HYPERLINK("http://dx.doi.org/10.25100/iyc.23il.9503","http://dx.doi.org/10.25100/iyc.23il.9503")</f>
        <v>http://dx.doi.org/10.25100/iyc.23il.9503</v>
      </c>
      <c r="S6" s="89" t="s">
        <v>646</v>
      </c>
      <c r="U6" s="89" t="s">
        <v>17462</v>
      </c>
      <c r="V6" s="100"/>
      <c r="W6" s="89" t="s">
        <v>646</v>
      </c>
      <c r="X6" s="89" t="s">
        <v>646</v>
      </c>
      <c r="Y6" s="89" t="s">
        <v>646</v>
      </c>
      <c r="Z6" s="89" t="s">
        <v>646</v>
      </c>
      <c r="AA6" s="89" t="s">
        <v>646</v>
      </c>
      <c r="AB6" s="89" t="s">
        <v>646</v>
      </c>
      <c r="AC6" s="89" t="s">
        <v>646</v>
      </c>
      <c r="AD6" s="89" t="s">
        <v>646</v>
      </c>
      <c r="AE6" s="89" t="s">
        <v>646</v>
      </c>
      <c r="AF6" s="89" t="s">
        <v>17465</v>
      </c>
      <c r="AG6" s="89" t="s">
        <v>646</v>
      </c>
      <c r="AH6" s="89" t="s">
        <v>646</v>
      </c>
      <c r="AI6" s="89" t="s">
        <v>646</v>
      </c>
      <c r="AJ6" s="89" t="s">
        <v>646</v>
      </c>
      <c r="AK6" s="89" t="s">
        <v>17466</v>
      </c>
      <c r="AL6" s="89" t="s">
        <v>17467</v>
      </c>
      <c r="AM6" s="89" t="s">
        <v>646</v>
      </c>
      <c r="AN6" s="89" t="s">
        <v>646</v>
      </c>
      <c r="AO6" s="89" t="s">
        <v>646</v>
      </c>
      <c r="AP6" s="89" t="s">
        <v>646</v>
      </c>
      <c r="AQ6" s="89" t="s">
        <v>646</v>
      </c>
      <c r="AR6" s="89" t="s">
        <v>646</v>
      </c>
      <c r="AS6" s="89" t="s">
        <v>646</v>
      </c>
      <c r="AT6" s="89" t="s">
        <v>646</v>
      </c>
      <c r="AU6" s="89" t="s">
        <v>646</v>
      </c>
      <c r="AV6" s="89" t="s">
        <v>646</v>
      </c>
      <c r="AW6" s="89" t="s">
        <v>646</v>
      </c>
      <c r="AX6" s="89" t="s">
        <v>646</v>
      </c>
      <c r="AY6" s="89" t="s">
        <v>17468</v>
      </c>
      <c r="AZ6" s="89" t="s">
        <v>646</v>
      </c>
      <c r="BA6" s="89" t="s">
        <v>646</v>
      </c>
      <c r="BB6" s="89" t="s">
        <v>646</v>
      </c>
      <c r="BC6" s="89" t="s">
        <v>646</v>
      </c>
      <c r="BD6" s="89" t="s">
        <v>17469</v>
      </c>
      <c r="BE6" s="89">
        <v>2021</v>
      </c>
      <c r="BF6" s="89">
        <v>23</v>
      </c>
      <c r="BG6" s="89">
        <v>1</v>
      </c>
      <c r="BH6" s="89" t="s">
        <v>646</v>
      </c>
      <c r="BI6" s="89" t="s">
        <v>646</v>
      </c>
      <c r="BJ6" s="89" t="s">
        <v>646</v>
      </c>
      <c r="BK6" s="89" t="s">
        <v>646</v>
      </c>
      <c r="BL6" s="89" t="s">
        <v>646</v>
      </c>
      <c r="BM6" s="89" t="s">
        <v>646</v>
      </c>
      <c r="BN6" s="89" t="s">
        <v>17470</v>
      </c>
      <c r="BO6" s="89" t="str">
        <f>HYPERLINK("http://dx.doi.org/10.25100/iyc.23il.9503","http://dx.doi.org/10.25100/iyc.23il.9503")</f>
        <v>http://dx.doi.org/10.25100/iyc.23il.9503</v>
      </c>
      <c r="BP6" s="89" t="s">
        <v>646</v>
      </c>
      <c r="BQ6" s="89" t="s">
        <v>646</v>
      </c>
      <c r="BR6" s="89" t="s">
        <v>646</v>
      </c>
      <c r="BS6" s="89" t="s">
        <v>646</v>
      </c>
      <c r="BT6" s="89" t="s">
        <v>646</v>
      </c>
      <c r="BU6" s="89" t="s">
        <v>646</v>
      </c>
      <c r="BV6" s="89" t="s">
        <v>646</v>
      </c>
      <c r="BW6" s="89" t="s">
        <v>646</v>
      </c>
      <c r="BX6" s="89" t="s">
        <v>646</v>
      </c>
      <c r="BY6" s="89" t="s">
        <v>646</v>
      </c>
      <c r="BZ6" s="89" t="s">
        <v>646</v>
      </c>
      <c r="CA6" s="89" t="s">
        <v>646</v>
      </c>
      <c r="CB6" s="89" t="s">
        <v>17471</v>
      </c>
      <c r="CC6" s="89" t="str">
        <f>HYPERLINK("https%3A%2F%2Fwww.webofscience.com%2Fwos%2Fwoscc%2Ffull-record%2FWOS:000624969300003","View Full Record in Web of Science")</f>
        <v>View Full Record in Web of Science</v>
      </c>
    </row>
    <row r="7" spans="1:81" ht="13.2" hidden="1" x14ac:dyDescent="0.25">
      <c r="A7" s="89" t="s">
        <v>17472</v>
      </c>
      <c r="B7" s="89" t="e">
        <f>+#REF!</f>
        <v>#REF!</v>
      </c>
      <c r="C7" s="89"/>
      <c r="D7" s="91" t="s">
        <v>17460</v>
      </c>
      <c r="E7" s="90">
        <v>0</v>
      </c>
      <c r="F7" s="89">
        <v>0</v>
      </c>
      <c r="G7" s="89"/>
      <c r="H7" s="89" t="s">
        <v>17473</v>
      </c>
      <c r="I7" s="89" t="s">
        <v>17476</v>
      </c>
      <c r="J7" s="89" t="s">
        <v>17483</v>
      </c>
      <c r="K7" s="89" t="s">
        <v>17482</v>
      </c>
      <c r="M7" s="89">
        <v>2021</v>
      </c>
      <c r="N7" s="89" t="s">
        <v>17477</v>
      </c>
      <c r="O7" s="89" t="s">
        <v>646</v>
      </c>
      <c r="P7" s="89" t="str">
        <f>HYPERLINK("http://dx.doi.org/10.1109/ICECE51984.2021.9406283","http://dx.doi.org/10.1109/ICECE51984.2021.9406283")</f>
        <v>http://dx.doi.org/10.1109/ICECE51984.2021.9406283</v>
      </c>
      <c r="S7" s="89" t="s">
        <v>17475</v>
      </c>
      <c r="U7" s="89" t="s">
        <v>17474</v>
      </c>
      <c r="W7" s="89" t="s">
        <v>646</v>
      </c>
      <c r="X7" s="89" t="s">
        <v>646</v>
      </c>
      <c r="Y7" s="89" t="s">
        <v>17478</v>
      </c>
      <c r="Z7" s="89" t="s">
        <v>17479</v>
      </c>
      <c r="AA7" s="89" t="s">
        <v>17480</v>
      </c>
      <c r="AB7" s="89" t="s">
        <v>17481</v>
      </c>
      <c r="AC7" s="89" t="s">
        <v>646</v>
      </c>
      <c r="AD7" s="89" t="s">
        <v>646</v>
      </c>
      <c r="AE7" s="89" t="s">
        <v>646</v>
      </c>
      <c r="AF7" s="89" t="s">
        <v>17482</v>
      </c>
      <c r="AG7" s="89" t="s">
        <v>646</v>
      </c>
      <c r="AH7" s="89" t="s">
        <v>646</v>
      </c>
      <c r="AI7" s="89" t="s">
        <v>646</v>
      </c>
      <c r="AJ7" s="89" t="s">
        <v>646</v>
      </c>
      <c r="AK7" s="89" t="s">
        <v>17483</v>
      </c>
      <c r="AL7" s="89" t="s">
        <v>17484</v>
      </c>
      <c r="AM7" s="89" t="s">
        <v>646</v>
      </c>
      <c r="AN7" s="89" t="s">
        <v>646</v>
      </c>
      <c r="AO7" s="89" t="s">
        <v>646</v>
      </c>
      <c r="AP7" s="89" t="s">
        <v>646</v>
      </c>
      <c r="AQ7" s="89" t="s">
        <v>646</v>
      </c>
      <c r="AR7" s="89" t="s">
        <v>646</v>
      </c>
      <c r="AS7" s="89" t="s">
        <v>646</v>
      </c>
      <c r="AT7" s="89" t="s">
        <v>646</v>
      </c>
      <c r="AU7" s="89" t="s">
        <v>646</v>
      </c>
      <c r="AV7" s="89" t="s">
        <v>646</v>
      </c>
      <c r="AW7" s="89" t="s">
        <v>646</v>
      </c>
      <c r="AX7" s="89" t="s">
        <v>646</v>
      </c>
      <c r="AY7" s="89" t="s">
        <v>646</v>
      </c>
      <c r="AZ7" s="89" t="s">
        <v>646</v>
      </c>
      <c r="BA7" s="89" t="s">
        <v>17485</v>
      </c>
      <c r="BB7" s="89" t="s">
        <v>646</v>
      </c>
      <c r="BC7" s="89" t="s">
        <v>646</v>
      </c>
      <c r="BD7" s="89" t="s">
        <v>646</v>
      </c>
      <c r="BE7" s="89">
        <v>2021</v>
      </c>
      <c r="BF7" s="89" t="s">
        <v>646</v>
      </c>
      <c r="BG7" s="89" t="s">
        <v>646</v>
      </c>
      <c r="BH7" s="89" t="s">
        <v>646</v>
      </c>
      <c r="BI7" s="89" t="s">
        <v>646</v>
      </c>
      <c r="BJ7" s="89" t="s">
        <v>646</v>
      </c>
      <c r="BK7" s="89" t="s">
        <v>646</v>
      </c>
      <c r="BL7" s="89">
        <v>52</v>
      </c>
      <c r="BM7" s="89">
        <v>58</v>
      </c>
      <c r="BN7" s="89" t="s">
        <v>646</v>
      </c>
      <c r="BO7" s="89" t="str">
        <f>HYPERLINK("http://dx.doi.org/10.1109/ICECE51984.2021.9406283","http://dx.doi.org/10.1109/ICECE51984.2021.9406283")</f>
        <v>http://dx.doi.org/10.1109/ICECE51984.2021.9406283</v>
      </c>
      <c r="BP7" s="89" t="s">
        <v>646</v>
      </c>
      <c r="BQ7" s="89" t="s">
        <v>646</v>
      </c>
      <c r="BR7" s="89" t="s">
        <v>646</v>
      </c>
      <c r="BS7" s="89" t="s">
        <v>646</v>
      </c>
      <c r="BT7" s="89" t="s">
        <v>646</v>
      </c>
      <c r="BU7" s="89" t="s">
        <v>646</v>
      </c>
      <c r="BV7" s="89" t="s">
        <v>646</v>
      </c>
      <c r="BW7" s="89" t="s">
        <v>646</v>
      </c>
      <c r="BX7" s="89" t="s">
        <v>646</v>
      </c>
      <c r="BY7" s="89" t="s">
        <v>646</v>
      </c>
      <c r="BZ7" s="89" t="s">
        <v>646</v>
      </c>
      <c r="CA7" s="89" t="s">
        <v>646</v>
      </c>
      <c r="CB7" s="89" t="s">
        <v>17486</v>
      </c>
      <c r="CC7" s="89" t="str">
        <f>HYPERLINK("https%3A%2F%2Fwww.webofscience.com%2Fwos%2Fwoscc%2Ffull-record%2FWOS:000685203600008","View Full Record in Web of Science")</f>
        <v>View Full Record in Web of Science</v>
      </c>
    </row>
    <row r="8" spans="1:81" ht="13.2" hidden="1" x14ac:dyDescent="0.25">
      <c r="A8" s="89" t="s">
        <v>17487</v>
      </c>
      <c r="B8" s="89" t="e">
        <f>+#REF!</f>
        <v>#REF!</v>
      </c>
      <c r="C8" s="90"/>
      <c r="D8" s="91" t="s">
        <v>17460</v>
      </c>
      <c r="E8" s="90" t="s">
        <v>645</v>
      </c>
      <c r="F8" s="90">
        <v>0</v>
      </c>
      <c r="G8" s="90"/>
      <c r="H8" s="89" t="s">
        <v>17488</v>
      </c>
      <c r="I8" s="89" t="s">
        <v>17490</v>
      </c>
      <c r="J8" s="89" t="s">
        <v>646</v>
      </c>
      <c r="K8" s="89" t="s">
        <v>17495</v>
      </c>
      <c r="M8" s="89">
        <v>2021</v>
      </c>
      <c r="N8" s="89" t="s">
        <v>17491</v>
      </c>
      <c r="O8" s="89" t="s">
        <v>17489</v>
      </c>
      <c r="P8" s="89" t="str">
        <f>HYPERLINK("http://dx.doi.org/10.5220/0010541101110124","http://dx.doi.org/10.5220/0010541101110124")</f>
        <v>http://dx.doi.org/10.5220/0010541101110124</v>
      </c>
      <c r="S8" s="89" t="s">
        <v>646</v>
      </c>
      <c r="U8" s="89" t="s">
        <v>17474</v>
      </c>
      <c r="W8" s="89" t="s">
        <v>646</v>
      </c>
      <c r="X8" s="89" t="s">
        <v>646</v>
      </c>
      <c r="Y8" s="89" t="s">
        <v>17492</v>
      </c>
      <c r="Z8" s="89" t="s">
        <v>17493</v>
      </c>
      <c r="AA8" s="89" t="s">
        <v>17494</v>
      </c>
      <c r="AB8" s="89" t="s">
        <v>646</v>
      </c>
      <c r="AC8" s="89" t="s">
        <v>646</v>
      </c>
      <c r="AD8" s="89" t="s">
        <v>646</v>
      </c>
      <c r="AE8" s="89" t="s">
        <v>646</v>
      </c>
      <c r="AF8" s="89" t="s">
        <v>17495</v>
      </c>
      <c r="AG8" s="89" t="s">
        <v>646</v>
      </c>
      <c r="AH8" s="89" t="s">
        <v>646</v>
      </c>
      <c r="AI8" s="89" t="s">
        <v>646</v>
      </c>
      <c r="AJ8" s="89" t="s">
        <v>646</v>
      </c>
      <c r="AK8" s="89" t="s">
        <v>646</v>
      </c>
      <c r="AL8" s="89" t="s">
        <v>646</v>
      </c>
      <c r="AM8" s="89" t="s">
        <v>646</v>
      </c>
      <c r="AN8" s="89" t="s">
        <v>646</v>
      </c>
      <c r="AO8" s="89" t="s">
        <v>646</v>
      </c>
      <c r="AP8" s="89" t="s">
        <v>646</v>
      </c>
      <c r="AQ8" s="89" t="s">
        <v>646</v>
      </c>
      <c r="AR8" s="89" t="s">
        <v>646</v>
      </c>
      <c r="AS8" s="89" t="s">
        <v>646</v>
      </c>
      <c r="AT8" s="89" t="s">
        <v>646</v>
      </c>
      <c r="AU8" s="89" t="s">
        <v>646</v>
      </c>
      <c r="AV8" s="89" t="s">
        <v>646</v>
      </c>
      <c r="AW8" s="89" t="s">
        <v>646</v>
      </c>
      <c r="AX8" s="89" t="s">
        <v>646</v>
      </c>
      <c r="AY8" s="89" t="s">
        <v>646</v>
      </c>
      <c r="AZ8" s="89" t="s">
        <v>646</v>
      </c>
      <c r="BA8" s="89" t="s">
        <v>17496</v>
      </c>
      <c r="BB8" s="89" t="s">
        <v>646</v>
      </c>
      <c r="BC8" s="89" t="s">
        <v>646</v>
      </c>
      <c r="BD8" s="89" t="s">
        <v>646</v>
      </c>
      <c r="BE8" s="89">
        <v>2021</v>
      </c>
      <c r="BF8" s="89" t="s">
        <v>646</v>
      </c>
      <c r="BG8" s="89" t="s">
        <v>646</v>
      </c>
      <c r="BH8" s="89" t="s">
        <v>646</v>
      </c>
      <c r="BI8" s="89" t="s">
        <v>646</v>
      </c>
      <c r="BJ8" s="89" t="s">
        <v>646</v>
      </c>
      <c r="BK8" s="89" t="s">
        <v>646</v>
      </c>
      <c r="BL8" s="89">
        <v>111</v>
      </c>
      <c r="BM8" s="89">
        <v>124</v>
      </c>
      <c r="BN8" s="89" t="s">
        <v>646</v>
      </c>
      <c r="BO8" s="89" t="str">
        <f>HYPERLINK("http://dx.doi.org/10.5220/0010541101110124","http://dx.doi.org/10.5220/0010541101110124")</f>
        <v>http://dx.doi.org/10.5220/0010541101110124</v>
      </c>
      <c r="BP8" s="89" t="s">
        <v>646</v>
      </c>
      <c r="BQ8" s="89" t="s">
        <v>646</v>
      </c>
      <c r="BR8" s="89" t="s">
        <v>646</v>
      </c>
      <c r="BS8" s="89" t="s">
        <v>646</v>
      </c>
      <c r="BT8" s="89" t="s">
        <v>646</v>
      </c>
      <c r="BU8" s="89" t="s">
        <v>646</v>
      </c>
      <c r="BV8" s="89" t="s">
        <v>646</v>
      </c>
      <c r="BW8" s="89" t="s">
        <v>646</v>
      </c>
      <c r="BX8" s="89" t="s">
        <v>646</v>
      </c>
      <c r="BY8" s="89" t="s">
        <v>646</v>
      </c>
      <c r="BZ8" s="89" t="s">
        <v>646</v>
      </c>
      <c r="CA8" s="89" t="s">
        <v>646</v>
      </c>
      <c r="CB8" s="89" t="s">
        <v>17497</v>
      </c>
      <c r="CC8" s="89" t="str">
        <f>HYPERLINK("https%3A%2F%2Fwww.webofscience.com%2Fwos%2Fwoscc%2Ffull-record%2FWOS:000720102500009","View Full Record in Web of Science")</f>
        <v>View Full Record in Web of Science</v>
      </c>
    </row>
    <row r="9" spans="1:81" ht="13.2" hidden="1" x14ac:dyDescent="0.25">
      <c r="A9" s="89" t="s">
        <v>17498</v>
      </c>
      <c r="B9" s="89" t="e">
        <f>+#REF!</f>
        <v>#REF!</v>
      </c>
      <c r="C9" s="89"/>
      <c r="D9" s="91" t="s">
        <v>17460</v>
      </c>
      <c r="E9" s="90">
        <v>0</v>
      </c>
      <c r="F9" s="89">
        <v>0</v>
      </c>
      <c r="G9" s="89"/>
      <c r="H9" s="89" t="s">
        <v>17499</v>
      </c>
      <c r="I9" s="89" t="s">
        <v>17500</v>
      </c>
      <c r="J9" s="89" t="s">
        <v>646</v>
      </c>
      <c r="K9" s="89" t="s">
        <v>17502</v>
      </c>
      <c r="M9" s="89">
        <v>2021</v>
      </c>
      <c r="N9" s="89" t="s">
        <v>17501</v>
      </c>
      <c r="O9" s="89" t="s">
        <v>646</v>
      </c>
      <c r="P9" s="89" t="str">
        <f>HYPERLINK("http://dx.doi.org/10.5771/0038-6073-2021-4-551","http://dx.doi.org/10.5771/0038-6073-2021-4-551")</f>
        <v>http://dx.doi.org/10.5771/0038-6073-2021-4-551</v>
      </c>
      <c r="S9" s="89" t="s">
        <v>646</v>
      </c>
      <c r="U9" s="89" t="s">
        <v>17462</v>
      </c>
      <c r="W9" s="89" t="s">
        <v>646</v>
      </c>
      <c r="X9" s="89" t="s">
        <v>646</v>
      </c>
      <c r="Y9" s="89" t="s">
        <v>646</v>
      </c>
      <c r="Z9" s="89" t="s">
        <v>646</v>
      </c>
      <c r="AA9" s="89" t="s">
        <v>646</v>
      </c>
      <c r="AB9" s="89" t="s">
        <v>646</v>
      </c>
      <c r="AC9" s="89" t="s">
        <v>646</v>
      </c>
      <c r="AD9" s="89" t="s">
        <v>646</v>
      </c>
      <c r="AE9" s="89" t="s">
        <v>646</v>
      </c>
      <c r="AF9" s="89" t="s">
        <v>17502</v>
      </c>
      <c r="AG9" s="89" t="s">
        <v>646</v>
      </c>
      <c r="AH9" s="89" t="s">
        <v>646</v>
      </c>
      <c r="AI9" s="89" t="s">
        <v>646</v>
      </c>
      <c r="AJ9" s="89" t="s">
        <v>646</v>
      </c>
      <c r="AK9" s="89" t="s">
        <v>646</v>
      </c>
      <c r="AL9" s="89" t="s">
        <v>646</v>
      </c>
      <c r="AM9" s="89" t="s">
        <v>646</v>
      </c>
      <c r="AN9" s="89" t="s">
        <v>646</v>
      </c>
      <c r="AO9" s="89" t="s">
        <v>646</v>
      </c>
      <c r="AP9" s="89" t="s">
        <v>646</v>
      </c>
      <c r="AQ9" s="89" t="s">
        <v>646</v>
      </c>
      <c r="AR9" s="89" t="s">
        <v>646</v>
      </c>
      <c r="AS9" s="89" t="s">
        <v>646</v>
      </c>
      <c r="AT9" s="89" t="s">
        <v>646</v>
      </c>
      <c r="AU9" s="89" t="s">
        <v>646</v>
      </c>
      <c r="AV9" s="89" t="s">
        <v>646</v>
      </c>
      <c r="AW9" s="89" t="s">
        <v>646</v>
      </c>
      <c r="AX9" s="89" t="s">
        <v>646</v>
      </c>
      <c r="AY9" s="89" t="s">
        <v>17503</v>
      </c>
      <c r="AZ9" s="89" t="s">
        <v>646</v>
      </c>
      <c r="BA9" s="89" t="s">
        <v>646</v>
      </c>
      <c r="BB9" s="89" t="s">
        <v>646</v>
      </c>
      <c r="BC9" s="89" t="s">
        <v>646</v>
      </c>
      <c r="BD9" s="89" t="s">
        <v>646</v>
      </c>
      <c r="BE9" s="89">
        <v>2021</v>
      </c>
      <c r="BF9" s="89">
        <v>72</v>
      </c>
      <c r="BG9" s="89">
        <v>4</v>
      </c>
      <c r="BH9" s="89" t="s">
        <v>646</v>
      </c>
      <c r="BI9" s="89" t="s">
        <v>646</v>
      </c>
      <c r="BJ9" s="89" t="s">
        <v>646</v>
      </c>
      <c r="BK9" s="89" t="s">
        <v>646</v>
      </c>
      <c r="BL9" s="89">
        <v>551</v>
      </c>
      <c r="BM9" s="89">
        <v>588</v>
      </c>
      <c r="BN9" s="89" t="s">
        <v>646</v>
      </c>
      <c r="BO9" s="89" t="str">
        <f>HYPERLINK("http://dx.doi.org/10.5771/0038-6073-2021-4-551","http://dx.doi.org/10.5771/0038-6073-2021-4-551")</f>
        <v>http://dx.doi.org/10.5771/0038-6073-2021-4-551</v>
      </c>
      <c r="BP9" s="89" t="s">
        <v>646</v>
      </c>
      <c r="BQ9" s="89" t="s">
        <v>646</v>
      </c>
      <c r="BR9" s="89" t="s">
        <v>646</v>
      </c>
      <c r="BS9" s="89" t="s">
        <v>646</v>
      </c>
      <c r="BT9" s="89" t="s">
        <v>646</v>
      </c>
      <c r="BU9" s="89" t="s">
        <v>646</v>
      </c>
      <c r="BV9" s="89" t="s">
        <v>646</v>
      </c>
      <c r="BW9" s="89" t="s">
        <v>646</v>
      </c>
      <c r="BX9" s="89" t="s">
        <v>646</v>
      </c>
      <c r="BY9" s="89" t="s">
        <v>646</v>
      </c>
      <c r="BZ9" s="89" t="s">
        <v>646</v>
      </c>
      <c r="CA9" s="89" t="s">
        <v>646</v>
      </c>
      <c r="CB9" s="89" t="s">
        <v>17504</v>
      </c>
      <c r="CC9" s="89" t="str">
        <f>HYPERLINK("https%3A%2F%2Fwww.webofscience.com%2Fwos%2Fwoscc%2Ffull-record%2FWOS:000773033200007","View Full Record in Web of Science")</f>
        <v>View Full Record in Web of Science</v>
      </c>
    </row>
    <row r="10" spans="1:81" ht="13.2" hidden="1" x14ac:dyDescent="0.25">
      <c r="A10" s="89" t="s">
        <v>17505</v>
      </c>
      <c r="B10" s="89" t="e">
        <f>+#REF!</f>
        <v>#REF!</v>
      </c>
      <c r="C10" s="89"/>
      <c r="D10" s="91" t="s">
        <v>17460</v>
      </c>
      <c r="E10" s="90">
        <v>0</v>
      </c>
      <c r="F10" s="89">
        <v>0</v>
      </c>
      <c r="G10" s="89"/>
      <c r="H10" s="89" t="s">
        <v>17506</v>
      </c>
      <c r="I10" s="89" t="s">
        <v>17507</v>
      </c>
      <c r="J10" s="89" t="s">
        <v>646</v>
      </c>
      <c r="K10" s="89" t="s">
        <v>17509</v>
      </c>
      <c r="M10" s="89">
        <v>2022</v>
      </c>
      <c r="N10" s="89" t="s">
        <v>17508</v>
      </c>
      <c r="O10" s="89" t="s">
        <v>646</v>
      </c>
      <c r="P10" s="89" t="str">
        <f>HYPERLINK("http://dx.doi.org/10.1111/jscm.12263","http://dx.doi.org/10.1111/jscm.12263")</f>
        <v>http://dx.doi.org/10.1111/jscm.12263</v>
      </c>
      <c r="S10" s="89" t="s">
        <v>646</v>
      </c>
      <c r="U10" s="89" t="s">
        <v>17462</v>
      </c>
      <c r="W10" s="89" t="s">
        <v>646</v>
      </c>
      <c r="X10" s="89" t="s">
        <v>646</v>
      </c>
      <c r="Y10" s="89" t="s">
        <v>646</v>
      </c>
      <c r="Z10" s="89" t="s">
        <v>646</v>
      </c>
      <c r="AA10" s="89" t="s">
        <v>646</v>
      </c>
      <c r="AB10" s="89" t="s">
        <v>646</v>
      </c>
      <c r="AC10" s="89" t="s">
        <v>646</v>
      </c>
      <c r="AD10" s="89" t="s">
        <v>646</v>
      </c>
      <c r="AE10" s="89" t="s">
        <v>646</v>
      </c>
      <c r="AF10" s="89" t="s">
        <v>17509</v>
      </c>
      <c r="AG10" s="89" t="s">
        <v>646</v>
      </c>
      <c r="AH10" s="89" t="s">
        <v>646</v>
      </c>
      <c r="AI10" s="89" t="s">
        <v>646</v>
      </c>
      <c r="AJ10" s="89" t="s">
        <v>646</v>
      </c>
      <c r="AK10" s="89" t="s">
        <v>646</v>
      </c>
      <c r="AL10" s="89" t="s">
        <v>17510</v>
      </c>
      <c r="AM10" s="89" t="s">
        <v>646</v>
      </c>
      <c r="AN10" s="89" t="s">
        <v>646</v>
      </c>
      <c r="AO10" s="89" t="s">
        <v>646</v>
      </c>
      <c r="AP10" s="89" t="s">
        <v>646</v>
      </c>
      <c r="AQ10" s="89" t="s">
        <v>646</v>
      </c>
      <c r="AR10" s="89" t="s">
        <v>646</v>
      </c>
      <c r="AS10" s="89" t="s">
        <v>646</v>
      </c>
      <c r="AT10" s="89" t="s">
        <v>646</v>
      </c>
      <c r="AU10" s="89" t="s">
        <v>646</v>
      </c>
      <c r="AV10" s="89" t="s">
        <v>646</v>
      </c>
      <c r="AW10" s="89" t="s">
        <v>646</v>
      </c>
      <c r="AX10" s="89" t="s">
        <v>646</v>
      </c>
      <c r="AY10" s="89" t="s">
        <v>17511</v>
      </c>
      <c r="AZ10" s="89" t="s">
        <v>17512</v>
      </c>
      <c r="BA10" s="89" t="s">
        <v>646</v>
      </c>
      <c r="BB10" s="89" t="s">
        <v>646</v>
      </c>
      <c r="BC10" s="89" t="s">
        <v>646</v>
      </c>
      <c r="BD10" s="89" t="s">
        <v>17513</v>
      </c>
      <c r="BE10" s="89">
        <v>2022</v>
      </c>
      <c r="BF10" s="89">
        <v>58</v>
      </c>
      <c r="BG10" s="89">
        <v>1</v>
      </c>
      <c r="BH10" s="89" t="s">
        <v>646</v>
      </c>
      <c r="BI10" s="89" t="s">
        <v>646</v>
      </c>
      <c r="BJ10" s="89" t="s">
        <v>646</v>
      </c>
      <c r="BK10" s="89" t="s">
        <v>646</v>
      </c>
      <c r="BL10" s="89">
        <v>65</v>
      </c>
      <c r="BM10" s="89">
        <v>91</v>
      </c>
      <c r="BN10" s="89" t="s">
        <v>646</v>
      </c>
      <c r="BO10" s="89" t="str">
        <f>HYPERLINK("http://dx.doi.org/10.1111/jscm.12263","http://dx.doi.org/10.1111/jscm.12263")</f>
        <v>http://dx.doi.org/10.1111/jscm.12263</v>
      </c>
      <c r="BP10" s="89" t="s">
        <v>646</v>
      </c>
      <c r="BQ10" s="89" t="s">
        <v>17514</v>
      </c>
      <c r="BR10" s="89" t="s">
        <v>646</v>
      </c>
      <c r="BS10" s="89" t="s">
        <v>646</v>
      </c>
      <c r="BT10" s="89" t="s">
        <v>646</v>
      </c>
      <c r="BU10" s="89" t="s">
        <v>646</v>
      </c>
      <c r="BV10" s="89" t="s">
        <v>646</v>
      </c>
      <c r="BW10" s="89" t="s">
        <v>646</v>
      </c>
      <c r="BX10" s="89" t="s">
        <v>646</v>
      </c>
      <c r="BY10" s="89" t="s">
        <v>646</v>
      </c>
      <c r="BZ10" s="89" t="s">
        <v>646</v>
      </c>
      <c r="CA10" s="89" t="s">
        <v>646</v>
      </c>
      <c r="CB10" s="89" t="s">
        <v>17515</v>
      </c>
      <c r="CC10" s="89" t="str">
        <f>HYPERLINK("https%3A%2F%2Fwww.webofscience.com%2Fwos%2Fwoscc%2Ffull-record%2FWOS:000660391300001","View Full Record in Web of Science")</f>
        <v>View Full Record in Web of Science</v>
      </c>
    </row>
    <row r="11" spans="1:81" ht="13.2" hidden="1" x14ac:dyDescent="0.25">
      <c r="A11" s="89" t="s">
        <v>17516</v>
      </c>
      <c r="B11" s="89" t="e">
        <f>+#REF!</f>
        <v>#REF!</v>
      </c>
      <c r="C11" s="89"/>
      <c r="D11" s="91" t="s">
        <v>17460</v>
      </c>
      <c r="E11" s="90">
        <v>0</v>
      </c>
      <c r="F11" s="89">
        <v>0</v>
      </c>
      <c r="G11" s="89"/>
      <c r="H11" s="89" t="s">
        <v>646</v>
      </c>
      <c r="I11" s="89" t="s">
        <v>17518</v>
      </c>
      <c r="J11" s="89" t="s">
        <v>646</v>
      </c>
      <c r="K11" s="89" t="s">
        <v>17524</v>
      </c>
      <c r="M11" s="89">
        <v>2018</v>
      </c>
      <c r="N11" s="89" t="s">
        <v>17519</v>
      </c>
      <c r="O11" s="89" t="s">
        <v>17517</v>
      </c>
      <c r="P11" s="89" t="s">
        <v>646</v>
      </c>
      <c r="S11" s="89" t="s">
        <v>646</v>
      </c>
      <c r="U11" s="89" t="s">
        <v>17474</v>
      </c>
      <c r="W11" s="89" t="s">
        <v>646</v>
      </c>
      <c r="X11" s="89" t="s">
        <v>646</v>
      </c>
      <c r="Y11" s="89" t="s">
        <v>17520</v>
      </c>
      <c r="Z11" s="89" t="s">
        <v>17521</v>
      </c>
      <c r="AA11" s="89" t="s">
        <v>17522</v>
      </c>
      <c r="AB11" s="89" t="s">
        <v>17523</v>
      </c>
      <c r="AC11" s="89" t="s">
        <v>646</v>
      </c>
      <c r="AD11" s="89" t="s">
        <v>646</v>
      </c>
      <c r="AE11" s="89" t="s">
        <v>646</v>
      </c>
      <c r="AF11" s="89" t="s">
        <v>17524</v>
      </c>
      <c r="AG11" s="89" t="s">
        <v>646</v>
      </c>
      <c r="AH11" s="89" t="s">
        <v>646</v>
      </c>
      <c r="AI11" s="89" t="s">
        <v>646</v>
      </c>
      <c r="AJ11" s="89" t="s">
        <v>646</v>
      </c>
      <c r="AK11" s="89" t="s">
        <v>646</v>
      </c>
      <c r="AL11" s="89" t="s">
        <v>646</v>
      </c>
      <c r="AM11" s="89" t="s">
        <v>646</v>
      </c>
      <c r="AN11" s="89" t="s">
        <v>646</v>
      </c>
      <c r="AO11" s="89" t="s">
        <v>646</v>
      </c>
      <c r="AP11" s="89" t="s">
        <v>646</v>
      </c>
      <c r="AQ11" s="89" t="s">
        <v>646</v>
      </c>
      <c r="AR11" s="89" t="s">
        <v>646</v>
      </c>
      <c r="AS11" s="89" t="s">
        <v>646</v>
      </c>
      <c r="AT11" s="89" t="s">
        <v>646</v>
      </c>
      <c r="AU11" s="89" t="s">
        <v>646</v>
      </c>
      <c r="AV11" s="89" t="s">
        <v>646</v>
      </c>
      <c r="AW11" s="89" t="s">
        <v>646</v>
      </c>
      <c r="AX11" s="89" t="s">
        <v>646</v>
      </c>
      <c r="AY11" s="89" t="s">
        <v>646</v>
      </c>
      <c r="AZ11" s="89" t="s">
        <v>646</v>
      </c>
      <c r="BA11" s="89" t="s">
        <v>17525</v>
      </c>
      <c r="BB11" s="89" t="s">
        <v>646</v>
      </c>
      <c r="BC11" s="89" t="s">
        <v>646</v>
      </c>
      <c r="BD11" s="89" t="s">
        <v>646</v>
      </c>
      <c r="BE11" s="89">
        <v>2018</v>
      </c>
      <c r="BF11" s="89" t="s">
        <v>646</v>
      </c>
      <c r="BG11" s="89" t="s">
        <v>646</v>
      </c>
      <c r="BH11" s="89" t="s">
        <v>646</v>
      </c>
      <c r="BI11" s="89" t="s">
        <v>646</v>
      </c>
      <c r="BJ11" s="89" t="s">
        <v>646</v>
      </c>
      <c r="BK11" s="89" t="s">
        <v>646</v>
      </c>
      <c r="BL11" s="89">
        <v>777</v>
      </c>
      <c r="BM11" s="89">
        <v>782</v>
      </c>
      <c r="BN11" s="89" t="s">
        <v>646</v>
      </c>
      <c r="BO11" s="89" t="s">
        <v>646</v>
      </c>
      <c r="BP11" s="89" t="s">
        <v>646</v>
      </c>
      <c r="BQ11" s="89" t="s">
        <v>646</v>
      </c>
      <c r="BR11" s="89" t="s">
        <v>646</v>
      </c>
      <c r="BS11" s="89" t="s">
        <v>646</v>
      </c>
      <c r="BT11" s="89" t="s">
        <v>646</v>
      </c>
      <c r="BU11" s="89" t="s">
        <v>646</v>
      </c>
      <c r="BV11" s="89" t="s">
        <v>646</v>
      </c>
      <c r="BW11" s="89" t="s">
        <v>646</v>
      </c>
      <c r="BX11" s="89" t="s">
        <v>646</v>
      </c>
      <c r="BY11" s="89" t="s">
        <v>646</v>
      </c>
      <c r="BZ11" s="89" t="s">
        <v>646</v>
      </c>
      <c r="CA11" s="89" t="s">
        <v>646</v>
      </c>
      <c r="CB11" s="89" t="s">
        <v>17526</v>
      </c>
      <c r="CC11" s="89" t="str">
        <f>HYPERLINK("https%3A%2F%2Fwww.webofscience.com%2Fwos%2Fwoscc%2Ffull-record%2FWOS:000681676300101","View Full Record in Web of Science")</f>
        <v>View Full Record in Web of Science</v>
      </c>
    </row>
    <row r="12" spans="1:81" ht="13.2" hidden="1" x14ac:dyDescent="0.25">
      <c r="A12" s="89" t="s">
        <v>17527</v>
      </c>
      <c r="B12" s="89" t="e">
        <f>+#REF!</f>
        <v>#REF!</v>
      </c>
      <c r="C12" s="90"/>
      <c r="D12" s="91" t="s">
        <v>17460</v>
      </c>
      <c r="E12" s="90">
        <v>1</v>
      </c>
      <c r="F12" s="90">
        <v>0</v>
      </c>
      <c r="G12" s="90"/>
      <c r="H12" s="89" t="s">
        <v>17528</v>
      </c>
      <c r="I12" s="89" t="s">
        <v>17529</v>
      </c>
      <c r="J12" s="89" t="s">
        <v>646</v>
      </c>
      <c r="K12" s="89" t="s">
        <v>17531</v>
      </c>
      <c r="M12" s="89">
        <v>2022</v>
      </c>
      <c r="N12" s="89" t="s">
        <v>17530</v>
      </c>
      <c r="O12" s="89" t="s">
        <v>646</v>
      </c>
      <c r="P12" s="89" t="str">
        <f>HYPERLINK("http://dx.doi.org/10.1093/indlaw/dwaa031","http://dx.doi.org/10.1093/indlaw/dwaa031")</f>
        <v>http://dx.doi.org/10.1093/indlaw/dwaa031</v>
      </c>
      <c r="S12" s="89" t="s">
        <v>646</v>
      </c>
      <c r="U12" s="89" t="s">
        <v>17462</v>
      </c>
      <c r="W12" s="89" t="s">
        <v>646</v>
      </c>
      <c r="X12" s="89" t="s">
        <v>646</v>
      </c>
      <c r="Y12" s="89" t="s">
        <v>646</v>
      </c>
      <c r="Z12" s="89" t="s">
        <v>646</v>
      </c>
      <c r="AA12" s="89" t="s">
        <v>646</v>
      </c>
      <c r="AB12" s="89" t="s">
        <v>646</v>
      </c>
      <c r="AC12" s="89" t="s">
        <v>646</v>
      </c>
      <c r="AD12" s="89" t="s">
        <v>646</v>
      </c>
      <c r="AE12" s="89" t="s">
        <v>646</v>
      </c>
      <c r="AF12" s="89" t="s">
        <v>17531</v>
      </c>
      <c r="AG12" s="89" t="s">
        <v>646</v>
      </c>
      <c r="AH12" s="89" t="s">
        <v>646</v>
      </c>
      <c r="AI12" s="89" t="s">
        <v>646</v>
      </c>
      <c r="AJ12" s="89" t="s">
        <v>646</v>
      </c>
      <c r="AK12" s="89" t="s">
        <v>646</v>
      </c>
      <c r="AL12" s="89" t="s">
        <v>646</v>
      </c>
      <c r="AM12" s="89" t="s">
        <v>646</v>
      </c>
      <c r="AN12" s="89" t="s">
        <v>646</v>
      </c>
      <c r="AO12" s="89" t="s">
        <v>646</v>
      </c>
      <c r="AP12" s="89" t="s">
        <v>646</v>
      </c>
      <c r="AQ12" s="89" t="s">
        <v>646</v>
      </c>
      <c r="AR12" s="89" t="s">
        <v>646</v>
      </c>
      <c r="AS12" s="89" t="s">
        <v>646</v>
      </c>
      <c r="AT12" s="89" t="s">
        <v>646</v>
      </c>
      <c r="AU12" s="89" t="s">
        <v>646</v>
      </c>
      <c r="AV12" s="89" t="s">
        <v>646</v>
      </c>
      <c r="AW12" s="89" t="s">
        <v>646</v>
      </c>
      <c r="AX12" s="89" t="s">
        <v>646</v>
      </c>
      <c r="AY12" s="89" t="s">
        <v>17532</v>
      </c>
      <c r="AZ12" s="89" t="s">
        <v>17533</v>
      </c>
      <c r="BA12" s="89" t="s">
        <v>646</v>
      </c>
      <c r="BB12" s="89" t="s">
        <v>646</v>
      </c>
      <c r="BC12" s="89" t="s">
        <v>646</v>
      </c>
      <c r="BD12" s="89" t="s">
        <v>17534</v>
      </c>
      <c r="BE12" s="89">
        <v>2022</v>
      </c>
      <c r="BF12" s="89">
        <v>51</v>
      </c>
      <c r="BG12" s="89">
        <v>1</v>
      </c>
      <c r="BH12" s="89" t="s">
        <v>646</v>
      </c>
      <c r="BI12" s="89" t="s">
        <v>646</v>
      </c>
      <c r="BJ12" s="89" t="s">
        <v>646</v>
      </c>
      <c r="BK12" s="89" t="s">
        <v>646</v>
      </c>
      <c r="BL12" s="89">
        <v>109</v>
      </c>
      <c r="BM12" s="89">
        <v>137</v>
      </c>
      <c r="BN12" s="89" t="s">
        <v>17535</v>
      </c>
      <c r="BO12" s="89" t="str">
        <f>HYPERLINK("http://dx.doi.org/10.1093/indlaw/dwaa031","http://dx.doi.org/10.1093/indlaw/dwaa031")</f>
        <v>http://dx.doi.org/10.1093/indlaw/dwaa031</v>
      </c>
      <c r="BP12" s="89" t="s">
        <v>646</v>
      </c>
      <c r="BQ12" s="89" t="s">
        <v>17536</v>
      </c>
      <c r="BR12" s="89" t="s">
        <v>646</v>
      </c>
      <c r="BS12" s="89" t="s">
        <v>646</v>
      </c>
      <c r="BT12" s="89" t="s">
        <v>646</v>
      </c>
      <c r="BU12" s="89" t="s">
        <v>646</v>
      </c>
      <c r="BV12" s="89" t="s">
        <v>646</v>
      </c>
      <c r="BW12" s="89" t="s">
        <v>646</v>
      </c>
      <c r="BX12" s="89" t="s">
        <v>646</v>
      </c>
      <c r="BY12" s="89" t="s">
        <v>646</v>
      </c>
      <c r="BZ12" s="89" t="s">
        <v>646</v>
      </c>
      <c r="CA12" s="89" t="s">
        <v>646</v>
      </c>
      <c r="CB12" s="89" t="s">
        <v>17537</v>
      </c>
      <c r="CC12" s="89" t="str">
        <f>HYPERLINK("https%3A%2F%2Fwww.webofscience.com%2Fwos%2Fwoscc%2Ffull-record%2FWOS:000755471100001","View Full Record in Web of Science")</f>
        <v>View Full Record in Web of Science</v>
      </c>
    </row>
    <row r="13" spans="1:81" ht="13.2" hidden="1" x14ac:dyDescent="0.25">
      <c r="A13" s="89" t="s">
        <v>17538</v>
      </c>
      <c r="B13" s="89" t="e">
        <f>+#REF!</f>
        <v>#REF!</v>
      </c>
      <c r="C13" s="89"/>
      <c r="D13" s="91" t="s">
        <v>17460</v>
      </c>
      <c r="E13" s="90">
        <v>0</v>
      </c>
      <c r="F13" s="89">
        <v>0</v>
      </c>
      <c r="G13" s="89"/>
      <c r="H13" s="89" t="s">
        <v>646</v>
      </c>
      <c r="I13" s="89" t="s">
        <v>17539</v>
      </c>
      <c r="J13" s="89" t="s">
        <v>646</v>
      </c>
      <c r="K13" s="89" t="s">
        <v>17541</v>
      </c>
      <c r="M13" s="89">
        <v>2020</v>
      </c>
      <c r="N13" s="89" t="s">
        <v>17540</v>
      </c>
      <c r="O13" s="89" t="s">
        <v>646</v>
      </c>
      <c r="P13" s="89" t="s">
        <v>646</v>
      </c>
      <c r="S13" s="89" t="s">
        <v>646</v>
      </c>
      <c r="U13" s="89" t="s">
        <v>17462</v>
      </c>
      <c r="W13" s="89" t="s">
        <v>646</v>
      </c>
      <c r="X13" s="89" t="s">
        <v>646</v>
      </c>
      <c r="Y13" s="89" t="s">
        <v>646</v>
      </c>
      <c r="Z13" s="89" t="s">
        <v>646</v>
      </c>
      <c r="AA13" s="89" t="s">
        <v>646</v>
      </c>
      <c r="AB13" s="89" t="s">
        <v>646</v>
      </c>
      <c r="AC13" s="89" t="s">
        <v>646</v>
      </c>
      <c r="AD13" s="89" t="s">
        <v>646</v>
      </c>
      <c r="AE13" s="89" t="s">
        <v>646</v>
      </c>
      <c r="AF13" s="89" t="s">
        <v>17541</v>
      </c>
      <c r="AG13" s="89" t="s">
        <v>646</v>
      </c>
      <c r="AH13" s="89" t="s">
        <v>646</v>
      </c>
      <c r="AI13" s="89" t="s">
        <v>646</v>
      </c>
      <c r="AJ13" s="89" t="s">
        <v>646</v>
      </c>
      <c r="AK13" s="89" t="s">
        <v>646</v>
      </c>
      <c r="AL13" s="89" t="s">
        <v>646</v>
      </c>
      <c r="AM13" s="89" t="s">
        <v>646</v>
      </c>
      <c r="AN13" s="89" t="s">
        <v>646</v>
      </c>
      <c r="AO13" s="89" t="s">
        <v>646</v>
      </c>
      <c r="AP13" s="89" t="s">
        <v>646</v>
      </c>
      <c r="AQ13" s="89" t="s">
        <v>646</v>
      </c>
      <c r="AR13" s="89" t="s">
        <v>646</v>
      </c>
      <c r="AS13" s="89" t="s">
        <v>646</v>
      </c>
      <c r="AT13" s="89" t="s">
        <v>646</v>
      </c>
      <c r="AU13" s="89" t="s">
        <v>646</v>
      </c>
      <c r="AV13" s="89" t="s">
        <v>646</v>
      </c>
      <c r="AW13" s="89" t="s">
        <v>646</v>
      </c>
      <c r="AX13" s="89" t="s">
        <v>646</v>
      </c>
      <c r="AY13" s="89" t="s">
        <v>17542</v>
      </c>
      <c r="AZ13" s="89" t="s">
        <v>17543</v>
      </c>
      <c r="BA13" s="89" t="s">
        <v>646</v>
      </c>
      <c r="BB13" s="89" t="s">
        <v>646</v>
      </c>
      <c r="BC13" s="89" t="s">
        <v>646</v>
      </c>
      <c r="BD13" s="89" t="s">
        <v>646</v>
      </c>
      <c r="BE13" s="89">
        <v>2020</v>
      </c>
      <c r="BF13" s="89">
        <v>44</v>
      </c>
      <c r="BG13" s="89">
        <v>2</v>
      </c>
      <c r="BH13" s="89" t="s">
        <v>646</v>
      </c>
      <c r="BI13" s="89" t="s">
        <v>646</v>
      </c>
      <c r="BJ13" s="89" t="s">
        <v>646</v>
      </c>
      <c r="BK13" s="89" t="s">
        <v>646</v>
      </c>
      <c r="BL13" s="89">
        <v>502</v>
      </c>
      <c r="BM13" s="89">
        <v>536</v>
      </c>
      <c r="BN13" s="89" t="s">
        <v>646</v>
      </c>
      <c r="BO13" s="89" t="s">
        <v>646</v>
      </c>
      <c r="BP13" s="89" t="s">
        <v>646</v>
      </c>
      <c r="BQ13" s="89" t="s">
        <v>646</v>
      </c>
      <c r="BR13" s="89" t="s">
        <v>646</v>
      </c>
      <c r="BS13" s="89" t="s">
        <v>646</v>
      </c>
      <c r="BT13" s="89" t="s">
        <v>646</v>
      </c>
      <c r="BU13" s="89" t="s">
        <v>646</v>
      </c>
      <c r="BV13" s="89" t="s">
        <v>646</v>
      </c>
      <c r="BW13" s="89" t="s">
        <v>646</v>
      </c>
      <c r="BX13" s="89" t="s">
        <v>646</v>
      </c>
      <c r="BY13" s="89" t="s">
        <v>646</v>
      </c>
      <c r="BZ13" s="89" t="s">
        <v>646</v>
      </c>
      <c r="CA13" s="89" t="s">
        <v>646</v>
      </c>
      <c r="CB13" s="89" t="s">
        <v>17544</v>
      </c>
      <c r="CC13" s="89" t="str">
        <f>HYPERLINK("https%3A%2F%2Fwww.webofscience.com%2Fwos%2Fwoscc%2Ffull-record%2FWOS:000675700600001","View Full Record in Web of Science")</f>
        <v>View Full Record in Web of Science</v>
      </c>
    </row>
    <row r="14" spans="1:81" ht="13.2" hidden="1" x14ac:dyDescent="0.25">
      <c r="A14" s="89" t="s">
        <v>17545</v>
      </c>
      <c r="B14" s="89" t="e">
        <f>+#REF!</f>
        <v>#REF!</v>
      </c>
      <c r="C14" s="90"/>
      <c r="D14" s="91" t="s">
        <v>17460</v>
      </c>
      <c r="E14" s="90" t="s">
        <v>645</v>
      </c>
      <c r="F14" s="90">
        <v>0</v>
      </c>
      <c r="G14" s="90"/>
      <c r="H14" s="89" t="s">
        <v>17546</v>
      </c>
      <c r="I14" s="89" t="s">
        <v>17547</v>
      </c>
      <c r="J14" s="89" t="s">
        <v>17550</v>
      </c>
      <c r="K14" s="89" t="s">
        <v>17549</v>
      </c>
      <c r="M14" s="89">
        <v>2022</v>
      </c>
      <c r="N14" s="89" t="s">
        <v>17548</v>
      </c>
      <c r="O14" s="89" t="s">
        <v>646</v>
      </c>
      <c r="P14" s="89" t="str">
        <f>HYPERLINK("http://dx.doi.org/10.1080/09669582.2020.1868484","http://dx.doi.org/10.1080/09669582.2020.1868484")</f>
        <v>http://dx.doi.org/10.1080/09669582.2020.1868484</v>
      </c>
      <c r="S14" s="89" t="s">
        <v>646</v>
      </c>
      <c r="U14" s="89" t="s">
        <v>17462</v>
      </c>
      <c r="W14" s="89" t="s">
        <v>646</v>
      </c>
      <c r="X14" s="89" t="s">
        <v>646</v>
      </c>
      <c r="Y14" s="89" t="s">
        <v>646</v>
      </c>
      <c r="Z14" s="89" t="s">
        <v>646</v>
      </c>
      <c r="AA14" s="89" t="s">
        <v>646</v>
      </c>
      <c r="AB14" s="89" t="s">
        <v>646</v>
      </c>
      <c r="AC14" s="89" t="s">
        <v>646</v>
      </c>
      <c r="AD14" s="89" t="s">
        <v>646</v>
      </c>
      <c r="AE14" s="89" t="s">
        <v>646</v>
      </c>
      <c r="AF14" s="89" t="s">
        <v>17549</v>
      </c>
      <c r="AG14" s="89" t="s">
        <v>646</v>
      </c>
      <c r="AH14" s="89" t="s">
        <v>646</v>
      </c>
      <c r="AI14" s="89" t="s">
        <v>646</v>
      </c>
      <c r="AJ14" s="89" t="s">
        <v>646</v>
      </c>
      <c r="AK14" s="89" t="s">
        <v>17550</v>
      </c>
      <c r="AL14" s="89" t="s">
        <v>17551</v>
      </c>
      <c r="AM14" s="89" t="s">
        <v>646</v>
      </c>
      <c r="AN14" s="89" t="s">
        <v>646</v>
      </c>
      <c r="AO14" s="89" t="s">
        <v>646</v>
      </c>
      <c r="AP14" s="89" t="s">
        <v>646</v>
      </c>
      <c r="AQ14" s="89" t="s">
        <v>646</v>
      </c>
      <c r="AR14" s="89" t="s">
        <v>646</v>
      </c>
      <c r="AS14" s="89" t="s">
        <v>646</v>
      </c>
      <c r="AT14" s="89" t="s">
        <v>646</v>
      </c>
      <c r="AU14" s="89" t="s">
        <v>646</v>
      </c>
      <c r="AV14" s="89" t="s">
        <v>646</v>
      </c>
      <c r="AW14" s="89" t="s">
        <v>646</v>
      </c>
      <c r="AX14" s="89" t="s">
        <v>646</v>
      </c>
      <c r="AY14" s="89" t="s">
        <v>17552</v>
      </c>
      <c r="AZ14" s="89" t="s">
        <v>17553</v>
      </c>
      <c r="BA14" s="89" t="s">
        <v>646</v>
      </c>
      <c r="BB14" s="89" t="s">
        <v>646</v>
      </c>
      <c r="BC14" s="89" t="s">
        <v>646</v>
      </c>
      <c r="BD14" s="89" t="s">
        <v>17554</v>
      </c>
      <c r="BE14" s="89">
        <v>2022</v>
      </c>
      <c r="BF14" s="89">
        <v>30</v>
      </c>
      <c r="BG14" s="89">
        <v>5</v>
      </c>
      <c r="BH14" s="89" t="s">
        <v>646</v>
      </c>
      <c r="BI14" s="89" t="s">
        <v>646</v>
      </c>
      <c r="BJ14" s="89" t="s">
        <v>17555</v>
      </c>
      <c r="BK14" s="89" t="s">
        <v>646</v>
      </c>
      <c r="BL14" s="89">
        <v>1141</v>
      </c>
      <c r="BM14" s="89">
        <v>1158</v>
      </c>
      <c r="BN14" s="89" t="s">
        <v>646</v>
      </c>
      <c r="BO14" s="89" t="str">
        <f>HYPERLINK("http://dx.doi.org/10.1080/09669582.2020.1868484","http://dx.doi.org/10.1080/09669582.2020.1868484")</f>
        <v>http://dx.doi.org/10.1080/09669582.2020.1868484</v>
      </c>
      <c r="BP14" s="89" t="s">
        <v>646</v>
      </c>
      <c r="BQ14" s="89" t="s">
        <v>17556</v>
      </c>
      <c r="BR14" s="89" t="s">
        <v>646</v>
      </c>
      <c r="BS14" s="89" t="s">
        <v>646</v>
      </c>
      <c r="BT14" s="89" t="s">
        <v>646</v>
      </c>
      <c r="BU14" s="89" t="s">
        <v>646</v>
      </c>
      <c r="BV14" s="89" t="s">
        <v>646</v>
      </c>
      <c r="BW14" s="89" t="s">
        <v>646</v>
      </c>
      <c r="BX14" s="89" t="s">
        <v>646</v>
      </c>
      <c r="BY14" s="89" t="s">
        <v>646</v>
      </c>
      <c r="BZ14" s="89" t="s">
        <v>646</v>
      </c>
      <c r="CA14" s="89" t="s">
        <v>646</v>
      </c>
      <c r="CB14" s="89" t="s">
        <v>17557</v>
      </c>
      <c r="CC14" s="89" t="str">
        <f>HYPERLINK("https%3A%2F%2Fwww.webofscience.com%2Fwos%2Fwoscc%2Ffull-record%2FWOS:000607103400001","View Full Record in Web of Science")</f>
        <v>View Full Record in Web of Science</v>
      </c>
    </row>
    <row r="15" spans="1:81" ht="13.2" x14ac:dyDescent="0.25">
      <c r="A15" s="89" t="s">
        <v>17559</v>
      </c>
      <c r="B15" s="89" t="s">
        <v>17558</v>
      </c>
      <c r="C15" s="90">
        <v>1</v>
      </c>
      <c r="D15" s="91" t="s">
        <v>17460</v>
      </c>
      <c r="E15" s="90">
        <v>1</v>
      </c>
      <c r="F15" s="90">
        <v>1</v>
      </c>
      <c r="G15" s="90">
        <v>1</v>
      </c>
      <c r="H15" s="89" t="s">
        <v>17560</v>
      </c>
      <c r="I15" s="89" t="s">
        <v>17561</v>
      </c>
      <c r="J15" s="89" t="s">
        <v>646</v>
      </c>
      <c r="K15" s="89" t="s">
        <v>17563</v>
      </c>
      <c r="M15" s="89">
        <v>2022</v>
      </c>
      <c r="N15" s="89" t="s">
        <v>17562</v>
      </c>
      <c r="O15" s="89" t="s">
        <v>646</v>
      </c>
      <c r="P15" s="89" t="str">
        <f>HYPERLINK("http://dx.doi.org/10.1155/2022/2600160","http://dx.doi.org/10.1155/2022/2600160")</f>
        <v>http://dx.doi.org/10.1155/2022/2600160</v>
      </c>
      <c r="S15" s="89" t="s">
        <v>646</v>
      </c>
      <c r="U15" s="89" t="s">
        <v>17462</v>
      </c>
      <c r="V15" s="100"/>
      <c r="W15" s="89" t="s">
        <v>646</v>
      </c>
      <c r="X15" s="89" t="s">
        <v>646</v>
      </c>
      <c r="Y15" s="89" t="s">
        <v>646</v>
      </c>
      <c r="Z15" s="89" t="s">
        <v>646</v>
      </c>
      <c r="AA15" s="89" t="s">
        <v>646</v>
      </c>
      <c r="AB15" s="89" t="s">
        <v>646</v>
      </c>
      <c r="AC15" s="89" t="s">
        <v>646</v>
      </c>
      <c r="AD15" s="89" t="s">
        <v>646</v>
      </c>
      <c r="AE15" s="89" t="s">
        <v>646</v>
      </c>
      <c r="AF15" s="89" t="s">
        <v>17563</v>
      </c>
      <c r="AG15" s="89" t="s">
        <v>646</v>
      </c>
      <c r="AH15" s="89" t="s">
        <v>646</v>
      </c>
      <c r="AI15" s="89" t="s">
        <v>646</v>
      </c>
      <c r="AJ15" s="89" t="s">
        <v>646</v>
      </c>
      <c r="AK15" s="89" t="s">
        <v>646</v>
      </c>
      <c r="AL15" s="89" t="s">
        <v>17564</v>
      </c>
      <c r="AM15" s="89" t="s">
        <v>646</v>
      </c>
      <c r="AN15" s="89" t="s">
        <v>646</v>
      </c>
      <c r="AO15" s="89" t="s">
        <v>646</v>
      </c>
      <c r="AP15" s="89" t="s">
        <v>646</v>
      </c>
      <c r="AQ15" s="89" t="s">
        <v>646</v>
      </c>
      <c r="AR15" s="89" t="s">
        <v>646</v>
      </c>
      <c r="AS15" s="89" t="s">
        <v>646</v>
      </c>
      <c r="AT15" s="89" t="s">
        <v>646</v>
      </c>
      <c r="AU15" s="89" t="s">
        <v>646</v>
      </c>
      <c r="AV15" s="89" t="s">
        <v>646</v>
      </c>
      <c r="AW15" s="89" t="s">
        <v>646</v>
      </c>
      <c r="AX15" s="89" t="s">
        <v>646</v>
      </c>
      <c r="AY15" s="89" t="s">
        <v>17565</v>
      </c>
      <c r="AZ15" s="89" t="s">
        <v>17566</v>
      </c>
      <c r="BA15" s="89" t="s">
        <v>646</v>
      </c>
      <c r="BB15" s="89" t="s">
        <v>646</v>
      </c>
      <c r="BC15" s="89" t="s">
        <v>646</v>
      </c>
      <c r="BD15" s="89" t="s">
        <v>17567</v>
      </c>
      <c r="BE15" s="89">
        <v>2022</v>
      </c>
      <c r="BF15" s="89">
        <v>2022</v>
      </c>
      <c r="BG15" s="89" t="s">
        <v>646</v>
      </c>
      <c r="BH15" s="89" t="s">
        <v>646</v>
      </c>
      <c r="BI15" s="89" t="s">
        <v>646</v>
      </c>
      <c r="BJ15" s="89" t="s">
        <v>646</v>
      </c>
      <c r="BK15" s="89" t="s">
        <v>646</v>
      </c>
      <c r="BL15" s="89" t="s">
        <v>646</v>
      </c>
      <c r="BM15" s="89" t="s">
        <v>646</v>
      </c>
      <c r="BN15" s="89">
        <v>2600160</v>
      </c>
      <c r="BO15" s="89" t="str">
        <f>HYPERLINK("http://dx.doi.org/10.1155/2022/2600160","http://dx.doi.org/10.1155/2022/2600160")</f>
        <v>http://dx.doi.org/10.1155/2022/2600160</v>
      </c>
      <c r="BP15" s="89" t="s">
        <v>646</v>
      </c>
      <c r="BQ15" s="89" t="s">
        <v>646</v>
      </c>
      <c r="BR15" s="89" t="s">
        <v>646</v>
      </c>
      <c r="BS15" s="89" t="s">
        <v>646</v>
      </c>
      <c r="BT15" s="89" t="s">
        <v>646</v>
      </c>
      <c r="BU15" s="89" t="s">
        <v>646</v>
      </c>
      <c r="BV15" s="89" t="s">
        <v>646</v>
      </c>
      <c r="BW15" s="89" t="s">
        <v>646</v>
      </c>
      <c r="BX15" s="89" t="s">
        <v>646</v>
      </c>
      <c r="BY15" s="89" t="s">
        <v>646</v>
      </c>
      <c r="BZ15" s="89" t="s">
        <v>646</v>
      </c>
      <c r="CA15" s="89" t="s">
        <v>646</v>
      </c>
      <c r="CB15" s="89" t="s">
        <v>17568</v>
      </c>
      <c r="CC15" s="89" t="str">
        <f>HYPERLINK("https%3A%2F%2Fwww.webofscience.com%2Fwos%2Fwoscc%2Ffull-record%2FWOS:000773754600007","View Full Record in Web of Science")</f>
        <v>View Full Record in Web of Science</v>
      </c>
    </row>
    <row r="16" spans="1:81" ht="13.2" hidden="1" x14ac:dyDescent="0.25">
      <c r="A16" s="89" t="s">
        <v>17569</v>
      </c>
      <c r="B16" s="89" t="e">
        <f>+#REF!</f>
        <v>#REF!</v>
      </c>
      <c r="C16" s="89"/>
      <c r="D16" s="91" t="s">
        <v>17460</v>
      </c>
      <c r="E16" s="90">
        <v>0</v>
      </c>
      <c r="F16" s="89">
        <v>0</v>
      </c>
      <c r="G16" s="89"/>
      <c r="H16" s="89" t="s">
        <v>17570</v>
      </c>
      <c r="I16" s="89" t="s">
        <v>17571</v>
      </c>
      <c r="J16" s="89" t="s">
        <v>17574</v>
      </c>
      <c r="K16" s="89" t="s">
        <v>17573</v>
      </c>
      <c r="M16" s="89">
        <v>2021</v>
      </c>
      <c r="N16" s="89" t="s">
        <v>17572</v>
      </c>
      <c r="O16" s="89" t="s">
        <v>646</v>
      </c>
      <c r="P16" s="89" t="str">
        <f>HYPERLINK("http://dx.doi.org/10.21272/mmi.2021.3-04","http://dx.doi.org/10.21272/mmi.2021.3-04")</f>
        <v>http://dx.doi.org/10.21272/mmi.2021.3-04</v>
      </c>
      <c r="S16" s="89" t="s">
        <v>646</v>
      </c>
      <c r="U16" s="89" t="s">
        <v>17462</v>
      </c>
      <c r="W16" s="89" t="s">
        <v>646</v>
      </c>
      <c r="X16" s="89" t="s">
        <v>646</v>
      </c>
      <c r="Y16" s="89" t="s">
        <v>646</v>
      </c>
      <c r="Z16" s="89" t="s">
        <v>646</v>
      </c>
      <c r="AA16" s="89" t="s">
        <v>646</v>
      </c>
      <c r="AB16" s="89" t="s">
        <v>646</v>
      </c>
      <c r="AC16" s="89" t="s">
        <v>646</v>
      </c>
      <c r="AD16" s="89" t="s">
        <v>646</v>
      </c>
      <c r="AE16" s="89" t="s">
        <v>646</v>
      </c>
      <c r="AF16" s="89" t="s">
        <v>17573</v>
      </c>
      <c r="AG16" s="89" t="s">
        <v>646</v>
      </c>
      <c r="AH16" s="89" t="s">
        <v>646</v>
      </c>
      <c r="AI16" s="89" t="s">
        <v>646</v>
      </c>
      <c r="AJ16" s="89" t="s">
        <v>646</v>
      </c>
      <c r="AK16" s="89" t="s">
        <v>17574</v>
      </c>
      <c r="AL16" s="89" t="s">
        <v>17575</v>
      </c>
      <c r="AM16" s="89" t="s">
        <v>646</v>
      </c>
      <c r="AN16" s="89" t="s">
        <v>646</v>
      </c>
      <c r="AO16" s="89" t="s">
        <v>646</v>
      </c>
      <c r="AP16" s="89" t="s">
        <v>646</v>
      </c>
      <c r="AQ16" s="89" t="s">
        <v>646</v>
      </c>
      <c r="AR16" s="89" t="s">
        <v>646</v>
      </c>
      <c r="AS16" s="89" t="s">
        <v>646</v>
      </c>
      <c r="AT16" s="89" t="s">
        <v>646</v>
      </c>
      <c r="AU16" s="89" t="s">
        <v>646</v>
      </c>
      <c r="AV16" s="89" t="s">
        <v>646</v>
      </c>
      <c r="AW16" s="89" t="s">
        <v>646</v>
      </c>
      <c r="AX16" s="89" t="s">
        <v>646</v>
      </c>
      <c r="AY16" s="89" t="s">
        <v>17576</v>
      </c>
      <c r="AZ16" s="89" t="s">
        <v>646</v>
      </c>
      <c r="BA16" s="89" t="s">
        <v>646</v>
      </c>
      <c r="BB16" s="89" t="s">
        <v>646</v>
      </c>
      <c r="BC16" s="89" t="s">
        <v>646</v>
      </c>
      <c r="BD16" s="89" t="s">
        <v>646</v>
      </c>
      <c r="BE16" s="89">
        <v>2021</v>
      </c>
      <c r="BF16" s="89" t="s">
        <v>646</v>
      </c>
      <c r="BG16" s="89">
        <v>3</v>
      </c>
      <c r="BH16" s="89" t="s">
        <v>646</v>
      </c>
      <c r="BI16" s="89" t="s">
        <v>646</v>
      </c>
      <c r="BJ16" s="89" t="s">
        <v>646</v>
      </c>
      <c r="BK16" s="89" t="s">
        <v>646</v>
      </c>
      <c r="BL16" s="89">
        <v>43</v>
      </c>
      <c r="BM16" s="89">
        <v>52</v>
      </c>
      <c r="BN16" s="89" t="s">
        <v>646</v>
      </c>
      <c r="BO16" s="89" t="str">
        <f>HYPERLINK("http://dx.doi.org/10.21272/mmi.2021.3-04","http://dx.doi.org/10.21272/mmi.2021.3-04")</f>
        <v>http://dx.doi.org/10.21272/mmi.2021.3-04</v>
      </c>
      <c r="BP16" s="89" t="s">
        <v>646</v>
      </c>
      <c r="BQ16" s="89" t="s">
        <v>646</v>
      </c>
      <c r="BR16" s="89" t="s">
        <v>646</v>
      </c>
      <c r="BS16" s="89" t="s">
        <v>646</v>
      </c>
      <c r="BT16" s="89" t="s">
        <v>646</v>
      </c>
      <c r="BU16" s="89" t="s">
        <v>646</v>
      </c>
      <c r="BV16" s="89" t="s">
        <v>646</v>
      </c>
      <c r="BW16" s="89" t="s">
        <v>646</v>
      </c>
      <c r="BX16" s="89" t="s">
        <v>646</v>
      </c>
      <c r="BY16" s="89" t="s">
        <v>646</v>
      </c>
      <c r="BZ16" s="89" t="s">
        <v>646</v>
      </c>
      <c r="CA16" s="89" t="s">
        <v>646</v>
      </c>
      <c r="CB16" s="89" t="s">
        <v>17577</v>
      </c>
      <c r="CC16" s="89" t="str">
        <f>HYPERLINK("https%3A%2F%2Fwww.webofscience.com%2Fwos%2Fwoscc%2Ffull-record%2FWOS:000704886600004","View Full Record in Web of Science")</f>
        <v>View Full Record in Web of Science</v>
      </c>
    </row>
    <row r="17" spans="1:81" ht="13.2" hidden="1" x14ac:dyDescent="0.25">
      <c r="A17" s="89" t="s">
        <v>17578</v>
      </c>
      <c r="B17" s="89" t="e">
        <f>+#REF!</f>
        <v>#REF!</v>
      </c>
      <c r="C17" s="90">
        <v>1</v>
      </c>
      <c r="D17" s="91" t="s">
        <v>17460</v>
      </c>
      <c r="E17" s="90" t="s">
        <v>645</v>
      </c>
      <c r="F17" s="90">
        <v>1</v>
      </c>
      <c r="G17" s="90">
        <v>0</v>
      </c>
      <c r="H17" s="89" t="s">
        <v>17579</v>
      </c>
      <c r="I17" s="89" t="s">
        <v>17580</v>
      </c>
      <c r="J17" s="89" t="s">
        <v>646</v>
      </c>
      <c r="K17" s="89" t="s">
        <v>17582</v>
      </c>
      <c r="M17" s="89">
        <v>2021</v>
      </c>
      <c r="N17" s="89" t="s">
        <v>17581</v>
      </c>
      <c r="O17" s="89" t="s">
        <v>646</v>
      </c>
      <c r="P17" s="89" t="str">
        <f>HYPERLINK("http://dx.doi.org/10.30525/2256-0742/2021-7-1-84-92","http://dx.doi.org/10.30525/2256-0742/2021-7-1-84-92")</f>
        <v>http://dx.doi.org/10.30525/2256-0742/2021-7-1-84-92</v>
      </c>
      <c r="S17" s="89" t="s">
        <v>646</v>
      </c>
      <c r="U17" s="89" t="s">
        <v>17462</v>
      </c>
      <c r="W17" s="89" t="s">
        <v>646</v>
      </c>
      <c r="X17" s="89" t="s">
        <v>646</v>
      </c>
      <c r="Y17" s="89" t="s">
        <v>646</v>
      </c>
      <c r="Z17" s="89" t="s">
        <v>646</v>
      </c>
      <c r="AA17" s="89" t="s">
        <v>646</v>
      </c>
      <c r="AB17" s="89" t="s">
        <v>646</v>
      </c>
      <c r="AC17" s="89" t="s">
        <v>646</v>
      </c>
      <c r="AD17" s="89" t="s">
        <v>646</v>
      </c>
      <c r="AE17" s="89" t="s">
        <v>646</v>
      </c>
      <c r="AF17" s="89" t="s">
        <v>17582</v>
      </c>
      <c r="AG17" s="89" t="s">
        <v>646</v>
      </c>
      <c r="AH17" s="89" t="s">
        <v>646</v>
      </c>
      <c r="AI17" s="89" t="s">
        <v>646</v>
      </c>
      <c r="AJ17" s="89" t="s">
        <v>646</v>
      </c>
      <c r="AK17" s="89" t="s">
        <v>646</v>
      </c>
      <c r="AL17" s="89" t="s">
        <v>17583</v>
      </c>
      <c r="AM17" s="89" t="s">
        <v>646</v>
      </c>
      <c r="AN17" s="89" t="s">
        <v>646</v>
      </c>
      <c r="AO17" s="89" t="s">
        <v>646</v>
      </c>
      <c r="AP17" s="89" t="s">
        <v>646</v>
      </c>
      <c r="AQ17" s="89" t="s">
        <v>646</v>
      </c>
      <c r="AR17" s="89" t="s">
        <v>646</v>
      </c>
      <c r="AS17" s="89" t="s">
        <v>646</v>
      </c>
      <c r="AT17" s="89" t="s">
        <v>646</v>
      </c>
      <c r="AU17" s="89" t="s">
        <v>646</v>
      </c>
      <c r="AV17" s="89" t="s">
        <v>646</v>
      </c>
      <c r="AW17" s="89" t="s">
        <v>646</v>
      </c>
      <c r="AX17" s="89" t="s">
        <v>646</v>
      </c>
      <c r="AY17" s="89" t="s">
        <v>17584</v>
      </c>
      <c r="AZ17" s="89" t="s">
        <v>17585</v>
      </c>
      <c r="BA17" s="89" t="s">
        <v>646</v>
      </c>
      <c r="BB17" s="89" t="s">
        <v>646</v>
      </c>
      <c r="BC17" s="89" t="s">
        <v>646</v>
      </c>
      <c r="BD17" s="89" t="s">
        <v>646</v>
      </c>
      <c r="BE17" s="89">
        <v>2021</v>
      </c>
      <c r="BF17" s="89">
        <v>7</v>
      </c>
      <c r="BG17" s="89">
        <v>1</v>
      </c>
      <c r="BH17" s="89" t="s">
        <v>646</v>
      </c>
      <c r="BI17" s="89" t="s">
        <v>646</v>
      </c>
      <c r="BJ17" s="89" t="s">
        <v>646</v>
      </c>
      <c r="BK17" s="89" t="s">
        <v>646</v>
      </c>
      <c r="BL17" s="89">
        <v>84</v>
      </c>
      <c r="BM17" s="89">
        <v>92</v>
      </c>
      <c r="BN17" s="89" t="s">
        <v>646</v>
      </c>
      <c r="BO17" s="89" t="str">
        <f>HYPERLINK("http://dx.doi.org/10.30525/2256-0742/2021-7-1-84-92","http://dx.doi.org/10.30525/2256-0742/2021-7-1-84-92")</f>
        <v>http://dx.doi.org/10.30525/2256-0742/2021-7-1-84-92</v>
      </c>
      <c r="BP17" s="89" t="s">
        <v>646</v>
      </c>
      <c r="BQ17" s="89" t="s">
        <v>646</v>
      </c>
      <c r="BR17" s="89" t="s">
        <v>646</v>
      </c>
      <c r="BS17" s="89" t="s">
        <v>646</v>
      </c>
      <c r="BT17" s="89" t="s">
        <v>646</v>
      </c>
      <c r="BU17" s="89" t="s">
        <v>646</v>
      </c>
      <c r="BV17" s="89" t="s">
        <v>646</v>
      </c>
      <c r="BW17" s="89" t="s">
        <v>646</v>
      </c>
      <c r="BX17" s="89" t="s">
        <v>646</v>
      </c>
      <c r="BY17" s="89" t="s">
        <v>646</v>
      </c>
      <c r="BZ17" s="89" t="s">
        <v>646</v>
      </c>
      <c r="CA17" s="89" t="s">
        <v>646</v>
      </c>
      <c r="CB17" s="89" t="s">
        <v>17586</v>
      </c>
      <c r="CC17" s="89" t="str">
        <f>HYPERLINK("https%3A%2F%2Fwww.webofscience.com%2Fwos%2Fwoscc%2Ffull-record%2FWOS:000636482900010","View Full Record in Web of Science")</f>
        <v>View Full Record in Web of Science</v>
      </c>
    </row>
    <row r="18" spans="1:81" ht="13.2" hidden="1" x14ac:dyDescent="0.25">
      <c r="A18" s="89" t="s">
        <v>17587</v>
      </c>
      <c r="B18" s="89" t="e">
        <f>+#REF!</f>
        <v>#REF!</v>
      </c>
      <c r="C18" s="90"/>
      <c r="D18" s="91" t="s">
        <v>17460</v>
      </c>
      <c r="E18" s="90" t="s">
        <v>645</v>
      </c>
      <c r="F18" s="90">
        <v>0</v>
      </c>
      <c r="G18" s="90"/>
      <c r="H18" s="89" t="s">
        <v>17588</v>
      </c>
      <c r="I18" s="89" t="s">
        <v>17589</v>
      </c>
      <c r="J18" s="89" t="s">
        <v>17592</v>
      </c>
      <c r="K18" s="89" t="s">
        <v>17591</v>
      </c>
      <c r="M18" s="89">
        <v>2021</v>
      </c>
      <c r="N18" s="89" t="s">
        <v>17590</v>
      </c>
      <c r="O18" s="89" t="s">
        <v>646</v>
      </c>
      <c r="P18" s="89" t="str">
        <f>HYPERLINK("http://dx.doi.org/10.1080/2157930X.2021.1975361","http://dx.doi.org/10.1080/2157930X.2021.1975361")</f>
        <v>http://dx.doi.org/10.1080/2157930X.2021.1975361</v>
      </c>
      <c r="S18" s="89" t="s">
        <v>646</v>
      </c>
      <c r="U18" s="89" t="s">
        <v>17462</v>
      </c>
      <c r="W18" s="89" t="s">
        <v>646</v>
      </c>
      <c r="X18" s="89" t="s">
        <v>646</v>
      </c>
      <c r="Y18" s="89" t="s">
        <v>646</v>
      </c>
      <c r="Z18" s="89" t="s">
        <v>646</v>
      </c>
      <c r="AA18" s="89" t="s">
        <v>646</v>
      </c>
      <c r="AB18" s="89" t="s">
        <v>646</v>
      </c>
      <c r="AC18" s="89" t="s">
        <v>646</v>
      </c>
      <c r="AD18" s="89" t="s">
        <v>646</v>
      </c>
      <c r="AE18" s="89" t="s">
        <v>646</v>
      </c>
      <c r="AF18" s="89" t="s">
        <v>17591</v>
      </c>
      <c r="AG18" s="89" t="s">
        <v>646</v>
      </c>
      <c r="AH18" s="89" t="s">
        <v>646</v>
      </c>
      <c r="AI18" s="89" t="s">
        <v>646</v>
      </c>
      <c r="AJ18" s="89" t="s">
        <v>646</v>
      </c>
      <c r="AK18" s="89" t="s">
        <v>17592</v>
      </c>
      <c r="AL18" s="89" t="s">
        <v>17593</v>
      </c>
      <c r="AM18" s="89" t="s">
        <v>646</v>
      </c>
      <c r="AN18" s="89" t="s">
        <v>646</v>
      </c>
      <c r="AO18" s="89" t="s">
        <v>646</v>
      </c>
      <c r="AP18" s="89" t="s">
        <v>646</v>
      </c>
      <c r="AQ18" s="89" t="s">
        <v>646</v>
      </c>
      <c r="AR18" s="89" t="s">
        <v>646</v>
      </c>
      <c r="AS18" s="89" t="s">
        <v>646</v>
      </c>
      <c r="AT18" s="89" t="s">
        <v>646</v>
      </c>
      <c r="AU18" s="89" t="s">
        <v>646</v>
      </c>
      <c r="AV18" s="89" t="s">
        <v>646</v>
      </c>
      <c r="AW18" s="89" t="s">
        <v>646</v>
      </c>
      <c r="AX18" s="89" t="s">
        <v>646</v>
      </c>
      <c r="AY18" s="89" t="s">
        <v>17594</v>
      </c>
      <c r="AZ18" s="89" t="s">
        <v>17595</v>
      </c>
      <c r="BA18" s="89" t="s">
        <v>646</v>
      </c>
      <c r="BB18" s="89" t="s">
        <v>646</v>
      </c>
      <c r="BC18" s="89" t="s">
        <v>646</v>
      </c>
      <c r="BD18" s="89" t="s">
        <v>17596</v>
      </c>
      <c r="BE18" s="89">
        <v>2021</v>
      </c>
      <c r="BF18" s="89">
        <v>11</v>
      </c>
      <c r="BG18" s="89" t="s">
        <v>17597</v>
      </c>
      <c r="BH18" s="89" t="s">
        <v>646</v>
      </c>
      <c r="BI18" s="89" t="s">
        <v>646</v>
      </c>
      <c r="BJ18" s="89" t="s">
        <v>17555</v>
      </c>
      <c r="BK18" s="89" t="s">
        <v>646</v>
      </c>
      <c r="BL18" s="89">
        <v>303</v>
      </c>
      <c r="BM18" s="89">
        <v>321</v>
      </c>
      <c r="BN18" s="89" t="s">
        <v>646</v>
      </c>
      <c r="BO18" s="89" t="str">
        <f>HYPERLINK("http://dx.doi.org/10.1080/2157930X.2021.1975361","http://dx.doi.org/10.1080/2157930X.2021.1975361")</f>
        <v>http://dx.doi.org/10.1080/2157930X.2021.1975361</v>
      </c>
      <c r="BP18" s="89" t="s">
        <v>646</v>
      </c>
      <c r="BQ18" s="89" t="s">
        <v>17598</v>
      </c>
      <c r="BR18" s="89" t="s">
        <v>646</v>
      </c>
      <c r="BS18" s="89" t="s">
        <v>646</v>
      </c>
      <c r="BT18" s="89" t="s">
        <v>646</v>
      </c>
      <c r="BU18" s="89" t="s">
        <v>646</v>
      </c>
      <c r="BV18" s="89" t="s">
        <v>646</v>
      </c>
      <c r="BW18" s="89" t="s">
        <v>646</v>
      </c>
      <c r="BX18" s="89" t="s">
        <v>646</v>
      </c>
      <c r="BY18" s="89" t="s">
        <v>646</v>
      </c>
      <c r="BZ18" s="89" t="s">
        <v>646</v>
      </c>
      <c r="CA18" s="89" t="s">
        <v>646</v>
      </c>
      <c r="CB18" s="89" t="s">
        <v>17599</v>
      </c>
      <c r="CC18" s="89" t="str">
        <f>HYPERLINK("https%3A%2F%2Fwww.webofscience.com%2Fwos%2Fwoscc%2Ffull-record%2FWOS:000700790200001","View Full Record in Web of Science")</f>
        <v>View Full Record in Web of Science</v>
      </c>
    </row>
    <row r="19" spans="1:81" ht="13.2" hidden="1" x14ac:dyDescent="0.25">
      <c r="A19" s="89" t="s">
        <v>17600</v>
      </c>
      <c r="B19" s="89" t="e">
        <f>+#REF!</f>
        <v>#REF!</v>
      </c>
      <c r="C19" s="89"/>
      <c r="D19" s="91" t="s">
        <v>17460</v>
      </c>
      <c r="E19" s="90">
        <v>0</v>
      </c>
      <c r="F19" s="89">
        <v>0</v>
      </c>
      <c r="G19" s="89"/>
      <c r="H19" s="89" t="s">
        <v>646</v>
      </c>
      <c r="I19" s="89" t="s">
        <v>17601</v>
      </c>
      <c r="J19" s="89" t="s">
        <v>646</v>
      </c>
      <c r="K19" s="89" t="s">
        <v>17603</v>
      </c>
      <c r="M19" s="89">
        <v>2021</v>
      </c>
      <c r="N19" s="89" t="s">
        <v>17602</v>
      </c>
      <c r="O19" s="89" t="s">
        <v>646</v>
      </c>
      <c r="P19" s="89" t="s">
        <v>646</v>
      </c>
      <c r="S19" s="89" t="s">
        <v>646</v>
      </c>
      <c r="U19" s="89" t="s">
        <v>17462</v>
      </c>
      <c r="W19" s="89" t="s">
        <v>646</v>
      </c>
      <c r="X19" s="89" t="s">
        <v>646</v>
      </c>
      <c r="Y19" s="89" t="s">
        <v>646</v>
      </c>
      <c r="Z19" s="89" t="s">
        <v>646</v>
      </c>
      <c r="AA19" s="89" t="s">
        <v>646</v>
      </c>
      <c r="AB19" s="89" t="s">
        <v>646</v>
      </c>
      <c r="AC19" s="89" t="s">
        <v>646</v>
      </c>
      <c r="AD19" s="89" t="s">
        <v>646</v>
      </c>
      <c r="AE19" s="89" t="s">
        <v>646</v>
      </c>
      <c r="AF19" s="89" t="s">
        <v>17603</v>
      </c>
      <c r="AG19" s="89" t="s">
        <v>646</v>
      </c>
      <c r="AH19" s="89" t="s">
        <v>646</v>
      </c>
      <c r="AI19" s="89" t="s">
        <v>646</v>
      </c>
      <c r="AJ19" s="89" t="s">
        <v>646</v>
      </c>
      <c r="AK19" s="89" t="s">
        <v>646</v>
      </c>
      <c r="AL19" s="89" t="s">
        <v>646</v>
      </c>
      <c r="AM19" s="89" t="s">
        <v>646</v>
      </c>
      <c r="AN19" s="89" t="s">
        <v>646</v>
      </c>
      <c r="AO19" s="89" t="s">
        <v>646</v>
      </c>
      <c r="AP19" s="89" t="s">
        <v>646</v>
      </c>
      <c r="AQ19" s="89" t="s">
        <v>646</v>
      </c>
      <c r="AR19" s="89" t="s">
        <v>646</v>
      </c>
      <c r="AS19" s="89" t="s">
        <v>646</v>
      </c>
      <c r="AT19" s="89" t="s">
        <v>646</v>
      </c>
      <c r="AU19" s="89" t="s">
        <v>646</v>
      </c>
      <c r="AV19" s="89" t="s">
        <v>646</v>
      </c>
      <c r="AW19" s="89" t="s">
        <v>646</v>
      </c>
      <c r="AX19" s="89" t="s">
        <v>646</v>
      </c>
      <c r="AY19" s="89" t="s">
        <v>17604</v>
      </c>
      <c r="AZ19" s="89" t="s">
        <v>646</v>
      </c>
      <c r="BA19" s="89" t="s">
        <v>646</v>
      </c>
      <c r="BB19" s="89" t="s">
        <v>646</v>
      </c>
      <c r="BC19" s="89" t="s">
        <v>646</v>
      </c>
      <c r="BD19" s="89" t="s">
        <v>646</v>
      </c>
      <c r="BE19" s="89">
        <v>2021</v>
      </c>
      <c r="BF19" s="89">
        <v>15</v>
      </c>
      <c r="BG19" s="89" t="s">
        <v>646</v>
      </c>
      <c r="BH19" s="89" t="s">
        <v>646</v>
      </c>
      <c r="BI19" s="89" t="s">
        <v>646</v>
      </c>
      <c r="BJ19" s="89" t="s">
        <v>646</v>
      </c>
      <c r="BK19" s="89" t="s">
        <v>646</v>
      </c>
      <c r="BL19" s="89">
        <v>4383</v>
      </c>
      <c r="BM19" s="89">
        <v>4398</v>
      </c>
      <c r="BN19" s="89" t="s">
        <v>646</v>
      </c>
      <c r="BO19" s="89" t="s">
        <v>646</v>
      </c>
      <c r="BP19" s="89" t="s">
        <v>646</v>
      </c>
      <c r="BQ19" s="89" t="s">
        <v>646</v>
      </c>
      <c r="BR19" s="89" t="s">
        <v>646</v>
      </c>
      <c r="BS19" s="89" t="s">
        <v>646</v>
      </c>
      <c r="BT19" s="89" t="s">
        <v>646</v>
      </c>
      <c r="BU19" s="89" t="s">
        <v>646</v>
      </c>
      <c r="BV19" s="89" t="s">
        <v>646</v>
      </c>
      <c r="BW19" s="89" t="s">
        <v>646</v>
      </c>
      <c r="BX19" s="89" t="s">
        <v>646</v>
      </c>
      <c r="BY19" s="89" t="s">
        <v>646</v>
      </c>
      <c r="BZ19" s="89" t="s">
        <v>646</v>
      </c>
      <c r="CA19" s="89" t="s">
        <v>646</v>
      </c>
      <c r="CB19" s="89" t="s">
        <v>17605</v>
      </c>
      <c r="CC19" s="89" t="str">
        <f>HYPERLINK("https%3A%2F%2Fwww.webofscience.com%2Fwos%2Fwoscc%2Ffull-record%2FWOS:000729944300127","View Full Record in Web of Science")</f>
        <v>View Full Record in Web of Science</v>
      </c>
    </row>
    <row r="20" spans="1:81" ht="13.2" hidden="1" x14ac:dyDescent="0.25">
      <c r="A20" s="89" t="s">
        <v>17606</v>
      </c>
      <c r="B20" s="89" t="e">
        <f>+#REF!</f>
        <v>#REF!</v>
      </c>
      <c r="C20" s="89"/>
      <c r="D20" s="91" t="s">
        <v>17460</v>
      </c>
      <c r="E20" s="90">
        <v>0</v>
      </c>
      <c r="F20" s="89">
        <v>0</v>
      </c>
      <c r="G20" s="89"/>
      <c r="H20" s="89" t="s">
        <v>17607</v>
      </c>
      <c r="I20" s="89" t="s">
        <v>17608</v>
      </c>
      <c r="J20" s="89" t="s">
        <v>17611</v>
      </c>
      <c r="K20" s="89" t="s">
        <v>17610</v>
      </c>
      <c r="M20" s="89">
        <v>2021</v>
      </c>
      <c r="N20" s="89" t="s">
        <v>17609</v>
      </c>
      <c r="O20" s="89" t="s">
        <v>646</v>
      </c>
      <c r="P20" s="89" t="str">
        <f>HYPERLINK("http://dx.doi.org/10.1016/j.cpa.2020.102202","http://dx.doi.org/10.1016/j.cpa.2020.102202")</f>
        <v>http://dx.doi.org/10.1016/j.cpa.2020.102202</v>
      </c>
      <c r="S20" s="89" t="s">
        <v>646</v>
      </c>
      <c r="U20" s="89" t="s">
        <v>17462</v>
      </c>
      <c r="W20" s="89" t="s">
        <v>646</v>
      </c>
      <c r="X20" s="89" t="s">
        <v>646</v>
      </c>
      <c r="Y20" s="89" t="s">
        <v>646</v>
      </c>
      <c r="Z20" s="89" t="s">
        <v>646</v>
      </c>
      <c r="AA20" s="89" t="s">
        <v>646</v>
      </c>
      <c r="AB20" s="89" t="s">
        <v>646</v>
      </c>
      <c r="AC20" s="89" t="s">
        <v>646</v>
      </c>
      <c r="AD20" s="89" t="s">
        <v>646</v>
      </c>
      <c r="AE20" s="89" t="s">
        <v>646</v>
      </c>
      <c r="AF20" s="89" t="s">
        <v>17610</v>
      </c>
      <c r="AG20" s="89" t="s">
        <v>646</v>
      </c>
      <c r="AH20" s="89" t="s">
        <v>646</v>
      </c>
      <c r="AI20" s="89" t="s">
        <v>646</v>
      </c>
      <c r="AJ20" s="89" t="s">
        <v>646</v>
      </c>
      <c r="AK20" s="89" t="s">
        <v>17611</v>
      </c>
      <c r="AL20" s="89" t="s">
        <v>17612</v>
      </c>
      <c r="AM20" s="89" t="s">
        <v>646</v>
      </c>
      <c r="AN20" s="89" t="s">
        <v>646</v>
      </c>
      <c r="AO20" s="89" t="s">
        <v>646</v>
      </c>
      <c r="AP20" s="89" t="s">
        <v>646</v>
      </c>
      <c r="AQ20" s="89" t="s">
        <v>646</v>
      </c>
      <c r="AR20" s="89" t="s">
        <v>646</v>
      </c>
      <c r="AS20" s="89" t="s">
        <v>646</v>
      </c>
      <c r="AT20" s="89" t="s">
        <v>646</v>
      </c>
      <c r="AU20" s="89" t="s">
        <v>646</v>
      </c>
      <c r="AV20" s="89" t="s">
        <v>646</v>
      </c>
      <c r="AW20" s="89" t="s">
        <v>646</v>
      </c>
      <c r="AX20" s="89" t="s">
        <v>646</v>
      </c>
      <c r="AY20" s="89" t="s">
        <v>17613</v>
      </c>
      <c r="AZ20" s="89" t="s">
        <v>17614</v>
      </c>
      <c r="BA20" s="89" t="s">
        <v>646</v>
      </c>
      <c r="BB20" s="89" t="s">
        <v>646</v>
      </c>
      <c r="BC20" s="89" t="s">
        <v>646</v>
      </c>
      <c r="BD20" s="89" t="s">
        <v>17615</v>
      </c>
      <c r="BE20" s="89">
        <v>2021</v>
      </c>
      <c r="BF20" s="89">
        <v>81</v>
      </c>
      <c r="BG20" s="89" t="s">
        <v>646</v>
      </c>
      <c r="BH20" s="89" t="s">
        <v>646</v>
      </c>
      <c r="BI20" s="89" t="s">
        <v>646</v>
      </c>
      <c r="BJ20" s="89" t="s">
        <v>646</v>
      </c>
      <c r="BK20" s="89" t="s">
        <v>646</v>
      </c>
      <c r="BL20" s="89" t="s">
        <v>646</v>
      </c>
      <c r="BM20" s="89" t="s">
        <v>646</v>
      </c>
      <c r="BN20" s="89">
        <v>102202</v>
      </c>
      <c r="BO20" s="89" t="str">
        <f>HYPERLINK("http://dx.doi.org/10.1016/j.cpa.2020.102202","http://dx.doi.org/10.1016/j.cpa.2020.102202")</f>
        <v>http://dx.doi.org/10.1016/j.cpa.2020.102202</v>
      </c>
      <c r="BP20" s="89" t="s">
        <v>646</v>
      </c>
      <c r="BQ20" s="89" t="s">
        <v>17616</v>
      </c>
      <c r="BR20" s="89" t="s">
        <v>646</v>
      </c>
      <c r="BS20" s="89" t="s">
        <v>646</v>
      </c>
      <c r="BT20" s="89" t="s">
        <v>646</v>
      </c>
      <c r="BU20" s="89" t="s">
        <v>646</v>
      </c>
      <c r="BV20" s="89" t="s">
        <v>646</v>
      </c>
      <c r="BW20" s="89" t="s">
        <v>646</v>
      </c>
      <c r="BX20" s="89" t="s">
        <v>646</v>
      </c>
      <c r="BY20" s="89" t="s">
        <v>646</v>
      </c>
      <c r="BZ20" s="89" t="s">
        <v>646</v>
      </c>
      <c r="CA20" s="89" t="s">
        <v>646</v>
      </c>
      <c r="CB20" s="89" t="s">
        <v>17617</v>
      </c>
      <c r="CC20" s="89" t="str">
        <f>HYPERLINK("https%3A%2F%2Fwww.webofscience.com%2Fwos%2Fwoscc%2Ffull-record%2FWOS:000723823700004","View Full Record in Web of Science")</f>
        <v>View Full Record in Web of Science</v>
      </c>
    </row>
    <row r="21" spans="1:81" ht="13.2" x14ac:dyDescent="0.25">
      <c r="A21" s="89" t="s">
        <v>17619</v>
      </c>
      <c r="B21" s="89" t="s">
        <v>17618</v>
      </c>
      <c r="C21" s="90">
        <v>1</v>
      </c>
      <c r="D21" s="91" t="s">
        <v>17460</v>
      </c>
      <c r="E21" s="90">
        <v>1</v>
      </c>
      <c r="F21" s="90">
        <v>1</v>
      </c>
      <c r="G21" s="90">
        <v>1</v>
      </c>
      <c r="H21" s="89" t="s">
        <v>17620</v>
      </c>
      <c r="I21" s="89" t="s">
        <v>17621</v>
      </c>
      <c r="J21" s="89" t="s">
        <v>646</v>
      </c>
      <c r="K21" s="89" t="s">
        <v>17623</v>
      </c>
      <c r="M21" s="89">
        <v>2022</v>
      </c>
      <c r="N21" s="89" t="s">
        <v>17622</v>
      </c>
      <c r="O21" s="89" t="s">
        <v>646</v>
      </c>
      <c r="P21" s="89" t="str">
        <f>HYPERLINK("http://dx.doi.org/10.13053/CyS-26-2-4256","http://dx.doi.org/10.13053/CyS-26-2-4256")</f>
        <v>http://dx.doi.org/10.13053/CyS-26-2-4256</v>
      </c>
      <c r="S21" s="89" t="s">
        <v>646</v>
      </c>
      <c r="U21" s="89" t="s">
        <v>17462</v>
      </c>
      <c r="V21" s="100"/>
      <c r="W21" s="89" t="s">
        <v>646</v>
      </c>
      <c r="X21" s="89" t="s">
        <v>646</v>
      </c>
      <c r="Y21" s="89" t="s">
        <v>646</v>
      </c>
      <c r="Z21" s="89" t="s">
        <v>646</v>
      </c>
      <c r="AA21" s="89" t="s">
        <v>646</v>
      </c>
      <c r="AB21" s="89" t="s">
        <v>646</v>
      </c>
      <c r="AC21" s="89" t="s">
        <v>646</v>
      </c>
      <c r="AD21" s="89" t="s">
        <v>646</v>
      </c>
      <c r="AE21" s="89" t="s">
        <v>646</v>
      </c>
      <c r="AF21" s="89" t="s">
        <v>17623</v>
      </c>
      <c r="AG21" s="89" t="s">
        <v>646</v>
      </c>
      <c r="AH21" s="89" t="s">
        <v>646</v>
      </c>
      <c r="AI21" s="89" t="s">
        <v>646</v>
      </c>
      <c r="AJ21" s="89" t="s">
        <v>646</v>
      </c>
      <c r="AK21" s="89" t="s">
        <v>646</v>
      </c>
      <c r="AL21" s="89" t="s">
        <v>646</v>
      </c>
      <c r="AM21" s="89" t="s">
        <v>646</v>
      </c>
      <c r="AN21" s="89" t="s">
        <v>646</v>
      </c>
      <c r="AO21" s="89" t="s">
        <v>646</v>
      </c>
      <c r="AP21" s="89" t="s">
        <v>646</v>
      </c>
      <c r="AQ21" s="89" t="s">
        <v>646</v>
      </c>
      <c r="AR21" s="89" t="s">
        <v>646</v>
      </c>
      <c r="AS21" s="89" t="s">
        <v>646</v>
      </c>
      <c r="AT21" s="89" t="s">
        <v>646</v>
      </c>
      <c r="AU21" s="89" t="s">
        <v>646</v>
      </c>
      <c r="AV21" s="89" t="s">
        <v>646</v>
      </c>
      <c r="AW21" s="89" t="s">
        <v>646</v>
      </c>
      <c r="AX21" s="89" t="s">
        <v>646</v>
      </c>
      <c r="AY21" s="89" t="s">
        <v>17624</v>
      </c>
      <c r="AZ21" s="89" t="s">
        <v>17625</v>
      </c>
      <c r="BA21" s="89" t="s">
        <v>646</v>
      </c>
      <c r="BB21" s="89" t="s">
        <v>646</v>
      </c>
      <c r="BC21" s="89" t="s">
        <v>646</v>
      </c>
      <c r="BD21" s="89" t="s">
        <v>646</v>
      </c>
      <c r="BE21" s="89">
        <v>2022</v>
      </c>
      <c r="BF21" s="89">
        <v>26</v>
      </c>
      <c r="BG21" s="89">
        <v>2</v>
      </c>
      <c r="BH21" s="89" t="s">
        <v>646</v>
      </c>
      <c r="BI21" s="89" t="s">
        <v>646</v>
      </c>
      <c r="BJ21" s="89" t="s">
        <v>646</v>
      </c>
      <c r="BK21" s="89" t="s">
        <v>646</v>
      </c>
      <c r="BL21" s="89">
        <v>867</v>
      </c>
      <c r="BM21" s="89">
        <v>873</v>
      </c>
      <c r="BN21" s="89" t="s">
        <v>646</v>
      </c>
      <c r="BO21" s="89" t="str">
        <f>HYPERLINK("http://dx.doi.org/10.13053/CyS-26-2-4256","http://dx.doi.org/10.13053/CyS-26-2-4256")</f>
        <v>http://dx.doi.org/10.13053/CyS-26-2-4256</v>
      </c>
      <c r="BP21" s="89" t="s">
        <v>646</v>
      </c>
      <c r="BQ21" s="89" t="s">
        <v>646</v>
      </c>
      <c r="BR21" s="89" t="s">
        <v>646</v>
      </c>
      <c r="BS21" s="89" t="s">
        <v>646</v>
      </c>
      <c r="BT21" s="89" t="s">
        <v>646</v>
      </c>
      <c r="BU21" s="89" t="s">
        <v>646</v>
      </c>
      <c r="BV21" s="89" t="s">
        <v>646</v>
      </c>
      <c r="BW21" s="89" t="s">
        <v>646</v>
      </c>
      <c r="BX21" s="89" t="s">
        <v>646</v>
      </c>
      <c r="BY21" s="89" t="s">
        <v>646</v>
      </c>
      <c r="BZ21" s="89" t="s">
        <v>646</v>
      </c>
      <c r="CA21" s="89" t="s">
        <v>646</v>
      </c>
      <c r="CB21" s="89" t="s">
        <v>17626</v>
      </c>
      <c r="CC21" s="89" t="str">
        <f>HYPERLINK("https%3A%2F%2Fwww.webofscience.com%2Fwos%2Fwoscc%2Ffull-record%2FWOS:000822515500023","View Full Record in Web of Science")</f>
        <v>View Full Record in Web of Science</v>
      </c>
    </row>
    <row r="22" spans="1:81" ht="13.2" hidden="1" x14ac:dyDescent="0.25">
      <c r="A22" s="89" t="s">
        <v>17627</v>
      </c>
      <c r="B22" s="89" t="e">
        <f>+#REF!</f>
        <v>#REF!</v>
      </c>
      <c r="C22" s="89"/>
      <c r="D22" s="91" t="s">
        <v>17460</v>
      </c>
      <c r="E22" s="90">
        <v>0</v>
      </c>
      <c r="F22" s="89">
        <v>0</v>
      </c>
      <c r="G22" s="89"/>
      <c r="H22" s="89" t="s">
        <v>17628</v>
      </c>
      <c r="I22" s="89" t="s">
        <v>17629</v>
      </c>
      <c r="J22" s="89" t="s">
        <v>17632</v>
      </c>
      <c r="K22" s="89" t="s">
        <v>17631</v>
      </c>
      <c r="M22" s="89">
        <v>2022</v>
      </c>
      <c r="N22" s="89" t="s">
        <v>17630</v>
      </c>
      <c r="O22" s="89" t="s">
        <v>646</v>
      </c>
      <c r="P22" s="89" t="str">
        <f>HYPERLINK("http://dx.doi.org/10.1108/JGR-01-2021-0007","http://dx.doi.org/10.1108/JGR-01-2021-0007")</f>
        <v>http://dx.doi.org/10.1108/JGR-01-2021-0007</v>
      </c>
      <c r="S22" s="89" t="s">
        <v>646</v>
      </c>
      <c r="U22" s="89" t="s">
        <v>17462</v>
      </c>
      <c r="W22" s="89" t="s">
        <v>646</v>
      </c>
      <c r="X22" s="89" t="s">
        <v>646</v>
      </c>
      <c r="Y22" s="89" t="s">
        <v>646</v>
      </c>
      <c r="Z22" s="89" t="s">
        <v>646</v>
      </c>
      <c r="AA22" s="89" t="s">
        <v>646</v>
      </c>
      <c r="AB22" s="89" t="s">
        <v>646</v>
      </c>
      <c r="AC22" s="89" t="s">
        <v>646</v>
      </c>
      <c r="AD22" s="89" t="s">
        <v>646</v>
      </c>
      <c r="AE22" s="89" t="s">
        <v>646</v>
      </c>
      <c r="AF22" s="89" t="s">
        <v>17631</v>
      </c>
      <c r="AG22" s="89" t="s">
        <v>646</v>
      </c>
      <c r="AH22" s="89" t="s">
        <v>646</v>
      </c>
      <c r="AI22" s="89" t="s">
        <v>646</v>
      </c>
      <c r="AJ22" s="89" t="s">
        <v>646</v>
      </c>
      <c r="AK22" s="89" t="s">
        <v>17632</v>
      </c>
      <c r="AL22" s="89" t="s">
        <v>17633</v>
      </c>
      <c r="AM22" s="89" t="s">
        <v>646</v>
      </c>
      <c r="AN22" s="89" t="s">
        <v>646</v>
      </c>
      <c r="AO22" s="89" t="s">
        <v>646</v>
      </c>
      <c r="AP22" s="89" t="s">
        <v>646</v>
      </c>
      <c r="AQ22" s="89" t="s">
        <v>646</v>
      </c>
      <c r="AR22" s="89" t="s">
        <v>646</v>
      </c>
      <c r="AS22" s="89" t="s">
        <v>646</v>
      </c>
      <c r="AT22" s="89" t="s">
        <v>646</v>
      </c>
      <c r="AU22" s="89" t="s">
        <v>646</v>
      </c>
      <c r="AV22" s="89" t="s">
        <v>646</v>
      </c>
      <c r="AW22" s="89" t="s">
        <v>646</v>
      </c>
      <c r="AX22" s="89" t="s">
        <v>646</v>
      </c>
      <c r="AY22" s="89" t="s">
        <v>17634</v>
      </c>
      <c r="AZ22" s="89" t="s">
        <v>17635</v>
      </c>
      <c r="BA22" s="89" t="s">
        <v>646</v>
      </c>
      <c r="BB22" s="89" t="s">
        <v>646</v>
      </c>
      <c r="BC22" s="89" t="s">
        <v>646</v>
      </c>
      <c r="BD22" s="89" t="s">
        <v>17636</v>
      </c>
      <c r="BE22" s="89">
        <v>2022</v>
      </c>
      <c r="BF22" s="89">
        <v>13</v>
      </c>
      <c r="BG22" s="89">
        <v>2</v>
      </c>
      <c r="BH22" s="89" t="s">
        <v>646</v>
      </c>
      <c r="BI22" s="89" t="s">
        <v>646</v>
      </c>
      <c r="BJ22" s="89" t="s">
        <v>646</v>
      </c>
      <c r="BK22" s="89" t="s">
        <v>646</v>
      </c>
      <c r="BL22" s="89">
        <v>157</v>
      </c>
      <c r="BM22" s="89">
        <v>176</v>
      </c>
      <c r="BN22" s="89" t="s">
        <v>646</v>
      </c>
      <c r="BO22" s="89" t="str">
        <f>HYPERLINK("http://dx.doi.org/10.1108/JGR-01-2021-0007","http://dx.doi.org/10.1108/JGR-01-2021-0007")</f>
        <v>http://dx.doi.org/10.1108/JGR-01-2021-0007</v>
      </c>
      <c r="BP22" s="89" t="s">
        <v>646</v>
      </c>
      <c r="BQ22" s="89" t="s">
        <v>17616</v>
      </c>
      <c r="BR22" s="89" t="s">
        <v>646</v>
      </c>
      <c r="BS22" s="89" t="s">
        <v>646</v>
      </c>
      <c r="BT22" s="89" t="s">
        <v>646</v>
      </c>
      <c r="BU22" s="89" t="s">
        <v>646</v>
      </c>
      <c r="BV22" s="89" t="s">
        <v>646</v>
      </c>
      <c r="BW22" s="89" t="s">
        <v>646</v>
      </c>
      <c r="BX22" s="89" t="s">
        <v>646</v>
      </c>
      <c r="BY22" s="89" t="s">
        <v>646</v>
      </c>
      <c r="BZ22" s="89" t="s">
        <v>646</v>
      </c>
      <c r="CA22" s="89" t="s">
        <v>646</v>
      </c>
      <c r="CB22" s="89" t="s">
        <v>17637</v>
      </c>
      <c r="CC22" s="89" t="str">
        <f>HYPERLINK("https%3A%2F%2Fwww.webofscience.com%2Fwos%2Fwoscc%2Ffull-record%2FWOS:000716368700001","View Full Record in Web of Science")</f>
        <v>View Full Record in Web of Science</v>
      </c>
    </row>
    <row r="23" spans="1:81" ht="13.2" hidden="1" x14ac:dyDescent="0.25">
      <c r="A23" s="89" t="s">
        <v>17638</v>
      </c>
      <c r="B23" s="89" t="e">
        <f>+#REF!</f>
        <v>#REF!</v>
      </c>
      <c r="C23" s="89"/>
      <c r="D23" s="91" t="s">
        <v>17460</v>
      </c>
      <c r="E23" s="90">
        <v>0</v>
      </c>
      <c r="F23" s="89">
        <v>0</v>
      </c>
      <c r="G23" s="89"/>
      <c r="H23" s="89" t="s">
        <v>17639</v>
      </c>
      <c r="I23" s="89" t="s">
        <v>17641</v>
      </c>
      <c r="J23" s="89" t="s">
        <v>646</v>
      </c>
      <c r="K23" s="89" t="s">
        <v>17648</v>
      </c>
      <c r="M23" s="89">
        <v>2020</v>
      </c>
      <c r="N23" s="89" t="s">
        <v>17642</v>
      </c>
      <c r="O23" s="89" t="s">
        <v>17640</v>
      </c>
      <c r="P23" s="89" t="str">
        <f>HYPERLINK("http://dx.doi.org/10.4995/CARMA2020.2020.11413","http://dx.doi.org/10.4995/CARMA2020.2020.11413")</f>
        <v>http://dx.doi.org/10.4995/CARMA2020.2020.11413</v>
      </c>
      <c r="S23" s="89" t="s">
        <v>646</v>
      </c>
      <c r="U23" s="89" t="s">
        <v>17474</v>
      </c>
      <c r="W23" s="89" t="s">
        <v>646</v>
      </c>
      <c r="X23" s="89" t="s">
        <v>646</v>
      </c>
      <c r="Y23" s="89" t="s">
        <v>17643</v>
      </c>
      <c r="Z23" s="89" t="s">
        <v>17644</v>
      </c>
      <c r="AA23" s="89" t="s">
        <v>17645</v>
      </c>
      <c r="AB23" s="89" t="s">
        <v>17646</v>
      </c>
      <c r="AC23" s="89" t="s">
        <v>17647</v>
      </c>
      <c r="AD23" s="89" t="s">
        <v>646</v>
      </c>
      <c r="AE23" s="89" t="s">
        <v>646</v>
      </c>
      <c r="AF23" s="89" t="s">
        <v>17648</v>
      </c>
      <c r="AG23" s="89" t="s">
        <v>646</v>
      </c>
      <c r="AH23" s="89" t="s">
        <v>646</v>
      </c>
      <c r="AI23" s="89" t="s">
        <v>646</v>
      </c>
      <c r="AJ23" s="89" t="s">
        <v>646</v>
      </c>
      <c r="AK23" s="89" t="s">
        <v>646</v>
      </c>
      <c r="AL23" s="89" t="s">
        <v>646</v>
      </c>
      <c r="AM23" s="89" t="s">
        <v>646</v>
      </c>
      <c r="AN23" s="89" t="s">
        <v>646</v>
      </c>
      <c r="AO23" s="89" t="s">
        <v>646</v>
      </c>
      <c r="AP23" s="89" t="s">
        <v>646</v>
      </c>
      <c r="AQ23" s="89" t="s">
        <v>646</v>
      </c>
      <c r="AR23" s="89" t="s">
        <v>646</v>
      </c>
      <c r="AS23" s="89" t="s">
        <v>646</v>
      </c>
      <c r="AT23" s="89" t="s">
        <v>646</v>
      </c>
      <c r="AU23" s="89" t="s">
        <v>646</v>
      </c>
      <c r="AV23" s="89" t="s">
        <v>646</v>
      </c>
      <c r="AW23" s="89" t="s">
        <v>646</v>
      </c>
      <c r="AX23" s="89" t="s">
        <v>646</v>
      </c>
      <c r="AY23" s="89" t="s">
        <v>646</v>
      </c>
      <c r="AZ23" s="89" t="s">
        <v>646</v>
      </c>
      <c r="BA23" s="89" t="s">
        <v>17649</v>
      </c>
      <c r="BB23" s="89" t="s">
        <v>646</v>
      </c>
      <c r="BC23" s="89" t="s">
        <v>646</v>
      </c>
      <c r="BD23" s="89" t="s">
        <v>646</v>
      </c>
      <c r="BE23" s="89">
        <v>2020</v>
      </c>
      <c r="BF23" s="89" t="s">
        <v>646</v>
      </c>
      <c r="BG23" s="89" t="s">
        <v>646</v>
      </c>
      <c r="BH23" s="89" t="s">
        <v>646</v>
      </c>
      <c r="BI23" s="89" t="s">
        <v>646</v>
      </c>
      <c r="BJ23" s="89" t="s">
        <v>646</v>
      </c>
      <c r="BK23" s="89" t="s">
        <v>646</v>
      </c>
      <c r="BL23" s="89">
        <v>41</v>
      </c>
      <c r="BM23" s="89">
        <v>49</v>
      </c>
      <c r="BN23" s="89" t="s">
        <v>646</v>
      </c>
      <c r="BO23" s="89" t="str">
        <f>HYPERLINK("http://dx.doi.org/10.4995/CARMA2020.2020.11413","http://dx.doi.org/10.4995/CARMA2020.2020.11413")</f>
        <v>http://dx.doi.org/10.4995/CARMA2020.2020.11413</v>
      </c>
      <c r="BP23" s="89" t="s">
        <v>646</v>
      </c>
      <c r="BQ23" s="89" t="s">
        <v>646</v>
      </c>
      <c r="BR23" s="89" t="s">
        <v>646</v>
      </c>
      <c r="BS23" s="89" t="s">
        <v>646</v>
      </c>
      <c r="BT23" s="89" t="s">
        <v>646</v>
      </c>
      <c r="BU23" s="89" t="s">
        <v>646</v>
      </c>
      <c r="BV23" s="89" t="s">
        <v>646</v>
      </c>
      <c r="BW23" s="89" t="s">
        <v>646</v>
      </c>
      <c r="BX23" s="89" t="s">
        <v>646</v>
      </c>
      <c r="BY23" s="89" t="s">
        <v>646</v>
      </c>
      <c r="BZ23" s="89" t="s">
        <v>646</v>
      </c>
      <c r="CA23" s="89" t="s">
        <v>646</v>
      </c>
      <c r="CB23" s="89" t="s">
        <v>17650</v>
      </c>
      <c r="CC23" s="89" t="str">
        <f>HYPERLINK("https%3A%2F%2Fwww.webofscience.com%2Fwos%2Fwoscc%2Ffull-record%2FWOS:000759227700005","View Full Record in Web of Science")</f>
        <v>View Full Record in Web of Science</v>
      </c>
    </row>
    <row r="24" spans="1:81" ht="13.2" hidden="1" x14ac:dyDescent="0.25">
      <c r="A24" s="89" t="s">
        <v>17651</v>
      </c>
      <c r="B24" s="89" t="e">
        <f>+#REF!</f>
        <v>#REF!</v>
      </c>
      <c r="C24" s="89"/>
      <c r="D24" s="91" t="s">
        <v>17460</v>
      </c>
      <c r="E24" s="90">
        <v>0</v>
      </c>
      <c r="F24" s="89">
        <v>0</v>
      </c>
      <c r="G24" s="89"/>
      <c r="H24" s="89" t="s">
        <v>17652</v>
      </c>
      <c r="I24" s="89" t="s">
        <v>17653</v>
      </c>
      <c r="J24" s="89" t="s">
        <v>646</v>
      </c>
      <c r="K24" s="89" t="s">
        <v>17655</v>
      </c>
      <c r="M24" s="89">
        <v>2021</v>
      </c>
      <c r="N24" s="89" t="s">
        <v>17654</v>
      </c>
      <c r="O24" s="89" t="s">
        <v>646</v>
      </c>
      <c r="P24" s="89" t="str">
        <f>HYPERLINK("http://dx.doi.org/10.3390/ijgi10020077","http://dx.doi.org/10.3390/ijgi10020077")</f>
        <v>http://dx.doi.org/10.3390/ijgi10020077</v>
      </c>
      <c r="S24" s="89" t="s">
        <v>646</v>
      </c>
      <c r="U24" s="89" t="s">
        <v>17462</v>
      </c>
      <c r="W24" s="89" t="s">
        <v>646</v>
      </c>
      <c r="X24" s="89" t="s">
        <v>646</v>
      </c>
      <c r="Y24" s="89" t="s">
        <v>646</v>
      </c>
      <c r="Z24" s="89" t="s">
        <v>646</v>
      </c>
      <c r="AA24" s="89" t="s">
        <v>646</v>
      </c>
      <c r="AB24" s="89" t="s">
        <v>646</v>
      </c>
      <c r="AC24" s="89" t="s">
        <v>646</v>
      </c>
      <c r="AD24" s="89" t="s">
        <v>646</v>
      </c>
      <c r="AE24" s="89" t="s">
        <v>646</v>
      </c>
      <c r="AF24" s="89" t="s">
        <v>17655</v>
      </c>
      <c r="AG24" s="89" t="s">
        <v>646</v>
      </c>
      <c r="AH24" s="89" t="s">
        <v>646</v>
      </c>
      <c r="AI24" s="89" t="s">
        <v>646</v>
      </c>
      <c r="AJ24" s="89" t="s">
        <v>646</v>
      </c>
      <c r="AK24" s="89" t="s">
        <v>646</v>
      </c>
      <c r="AL24" s="89" t="s">
        <v>17656</v>
      </c>
      <c r="AM24" s="89" t="s">
        <v>646</v>
      </c>
      <c r="AN24" s="89" t="s">
        <v>646</v>
      </c>
      <c r="AO24" s="89" t="s">
        <v>646</v>
      </c>
      <c r="AP24" s="89" t="s">
        <v>646</v>
      </c>
      <c r="AQ24" s="89" t="s">
        <v>646</v>
      </c>
      <c r="AR24" s="89" t="s">
        <v>646</v>
      </c>
      <c r="AS24" s="89" t="s">
        <v>646</v>
      </c>
      <c r="AT24" s="89" t="s">
        <v>646</v>
      </c>
      <c r="AU24" s="89" t="s">
        <v>646</v>
      </c>
      <c r="AV24" s="89" t="s">
        <v>646</v>
      </c>
      <c r="AW24" s="89" t="s">
        <v>646</v>
      </c>
      <c r="AX24" s="89" t="s">
        <v>646</v>
      </c>
      <c r="AY24" s="89" t="s">
        <v>646</v>
      </c>
      <c r="AZ24" s="89" t="s">
        <v>17657</v>
      </c>
      <c r="BA24" s="89" t="s">
        <v>646</v>
      </c>
      <c r="BB24" s="89" t="s">
        <v>646</v>
      </c>
      <c r="BC24" s="89" t="s">
        <v>646</v>
      </c>
      <c r="BD24" s="89" t="s">
        <v>17658</v>
      </c>
      <c r="BE24" s="89">
        <v>2021</v>
      </c>
      <c r="BF24" s="89">
        <v>10</v>
      </c>
      <c r="BG24" s="89">
        <v>2</v>
      </c>
      <c r="BH24" s="89" t="s">
        <v>646</v>
      </c>
      <c r="BI24" s="89" t="s">
        <v>646</v>
      </c>
      <c r="BJ24" s="89" t="s">
        <v>646</v>
      </c>
      <c r="BK24" s="89" t="s">
        <v>646</v>
      </c>
      <c r="BL24" s="89" t="s">
        <v>646</v>
      </c>
      <c r="BM24" s="89" t="s">
        <v>646</v>
      </c>
      <c r="BN24" s="89">
        <v>77</v>
      </c>
      <c r="BO24" s="89" t="str">
        <f>HYPERLINK("http://dx.doi.org/10.3390/ijgi10020077","http://dx.doi.org/10.3390/ijgi10020077")</f>
        <v>http://dx.doi.org/10.3390/ijgi10020077</v>
      </c>
      <c r="BP24" s="89" t="s">
        <v>646</v>
      </c>
      <c r="BQ24" s="89" t="s">
        <v>646</v>
      </c>
      <c r="BR24" s="89" t="s">
        <v>646</v>
      </c>
      <c r="BS24" s="89" t="s">
        <v>646</v>
      </c>
      <c r="BT24" s="89" t="s">
        <v>646</v>
      </c>
      <c r="BU24" s="89" t="s">
        <v>646</v>
      </c>
      <c r="BV24" s="89" t="s">
        <v>646</v>
      </c>
      <c r="BW24" s="89" t="s">
        <v>646</v>
      </c>
      <c r="BX24" s="89" t="s">
        <v>646</v>
      </c>
      <c r="BY24" s="89" t="s">
        <v>646</v>
      </c>
      <c r="BZ24" s="89" t="s">
        <v>646</v>
      </c>
      <c r="CA24" s="89" t="s">
        <v>646</v>
      </c>
      <c r="CB24" s="89" t="s">
        <v>17659</v>
      </c>
      <c r="CC24" s="89" t="str">
        <f>HYPERLINK("https%3A%2F%2Fwww.webofscience.com%2Fwos%2Fwoscc%2Ffull-record%2FWOS:000622557700001","View Full Record in Web of Science")</f>
        <v>View Full Record in Web of Science</v>
      </c>
    </row>
    <row r="25" spans="1:81" ht="13.2" hidden="1" x14ac:dyDescent="0.25">
      <c r="A25" s="89" t="s">
        <v>17660</v>
      </c>
      <c r="B25" s="89" t="e">
        <f>+#REF!</f>
        <v>#REF!</v>
      </c>
      <c r="C25" s="89"/>
      <c r="D25" s="91" t="s">
        <v>17460</v>
      </c>
      <c r="E25" s="90">
        <v>0</v>
      </c>
      <c r="F25" s="89">
        <v>0</v>
      </c>
      <c r="G25" s="89"/>
      <c r="H25" s="89" t="s">
        <v>17661</v>
      </c>
      <c r="I25" s="89" t="s">
        <v>17662</v>
      </c>
      <c r="J25" s="89" t="s">
        <v>646</v>
      </c>
      <c r="K25" s="89" t="s">
        <v>17664</v>
      </c>
      <c r="M25" s="89">
        <v>2022</v>
      </c>
      <c r="N25" s="89" t="s">
        <v>17663</v>
      </c>
      <c r="O25" s="89" t="s">
        <v>646</v>
      </c>
      <c r="P25" s="89" t="str">
        <f>HYPERLINK("http://dx.doi.org/10.9756/INTJECSE/V14I4.373","http://dx.doi.org/10.9756/INTJECSE/V14I4.373")</f>
        <v>http://dx.doi.org/10.9756/INTJECSE/V14I4.373</v>
      </c>
      <c r="S25" s="89" t="s">
        <v>646</v>
      </c>
      <c r="U25" s="89" t="s">
        <v>17462</v>
      </c>
      <c r="W25" s="89" t="s">
        <v>646</v>
      </c>
      <c r="X25" s="89" t="s">
        <v>646</v>
      </c>
      <c r="Y25" s="89" t="s">
        <v>646</v>
      </c>
      <c r="Z25" s="89" t="s">
        <v>646</v>
      </c>
      <c r="AA25" s="89" t="s">
        <v>646</v>
      </c>
      <c r="AB25" s="89" t="s">
        <v>646</v>
      </c>
      <c r="AC25" s="89" t="s">
        <v>646</v>
      </c>
      <c r="AD25" s="89" t="s">
        <v>646</v>
      </c>
      <c r="AE25" s="89" t="s">
        <v>646</v>
      </c>
      <c r="AF25" s="89" t="s">
        <v>17664</v>
      </c>
      <c r="AG25" s="89" t="s">
        <v>646</v>
      </c>
      <c r="AH25" s="89" t="s">
        <v>646</v>
      </c>
      <c r="AI25" s="89" t="s">
        <v>646</v>
      </c>
      <c r="AJ25" s="89" t="s">
        <v>646</v>
      </c>
      <c r="AK25" s="89" t="s">
        <v>646</v>
      </c>
      <c r="AL25" s="89" t="s">
        <v>646</v>
      </c>
      <c r="AM25" s="89" t="s">
        <v>646</v>
      </c>
      <c r="AN25" s="89" t="s">
        <v>646</v>
      </c>
      <c r="AO25" s="89" t="s">
        <v>646</v>
      </c>
      <c r="AP25" s="89" t="s">
        <v>646</v>
      </c>
      <c r="AQ25" s="89" t="s">
        <v>646</v>
      </c>
      <c r="AR25" s="89" t="s">
        <v>646</v>
      </c>
      <c r="AS25" s="89" t="s">
        <v>646</v>
      </c>
      <c r="AT25" s="89" t="s">
        <v>646</v>
      </c>
      <c r="AU25" s="89" t="s">
        <v>646</v>
      </c>
      <c r="AV25" s="89" t="s">
        <v>646</v>
      </c>
      <c r="AW25" s="89" t="s">
        <v>646</v>
      </c>
      <c r="AX25" s="89" t="s">
        <v>646</v>
      </c>
      <c r="AY25" s="89" t="s">
        <v>17665</v>
      </c>
      <c r="AZ25" s="89" t="s">
        <v>646</v>
      </c>
      <c r="BA25" s="89" t="s">
        <v>646</v>
      </c>
      <c r="BB25" s="89" t="s">
        <v>646</v>
      </c>
      <c r="BC25" s="89" t="s">
        <v>646</v>
      </c>
      <c r="BD25" s="89" t="s">
        <v>646</v>
      </c>
      <c r="BE25" s="89">
        <v>2022</v>
      </c>
      <c r="BF25" s="89">
        <v>14</v>
      </c>
      <c r="BG25" s="89">
        <v>4</v>
      </c>
      <c r="BH25" s="89" t="s">
        <v>646</v>
      </c>
      <c r="BI25" s="89" t="s">
        <v>646</v>
      </c>
      <c r="BJ25" s="89" t="s">
        <v>646</v>
      </c>
      <c r="BK25" s="89" t="s">
        <v>646</v>
      </c>
      <c r="BL25" s="89">
        <v>2734</v>
      </c>
      <c r="BM25" s="89">
        <v>2741</v>
      </c>
      <c r="BN25" s="89" t="s">
        <v>646</v>
      </c>
      <c r="BO25" s="89" t="str">
        <f>HYPERLINK("http://dx.doi.org/10.9756/INTJECSE/V14I4.373","http://dx.doi.org/10.9756/INTJECSE/V14I4.373")</f>
        <v>http://dx.doi.org/10.9756/INTJECSE/V14I4.373</v>
      </c>
      <c r="BP25" s="89" t="s">
        <v>646</v>
      </c>
      <c r="BQ25" s="89" t="s">
        <v>646</v>
      </c>
      <c r="BR25" s="89" t="s">
        <v>646</v>
      </c>
      <c r="BS25" s="89" t="s">
        <v>646</v>
      </c>
      <c r="BT25" s="89" t="s">
        <v>646</v>
      </c>
      <c r="BU25" s="89" t="s">
        <v>646</v>
      </c>
      <c r="BV25" s="89" t="s">
        <v>646</v>
      </c>
      <c r="BW25" s="89" t="s">
        <v>646</v>
      </c>
      <c r="BX25" s="89" t="s">
        <v>646</v>
      </c>
      <c r="BY25" s="89" t="s">
        <v>646</v>
      </c>
      <c r="BZ25" s="89" t="s">
        <v>646</v>
      </c>
      <c r="CA25" s="89" t="s">
        <v>646</v>
      </c>
      <c r="CB25" s="89" t="s">
        <v>17666</v>
      </c>
      <c r="CC25" s="89" t="str">
        <f>HYPERLINK("https%3A%2F%2Fwww.webofscience.com%2Fwos%2Fwoscc%2Ffull-record%2FWOS:000830701900041","View Full Record in Web of Science")</f>
        <v>View Full Record in Web of Science</v>
      </c>
    </row>
    <row r="26" spans="1:81" ht="13.2" hidden="1" x14ac:dyDescent="0.25">
      <c r="A26" s="89" t="s">
        <v>17667</v>
      </c>
      <c r="B26" s="89" t="e">
        <f>+#REF!</f>
        <v>#REF!</v>
      </c>
      <c r="C26" s="90">
        <v>0</v>
      </c>
      <c r="D26" s="91" t="s">
        <v>17460</v>
      </c>
      <c r="E26" s="90" t="s">
        <v>645</v>
      </c>
      <c r="F26" s="90">
        <v>1</v>
      </c>
      <c r="G26" s="90">
        <v>0</v>
      </c>
      <c r="H26" s="89" t="s">
        <v>646</v>
      </c>
      <c r="I26" s="89" t="s">
        <v>17668</v>
      </c>
      <c r="J26" s="89" t="s">
        <v>646</v>
      </c>
      <c r="K26" s="89" t="s">
        <v>17669</v>
      </c>
      <c r="M26" s="89">
        <v>2018</v>
      </c>
      <c r="N26" s="89" t="s">
        <v>17519</v>
      </c>
      <c r="O26" s="89" t="s">
        <v>17517</v>
      </c>
      <c r="P26" s="89" t="s">
        <v>646</v>
      </c>
      <c r="S26" s="89" t="s">
        <v>646</v>
      </c>
      <c r="U26" s="89" t="s">
        <v>17474</v>
      </c>
      <c r="W26" s="89" t="s">
        <v>646</v>
      </c>
      <c r="X26" s="89" t="s">
        <v>646</v>
      </c>
      <c r="Y26" s="89" t="s">
        <v>17520</v>
      </c>
      <c r="Z26" s="89" t="s">
        <v>17521</v>
      </c>
      <c r="AA26" s="89" t="s">
        <v>17522</v>
      </c>
      <c r="AB26" s="89" t="s">
        <v>17523</v>
      </c>
      <c r="AC26" s="89" t="s">
        <v>646</v>
      </c>
      <c r="AD26" s="89" t="s">
        <v>646</v>
      </c>
      <c r="AE26" s="89" t="s">
        <v>646</v>
      </c>
      <c r="AF26" s="89" t="s">
        <v>17669</v>
      </c>
      <c r="AG26" s="89" t="s">
        <v>646</v>
      </c>
      <c r="AH26" s="89" t="s">
        <v>646</v>
      </c>
      <c r="AI26" s="89" t="s">
        <v>646</v>
      </c>
      <c r="AJ26" s="89" t="s">
        <v>646</v>
      </c>
      <c r="AK26" s="89" t="s">
        <v>646</v>
      </c>
      <c r="AL26" s="89" t="s">
        <v>646</v>
      </c>
      <c r="AM26" s="89" t="s">
        <v>646</v>
      </c>
      <c r="AN26" s="89" t="s">
        <v>646</v>
      </c>
      <c r="AO26" s="89" t="s">
        <v>646</v>
      </c>
      <c r="AP26" s="89" t="s">
        <v>646</v>
      </c>
      <c r="AQ26" s="89" t="s">
        <v>646</v>
      </c>
      <c r="AR26" s="89" t="s">
        <v>646</v>
      </c>
      <c r="AS26" s="89" t="s">
        <v>646</v>
      </c>
      <c r="AT26" s="89" t="s">
        <v>646</v>
      </c>
      <c r="AU26" s="89" t="s">
        <v>646</v>
      </c>
      <c r="AV26" s="89" t="s">
        <v>646</v>
      </c>
      <c r="AW26" s="89" t="s">
        <v>646</v>
      </c>
      <c r="AX26" s="89" t="s">
        <v>646</v>
      </c>
      <c r="AY26" s="89" t="s">
        <v>646</v>
      </c>
      <c r="AZ26" s="89" t="s">
        <v>646</v>
      </c>
      <c r="BA26" s="89" t="s">
        <v>17525</v>
      </c>
      <c r="BB26" s="89" t="s">
        <v>646</v>
      </c>
      <c r="BC26" s="89" t="s">
        <v>646</v>
      </c>
      <c r="BD26" s="89" t="s">
        <v>646</v>
      </c>
      <c r="BE26" s="89">
        <v>2018</v>
      </c>
      <c r="BF26" s="89" t="s">
        <v>646</v>
      </c>
      <c r="BG26" s="89" t="s">
        <v>646</v>
      </c>
      <c r="BH26" s="89" t="s">
        <v>646</v>
      </c>
      <c r="BI26" s="89" t="s">
        <v>646</v>
      </c>
      <c r="BJ26" s="89" t="s">
        <v>646</v>
      </c>
      <c r="BK26" s="89" t="s">
        <v>646</v>
      </c>
      <c r="BL26" s="89">
        <v>848</v>
      </c>
      <c r="BM26" s="89">
        <v>853</v>
      </c>
      <c r="BN26" s="89" t="s">
        <v>646</v>
      </c>
      <c r="BO26" s="89" t="s">
        <v>646</v>
      </c>
      <c r="BP26" s="89" t="s">
        <v>646</v>
      </c>
      <c r="BQ26" s="89" t="s">
        <v>646</v>
      </c>
      <c r="BR26" s="89" t="s">
        <v>646</v>
      </c>
      <c r="BS26" s="89" t="s">
        <v>646</v>
      </c>
      <c r="BT26" s="89" t="s">
        <v>646</v>
      </c>
      <c r="BU26" s="89" t="s">
        <v>646</v>
      </c>
      <c r="BV26" s="89" t="s">
        <v>646</v>
      </c>
      <c r="BW26" s="89" t="s">
        <v>646</v>
      </c>
      <c r="BX26" s="89" t="s">
        <v>646</v>
      </c>
      <c r="BY26" s="89" t="s">
        <v>646</v>
      </c>
      <c r="BZ26" s="89" t="s">
        <v>646</v>
      </c>
      <c r="CA26" s="89" t="s">
        <v>646</v>
      </c>
      <c r="CB26" s="89" t="s">
        <v>17670</v>
      </c>
      <c r="CC26" s="89" t="str">
        <f>HYPERLINK("https%3A%2F%2Fwww.webofscience.com%2Fwos%2Fwoscc%2Ffull-record%2FWOS:000681676300110","View Full Record in Web of Science")</f>
        <v>View Full Record in Web of Science</v>
      </c>
    </row>
    <row r="27" spans="1:81" ht="13.2" hidden="1" x14ac:dyDescent="0.25">
      <c r="A27" s="89" t="s">
        <v>17671</v>
      </c>
      <c r="B27" s="89" t="e">
        <f>+#REF!</f>
        <v>#REF!</v>
      </c>
      <c r="C27" s="90">
        <v>0</v>
      </c>
      <c r="D27" s="91" t="s">
        <v>17460</v>
      </c>
      <c r="E27" s="90" t="s">
        <v>645</v>
      </c>
      <c r="F27" s="90" t="s">
        <v>645</v>
      </c>
      <c r="G27" s="90">
        <v>0</v>
      </c>
      <c r="H27" s="89" t="s">
        <v>646</v>
      </c>
      <c r="I27" s="89" t="s">
        <v>17672</v>
      </c>
      <c r="J27" s="89" t="s">
        <v>646</v>
      </c>
      <c r="K27" s="89" t="s">
        <v>17674</v>
      </c>
      <c r="M27" s="89">
        <v>2022</v>
      </c>
      <c r="N27" s="89" t="s">
        <v>17673</v>
      </c>
      <c r="O27" s="89" t="s">
        <v>646</v>
      </c>
      <c r="P27" s="89" t="s">
        <v>646</v>
      </c>
      <c r="S27" s="89" t="s">
        <v>646</v>
      </c>
      <c r="U27" s="89" t="s">
        <v>17462</v>
      </c>
      <c r="W27" s="89" t="s">
        <v>646</v>
      </c>
      <c r="X27" s="89" t="s">
        <v>646</v>
      </c>
      <c r="Y27" s="89" t="s">
        <v>646</v>
      </c>
      <c r="Z27" s="89" t="s">
        <v>646</v>
      </c>
      <c r="AA27" s="89" t="s">
        <v>646</v>
      </c>
      <c r="AB27" s="89" t="s">
        <v>646</v>
      </c>
      <c r="AC27" s="89" t="s">
        <v>646</v>
      </c>
      <c r="AD27" s="89" t="s">
        <v>646</v>
      </c>
      <c r="AE27" s="89" t="s">
        <v>646</v>
      </c>
      <c r="AF27" s="89" t="s">
        <v>17674</v>
      </c>
      <c r="AG27" s="89" t="s">
        <v>646</v>
      </c>
      <c r="AH27" s="89" t="s">
        <v>646</v>
      </c>
      <c r="AI27" s="89" t="s">
        <v>646</v>
      </c>
      <c r="AJ27" s="89" t="s">
        <v>646</v>
      </c>
      <c r="AK27" s="89" t="s">
        <v>646</v>
      </c>
      <c r="AL27" s="89" t="s">
        <v>646</v>
      </c>
      <c r="AM27" s="89" t="s">
        <v>646</v>
      </c>
      <c r="AN27" s="89" t="s">
        <v>646</v>
      </c>
      <c r="AO27" s="89" t="s">
        <v>646</v>
      </c>
      <c r="AP27" s="89" t="s">
        <v>646</v>
      </c>
      <c r="AQ27" s="89" t="s">
        <v>646</v>
      </c>
      <c r="AR27" s="89" t="s">
        <v>646</v>
      </c>
      <c r="AS27" s="89" t="s">
        <v>646</v>
      </c>
      <c r="AT27" s="89" t="s">
        <v>646</v>
      </c>
      <c r="AU27" s="89" t="s">
        <v>646</v>
      </c>
      <c r="AV27" s="89" t="s">
        <v>646</v>
      </c>
      <c r="AW27" s="89" t="s">
        <v>646</v>
      </c>
      <c r="AX27" s="89" t="s">
        <v>646</v>
      </c>
      <c r="AY27" s="89" t="s">
        <v>17675</v>
      </c>
      <c r="AZ27" s="89" t="s">
        <v>646</v>
      </c>
      <c r="BA27" s="89" t="s">
        <v>646</v>
      </c>
      <c r="BB27" s="89" t="s">
        <v>646</v>
      </c>
      <c r="BC27" s="89" t="s">
        <v>646</v>
      </c>
      <c r="BD27" s="89" t="s">
        <v>17676</v>
      </c>
      <c r="BE27" s="89">
        <v>2022</v>
      </c>
      <c r="BF27" s="89">
        <v>18</v>
      </c>
      <c r="BG27" s="89">
        <v>2</v>
      </c>
      <c r="BH27" s="89" t="s">
        <v>646</v>
      </c>
      <c r="BI27" s="89" t="s">
        <v>646</v>
      </c>
      <c r="BJ27" s="89" t="s">
        <v>17555</v>
      </c>
      <c r="BK27" s="89" t="s">
        <v>646</v>
      </c>
      <c r="BL27" s="89">
        <v>17</v>
      </c>
      <c r="BM27" s="89">
        <v>25</v>
      </c>
      <c r="BN27" s="89" t="s">
        <v>646</v>
      </c>
      <c r="BO27" s="89" t="s">
        <v>646</v>
      </c>
      <c r="BP27" s="89" t="s">
        <v>646</v>
      </c>
      <c r="BQ27" s="89" t="s">
        <v>646</v>
      </c>
      <c r="BR27" s="89" t="s">
        <v>646</v>
      </c>
      <c r="BS27" s="89" t="s">
        <v>646</v>
      </c>
      <c r="BT27" s="89" t="s">
        <v>646</v>
      </c>
      <c r="BU27" s="89" t="s">
        <v>646</v>
      </c>
      <c r="BV27" s="89" t="s">
        <v>646</v>
      </c>
      <c r="BW27" s="89" t="s">
        <v>646</v>
      </c>
      <c r="BX27" s="89" t="s">
        <v>646</v>
      </c>
      <c r="BY27" s="89" t="s">
        <v>646</v>
      </c>
      <c r="BZ27" s="89" t="s">
        <v>646</v>
      </c>
      <c r="CA27" s="89" t="s">
        <v>646</v>
      </c>
      <c r="CB27" s="89" t="s">
        <v>17677</v>
      </c>
      <c r="CC27" s="89" t="str">
        <f>HYPERLINK("https%3A%2F%2Fwww.webofscience.com%2Fwos%2Fwoscc%2Ffull-record%2FWOS:000826657200003","View Full Record in Web of Science")</f>
        <v>View Full Record in Web of Science</v>
      </c>
    </row>
    <row r="28" spans="1:81" ht="13.2" x14ac:dyDescent="0.25">
      <c r="A28" s="89" t="s">
        <v>17679</v>
      </c>
      <c r="B28" s="89" t="s">
        <v>17678</v>
      </c>
      <c r="C28" s="90">
        <v>1</v>
      </c>
      <c r="D28" s="91" t="s">
        <v>17460</v>
      </c>
      <c r="E28" s="90" t="s">
        <v>645</v>
      </c>
      <c r="F28" s="90" t="s">
        <v>645</v>
      </c>
      <c r="G28" s="90">
        <v>1</v>
      </c>
      <c r="H28" s="89" t="s">
        <v>17680</v>
      </c>
      <c r="I28" s="89" t="s">
        <v>17681</v>
      </c>
      <c r="J28" s="89" t="s">
        <v>646</v>
      </c>
      <c r="K28" s="89" t="s">
        <v>17683</v>
      </c>
      <c r="M28" s="89">
        <v>2021</v>
      </c>
      <c r="N28" s="89" t="s">
        <v>17682</v>
      </c>
      <c r="O28" s="89" t="s">
        <v>646</v>
      </c>
      <c r="P28" s="89" t="str">
        <f>HYPERLINK("http://dx.doi.org/10.1093/jpo/joab015","http://dx.doi.org/10.1093/jpo/joab015")</f>
        <v>http://dx.doi.org/10.1093/jpo/joab015</v>
      </c>
      <c r="S28" s="89" t="s">
        <v>646</v>
      </c>
      <c r="U28" s="89" t="s">
        <v>17462</v>
      </c>
      <c r="V28" s="100"/>
      <c r="W28" s="89" t="s">
        <v>646</v>
      </c>
      <c r="X28" s="89" t="s">
        <v>646</v>
      </c>
      <c r="Y28" s="89" t="s">
        <v>646</v>
      </c>
      <c r="Z28" s="89" t="s">
        <v>646</v>
      </c>
      <c r="AA28" s="89" t="s">
        <v>646</v>
      </c>
      <c r="AB28" s="89" t="s">
        <v>646</v>
      </c>
      <c r="AC28" s="89" t="s">
        <v>646</v>
      </c>
      <c r="AD28" s="89" t="s">
        <v>646</v>
      </c>
      <c r="AE28" s="89" t="s">
        <v>646</v>
      </c>
      <c r="AF28" s="89" t="s">
        <v>17683</v>
      </c>
      <c r="AG28" s="89" t="s">
        <v>646</v>
      </c>
      <c r="AH28" s="89" t="s">
        <v>646</v>
      </c>
      <c r="AI28" s="89" t="s">
        <v>646</v>
      </c>
      <c r="AJ28" s="89" t="s">
        <v>646</v>
      </c>
      <c r="AK28" s="89" t="s">
        <v>646</v>
      </c>
      <c r="AL28" s="89" t="s">
        <v>17684</v>
      </c>
      <c r="AM28" s="89" t="s">
        <v>646</v>
      </c>
      <c r="AN28" s="89" t="s">
        <v>646</v>
      </c>
      <c r="AO28" s="89" t="s">
        <v>646</v>
      </c>
      <c r="AP28" s="89" t="s">
        <v>646</v>
      </c>
      <c r="AQ28" s="89" t="s">
        <v>646</v>
      </c>
      <c r="AR28" s="89" t="s">
        <v>646</v>
      </c>
      <c r="AS28" s="89" t="s">
        <v>646</v>
      </c>
      <c r="AT28" s="89" t="s">
        <v>646</v>
      </c>
      <c r="AU28" s="89" t="s">
        <v>646</v>
      </c>
      <c r="AV28" s="89" t="s">
        <v>646</v>
      </c>
      <c r="AW28" s="89" t="s">
        <v>646</v>
      </c>
      <c r="AX28" s="89" t="s">
        <v>646</v>
      </c>
      <c r="AY28" s="89" t="s">
        <v>17685</v>
      </c>
      <c r="AZ28" s="89" t="s">
        <v>17686</v>
      </c>
      <c r="BA28" s="89" t="s">
        <v>646</v>
      </c>
      <c r="BB28" s="89" t="s">
        <v>646</v>
      </c>
      <c r="BC28" s="89" t="s">
        <v>646</v>
      </c>
      <c r="BD28" s="89" t="s">
        <v>17687</v>
      </c>
      <c r="BE28" s="89">
        <v>2021</v>
      </c>
      <c r="BF28" s="89">
        <v>8</v>
      </c>
      <c r="BG28" s="89">
        <v>3</v>
      </c>
      <c r="BH28" s="89" t="s">
        <v>646</v>
      </c>
      <c r="BI28" s="89" t="s">
        <v>646</v>
      </c>
      <c r="BJ28" s="89" t="s">
        <v>646</v>
      </c>
      <c r="BK28" s="89" t="s">
        <v>646</v>
      </c>
      <c r="BL28" s="89">
        <v>374</v>
      </c>
      <c r="BM28" s="89">
        <v>393</v>
      </c>
      <c r="BN28" s="89" t="s">
        <v>646</v>
      </c>
      <c r="BO28" s="89" t="str">
        <f>HYPERLINK("http://dx.doi.org/10.1093/jpo/joab015","http://dx.doi.org/10.1093/jpo/joab015")</f>
        <v>http://dx.doi.org/10.1093/jpo/joab015</v>
      </c>
      <c r="BP28" s="89" t="s">
        <v>646</v>
      </c>
      <c r="BQ28" s="89" t="s">
        <v>17688</v>
      </c>
      <c r="BR28" s="89" t="s">
        <v>646</v>
      </c>
      <c r="BS28" s="89" t="s">
        <v>646</v>
      </c>
      <c r="BT28" s="89" t="s">
        <v>646</v>
      </c>
      <c r="BU28" s="89" t="s">
        <v>646</v>
      </c>
      <c r="BV28" s="89" t="s">
        <v>646</v>
      </c>
      <c r="BW28" s="89" t="s">
        <v>646</v>
      </c>
      <c r="BX28" s="89" t="s">
        <v>646</v>
      </c>
      <c r="BY28" s="89" t="s">
        <v>646</v>
      </c>
      <c r="BZ28" s="89" t="s">
        <v>646</v>
      </c>
      <c r="CA28" s="89" t="s">
        <v>646</v>
      </c>
      <c r="CB28" s="89" t="s">
        <v>17689</v>
      </c>
      <c r="CC28" s="89" t="str">
        <f>HYPERLINK("https%3A%2F%2Fwww.webofscience.com%2Fwos%2Fwoscc%2Ffull-record%2FWOS:000744271500008","View Full Record in Web of Science")</f>
        <v>View Full Record in Web of Science</v>
      </c>
    </row>
    <row r="29" spans="1:81" ht="13.2" hidden="1" x14ac:dyDescent="0.25">
      <c r="A29" s="89" t="s">
        <v>17690</v>
      </c>
      <c r="B29" s="89" t="e">
        <f>+#REF!</f>
        <v>#REF!</v>
      </c>
      <c r="C29" s="90"/>
      <c r="D29" s="91" t="s">
        <v>17460</v>
      </c>
      <c r="E29" s="90" t="s">
        <v>645</v>
      </c>
      <c r="F29" s="90">
        <v>0</v>
      </c>
      <c r="G29" s="90"/>
      <c r="H29" s="89" t="s">
        <v>646</v>
      </c>
      <c r="I29" s="89" t="s">
        <v>17691</v>
      </c>
      <c r="J29" s="89" t="s">
        <v>17694</v>
      </c>
      <c r="K29" s="89" t="s">
        <v>17693</v>
      </c>
      <c r="M29" s="89">
        <v>2021</v>
      </c>
      <c r="N29" s="89" t="s">
        <v>17692</v>
      </c>
      <c r="O29" s="89" t="s">
        <v>646</v>
      </c>
      <c r="P29" s="89" t="s">
        <v>646</v>
      </c>
      <c r="S29" s="89" t="s">
        <v>646</v>
      </c>
      <c r="U29" s="89" t="s">
        <v>17462</v>
      </c>
      <c r="W29" s="89" t="s">
        <v>646</v>
      </c>
      <c r="X29" s="89" t="s">
        <v>646</v>
      </c>
      <c r="Y29" s="89" t="s">
        <v>646</v>
      </c>
      <c r="Z29" s="89" t="s">
        <v>646</v>
      </c>
      <c r="AA29" s="89" t="s">
        <v>646</v>
      </c>
      <c r="AB29" s="89" t="s">
        <v>646</v>
      </c>
      <c r="AC29" s="89" t="s">
        <v>646</v>
      </c>
      <c r="AD29" s="89" t="s">
        <v>646</v>
      </c>
      <c r="AE29" s="89" t="s">
        <v>646</v>
      </c>
      <c r="AF29" s="89" t="s">
        <v>17693</v>
      </c>
      <c r="AG29" s="89" t="s">
        <v>646</v>
      </c>
      <c r="AH29" s="89" t="s">
        <v>646</v>
      </c>
      <c r="AI29" s="89" t="s">
        <v>646</v>
      </c>
      <c r="AJ29" s="89" t="s">
        <v>646</v>
      </c>
      <c r="AK29" s="89" t="s">
        <v>17694</v>
      </c>
      <c r="AL29" s="89" t="s">
        <v>17695</v>
      </c>
      <c r="AM29" s="89" t="s">
        <v>646</v>
      </c>
      <c r="AN29" s="89" t="s">
        <v>646</v>
      </c>
      <c r="AO29" s="89" t="s">
        <v>646</v>
      </c>
      <c r="AP29" s="89" t="s">
        <v>646</v>
      </c>
      <c r="AQ29" s="89" t="s">
        <v>646</v>
      </c>
      <c r="AR29" s="89" t="s">
        <v>646</v>
      </c>
      <c r="AS29" s="89" t="s">
        <v>646</v>
      </c>
      <c r="AT29" s="89" t="s">
        <v>646</v>
      </c>
      <c r="AU29" s="89" t="s">
        <v>646</v>
      </c>
      <c r="AV29" s="89" t="s">
        <v>646</v>
      </c>
      <c r="AW29" s="89" t="s">
        <v>646</v>
      </c>
      <c r="AX29" s="89" t="s">
        <v>646</v>
      </c>
      <c r="AY29" s="89" t="s">
        <v>17696</v>
      </c>
      <c r="AZ29" s="89" t="s">
        <v>17697</v>
      </c>
      <c r="BA29" s="89" t="s">
        <v>646</v>
      </c>
      <c r="BB29" s="89" t="s">
        <v>646</v>
      </c>
      <c r="BC29" s="89" t="s">
        <v>646</v>
      </c>
      <c r="BD29" s="89" t="s">
        <v>646</v>
      </c>
      <c r="BE29" s="89">
        <v>2021</v>
      </c>
      <c r="BF29" s="89">
        <v>21</v>
      </c>
      <c r="BG29" s="89">
        <v>2</v>
      </c>
      <c r="BH29" s="89" t="s">
        <v>646</v>
      </c>
      <c r="BI29" s="89" t="s">
        <v>646</v>
      </c>
      <c r="BJ29" s="89" t="s">
        <v>646</v>
      </c>
      <c r="BK29" s="89" t="s">
        <v>646</v>
      </c>
      <c r="BL29" s="89">
        <v>523</v>
      </c>
      <c r="BM29" s="89">
        <v>532</v>
      </c>
      <c r="BN29" s="89" t="s">
        <v>646</v>
      </c>
      <c r="BO29" s="89" t="s">
        <v>646</v>
      </c>
      <c r="BP29" s="89" t="s">
        <v>646</v>
      </c>
      <c r="BQ29" s="89" t="s">
        <v>646</v>
      </c>
      <c r="BR29" s="89" t="s">
        <v>646</v>
      </c>
      <c r="BS29" s="89" t="s">
        <v>646</v>
      </c>
      <c r="BT29" s="89" t="s">
        <v>646</v>
      </c>
      <c r="BU29" s="89" t="s">
        <v>646</v>
      </c>
      <c r="BV29" s="89" t="s">
        <v>646</v>
      </c>
      <c r="BW29" s="89" t="s">
        <v>646</v>
      </c>
      <c r="BX29" s="89" t="s">
        <v>646</v>
      </c>
      <c r="BY29" s="89" t="s">
        <v>646</v>
      </c>
      <c r="BZ29" s="89" t="s">
        <v>646</v>
      </c>
      <c r="CA29" s="89" t="s">
        <v>646</v>
      </c>
      <c r="CB29" s="89" t="s">
        <v>17698</v>
      </c>
      <c r="CC29" s="89" t="str">
        <f>HYPERLINK("https%3A%2F%2Fwww.webofscience.com%2Fwos%2Fwoscc%2Ffull-record%2FWOS:000664986400061","View Full Record in Web of Science")</f>
        <v>View Full Record in Web of Science</v>
      </c>
    </row>
    <row r="30" spans="1:81" ht="13.2" hidden="1" x14ac:dyDescent="0.25">
      <c r="A30" s="92" t="s">
        <v>17699</v>
      </c>
      <c r="B30" s="92" t="e">
        <f>+#REF!</f>
        <v>#REF!</v>
      </c>
      <c r="C30" s="90">
        <v>1</v>
      </c>
      <c r="D30" s="91" t="s">
        <v>17460</v>
      </c>
      <c r="E30" s="90" t="s">
        <v>645</v>
      </c>
      <c r="F30" s="90" t="s">
        <v>645</v>
      </c>
      <c r="G30" s="90">
        <v>0</v>
      </c>
      <c r="H30" s="89" t="s">
        <v>17700</v>
      </c>
      <c r="I30" s="89" t="s">
        <v>17701</v>
      </c>
      <c r="J30" s="89" t="s">
        <v>646</v>
      </c>
      <c r="K30" s="89" t="s">
        <v>17703</v>
      </c>
      <c r="M30" s="89">
        <v>2022</v>
      </c>
      <c r="N30" s="89" t="s">
        <v>17702</v>
      </c>
      <c r="O30" s="89" t="s">
        <v>646</v>
      </c>
      <c r="P30" s="89" t="str">
        <f>HYPERLINK("http://dx.doi.org/10.5209/crla.78648","http://dx.doi.org/10.5209/crla.78648")</f>
        <v>http://dx.doi.org/10.5209/crla.78648</v>
      </c>
      <c r="S30" s="89" t="s">
        <v>646</v>
      </c>
      <c r="U30" s="89" t="s">
        <v>17462</v>
      </c>
      <c r="W30" s="89" t="s">
        <v>646</v>
      </c>
      <c r="X30" s="89" t="s">
        <v>646</v>
      </c>
      <c r="Y30" s="89" t="s">
        <v>646</v>
      </c>
      <c r="Z30" s="89" t="s">
        <v>646</v>
      </c>
      <c r="AA30" s="89" t="s">
        <v>646</v>
      </c>
      <c r="AB30" s="89" t="s">
        <v>646</v>
      </c>
      <c r="AC30" s="89" t="s">
        <v>646</v>
      </c>
      <c r="AD30" s="89" t="s">
        <v>646</v>
      </c>
      <c r="AE30" s="89" t="s">
        <v>646</v>
      </c>
      <c r="AF30" s="89" t="s">
        <v>17703</v>
      </c>
      <c r="AG30" s="89" t="s">
        <v>646</v>
      </c>
      <c r="AH30" s="89" t="s">
        <v>646</v>
      </c>
      <c r="AI30" s="89" t="s">
        <v>646</v>
      </c>
      <c r="AJ30" s="89" t="s">
        <v>646</v>
      </c>
      <c r="AK30" s="89" t="s">
        <v>646</v>
      </c>
      <c r="AL30" s="89" t="s">
        <v>646</v>
      </c>
      <c r="AM30" s="89" t="s">
        <v>646</v>
      </c>
      <c r="AN30" s="89" t="s">
        <v>646</v>
      </c>
      <c r="AO30" s="89" t="s">
        <v>646</v>
      </c>
      <c r="AP30" s="89" t="s">
        <v>646</v>
      </c>
      <c r="AQ30" s="89" t="s">
        <v>646</v>
      </c>
      <c r="AR30" s="89" t="s">
        <v>646</v>
      </c>
      <c r="AS30" s="89" t="s">
        <v>646</v>
      </c>
      <c r="AT30" s="89" t="s">
        <v>646</v>
      </c>
      <c r="AU30" s="89" t="s">
        <v>646</v>
      </c>
      <c r="AV30" s="89" t="s">
        <v>646</v>
      </c>
      <c r="AW30" s="89" t="s">
        <v>646</v>
      </c>
      <c r="AX30" s="89" t="s">
        <v>646</v>
      </c>
      <c r="AY30" s="89" t="s">
        <v>17704</v>
      </c>
      <c r="AZ30" s="89" t="s">
        <v>17705</v>
      </c>
      <c r="BA30" s="89" t="s">
        <v>646</v>
      </c>
      <c r="BB30" s="89" t="s">
        <v>646</v>
      </c>
      <c r="BC30" s="89" t="s">
        <v>646</v>
      </c>
      <c r="BD30" s="89" t="s">
        <v>646</v>
      </c>
      <c r="BE30" s="89">
        <v>2022</v>
      </c>
      <c r="BF30" s="89">
        <v>40</v>
      </c>
      <c r="BG30" s="89">
        <v>2</v>
      </c>
      <c r="BH30" s="89" t="s">
        <v>646</v>
      </c>
      <c r="BI30" s="89" t="s">
        <v>646</v>
      </c>
      <c r="BJ30" s="89" t="s">
        <v>646</v>
      </c>
      <c r="BK30" s="89" t="s">
        <v>646</v>
      </c>
      <c r="BL30" s="89">
        <v>325</v>
      </c>
      <c r="BM30" s="89">
        <v>343</v>
      </c>
      <c r="BN30" s="89" t="s">
        <v>646</v>
      </c>
      <c r="BO30" s="89" t="str">
        <f>HYPERLINK("http://dx.doi.org/10.5209/crla.78648","http://dx.doi.org/10.5209/crla.78648")</f>
        <v>http://dx.doi.org/10.5209/crla.78648</v>
      </c>
      <c r="BP30" s="89" t="s">
        <v>646</v>
      </c>
      <c r="BQ30" s="89" t="s">
        <v>646</v>
      </c>
      <c r="BR30" s="89" t="s">
        <v>646</v>
      </c>
      <c r="BS30" s="89" t="s">
        <v>646</v>
      </c>
      <c r="BT30" s="89" t="s">
        <v>646</v>
      </c>
      <c r="BU30" s="89" t="s">
        <v>646</v>
      </c>
      <c r="BV30" s="89" t="s">
        <v>646</v>
      </c>
      <c r="BW30" s="89" t="s">
        <v>646</v>
      </c>
      <c r="BX30" s="89" t="s">
        <v>646</v>
      </c>
      <c r="BY30" s="89" t="s">
        <v>646</v>
      </c>
      <c r="BZ30" s="89" t="s">
        <v>646</v>
      </c>
      <c r="CA30" s="89" t="s">
        <v>646</v>
      </c>
      <c r="CB30" s="89" t="s">
        <v>17706</v>
      </c>
      <c r="CC30" s="89" t="str">
        <f>HYPERLINK("https%3A%2F%2Fwww.webofscience.com%2Fwos%2Fwoscc%2Ffull-record%2FWOS:000839296000004","View Full Record in Web of Science")</f>
        <v>View Full Record in Web of Science</v>
      </c>
    </row>
    <row r="31" spans="1:81" ht="13.2" x14ac:dyDescent="0.25">
      <c r="A31" s="89" t="s">
        <v>17708</v>
      </c>
      <c r="B31" s="89" t="s">
        <v>17707</v>
      </c>
      <c r="C31" s="90">
        <v>1</v>
      </c>
      <c r="D31" s="91" t="s">
        <v>17460</v>
      </c>
      <c r="E31" s="90">
        <v>1</v>
      </c>
      <c r="F31" s="90">
        <v>1</v>
      </c>
      <c r="G31" s="90">
        <v>1</v>
      </c>
      <c r="H31" s="89" t="s">
        <v>17709</v>
      </c>
      <c r="I31" s="89" t="s">
        <v>17710</v>
      </c>
      <c r="J31" s="89" t="s">
        <v>646</v>
      </c>
      <c r="K31" s="89" t="s">
        <v>17712</v>
      </c>
      <c r="M31" s="89">
        <v>2021</v>
      </c>
      <c r="N31" s="89" t="s">
        <v>17711</v>
      </c>
      <c r="O31" s="89" t="s">
        <v>646</v>
      </c>
      <c r="P31" s="89" t="str">
        <f>HYPERLINK("http://dx.doi.org/10.22452/mjcs.vol34no1.5","http://dx.doi.org/10.22452/mjcs.vol34no1.5")</f>
        <v>http://dx.doi.org/10.22452/mjcs.vol34no1.5</v>
      </c>
      <c r="S31" s="89" t="s">
        <v>646</v>
      </c>
      <c r="U31" s="89" t="s">
        <v>17462</v>
      </c>
      <c r="V31" s="100"/>
      <c r="W31" s="89" t="s">
        <v>646</v>
      </c>
      <c r="X31" s="89" t="s">
        <v>646</v>
      </c>
      <c r="Y31" s="89" t="s">
        <v>646</v>
      </c>
      <c r="Z31" s="89" t="s">
        <v>646</v>
      </c>
      <c r="AA31" s="89" t="s">
        <v>646</v>
      </c>
      <c r="AB31" s="89" t="s">
        <v>646</v>
      </c>
      <c r="AC31" s="89" t="s">
        <v>646</v>
      </c>
      <c r="AD31" s="89" t="s">
        <v>646</v>
      </c>
      <c r="AE31" s="89" t="s">
        <v>646</v>
      </c>
      <c r="AF31" s="89" t="s">
        <v>17712</v>
      </c>
      <c r="AG31" s="89" t="s">
        <v>646</v>
      </c>
      <c r="AH31" s="89" t="s">
        <v>646</v>
      </c>
      <c r="AI31" s="89" t="s">
        <v>646</v>
      </c>
      <c r="AJ31" s="89" t="s">
        <v>646</v>
      </c>
      <c r="AK31" s="89" t="s">
        <v>646</v>
      </c>
      <c r="AL31" s="89" t="s">
        <v>646</v>
      </c>
      <c r="AM31" s="89" t="s">
        <v>646</v>
      </c>
      <c r="AN31" s="89" t="s">
        <v>646</v>
      </c>
      <c r="AO31" s="89" t="s">
        <v>646</v>
      </c>
      <c r="AP31" s="89" t="s">
        <v>646</v>
      </c>
      <c r="AQ31" s="89" t="s">
        <v>646</v>
      </c>
      <c r="AR31" s="89" t="s">
        <v>646</v>
      </c>
      <c r="AS31" s="89" t="s">
        <v>646</v>
      </c>
      <c r="AT31" s="89" t="s">
        <v>646</v>
      </c>
      <c r="AU31" s="89" t="s">
        <v>646</v>
      </c>
      <c r="AV31" s="89" t="s">
        <v>646</v>
      </c>
      <c r="AW31" s="89" t="s">
        <v>646</v>
      </c>
      <c r="AX31" s="89" t="s">
        <v>646</v>
      </c>
      <c r="AY31" s="89" t="s">
        <v>17713</v>
      </c>
      <c r="AZ31" s="89" t="s">
        <v>646</v>
      </c>
      <c r="BA31" s="89" t="s">
        <v>646</v>
      </c>
      <c r="BB31" s="89" t="s">
        <v>646</v>
      </c>
      <c r="BC31" s="89" t="s">
        <v>646</v>
      </c>
      <c r="BD31" s="89" t="s">
        <v>646</v>
      </c>
      <c r="BE31" s="89">
        <v>2021</v>
      </c>
      <c r="BF31" s="89">
        <v>34</v>
      </c>
      <c r="BG31" s="89">
        <v>1</v>
      </c>
      <c r="BH31" s="89" t="s">
        <v>646</v>
      </c>
      <c r="BI31" s="89" t="s">
        <v>646</v>
      </c>
      <c r="BJ31" s="89" t="s">
        <v>646</v>
      </c>
      <c r="BK31" s="89" t="s">
        <v>646</v>
      </c>
      <c r="BL31" s="89">
        <v>82</v>
      </c>
      <c r="BM31" s="89">
        <v>129</v>
      </c>
      <c r="BN31" s="89" t="s">
        <v>646</v>
      </c>
      <c r="BO31" s="89" t="str">
        <f>HYPERLINK("http://dx.doi.org/10.22452/mjcs.vol34no1.5","http://dx.doi.org/10.22452/mjcs.vol34no1.5")</f>
        <v>http://dx.doi.org/10.22452/mjcs.vol34no1.5</v>
      </c>
      <c r="BP31" s="89" t="s">
        <v>646</v>
      </c>
      <c r="BQ31" s="89" t="s">
        <v>646</v>
      </c>
      <c r="BR31" s="89" t="s">
        <v>646</v>
      </c>
      <c r="BS31" s="89" t="s">
        <v>646</v>
      </c>
      <c r="BT31" s="89" t="s">
        <v>646</v>
      </c>
      <c r="BU31" s="89" t="s">
        <v>646</v>
      </c>
      <c r="BV31" s="89" t="s">
        <v>646</v>
      </c>
      <c r="BW31" s="89" t="s">
        <v>646</v>
      </c>
      <c r="BX31" s="89" t="s">
        <v>646</v>
      </c>
      <c r="BY31" s="89" t="s">
        <v>646</v>
      </c>
      <c r="BZ31" s="89" t="s">
        <v>646</v>
      </c>
      <c r="CA31" s="89" t="s">
        <v>646</v>
      </c>
      <c r="CB31" s="89" t="s">
        <v>17714</v>
      </c>
      <c r="CC31" s="89" t="str">
        <f>HYPERLINK("https%3A%2F%2Fwww.webofscience.com%2Fwos%2Fwoscc%2Ffull-record%2FWOS:000614619200004","View Full Record in Web of Science")</f>
        <v>View Full Record in Web of Science</v>
      </c>
    </row>
    <row r="32" spans="1:81" ht="13.2" hidden="1" x14ac:dyDescent="0.25">
      <c r="A32" s="89" t="s">
        <v>17715</v>
      </c>
      <c r="B32" s="89" t="e">
        <f>+#REF!</f>
        <v>#REF!</v>
      </c>
      <c r="C32" s="90">
        <v>1</v>
      </c>
      <c r="D32" s="91" t="s">
        <v>17460</v>
      </c>
      <c r="E32" s="90">
        <v>1</v>
      </c>
      <c r="F32" s="90" t="s">
        <v>645</v>
      </c>
      <c r="G32" s="90">
        <v>0</v>
      </c>
      <c r="H32" s="89" t="s">
        <v>646</v>
      </c>
      <c r="I32" s="89" t="s">
        <v>17716</v>
      </c>
      <c r="J32" s="89" t="s">
        <v>646</v>
      </c>
      <c r="K32" s="89" t="s">
        <v>17718</v>
      </c>
      <c r="M32" s="89">
        <v>2021</v>
      </c>
      <c r="N32" s="89" t="s">
        <v>17717</v>
      </c>
      <c r="O32" s="89" t="s">
        <v>646</v>
      </c>
      <c r="P32" s="89" t="s">
        <v>646</v>
      </c>
      <c r="S32" s="89" t="s">
        <v>646</v>
      </c>
      <c r="U32" s="89" t="s">
        <v>17462</v>
      </c>
      <c r="W32" s="89" t="s">
        <v>646</v>
      </c>
      <c r="X32" s="89" t="s">
        <v>646</v>
      </c>
      <c r="Y32" s="89" t="s">
        <v>646</v>
      </c>
      <c r="Z32" s="89" t="s">
        <v>646</v>
      </c>
      <c r="AA32" s="89" t="s">
        <v>646</v>
      </c>
      <c r="AB32" s="89" t="s">
        <v>646</v>
      </c>
      <c r="AC32" s="89" t="s">
        <v>646</v>
      </c>
      <c r="AD32" s="89" t="s">
        <v>646</v>
      </c>
      <c r="AE32" s="89" t="s">
        <v>646</v>
      </c>
      <c r="AF32" s="89" t="s">
        <v>17718</v>
      </c>
      <c r="AG32" s="89" t="s">
        <v>646</v>
      </c>
      <c r="AH32" s="89" t="s">
        <v>646</v>
      </c>
      <c r="AI32" s="89" t="s">
        <v>646</v>
      </c>
      <c r="AJ32" s="89" t="s">
        <v>646</v>
      </c>
      <c r="AK32" s="89" t="s">
        <v>646</v>
      </c>
      <c r="AL32" s="89" t="s">
        <v>646</v>
      </c>
      <c r="AM32" s="89" t="s">
        <v>646</v>
      </c>
      <c r="AN32" s="89" t="s">
        <v>646</v>
      </c>
      <c r="AO32" s="89" t="s">
        <v>646</v>
      </c>
      <c r="AP32" s="89" t="s">
        <v>646</v>
      </c>
      <c r="AQ32" s="89" t="s">
        <v>646</v>
      </c>
      <c r="AR32" s="89" t="s">
        <v>646</v>
      </c>
      <c r="AS32" s="89" t="s">
        <v>646</v>
      </c>
      <c r="AT32" s="89" t="s">
        <v>646</v>
      </c>
      <c r="AU32" s="89" t="s">
        <v>646</v>
      </c>
      <c r="AV32" s="89" t="s">
        <v>646</v>
      </c>
      <c r="AW32" s="89" t="s">
        <v>646</v>
      </c>
      <c r="AX32" s="89" t="s">
        <v>646</v>
      </c>
      <c r="AY32" s="89" t="s">
        <v>17719</v>
      </c>
      <c r="AZ32" s="89" t="s">
        <v>646</v>
      </c>
      <c r="BA32" s="89" t="s">
        <v>646</v>
      </c>
      <c r="BB32" s="89" t="s">
        <v>646</v>
      </c>
      <c r="BC32" s="89" t="s">
        <v>646</v>
      </c>
      <c r="BD32" s="89" t="s">
        <v>17720</v>
      </c>
      <c r="BE32" s="89">
        <v>2021</v>
      </c>
      <c r="BF32" s="89">
        <v>76</v>
      </c>
      <c r="BG32" s="89">
        <v>3</v>
      </c>
      <c r="BH32" s="89" t="s">
        <v>646</v>
      </c>
      <c r="BI32" s="89" t="s">
        <v>646</v>
      </c>
      <c r="BJ32" s="89" t="s">
        <v>646</v>
      </c>
      <c r="BK32" s="89" t="s">
        <v>646</v>
      </c>
      <c r="BL32" s="89">
        <v>541</v>
      </c>
      <c r="BM32" s="89">
        <v>564</v>
      </c>
      <c r="BN32" s="89" t="s">
        <v>646</v>
      </c>
      <c r="BO32" s="89" t="s">
        <v>646</v>
      </c>
      <c r="BP32" s="89" t="s">
        <v>646</v>
      </c>
      <c r="BQ32" s="89" t="s">
        <v>646</v>
      </c>
      <c r="BR32" s="89" t="s">
        <v>646</v>
      </c>
      <c r="BS32" s="89" t="s">
        <v>646</v>
      </c>
      <c r="BT32" s="89" t="s">
        <v>646</v>
      </c>
      <c r="BU32" s="89" t="s">
        <v>646</v>
      </c>
      <c r="BV32" s="89" t="s">
        <v>646</v>
      </c>
      <c r="BW32" s="89" t="s">
        <v>646</v>
      </c>
      <c r="BX32" s="89" t="s">
        <v>646</v>
      </c>
      <c r="BY32" s="89" t="s">
        <v>646</v>
      </c>
      <c r="BZ32" s="89" t="s">
        <v>646</v>
      </c>
      <c r="CA32" s="89" t="s">
        <v>646</v>
      </c>
      <c r="CB32" s="89" t="s">
        <v>17721</v>
      </c>
      <c r="CC32" s="89" t="str">
        <f>HYPERLINK("https%3A%2F%2Fwww.webofscience.com%2Fwos%2Fwoscc%2Ffull-record%2FWOS:000759877400008","View Full Record in Web of Science")</f>
        <v>View Full Record in Web of Science</v>
      </c>
    </row>
    <row r="33" spans="1:81" ht="13.2" hidden="1" x14ac:dyDescent="0.25">
      <c r="A33" s="89" t="s">
        <v>17722</v>
      </c>
      <c r="B33" s="89" t="e">
        <f>+#REF!</f>
        <v>#REF!</v>
      </c>
      <c r="C33" s="89"/>
      <c r="D33" s="91" t="s">
        <v>17460</v>
      </c>
      <c r="E33" s="90">
        <v>0</v>
      </c>
      <c r="F33" s="89">
        <v>0</v>
      </c>
      <c r="G33" s="89"/>
      <c r="H33" s="89" t="s">
        <v>17723</v>
      </c>
      <c r="I33" s="89" t="s">
        <v>17724</v>
      </c>
      <c r="J33" s="89" t="s">
        <v>646</v>
      </c>
      <c r="K33" s="89" t="s">
        <v>17726</v>
      </c>
      <c r="M33" s="89">
        <v>2020</v>
      </c>
      <c r="N33" s="89" t="s">
        <v>17725</v>
      </c>
      <c r="O33" s="89" t="s">
        <v>646</v>
      </c>
      <c r="P33" s="89" t="str">
        <f>HYPERLINK("http://dx.doi.org/10.29333/iejme/8462","http://dx.doi.org/10.29333/iejme/8462")</f>
        <v>http://dx.doi.org/10.29333/iejme/8462</v>
      </c>
      <c r="S33" s="89" t="s">
        <v>646</v>
      </c>
      <c r="U33" s="89" t="s">
        <v>17462</v>
      </c>
      <c r="W33" s="89" t="s">
        <v>646</v>
      </c>
      <c r="X33" s="89" t="s">
        <v>646</v>
      </c>
      <c r="Y33" s="89" t="s">
        <v>646</v>
      </c>
      <c r="Z33" s="89" t="s">
        <v>646</v>
      </c>
      <c r="AA33" s="89" t="s">
        <v>646</v>
      </c>
      <c r="AB33" s="89" t="s">
        <v>646</v>
      </c>
      <c r="AC33" s="89" t="s">
        <v>646</v>
      </c>
      <c r="AD33" s="89" t="s">
        <v>646</v>
      </c>
      <c r="AE33" s="89" t="s">
        <v>646</v>
      </c>
      <c r="AF33" s="89" t="s">
        <v>17726</v>
      </c>
      <c r="AG33" s="89" t="s">
        <v>646</v>
      </c>
      <c r="AH33" s="89" t="s">
        <v>646</v>
      </c>
      <c r="AI33" s="89" t="s">
        <v>646</v>
      </c>
      <c r="AJ33" s="89" t="s">
        <v>646</v>
      </c>
      <c r="AK33" s="89" t="s">
        <v>646</v>
      </c>
      <c r="AL33" s="89" t="s">
        <v>646</v>
      </c>
      <c r="AM33" s="89" t="s">
        <v>646</v>
      </c>
      <c r="AN33" s="89" t="s">
        <v>646</v>
      </c>
      <c r="AO33" s="89" t="s">
        <v>646</v>
      </c>
      <c r="AP33" s="89" t="s">
        <v>646</v>
      </c>
      <c r="AQ33" s="89" t="s">
        <v>646</v>
      </c>
      <c r="AR33" s="89" t="s">
        <v>646</v>
      </c>
      <c r="AS33" s="89" t="s">
        <v>646</v>
      </c>
      <c r="AT33" s="89" t="s">
        <v>646</v>
      </c>
      <c r="AU33" s="89" t="s">
        <v>646</v>
      </c>
      <c r="AV33" s="89" t="s">
        <v>646</v>
      </c>
      <c r="AW33" s="89" t="s">
        <v>646</v>
      </c>
      <c r="AX33" s="89" t="s">
        <v>646</v>
      </c>
      <c r="AY33" s="89" t="s">
        <v>17727</v>
      </c>
      <c r="AZ33" s="89" t="s">
        <v>646</v>
      </c>
      <c r="BA33" s="89" t="s">
        <v>646</v>
      </c>
      <c r="BB33" s="89" t="s">
        <v>646</v>
      </c>
      <c r="BC33" s="89" t="s">
        <v>646</v>
      </c>
      <c r="BD33" s="89" t="s">
        <v>17687</v>
      </c>
      <c r="BE33" s="89">
        <v>2020</v>
      </c>
      <c r="BF33" s="89">
        <v>15</v>
      </c>
      <c r="BG33" s="89">
        <v>3</v>
      </c>
      <c r="BH33" s="89" t="s">
        <v>646</v>
      </c>
      <c r="BI33" s="89" t="s">
        <v>646</v>
      </c>
      <c r="BJ33" s="89" t="s">
        <v>646</v>
      </c>
      <c r="BK33" s="89" t="s">
        <v>646</v>
      </c>
      <c r="BL33" s="89" t="s">
        <v>646</v>
      </c>
      <c r="BM33" s="89" t="s">
        <v>646</v>
      </c>
      <c r="BN33" s="89" t="s">
        <v>17728</v>
      </c>
      <c r="BO33" s="89" t="str">
        <f>HYPERLINK("http://dx.doi.org/10.29333/iejme/8462","http://dx.doi.org/10.29333/iejme/8462")</f>
        <v>http://dx.doi.org/10.29333/iejme/8462</v>
      </c>
      <c r="BP33" s="89" t="s">
        <v>646</v>
      </c>
      <c r="BQ33" s="89" t="s">
        <v>646</v>
      </c>
      <c r="BR33" s="89" t="s">
        <v>646</v>
      </c>
      <c r="BS33" s="89" t="s">
        <v>646</v>
      </c>
      <c r="BT33" s="89" t="s">
        <v>646</v>
      </c>
      <c r="BU33" s="89" t="s">
        <v>646</v>
      </c>
      <c r="BV33" s="89" t="s">
        <v>646</v>
      </c>
      <c r="BW33" s="89" t="s">
        <v>646</v>
      </c>
      <c r="BX33" s="89" t="s">
        <v>646</v>
      </c>
      <c r="BY33" s="89" t="s">
        <v>646</v>
      </c>
      <c r="BZ33" s="89" t="s">
        <v>646</v>
      </c>
      <c r="CA33" s="89" t="s">
        <v>646</v>
      </c>
      <c r="CB33" s="89" t="s">
        <v>17729</v>
      </c>
      <c r="CC33" s="89" t="str">
        <f>HYPERLINK("https%3A%2F%2Fwww.webofscience.com%2Fwos%2Fwoscc%2Ffull-record%2FWOS:000821941600024","View Full Record in Web of Science")</f>
        <v>View Full Record in Web of Science</v>
      </c>
    </row>
    <row r="34" spans="1:81" ht="13.2" hidden="1" x14ac:dyDescent="0.25">
      <c r="A34" s="89" t="s">
        <v>17730</v>
      </c>
      <c r="B34" s="89" t="e">
        <f>+#REF!</f>
        <v>#REF!</v>
      </c>
      <c r="C34" s="90">
        <v>1</v>
      </c>
      <c r="D34" s="91" t="s">
        <v>17460</v>
      </c>
      <c r="E34" s="90">
        <v>1</v>
      </c>
      <c r="F34" s="90">
        <v>1</v>
      </c>
      <c r="G34" s="90">
        <v>0</v>
      </c>
      <c r="H34" s="89" t="s">
        <v>17731</v>
      </c>
      <c r="I34" s="89" t="s">
        <v>17732</v>
      </c>
      <c r="J34" s="89" t="s">
        <v>17735</v>
      </c>
      <c r="K34" s="89" t="s">
        <v>17734</v>
      </c>
      <c r="M34" s="89">
        <v>2020</v>
      </c>
      <c r="N34" s="89" t="s">
        <v>17733</v>
      </c>
      <c r="O34" s="89" t="s">
        <v>646</v>
      </c>
      <c r="P34" s="89" t="str">
        <f>HYPERLINK("http://dx.doi.org/10.12775/EiP.2020.037","http://dx.doi.org/10.12775/EiP.2020.037")</f>
        <v>http://dx.doi.org/10.12775/EiP.2020.037</v>
      </c>
      <c r="S34" s="89" t="s">
        <v>646</v>
      </c>
      <c r="U34" s="89" t="s">
        <v>17462</v>
      </c>
      <c r="W34" s="89" t="s">
        <v>646</v>
      </c>
      <c r="X34" s="89" t="s">
        <v>646</v>
      </c>
      <c r="Y34" s="89" t="s">
        <v>646</v>
      </c>
      <c r="Z34" s="89" t="s">
        <v>646</v>
      </c>
      <c r="AA34" s="89" t="s">
        <v>646</v>
      </c>
      <c r="AB34" s="89" t="s">
        <v>646</v>
      </c>
      <c r="AC34" s="89" t="s">
        <v>646</v>
      </c>
      <c r="AD34" s="89" t="s">
        <v>646</v>
      </c>
      <c r="AE34" s="89" t="s">
        <v>646</v>
      </c>
      <c r="AF34" s="89" t="s">
        <v>17734</v>
      </c>
      <c r="AG34" s="89" t="s">
        <v>646</v>
      </c>
      <c r="AH34" s="89" t="s">
        <v>646</v>
      </c>
      <c r="AI34" s="89" t="s">
        <v>646</v>
      </c>
      <c r="AJ34" s="89" t="s">
        <v>646</v>
      </c>
      <c r="AK34" s="89" t="s">
        <v>17735</v>
      </c>
      <c r="AL34" s="89" t="s">
        <v>17736</v>
      </c>
      <c r="AM34" s="89" t="s">
        <v>646</v>
      </c>
      <c r="AN34" s="89" t="s">
        <v>646</v>
      </c>
      <c r="AO34" s="89" t="s">
        <v>646</v>
      </c>
      <c r="AP34" s="89" t="s">
        <v>646</v>
      </c>
      <c r="AQ34" s="89" t="s">
        <v>646</v>
      </c>
      <c r="AR34" s="89" t="s">
        <v>646</v>
      </c>
      <c r="AS34" s="89" t="s">
        <v>646</v>
      </c>
      <c r="AT34" s="89" t="s">
        <v>646</v>
      </c>
      <c r="AU34" s="89" t="s">
        <v>646</v>
      </c>
      <c r="AV34" s="89" t="s">
        <v>646</v>
      </c>
      <c r="AW34" s="89" t="s">
        <v>646</v>
      </c>
      <c r="AX34" s="89" t="s">
        <v>646</v>
      </c>
      <c r="AY34" s="89" t="s">
        <v>17737</v>
      </c>
      <c r="AZ34" s="89" t="s">
        <v>17738</v>
      </c>
      <c r="BA34" s="89" t="s">
        <v>646</v>
      </c>
      <c r="BB34" s="89" t="s">
        <v>646</v>
      </c>
      <c r="BC34" s="89" t="s">
        <v>646</v>
      </c>
      <c r="BD34" s="89" t="s">
        <v>17739</v>
      </c>
      <c r="BE34" s="89">
        <v>2020</v>
      </c>
      <c r="BF34" s="89">
        <v>19</v>
      </c>
      <c r="BG34" s="89">
        <v>3</v>
      </c>
      <c r="BH34" s="89" t="s">
        <v>646</v>
      </c>
      <c r="BI34" s="89" t="s">
        <v>646</v>
      </c>
      <c r="BJ34" s="89" t="s">
        <v>646</v>
      </c>
      <c r="BK34" s="89" t="s">
        <v>646</v>
      </c>
      <c r="BL34" s="89">
        <v>551</v>
      </c>
      <c r="BM34" s="89">
        <v>568</v>
      </c>
      <c r="BN34" s="89" t="s">
        <v>646</v>
      </c>
      <c r="BO34" s="89" t="str">
        <f>HYPERLINK("http://dx.doi.org/10.12775/EiP.2020.037","http://dx.doi.org/10.12775/EiP.2020.037")</f>
        <v>http://dx.doi.org/10.12775/EiP.2020.037</v>
      </c>
      <c r="BP34" s="89" t="s">
        <v>646</v>
      </c>
      <c r="BQ34" s="89" t="s">
        <v>646</v>
      </c>
      <c r="BR34" s="89" t="s">
        <v>646</v>
      </c>
      <c r="BS34" s="89" t="s">
        <v>646</v>
      </c>
      <c r="BT34" s="89" t="s">
        <v>646</v>
      </c>
      <c r="BU34" s="89" t="s">
        <v>646</v>
      </c>
      <c r="BV34" s="89" t="s">
        <v>646</v>
      </c>
      <c r="BW34" s="89" t="s">
        <v>646</v>
      </c>
      <c r="BX34" s="89" t="s">
        <v>646</v>
      </c>
      <c r="BY34" s="89" t="s">
        <v>646</v>
      </c>
      <c r="BZ34" s="89" t="s">
        <v>646</v>
      </c>
      <c r="CA34" s="89" t="s">
        <v>646</v>
      </c>
      <c r="CB34" s="89" t="s">
        <v>17740</v>
      </c>
      <c r="CC34" s="89" t="str">
        <f>HYPERLINK("https%3A%2F%2Fwww.webofscience.com%2Fwos%2Fwoscc%2Ffull-record%2FWOS:000610786600010","View Full Record in Web of Science")</f>
        <v>View Full Record in Web of Science</v>
      </c>
    </row>
    <row r="35" spans="1:81" ht="13.2" hidden="1" x14ac:dyDescent="0.25">
      <c r="A35" s="89" t="s">
        <v>17741</v>
      </c>
      <c r="B35" s="89" t="e">
        <f>+#REF!</f>
        <v>#REF!</v>
      </c>
      <c r="C35" s="89"/>
      <c r="D35" s="91" t="s">
        <v>17460</v>
      </c>
      <c r="E35" s="90">
        <v>0</v>
      </c>
      <c r="F35" s="89">
        <v>0</v>
      </c>
      <c r="G35" s="89"/>
      <c r="H35" s="89" t="s">
        <v>646</v>
      </c>
      <c r="I35" s="89" t="s">
        <v>17742</v>
      </c>
      <c r="J35" s="89" t="s">
        <v>646</v>
      </c>
      <c r="K35" s="89" t="s">
        <v>17744</v>
      </c>
      <c r="M35" s="89">
        <v>2017</v>
      </c>
      <c r="N35" s="89" t="s">
        <v>17743</v>
      </c>
      <c r="O35" s="89" t="s">
        <v>646</v>
      </c>
      <c r="P35" s="89" t="s">
        <v>646</v>
      </c>
      <c r="S35" s="89" t="s">
        <v>646</v>
      </c>
      <c r="U35" s="89" t="s">
        <v>17462</v>
      </c>
      <c r="W35" s="89" t="s">
        <v>646</v>
      </c>
      <c r="X35" s="89" t="s">
        <v>646</v>
      </c>
      <c r="Y35" s="89" t="s">
        <v>646</v>
      </c>
      <c r="Z35" s="89" t="s">
        <v>646</v>
      </c>
      <c r="AA35" s="89" t="s">
        <v>646</v>
      </c>
      <c r="AB35" s="89" t="s">
        <v>646</v>
      </c>
      <c r="AC35" s="89" t="s">
        <v>646</v>
      </c>
      <c r="AD35" s="89" t="s">
        <v>646</v>
      </c>
      <c r="AE35" s="89" t="s">
        <v>646</v>
      </c>
      <c r="AF35" s="89" t="s">
        <v>17744</v>
      </c>
      <c r="AG35" s="89" t="s">
        <v>646</v>
      </c>
      <c r="AH35" s="89" t="s">
        <v>646</v>
      </c>
      <c r="AI35" s="89" t="s">
        <v>646</v>
      </c>
      <c r="AJ35" s="89" t="s">
        <v>646</v>
      </c>
      <c r="AK35" s="89" t="s">
        <v>646</v>
      </c>
      <c r="AL35" s="89" t="s">
        <v>646</v>
      </c>
      <c r="AM35" s="89" t="s">
        <v>646</v>
      </c>
      <c r="AN35" s="89" t="s">
        <v>646</v>
      </c>
      <c r="AO35" s="89" t="s">
        <v>646</v>
      </c>
      <c r="AP35" s="89" t="s">
        <v>646</v>
      </c>
      <c r="AQ35" s="89" t="s">
        <v>646</v>
      </c>
      <c r="AR35" s="89" t="s">
        <v>646</v>
      </c>
      <c r="AS35" s="89" t="s">
        <v>646</v>
      </c>
      <c r="AT35" s="89" t="s">
        <v>646</v>
      </c>
      <c r="AU35" s="89" t="s">
        <v>646</v>
      </c>
      <c r="AV35" s="89" t="s">
        <v>646</v>
      </c>
      <c r="AW35" s="89" t="s">
        <v>646</v>
      </c>
      <c r="AX35" s="89" t="s">
        <v>646</v>
      </c>
      <c r="AY35" s="89" t="s">
        <v>17745</v>
      </c>
      <c r="AZ35" s="89" t="s">
        <v>646</v>
      </c>
      <c r="BA35" s="89" t="s">
        <v>646</v>
      </c>
      <c r="BB35" s="89" t="s">
        <v>646</v>
      </c>
      <c r="BC35" s="89" t="s">
        <v>646</v>
      </c>
      <c r="BD35" s="89" t="s">
        <v>17513</v>
      </c>
      <c r="BE35" s="89">
        <v>2017</v>
      </c>
      <c r="BF35" s="89">
        <v>19</v>
      </c>
      <c r="BG35" s="89">
        <v>1</v>
      </c>
      <c r="BH35" s="89" t="s">
        <v>646</v>
      </c>
      <c r="BI35" s="89" t="s">
        <v>646</v>
      </c>
      <c r="BJ35" s="89" t="s">
        <v>646</v>
      </c>
      <c r="BK35" s="89" t="s">
        <v>646</v>
      </c>
      <c r="BL35" s="89">
        <v>10</v>
      </c>
      <c r="BM35" s="89">
        <v>13</v>
      </c>
      <c r="BN35" s="89" t="s">
        <v>646</v>
      </c>
      <c r="BO35" s="89" t="s">
        <v>646</v>
      </c>
      <c r="BP35" s="89" t="s">
        <v>646</v>
      </c>
      <c r="BQ35" s="89" t="s">
        <v>646</v>
      </c>
      <c r="BR35" s="89" t="s">
        <v>646</v>
      </c>
      <c r="BS35" s="89" t="s">
        <v>646</v>
      </c>
      <c r="BT35" s="89" t="s">
        <v>646</v>
      </c>
      <c r="BU35" s="89" t="s">
        <v>646</v>
      </c>
      <c r="BV35" s="89" t="s">
        <v>646</v>
      </c>
      <c r="BW35" s="89" t="s">
        <v>646</v>
      </c>
      <c r="BX35" s="89" t="s">
        <v>646</v>
      </c>
      <c r="BY35" s="89" t="s">
        <v>646</v>
      </c>
      <c r="BZ35" s="89" t="s">
        <v>646</v>
      </c>
      <c r="CA35" s="89" t="s">
        <v>646</v>
      </c>
      <c r="CB35" s="89" t="s">
        <v>17746</v>
      </c>
      <c r="CC35" s="89" t="str">
        <f>HYPERLINK("https%3A%2F%2Fwww.webofscience.com%2Fwos%2Fwoscc%2Ffull-record%2FWOS:000619177700004","View Full Record in Web of Science")</f>
        <v>View Full Record in Web of Science</v>
      </c>
    </row>
    <row r="36" spans="1:81" ht="13.2" hidden="1" x14ac:dyDescent="0.25">
      <c r="A36" s="89" t="s">
        <v>17747</v>
      </c>
      <c r="B36" s="89" t="e">
        <f>+#REF!</f>
        <v>#REF!</v>
      </c>
      <c r="C36" s="89"/>
      <c r="D36" s="91" t="s">
        <v>17460</v>
      </c>
      <c r="E36" s="90">
        <v>0</v>
      </c>
      <c r="F36" s="89">
        <v>0</v>
      </c>
      <c r="G36" s="89"/>
      <c r="H36" s="89" t="s">
        <v>17748</v>
      </c>
      <c r="I36" s="89" t="s">
        <v>17749</v>
      </c>
      <c r="J36" s="89" t="s">
        <v>646</v>
      </c>
      <c r="K36" s="89" t="s">
        <v>17751</v>
      </c>
      <c r="M36" s="89">
        <v>2021</v>
      </c>
      <c r="N36" s="89" t="s">
        <v>17750</v>
      </c>
      <c r="O36" s="89" t="s">
        <v>646</v>
      </c>
      <c r="P36" s="89" t="str">
        <f>HYPERLINK("http://dx.doi.org/10.1287/isre.2021.0998","http://dx.doi.org/10.1287/isre.2021.0998")</f>
        <v>http://dx.doi.org/10.1287/isre.2021.0998</v>
      </c>
      <c r="S36" s="89" t="s">
        <v>646</v>
      </c>
      <c r="U36" s="89" t="s">
        <v>17462</v>
      </c>
      <c r="W36" s="89" t="s">
        <v>646</v>
      </c>
      <c r="X36" s="89" t="s">
        <v>646</v>
      </c>
      <c r="Y36" s="89" t="s">
        <v>646</v>
      </c>
      <c r="Z36" s="89" t="s">
        <v>646</v>
      </c>
      <c r="AA36" s="89" t="s">
        <v>646</v>
      </c>
      <c r="AB36" s="89" t="s">
        <v>646</v>
      </c>
      <c r="AC36" s="89" t="s">
        <v>646</v>
      </c>
      <c r="AD36" s="89" t="s">
        <v>646</v>
      </c>
      <c r="AE36" s="89" t="s">
        <v>646</v>
      </c>
      <c r="AF36" s="89" t="s">
        <v>17751</v>
      </c>
      <c r="AG36" s="89" t="s">
        <v>646</v>
      </c>
      <c r="AH36" s="89" t="s">
        <v>646</v>
      </c>
      <c r="AI36" s="89" t="s">
        <v>646</v>
      </c>
      <c r="AJ36" s="89" t="s">
        <v>646</v>
      </c>
      <c r="AK36" s="89" t="s">
        <v>646</v>
      </c>
      <c r="AL36" s="89" t="s">
        <v>17752</v>
      </c>
      <c r="AM36" s="89" t="s">
        <v>646</v>
      </c>
      <c r="AN36" s="89" t="s">
        <v>646</v>
      </c>
      <c r="AO36" s="89" t="s">
        <v>646</v>
      </c>
      <c r="AP36" s="89" t="s">
        <v>646</v>
      </c>
      <c r="AQ36" s="89" t="s">
        <v>646</v>
      </c>
      <c r="AR36" s="89" t="s">
        <v>646</v>
      </c>
      <c r="AS36" s="89" t="s">
        <v>646</v>
      </c>
      <c r="AT36" s="89" t="s">
        <v>646</v>
      </c>
      <c r="AU36" s="89" t="s">
        <v>646</v>
      </c>
      <c r="AV36" s="89" t="s">
        <v>646</v>
      </c>
      <c r="AW36" s="89" t="s">
        <v>646</v>
      </c>
      <c r="AX36" s="89" t="s">
        <v>646</v>
      </c>
      <c r="AY36" s="89" t="s">
        <v>17753</v>
      </c>
      <c r="AZ36" s="89" t="s">
        <v>17754</v>
      </c>
      <c r="BA36" s="89" t="s">
        <v>646</v>
      </c>
      <c r="BB36" s="89" t="s">
        <v>646</v>
      </c>
      <c r="BC36" s="89" t="s">
        <v>646</v>
      </c>
      <c r="BD36" s="89" t="s">
        <v>17739</v>
      </c>
      <c r="BE36" s="89">
        <v>2021</v>
      </c>
      <c r="BF36" s="89">
        <v>32</v>
      </c>
      <c r="BG36" s="89">
        <v>3</v>
      </c>
      <c r="BH36" s="89" t="s">
        <v>646</v>
      </c>
      <c r="BI36" s="89" t="s">
        <v>646</v>
      </c>
      <c r="BJ36" s="89" t="s">
        <v>646</v>
      </c>
      <c r="BK36" s="89" t="s">
        <v>646</v>
      </c>
      <c r="BL36" s="89">
        <v>895</v>
      </c>
      <c r="BM36" s="89">
        <v>913</v>
      </c>
      <c r="BN36" s="89" t="s">
        <v>646</v>
      </c>
      <c r="BO36" s="89" t="str">
        <f>HYPERLINK("http://dx.doi.org/10.1287/isre.2021.0998","http://dx.doi.org/10.1287/isre.2021.0998")</f>
        <v>http://dx.doi.org/10.1287/isre.2021.0998</v>
      </c>
      <c r="BP36" s="89" t="s">
        <v>646</v>
      </c>
      <c r="BQ36" s="89" t="s">
        <v>646</v>
      </c>
      <c r="BR36" s="89" t="s">
        <v>646</v>
      </c>
      <c r="BS36" s="89" t="s">
        <v>646</v>
      </c>
      <c r="BT36" s="89" t="s">
        <v>646</v>
      </c>
      <c r="BU36" s="89" t="s">
        <v>646</v>
      </c>
      <c r="BV36" s="89" t="s">
        <v>646</v>
      </c>
      <c r="BW36" s="89" t="s">
        <v>646</v>
      </c>
      <c r="BX36" s="89" t="s">
        <v>646</v>
      </c>
      <c r="BY36" s="89" t="s">
        <v>646</v>
      </c>
      <c r="BZ36" s="89" t="s">
        <v>646</v>
      </c>
      <c r="CA36" s="89" t="s">
        <v>646</v>
      </c>
      <c r="CB36" s="89" t="s">
        <v>17755</v>
      </c>
      <c r="CC36" s="89" t="str">
        <f>HYPERLINK("https%3A%2F%2Fwww.webofscience.com%2Fwos%2Fwoscc%2Ffull-record%2FWOS:000744138200013","View Full Record in Web of Science")</f>
        <v>View Full Record in Web of Science</v>
      </c>
    </row>
    <row r="37" spans="1:81" ht="13.2" hidden="1" x14ac:dyDescent="0.25">
      <c r="A37" s="89" t="s">
        <v>17756</v>
      </c>
      <c r="B37" s="89" t="e">
        <f>+#REF!</f>
        <v>#REF!</v>
      </c>
      <c r="C37" s="89"/>
      <c r="D37" s="91" t="s">
        <v>17460</v>
      </c>
      <c r="E37" s="90">
        <v>0</v>
      </c>
      <c r="F37" s="89">
        <v>0</v>
      </c>
      <c r="G37" s="89"/>
      <c r="H37" s="89" t="s">
        <v>17757</v>
      </c>
      <c r="I37" s="89" t="s">
        <v>17758</v>
      </c>
      <c r="J37" s="89" t="s">
        <v>646</v>
      </c>
      <c r="K37" s="89" t="s">
        <v>17760</v>
      </c>
      <c r="M37" s="89">
        <v>2022</v>
      </c>
      <c r="N37" s="89" t="s">
        <v>17759</v>
      </c>
      <c r="O37" s="89" t="s">
        <v>646</v>
      </c>
      <c r="P37" s="89" t="str">
        <f>HYPERLINK("http://dx.doi.org/10.1093/geroni/igab049","http://dx.doi.org/10.1093/geroni/igab049")</f>
        <v>http://dx.doi.org/10.1093/geroni/igab049</v>
      </c>
      <c r="S37" s="89" t="s">
        <v>646</v>
      </c>
      <c r="U37" s="89" t="s">
        <v>17462</v>
      </c>
      <c r="W37" s="89" t="s">
        <v>646</v>
      </c>
      <c r="X37" s="89" t="s">
        <v>646</v>
      </c>
      <c r="Y37" s="89" t="s">
        <v>646</v>
      </c>
      <c r="Z37" s="89" t="s">
        <v>646</v>
      </c>
      <c r="AA37" s="89" t="s">
        <v>646</v>
      </c>
      <c r="AB37" s="89" t="s">
        <v>646</v>
      </c>
      <c r="AC37" s="89" t="s">
        <v>646</v>
      </c>
      <c r="AD37" s="89" t="s">
        <v>646</v>
      </c>
      <c r="AE37" s="89" t="s">
        <v>646</v>
      </c>
      <c r="AF37" s="89" t="s">
        <v>17760</v>
      </c>
      <c r="AG37" s="89" t="s">
        <v>646</v>
      </c>
      <c r="AH37" s="89" t="s">
        <v>646</v>
      </c>
      <c r="AI37" s="89" t="s">
        <v>646</v>
      </c>
      <c r="AJ37" s="89" t="s">
        <v>646</v>
      </c>
      <c r="AK37" s="89" t="s">
        <v>646</v>
      </c>
      <c r="AL37" s="89" t="s">
        <v>17761</v>
      </c>
      <c r="AM37" s="89" t="s">
        <v>646</v>
      </c>
      <c r="AN37" s="89" t="s">
        <v>646</v>
      </c>
      <c r="AO37" s="89" t="s">
        <v>646</v>
      </c>
      <c r="AP37" s="89" t="s">
        <v>646</v>
      </c>
      <c r="AQ37" s="89" t="s">
        <v>646</v>
      </c>
      <c r="AR37" s="89" t="s">
        <v>646</v>
      </c>
      <c r="AS37" s="89" t="s">
        <v>646</v>
      </c>
      <c r="AT37" s="89" t="s">
        <v>646</v>
      </c>
      <c r="AU37" s="89" t="s">
        <v>646</v>
      </c>
      <c r="AV37" s="89" t="s">
        <v>646</v>
      </c>
      <c r="AW37" s="89" t="s">
        <v>646</v>
      </c>
      <c r="AX37" s="89" t="s">
        <v>646</v>
      </c>
      <c r="AY37" s="89" t="s">
        <v>646</v>
      </c>
      <c r="AZ37" s="89" t="s">
        <v>17762</v>
      </c>
      <c r="BA37" s="89" t="s">
        <v>646</v>
      </c>
      <c r="BB37" s="89" t="s">
        <v>646</v>
      </c>
      <c r="BC37" s="89" t="s">
        <v>646</v>
      </c>
      <c r="BD37" s="89" t="s">
        <v>646</v>
      </c>
      <c r="BE37" s="89">
        <v>2022</v>
      </c>
      <c r="BF37" s="89">
        <v>6</v>
      </c>
      <c r="BG37" s="89">
        <v>1</v>
      </c>
      <c r="BH37" s="89" t="s">
        <v>646</v>
      </c>
      <c r="BI37" s="89" t="s">
        <v>646</v>
      </c>
      <c r="BJ37" s="89" t="s">
        <v>646</v>
      </c>
      <c r="BK37" s="89" t="s">
        <v>646</v>
      </c>
      <c r="BL37" s="89" t="s">
        <v>646</v>
      </c>
      <c r="BM37" s="89" t="s">
        <v>646</v>
      </c>
      <c r="BN37" s="89" t="s">
        <v>17763</v>
      </c>
      <c r="BO37" s="89" t="str">
        <f>HYPERLINK("http://dx.doi.org/10.1093/geroni/igab049","http://dx.doi.org/10.1093/geroni/igab049")</f>
        <v>http://dx.doi.org/10.1093/geroni/igab049</v>
      </c>
      <c r="BP37" s="89" t="s">
        <v>646</v>
      </c>
      <c r="BQ37" s="89" t="s">
        <v>646</v>
      </c>
      <c r="BR37" s="89" t="s">
        <v>646</v>
      </c>
      <c r="BS37" s="89" t="s">
        <v>646</v>
      </c>
      <c r="BT37" s="89" t="s">
        <v>646</v>
      </c>
      <c r="BU37" s="89" t="s">
        <v>646</v>
      </c>
      <c r="BV37" s="89" t="s">
        <v>646</v>
      </c>
      <c r="BW37" s="89">
        <v>34993354</v>
      </c>
      <c r="BX37" s="89" t="s">
        <v>646</v>
      </c>
      <c r="BY37" s="89" t="s">
        <v>646</v>
      </c>
      <c r="BZ37" s="89" t="s">
        <v>646</v>
      </c>
      <c r="CA37" s="89" t="s">
        <v>646</v>
      </c>
      <c r="CB37" s="89" t="s">
        <v>17764</v>
      </c>
      <c r="CC37" s="89" t="str">
        <f>HYPERLINK("https%3A%2F%2Fwww.webofscience.com%2Fwos%2Fwoscc%2Ffull-record%2FWOS:000743607000001","View Full Record in Web of Science")</f>
        <v>View Full Record in Web of Science</v>
      </c>
    </row>
    <row r="38" spans="1:81" ht="13.2" hidden="1" x14ac:dyDescent="0.25">
      <c r="A38" s="89" t="s">
        <v>17765</v>
      </c>
      <c r="B38" s="89" t="e">
        <f>+#REF!</f>
        <v>#REF!</v>
      </c>
      <c r="C38" s="89"/>
      <c r="D38" s="91" t="s">
        <v>17460</v>
      </c>
      <c r="E38" s="90">
        <v>0</v>
      </c>
      <c r="F38" s="89">
        <v>0</v>
      </c>
      <c r="G38" s="89"/>
      <c r="H38" s="89" t="s">
        <v>17766</v>
      </c>
      <c r="I38" s="89" t="s">
        <v>17767</v>
      </c>
      <c r="J38" s="89" t="s">
        <v>646</v>
      </c>
      <c r="K38" s="89" t="s">
        <v>17769</v>
      </c>
      <c r="M38" s="89">
        <v>2021</v>
      </c>
      <c r="N38" s="89" t="s">
        <v>17768</v>
      </c>
      <c r="O38" s="89" t="s">
        <v>646</v>
      </c>
      <c r="P38" s="89" t="str">
        <f>HYPERLINK("http://dx.doi.org/10.1177/2031952520959335","http://dx.doi.org/10.1177/2031952520959335")</f>
        <v>http://dx.doi.org/10.1177/2031952520959335</v>
      </c>
      <c r="S38" s="89" t="s">
        <v>646</v>
      </c>
      <c r="U38" s="89" t="s">
        <v>17462</v>
      </c>
      <c r="W38" s="89" t="s">
        <v>646</v>
      </c>
      <c r="X38" s="89" t="s">
        <v>646</v>
      </c>
      <c r="Y38" s="89" t="s">
        <v>646</v>
      </c>
      <c r="Z38" s="89" t="s">
        <v>646</v>
      </c>
      <c r="AA38" s="89" t="s">
        <v>646</v>
      </c>
      <c r="AB38" s="89" t="s">
        <v>646</v>
      </c>
      <c r="AC38" s="89" t="s">
        <v>646</v>
      </c>
      <c r="AD38" s="89" t="s">
        <v>646</v>
      </c>
      <c r="AE38" s="89" t="s">
        <v>646</v>
      </c>
      <c r="AF38" s="89" t="s">
        <v>17769</v>
      </c>
      <c r="AG38" s="89" t="s">
        <v>646</v>
      </c>
      <c r="AH38" s="89" t="s">
        <v>646</v>
      </c>
      <c r="AI38" s="89" t="s">
        <v>646</v>
      </c>
      <c r="AJ38" s="89" t="s">
        <v>646</v>
      </c>
      <c r="AK38" s="89" t="s">
        <v>646</v>
      </c>
      <c r="AL38" s="89" t="s">
        <v>646</v>
      </c>
      <c r="AM38" s="89" t="s">
        <v>646</v>
      </c>
      <c r="AN38" s="89" t="s">
        <v>646</v>
      </c>
      <c r="AO38" s="89" t="s">
        <v>646</v>
      </c>
      <c r="AP38" s="89" t="s">
        <v>646</v>
      </c>
      <c r="AQ38" s="89" t="s">
        <v>646</v>
      </c>
      <c r="AR38" s="89" t="s">
        <v>646</v>
      </c>
      <c r="AS38" s="89" t="s">
        <v>646</v>
      </c>
      <c r="AT38" s="89" t="s">
        <v>646</v>
      </c>
      <c r="AU38" s="89" t="s">
        <v>646</v>
      </c>
      <c r="AV38" s="89" t="s">
        <v>646</v>
      </c>
      <c r="AW38" s="89" t="s">
        <v>646</v>
      </c>
      <c r="AX38" s="89" t="s">
        <v>646</v>
      </c>
      <c r="AY38" s="89" t="s">
        <v>17770</v>
      </c>
      <c r="AZ38" s="89" t="s">
        <v>17771</v>
      </c>
      <c r="BA38" s="89" t="s">
        <v>646</v>
      </c>
      <c r="BB38" s="89" t="s">
        <v>646</v>
      </c>
      <c r="BC38" s="89" t="s">
        <v>646</v>
      </c>
      <c r="BD38" s="89" t="s">
        <v>17772</v>
      </c>
      <c r="BE38" s="89">
        <v>2021</v>
      </c>
      <c r="BF38" s="89">
        <v>12</v>
      </c>
      <c r="BG38" s="89">
        <v>2</v>
      </c>
      <c r="BH38" s="89" t="s">
        <v>646</v>
      </c>
      <c r="BI38" s="89" t="s">
        <v>646</v>
      </c>
      <c r="BJ38" s="89" t="s">
        <v>646</v>
      </c>
      <c r="BK38" s="89" t="s">
        <v>646</v>
      </c>
      <c r="BL38" s="89">
        <v>156</v>
      </c>
      <c r="BM38" s="89">
        <v>176</v>
      </c>
      <c r="BN38" s="89" t="s">
        <v>646</v>
      </c>
      <c r="BO38" s="89" t="str">
        <f>HYPERLINK("http://dx.doi.org/10.1177/2031952520959335","http://dx.doi.org/10.1177/2031952520959335")</f>
        <v>http://dx.doi.org/10.1177/2031952520959335</v>
      </c>
      <c r="BP38" s="89" t="s">
        <v>646</v>
      </c>
      <c r="BQ38" s="89" t="s">
        <v>646</v>
      </c>
      <c r="BR38" s="89" t="s">
        <v>646</v>
      </c>
      <c r="BS38" s="89" t="s">
        <v>646</v>
      </c>
      <c r="BT38" s="89" t="s">
        <v>646</v>
      </c>
      <c r="BU38" s="89" t="s">
        <v>646</v>
      </c>
      <c r="BV38" s="89" t="s">
        <v>646</v>
      </c>
      <c r="BW38" s="89" t="s">
        <v>646</v>
      </c>
      <c r="BX38" s="89" t="s">
        <v>646</v>
      </c>
      <c r="BY38" s="89" t="s">
        <v>646</v>
      </c>
      <c r="BZ38" s="89" t="s">
        <v>646</v>
      </c>
      <c r="CA38" s="89" t="s">
        <v>646</v>
      </c>
      <c r="CB38" s="89" t="s">
        <v>17773</v>
      </c>
      <c r="CC38" s="89" t="str">
        <f>HYPERLINK("https%3A%2F%2Fwww.webofscience.com%2Fwos%2Fwoscc%2Ffull-record%2FWOS:000670477600003","View Full Record in Web of Science")</f>
        <v>View Full Record in Web of Science</v>
      </c>
    </row>
    <row r="39" spans="1:81" ht="13.2" hidden="1" x14ac:dyDescent="0.25">
      <c r="A39" s="89" t="s">
        <v>17774</v>
      </c>
      <c r="B39" s="89" t="e">
        <f>+#REF!</f>
        <v>#REF!</v>
      </c>
      <c r="C39" s="90">
        <v>1</v>
      </c>
      <c r="D39" s="91" t="s">
        <v>17460</v>
      </c>
      <c r="E39" s="90" t="s">
        <v>645</v>
      </c>
      <c r="F39" s="90" t="s">
        <v>645</v>
      </c>
      <c r="G39" s="90">
        <v>0</v>
      </c>
      <c r="H39" s="89" t="s">
        <v>17775</v>
      </c>
      <c r="I39" s="89" t="s">
        <v>17776</v>
      </c>
      <c r="J39" s="89" t="s">
        <v>646</v>
      </c>
      <c r="K39" s="89" t="s">
        <v>17777</v>
      </c>
      <c r="M39" s="89">
        <v>2022</v>
      </c>
      <c r="N39" s="89" t="s">
        <v>17768</v>
      </c>
      <c r="O39" s="89" t="s">
        <v>646</v>
      </c>
      <c r="P39" s="89" t="str">
        <f>HYPERLINK("http://dx.doi.org/10.1177/20319525211062557","http://dx.doi.org/10.1177/20319525211062557")</f>
        <v>http://dx.doi.org/10.1177/20319525211062557</v>
      </c>
      <c r="S39" s="89" t="s">
        <v>646</v>
      </c>
      <c r="U39" s="89" t="s">
        <v>17462</v>
      </c>
      <c r="W39" s="89" t="s">
        <v>646</v>
      </c>
      <c r="X39" s="89" t="s">
        <v>646</v>
      </c>
      <c r="Y39" s="89" t="s">
        <v>646</v>
      </c>
      <c r="Z39" s="89" t="s">
        <v>646</v>
      </c>
      <c r="AA39" s="89" t="s">
        <v>646</v>
      </c>
      <c r="AB39" s="89" t="s">
        <v>646</v>
      </c>
      <c r="AC39" s="89" t="s">
        <v>646</v>
      </c>
      <c r="AD39" s="89" t="s">
        <v>646</v>
      </c>
      <c r="AE39" s="89" t="s">
        <v>646</v>
      </c>
      <c r="AF39" s="89" t="s">
        <v>17777</v>
      </c>
      <c r="AG39" s="89" t="s">
        <v>646</v>
      </c>
      <c r="AH39" s="89" t="s">
        <v>646</v>
      </c>
      <c r="AI39" s="89" t="s">
        <v>646</v>
      </c>
      <c r="AJ39" s="89" t="s">
        <v>646</v>
      </c>
      <c r="AK39" s="89" t="s">
        <v>646</v>
      </c>
      <c r="AL39" s="89" t="s">
        <v>17778</v>
      </c>
      <c r="AM39" s="89" t="s">
        <v>646</v>
      </c>
      <c r="AN39" s="89" t="s">
        <v>646</v>
      </c>
      <c r="AO39" s="89" t="s">
        <v>646</v>
      </c>
      <c r="AP39" s="89" t="s">
        <v>646</v>
      </c>
      <c r="AQ39" s="89" t="s">
        <v>646</v>
      </c>
      <c r="AR39" s="89" t="s">
        <v>646</v>
      </c>
      <c r="AS39" s="89" t="s">
        <v>646</v>
      </c>
      <c r="AT39" s="89" t="s">
        <v>646</v>
      </c>
      <c r="AU39" s="89" t="s">
        <v>646</v>
      </c>
      <c r="AV39" s="89" t="s">
        <v>646</v>
      </c>
      <c r="AW39" s="89" t="s">
        <v>646</v>
      </c>
      <c r="AX39" s="89" t="s">
        <v>646</v>
      </c>
      <c r="AY39" s="89" t="s">
        <v>17770</v>
      </c>
      <c r="AZ39" s="89" t="s">
        <v>17771</v>
      </c>
      <c r="BA39" s="89" t="s">
        <v>646</v>
      </c>
      <c r="BB39" s="89" t="s">
        <v>646</v>
      </c>
      <c r="BC39" s="89" t="s">
        <v>646</v>
      </c>
      <c r="BD39" s="89" t="s">
        <v>17779</v>
      </c>
      <c r="BE39" s="89">
        <v>2022</v>
      </c>
      <c r="BF39" s="89">
        <v>13</v>
      </c>
      <c r="BG39" s="89">
        <v>1</v>
      </c>
      <c r="BH39" s="89" t="s">
        <v>646</v>
      </c>
      <c r="BI39" s="89" t="s">
        <v>646</v>
      </c>
      <c r="BJ39" s="89" t="s">
        <v>646</v>
      </c>
      <c r="BK39" s="89" t="s">
        <v>646</v>
      </c>
      <c r="BL39" s="89">
        <v>4</v>
      </c>
      <c r="BM39" s="89">
        <v>29</v>
      </c>
      <c r="BN39" s="89" t="s">
        <v>646</v>
      </c>
      <c r="BO39" s="89" t="str">
        <f>HYPERLINK("http://dx.doi.org/10.1177/20319525211062557","http://dx.doi.org/10.1177/20319525211062557")</f>
        <v>http://dx.doi.org/10.1177/20319525211062557</v>
      </c>
      <c r="BP39" s="89" t="s">
        <v>646</v>
      </c>
      <c r="BQ39" s="89" t="s">
        <v>646</v>
      </c>
      <c r="BR39" s="89" t="s">
        <v>646</v>
      </c>
      <c r="BS39" s="89" t="s">
        <v>646</v>
      </c>
      <c r="BT39" s="89" t="s">
        <v>646</v>
      </c>
      <c r="BU39" s="89" t="s">
        <v>646</v>
      </c>
      <c r="BV39" s="89" t="s">
        <v>646</v>
      </c>
      <c r="BW39" s="89" t="s">
        <v>646</v>
      </c>
      <c r="BX39" s="89" t="s">
        <v>646</v>
      </c>
      <c r="BY39" s="89" t="s">
        <v>646</v>
      </c>
      <c r="BZ39" s="89" t="s">
        <v>646</v>
      </c>
      <c r="CA39" s="89" t="s">
        <v>646</v>
      </c>
      <c r="CB39" s="89" t="s">
        <v>17780</v>
      </c>
      <c r="CC39" s="89" t="str">
        <f>HYPERLINK("https%3A%2F%2Fwww.webofscience.com%2Fwos%2Fwoscc%2Ffull-record%2FWOS:000755307900002","View Full Record in Web of Science")</f>
        <v>View Full Record in Web of Science</v>
      </c>
    </row>
    <row r="40" spans="1:81" ht="13.2" hidden="1" x14ac:dyDescent="0.25">
      <c r="A40" s="89" t="s">
        <v>17781</v>
      </c>
      <c r="B40" s="89" t="e">
        <f>+#REF!</f>
        <v>#REF!</v>
      </c>
      <c r="C40" s="90">
        <v>1</v>
      </c>
      <c r="D40" s="91" t="s">
        <v>17460</v>
      </c>
      <c r="E40" s="90" t="s">
        <v>645</v>
      </c>
      <c r="F40" s="90" t="s">
        <v>645</v>
      </c>
      <c r="G40" s="90">
        <v>0</v>
      </c>
      <c r="H40" s="89" t="s">
        <v>646</v>
      </c>
      <c r="I40" s="89" t="s">
        <v>17782</v>
      </c>
      <c r="J40" s="89" t="s">
        <v>646</v>
      </c>
      <c r="K40" s="89" t="s">
        <v>17784</v>
      </c>
      <c r="M40" s="89">
        <v>2022</v>
      </c>
      <c r="N40" s="89" t="s">
        <v>17783</v>
      </c>
      <c r="O40" s="89" t="s">
        <v>646</v>
      </c>
      <c r="P40" s="89" t="s">
        <v>646</v>
      </c>
      <c r="S40" s="89" t="s">
        <v>646</v>
      </c>
      <c r="U40" s="89" t="s">
        <v>17462</v>
      </c>
      <c r="W40" s="89" t="s">
        <v>646</v>
      </c>
      <c r="X40" s="89" t="s">
        <v>646</v>
      </c>
      <c r="Y40" s="89" t="s">
        <v>646</v>
      </c>
      <c r="Z40" s="89" t="s">
        <v>646</v>
      </c>
      <c r="AA40" s="89" t="s">
        <v>646</v>
      </c>
      <c r="AB40" s="89" t="s">
        <v>646</v>
      </c>
      <c r="AC40" s="89" t="s">
        <v>646</v>
      </c>
      <c r="AD40" s="89" t="s">
        <v>646</v>
      </c>
      <c r="AE40" s="89" t="s">
        <v>646</v>
      </c>
      <c r="AF40" s="89" t="s">
        <v>17784</v>
      </c>
      <c r="AG40" s="89" t="s">
        <v>646</v>
      </c>
      <c r="AH40" s="89" t="s">
        <v>646</v>
      </c>
      <c r="AI40" s="89" t="s">
        <v>646</v>
      </c>
      <c r="AJ40" s="89" t="s">
        <v>646</v>
      </c>
      <c r="AK40" s="89" t="s">
        <v>646</v>
      </c>
      <c r="AL40" s="89" t="s">
        <v>646</v>
      </c>
      <c r="AM40" s="89" t="s">
        <v>646</v>
      </c>
      <c r="AN40" s="89" t="s">
        <v>646</v>
      </c>
      <c r="AO40" s="89" t="s">
        <v>646</v>
      </c>
      <c r="AP40" s="89" t="s">
        <v>646</v>
      </c>
      <c r="AQ40" s="89" t="s">
        <v>646</v>
      </c>
      <c r="AR40" s="89" t="s">
        <v>646</v>
      </c>
      <c r="AS40" s="89" t="s">
        <v>646</v>
      </c>
      <c r="AT40" s="89" t="s">
        <v>646</v>
      </c>
      <c r="AU40" s="89" t="s">
        <v>646</v>
      </c>
      <c r="AV40" s="89" t="s">
        <v>646</v>
      </c>
      <c r="AW40" s="89" t="s">
        <v>646</v>
      </c>
      <c r="AX40" s="89" t="s">
        <v>646</v>
      </c>
      <c r="AY40" s="89" t="s">
        <v>17785</v>
      </c>
      <c r="AZ40" s="89" t="s">
        <v>17786</v>
      </c>
      <c r="BA40" s="89" t="s">
        <v>646</v>
      </c>
      <c r="BB40" s="89" t="s">
        <v>646</v>
      </c>
      <c r="BC40" s="89" t="s">
        <v>646</v>
      </c>
      <c r="BD40" s="89" t="s">
        <v>646</v>
      </c>
      <c r="BE40" s="89">
        <v>2022</v>
      </c>
      <c r="BF40" s="89">
        <v>30</v>
      </c>
      <c r="BG40" s="89" t="s">
        <v>646</v>
      </c>
      <c r="BH40" s="89" t="s">
        <v>646</v>
      </c>
      <c r="BI40" s="89" t="s">
        <v>646</v>
      </c>
      <c r="BJ40" s="89" t="s">
        <v>17555</v>
      </c>
      <c r="BK40" s="89" t="s">
        <v>646</v>
      </c>
      <c r="BL40" s="89">
        <v>1</v>
      </c>
      <c r="BM40" s="89">
        <v>33</v>
      </c>
      <c r="BN40" s="89" t="s">
        <v>646</v>
      </c>
      <c r="BO40" s="89" t="s">
        <v>646</v>
      </c>
      <c r="BP40" s="89" t="s">
        <v>646</v>
      </c>
      <c r="BQ40" s="89" t="s">
        <v>646</v>
      </c>
      <c r="BR40" s="89" t="s">
        <v>646</v>
      </c>
      <c r="BS40" s="89" t="s">
        <v>646</v>
      </c>
      <c r="BT40" s="89" t="s">
        <v>646</v>
      </c>
      <c r="BU40" s="89" t="s">
        <v>646</v>
      </c>
      <c r="BV40" s="89" t="s">
        <v>646</v>
      </c>
      <c r="BW40" s="89" t="s">
        <v>646</v>
      </c>
      <c r="BX40" s="89" t="s">
        <v>646</v>
      </c>
      <c r="BY40" s="89" t="s">
        <v>646</v>
      </c>
      <c r="BZ40" s="89" t="s">
        <v>646</v>
      </c>
      <c r="CA40" s="89" t="s">
        <v>646</v>
      </c>
      <c r="CB40" s="89" t="s">
        <v>17787</v>
      </c>
      <c r="CC40" s="89" t="str">
        <f>HYPERLINK("https%3A%2F%2Fwww.webofscience.com%2Fwos%2Fwoscc%2Ffull-record%2FWOS:000783349600001","View Full Record in Web of Science")</f>
        <v>View Full Record in Web of Science</v>
      </c>
    </row>
    <row r="41" spans="1:81" ht="13.2" hidden="1" x14ac:dyDescent="0.25">
      <c r="A41" s="89" t="s">
        <v>17788</v>
      </c>
      <c r="B41" s="89" t="e">
        <f>+#REF!</f>
        <v>#REF!</v>
      </c>
      <c r="C41" s="89"/>
      <c r="D41" s="91" t="s">
        <v>17460</v>
      </c>
      <c r="E41" s="90">
        <v>0</v>
      </c>
      <c r="F41" s="89">
        <v>0</v>
      </c>
      <c r="G41" s="89"/>
      <c r="H41" s="89" t="s">
        <v>646</v>
      </c>
      <c r="I41" s="89" t="s">
        <v>17789</v>
      </c>
      <c r="J41" s="89" t="s">
        <v>17791</v>
      </c>
      <c r="K41" s="89" t="s">
        <v>17790</v>
      </c>
      <c r="M41" s="89">
        <v>2022</v>
      </c>
      <c r="N41" s="89" t="s">
        <v>17783</v>
      </c>
      <c r="O41" s="89" t="s">
        <v>646</v>
      </c>
      <c r="P41" s="89" t="s">
        <v>646</v>
      </c>
      <c r="S41" s="89" t="s">
        <v>646</v>
      </c>
      <c r="U41" s="89" t="s">
        <v>17462</v>
      </c>
      <c r="W41" s="89" t="s">
        <v>646</v>
      </c>
      <c r="X41" s="89" t="s">
        <v>646</v>
      </c>
      <c r="Y41" s="89" t="s">
        <v>646</v>
      </c>
      <c r="Z41" s="89" t="s">
        <v>646</v>
      </c>
      <c r="AA41" s="89" t="s">
        <v>646</v>
      </c>
      <c r="AB41" s="89" t="s">
        <v>646</v>
      </c>
      <c r="AC41" s="89" t="s">
        <v>646</v>
      </c>
      <c r="AD41" s="89" t="s">
        <v>646</v>
      </c>
      <c r="AE41" s="89" t="s">
        <v>646</v>
      </c>
      <c r="AF41" s="89" t="s">
        <v>17790</v>
      </c>
      <c r="AG41" s="89" t="s">
        <v>646</v>
      </c>
      <c r="AH41" s="89" t="s">
        <v>646</v>
      </c>
      <c r="AI41" s="89" t="s">
        <v>646</v>
      </c>
      <c r="AJ41" s="89" t="s">
        <v>646</v>
      </c>
      <c r="AK41" s="89" t="s">
        <v>17791</v>
      </c>
      <c r="AL41" s="89" t="s">
        <v>17792</v>
      </c>
      <c r="AM41" s="89" t="s">
        <v>646</v>
      </c>
      <c r="AN41" s="89" t="s">
        <v>646</v>
      </c>
      <c r="AO41" s="89" t="s">
        <v>646</v>
      </c>
      <c r="AP41" s="89" t="s">
        <v>646</v>
      </c>
      <c r="AQ41" s="89" t="s">
        <v>646</v>
      </c>
      <c r="AR41" s="89" t="s">
        <v>646</v>
      </c>
      <c r="AS41" s="89" t="s">
        <v>646</v>
      </c>
      <c r="AT41" s="89" t="s">
        <v>646</v>
      </c>
      <c r="AU41" s="89" t="s">
        <v>646</v>
      </c>
      <c r="AV41" s="89" t="s">
        <v>646</v>
      </c>
      <c r="AW41" s="89" t="s">
        <v>646</v>
      </c>
      <c r="AX41" s="89" t="s">
        <v>646</v>
      </c>
      <c r="AY41" s="89" t="s">
        <v>17785</v>
      </c>
      <c r="AZ41" s="89" t="s">
        <v>17786</v>
      </c>
      <c r="BA41" s="89" t="s">
        <v>646</v>
      </c>
      <c r="BB41" s="89" t="s">
        <v>646</v>
      </c>
      <c r="BC41" s="89" t="s">
        <v>646</v>
      </c>
      <c r="BD41" s="89" t="s">
        <v>646</v>
      </c>
      <c r="BE41" s="89">
        <v>2022</v>
      </c>
      <c r="BF41" s="89">
        <v>30</v>
      </c>
      <c r="BG41" s="89" t="s">
        <v>646</v>
      </c>
      <c r="BH41" s="89" t="s">
        <v>646</v>
      </c>
      <c r="BI41" s="89" t="s">
        <v>646</v>
      </c>
      <c r="BJ41" s="89" t="s">
        <v>17555</v>
      </c>
      <c r="BK41" s="89" t="s">
        <v>646</v>
      </c>
      <c r="BL41" s="89">
        <v>157</v>
      </c>
      <c r="BM41" s="89">
        <v>179</v>
      </c>
      <c r="BN41" s="89" t="s">
        <v>646</v>
      </c>
      <c r="BO41" s="89" t="s">
        <v>646</v>
      </c>
      <c r="BP41" s="89" t="s">
        <v>646</v>
      </c>
      <c r="BQ41" s="89" t="s">
        <v>646</v>
      </c>
      <c r="BR41" s="89" t="s">
        <v>646</v>
      </c>
      <c r="BS41" s="89" t="s">
        <v>646</v>
      </c>
      <c r="BT41" s="89" t="s">
        <v>646</v>
      </c>
      <c r="BU41" s="89" t="s">
        <v>646</v>
      </c>
      <c r="BV41" s="89" t="s">
        <v>646</v>
      </c>
      <c r="BW41" s="89" t="s">
        <v>646</v>
      </c>
      <c r="BX41" s="89" t="s">
        <v>646</v>
      </c>
      <c r="BY41" s="89" t="s">
        <v>646</v>
      </c>
      <c r="BZ41" s="89" t="s">
        <v>646</v>
      </c>
      <c r="CA41" s="89" t="s">
        <v>646</v>
      </c>
      <c r="CB41" s="89" t="s">
        <v>17793</v>
      </c>
      <c r="CC41" s="89" t="str">
        <f>HYPERLINK("https%3A%2F%2Fwww.webofscience.com%2Fwos%2Fwoscc%2Ffull-record%2FWOS:000783349600006","View Full Record in Web of Science")</f>
        <v>View Full Record in Web of Science</v>
      </c>
    </row>
    <row r="42" spans="1:81" ht="13.2" hidden="1" x14ac:dyDescent="0.25">
      <c r="A42" s="89" t="s">
        <v>17794</v>
      </c>
      <c r="B42" s="89" t="e">
        <f>+#REF!</f>
        <v>#REF!</v>
      </c>
      <c r="C42" s="89"/>
      <c r="D42" s="91" t="s">
        <v>17460</v>
      </c>
      <c r="E42" s="90">
        <v>0</v>
      </c>
      <c r="F42" s="89">
        <v>0</v>
      </c>
      <c r="G42" s="89"/>
      <c r="H42" s="89" t="s">
        <v>17795</v>
      </c>
      <c r="I42" s="89" t="s">
        <v>17796</v>
      </c>
      <c r="J42" s="89" t="s">
        <v>646</v>
      </c>
      <c r="K42" s="89" t="s">
        <v>17798</v>
      </c>
      <c r="M42" s="89">
        <v>2021</v>
      </c>
      <c r="N42" s="89" t="s">
        <v>17797</v>
      </c>
      <c r="O42" s="89" t="s">
        <v>646</v>
      </c>
      <c r="P42" s="89" t="str">
        <f>HYPERLINK("http://dx.doi.org/10.1186/s42238-021-00097-7","http://dx.doi.org/10.1186/s42238-021-00097-7")</f>
        <v>http://dx.doi.org/10.1186/s42238-021-00097-7</v>
      </c>
      <c r="S42" s="89" t="s">
        <v>646</v>
      </c>
      <c r="U42" s="89" t="s">
        <v>17462</v>
      </c>
      <c r="W42" s="89" t="s">
        <v>646</v>
      </c>
      <c r="X42" s="89" t="s">
        <v>646</v>
      </c>
      <c r="Y42" s="89" t="s">
        <v>646</v>
      </c>
      <c r="Z42" s="89" t="s">
        <v>646</v>
      </c>
      <c r="AA42" s="89" t="s">
        <v>646</v>
      </c>
      <c r="AB42" s="89" t="s">
        <v>646</v>
      </c>
      <c r="AC42" s="89" t="s">
        <v>646</v>
      </c>
      <c r="AD42" s="89" t="s">
        <v>646</v>
      </c>
      <c r="AE42" s="89" t="s">
        <v>646</v>
      </c>
      <c r="AF42" s="89" t="s">
        <v>17798</v>
      </c>
      <c r="AG42" s="89" t="s">
        <v>646</v>
      </c>
      <c r="AH42" s="89" t="s">
        <v>646</v>
      </c>
      <c r="AI42" s="89" t="s">
        <v>646</v>
      </c>
      <c r="AJ42" s="89" t="s">
        <v>646</v>
      </c>
      <c r="AK42" s="89" t="s">
        <v>646</v>
      </c>
      <c r="AL42" s="89" t="s">
        <v>646</v>
      </c>
      <c r="AM42" s="89" t="s">
        <v>646</v>
      </c>
      <c r="AN42" s="89" t="s">
        <v>646</v>
      </c>
      <c r="AO42" s="89" t="s">
        <v>646</v>
      </c>
      <c r="AP42" s="89" t="s">
        <v>646</v>
      </c>
      <c r="AQ42" s="89" t="s">
        <v>646</v>
      </c>
      <c r="AR42" s="89" t="s">
        <v>646</v>
      </c>
      <c r="AS42" s="89" t="s">
        <v>646</v>
      </c>
      <c r="AT42" s="89" t="s">
        <v>646</v>
      </c>
      <c r="AU42" s="89" t="s">
        <v>646</v>
      </c>
      <c r="AV42" s="89" t="s">
        <v>646</v>
      </c>
      <c r="AW42" s="89" t="s">
        <v>646</v>
      </c>
      <c r="AX42" s="89" t="s">
        <v>646</v>
      </c>
      <c r="AY42" s="89" t="s">
        <v>646</v>
      </c>
      <c r="AZ42" s="89" t="s">
        <v>17799</v>
      </c>
      <c r="BA42" s="89" t="s">
        <v>646</v>
      </c>
      <c r="BB42" s="89" t="s">
        <v>646</v>
      </c>
      <c r="BC42" s="89" t="s">
        <v>646</v>
      </c>
      <c r="BD42" s="89" t="s">
        <v>17800</v>
      </c>
      <c r="BE42" s="89">
        <v>2021</v>
      </c>
      <c r="BF42" s="89">
        <v>3</v>
      </c>
      <c r="BG42" s="89">
        <v>1</v>
      </c>
      <c r="BH42" s="89" t="s">
        <v>646</v>
      </c>
      <c r="BI42" s="89" t="s">
        <v>646</v>
      </c>
      <c r="BJ42" s="89" t="s">
        <v>646</v>
      </c>
      <c r="BK42" s="89" t="s">
        <v>646</v>
      </c>
      <c r="BL42" s="89" t="s">
        <v>646</v>
      </c>
      <c r="BM42" s="89" t="s">
        <v>646</v>
      </c>
      <c r="BN42" s="89">
        <v>39</v>
      </c>
      <c r="BO42" s="89" t="str">
        <f>HYPERLINK("http://dx.doi.org/10.1186/s42238-021-00097-7","http://dx.doi.org/10.1186/s42238-021-00097-7")</f>
        <v>http://dx.doi.org/10.1186/s42238-021-00097-7</v>
      </c>
      <c r="BP42" s="89" t="s">
        <v>646</v>
      </c>
      <c r="BQ42" s="89" t="s">
        <v>646</v>
      </c>
      <c r="BR42" s="89" t="s">
        <v>646</v>
      </c>
      <c r="BS42" s="89" t="s">
        <v>646</v>
      </c>
      <c r="BT42" s="89" t="s">
        <v>646</v>
      </c>
      <c r="BU42" s="89" t="s">
        <v>646</v>
      </c>
      <c r="BV42" s="89" t="s">
        <v>646</v>
      </c>
      <c r="BW42" s="89">
        <v>34452640</v>
      </c>
      <c r="BX42" s="89" t="s">
        <v>646</v>
      </c>
      <c r="BY42" s="89" t="s">
        <v>646</v>
      </c>
      <c r="BZ42" s="89" t="s">
        <v>646</v>
      </c>
      <c r="CA42" s="89" t="s">
        <v>646</v>
      </c>
      <c r="CB42" s="89" t="s">
        <v>17801</v>
      </c>
      <c r="CC42" s="89" t="str">
        <f>HYPERLINK("https%3A%2F%2Fwww.webofscience.com%2Fwos%2Fwoscc%2Ffull-record%2FWOS:000691293200001","View Full Record in Web of Science")</f>
        <v>View Full Record in Web of Science</v>
      </c>
    </row>
    <row r="43" spans="1:81" ht="13.2" hidden="1" x14ac:dyDescent="0.25">
      <c r="A43" s="89" t="s">
        <v>17802</v>
      </c>
      <c r="B43" s="89" t="e">
        <f>+#REF!</f>
        <v>#REF!</v>
      </c>
      <c r="C43" s="89"/>
      <c r="D43" s="91" t="s">
        <v>17460</v>
      </c>
      <c r="E43" s="90">
        <v>0</v>
      </c>
      <c r="F43" s="89">
        <v>0</v>
      </c>
      <c r="G43" s="89"/>
      <c r="H43" s="89" t="s">
        <v>17803</v>
      </c>
      <c r="I43" s="89" t="s">
        <v>17805</v>
      </c>
      <c r="J43" s="89" t="s">
        <v>646</v>
      </c>
      <c r="K43" s="89" t="s">
        <v>17812</v>
      </c>
      <c r="M43" s="89">
        <v>2018</v>
      </c>
      <c r="N43" s="89" t="s">
        <v>17806</v>
      </c>
      <c r="O43" s="89" t="s">
        <v>646</v>
      </c>
      <c r="P43" s="89" t="str">
        <f>HYPERLINK("http://dx.doi.org/10.1145/3209542.3209558","http://dx.doi.org/10.1145/3209542.3209558")</f>
        <v>http://dx.doi.org/10.1145/3209542.3209558</v>
      </c>
      <c r="S43" s="89" t="s">
        <v>17804</v>
      </c>
      <c r="U43" s="89" t="s">
        <v>17474</v>
      </c>
      <c r="W43" s="89" t="s">
        <v>646</v>
      </c>
      <c r="X43" s="89" t="s">
        <v>646</v>
      </c>
      <c r="Y43" s="89" t="s">
        <v>17807</v>
      </c>
      <c r="Z43" s="89" t="s">
        <v>17808</v>
      </c>
      <c r="AA43" s="89" t="s">
        <v>17809</v>
      </c>
      <c r="AB43" s="89" t="s">
        <v>17810</v>
      </c>
      <c r="AC43" s="89" t="s">
        <v>17811</v>
      </c>
      <c r="AD43" s="89" t="s">
        <v>646</v>
      </c>
      <c r="AE43" s="89" t="s">
        <v>646</v>
      </c>
      <c r="AF43" s="89" t="s">
        <v>17812</v>
      </c>
      <c r="AG43" s="89" t="s">
        <v>646</v>
      </c>
      <c r="AH43" s="89" t="s">
        <v>646</v>
      </c>
      <c r="AI43" s="89" t="s">
        <v>646</v>
      </c>
      <c r="AJ43" s="89" t="s">
        <v>646</v>
      </c>
      <c r="AK43" s="89" t="s">
        <v>646</v>
      </c>
      <c r="AL43" s="89" t="s">
        <v>646</v>
      </c>
      <c r="AM43" s="89" t="s">
        <v>646</v>
      </c>
      <c r="AN43" s="89" t="s">
        <v>646</v>
      </c>
      <c r="AO43" s="89" t="s">
        <v>646</v>
      </c>
      <c r="AP43" s="89" t="s">
        <v>646</v>
      </c>
      <c r="AQ43" s="89" t="s">
        <v>646</v>
      </c>
      <c r="AR43" s="89" t="s">
        <v>646</v>
      </c>
      <c r="AS43" s="89" t="s">
        <v>646</v>
      </c>
      <c r="AT43" s="89" t="s">
        <v>646</v>
      </c>
      <c r="AU43" s="89" t="s">
        <v>646</v>
      </c>
      <c r="AV43" s="89" t="s">
        <v>646</v>
      </c>
      <c r="AW43" s="89" t="s">
        <v>646</v>
      </c>
      <c r="AX43" s="89" t="s">
        <v>646</v>
      </c>
      <c r="AY43" s="89" t="s">
        <v>646</v>
      </c>
      <c r="AZ43" s="89" t="s">
        <v>646</v>
      </c>
      <c r="BA43" s="89" t="s">
        <v>17813</v>
      </c>
      <c r="BB43" s="89" t="s">
        <v>646</v>
      </c>
      <c r="BC43" s="89" t="s">
        <v>646</v>
      </c>
      <c r="BD43" s="89" t="s">
        <v>646</v>
      </c>
      <c r="BE43" s="89">
        <v>2018</v>
      </c>
      <c r="BF43" s="89" t="s">
        <v>646</v>
      </c>
      <c r="BG43" s="89" t="s">
        <v>646</v>
      </c>
      <c r="BH43" s="89" t="s">
        <v>646</v>
      </c>
      <c r="BI43" s="89" t="s">
        <v>646</v>
      </c>
      <c r="BJ43" s="89" t="s">
        <v>646</v>
      </c>
      <c r="BK43" s="89" t="s">
        <v>646</v>
      </c>
      <c r="BL43" s="89">
        <v>115</v>
      </c>
      <c r="BM43" s="89">
        <v>122</v>
      </c>
      <c r="BN43" s="89" t="s">
        <v>646</v>
      </c>
      <c r="BO43" s="89" t="str">
        <f>HYPERLINK("http://dx.doi.org/10.1145/3209542.3209558","http://dx.doi.org/10.1145/3209542.3209558")</f>
        <v>http://dx.doi.org/10.1145/3209542.3209558</v>
      </c>
      <c r="BP43" s="89" t="s">
        <v>646</v>
      </c>
      <c r="BQ43" s="89" t="s">
        <v>646</v>
      </c>
      <c r="BR43" s="89" t="s">
        <v>646</v>
      </c>
      <c r="BS43" s="89" t="s">
        <v>646</v>
      </c>
      <c r="BT43" s="89" t="s">
        <v>646</v>
      </c>
      <c r="BU43" s="89" t="s">
        <v>646</v>
      </c>
      <c r="BV43" s="89" t="s">
        <v>646</v>
      </c>
      <c r="BW43" s="89" t="s">
        <v>646</v>
      </c>
      <c r="BX43" s="89" t="s">
        <v>646</v>
      </c>
      <c r="BY43" s="89" t="s">
        <v>646</v>
      </c>
      <c r="BZ43" s="89" t="s">
        <v>646</v>
      </c>
      <c r="CA43" s="89" t="s">
        <v>646</v>
      </c>
      <c r="CB43" s="89" t="s">
        <v>17814</v>
      </c>
      <c r="CC43" s="89" t="str">
        <f>HYPERLINK("https%3A%2F%2Fwww.webofscience.com%2Fwos%2Fwoscc%2Ffull-record%2FWOS:000629030500020","View Full Record in Web of Science")</f>
        <v>View Full Record in Web of Science</v>
      </c>
    </row>
    <row r="44" spans="1:81" ht="13.2" x14ac:dyDescent="0.25">
      <c r="A44" s="89" t="s">
        <v>17816</v>
      </c>
      <c r="B44" s="89" t="s">
        <v>17815</v>
      </c>
      <c r="C44" s="90">
        <v>1</v>
      </c>
      <c r="D44" s="91" t="s">
        <v>17460</v>
      </c>
      <c r="E44" s="90">
        <v>1</v>
      </c>
      <c r="F44" s="90">
        <v>1</v>
      </c>
      <c r="G44" s="90">
        <v>1</v>
      </c>
      <c r="H44" s="89" t="s">
        <v>17817</v>
      </c>
      <c r="I44" s="89" t="s">
        <v>17818</v>
      </c>
      <c r="J44" s="89" t="s">
        <v>646</v>
      </c>
      <c r="K44" s="89" t="s">
        <v>17820</v>
      </c>
      <c r="M44" s="89">
        <v>2022</v>
      </c>
      <c r="N44" s="89" t="s">
        <v>17819</v>
      </c>
      <c r="O44" s="89" t="s">
        <v>646</v>
      </c>
      <c r="P44" s="89" t="str">
        <f>HYPERLINK("http://dx.doi.org/10.22581/muet1982.2202.15","http://dx.doi.org/10.22581/muet1982.2202.15")</f>
        <v>http://dx.doi.org/10.22581/muet1982.2202.15</v>
      </c>
      <c r="S44" s="89" t="s">
        <v>646</v>
      </c>
      <c r="U44" s="89" t="s">
        <v>17462</v>
      </c>
      <c r="W44" s="89" t="s">
        <v>646</v>
      </c>
      <c r="X44" s="89" t="s">
        <v>646</v>
      </c>
      <c r="Y44" s="89" t="s">
        <v>646</v>
      </c>
      <c r="Z44" s="89" t="s">
        <v>646</v>
      </c>
      <c r="AA44" s="89" t="s">
        <v>646</v>
      </c>
      <c r="AB44" s="89" t="s">
        <v>646</v>
      </c>
      <c r="AC44" s="89" t="s">
        <v>646</v>
      </c>
      <c r="AD44" s="89" t="s">
        <v>646</v>
      </c>
      <c r="AE44" s="89" t="s">
        <v>646</v>
      </c>
      <c r="AF44" s="89" t="s">
        <v>17820</v>
      </c>
      <c r="AG44" s="89" t="s">
        <v>646</v>
      </c>
      <c r="AH44" s="89" t="s">
        <v>646</v>
      </c>
      <c r="AI44" s="89" t="s">
        <v>646</v>
      </c>
      <c r="AJ44" s="89" t="s">
        <v>646</v>
      </c>
      <c r="AK44" s="89" t="s">
        <v>646</v>
      </c>
      <c r="AL44" s="89" t="s">
        <v>646</v>
      </c>
      <c r="AM44" s="89" t="s">
        <v>646</v>
      </c>
      <c r="AN44" s="89" t="s">
        <v>646</v>
      </c>
      <c r="AO44" s="89" t="s">
        <v>646</v>
      </c>
      <c r="AP44" s="89" t="s">
        <v>646</v>
      </c>
      <c r="AQ44" s="89" t="s">
        <v>646</v>
      </c>
      <c r="AR44" s="89" t="s">
        <v>646</v>
      </c>
      <c r="AS44" s="89" t="s">
        <v>646</v>
      </c>
      <c r="AT44" s="89" t="s">
        <v>646</v>
      </c>
      <c r="AU44" s="89" t="s">
        <v>646</v>
      </c>
      <c r="AV44" s="89" t="s">
        <v>646</v>
      </c>
      <c r="AW44" s="89" t="s">
        <v>646</v>
      </c>
      <c r="AX44" s="89" t="s">
        <v>646</v>
      </c>
      <c r="AY44" s="89" t="s">
        <v>17821</v>
      </c>
      <c r="AZ44" s="89" t="s">
        <v>17822</v>
      </c>
      <c r="BA44" s="89" t="s">
        <v>646</v>
      </c>
      <c r="BB44" s="89" t="s">
        <v>646</v>
      </c>
      <c r="BC44" s="89" t="s">
        <v>646</v>
      </c>
      <c r="BD44" s="89" t="s">
        <v>17823</v>
      </c>
      <c r="BE44" s="89">
        <v>2022</v>
      </c>
      <c r="BF44" s="89">
        <v>41</v>
      </c>
      <c r="BG44" s="89">
        <v>2</v>
      </c>
      <c r="BH44" s="89" t="s">
        <v>646</v>
      </c>
      <c r="BI44" s="89" t="s">
        <v>646</v>
      </c>
      <c r="BJ44" s="89" t="s">
        <v>646</v>
      </c>
      <c r="BK44" s="89" t="s">
        <v>646</v>
      </c>
      <c r="BL44" s="89">
        <v>155</v>
      </c>
      <c r="BM44" s="89">
        <v>171</v>
      </c>
      <c r="BN44" s="89" t="s">
        <v>646</v>
      </c>
      <c r="BO44" s="89" t="str">
        <f>HYPERLINK("http://dx.doi.org/10.22581/muet1982.2202.15","http://dx.doi.org/10.22581/muet1982.2202.15")</f>
        <v>http://dx.doi.org/10.22581/muet1982.2202.15</v>
      </c>
      <c r="BP44" s="89" t="s">
        <v>646</v>
      </c>
      <c r="BQ44" s="89" t="s">
        <v>646</v>
      </c>
      <c r="BR44" s="89" t="s">
        <v>646</v>
      </c>
      <c r="BS44" s="89" t="s">
        <v>646</v>
      </c>
      <c r="BT44" s="89" t="s">
        <v>646</v>
      </c>
      <c r="BU44" s="89" t="s">
        <v>646</v>
      </c>
      <c r="BV44" s="89" t="s">
        <v>646</v>
      </c>
      <c r="BW44" s="89" t="s">
        <v>646</v>
      </c>
      <c r="BX44" s="89" t="s">
        <v>646</v>
      </c>
      <c r="BY44" s="89" t="s">
        <v>646</v>
      </c>
      <c r="BZ44" s="89" t="s">
        <v>646</v>
      </c>
      <c r="CA44" s="89" t="s">
        <v>646</v>
      </c>
      <c r="CB44" s="89" t="s">
        <v>17824</v>
      </c>
      <c r="CC44" s="89" t="str">
        <f>HYPERLINK("https%3A%2F%2Fwww.webofscience.com%2Fwos%2Fwoscc%2Ffull-record%2FWOS:000797492700001","View Full Record in Web of Science")</f>
        <v>View Full Record in Web of Science</v>
      </c>
    </row>
    <row r="45" spans="1:81" ht="13.2" hidden="1" x14ac:dyDescent="0.25">
      <c r="A45" s="89" t="s">
        <v>17825</v>
      </c>
      <c r="B45" s="89" t="e">
        <f>+#REF!</f>
        <v>#REF!</v>
      </c>
      <c r="C45" s="89"/>
      <c r="D45" s="91" t="s">
        <v>17460</v>
      </c>
      <c r="E45" s="90">
        <v>0</v>
      </c>
      <c r="F45" s="89">
        <v>0</v>
      </c>
      <c r="G45" s="89"/>
      <c r="H45" s="89" t="s">
        <v>646</v>
      </c>
      <c r="I45" s="89" t="s">
        <v>17827</v>
      </c>
      <c r="J45" s="89" t="s">
        <v>646</v>
      </c>
      <c r="K45" s="89" t="s">
        <v>17833</v>
      </c>
      <c r="M45" s="89">
        <v>2020</v>
      </c>
      <c r="N45" s="89" t="s">
        <v>17828</v>
      </c>
      <c r="O45" s="89" t="s">
        <v>17826</v>
      </c>
      <c r="P45" s="89" t="s">
        <v>646</v>
      </c>
      <c r="S45" s="89" t="s">
        <v>646</v>
      </c>
      <c r="U45" s="89" t="s">
        <v>17474</v>
      </c>
      <c r="W45" s="89" t="s">
        <v>646</v>
      </c>
      <c r="X45" s="89" t="s">
        <v>646</v>
      </c>
      <c r="Y45" s="89" t="s">
        <v>17829</v>
      </c>
      <c r="Z45" s="89" t="s">
        <v>17830</v>
      </c>
      <c r="AA45" s="89" t="s">
        <v>17831</v>
      </c>
      <c r="AB45" s="89" t="s">
        <v>17832</v>
      </c>
      <c r="AC45" s="89" t="s">
        <v>646</v>
      </c>
      <c r="AD45" s="89" t="s">
        <v>646</v>
      </c>
      <c r="AE45" s="89" t="s">
        <v>646</v>
      </c>
      <c r="AF45" s="89" t="s">
        <v>17833</v>
      </c>
      <c r="AG45" s="89" t="s">
        <v>646</v>
      </c>
      <c r="AH45" s="89" t="s">
        <v>646</v>
      </c>
      <c r="AI45" s="89" t="s">
        <v>646</v>
      </c>
      <c r="AJ45" s="89" t="s">
        <v>646</v>
      </c>
      <c r="AK45" s="89" t="s">
        <v>646</v>
      </c>
      <c r="AL45" s="89" t="s">
        <v>646</v>
      </c>
      <c r="AM45" s="89" t="s">
        <v>646</v>
      </c>
      <c r="AN45" s="89" t="s">
        <v>646</v>
      </c>
      <c r="AO45" s="89" t="s">
        <v>646</v>
      </c>
      <c r="AP45" s="89" t="s">
        <v>646</v>
      </c>
      <c r="AQ45" s="89" t="s">
        <v>646</v>
      </c>
      <c r="AR45" s="89" t="s">
        <v>646</v>
      </c>
      <c r="AS45" s="89" t="s">
        <v>646</v>
      </c>
      <c r="AT45" s="89" t="s">
        <v>646</v>
      </c>
      <c r="AU45" s="89" t="s">
        <v>646</v>
      </c>
      <c r="AV45" s="89" t="s">
        <v>646</v>
      </c>
      <c r="AW45" s="89" t="s">
        <v>646</v>
      </c>
      <c r="AX45" s="89" t="s">
        <v>646</v>
      </c>
      <c r="AY45" s="89" t="s">
        <v>646</v>
      </c>
      <c r="AZ45" s="89" t="s">
        <v>646</v>
      </c>
      <c r="BA45" s="89" t="s">
        <v>17834</v>
      </c>
      <c r="BB45" s="89" t="s">
        <v>646</v>
      </c>
      <c r="BC45" s="89" t="s">
        <v>646</v>
      </c>
      <c r="BD45" s="89" t="s">
        <v>646</v>
      </c>
      <c r="BE45" s="89">
        <v>2020</v>
      </c>
      <c r="BF45" s="89" t="s">
        <v>646</v>
      </c>
      <c r="BG45" s="89" t="s">
        <v>646</v>
      </c>
      <c r="BH45" s="89" t="s">
        <v>646</v>
      </c>
      <c r="BI45" s="89" t="s">
        <v>646</v>
      </c>
      <c r="BJ45" s="89" t="s">
        <v>646</v>
      </c>
      <c r="BK45" s="89" t="s">
        <v>646</v>
      </c>
      <c r="BL45" s="89">
        <v>4396</v>
      </c>
      <c r="BM45" s="89">
        <v>4404</v>
      </c>
      <c r="BN45" s="89" t="s">
        <v>646</v>
      </c>
      <c r="BO45" s="89" t="s">
        <v>646</v>
      </c>
      <c r="BP45" s="89" t="s">
        <v>646</v>
      </c>
      <c r="BQ45" s="89" t="s">
        <v>646</v>
      </c>
      <c r="BR45" s="89" t="s">
        <v>646</v>
      </c>
      <c r="BS45" s="89" t="s">
        <v>646</v>
      </c>
      <c r="BT45" s="89" t="s">
        <v>646</v>
      </c>
      <c r="BU45" s="89" t="s">
        <v>646</v>
      </c>
      <c r="BV45" s="89" t="s">
        <v>646</v>
      </c>
      <c r="BW45" s="89" t="s">
        <v>646</v>
      </c>
      <c r="BX45" s="89" t="s">
        <v>646</v>
      </c>
      <c r="BY45" s="89" t="s">
        <v>646</v>
      </c>
      <c r="BZ45" s="89" t="s">
        <v>646</v>
      </c>
      <c r="CA45" s="89" t="s">
        <v>646</v>
      </c>
      <c r="CB45" s="89" t="s">
        <v>17835</v>
      </c>
      <c r="CC45" s="89" t="str">
        <f>HYPERLINK("https%3A%2F%2Fwww.webofscience.com%2Fwos%2Fwoscc%2Ffull-record%2FWOS:000661127404078","View Full Record in Web of Science")</f>
        <v>View Full Record in Web of Science</v>
      </c>
    </row>
    <row r="46" spans="1:81" ht="13.2" hidden="1" x14ac:dyDescent="0.25">
      <c r="A46" s="89" t="s">
        <v>17836</v>
      </c>
      <c r="B46" s="89" t="e">
        <f>+#REF!</f>
        <v>#REF!</v>
      </c>
      <c r="C46" s="89"/>
      <c r="D46" s="91" t="s">
        <v>17460</v>
      </c>
      <c r="E46" s="90">
        <v>0</v>
      </c>
      <c r="F46" s="89">
        <v>0</v>
      </c>
      <c r="G46" s="89"/>
      <c r="H46" s="89" t="s">
        <v>646</v>
      </c>
      <c r="I46" s="89" t="s">
        <v>17838</v>
      </c>
      <c r="J46" s="89" t="s">
        <v>17845</v>
      </c>
      <c r="K46" s="89" t="s">
        <v>17844</v>
      </c>
      <c r="M46" s="89">
        <v>2020</v>
      </c>
      <c r="N46" s="89" t="s">
        <v>17839</v>
      </c>
      <c r="O46" s="89" t="s">
        <v>17837</v>
      </c>
      <c r="P46" s="89" t="s">
        <v>646</v>
      </c>
      <c r="S46" s="89" t="s">
        <v>646</v>
      </c>
      <c r="U46" s="89" t="s">
        <v>17474</v>
      </c>
      <c r="W46" s="89" t="s">
        <v>646</v>
      </c>
      <c r="X46" s="89" t="s">
        <v>646</v>
      </c>
      <c r="Y46" s="89" t="s">
        <v>17840</v>
      </c>
      <c r="Z46" s="89" t="s">
        <v>17841</v>
      </c>
      <c r="AA46" s="89" t="s">
        <v>17842</v>
      </c>
      <c r="AB46" s="89" t="s">
        <v>646</v>
      </c>
      <c r="AC46" s="89" t="s">
        <v>17843</v>
      </c>
      <c r="AD46" s="89" t="s">
        <v>646</v>
      </c>
      <c r="AE46" s="89" t="s">
        <v>646</v>
      </c>
      <c r="AF46" s="89" t="s">
        <v>17844</v>
      </c>
      <c r="AG46" s="89" t="s">
        <v>646</v>
      </c>
      <c r="AH46" s="89" t="s">
        <v>646</v>
      </c>
      <c r="AI46" s="89" t="s">
        <v>646</v>
      </c>
      <c r="AJ46" s="89" t="s">
        <v>646</v>
      </c>
      <c r="AK46" s="89" t="s">
        <v>17845</v>
      </c>
      <c r="AL46" s="89" t="s">
        <v>17846</v>
      </c>
      <c r="AM46" s="89" t="s">
        <v>646</v>
      </c>
      <c r="AN46" s="89" t="s">
        <v>646</v>
      </c>
      <c r="AO46" s="89" t="s">
        <v>646</v>
      </c>
      <c r="AP46" s="89" t="s">
        <v>646</v>
      </c>
      <c r="AQ46" s="89" t="s">
        <v>646</v>
      </c>
      <c r="AR46" s="89" t="s">
        <v>646</v>
      </c>
      <c r="AS46" s="89" t="s">
        <v>646</v>
      </c>
      <c r="AT46" s="89" t="s">
        <v>646</v>
      </c>
      <c r="AU46" s="89" t="s">
        <v>646</v>
      </c>
      <c r="AV46" s="89" t="s">
        <v>646</v>
      </c>
      <c r="AW46" s="89" t="s">
        <v>646</v>
      </c>
      <c r="AX46" s="89" t="s">
        <v>646</v>
      </c>
      <c r="AY46" s="89" t="s">
        <v>646</v>
      </c>
      <c r="AZ46" s="89" t="s">
        <v>646</v>
      </c>
      <c r="BA46" s="89" t="s">
        <v>17847</v>
      </c>
      <c r="BB46" s="89" t="s">
        <v>646</v>
      </c>
      <c r="BC46" s="89" t="s">
        <v>646</v>
      </c>
      <c r="BD46" s="89" t="s">
        <v>646</v>
      </c>
      <c r="BE46" s="89">
        <v>2020</v>
      </c>
      <c r="BF46" s="89" t="s">
        <v>646</v>
      </c>
      <c r="BG46" s="89" t="s">
        <v>646</v>
      </c>
      <c r="BH46" s="89" t="s">
        <v>646</v>
      </c>
      <c r="BI46" s="89" t="s">
        <v>646</v>
      </c>
      <c r="BJ46" s="89" t="s">
        <v>646</v>
      </c>
      <c r="BK46" s="89" t="s">
        <v>646</v>
      </c>
      <c r="BL46" s="89">
        <v>609</v>
      </c>
      <c r="BM46" s="89">
        <v>623</v>
      </c>
      <c r="BN46" s="89" t="s">
        <v>646</v>
      </c>
      <c r="BO46" s="89" t="s">
        <v>646</v>
      </c>
      <c r="BP46" s="89" t="s">
        <v>646</v>
      </c>
      <c r="BQ46" s="89" t="s">
        <v>646</v>
      </c>
      <c r="BR46" s="89" t="s">
        <v>646</v>
      </c>
      <c r="BS46" s="89" t="s">
        <v>646</v>
      </c>
      <c r="BT46" s="89" t="s">
        <v>646</v>
      </c>
      <c r="BU46" s="89" t="s">
        <v>646</v>
      </c>
      <c r="BV46" s="89" t="s">
        <v>646</v>
      </c>
      <c r="BW46" s="89" t="s">
        <v>646</v>
      </c>
      <c r="BX46" s="89" t="s">
        <v>646</v>
      </c>
      <c r="BY46" s="89" t="s">
        <v>646</v>
      </c>
      <c r="BZ46" s="89" t="s">
        <v>646</v>
      </c>
      <c r="CA46" s="89" t="s">
        <v>646</v>
      </c>
      <c r="CB46" s="89" t="s">
        <v>17848</v>
      </c>
      <c r="CC46" s="89" t="str">
        <f>HYPERLINK("https%3A%2F%2Fwww.webofscience.com%2Fwos%2Fwoscc%2Ffull-record%2FWOS:000652015800104","View Full Record in Web of Science")</f>
        <v>View Full Record in Web of Science</v>
      </c>
    </row>
    <row r="47" spans="1:81" ht="13.2" hidden="1" x14ac:dyDescent="0.25">
      <c r="A47" s="89" t="s">
        <v>17849</v>
      </c>
      <c r="B47" s="89" t="e">
        <f>+#REF!</f>
        <v>#REF!</v>
      </c>
      <c r="C47" s="89"/>
      <c r="D47" s="91" t="s">
        <v>17460</v>
      </c>
      <c r="E47" s="90">
        <v>0</v>
      </c>
      <c r="F47" s="89">
        <v>0</v>
      </c>
      <c r="G47" s="89"/>
      <c r="H47" s="89" t="s">
        <v>17850</v>
      </c>
      <c r="I47" s="89" t="s">
        <v>17851</v>
      </c>
      <c r="J47" s="89" t="s">
        <v>646</v>
      </c>
      <c r="K47" s="89" t="s">
        <v>17853</v>
      </c>
      <c r="M47" s="89">
        <v>2020</v>
      </c>
      <c r="N47" s="89" t="s">
        <v>17852</v>
      </c>
      <c r="O47" s="89" t="s">
        <v>646</v>
      </c>
      <c r="P47" s="89" t="str">
        <f>HYPERLINK("http://dx.doi.org/10.2308/accr-52612","http://dx.doi.org/10.2308/accr-52612")</f>
        <v>http://dx.doi.org/10.2308/accr-52612</v>
      </c>
      <c r="S47" s="89" t="s">
        <v>646</v>
      </c>
      <c r="U47" s="89" t="s">
        <v>17462</v>
      </c>
      <c r="W47" s="89" t="s">
        <v>646</v>
      </c>
      <c r="X47" s="89" t="s">
        <v>646</v>
      </c>
      <c r="Y47" s="89" t="s">
        <v>646</v>
      </c>
      <c r="Z47" s="89" t="s">
        <v>646</v>
      </c>
      <c r="AA47" s="89" t="s">
        <v>646</v>
      </c>
      <c r="AB47" s="89" t="s">
        <v>646</v>
      </c>
      <c r="AC47" s="89" t="s">
        <v>646</v>
      </c>
      <c r="AD47" s="89" t="s">
        <v>646</v>
      </c>
      <c r="AE47" s="89" t="s">
        <v>646</v>
      </c>
      <c r="AF47" s="89" t="s">
        <v>17853</v>
      </c>
      <c r="AG47" s="89" t="s">
        <v>646</v>
      </c>
      <c r="AH47" s="89" t="s">
        <v>646</v>
      </c>
      <c r="AI47" s="89" t="s">
        <v>646</v>
      </c>
      <c r="AJ47" s="89" t="s">
        <v>646</v>
      </c>
      <c r="AK47" s="89" t="s">
        <v>646</v>
      </c>
      <c r="AL47" s="89" t="s">
        <v>17854</v>
      </c>
      <c r="AM47" s="89" t="s">
        <v>646</v>
      </c>
      <c r="AN47" s="89" t="s">
        <v>646</v>
      </c>
      <c r="AO47" s="89" t="s">
        <v>646</v>
      </c>
      <c r="AP47" s="89" t="s">
        <v>646</v>
      </c>
      <c r="AQ47" s="89" t="s">
        <v>646</v>
      </c>
      <c r="AR47" s="89" t="s">
        <v>646</v>
      </c>
      <c r="AS47" s="89" t="s">
        <v>646</v>
      </c>
      <c r="AT47" s="89" t="s">
        <v>646</v>
      </c>
      <c r="AU47" s="89" t="s">
        <v>646</v>
      </c>
      <c r="AV47" s="89" t="s">
        <v>646</v>
      </c>
      <c r="AW47" s="89" t="s">
        <v>646</v>
      </c>
      <c r="AX47" s="89" t="s">
        <v>646</v>
      </c>
      <c r="AY47" s="89" t="s">
        <v>17855</v>
      </c>
      <c r="AZ47" s="89" t="s">
        <v>17856</v>
      </c>
      <c r="BA47" s="89" t="s">
        <v>646</v>
      </c>
      <c r="BB47" s="89" t="s">
        <v>646</v>
      </c>
      <c r="BC47" s="89" t="s">
        <v>646</v>
      </c>
      <c r="BD47" s="89" t="s">
        <v>17739</v>
      </c>
      <c r="BE47" s="89">
        <v>2020</v>
      </c>
      <c r="BF47" s="89">
        <v>95</v>
      </c>
      <c r="BG47" s="89">
        <v>5</v>
      </c>
      <c r="BH47" s="89" t="s">
        <v>646</v>
      </c>
      <c r="BI47" s="89" t="s">
        <v>646</v>
      </c>
      <c r="BJ47" s="89" t="s">
        <v>646</v>
      </c>
      <c r="BK47" s="89" t="s">
        <v>646</v>
      </c>
      <c r="BL47" s="89">
        <v>227</v>
      </c>
      <c r="BM47" s="89">
        <v>246</v>
      </c>
      <c r="BN47" s="89" t="s">
        <v>646</v>
      </c>
      <c r="BO47" s="89" t="str">
        <f>HYPERLINK("http://dx.doi.org/10.2308/accr-52612","http://dx.doi.org/10.2308/accr-52612")</f>
        <v>http://dx.doi.org/10.2308/accr-52612</v>
      </c>
      <c r="BP47" s="89" t="s">
        <v>646</v>
      </c>
      <c r="BQ47" s="89" t="s">
        <v>646</v>
      </c>
      <c r="BR47" s="89" t="s">
        <v>646</v>
      </c>
      <c r="BS47" s="89" t="s">
        <v>646</v>
      </c>
      <c r="BT47" s="89" t="s">
        <v>646</v>
      </c>
      <c r="BU47" s="89" t="s">
        <v>646</v>
      </c>
      <c r="BV47" s="89" t="s">
        <v>646</v>
      </c>
      <c r="BW47" s="89" t="s">
        <v>646</v>
      </c>
      <c r="BX47" s="89" t="s">
        <v>646</v>
      </c>
      <c r="BY47" s="89" t="s">
        <v>646</v>
      </c>
      <c r="BZ47" s="89" t="s">
        <v>646</v>
      </c>
      <c r="CA47" s="89" t="s">
        <v>646</v>
      </c>
      <c r="CB47" s="89" t="s">
        <v>17857</v>
      </c>
      <c r="CC47" s="89" t="str">
        <f>HYPERLINK("https%3A%2F%2Fwww.webofscience.com%2Fwos%2Fwoscc%2Ffull-record%2FWOS:000611877200009","View Full Record in Web of Science")</f>
        <v>View Full Record in Web of Science</v>
      </c>
    </row>
    <row r="48" spans="1:81" ht="13.2" hidden="1" x14ac:dyDescent="0.25">
      <c r="A48" s="89" t="s">
        <v>17858</v>
      </c>
      <c r="B48" s="89" t="e">
        <f>+#REF!</f>
        <v>#REF!</v>
      </c>
      <c r="C48" s="89"/>
      <c r="D48" s="91" t="s">
        <v>17460</v>
      </c>
      <c r="E48" s="90">
        <v>0</v>
      </c>
      <c r="F48" s="89">
        <v>0</v>
      </c>
      <c r="G48" s="89"/>
      <c r="H48" s="89" t="s">
        <v>646</v>
      </c>
      <c r="I48" s="89" t="s">
        <v>17860</v>
      </c>
      <c r="J48" s="89" t="s">
        <v>646</v>
      </c>
      <c r="K48" s="89" t="s">
        <v>17866</v>
      </c>
      <c r="M48" s="89">
        <v>2020</v>
      </c>
      <c r="N48" s="89" t="s">
        <v>17861</v>
      </c>
      <c r="O48" s="89" t="s">
        <v>17859</v>
      </c>
      <c r="P48" s="89" t="s">
        <v>646</v>
      </c>
      <c r="S48" s="89" t="s">
        <v>646</v>
      </c>
      <c r="U48" s="89" t="s">
        <v>17474</v>
      </c>
      <c r="W48" s="89" t="s">
        <v>646</v>
      </c>
      <c r="X48" s="89" t="s">
        <v>646</v>
      </c>
      <c r="Y48" s="89" t="s">
        <v>17862</v>
      </c>
      <c r="Z48" s="89" t="s">
        <v>17863</v>
      </c>
      <c r="AA48" s="89" t="s">
        <v>17864</v>
      </c>
      <c r="AB48" s="89" t="s">
        <v>646</v>
      </c>
      <c r="AC48" s="89" t="s">
        <v>17865</v>
      </c>
      <c r="AD48" s="89" t="s">
        <v>646</v>
      </c>
      <c r="AE48" s="89" t="s">
        <v>646</v>
      </c>
      <c r="AF48" s="89" t="s">
        <v>17866</v>
      </c>
      <c r="AG48" s="89" t="s">
        <v>646</v>
      </c>
      <c r="AH48" s="89" t="s">
        <v>646</v>
      </c>
      <c r="AI48" s="89" t="s">
        <v>646</v>
      </c>
      <c r="AJ48" s="89" t="s">
        <v>646</v>
      </c>
      <c r="AK48" s="89" t="s">
        <v>646</v>
      </c>
      <c r="AL48" s="89" t="s">
        <v>17867</v>
      </c>
      <c r="AM48" s="89" t="s">
        <v>646</v>
      </c>
      <c r="AN48" s="89" t="s">
        <v>646</v>
      </c>
      <c r="AO48" s="89" t="s">
        <v>646</v>
      </c>
      <c r="AP48" s="89" t="s">
        <v>646</v>
      </c>
      <c r="AQ48" s="89" t="s">
        <v>646</v>
      </c>
      <c r="AR48" s="89" t="s">
        <v>646</v>
      </c>
      <c r="AS48" s="89" t="s">
        <v>646</v>
      </c>
      <c r="AT48" s="89" t="s">
        <v>646</v>
      </c>
      <c r="AU48" s="89" t="s">
        <v>646</v>
      </c>
      <c r="AV48" s="89" t="s">
        <v>646</v>
      </c>
      <c r="AW48" s="89" t="s">
        <v>646</v>
      </c>
      <c r="AX48" s="89" t="s">
        <v>646</v>
      </c>
      <c r="AY48" s="89" t="s">
        <v>17868</v>
      </c>
      <c r="AZ48" s="89" t="s">
        <v>646</v>
      </c>
      <c r="BA48" s="89" t="s">
        <v>17869</v>
      </c>
      <c r="BB48" s="89" t="s">
        <v>646</v>
      </c>
      <c r="BC48" s="89" t="s">
        <v>646</v>
      </c>
      <c r="BD48" s="89" t="s">
        <v>646</v>
      </c>
      <c r="BE48" s="89">
        <v>2020</v>
      </c>
      <c r="BF48" s="89">
        <v>4</v>
      </c>
      <c r="BG48" s="89" t="s">
        <v>646</v>
      </c>
      <c r="BH48" s="89" t="s">
        <v>646</v>
      </c>
      <c r="BI48" s="89" t="s">
        <v>646</v>
      </c>
      <c r="BJ48" s="89" t="s">
        <v>646</v>
      </c>
      <c r="BK48" s="89" t="s">
        <v>646</v>
      </c>
      <c r="BL48" s="89">
        <v>894</v>
      </c>
      <c r="BM48" s="89">
        <v>914</v>
      </c>
      <c r="BN48" s="89" t="s">
        <v>646</v>
      </c>
      <c r="BO48" s="89" t="s">
        <v>646</v>
      </c>
      <c r="BP48" s="89" t="s">
        <v>646</v>
      </c>
      <c r="BQ48" s="89" t="s">
        <v>646</v>
      </c>
      <c r="BR48" s="89" t="s">
        <v>646</v>
      </c>
      <c r="BS48" s="89" t="s">
        <v>646</v>
      </c>
      <c r="BT48" s="89" t="s">
        <v>646</v>
      </c>
      <c r="BU48" s="89" t="s">
        <v>646</v>
      </c>
      <c r="BV48" s="89" t="s">
        <v>646</v>
      </c>
      <c r="BW48" s="89" t="s">
        <v>646</v>
      </c>
      <c r="BX48" s="89" t="s">
        <v>646</v>
      </c>
      <c r="BY48" s="89" t="s">
        <v>646</v>
      </c>
      <c r="BZ48" s="89" t="s">
        <v>646</v>
      </c>
      <c r="CA48" s="89" t="s">
        <v>646</v>
      </c>
      <c r="CB48" s="89" t="s">
        <v>17870</v>
      </c>
      <c r="CC48" s="89" t="str">
        <f>HYPERLINK("https%3A%2F%2Fwww.webofscience.com%2Fwos%2Fwoscc%2Ffull-record%2FWOS:000675380500036","View Full Record in Web of Science")</f>
        <v>View Full Record in Web of Science</v>
      </c>
    </row>
    <row r="49" spans="1:81" ht="13.2" hidden="1" x14ac:dyDescent="0.25">
      <c r="A49" s="89" t="s">
        <v>17871</v>
      </c>
      <c r="B49" s="89" t="e">
        <f>+#REF!</f>
        <v>#REF!</v>
      </c>
      <c r="C49" s="89"/>
      <c r="D49" s="91" t="s">
        <v>17460</v>
      </c>
      <c r="E49" s="90">
        <v>0</v>
      </c>
      <c r="F49" s="89">
        <v>0</v>
      </c>
      <c r="G49" s="89"/>
      <c r="H49" s="89" t="s">
        <v>17872</v>
      </c>
      <c r="I49" s="89" t="s">
        <v>17529</v>
      </c>
      <c r="J49" s="89" t="s">
        <v>646</v>
      </c>
      <c r="K49" s="89" t="s">
        <v>17874</v>
      </c>
      <c r="M49" s="89">
        <v>2022</v>
      </c>
      <c r="N49" s="89" t="s">
        <v>17873</v>
      </c>
      <c r="O49" s="89" t="s">
        <v>646</v>
      </c>
      <c r="P49" s="89" t="str">
        <f>HYPERLINK("http://dx.doi.org/10.1177/09596801211043717","http://dx.doi.org/10.1177/09596801211043717")</f>
        <v>http://dx.doi.org/10.1177/09596801211043717</v>
      </c>
      <c r="S49" s="89" t="s">
        <v>646</v>
      </c>
      <c r="U49" s="89" t="s">
        <v>17462</v>
      </c>
      <c r="W49" s="89" t="s">
        <v>646</v>
      </c>
      <c r="X49" s="89" t="s">
        <v>646</v>
      </c>
      <c r="Y49" s="89" t="s">
        <v>646</v>
      </c>
      <c r="Z49" s="89" t="s">
        <v>646</v>
      </c>
      <c r="AA49" s="89" t="s">
        <v>646</v>
      </c>
      <c r="AB49" s="89" t="s">
        <v>646</v>
      </c>
      <c r="AC49" s="89" t="s">
        <v>646</v>
      </c>
      <c r="AD49" s="89" t="s">
        <v>646</v>
      </c>
      <c r="AE49" s="89" t="s">
        <v>646</v>
      </c>
      <c r="AF49" s="89" t="s">
        <v>17874</v>
      </c>
      <c r="AG49" s="89" t="s">
        <v>646</v>
      </c>
      <c r="AH49" s="89" t="s">
        <v>646</v>
      </c>
      <c r="AI49" s="89" t="s">
        <v>646</v>
      </c>
      <c r="AJ49" s="89" t="s">
        <v>646</v>
      </c>
      <c r="AK49" s="89" t="s">
        <v>646</v>
      </c>
      <c r="AL49" s="89" t="s">
        <v>17875</v>
      </c>
      <c r="AM49" s="89" t="s">
        <v>646</v>
      </c>
      <c r="AN49" s="89" t="s">
        <v>646</v>
      </c>
      <c r="AO49" s="89" t="s">
        <v>646</v>
      </c>
      <c r="AP49" s="89" t="s">
        <v>646</v>
      </c>
      <c r="AQ49" s="89" t="s">
        <v>646</v>
      </c>
      <c r="AR49" s="89" t="s">
        <v>646</v>
      </c>
      <c r="AS49" s="89" t="s">
        <v>646</v>
      </c>
      <c r="AT49" s="89" t="s">
        <v>646</v>
      </c>
      <c r="AU49" s="89" t="s">
        <v>646</v>
      </c>
      <c r="AV49" s="89" t="s">
        <v>646</v>
      </c>
      <c r="AW49" s="89" t="s">
        <v>646</v>
      </c>
      <c r="AX49" s="89" t="s">
        <v>646</v>
      </c>
      <c r="AY49" s="89" t="s">
        <v>17876</v>
      </c>
      <c r="AZ49" s="89" t="s">
        <v>17877</v>
      </c>
      <c r="BA49" s="89" t="s">
        <v>646</v>
      </c>
      <c r="BB49" s="89" t="s">
        <v>646</v>
      </c>
      <c r="BC49" s="89" t="s">
        <v>646</v>
      </c>
      <c r="BD49" s="89" t="s">
        <v>17772</v>
      </c>
      <c r="BE49" s="89">
        <v>2022</v>
      </c>
      <c r="BF49" s="89">
        <v>28</v>
      </c>
      <c r="BG49" s="89">
        <v>2</v>
      </c>
      <c r="BH49" s="89" t="s">
        <v>646</v>
      </c>
      <c r="BI49" s="89" t="s">
        <v>646</v>
      </c>
      <c r="BJ49" s="89" t="s">
        <v>646</v>
      </c>
      <c r="BK49" s="89" t="s">
        <v>646</v>
      </c>
      <c r="BL49" s="89">
        <v>193</v>
      </c>
      <c r="BM49" s="89">
        <v>210</v>
      </c>
      <c r="BN49" s="89">
        <v>9596801211043716</v>
      </c>
      <c r="BO49" s="89" t="str">
        <f>HYPERLINK("http://dx.doi.org/10.1177/09596801211043717","http://dx.doi.org/10.1177/09596801211043717")</f>
        <v>http://dx.doi.org/10.1177/09596801211043717</v>
      </c>
      <c r="BP49" s="89" t="s">
        <v>646</v>
      </c>
      <c r="BQ49" s="89" t="s">
        <v>17878</v>
      </c>
      <c r="BR49" s="89" t="s">
        <v>646</v>
      </c>
      <c r="BS49" s="89" t="s">
        <v>646</v>
      </c>
      <c r="BT49" s="89" t="s">
        <v>646</v>
      </c>
      <c r="BU49" s="89" t="s">
        <v>646</v>
      </c>
      <c r="BV49" s="89" t="s">
        <v>646</v>
      </c>
      <c r="BW49" s="89" t="s">
        <v>646</v>
      </c>
      <c r="BX49" s="89" t="s">
        <v>646</v>
      </c>
      <c r="BY49" s="89" t="s">
        <v>646</v>
      </c>
      <c r="BZ49" s="89" t="s">
        <v>646</v>
      </c>
      <c r="CA49" s="89" t="s">
        <v>646</v>
      </c>
      <c r="CB49" s="89" t="s">
        <v>17879</v>
      </c>
      <c r="CC49" s="89" t="str">
        <f>HYPERLINK("https%3A%2F%2Fwww.webofscience.com%2Fwos%2Fwoscc%2Ffull-record%2FWOS:000739404400001","View Full Record in Web of Science")</f>
        <v>View Full Record in Web of Science</v>
      </c>
    </row>
    <row r="50" spans="1:81" ht="13.2" hidden="1" x14ac:dyDescent="0.25">
      <c r="A50" s="89" t="s">
        <v>17880</v>
      </c>
      <c r="B50" s="89" t="e">
        <f>+#REF!</f>
        <v>#REF!</v>
      </c>
      <c r="C50" s="89"/>
      <c r="D50" s="91" t="s">
        <v>17460</v>
      </c>
      <c r="E50" s="90">
        <v>0</v>
      </c>
      <c r="F50" s="89">
        <v>0</v>
      </c>
      <c r="G50" s="89"/>
      <c r="H50" s="89" t="s">
        <v>17881</v>
      </c>
      <c r="I50" s="89" t="s">
        <v>17882</v>
      </c>
      <c r="J50" s="89" t="s">
        <v>17885</v>
      </c>
      <c r="K50" s="89" t="s">
        <v>17884</v>
      </c>
      <c r="M50" s="89">
        <v>2022</v>
      </c>
      <c r="N50" s="89" t="s">
        <v>17883</v>
      </c>
      <c r="O50" s="89" t="s">
        <v>646</v>
      </c>
      <c r="P50" s="89" t="str">
        <f>HYPERLINK("http://dx.doi.org/10.1177/0308518X221103262","http://dx.doi.org/10.1177/0308518X221103262")</f>
        <v>http://dx.doi.org/10.1177/0308518X221103262</v>
      </c>
      <c r="S50" s="89" t="s">
        <v>646</v>
      </c>
      <c r="U50" s="89" t="s">
        <v>17462</v>
      </c>
      <c r="W50" s="89" t="s">
        <v>646</v>
      </c>
      <c r="X50" s="89" t="s">
        <v>646</v>
      </c>
      <c r="Y50" s="89" t="s">
        <v>646</v>
      </c>
      <c r="Z50" s="89" t="s">
        <v>646</v>
      </c>
      <c r="AA50" s="89" t="s">
        <v>646</v>
      </c>
      <c r="AB50" s="89" t="s">
        <v>646</v>
      </c>
      <c r="AC50" s="89" t="s">
        <v>646</v>
      </c>
      <c r="AD50" s="89" t="s">
        <v>646</v>
      </c>
      <c r="AE50" s="89" t="s">
        <v>646</v>
      </c>
      <c r="AF50" s="89" t="s">
        <v>17884</v>
      </c>
      <c r="AG50" s="89" t="s">
        <v>646</v>
      </c>
      <c r="AH50" s="89" t="s">
        <v>646</v>
      </c>
      <c r="AI50" s="89" t="s">
        <v>646</v>
      </c>
      <c r="AJ50" s="89" t="s">
        <v>646</v>
      </c>
      <c r="AK50" s="89" t="s">
        <v>17885</v>
      </c>
      <c r="AL50" s="89" t="s">
        <v>17886</v>
      </c>
      <c r="AM50" s="89" t="s">
        <v>646</v>
      </c>
      <c r="AN50" s="89" t="s">
        <v>646</v>
      </c>
      <c r="AO50" s="89" t="s">
        <v>646</v>
      </c>
      <c r="AP50" s="89" t="s">
        <v>646</v>
      </c>
      <c r="AQ50" s="89" t="s">
        <v>646</v>
      </c>
      <c r="AR50" s="89" t="s">
        <v>646</v>
      </c>
      <c r="AS50" s="89" t="s">
        <v>646</v>
      </c>
      <c r="AT50" s="89" t="s">
        <v>646</v>
      </c>
      <c r="AU50" s="89" t="s">
        <v>646</v>
      </c>
      <c r="AV50" s="89" t="s">
        <v>646</v>
      </c>
      <c r="AW50" s="89" t="s">
        <v>646</v>
      </c>
      <c r="AX50" s="89" t="s">
        <v>646</v>
      </c>
      <c r="AY50" s="89" t="s">
        <v>17887</v>
      </c>
      <c r="AZ50" s="89" t="s">
        <v>17888</v>
      </c>
      <c r="BA50" s="89" t="s">
        <v>646</v>
      </c>
      <c r="BB50" s="89" t="s">
        <v>646</v>
      </c>
      <c r="BC50" s="89" t="s">
        <v>646</v>
      </c>
      <c r="BD50" s="89" t="s">
        <v>17687</v>
      </c>
      <c r="BE50" s="89">
        <v>2022</v>
      </c>
      <c r="BF50" s="89">
        <v>54</v>
      </c>
      <c r="BG50" s="89">
        <v>7</v>
      </c>
      <c r="BH50" s="89" t="s">
        <v>646</v>
      </c>
      <c r="BI50" s="89" t="s">
        <v>646</v>
      </c>
      <c r="BJ50" s="89" t="s">
        <v>646</v>
      </c>
      <c r="BK50" s="89" t="s">
        <v>646</v>
      </c>
      <c r="BL50" s="89">
        <v>1411</v>
      </c>
      <c r="BM50" s="89">
        <v>1431</v>
      </c>
      <c r="BN50" s="89" t="s">
        <v>17889</v>
      </c>
      <c r="BO50" s="89" t="str">
        <f>HYPERLINK("http://dx.doi.org/10.1177/0308518X221103262","http://dx.doi.org/10.1177/0308518X221103262")</f>
        <v>http://dx.doi.org/10.1177/0308518X221103262</v>
      </c>
      <c r="BP50" s="89" t="s">
        <v>646</v>
      </c>
      <c r="BQ50" s="89" t="s">
        <v>17890</v>
      </c>
      <c r="BR50" s="89" t="s">
        <v>646</v>
      </c>
      <c r="BS50" s="89" t="s">
        <v>646</v>
      </c>
      <c r="BT50" s="89" t="s">
        <v>646</v>
      </c>
      <c r="BU50" s="89" t="s">
        <v>646</v>
      </c>
      <c r="BV50" s="89" t="s">
        <v>646</v>
      </c>
      <c r="BW50" s="89" t="s">
        <v>646</v>
      </c>
      <c r="BX50" s="89" t="s">
        <v>646</v>
      </c>
      <c r="BY50" s="89" t="s">
        <v>646</v>
      </c>
      <c r="BZ50" s="89" t="s">
        <v>646</v>
      </c>
      <c r="CA50" s="89" t="s">
        <v>646</v>
      </c>
      <c r="CB50" s="89" t="s">
        <v>17891</v>
      </c>
      <c r="CC50" s="89" t="str">
        <f>HYPERLINK("https%3A%2F%2Fwww.webofscience.com%2Fwos%2Fwoscc%2Ffull-record%2FWOS:000800542000001","View Full Record in Web of Science")</f>
        <v>View Full Record in Web of Science</v>
      </c>
    </row>
    <row r="51" spans="1:81" ht="13.2" hidden="1" x14ac:dyDescent="0.25">
      <c r="A51" s="89" t="s">
        <v>17892</v>
      </c>
      <c r="B51" s="89" t="e">
        <f>+#REF!</f>
        <v>#REF!</v>
      </c>
      <c r="C51" s="89"/>
      <c r="D51" s="91" t="s">
        <v>17460</v>
      </c>
      <c r="E51" s="90">
        <v>0</v>
      </c>
      <c r="F51" s="89">
        <v>0</v>
      </c>
      <c r="G51" s="89"/>
      <c r="H51" s="89" t="s">
        <v>17893</v>
      </c>
      <c r="I51" s="89" t="s">
        <v>17894</v>
      </c>
      <c r="J51" s="89" t="s">
        <v>646</v>
      </c>
      <c r="K51" s="89" t="s">
        <v>17896</v>
      </c>
      <c r="M51" s="89">
        <v>2018</v>
      </c>
      <c r="N51" s="89" t="s">
        <v>17895</v>
      </c>
      <c r="O51" s="89" t="s">
        <v>646</v>
      </c>
      <c r="P51" s="89" t="str">
        <f>HYPERLINK("http://dx.doi.org/10.3390/urbansci2040104","http://dx.doi.org/10.3390/urbansci2040104")</f>
        <v>http://dx.doi.org/10.3390/urbansci2040104</v>
      </c>
      <c r="S51" s="89" t="s">
        <v>646</v>
      </c>
      <c r="U51" s="89" t="s">
        <v>17462</v>
      </c>
      <c r="W51" s="89" t="s">
        <v>646</v>
      </c>
      <c r="X51" s="89" t="s">
        <v>646</v>
      </c>
      <c r="Y51" s="89" t="s">
        <v>646</v>
      </c>
      <c r="Z51" s="89" t="s">
        <v>646</v>
      </c>
      <c r="AA51" s="89" t="s">
        <v>646</v>
      </c>
      <c r="AB51" s="89" t="s">
        <v>646</v>
      </c>
      <c r="AC51" s="89" t="s">
        <v>646</v>
      </c>
      <c r="AD51" s="89" t="s">
        <v>646</v>
      </c>
      <c r="AE51" s="89" t="s">
        <v>646</v>
      </c>
      <c r="AF51" s="89" t="s">
        <v>17896</v>
      </c>
      <c r="AG51" s="89" t="s">
        <v>646</v>
      </c>
      <c r="AH51" s="89" t="s">
        <v>646</v>
      </c>
      <c r="AI51" s="89" t="s">
        <v>646</v>
      </c>
      <c r="AJ51" s="89" t="s">
        <v>646</v>
      </c>
      <c r="AK51" s="89" t="s">
        <v>646</v>
      </c>
      <c r="AL51" s="89" t="s">
        <v>646</v>
      </c>
      <c r="AM51" s="89" t="s">
        <v>646</v>
      </c>
      <c r="AN51" s="89" t="s">
        <v>646</v>
      </c>
      <c r="AO51" s="89" t="s">
        <v>646</v>
      </c>
      <c r="AP51" s="89" t="s">
        <v>646</v>
      </c>
      <c r="AQ51" s="89" t="s">
        <v>646</v>
      </c>
      <c r="AR51" s="89" t="s">
        <v>646</v>
      </c>
      <c r="AS51" s="89" t="s">
        <v>646</v>
      </c>
      <c r="AT51" s="89" t="s">
        <v>646</v>
      </c>
      <c r="AU51" s="89" t="s">
        <v>646</v>
      </c>
      <c r="AV51" s="89" t="s">
        <v>646</v>
      </c>
      <c r="AW51" s="89" t="s">
        <v>646</v>
      </c>
      <c r="AX51" s="89" t="s">
        <v>646</v>
      </c>
      <c r="AY51" s="89" t="s">
        <v>646</v>
      </c>
      <c r="AZ51" s="89" t="s">
        <v>17897</v>
      </c>
      <c r="BA51" s="89" t="s">
        <v>646</v>
      </c>
      <c r="BB51" s="89" t="s">
        <v>646</v>
      </c>
      <c r="BC51" s="89" t="s">
        <v>646</v>
      </c>
      <c r="BD51" s="89" t="s">
        <v>17615</v>
      </c>
      <c r="BE51" s="89">
        <v>2018</v>
      </c>
      <c r="BF51" s="89">
        <v>2</v>
      </c>
      <c r="BG51" s="89">
        <v>4</v>
      </c>
      <c r="BH51" s="89" t="s">
        <v>646</v>
      </c>
      <c r="BI51" s="89" t="s">
        <v>646</v>
      </c>
      <c r="BJ51" s="89" t="s">
        <v>646</v>
      </c>
      <c r="BK51" s="89" t="s">
        <v>646</v>
      </c>
      <c r="BL51" s="89" t="s">
        <v>646</v>
      </c>
      <c r="BM51" s="89" t="s">
        <v>646</v>
      </c>
      <c r="BN51" s="89">
        <v>104</v>
      </c>
      <c r="BO51" s="89" t="str">
        <f>HYPERLINK("http://dx.doi.org/10.3390/urbansci2040104","http://dx.doi.org/10.3390/urbansci2040104")</f>
        <v>http://dx.doi.org/10.3390/urbansci2040104</v>
      </c>
      <c r="BP51" s="89" t="s">
        <v>646</v>
      </c>
      <c r="BQ51" s="89" t="s">
        <v>646</v>
      </c>
      <c r="BR51" s="89" t="s">
        <v>646</v>
      </c>
      <c r="BS51" s="89" t="s">
        <v>646</v>
      </c>
      <c r="BT51" s="89" t="s">
        <v>646</v>
      </c>
      <c r="BU51" s="89" t="s">
        <v>646</v>
      </c>
      <c r="BV51" s="89" t="s">
        <v>646</v>
      </c>
      <c r="BW51" s="89" t="s">
        <v>646</v>
      </c>
      <c r="BX51" s="89" t="s">
        <v>646</v>
      </c>
      <c r="BY51" s="89" t="s">
        <v>646</v>
      </c>
      <c r="BZ51" s="89" t="s">
        <v>646</v>
      </c>
      <c r="CA51" s="89" t="s">
        <v>646</v>
      </c>
      <c r="CB51" s="89" t="s">
        <v>17898</v>
      </c>
      <c r="CC51" s="89" t="str">
        <f>HYPERLINK("https%3A%2F%2Fwww.webofscience.com%2Fwos%2Fwoscc%2Ffull-record%2FWOS:000621633000011","View Full Record in Web of Science")</f>
        <v>View Full Record in Web of Science</v>
      </c>
    </row>
    <row r="52" spans="1:81" ht="13.2" hidden="1" x14ac:dyDescent="0.25">
      <c r="A52" s="89" t="s">
        <v>17899</v>
      </c>
      <c r="B52" s="89" t="e">
        <f>+#REF!</f>
        <v>#REF!</v>
      </c>
      <c r="C52" s="89"/>
      <c r="D52" s="91" t="s">
        <v>17460</v>
      </c>
      <c r="E52" s="90">
        <v>0</v>
      </c>
      <c r="F52" s="89">
        <v>0</v>
      </c>
      <c r="G52" s="89"/>
      <c r="H52" s="89" t="s">
        <v>17900</v>
      </c>
      <c r="I52" s="89" t="s">
        <v>17901</v>
      </c>
      <c r="J52" s="89" t="s">
        <v>646</v>
      </c>
      <c r="K52" s="89" t="s">
        <v>17903</v>
      </c>
      <c r="M52" s="89">
        <v>2022</v>
      </c>
      <c r="N52" s="89" t="s">
        <v>17902</v>
      </c>
      <c r="O52" s="89" t="s">
        <v>646</v>
      </c>
      <c r="P52" s="89" t="str">
        <f>HYPERLINK("http://dx.doi.org/10.1111/1748-8583.12394","http://dx.doi.org/10.1111/1748-8583.12394")</f>
        <v>http://dx.doi.org/10.1111/1748-8583.12394</v>
      </c>
      <c r="S52" s="89" t="s">
        <v>646</v>
      </c>
      <c r="U52" s="89" t="s">
        <v>17462</v>
      </c>
      <c r="W52" s="89" t="s">
        <v>646</v>
      </c>
      <c r="X52" s="89" t="s">
        <v>646</v>
      </c>
      <c r="Y52" s="89" t="s">
        <v>646</v>
      </c>
      <c r="Z52" s="89" t="s">
        <v>646</v>
      </c>
      <c r="AA52" s="89" t="s">
        <v>646</v>
      </c>
      <c r="AB52" s="89" t="s">
        <v>646</v>
      </c>
      <c r="AC52" s="89" t="s">
        <v>646</v>
      </c>
      <c r="AD52" s="89" t="s">
        <v>646</v>
      </c>
      <c r="AE52" s="89" t="s">
        <v>646</v>
      </c>
      <c r="AF52" s="89" t="s">
        <v>17903</v>
      </c>
      <c r="AG52" s="89" t="s">
        <v>646</v>
      </c>
      <c r="AH52" s="89" t="s">
        <v>646</v>
      </c>
      <c r="AI52" s="89" t="s">
        <v>646</v>
      </c>
      <c r="AJ52" s="89" t="s">
        <v>646</v>
      </c>
      <c r="AK52" s="89" t="s">
        <v>646</v>
      </c>
      <c r="AL52" s="89" t="s">
        <v>646</v>
      </c>
      <c r="AM52" s="89" t="s">
        <v>646</v>
      </c>
      <c r="AN52" s="89" t="s">
        <v>646</v>
      </c>
      <c r="AO52" s="89" t="s">
        <v>646</v>
      </c>
      <c r="AP52" s="89" t="s">
        <v>646</v>
      </c>
      <c r="AQ52" s="89" t="s">
        <v>646</v>
      </c>
      <c r="AR52" s="89" t="s">
        <v>646</v>
      </c>
      <c r="AS52" s="89" t="s">
        <v>646</v>
      </c>
      <c r="AT52" s="89" t="s">
        <v>646</v>
      </c>
      <c r="AU52" s="89" t="s">
        <v>646</v>
      </c>
      <c r="AV52" s="89" t="s">
        <v>646</v>
      </c>
      <c r="AW52" s="89" t="s">
        <v>646</v>
      </c>
      <c r="AX52" s="89" t="s">
        <v>646</v>
      </c>
      <c r="AY52" s="89" t="s">
        <v>17904</v>
      </c>
      <c r="AZ52" s="89" t="s">
        <v>17905</v>
      </c>
      <c r="BA52" s="89" t="s">
        <v>646</v>
      </c>
      <c r="BB52" s="89" t="s">
        <v>646</v>
      </c>
      <c r="BC52" s="89" t="s">
        <v>646</v>
      </c>
      <c r="BD52" s="89" t="s">
        <v>17513</v>
      </c>
      <c r="BE52" s="89">
        <v>2022</v>
      </c>
      <c r="BF52" s="89">
        <v>32</v>
      </c>
      <c r="BG52" s="89">
        <v>1</v>
      </c>
      <c r="BH52" s="89" t="s">
        <v>646</v>
      </c>
      <c r="BI52" s="89" t="s">
        <v>646</v>
      </c>
      <c r="BJ52" s="89" t="s">
        <v>646</v>
      </c>
      <c r="BK52" s="89" t="s">
        <v>646</v>
      </c>
      <c r="BL52" s="89">
        <v>58</v>
      </c>
      <c r="BM52" s="89">
        <v>75</v>
      </c>
      <c r="BN52" s="89" t="s">
        <v>646</v>
      </c>
      <c r="BO52" s="89" t="str">
        <f>HYPERLINK("http://dx.doi.org/10.1111/1748-8583.12394","http://dx.doi.org/10.1111/1748-8583.12394")</f>
        <v>http://dx.doi.org/10.1111/1748-8583.12394</v>
      </c>
      <c r="BP52" s="89" t="s">
        <v>646</v>
      </c>
      <c r="BQ52" s="89" t="s">
        <v>17906</v>
      </c>
      <c r="BR52" s="89" t="s">
        <v>646</v>
      </c>
      <c r="BS52" s="89" t="s">
        <v>646</v>
      </c>
      <c r="BT52" s="89" t="s">
        <v>646</v>
      </c>
      <c r="BU52" s="89" t="s">
        <v>646</v>
      </c>
      <c r="BV52" s="89" t="s">
        <v>646</v>
      </c>
      <c r="BW52" s="89" t="s">
        <v>646</v>
      </c>
      <c r="BX52" s="89" t="s">
        <v>646</v>
      </c>
      <c r="BY52" s="89" t="s">
        <v>646</v>
      </c>
      <c r="BZ52" s="89" t="s">
        <v>646</v>
      </c>
      <c r="CA52" s="89" t="s">
        <v>646</v>
      </c>
      <c r="CB52" s="89" t="s">
        <v>17907</v>
      </c>
      <c r="CC52" s="89" t="str">
        <f>HYPERLINK("https%3A%2F%2Fwww.webofscience.com%2Fwos%2Fwoscc%2Ffull-record%2FWOS:000668742100001","View Full Record in Web of Science")</f>
        <v>View Full Record in Web of Science</v>
      </c>
    </row>
    <row r="53" spans="1:81" ht="13.2" hidden="1" x14ac:dyDescent="0.25">
      <c r="A53" s="89" t="s">
        <v>17908</v>
      </c>
      <c r="B53" s="89" t="e">
        <f>+#REF!</f>
        <v>#REF!</v>
      </c>
      <c r="C53" s="89"/>
      <c r="D53" s="91" t="s">
        <v>17460</v>
      </c>
      <c r="E53" s="90">
        <v>0</v>
      </c>
      <c r="F53" s="89">
        <v>0</v>
      </c>
      <c r="G53" s="89"/>
      <c r="H53" s="89" t="s">
        <v>646</v>
      </c>
      <c r="I53" s="89" t="s">
        <v>17909</v>
      </c>
      <c r="J53" s="89" t="s">
        <v>17915</v>
      </c>
      <c r="K53" s="89" t="s">
        <v>17914</v>
      </c>
      <c r="M53" s="89">
        <v>2017</v>
      </c>
      <c r="N53" s="89" t="s">
        <v>17910</v>
      </c>
      <c r="O53" s="89" t="s">
        <v>17517</v>
      </c>
      <c r="P53" s="89" t="s">
        <v>646</v>
      </c>
      <c r="S53" s="89" t="s">
        <v>646</v>
      </c>
      <c r="U53" s="89" t="s">
        <v>17474</v>
      </c>
      <c r="W53" s="89" t="s">
        <v>646</v>
      </c>
      <c r="X53" s="89" t="s">
        <v>646</v>
      </c>
      <c r="Y53" s="89" t="s">
        <v>17911</v>
      </c>
      <c r="Z53" s="89" t="s">
        <v>17912</v>
      </c>
      <c r="AA53" s="89" t="s">
        <v>17522</v>
      </c>
      <c r="AB53" s="89" t="s">
        <v>17913</v>
      </c>
      <c r="AC53" s="89" t="s">
        <v>646</v>
      </c>
      <c r="AD53" s="89" t="s">
        <v>646</v>
      </c>
      <c r="AE53" s="89" t="s">
        <v>646</v>
      </c>
      <c r="AF53" s="89" t="s">
        <v>17914</v>
      </c>
      <c r="AG53" s="89" t="s">
        <v>646</v>
      </c>
      <c r="AH53" s="89" t="s">
        <v>646</v>
      </c>
      <c r="AI53" s="89" t="s">
        <v>646</v>
      </c>
      <c r="AJ53" s="89" t="s">
        <v>646</v>
      </c>
      <c r="AK53" s="89" t="s">
        <v>17915</v>
      </c>
      <c r="AL53" s="89" t="s">
        <v>17916</v>
      </c>
      <c r="AM53" s="89" t="s">
        <v>646</v>
      </c>
      <c r="AN53" s="89" t="s">
        <v>646</v>
      </c>
      <c r="AO53" s="89" t="s">
        <v>646</v>
      </c>
      <c r="AP53" s="89" t="s">
        <v>646</v>
      </c>
      <c r="AQ53" s="89" t="s">
        <v>646</v>
      </c>
      <c r="AR53" s="89" t="s">
        <v>646</v>
      </c>
      <c r="AS53" s="89" t="s">
        <v>646</v>
      </c>
      <c r="AT53" s="89" t="s">
        <v>646</v>
      </c>
      <c r="AU53" s="89" t="s">
        <v>646</v>
      </c>
      <c r="AV53" s="89" t="s">
        <v>646</v>
      </c>
      <c r="AW53" s="89" t="s">
        <v>646</v>
      </c>
      <c r="AX53" s="89" t="s">
        <v>646</v>
      </c>
      <c r="AY53" s="89" t="s">
        <v>646</v>
      </c>
      <c r="AZ53" s="89" t="s">
        <v>646</v>
      </c>
      <c r="BA53" s="89" t="s">
        <v>17917</v>
      </c>
      <c r="BB53" s="89" t="s">
        <v>646</v>
      </c>
      <c r="BC53" s="89" t="s">
        <v>646</v>
      </c>
      <c r="BD53" s="89" t="s">
        <v>646</v>
      </c>
      <c r="BE53" s="89">
        <v>2017</v>
      </c>
      <c r="BF53" s="89" t="s">
        <v>646</v>
      </c>
      <c r="BG53" s="89" t="s">
        <v>646</v>
      </c>
      <c r="BH53" s="89" t="s">
        <v>646</v>
      </c>
      <c r="BI53" s="89" t="s">
        <v>646</v>
      </c>
      <c r="BJ53" s="89" t="s">
        <v>646</v>
      </c>
      <c r="BK53" s="89" t="s">
        <v>646</v>
      </c>
      <c r="BL53" s="89">
        <v>2361</v>
      </c>
      <c r="BM53" s="89">
        <v>2368</v>
      </c>
      <c r="BN53" s="89" t="s">
        <v>646</v>
      </c>
      <c r="BO53" s="89" t="s">
        <v>646</v>
      </c>
      <c r="BP53" s="89" t="s">
        <v>646</v>
      </c>
      <c r="BQ53" s="89" t="s">
        <v>646</v>
      </c>
      <c r="BR53" s="89" t="s">
        <v>646</v>
      </c>
      <c r="BS53" s="89" t="s">
        <v>646</v>
      </c>
      <c r="BT53" s="89" t="s">
        <v>646</v>
      </c>
      <c r="BU53" s="89" t="s">
        <v>646</v>
      </c>
      <c r="BV53" s="89" t="s">
        <v>646</v>
      </c>
      <c r="BW53" s="89" t="s">
        <v>646</v>
      </c>
      <c r="BX53" s="89" t="s">
        <v>646</v>
      </c>
      <c r="BY53" s="89" t="s">
        <v>646</v>
      </c>
      <c r="BZ53" s="89" t="s">
        <v>646</v>
      </c>
      <c r="CA53" s="89" t="s">
        <v>646</v>
      </c>
      <c r="CB53" s="89" t="s">
        <v>17918</v>
      </c>
      <c r="CC53" s="89" t="str">
        <f>HYPERLINK("https%3A%2F%2Fwww.webofscience.com%2Fwos%2Fwoscc%2Ffull-record%2FWOS:000685059204035","View Full Record in Web of Science")</f>
        <v>View Full Record in Web of Science</v>
      </c>
    </row>
    <row r="54" spans="1:81" ht="13.2" hidden="1" x14ac:dyDescent="0.25">
      <c r="A54" s="89" t="s">
        <v>17919</v>
      </c>
      <c r="B54" s="89" t="e">
        <f>+#REF!</f>
        <v>#REF!</v>
      </c>
      <c r="C54" s="89"/>
      <c r="D54" s="91" t="s">
        <v>17460</v>
      </c>
      <c r="E54" s="90">
        <v>0</v>
      </c>
      <c r="F54" s="89">
        <v>0</v>
      </c>
      <c r="G54" s="89"/>
      <c r="H54" s="89" t="s">
        <v>17920</v>
      </c>
      <c r="I54" s="89" t="s">
        <v>17921</v>
      </c>
      <c r="J54" s="89" t="s">
        <v>17928</v>
      </c>
      <c r="K54" s="89" t="s">
        <v>17927</v>
      </c>
      <c r="M54" s="89">
        <v>2022</v>
      </c>
      <c r="N54" s="89" t="s">
        <v>17922</v>
      </c>
      <c r="O54" s="89" t="s">
        <v>646</v>
      </c>
      <c r="P54" s="89" t="str">
        <f>HYPERLINK("http://dx.doi.org/10.1097/PRS.0000000000009194","http://dx.doi.org/10.1097/PRS.0000000000009194")</f>
        <v>http://dx.doi.org/10.1097/PRS.0000000000009194</v>
      </c>
      <c r="S54" s="89" t="s">
        <v>646</v>
      </c>
      <c r="U54" s="89" t="s">
        <v>17462</v>
      </c>
      <c r="W54" s="89" t="s">
        <v>646</v>
      </c>
      <c r="X54" s="89" t="s">
        <v>646</v>
      </c>
      <c r="Y54" s="89" t="s">
        <v>17923</v>
      </c>
      <c r="Z54" s="89" t="s">
        <v>17924</v>
      </c>
      <c r="AA54" s="89" t="s">
        <v>17925</v>
      </c>
      <c r="AB54" s="89" t="s">
        <v>17926</v>
      </c>
      <c r="AC54" s="89" t="s">
        <v>646</v>
      </c>
      <c r="AD54" s="89" t="s">
        <v>646</v>
      </c>
      <c r="AE54" s="89" t="s">
        <v>646</v>
      </c>
      <c r="AF54" s="89" t="s">
        <v>17927</v>
      </c>
      <c r="AG54" s="89" t="s">
        <v>646</v>
      </c>
      <c r="AH54" s="89" t="s">
        <v>646</v>
      </c>
      <c r="AI54" s="89" t="s">
        <v>646</v>
      </c>
      <c r="AJ54" s="89" t="s">
        <v>646</v>
      </c>
      <c r="AK54" s="89" t="s">
        <v>17928</v>
      </c>
      <c r="AL54" s="89" t="s">
        <v>17929</v>
      </c>
      <c r="AM54" s="89" t="s">
        <v>646</v>
      </c>
      <c r="AN54" s="89" t="s">
        <v>646</v>
      </c>
      <c r="AO54" s="89" t="s">
        <v>646</v>
      </c>
      <c r="AP54" s="89" t="s">
        <v>646</v>
      </c>
      <c r="AQ54" s="89" t="s">
        <v>646</v>
      </c>
      <c r="AR54" s="89" t="s">
        <v>646</v>
      </c>
      <c r="AS54" s="89" t="s">
        <v>646</v>
      </c>
      <c r="AT54" s="89" t="s">
        <v>646</v>
      </c>
      <c r="AU54" s="89" t="s">
        <v>646</v>
      </c>
      <c r="AV54" s="89" t="s">
        <v>646</v>
      </c>
      <c r="AW54" s="89" t="s">
        <v>646</v>
      </c>
      <c r="AX54" s="89" t="s">
        <v>646</v>
      </c>
      <c r="AY54" s="89" t="s">
        <v>17930</v>
      </c>
      <c r="AZ54" s="89" t="s">
        <v>17931</v>
      </c>
      <c r="BA54" s="89" t="s">
        <v>646</v>
      </c>
      <c r="BB54" s="89" t="s">
        <v>646</v>
      </c>
      <c r="BC54" s="89" t="s">
        <v>646</v>
      </c>
      <c r="BD54" s="89" t="s">
        <v>17676</v>
      </c>
      <c r="BE54" s="89">
        <v>2022</v>
      </c>
      <c r="BF54" s="89">
        <v>150</v>
      </c>
      <c r="BG54" s="89">
        <v>1</v>
      </c>
      <c r="BH54" s="89" t="s">
        <v>646</v>
      </c>
      <c r="BI54" s="89" t="s">
        <v>646</v>
      </c>
      <c r="BJ54" s="89" t="s">
        <v>646</v>
      </c>
      <c r="BK54" s="89" t="s">
        <v>646</v>
      </c>
      <c r="BL54" s="89">
        <v>38</v>
      </c>
      <c r="BM54" s="89">
        <v>45</v>
      </c>
      <c r="BN54" s="89" t="s">
        <v>646</v>
      </c>
      <c r="BO54" s="89" t="str">
        <f>HYPERLINK("http://dx.doi.org/10.1097/PRS.0000000000009194","http://dx.doi.org/10.1097/PRS.0000000000009194")</f>
        <v>http://dx.doi.org/10.1097/PRS.0000000000009194</v>
      </c>
      <c r="BP54" s="89" t="s">
        <v>646</v>
      </c>
      <c r="BQ54" s="89" t="s">
        <v>646</v>
      </c>
      <c r="BR54" s="89" t="s">
        <v>646</v>
      </c>
      <c r="BS54" s="89" t="s">
        <v>646</v>
      </c>
      <c r="BT54" s="89" t="s">
        <v>646</v>
      </c>
      <c r="BU54" s="89" t="s">
        <v>646</v>
      </c>
      <c r="BV54" s="89" t="s">
        <v>646</v>
      </c>
      <c r="BW54" s="89">
        <v>35499575</v>
      </c>
      <c r="BX54" s="89" t="s">
        <v>646</v>
      </c>
      <c r="BY54" s="89" t="s">
        <v>646</v>
      </c>
      <c r="BZ54" s="89" t="s">
        <v>646</v>
      </c>
      <c r="CA54" s="89" t="s">
        <v>646</v>
      </c>
      <c r="CB54" s="89" t="s">
        <v>17932</v>
      </c>
      <c r="CC54" s="89" t="str">
        <f>HYPERLINK("https%3A%2F%2Fwww.webofscience.com%2Fwos%2Fwoscc%2Ffull-record%2FWOS:000818196600009","View Full Record in Web of Science")</f>
        <v>View Full Record in Web of Science</v>
      </c>
    </row>
    <row r="55" spans="1:81" ht="13.2" hidden="1" x14ac:dyDescent="0.25">
      <c r="A55" s="89" t="s">
        <v>17933</v>
      </c>
      <c r="B55" s="89" t="e">
        <f>+#REF!</f>
        <v>#REF!</v>
      </c>
      <c r="C55" s="89"/>
      <c r="D55" s="91" t="s">
        <v>17460</v>
      </c>
      <c r="E55" s="90">
        <v>0</v>
      </c>
      <c r="F55" s="89">
        <v>0</v>
      </c>
      <c r="G55" s="89"/>
      <c r="H55" s="89" t="s">
        <v>17934</v>
      </c>
      <c r="I55" s="89" t="s">
        <v>17935</v>
      </c>
      <c r="J55" s="89" t="s">
        <v>646</v>
      </c>
      <c r="K55" s="89" t="s">
        <v>17936</v>
      </c>
      <c r="M55" s="89">
        <v>2021</v>
      </c>
      <c r="N55" s="89" t="s">
        <v>17733</v>
      </c>
      <c r="O55" s="89" t="s">
        <v>646</v>
      </c>
      <c r="P55" s="89" t="str">
        <f>HYPERLINK("http://dx.doi.org/10.12775/EiP.2021.034","http://dx.doi.org/10.12775/EiP.2021.034")</f>
        <v>http://dx.doi.org/10.12775/EiP.2021.034</v>
      </c>
      <c r="S55" s="89" t="s">
        <v>646</v>
      </c>
      <c r="U55" s="89" t="s">
        <v>17462</v>
      </c>
      <c r="W55" s="89" t="s">
        <v>646</v>
      </c>
      <c r="X55" s="89" t="s">
        <v>646</v>
      </c>
      <c r="Y55" s="89" t="s">
        <v>646</v>
      </c>
      <c r="Z55" s="89" t="s">
        <v>646</v>
      </c>
      <c r="AA55" s="89" t="s">
        <v>646</v>
      </c>
      <c r="AB55" s="89" t="s">
        <v>646</v>
      </c>
      <c r="AC55" s="89" t="s">
        <v>646</v>
      </c>
      <c r="AD55" s="89" t="s">
        <v>646</v>
      </c>
      <c r="AE55" s="89" t="s">
        <v>646</v>
      </c>
      <c r="AF55" s="89" t="s">
        <v>17936</v>
      </c>
      <c r="AG55" s="89" t="s">
        <v>646</v>
      </c>
      <c r="AH55" s="89" t="s">
        <v>646</v>
      </c>
      <c r="AI55" s="89" t="s">
        <v>646</v>
      </c>
      <c r="AJ55" s="89" t="s">
        <v>646</v>
      </c>
      <c r="AK55" s="89" t="s">
        <v>646</v>
      </c>
      <c r="AL55" s="89" t="s">
        <v>646</v>
      </c>
      <c r="AM55" s="89" t="s">
        <v>646</v>
      </c>
      <c r="AN55" s="89" t="s">
        <v>646</v>
      </c>
      <c r="AO55" s="89" t="s">
        <v>646</v>
      </c>
      <c r="AP55" s="89" t="s">
        <v>646</v>
      </c>
      <c r="AQ55" s="89" t="s">
        <v>646</v>
      </c>
      <c r="AR55" s="89" t="s">
        <v>646</v>
      </c>
      <c r="AS55" s="89" t="s">
        <v>646</v>
      </c>
      <c r="AT55" s="89" t="s">
        <v>646</v>
      </c>
      <c r="AU55" s="89" t="s">
        <v>646</v>
      </c>
      <c r="AV55" s="89" t="s">
        <v>646</v>
      </c>
      <c r="AW55" s="89" t="s">
        <v>646</v>
      </c>
      <c r="AX55" s="89" t="s">
        <v>646</v>
      </c>
      <c r="AY55" s="89" t="s">
        <v>17737</v>
      </c>
      <c r="AZ55" s="89" t="s">
        <v>17738</v>
      </c>
      <c r="BA55" s="89" t="s">
        <v>646</v>
      </c>
      <c r="BB55" s="89" t="s">
        <v>646</v>
      </c>
      <c r="BC55" s="89" t="s">
        <v>646</v>
      </c>
      <c r="BD55" s="89" t="s">
        <v>17739</v>
      </c>
      <c r="BE55" s="89">
        <v>2021</v>
      </c>
      <c r="BF55" s="89">
        <v>20</v>
      </c>
      <c r="BG55" s="89">
        <v>3</v>
      </c>
      <c r="BH55" s="89" t="s">
        <v>646</v>
      </c>
      <c r="BI55" s="89" t="s">
        <v>646</v>
      </c>
      <c r="BJ55" s="89" t="s">
        <v>646</v>
      </c>
      <c r="BK55" s="89" t="s">
        <v>646</v>
      </c>
      <c r="BL55" s="89">
        <v>573</v>
      </c>
      <c r="BM55" s="89">
        <v>585</v>
      </c>
      <c r="BN55" s="89" t="s">
        <v>646</v>
      </c>
      <c r="BO55" s="89" t="str">
        <f>HYPERLINK("http://dx.doi.org/10.12775/EiP.2021.034","http://dx.doi.org/10.12775/EiP.2021.034")</f>
        <v>http://dx.doi.org/10.12775/EiP.2021.034</v>
      </c>
      <c r="BP55" s="89" t="s">
        <v>646</v>
      </c>
      <c r="BQ55" s="89" t="s">
        <v>646</v>
      </c>
      <c r="BR55" s="89" t="s">
        <v>646</v>
      </c>
      <c r="BS55" s="89" t="s">
        <v>646</v>
      </c>
      <c r="BT55" s="89" t="s">
        <v>646</v>
      </c>
      <c r="BU55" s="89" t="s">
        <v>646</v>
      </c>
      <c r="BV55" s="89" t="s">
        <v>646</v>
      </c>
      <c r="BW55" s="89" t="s">
        <v>646</v>
      </c>
      <c r="BX55" s="89" t="s">
        <v>646</v>
      </c>
      <c r="BY55" s="89" t="s">
        <v>646</v>
      </c>
      <c r="BZ55" s="89" t="s">
        <v>646</v>
      </c>
      <c r="CA55" s="89" t="s">
        <v>646</v>
      </c>
      <c r="CB55" s="89" t="s">
        <v>17937</v>
      </c>
      <c r="CC55" s="89" t="str">
        <f>HYPERLINK("https%3A%2F%2Fwww.webofscience.com%2Fwos%2Fwoscc%2Ffull-record%2FWOS:000754735000006","View Full Record in Web of Science")</f>
        <v>View Full Record in Web of Science</v>
      </c>
    </row>
    <row r="56" spans="1:81" ht="13.2" hidden="1" x14ac:dyDescent="0.25">
      <c r="A56" s="89" t="s">
        <v>17938</v>
      </c>
      <c r="B56" s="89" t="e">
        <f>+#REF!</f>
        <v>#REF!</v>
      </c>
      <c r="C56" s="90"/>
      <c r="D56" s="91" t="s">
        <v>17939</v>
      </c>
      <c r="E56" s="90" t="e">
        <v>#REF!</v>
      </c>
      <c r="F56" s="90">
        <v>0</v>
      </c>
      <c r="G56" s="90"/>
      <c r="H56" s="89" t="s">
        <v>646</v>
      </c>
      <c r="I56" s="89" t="s">
        <v>17941</v>
      </c>
      <c r="J56" s="89" t="s">
        <v>646</v>
      </c>
      <c r="K56" s="89" t="s">
        <v>17947</v>
      </c>
      <c r="M56" s="89">
        <v>2017</v>
      </c>
      <c r="N56" s="89" t="s">
        <v>17942</v>
      </c>
      <c r="O56" s="89" t="s">
        <v>17940</v>
      </c>
      <c r="P56" s="89" t="s">
        <v>646</v>
      </c>
      <c r="S56" s="89" t="s">
        <v>646</v>
      </c>
      <c r="U56" s="89" t="s">
        <v>17474</v>
      </c>
      <c r="W56" s="89" t="s">
        <v>646</v>
      </c>
      <c r="X56" s="89" t="s">
        <v>646</v>
      </c>
      <c r="Y56" s="89" t="s">
        <v>17943</v>
      </c>
      <c r="Z56" s="89" t="s">
        <v>17944</v>
      </c>
      <c r="AA56" s="89" t="s">
        <v>17945</v>
      </c>
      <c r="AB56" s="89" t="s">
        <v>17946</v>
      </c>
      <c r="AC56" s="89" t="s">
        <v>646</v>
      </c>
      <c r="AD56" s="89" t="s">
        <v>646</v>
      </c>
      <c r="AE56" s="89" t="s">
        <v>646</v>
      </c>
      <c r="AF56" s="89" t="s">
        <v>17947</v>
      </c>
      <c r="AG56" s="89" t="s">
        <v>646</v>
      </c>
      <c r="AH56" s="89" t="s">
        <v>646</v>
      </c>
      <c r="AI56" s="89" t="s">
        <v>646</v>
      </c>
      <c r="AJ56" s="89" t="s">
        <v>646</v>
      </c>
      <c r="AK56" s="89" t="s">
        <v>646</v>
      </c>
      <c r="AL56" s="89" t="s">
        <v>17948</v>
      </c>
      <c r="AM56" s="89" t="s">
        <v>646</v>
      </c>
      <c r="AN56" s="89" t="s">
        <v>646</v>
      </c>
      <c r="AO56" s="89" t="s">
        <v>646</v>
      </c>
      <c r="AP56" s="89" t="s">
        <v>646</v>
      </c>
      <c r="AQ56" s="89" t="s">
        <v>646</v>
      </c>
      <c r="AR56" s="89" t="s">
        <v>646</v>
      </c>
      <c r="AS56" s="89" t="s">
        <v>646</v>
      </c>
      <c r="AT56" s="89" t="s">
        <v>646</v>
      </c>
      <c r="AU56" s="89" t="s">
        <v>646</v>
      </c>
      <c r="AV56" s="89" t="s">
        <v>646</v>
      </c>
      <c r="AW56" s="89" t="s">
        <v>646</v>
      </c>
      <c r="AX56" s="89" t="s">
        <v>646</v>
      </c>
      <c r="AY56" s="89" t="s">
        <v>17949</v>
      </c>
      <c r="AZ56" s="89" t="s">
        <v>17950</v>
      </c>
      <c r="BA56" s="89" t="s">
        <v>646</v>
      </c>
      <c r="BB56" s="89" t="s">
        <v>646</v>
      </c>
      <c r="BC56" s="89" t="s">
        <v>646</v>
      </c>
      <c r="BD56" s="89" t="s">
        <v>646</v>
      </c>
      <c r="BE56" s="89">
        <v>2017</v>
      </c>
      <c r="BF56" s="89" t="s">
        <v>646</v>
      </c>
      <c r="BG56" s="89" t="s">
        <v>646</v>
      </c>
      <c r="BH56" s="89" t="s">
        <v>646</v>
      </c>
      <c r="BI56" s="89" t="s">
        <v>646</v>
      </c>
      <c r="BJ56" s="89" t="s">
        <v>646</v>
      </c>
      <c r="BK56" s="89" t="s">
        <v>646</v>
      </c>
      <c r="BL56" s="89">
        <v>643</v>
      </c>
      <c r="BM56" s="89">
        <v>652</v>
      </c>
      <c r="BN56" s="89" t="s">
        <v>646</v>
      </c>
      <c r="BO56" s="89" t="s">
        <v>646</v>
      </c>
      <c r="BP56" s="89" t="s">
        <v>646</v>
      </c>
      <c r="BQ56" s="89" t="s">
        <v>646</v>
      </c>
      <c r="BR56" s="89" t="s">
        <v>646</v>
      </c>
      <c r="BS56" s="89" t="s">
        <v>646</v>
      </c>
      <c r="BT56" s="89" t="s">
        <v>646</v>
      </c>
      <c r="BU56" s="89" t="s">
        <v>646</v>
      </c>
      <c r="BV56" s="89" t="s">
        <v>646</v>
      </c>
      <c r="BW56" s="89" t="s">
        <v>646</v>
      </c>
      <c r="BX56" s="89" t="s">
        <v>646</v>
      </c>
      <c r="BY56" s="89" t="s">
        <v>646</v>
      </c>
      <c r="BZ56" s="89" t="s">
        <v>646</v>
      </c>
      <c r="CA56" s="89" t="s">
        <v>646</v>
      </c>
      <c r="CB56" s="89" t="s">
        <v>17951</v>
      </c>
      <c r="CC56" s="89" t="str">
        <f>HYPERLINK("https%3A%2F%2Fwww.webofscience.com%2Fwos%2Fwoscc%2Ffull-record%2FWOS:000578596300065","View Full Record in Web of Science")</f>
        <v>View Full Record in Web of Science</v>
      </c>
    </row>
    <row r="57" spans="1:81" ht="13.2" hidden="1" x14ac:dyDescent="0.25">
      <c r="A57" s="89" t="s">
        <v>1628</v>
      </c>
      <c r="B57" s="89" t="e">
        <f>+#REF!</f>
        <v>#REF!</v>
      </c>
      <c r="C57" s="90">
        <v>1</v>
      </c>
      <c r="D57" s="91" t="s">
        <v>17939</v>
      </c>
      <c r="E57" s="90" t="e">
        <v>#REF!</v>
      </c>
      <c r="F57" s="90">
        <v>1</v>
      </c>
      <c r="G57" s="90">
        <v>0</v>
      </c>
      <c r="H57" s="89" t="s">
        <v>1637</v>
      </c>
      <c r="I57" s="89" t="s">
        <v>17952</v>
      </c>
      <c r="J57" s="89" t="s">
        <v>646</v>
      </c>
      <c r="K57" s="89" t="s">
        <v>17953</v>
      </c>
      <c r="M57" s="89">
        <v>2020</v>
      </c>
      <c r="N57" s="89" t="s">
        <v>17768</v>
      </c>
      <c r="O57" s="89" t="s">
        <v>646</v>
      </c>
      <c r="P57" s="89" t="str">
        <f>HYPERLINK("http://dx.doi.org/10.1177/2031952520905152","http://dx.doi.org/10.1177/2031952520905152")</f>
        <v>http://dx.doi.org/10.1177/2031952520905152</v>
      </c>
      <c r="S57" s="89" t="s">
        <v>646</v>
      </c>
      <c r="U57" s="89" t="s">
        <v>17462</v>
      </c>
      <c r="W57" s="89" t="s">
        <v>646</v>
      </c>
      <c r="X57" s="89" t="s">
        <v>646</v>
      </c>
      <c r="Y57" s="89" t="s">
        <v>646</v>
      </c>
      <c r="Z57" s="89" t="s">
        <v>646</v>
      </c>
      <c r="AA57" s="89" t="s">
        <v>646</v>
      </c>
      <c r="AB57" s="89" t="s">
        <v>646</v>
      </c>
      <c r="AC57" s="89" t="s">
        <v>646</v>
      </c>
      <c r="AD57" s="89" t="s">
        <v>646</v>
      </c>
      <c r="AE57" s="89" t="s">
        <v>646</v>
      </c>
      <c r="AF57" s="89" t="s">
        <v>17953</v>
      </c>
      <c r="AG57" s="89" t="s">
        <v>646</v>
      </c>
      <c r="AH57" s="89" t="s">
        <v>646</v>
      </c>
      <c r="AI57" s="89" t="s">
        <v>646</v>
      </c>
      <c r="AJ57" s="89" t="s">
        <v>646</v>
      </c>
      <c r="AK57" s="89" t="s">
        <v>646</v>
      </c>
      <c r="AL57" s="89" t="s">
        <v>17954</v>
      </c>
      <c r="AM57" s="89" t="s">
        <v>646</v>
      </c>
      <c r="AN57" s="89" t="s">
        <v>646</v>
      </c>
      <c r="AO57" s="89" t="s">
        <v>646</v>
      </c>
      <c r="AP57" s="89" t="s">
        <v>646</v>
      </c>
      <c r="AQ57" s="89" t="s">
        <v>646</v>
      </c>
      <c r="AR57" s="89" t="s">
        <v>646</v>
      </c>
      <c r="AS57" s="89" t="s">
        <v>646</v>
      </c>
      <c r="AT57" s="89" t="s">
        <v>646</v>
      </c>
      <c r="AU57" s="89" t="s">
        <v>646</v>
      </c>
      <c r="AV57" s="89" t="s">
        <v>646</v>
      </c>
      <c r="AW57" s="89" t="s">
        <v>646</v>
      </c>
      <c r="AX57" s="89" t="s">
        <v>646</v>
      </c>
      <c r="AY57" s="89" t="s">
        <v>17770</v>
      </c>
      <c r="AZ57" s="89" t="s">
        <v>17771</v>
      </c>
      <c r="BA57" s="89" t="s">
        <v>646</v>
      </c>
      <c r="BB57" s="89" t="s">
        <v>646</v>
      </c>
      <c r="BC57" s="89" t="s">
        <v>646</v>
      </c>
      <c r="BD57" s="89" t="s">
        <v>17772</v>
      </c>
      <c r="BE57" s="89">
        <v>2020</v>
      </c>
      <c r="BF57" s="89">
        <v>11</v>
      </c>
      <c r="BG57" s="89">
        <v>2</v>
      </c>
      <c r="BH57" s="89" t="s">
        <v>646</v>
      </c>
      <c r="BI57" s="89" t="s">
        <v>646</v>
      </c>
      <c r="BJ57" s="89" t="s">
        <v>646</v>
      </c>
      <c r="BK57" s="89" t="s">
        <v>646</v>
      </c>
      <c r="BL57" s="89">
        <v>131</v>
      </c>
      <c r="BM57" s="89">
        <v>141</v>
      </c>
      <c r="BN57" s="89" t="s">
        <v>646</v>
      </c>
      <c r="BO57" s="89" t="str">
        <f>HYPERLINK("http://dx.doi.org/10.1177/2031952520905152","http://dx.doi.org/10.1177/2031952520905152")</f>
        <v>http://dx.doi.org/10.1177/2031952520905152</v>
      </c>
      <c r="BP57" s="89" t="s">
        <v>646</v>
      </c>
      <c r="BQ57" s="89" t="s">
        <v>646</v>
      </c>
      <c r="BR57" s="89" t="s">
        <v>646</v>
      </c>
      <c r="BS57" s="89" t="s">
        <v>646</v>
      </c>
      <c r="BT57" s="89" t="s">
        <v>646</v>
      </c>
      <c r="BU57" s="89" t="s">
        <v>646</v>
      </c>
      <c r="BV57" s="89" t="s">
        <v>646</v>
      </c>
      <c r="BW57" s="89" t="s">
        <v>646</v>
      </c>
      <c r="BX57" s="89" t="s">
        <v>646</v>
      </c>
      <c r="BY57" s="89" t="s">
        <v>646</v>
      </c>
      <c r="BZ57" s="89" t="s">
        <v>646</v>
      </c>
      <c r="CA57" s="89" t="s">
        <v>646</v>
      </c>
      <c r="CB57" s="89" t="s">
        <v>17955</v>
      </c>
      <c r="CC57" s="89" t="str">
        <f>HYPERLINK("https%3A%2F%2Fwww.webofscience.com%2Fwos%2Fwoscc%2Ffull-record%2FWOS:000582708700003","View Full Record in Web of Science")</f>
        <v>View Full Record in Web of Science</v>
      </c>
    </row>
    <row r="58" spans="1:81" ht="13.2" hidden="1" x14ac:dyDescent="0.25">
      <c r="A58" s="89" t="s">
        <v>17956</v>
      </c>
      <c r="B58" s="89" t="e">
        <f>+#REF!</f>
        <v>#REF!</v>
      </c>
      <c r="C58" s="90">
        <v>1</v>
      </c>
      <c r="D58" s="91" t="s">
        <v>17939</v>
      </c>
      <c r="E58" s="90" t="e">
        <v>#REF!</v>
      </c>
      <c r="F58" s="90">
        <v>1</v>
      </c>
      <c r="G58" s="90">
        <v>0</v>
      </c>
      <c r="H58" s="89" t="s">
        <v>17957</v>
      </c>
      <c r="I58" s="89" t="s">
        <v>17958</v>
      </c>
      <c r="J58" s="89" t="s">
        <v>17961</v>
      </c>
      <c r="K58" s="89" t="s">
        <v>17960</v>
      </c>
      <c r="M58" s="89">
        <v>2021</v>
      </c>
      <c r="N58" s="89" t="s">
        <v>17959</v>
      </c>
      <c r="O58" s="89" t="s">
        <v>646</v>
      </c>
      <c r="P58" s="89" t="str">
        <f>HYPERLINK("http://dx.doi.org/10.1016/j.jclepro.2020.124782","http://dx.doi.org/10.1016/j.jclepro.2020.124782")</f>
        <v>http://dx.doi.org/10.1016/j.jclepro.2020.124782</v>
      </c>
      <c r="S58" s="89" t="s">
        <v>646</v>
      </c>
      <c r="U58" s="89" t="s">
        <v>17462</v>
      </c>
      <c r="W58" s="89" t="s">
        <v>646</v>
      </c>
      <c r="X58" s="89" t="s">
        <v>646</v>
      </c>
      <c r="Y58" s="89" t="s">
        <v>646</v>
      </c>
      <c r="Z58" s="89" t="s">
        <v>646</v>
      </c>
      <c r="AA58" s="89" t="s">
        <v>646</v>
      </c>
      <c r="AB58" s="89" t="s">
        <v>646</v>
      </c>
      <c r="AC58" s="89" t="s">
        <v>646</v>
      </c>
      <c r="AD58" s="89" t="s">
        <v>646</v>
      </c>
      <c r="AE58" s="89" t="s">
        <v>646</v>
      </c>
      <c r="AF58" s="89" t="s">
        <v>17960</v>
      </c>
      <c r="AG58" s="89" t="s">
        <v>646</v>
      </c>
      <c r="AH58" s="89" t="s">
        <v>646</v>
      </c>
      <c r="AI58" s="89" t="s">
        <v>646</v>
      </c>
      <c r="AJ58" s="89" t="s">
        <v>646</v>
      </c>
      <c r="AK58" s="89" t="s">
        <v>17961</v>
      </c>
      <c r="AL58" s="89" t="s">
        <v>17962</v>
      </c>
      <c r="AM58" s="89" t="s">
        <v>646</v>
      </c>
      <c r="AN58" s="89" t="s">
        <v>646</v>
      </c>
      <c r="AO58" s="89" t="s">
        <v>646</v>
      </c>
      <c r="AP58" s="89" t="s">
        <v>646</v>
      </c>
      <c r="AQ58" s="89" t="s">
        <v>646</v>
      </c>
      <c r="AR58" s="89" t="s">
        <v>646</v>
      </c>
      <c r="AS58" s="89" t="s">
        <v>646</v>
      </c>
      <c r="AT58" s="89" t="s">
        <v>646</v>
      </c>
      <c r="AU58" s="89" t="s">
        <v>646</v>
      </c>
      <c r="AV58" s="89" t="s">
        <v>646</v>
      </c>
      <c r="AW58" s="89" t="s">
        <v>646</v>
      </c>
      <c r="AX58" s="89" t="s">
        <v>646</v>
      </c>
      <c r="AY58" s="89" t="s">
        <v>17963</v>
      </c>
      <c r="AZ58" s="89" t="s">
        <v>17964</v>
      </c>
      <c r="BA58" s="89" t="s">
        <v>646</v>
      </c>
      <c r="BB58" s="89" t="s">
        <v>646</v>
      </c>
      <c r="BC58" s="89" t="s">
        <v>646</v>
      </c>
      <c r="BD58" s="89" t="s">
        <v>17965</v>
      </c>
      <c r="BE58" s="89">
        <v>2021</v>
      </c>
      <c r="BF58" s="89">
        <v>280</v>
      </c>
      <c r="BG58" s="89" t="s">
        <v>646</v>
      </c>
      <c r="BH58" s="89">
        <v>1</v>
      </c>
      <c r="BI58" s="89" t="s">
        <v>646</v>
      </c>
      <c r="BJ58" s="89" t="s">
        <v>646</v>
      </c>
      <c r="BK58" s="89" t="s">
        <v>646</v>
      </c>
      <c r="BL58" s="89" t="s">
        <v>646</v>
      </c>
      <c r="BM58" s="89" t="s">
        <v>646</v>
      </c>
      <c r="BN58" s="89">
        <v>124782</v>
      </c>
      <c r="BO58" s="89" t="str">
        <f>HYPERLINK("http://dx.doi.org/10.1016/j.jclepro.2020.124782","http://dx.doi.org/10.1016/j.jclepro.2020.124782")</f>
        <v>http://dx.doi.org/10.1016/j.jclepro.2020.124782</v>
      </c>
      <c r="BP58" s="89" t="s">
        <v>646</v>
      </c>
      <c r="BQ58" s="89" t="s">
        <v>646</v>
      </c>
      <c r="BR58" s="89" t="s">
        <v>646</v>
      </c>
      <c r="BS58" s="89" t="s">
        <v>646</v>
      </c>
      <c r="BT58" s="89" t="s">
        <v>646</v>
      </c>
      <c r="BU58" s="89" t="s">
        <v>646</v>
      </c>
      <c r="BV58" s="89" t="s">
        <v>646</v>
      </c>
      <c r="BW58" s="89">
        <v>33106734</v>
      </c>
      <c r="BX58" s="89" t="s">
        <v>646</v>
      </c>
      <c r="BY58" s="89" t="s">
        <v>646</v>
      </c>
      <c r="BZ58" s="89" t="s">
        <v>646</v>
      </c>
      <c r="CA58" s="89" t="s">
        <v>646</v>
      </c>
      <c r="CB58" s="89" t="s">
        <v>17966</v>
      </c>
      <c r="CC58" s="89" t="str">
        <f>HYPERLINK("https%3A%2F%2Fwww.webofscience.com%2Fwos%2Fwoscc%2Ffull-record%2FWOS:000603570100007","View Full Record in Web of Science")</f>
        <v>View Full Record in Web of Science</v>
      </c>
    </row>
    <row r="59" spans="1:81" ht="13.2" hidden="1" x14ac:dyDescent="0.25">
      <c r="A59" s="89" t="s">
        <v>1631</v>
      </c>
      <c r="B59" s="89" t="e">
        <f>+#REF!</f>
        <v>#REF!</v>
      </c>
      <c r="C59" s="90"/>
      <c r="D59" s="91" t="s">
        <v>17939</v>
      </c>
      <c r="E59" s="90" t="e">
        <v>#REF!</v>
      </c>
      <c r="F59" s="90">
        <v>0</v>
      </c>
      <c r="G59" s="90"/>
      <c r="H59" s="89" t="s">
        <v>1633</v>
      </c>
      <c r="I59" s="89" t="s">
        <v>17967</v>
      </c>
      <c r="J59" s="89" t="s">
        <v>646</v>
      </c>
      <c r="K59" s="89" t="s">
        <v>17969</v>
      </c>
      <c r="M59" s="89">
        <v>2020</v>
      </c>
      <c r="N59" s="89" t="s">
        <v>17968</v>
      </c>
      <c r="O59" s="89" t="s">
        <v>646</v>
      </c>
      <c r="P59" s="89" t="str">
        <f>HYPERLINK("http://dx.doi.org/10.1016/j.dss.2020.113404","http://dx.doi.org/10.1016/j.dss.2020.113404")</f>
        <v>http://dx.doi.org/10.1016/j.dss.2020.113404</v>
      </c>
      <c r="S59" s="89" t="s">
        <v>646</v>
      </c>
      <c r="U59" s="89" t="s">
        <v>17462</v>
      </c>
      <c r="W59" s="89" t="s">
        <v>646</v>
      </c>
      <c r="X59" s="89" t="s">
        <v>646</v>
      </c>
      <c r="Y59" s="89" t="s">
        <v>646</v>
      </c>
      <c r="Z59" s="89" t="s">
        <v>646</v>
      </c>
      <c r="AA59" s="89" t="s">
        <v>646</v>
      </c>
      <c r="AB59" s="89" t="s">
        <v>646</v>
      </c>
      <c r="AC59" s="89" t="s">
        <v>646</v>
      </c>
      <c r="AD59" s="89" t="s">
        <v>646</v>
      </c>
      <c r="AE59" s="89" t="s">
        <v>646</v>
      </c>
      <c r="AF59" s="89" t="s">
        <v>17969</v>
      </c>
      <c r="AG59" s="89" t="s">
        <v>646</v>
      </c>
      <c r="AH59" s="89" t="s">
        <v>646</v>
      </c>
      <c r="AI59" s="89" t="s">
        <v>646</v>
      </c>
      <c r="AJ59" s="89" t="s">
        <v>646</v>
      </c>
      <c r="AK59" s="89" t="s">
        <v>646</v>
      </c>
      <c r="AL59" s="89" t="s">
        <v>17970</v>
      </c>
      <c r="AM59" s="89" t="s">
        <v>646</v>
      </c>
      <c r="AN59" s="89" t="s">
        <v>646</v>
      </c>
      <c r="AO59" s="89" t="s">
        <v>646</v>
      </c>
      <c r="AP59" s="89" t="s">
        <v>646</v>
      </c>
      <c r="AQ59" s="89" t="s">
        <v>646</v>
      </c>
      <c r="AR59" s="89" t="s">
        <v>646</v>
      </c>
      <c r="AS59" s="89" t="s">
        <v>646</v>
      </c>
      <c r="AT59" s="89" t="s">
        <v>646</v>
      </c>
      <c r="AU59" s="89" t="s">
        <v>646</v>
      </c>
      <c r="AV59" s="89" t="s">
        <v>646</v>
      </c>
      <c r="AW59" s="89" t="s">
        <v>646</v>
      </c>
      <c r="AX59" s="89" t="s">
        <v>646</v>
      </c>
      <c r="AY59" s="89" t="s">
        <v>17971</v>
      </c>
      <c r="AZ59" s="89" t="s">
        <v>17972</v>
      </c>
      <c r="BA59" s="89" t="s">
        <v>646</v>
      </c>
      <c r="BB59" s="89" t="s">
        <v>646</v>
      </c>
      <c r="BC59" s="89" t="s">
        <v>646</v>
      </c>
      <c r="BD59" s="89" t="s">
        <v>17615</v>
      </c>
      <c r="BE59" s="89">
        <v>2020</v>
      </c>
      <c r="BF59" s="89">
        <v>139</v>
      </c>
      <c r="BG59" s="89" t="s">
        <v>646</v>
      </c>
      <c r="BH59" s="89" t="s">
        <v>646</v>
      </c>
      <c r="BI59" s="89" t="s">
        <v>646</v>
      </c>
      <c r="BJ59" s="89" t="s">
        <v>646</v>
      </c>
      <c r="BK59" s="89" t="s">
        <v>646</v>
      </c>
      <c r="BL59" s="89" t="s">
        <v>646</v>
      </c>
      <c r="BM59" s="89" t="s">
        <v>646</v>
      </c>
      <c r="BN59" s="89">
        <v>113404</v>
      </c>
      <c r="BO59" s="89" t="str">
        <f>HYPERLINK("http://dx.doi.org/10.1016/j.dss.2020.113404","http://dx.doi.org/10.1016/j.dss.2020.113404")</f>
        <v>http://dx.doi.org/10.1016/j.dss.2020.113404</v>
      </c>
      <c r="BP59" s="89" t="s">
        <v>646</v>
      </c>
      <c r="BQ59" s="89" t="s">
        <v>646</v>
      </c>
      <c r="BR59" s="89" t="s">
        <v>646</v>
      </c>
      <c r="BS59" s="89" t="s">
        <v>646</v>
      </c>
      <c r="BT59" s="89" t="s">
        <v>646</v>
      </c>
      <c r="BU59" s="89" t="s">
        <v>646</v>
      </c>
      <c r="BV59" s="89" t="s">
        <v>646</v>
      </c>
      <c r="BW59" s="89" t="s">
        <v>646</v>
      </c>
      <c r="BX59" s="89" t="s">
        <v>646</v>
      </c>
      <c r="BY59" s="89" t="s">
        <v>646</v>
      </c>
      <c r="BZ59" s="89" t="s">
        <v>646</v>
      </c>
      <c r="CA59" s="89" t="s">
        <v>646</v>
      </c>
      <c r="CB59" s="89" t="s">
        <v>17973</v>
      </c>
      <c r="CC59" s="89" t="str">
        <f>HYPERLINK("https%3A%2F%2Fwww.webofscience.com%2Fwos%2Fwoscc%2Ffull-record%2FWOS:000596873100005","View Full Record in Web of Science")</f>
        <v>View Full Record in Web of Science</v>
      </c>
    </row>
    <row r="60" spans="1:81" ht="13.2" hidden="1" x14ac:dyDescent="0.25">
      <c r="A60" s="89" t="s">
        <v>17974</v>
      </c>
      <c r="B60" s="89" t="e">
        <f>+#REF!</f>
        <v>#REF!</v>
      </c>
      <c r="C60" s="89"/>
      <c r="D60" s="91" t="s">
        <v>17939</v>
      </c>
      <c r="E60" s="90" t="e">
        <v>#REF!</v>
      </c>
      <c r="F60" s="89"/>
      <c r="G60" s="89"/>
      <c r="H60" s="89" t="s">
        <v>17975</v>
      </c>
      <c r="I60" s="89" t="s">
        <v>17977</v>
      </c>
      <c r="J60" s="89" t="s">
        <v>646</v>
      </c>
      <c r="K60" s="89" t="s">
        <v>17984</v>
      </c>
      <c r="M60" s="89">
        <v>2019</v>
      </c>
      <c r="N60" s="89" t="s">
        <v>17978</v>
      </c>
      <c r="O60" s="89" t="s">
        <v>17976</v>
      </c>
      <c r="P60" s="89" t="str">
        <f>HYPERLINK("http://dx.doi.org/10.1007/978-3-030-18180-2_5","http://dx.doi.org/10.1007/978-3-030-18180-2_5")</f>
        <v>http://dx.doi.org/10.1007/978-3-030-18180-2_5</v>
      </c>
      <c r="S60" s="89" t="s">
        <v>646</v>
      </c>
      <c r="U60" s="89" t="s">
        <v>17474</v>
      </c>
      <c r="W60" s="89" t="s">
        <v>646</v>
      </c>
      <c r="X60" s="89" t="s">
        <v>646</v>
      </c>
      <c r="Y60" s="89" t="s">
        <v>17979</v>
      </c>
      <c r="Z60" s="89" t="s">
        <v>17980</v>
      </c>
      <c r="AA60" s="89" t="s">
        <v>17981</v>
      </c>
      <c r="AB60" s="89" t="s">
        <v>17982</v>
      </c>
      <c r="AC60" s="89" t="s">
        <v>17983</v>
      </c>
      <c r="AD60" s="89" t="s">
        <v>646</v>
      </c>
      <c r="AE60" s="89" t="s">
        <v>646</v>
      </c>
      <c r="AF60" s="89" t="s">
        <v>17984</v>
      </c>
      <c r="AG60" s="89" t="s">
        <v>646</v>
      </c>
      <c r="AH60" s="89" t="s">
        <v>646</v>
      </c>
      <c r="AI60" s="89" t="s">
        <v>646</v>
      </c>
      <c r="AJ60" s="89" t="s">
        <v>646</v>
      </c>
      <c r="AK60" s="89" t="s">
        <v>646</v>
      </c>
      <c r="AL60" s="89" t="s">
        <v>646</v>
      </c>
      <c r="AM60" s="89" t="s">
        <v>646</v>
      </c>
      <c r="AN60" s="89" t="s">
        <v>646</v>
      </c>
      <c r="AO60" s="89" t="s">
        <v>646</v>
      </c>
      <c r="AP60" s="89" t="s">
        <v>646</v>
      </c>
      <c r="AQ60" s="89" t="s">
        <v>646</v>
      </c>
      <c r="AR60" s="89" t="s">
        <v>646</v>
      </c>
      <c r="AS60" s="89" t="s">
        <v>646</v>
      </c>
      <c r="AT60" s="89" t="s">
        <v>646</v>
      </c>
      <c r="AU60" s="89" t="s">
        <v>646</v>
      </c>
      <c r="AV60" s="89" t="s">
        <v>646</v>
      </c>
      <c r="AW60" s="89" t="s">
        <v>646</v>
      </c>
      <c r="AX60" s="89" t="s">
        <v>646</v>
      </c>
      <c r="AY60" s="89" t="s">
        <v>17985</v>
      </c>
      <c r="AZ60" s="89" t="s">
        <v>17986</v>
      </c>
      <c r="BA60" s="89" t="s">
        <v>17987</v>
      </c>
      <c r="BB60" s="89" t="s">
        <v>646</v>
      </c>
      <c r="BC60" s="89" t="s">
        <v>646</v>
      </c>
      <c r="BD60" s="89" t="s">
        <v>646</v>
      </c>
      <c r="BE60" s="89">
        <v>2019</v>
      </c>
      <c r="BF60" s="89" t="s">
        <v>646</v>
      </c>
      <c r="BG60" s="89" t="s">
        <v>646</v>
      </c>
      <c r="BH60" s="89" t="s">
        <v>646</v>
      </c>
      <c r="BI60" s="89" t="s">
        <v>646</v>
      </c>
      <c r="BJ60" s="89" t="s">
        <v>646</v>
      </c>
      <c r="BK60" s="89" t="s">
        <v>646</v>
      </c>
      <c r="BL60" s="89">
        <v>59</v>
      </c>
      <c r="BM60" s="89">
        <v>67</v>
      </c>
      <c r="BN60" s="89" t="s">
        <v>646</v>
      </c>
      <c r="BO60" s="89" t="str">
        <f>HYPERLINK("http://dx.doi.org/10.1007/978-3-030-18180-2_5","http://dx.doi.org/10.1007/978-3-030-18180-2_5")</f>
        <v>http://dx.doi.org/10.1007/978-3-030-18180-2_5</v>
      </c>
      <c r="BP60" s="89" t="s">
        <v>646</v>
      </c>
      <c r="BQ60" s="89" t="s">
        <v>646</v>
      </c>
      <c r="BR60" s="89" t="s">
        <v>646</v>
      </c>
      <c r="BS60" s="89" t="s">
        <v>646</v>
      </c>
      <c r="BT60" s="89" t="s">
        <v>646</v>
      </c>
      <c r="BU60" s="89" t="s">
        <v>646</v>
      </c>
      <c r="BV60" s="89" t="s">
        <v>646</v>
      </c>
      <c r="BW60" s="89" t="s">
        <v>646</v>
      </c>
      <c r="BX60" s="89" t="s">
        <v>646</v>
      </c>
      <c r="BY60" s="89" t="s">
        <v>646</v>
      </c>
      <c r="BZ60" s="89" t="s">
        <v>646</v>
      </c>
      <c r="CA60" s="89" t="s">
        <v>646</v>
      </c>
      <c r="CB60" s="89" t="s">
        <v>17988</v>
      </c>
      <c r="CC60" s="89" t="str">
        <f>HYPERLINK("https%3A%2F%2Fwww.webofscience.com%2Fwos%2Fwoscc%2Ffull-record%2FWOS:000493989800005","View Full Record in Web of Science")</f>
        <v>View Full Record in Web of Science</v>
      </c>
    </row>
    <row r="61" spans="1:81" ht="13.2" hidden="1" x14ac:dyDescent="0.25">
      <c r="A61" s="89" t="s">
        <v>17989</v>
      </c>
      <c r="B61" s="89" t="e">
        <f>+#REF!</f>
        <v>#REF!</v>
      </c>
      <c r="C61" s="89"/>
      <c r="D61" s="91" t="s">
        <v>17939</v>
      </c>
      <c r="E61" s="90" t="e">
        <v>#REF!</v>
      </c>
      <c r="F61" s="89"/>
      <c r="G61" s="89"/>
      <c r="H61" s="89" t="s">
        <v>646</v>
      </c>
      <c r="I61" s="89" t="s">
        <v>17991</v>
      </c>
      <c r="J61" s="89" t="s">
        <v>646</v>
      </c>
      <c r="K61" s="89" t="s">
        <v>17996</v>
      </c>
      <c r="M61" s="89">
        <v>2018</v>
      </c>
      <c r="N61" s="89" t="s">
        <v>17992</v>
      </c>
      <c r="O61" s="89" t="s">
        <v>646</v>
      </c>
      <c r="P61" s="89" t="s">
        <v>646</v>
      </c>
      <c r="S61" s="89" t="s">
        <v>17990</v>
      </c>
      <c r="U61" s="89" t="s">
        <v>17474</v>
      </c>
      <c r="W61" s="89" t="s">
        <v>646</v>
      </c>
      <c r="X61" s="89" t="s">
        <v>646</v>
      </c>
      <c r="Y61" s="89" t="s">
        <v>17993</v>
      </c>
      <c r="Z61" s="89" t="s">
        <v>17994</v>
      </c>
      <c r="AA61" s="89" t="s">
        <v>17995</v>
      </c>
      <c r="AB61" s="89" t="s">
        <v>17990</v>
      </c>
      <c r="AC61" s="89" t="s">
        <v>646</v>
      </c>
      <c r="AD61" s="89" t="s">
        <v>646</v>
      </c>
      <c r="AE61" s="89" t="s">
        <v>646</v>
      </c>
      <c r="AF61" s="89" t="s">
        <v>17996</v>
      </c>
      <c r="AG61" s="89" t="s">
        <v>646</v>
      </c>
      <c r="AH61" s="89" t="s">
        <v>646</v>
      </c>
      <c r="AI61" s="89" t="s">
        <v>646</v>
      </c>
      <c r="AJ61" s="89" t="s">
        <v>646</v>
      </c>
      <c r="AK61" s="89" t="s">
        <v>646</v>
      </c>
      <c r="AL61" s="89" t="s">
        <v>646</v>
      </c>
      <c r="AM61" s="89" t="s">
        <v>646</v>
      </c>
      <c r="AN61" s="89" t="s">
        <v>646</v>
      </c>
      <c r="AO61" s="89" t="s">
        <v>646</v>
      </c>
      <c r="AP61" s="89" t="s">
        <v>646</v>
      </c>
      <c r="AQ61" s="89" t="s">
        <v>646</v>
      </c>
      <c r="AR61" s="89" t="s">
        <v>646</v>
      </c>
      <c r="AS61" s="89" t="s">
        <v>646</v>
      </c>
      <c r="AT61" s="89" t="s">
        <v>646</v>
      </c>
      <c r="AU61" s="89" t="s">
        <v>646</v>
      </c>
      <c r="AV61" s="89" t="s">
        <v>646</v>
      </c>
      <c r="AW61" s="89" t="s">
        <v>646</v>
      </c>
      <c r="AX61" s="89" t="s">
        <v>646</v>
      </c>
      <c r="AY61" s="89" t="s">
        <v>17997</v>
      </c>
      <c r="AZ61" s="89" t="s">
        <v>17998</v>
      </c>
      <c r="BA61" s="89" t="s">
        <v>17999</v>
      </c>
      <c r="BB61" s="89" t="s">
        <v>646</v>
      </c>
      <c r="BC61" s="89" t="s">
        <v>646</v>
      </c>
      <c r="BD61" s="89" t="s">
        <v>646</v>
      </c>
      <c r="BE61" s="89">
        <v>2018</v>
      </c>
      <c r="BF61" s="89" t="s">
        <v>646</v>
      </c>
      <c r="BG61" s="89" t="s">
        <v>646</v>
      </c>
      <c r="BH61" s="89" t="s">
        <v>646</v>
      </c>
      <c r="BI61" s="89" t="s">
        <v>646</v>
      </c>
      <c r="BJ61" s="89" t="s">
        <v>646</v>
      </c>
      <c r="BK61" s="89" t="s">
        <v>646</v>
      </c>
      <c r="BL61" s="89">
        <v>7525</v>
      </c>
      <c r="BM61" s="89">
        <v>7533</v>
      </c>
      <c r="BN61" s="89" t="s">
        <v>646</v>
      </c>
      <c r="BO61" s="89" t="s">
        <v>646</v>
      </c>
      <c r="BP61" s="89" t="s">
        <v>646</v>
      </c>
      <c r="BQ61" s="89" t="s">
        <v>646</v>
      </c>
      <c r="BR61" s="89" t="s">
        <v>646</v>
      </c>
      <c r="BS61" s="89" t="s">
        <v>646</v>
      </c>
      <c r="BT61" s="89" t="s">
        <v>646</v>
      </c>
      <c r="BU61" s="89" t="s">
        <v>646</v>
      </c>
      <c r="BV61" s="89" t="s">
        <v>646</v>
      </c>
      <c r="BW61" s="89" t="s">
        <v>646</v>
      </c>
      <c r="BX61" s="89" t="s">
        <v>646</v>
      </c>
      <c r="BY61" s="89" t="s">
        <v>646</v>
      </c>
      <c r="BZ61" s="89" t="s">
        <v>646</v>
      </c>
      <c r="CA61" s="89" t="s">
        <v>646</v>
      </c>
      <c r="CB61" s="89" t="s">
        <v>18000</v>
      </c>
      <c r="CC61" s="89" t="str">
        <f>HYPERLINK("https%3A%2F%2Fwww.webofscience.com%2Fwos%2Fwoscc%2Ffull-record%2FWOS:000485488907077","View Full Record in Web of Science")</f>
        <v>View Full Record in Web of Science</v>
      </c>
    </row>
    <row r="62" spans="1:81" ht="13.2" hidden="1" x14ac:dyDescent="0.25">
      <c r="A62" s="89" t="s">
        <v>18001</v>
      </c>
      <c r="B62" s="89" t="e">
        <f>+#REF!</f>
        <v>#REF!</v>
      </c>
      <c r="C62" s="89"/>
      <c r="D62" s="91" t="s">
        <v>17939</v>
      </c>
      <c r="E62" s="90" t="e">
        <v>#REF!</v>
      </c>
      <c r="F62" s="89"/>
      <c r="G62" s="89"/>
      <c r="H62" s="89" t="s">
        <v>18002</v>
      </c>
      <c r="I62" s="89" t="s">
        <v>18003</v>
      </c>
      <c r="J62" s="89" t="s">
        <v>646</v>
      </c>
      <c r="K62" s="89" t="s">
        <v>18005</v>
      </c>
      <c r="M62" s="89">
        <v>2015</v>
      </c>
      <c r="N62" s="89" t="s">
        <v>18004</v>
      </c>
      <c r="O62" s="89" t="s">
        <v>646</v>
      </c>
      <c r="P62" s="89" t="str">
        <f>HYPERLINK("http://dx.doi.org/10.7717/peerj.867","http://dx.doi.org/10.7717/peerj.867")</f>
        <v>http://dx.doi.org/10.7717/peerj.867</v>
      </c>
      <c r="S62" s="89" t="s">
        <v>646</v>
      </c>
      <c r="U62" s="89" t="s">
        <v>17462</v>
      </c>
      <c r="W62" s="89" t="s">
        <v>646</v>
      </c>
      <c r="X62" s="89" t="s">
        <v>646</v>
      </c>
      <c r="Y62" s="89" t="s">
        <v>646</v>
      </c>
      <c r="Z62" s="89" t="s">
        <v>646</v>
      </c>
      <c r="AA62" s="89" t="s">
        <v>646</v>
      </c>
      <c r="AB62" s="89" t="s">
        <v>646</v>
      </c>
      <c r="AC62" s="89" t="s">
        <v>646</v>
      </c>
      <c r="AD62" s="89" t="s">
        <v>646</v>
      </c>
      <c r="AE62" s="89" t="s">
        <v>646</v>
      </c>
      <c r="AF62" s="89" t="s">
        <v>18005</v>
      </c>
      <c r="AG62" s="89" t="s">
        <v>646</v>
      </c>
      <c r="AH62" s="89" t="s">
        <v>646</v>
      </c>
      <c r="AI62" s="89" t="s">
        <v>646</v>
      </c>
      <c r="AJ62" s="89" t="s">
        <v>646</v>
      </c>
      <c r="AK62" s="89" t="s">
        <v>646</v>
      </c>
      <c r="AL62" s="89" t="s">
        <v>646</v>
      </c>
      <c r="AM62" s="89" t="s">
        <v>646</v>
      </c>
      <c r="AN62" s="89" t="s">
        <v>646</v>
      </c>
      <c r="AO62" s="89" t="s">
        <v>646</v>
      </c>
      <c r="AP62" s="89" t="s">
        <v>646</v>
      </c>
      <c r="AQ62" s="89" t="s">
        <v>646</v>
      </c>
      <c r="AR62" s="89" t="s">
        <v>646</v>
      </c>
      <c r="AS62" s="89" t="s">
        <v>646</v>
      </c>
      <c r="AT62" s="89" t="s">
        <v>646</v>
      </c>
      <c r="AU62" s="89" t="s">
        <v>646</v>
      </c>
      <c r="AV62" s="89" t="s">
        <v>646</v>
      </c>
      <c r="AW62" s="89" t="s">
        <v>646</v>
      </c>
      <c r="AX62" s="89" t="s">
        <v>646</v>
      </c>
      <c r="AY62" s="89" t="s">
        <v>18006</v>
      </c>
      <c r="AZ62" s="89" t="s">
        <v>646</v>
      </c>
      <c r="BA62" s="89" t="s">
        <v>646</v>
      </c>
      <c r="BB62" s="89" t="s">
        <v>646</v>
      </c>
      <c r="BC62" s="89" t="s">
        <v>646</v>
      </c>
      <c r="BD62" s="89" t="s">
        <v>18007</v>
      </c>
      <c r="BE62" s="89">
        <v>2015</v>
      </c>
      <c r="BF62" s="89">
        <v>3</v>
      </c>
      <c r="BG62" s="89" t="s">
        <v>646</v>
      </c>
      <c r="BH62" s="89" t="s">
        <v>646</v>
      </c>
      <c r="BI62" s="89" t="s">
        <v>646</v>
      </c>
      <c r="BJ62" s="89" t="s">
        <v>646</v>
      </c>
      <c r="BK62" s="89" t="s">
        <v>646</v>
      </c>
      <c r="BL62" s="89" t="s">
        <v>646</v>
      </c>
      <c r="BM62" s="89" t="s">
        <v>646</v>
      </c>
      <c r="BN62" s="89" t="s">
        <v>18008</v>
      </c>
      <c r="BO62" s="89" t="str">
        <f>HYPERLINK("http://dx.doi.org/10.7717/peerj.867","http://dx.doi.org/10.7717/peerj.867")</f>
        <v>http://dx.doi.org/10.7717/peerj.867</v>
      </c>
      <c r="BP62" s="89" t="s">
        <v>646</v>
      </c>
      <c r="BQ62" s="89" t="s">
        <v>646</v>
      </c>
      <c r="BR62" s="89" t="s">
        <v>646</v>
      </c>
      <c r="BS62" s="89" t="s">
        <v>646</v>
      </c>
      <c r="BT62" s="89" t="s">
        <v>646</v>
      </c>
      <c r="BU62" s="89" t="s">
        <v>646</v>
      </c>
      <c r="BV62" s="89" t="s">
        <v>646</v>
      </c>
      <c r="BW62" s="89">
        <v>25870768</v>
      </c>
      <c r="BX62" s="89" t="s">
        <v>646</v>
      </c>
      <c r="BY62" s="89" t="s">
        <v>646</v>
      </c>
      <c r="BZ62" s="89" t="s">
        <v>646</v>
      </c>
      <c r="CA62" s="89" t="s">
        <v>646</v>
      </c>
      <c r="CB62" s="89" t="s">
        <v>18009</v>
      </c>
      <c r="CC62" s="89" t="str">
        <f>HYPERLINK("https%3A%2F%2Fwww.webofscience.com%2Fwos%2Fwoscc%2Ffull-record%2FWOS:000352299200004","View Full Record in Web of Science")</f>
        <v>View Full Record in Web of Science</v>
      </c>
    </row>
    <row r="63" spans="1:81" ht="13.2" hidden="1" x14ac:dyDescent="0.25">
      <c r="A63" s="89" t="s">
        <v>1120</v>
      </c>
      <c r="B63" s="89" t="e">
        <f>+#REF!</f>
        <v>#REF!</v>
      </c>
      <c r="C63" s="89"/>
      <c r="D63" s="91" t="s">
        <v>17939</v>
      </c>
      <c r="E63" s="90" t="e">
        <v>#REF!</v>
      </c>
      <c r="F63" s="89"/>
      <c r="G63" s="89"/>
      <c r="H63" s="89" t="s">
        <v>646</v>
      </c>
      <c r="I63" s="89" t="s">
        <v>18011</v>
      </c>
      <c r="J63" s="89" t="s">
        <v>18018</v>
      </c>
      <c r="K63" s="89" t="s">
        <v>18017</v>
      </c>
      <c r="M63" s="89">
        <v>2012</v>
      </c>
      <c r="N63" s="89" t="s">
        <v>18012</v>
      </c>
      <c r="O63" s="89" t="s">
        <v>18010</v>
      </c>
      <c r="P63" s="89" t="s">
        <v>646</v>
      </c>
      <c r="S63" s="89" t="s">
        <v>646</v>
      </c>
      <c r="U63" s="89" t="s">
        <v>17474</v>
      </c>
      <c r="W63" s="89" t="s">
        <v>646</v>
      </c>
      <c r="X63" s="89" t="s">
        <v>646</v>
      </c>
      <c r="Y63" s="89" t="s">
        <v>18013</v>
      </c>
      <c r="Z63" s="89" t="s">
        <v>18014</v>
      </c>
      <c r="AA63" s="89" t="s">
        <v>18015</v>
      </c>
      <c r="AB63" s="89" t="s">
        <v>18016</v>
      </c>
      <c r="AC63" s="89" t="s">
        <v>646</v>
      </c>
      <c r="AD63" s="89" t="s">
        <v>646</v>
      </c>
      <c r="AE63" s="89" t="s">
        <v>646</v>
      </c>
      <c r="AF63" s="89" t="s">
        <v>18017</v>
      </c>
      <c r="AG63" s="89" t="s">
        <v>646</v>
      </c>
      <c r="AH63" s="89" t="s">
        <v>646</v>
      </c>
      <c r="AI63" s="89" t="s">
        <v>646</v>
      </c>
      <c r="AJ63" s="89" t="s">
        <v>646</v>
      </c>
      <c r="AK63" s="89" t="s">
        <v>18018</v>
      </c>
      <c r="AL63" s="89" t="s">
        <v>18019</v>
      </c>
      <c r="AM63" s="89" t="s">
        <v>646</v>
      </c>
      <c r="AN63" s="89" t="s">
        <v>646</v>
      </c>
      <c r="AO63" s="89" t="s">
        <v>646</v>
      </c>
      <c r="AP63" s="89" t="s">
        <v>646</v>
      </c>
      <c r="AQ63" s="89" t="s">
        <v>646</v>
      </c>
      <c r="AR63" s="89" t="s">
        <v>646</v>
      </c>
      <c r="AS63" s="89" t="s">
        <v>646</v>
      </c>
      <c r="AT63" s="89" t="s">
        <v>646</v>
      </c>
      <c r="AU63" s="89" t="s">
        <v>646</v>
      </c>
      <c r="AV63" s="89" t="s">
        <v>646</v>
      </c>
      <c r="AW63" s="89" t="s">
        <v>646</v>
      </c>
      <c r="AX63" s="89" t="s">
        <v>646</v>
      </c>
      <c r="AY63" s="89" t="s">
        <v>646</v>
      </c>
      <c r="AZ63" s="89" t="s">
        <v>646</v>
      </c>
      <c r="BA63" s="89" t="s">
        <v>18020</v>
      </c>
      <c r="BB63" s="89" t="s">
        <v>646</v>
      </c>
      <c r="BC63" s="89" t="s">
        <v>646</v>
      </c>
      <c r="BD63" s="89" t="s">
        <v>646</v>
      </c>
      <c r="BE63" s="89">
        <v>2012</v>
      </c>
      <c r="BF63" s="89" t="s">
        <v>646</v>
      </c>
      <c r="BG63" s="89" t="s">
        <v>646</v>
      </c>
      <c r="BH63" s="89" t="s">
        <v>646</v>
      </c>
      <c r="BI63" s="89" t="s">
        <v>646</v>
      </c>
      <c r="BJ63" s="89" t="s">
        <v>646</v>
      </c>
      <c r="BK63" s="89" t="s">
        <v>646</v>
      </c>
      <c r="BL63" s="89">
        <v>944</v>
      </c>
      <c r="BM63" s="89">
        <v>948</v>
      </c>
      <c r="BN63" s="89" t="s">
        <v>646</v>
      </c>
      <c r="BO63" s="89" t="s">
        <v>646</v>
      </c>
      <c r="BP63" s="89" t="s">
        <v>646</v>
      </c>
      <c r="BQ63" s="89" t="s">
        <v>646</v>
      </c>
      <c r="BR63" s="89" t="s">
        <v>646</v>
      </c>
      <c r="BS63" s="89" t="s">
        <v>646</v>
      </c>
      <c r="BT63" s="89" t="s">
        <v>646</v>
      </c>
      <c r="BU63" s="89" t="s">
        <v>646</v>
      </c>
      <c r="BV63" s="89" t="s">
        <v>646</v>
      </c>
      <c r="BW63" s="89" t="s">
        <v>646</v>
      </c>
      <c r="BX63" s="89" t="s">
        <v>646</v>
      </c>
      <c r="BY63" s="89" t="s">
        <v>646</v>
      </c>
      <c r="BZ63" s="89" t="s">
        <v>646</v>
      </c>
      <c r="CA63" s="89" t="s">
        <v>646</v>
      </c>
      <c r="CB63" s="89" t="s">
        <v>18021</v>
      </c>
      <c r="CC63" s="89" t="str">
        <f>HYPERLINK("https%3A%2F%2Fwww.webofscience.com%2Fwos%2Fwoscc%2Ffull-record%2FWOS:000324412800182","View Full Record in Web of Science")</f>
        <v>View Full Record in Web of Science</v>
      </c>
    </row>
    <row r="64" spans="1:81" ht="13.2" hidden="1" x14ac:dyDescent="0.25">
      <c r="A64" s="89" t="s">
        <v>18022</v>
      </c>
      <c r="B64" s="89" t="e">
        <f>+#REF!</f>
        <v>#REF!</v>
      </c>
      <c r="C64" s="89"/>
      <c r="D64" s="91" t="s">
        <v>17939</v>
      </c>
      <c r="E64" s="90" t="e">
        <v>#REF!</v>
      </c>
      <c r="F64" s="89"/>
      <c r="G64" s="89"/>
      <c r="H64" s="89" t="s">
        <v>18023</v>
      </c>
      <c r="I64" s="89" t="s">
        <v>18024</v>
      </c>
      <c r="J64" s="89" t="s">
        <v>646</v>
      </c>
      <c r="K64" s="89" t="s">
        <v>18025</v>
      </c>
      <c r="M64" s="89">
        <v>2018</v>
      </c>
      <c r="N64" s="89" t="s">
        <v>17768</v>
      </c>
      <c r="O64" s="89" t="s">
        <v>646</v>
      </c>
      <c r="P64" s="89" t="str">
        <f>HYPERLINK("http://dx.doi.org/10.1177/2031952518817569","http://dx.doi.org/10.1177/2031952518817569")</f>
        <v>http://dx.doi.org/10.1177/2031952518817569</v>
      </c>
      <c r="S64" s="89" t="s">
        <v>646</v>
      </c>
      <c r="U64" s="89" t="s">
        <v>17462</v>
      </c>
      <c r="W64" s="89" t="s">
        <v>646</v>
      </c>
      <c r="X64" s="89" t="s">
        <v>646</v>
      </c>
      <c r="Y64" s="89" t="s">
        <v>646</v>
      </c>
      <c r="Z64" s="89" t="s">
        <v>646</v>
      </c>
      <c r="AA64" s="89" t="s">
        <v>646</v>
      </c>
      <c r="AB64" s="89" t="s">
        <v>646</v>
      </c>
      <c r="AC64" s="89" t="s">
        <v>646</v>
      </c>
      <c r="AD64" s="89" t="s">
        <v>646</v>
      </c>
      <c r="AE64" s="89" t="s">
        <v>646</v>
      </c>
      <c r="AF64" s="89" t="s">
        <v>18025</v>
      </c>
      <c r="AG64" s="89" t="s">
        <v>646</v>
      </c>
      <c r="AH64" s="89" t="s">
        <v>646</v>
      </c>
      <c r="AI64" s="89" t="s">
        <v>646</v>
      </c>
      <c r="AJ64" s="89" t="s">
        <v>646</v>
      </c>
      <c r="AK64" s="89" t="s">
        <v>646</v>
      </c>
      <c r="AL64" s="89" t="s">
        <v>18026</v>
      </c>
      <c r="AM64" s="89" t="s">
        <v>646</v>
      </c>
      <c r="AN64" s="89" t="s">
        <v>646</v>
      </c>
      <c r="AO64" s="89" t="s">
        <v>646</v>
      </c>
      <c r="AP64" s="89" t="s">
        <v>646</v>
      </c>
      <c r="AQ64" s="89" t="s">
        <v>646</v>
      </c>
      <c r="AR64" s="89" t="s">
        <v>646</v>
      </c>
      <c r="AS64" s="89" t="s">
        <v>646</v>
      </c>
      <c r="AT64" s="89" t="s">
        <v>646</v>
      </c>
      <c r="AU64" s="89" t="s">
        <v>646</v>
      </c>
      <c r="AV64" s="89" t="s">
        <v>646</v>
      </c>
      <c r="AW64" s="89" t="s">
        <v>646</v>
      </c>
      <c r="AX64" s="89" t="s">
        <v>646</v>
      </c>
      <c r="AY64" s="89" t="s">
        <v>17770</v>
      </c>
      <c r="AZ64" s="89" t="s">
        <v>17771</v>
      </c>
      <c r="BA64" s="89" t="s">
        <v>646</v>
      </c>
      <c r="BB64" s="89" t="s">
        <v>646</v>
      </c>
      <c r="BC64" s="89" t="s">
        <v>646</v>
      </c>
      <c r="BD64" s="89" t="s">
        <v>17615</v>
      </c>
      <c r="BE64" s="89">
        <v>2018</v>
      </c>
      <c r="BF64" s="89">
        <v>9</v>
      </c>
      <c r="BG64" s="89">
        <v>4</v>
      </c>
      <c r="BH64" s="89" t="s">
        <v>646</v>
      </c>
      <c r="BI64" s="89" t="s">
        <v>646</v>
      </c>
      <c r="BJ64" s="89" t="s">
        <v>646</v>
      </c>
      <c r="BK64" s="89" t="s">
        <v>646</v>
      </c>
      <c r="BL64" s="89">
        <v>329</v>
      </c>
      <c r="BM64" s="89">
        <v>345</v>
      </c>
      <c r="BN64" s="89" t="s">
        <v>646</v>
      </c>
      <c r="BO64" s="89" t="str">
        <f>HYPERLINK("http://dx.doi.org/10.1177/2031952518817569","http://dx.doi.org/10.1177/2031952518817569")</f>
        <v>http://dx.doi.org/10.1177/2031952518817569</v>
      </c>
      <c r="BP64" s="89" t="s">
        <v>646</v>
      </c>
      <c r="BQ64" s="89" t="s">
        <v>646</v>
      </c>
      <c r="BR64" s="89" t="s">
        <v>646</v>
      </c>
      <c r="BS64" s="89" t="s">
        <v>646</v>
      </c>
      <c r="BT64" s="89" t="s">
        <v>646</v>
      </c>
      <c r="BU64" s="89" t="s">
        <v>646</v>
      </c>
      <c r="BV64" s="89" t="s">
        <v>646</v>
      </c>
      <c r="BW64" s="89" t="s">
        <v>646</v>
      </c>
      <c r="BX64" s="89" t="s">
        <v>646</v>
      </c>
      <c r="BY64" s="89" t="s">
        <v>646</v>
      </c>
      <c r="BZ64" s="89" t="s">
        <v>646</v>
      </c>
      <c r="CA64" s="89" t="s">
        <v>646</v>
      </c>
      <c r="CB64" s="89" t="s">
        <v>18027</v>
      </c>
      <c r="CC64" s="89" t="str">
        <f>HYPERLINK("https%3A%2F%2Fwww.webofscience.com%2Fwos%2Fwoscc%2Ffull-record%2FWOS:000598956200001","View Full Record in Web of Science")</f>
        <v>View Full Record in Web of Science</v>
      </c>
    </row>
    <row r="65" spans="1:81" ht="13.2" hidden="1" x14ac:dyDescent="0.25">
      <c r="A65" s="89" t="s">
        <v>18028</v>
      </c>
      <c r="B65" s="89" t="e">
        <f>+#REF!</f>
        <v>#REF!</v>
      </c>
      <c r="C65" s="89"/>
      <c r="D65" s="91" t="s">
        <v>17939</v>
      </c>
      <c r="E65" s="90" t="e">
        <v>#REF!</v>
      </c>
      <c r="F65" s="89"/>
      <c r="G65" s="89"/>
      <c r="H65" s="89" t="s">
        <v>18029</v>
      </c>
      <c r="I65" s="89" t="s">
        <v>18030</v>
      </c>
      <c r="J65" s="89" t="s">
        <v>18033</v>
      </c>
      <c r="K65" s="89" t="s">
        <v>18032</v>
      </c>
      <c r="M65" s="89">
        <v>2020</v>
      </c>
      <c r="N65" s="89" t="s">
        <v>18031</v>
      </c>
      <c r="O65" s="89" t="s">
        <v>646</v>
      </c>
      <c r="P65" s="89" t="str">
        <f>HYPERLINK("http://dx.doi.org/10.15581/015.XXIII.2.107-132","http://dx.doi.org/10.15581/015.XXIII.2.107-132")</f>
        <v>http://dx.doi.org/10.15581/015.XXIII.2.107-132</v>
      </c>
      <c r="S65" s="89" t="s">
        <v>646</v>
      </c>
      <c r="U65" s="89" t="s">
        <v>17462</v>
      </c>
      <c r="W65" s="89" t="s">
        <v>646</v>
      </c>
      <c r="X65" s="89" t="s">
        <v>646</v>
      </c>
      <c r="Y65" s="89" t="s">
        <v>646</v>
      </c>
      <c r="Z65" s="89" t="s">
        <v>646</v>
      </c>
      <c r="AA65" s="89" t="s">
        <v>646</v>
      </c>
      <c r="AB65" s="89" t="s">
        <v>646</v>
      </c>
      <c r="AC65" s="89" t="s">
        <v>646</v>
      </c>
      <c r="AD65" s="89" t="s">
        <v>646</v>
      </c>
      <c r="AE65" s="89" t="s">
        <v>646</v>
      </c>
      <c r="AF65" s="89" t="s">
        <v>18032</v>
      </c>
      <c r="AG65" s="89" t="s">
        <v>646</v>
      </c>
      <c r="AH65" s="89" t="s">
        <v>646</v>
      </c>
      <c r="AI65" s="89" t="s">
        <v>646</v>
      </c>
      <c r="AJ65" s="89" t="s">
        <v>646</v>
      </c>
      <c r="AK65" s="89" t="s">
        <v>18033</v>
      </c>
      <c r="AL65" s="89" t="s">
        <v>18034</v>
      </c>
      <c r="AM65" s="89" t="s">
        <v>646</v>
      </c>
      <c r="AN65" s="89" t="s">
        <v>646</v>
      </c>
      <c r="AO65" s="89" t="s">
        <v>646</v>
      </c>
      <c r="AP65" s="89" t="s">
        <v>646</v>
      </c>
      <c r="AQ65" s="89" t="s">
        <v>646</v>
      </c>
      <c r="AR65" s="89" t="s">
        <v>646</v>
      </c>
      <c r="AS65" s="89" t="s">
        <v>646</v>
      </c>
      <c r="AT65" s="89" t="s">
        <v>646</v>
      </c>
      <c r="AU65" s="89" t="s">
        <v>646</v>
      </c>
      <c r="AV65" s="89" t="s">
        <v>646</v>
      </c>
      <c r="AW65" s="89" t="s">
        <v>646</v>
      </c>
      <c r="AX65" s="89" t="s">
        <v>646</v>
      </c>
      <c r="AY65" s="89" t="s">
        <v>18035</v>
      </c>
      <c r="AZ65" s="89" t="s">
        <v>18036</v>
      </c>
      <c r="BA65" s="89" t="s">
        <v>646</v>
      </c>
      <c r="BB65" s="89" t="s">
        <v>646</v>
      </c>
      <c r="BC65" s="89" t="s">
        <v>646</v>
      </c>
      <c r="BD65" s="89" t="s">
        <v>646</v>
      </c>
      <c r="BE65" s="89">
        <v>2020</v>
      </c>
      <c r="BF65" s="89">
        <v>23</v>
      </c>
      <c r="BG65" s="89">
        <v>2</v>
      </c>
      <c r="BH65" s="89" t="s">
        <v>646</v>
      </c>
      <c r="BI65" s="89" t="s">
        <v>646</v>
      </c>
      <c r="BJ65" s="89" t="s">
        <v>646</v>
      </c>
      <c r="BK65" s="89" t="s">
        <v>646</v>
      </c>
      <c r="BL65" s="89">
        <v>107</v>
      </c>
      <c r="BM65" s="89">
        <v>136</v>
      </c>
      <c r="BN65" s="89" t="s">
        <v>646</v>
      </c>
      <c r="BO65" s="89" t="str">
        <f>HYPERLINK("http://dx.doi.org/10.15581/015.XXIII.2.107-132","http://dx.doi.org/10.15581/015.XXIII.2.107-132")</f>
        <v>http://dx.doi.org/10.15581/015.XXIII.2.107-132</v>
      </c>
      <c r="BP65" s="89" t="s">
        <v>646</v>
      </c>
      <c r="BQ65" s="89" t="s">
        <v>646</v>
      </c>
      <c r="BR65" s="89" t="s">
        <v>646</v>
      </c>
      <c r="BS65" s="89" t="s">
        <v>646</v>
      </c>
      <c r="BT65" s="89" t="s">
        <v>646</v>
      </c>
      <c r="BU65" s="89" t="s">
        <v>646</v>
      </c>
      <c r="BV65" s="89" t="s">
        <v>646</v>
      </c>
      <c r="BW65" s="89" t="s">
        <v>646</v>
      </c>
      <c r="BX65" s="89" t="s">
        <v>646</v>
      </c>
      <c r="BY65" s="89" t="s">
        <v>646</v>
      </c>
      <c r="BZ65" s="89" t="s">
        <v>646</v>
      </c>
      <c r="CA65" s="89" t="s">
        <v>646</v>
      </c>
      <c r="CB65" s="89" t="s">
        <v>18037</v>
      </c>
      <c r="CC65" s="89" t="str">
        <f>HYPERLINK("https%3A%2F%2Fwww.webofscience.com%2Fwos%2Fwoscc%2Ffull-record%2FWOS:000551596500004","View Full Record in Web of Science")</f>
        <v>View Full Record in Web of Science</v>
      </c>
    </row>
    <row r="66" spans="1:81" ht="13.2" hidden="1" x14ac:dyDescent="0.25">
      <c r="A66" s="89" t="s">
        <v>18038</v>
      </c>
      <c r="B66" s="89" t="e">
        <f>+#REF!</f>
        <v>#REF!</v>
      </c>
      <c r="C66" s="89"/>
      <c r="D66" s="91" t="s">
        <v>17939</v>
      </c>
      <c r="E66" s="90" t="e">
        <v>#REF!</v>
      </c>
      <c r="F66" s="89"/>
      <c r="G66" s="89"/>
      <c r="H66" s="89" t="s">
        <v>18039</v>
      </c>
      <c r="I66" s="89" t="s">
        <v>18040</v>
      </c>
      <c r="J66" s="89" t="s">
        <v>18043</v>
      </c>
      <c r="K66" s="89" t="s">
        <v>18042</v>
      </c>
      <c r="M66" s="89">
        <v>2018</v>
      </c>
      <c r="N66" s="89" t="s">
        <v>18041</v>
      </c>
      <c r="O66" s="89" t="s">
        <v>646</v>
      </c>
      <c r="P66" s="89" t="str">
        <f>HYPERLINK("http://dx.doi.org/10.21833/ijaas.2018.07.005","http://dx.doi.org/10.21833/ijaas.2018.07.005")</f>
        <v>http://dx.doi.org/10.21833/ijaas.2018.07.005</v>
      </c>
      <c r="S66" s="89" t="s">
        <v>646</v>
      </c>
      <c r="U66" s="89" t="s">
        <v>17462</v>
      </c>
      <c r="W66" s="89" t="s">
        <v>646</v>
      </c>
      <c r="X66" s="89" t="s">
        <v>646</v>
      </c>
      <c r="Y66" s="89" t="s">
        <v>646</v>
      </c>
      <c r="Z66" s="89" t="s">
        <v>646</v>
      </c>
      <c r="AA66" s="89" t="s">
        <v>646</v>
      </c>
      <c r="AB66" s="89" t="s">
        <v>646</v>
      </c>
      <c r="AC66" s="89" t="s">
        <v>646</v>
      </c>
      <c r="AD66" s="89" t="s">
        <v>646</v>
      </c>
      <c r="AE66" s="89" t="s">
        <v>646</v>
      </c>
      <c r="AF66" s="89" t="s">
        <v>18042</v>
      </c>
      <c r="AG66" s="89" t="s">
        <v>646</v>
      </c>
      <c r="AH66" s="89" t="s">
        <v>646</v>
      </c>
      <c r="AI66" s="89" t="s">
        <v>646</v>
      </c>
      <c r="AJ66" s="89" t="s">
        <v>646</v>
      </c>
      <c r="AK66" s="89" t="s">
        <v>18043</v>
      </c>
      <c r="AL66" s="89" t="s">
        <v>18044</v>
      </c>
      <c r="AM66" s="89" t="s">
        <v>646</v>
      </c>
      <c r="AN66" s="89" t="s">
        <v>646</v>
      </c>
      <c r="AO66" s="89" t="s">
        <v>646</v>
      </c>
      <c r="AP66" s="89" t="s">
        <v>646</v>
      </c>
      <c r="AQ66" s="89" t="s">
        <v>646</v>
      </c>
      <c r="AR66" s="89" t="s">
        <v>646</v>
      </c>
      <c r="AS66" s="89" t="s">
        <v>646</v>
      </c>
      <c r="AT66" s="89" t="s">
        <v>646</v>
      </c>
      <c r="AU66" s="89" t="s">
        <v>646</v>
      </c>
      <c r="AV66" s="89" t="s">
        <v>646</v>
      </c>
      <c r="AW66" s="89" t="s">
        <v>646</v>
      </c>
      <c r="AX66" s="89" t="s">
        <v>646</v>
      </c>
      <c r="AY66" s="89" t="s">
        <v>18045</v>
      </c>
      <c r="AZ66" s="89" t="s">
        <v>18046</v>
      </c>
      <c r="BA66" s="89" t="s">
        <v>646</v>
      </c>
      <c r="BB66" s="89" t="s">
        <v>646</v>
      </c>
      <c r="BC66" s="89" t="s">
        <v>646</v>
      </c>
      <c r="BD66" s="89" t="s">
        <v>17676</v>
      </c>
      <c r="BE66" s="89">
        <v>2018</v>
      </c>
      <c r="BF66" s="89">
        <v>5</v>
      </c>
      <c r="BG66" s="89">
        <v>7</v>
      </c>
      <c r="BH66" s="89" t="s">
        <v>646</v>
      </c>
      <c r="BI66" s="89" t="s">
        <v>646</v>
      </c>
      <c r="BJ66" s="89" t="s">
        <v>646</v>
      </c>
      <c r="BK66" s="89" t="s">
        <v>646</v>
      </c>
      <c r="BL66" s="89">
        <v>35</v>
      </c>
      <c r="BM66" s="89">
        <v>45</v>
      </c>
      <c r="BN66" s="89" t="s">
        <v>646</v>
      </c>
      <c r="BO66" s="89" t="str">
        <f>HYPERLINK("http://dx.doi.org/10.21833/ijaas.2018.07.005","http://dx.doi.org/10.21833/ijaas.2018.07.005")</f>
        <v>http://dx.doi.org/10.21833/ijaas.2018.07.005</v>
      </c>
      <c r="BP66" s="89" t="s">
        <v>646</v>
      </c>
      <c r="BQ66" s="89" t="s">
        <v>646</v>
      </c>
      <c r="BR66" s="89" t="s">
        <v>646</v>
      </c>
      <c r="BS66" s="89" t="s">
        <v>646</v>
      </c>
      <c r="BT66" s="89" t="s">
        <v>646</v>
      </c>
      <c r="BU66" s="89" t="s">
        <v>646</v>
      </c>
      <c r="BV66" s="89" t="s">
        <v>646</v>
      </c>
      <c r="BW66" s="89" t="s">
        <v>646</v>
      </c>
      <c r="BX66" s="89" t="s">
        <v>646</v>
      </c>
      <c r="BY66" s="89" t="s">
        <v>646</v>
      </c>
      <c r="BZ66" s="89" t="s">
        <v>646</v>
      </c>
      <c r="CA66" s="89" t="s">
        <v>646</v>
      </c>
      <c r="CB66" s="89" t="s">
        <v>18047</v>
      </c>
      <c r="CC66" s="89" t="str">
        <f>HYPERLINK("https%3A%2F%2Fwww.webofscience.com%2Fwos%2Fwoscc%2Ffull-record%2FWOS:000435839500005","View Full Record in Web of Science")</f>
        <v>View Full Record in Web of Science</v>
      </c>
    </row>
    <row r="67" spans="1:81" ht="13.2" hidden="1" x14ac:dyDescent="0.25">
      <c r="A67" s="89" t="s">
        <v>18048</v>
      </c>
      <c r="B67" s="89" t="e">
        <f>+#REF!</f>
        <v>#REF!</v>
      </c>
      <c r="C67" s="89"/>
      <c r="D67" s="91" t="s">
        <v>17939</v>
      </c>
      <c r="E67" s="90" t="e">
        <v>#REF!</v>
      </c>
      <c r="F67" s="89"/>
      <c r="G67" s="89"/>
      <c r="H67" s="89" t="s">
        <v>18049</v>
      </c>
      <c r="I67" s="89" t="s">
        <v>18050</v>
      </c>
      <c r="J67" s="89" t="s">
        <v>18053</v>
      </c>
      <c r="K67" s="89" t="s">
        <v>18052</v>
      </c>
      <c r="M67" s="89">
        <v>2017</v>
      </c>
      <c r="N67" s="89" t="s">
        <v>18051</v>
      </c>
      <c r="O67" s="89" t="s">
        <v>646</v>
      </c>
      <c r="P67" s="89" t="str">
        <f>HYPERLINK("http://dx.doi.org/10.4018/IJHCITP.2017010101","http://dx.doi.org/10.4018/IJHCITP.2017010101")</f>
        <v>http://dx.doi.org/10.4018/IJHCITP.2017010101</v>
      </c>
      <c r="S67" s="89" t="s">
        <v>646</v>
      </c>
      <c r="U67" s="89" t="s">
        <v>17462</v>
      </c>
      <c r="W67" s="89" t="s">
        <v>646</v>
      </c>
      <c r="X67" s="89" t="s">
        <v>646</v>
      </c>
      <c r="Y67" s="89" t="s">
        <v>646</v>
      </c>
      <c r="Z67" s="89" t="s">
        <v>646</v>
      </c>
      <c r="AA67" s="89" t="s">
        <v>646</v>
      </c>
      <c r="AB67" s="89" t="s">
        <v>646</v>
      </c>
      <c r="AC67" s="89" t="s">
        <v>646</v>
      </c>
      <c r="AD67" s="89" t="s">
        <v>646</v>
      </c>
      <c r="AE67" s="89" t="s">
        <v>646</v>
      </c>
      <c r="AF67" s="89" t="s">
        <v>18052</v>
      </c>
      <c r="AG67" s="89" t="s">
        <v>646</v>
      </c>
      <c r="AH67" s="89" t="s">
        <v>646</v>
      </c>
      <c r="AI67" s="89" t="s">
        <v>646</v>
      </c>
      <c r="AJ67" s="89" t="s">
        <v>646</v>
      </c>
      <c r="AK67" s="89" t="s">
        <v>18053</v>
      </c>
      <c r="AL67" s="89" t="s">
        <v>18054</v>
      </c>
      <c r="AM67" s="89" t="s">
        <v>646</v>
      </c>
      <c r="AN67" s="89" t="s">
        <v>646</v>
      </c>
      <c r="AO67" s="89" t="s">
        <v>646</v>
      </c>
      <c r="AP67" s="89" t="s">
        <v>646</v>
      </c>
      <c r="AQ67" s="89" t="s">
        <v>646</v>
      </c>
      <c r="AR67" s="89" t="s">
        <v>646</v>
      </c>
      <c r="AS67" s="89" t="s">
        <v>646</v>
      </c>
      <c r="AT67" s="89" t="s">
        <v>646</v>
      </c>
      <c r="AU67" s="89" t="s">
        <v>646</v>
      </c>
      <c r="AV67" s="89" t="s">
        <v>646</v>
      </c>
      <c r="AW67" s="89" t="s">
        <v>646</v>
      </c>
      <c r="AX67" s="89" t="s">
        <v>646</v>
      </c>
      <c r="AY67" s="89" t="s">
        <v>18055</v>
      </c>
      <c r="AZ67" s="89" t="s">
        <v>18056</v>
      </c>
      <c r="BA67" s="89" t="s">
        <v>646</v>
      </c>
      <c r="BB67" s="89" t="s">
        <v>646</v>
      </c>
      <c r="BC67" s="89" t="s">
        <v>646</v>
      </c>
      <c r="BD67" s="89" t="s">
        <v>18057</v>
      </c>
      <c r="BE67" s="89">
        <v>2017</v>
      </c>
      <c r="BF67" s="89">
        <v>8</v>
      </c>
      <c r="BG67" s="89">
        <v>1</v>
      </c>
      <c r="BH67" s="89" t="s">
        <v>646</v>
      </c>
      <c r="BI67" s="89" t="s">
        <v>646</v>
      </c>
      <c r="BJ67" s="89" t="s">
        <v>646</v>
      </c>
      <c r="BK67" s="89" t="s">
        <v>646</v>
      </c>
      <c r="BL67" s="89">
        <v>1</v>
      </c>
      <c r="BM67" s="89">
        <v>24</v>
      </c>
      <c r="BN67" s="89" t="s">
        <v>646</v>
      </c>
      <c r="BO67" s="89" t="str">
        <f>HYPERLINK("http://dx.doi.org/10.4018/IJHCITP.2017010101","http://dx.doi.org/10.4018/IJHCITP.2017010101")</f>
        <v>http://dx.doi.org/10.4018/IJHCITP.2017010101</v>
      </c>
      <c r="BP67" s="89" t="s">
        <v>646</v>
      </c>
      <c r="BQ67" s="89" t="s">
        <v>646</v>
      </c>
      <c r="BR67" s="89" t="s">
        <v>646</v>
      </c>
      <c r="BS67" s="89" t="s">
        <v>646</v>
      </c>
      <c r="BT67" s="89" t="s">
        <v>646</v>
      </c>
      <c r="BU67" s="89" t="s">
        <v>646</v>
      </c>
      <c r="BV67" s="89" t="s">
        <v>646</v>
      </c>
      <c r="BW67" s="89" t="s">
        <v>646</v>
      </c>
      <c r="BX67" s="89" t="s">
        <v>646</v>
      </c>
      <c r="BY67" s="89" t="s">
        <v>646</v>
      </c>
      <c r="BZ67" s="89" t="s">
        <v>646</v>
      </c>
      <c r="CA67" s="89" t="s">
        <v>646</v>
      </c>
      <c r="CB67" s="89" t="s">
        <v>18058</v>
      </c>
      <c r="CC67" s="89" t="str">
        <f>HYPERLINK("https%3A%2F%2Fwww.webofscience.com%2Fwos%2Fwoscc%2Ffull-record%2FWOS:000396649400001","View Full Record in Web of Science")</f>
        <v>View Full Record in Web of Science</v>
      </c>
    </row>
    <row r="68" spans="1:81" ht="13.2" hidden="1" x14ac:dyDescent="0.25">
      <c r="A68" s="89" t="s">
        <v>18059</v>
      </c>
      <c r="B68" s="89" t="e">
        <f>+#REF!</f>
        <v>#REF!</v>
      </c>
      <c r="C68" s="89"/>
      <c r="D68" s="91" t="s">
        <v>17939</v>
      </c>
      <c r="E68" s="90" t="e">
        <v>#REF!</v>
      </c>
      <c r="F68" s="89"/>
      <c r="G68" s="89"/>
      <c r="H68" s="89" t="s">
        <v>18060</v>
      </c>
      <c r="I68" s="89" t="s">
        <v>18061</v>
      </c>
      <c r="J68" s="89" t="s">
        <v>18064</v>
      </c>
      <c r="K68" s="89" t="s">
        <v>18063</v>
      </c>
      <c r="M68" s="89">
        <v>2019</v>
      </c>
      <c r="N68" s="89" t="s">
        <v>18062</v>
      </c>
      <c r="O68" s="89" t="s">
        <v>646</v>
      </c>
      <c r="P68" s="89" t="str">
        <f>HYPERLINK("http://dx.doi.org/10.1016/j.addbeh.2019.05.029","http://dx.doi.org/10.1016/j.addbeh.2019.05.029")</f>
        <v>http://dx.doi.org/10.1016/j.addbeh.2019.05.029</v>
      </c>
      <c r="S68" s="89" t="s">
        <v>646</v>
      </c>
      <c r="U68" s="89" t="s">
        <v>17462</v>
      </c>
      <c r="W68" s="89" t="s">
        <v>646</v>
      </c>
      <c r="X68" s="89" t="s">
        <v>646</v>
      </c>
      <c r="Y68" s="89" t="s">
        <v>646</v>
      </c>
      <c r="Z68" s="89" t="s">
        <v>646</v>
      </c>
      <c r="AA68" s="89" t="s">
        <v>646</v>
      </c>
      <c r="AB68" s="89" t="s">
        <v>646</v>
      </c>
      <c r="AC68" s="89" t="s">
        <v>646</v>
      </c>
      <c r="AD68" s="89" t="s">
        <v>646</v>
      </c>
      <c r="AE68" s="89" t="s">
        <v>646</v>
      </c>
      <c r="AF68" s="89" t="s">
        <v>18063</v>
      </c>
      <c r="AG68" s="89" t="s">
        <v>646</v>
      </c>
      <c r="AH68" s="89" t="s">
        <v>646</v>
      </c>
      <c r="AI68" s="89" t="s">
        <v>646</v>
      </c>
      <c r="AJ68" s="89" t="s">
        <v>646</v>
      </c>
      <c r="AK68" s="89" t="s">
        <v>18064</v>
      </c>
      <c r="AL68" s="89" t="s">
        <v>18065</v>
      </c>
      <c r="AM68" s="89" t="s">
        <v>646</v>
      </c>
      <c r="AN68" s="89" t="s">
        <v>646</v>
      </c>
      <c r="AO68" s="89" t="s">
        <v>646</v>
      </c>
      <c r="AP68" s="89" t="s">
        <v>646</v>
      </c>
      <c r="AQ68" s="89" t="s">
        <v>646</v>
      </c>
      <c r="AR68" s="89" t="s">
        <v>646</v>
      </c>
      <c r="AS68" s="89" t="s">
        <v>646</v>
      </c>
      <c r="AT68" s="89" t="s">
        <v>646</v>
      </c>
      <c r="AU68" s="89" t="s">
        <v>646</v>
      </c>
      <c r="AV68" s="89" t="s">
        <v>646</v>
      </c>
      <c r="AW68" s="89" t="s">
        <v>646</v>
      </c>
      <c r="AX68" s="89" t="s">
        <v>646</v>
      </c>
      <c r="AY68" s="89" t="s">
        <v>18066</v>
      </c>
      <c r="AZ68" s="89" t="s">
        <v>18067</v>
      </c>
      <c r="BA68" s="89" t="s">
        <v>646</v>
      </c>
      <c r="BB68" s="89" t="s">
        <v>646</v>
      </c>
      <c r="BC68" s="89" t="s">
        <v>646</v>
      </c>
      <c r="BD68" s="89" t="s">
        <v>17687</v>
      </c>
      <c r="BE68" s="89">
        <v>2019</v>
      </c>
      <c r="BF68" s="89">
        <v>97</v>
      </c>
      <c r="BG68" s="89" t="s">
        <v>646</v>
      </c>
      <c r="BH68" s="89" t="s">
        <v>646</v>
      </c>
      <c r="BI68" s="89" t="s">
        <v>646</v>
      </c>
      <c r="BJ68" s="89" t="s">
        <v>646</v>
      </c>
      <c r="BK68" s="89" t="s">
        <v>646</v>
      </c>
      <c r="BL68" s="89">
        <v>104</v>
      </c>
      <c r="BM68" s="89">
        <v>110</v>
      </c>
      <c r="BN68" s="89" t="s">
        <v>646</v>
      </c>
      <c r="BO68" s="89" t="str">
        <f>HYPERLINK("http://dx.doi.org/10.1016/j.addbeh.2019.05.029","http://dx.doi.org/10.1016/j.addbeh.2019.05.029")</f>
        <v>http://dx.doi.org/10.1016/j.addbeh.2019.05.029</v>
      </c>
      <c r="BP68" s="89" t="s">
        <v>646</v>
      </c>
      <c r="BQ68" s="89" t="s">
        <v>646</v>
      </c>
      <c r="BR68" s="89" t="s">
        <v>646</v>
      </c>
      <c r="BS68" s="89" t="s">
        <v>646</v>
      </c>
      <c r="BT68" s="89" t="s">
        <v>646</v>
      </c>
      <c r="BU68" s="89" t="s">
        <v>646</v>
      </c>
      <c r="BV68" s="89" t="s">
        <v>646</v>
      </c>
      <c r="BW68" s="89">
        <v>31176882</v>
      </c>
      <c r="BX68" s="89" t="s">
        <v>646</v>
      </c>
      <c r="BY68" s="89" t="s">
        <v>646</v>
      </c>
      <c r="BZ68" s="89" t="s">
        <v>646</v>
      </c>
      <c r="CA68" s="89" t="s">
        <v>646</v>
      </c>
      <c r="CB68" s="89" t="s">
        <v>18068</v>
      </c>
      <c r="CC68" s="89" t="str">
        <f>HYPERLINK("https%3A%2F%2Fwww.webofscience.com%2Fwos%2Fwoscc%2Ffull-record%2FWOS:000474319600016","View Full Record in Web of Science")</f>
        <v>View Full Record in Web of Science</v>
      </c>
    </row>
    <row r="69" spans="1:81" ht="13.2" hidden="1" x14ac:dyDescent="0.25">
      <c r="A69" s="89" t="s">
        <v>18069</v>
      </c>
      <c r="B69" s="89" t="e">
        <f>+#REF!</f>
        <v>#REF!</v>
      </c>
      <c r="C69" s="89"/>
      <c r="D69" s="91" t="s">
        <v>17939</v>
      </c>
      <c r="E69" s="90" t="e">
        <v>#REF!</v>
      </c>
      <c r="F69" s="89"/>
      <c r="G69" s="89"/>
      <c r="H69" s="89" t="s">
        <v>18070</v>
      </c>
      <c r="I69" s="89" t="s">
        <v>18072</v>
      </c>
      <c r="J69" s="89" t="s">
        <v>18080</v>
      </c>
      <c r="K69" s="89" t="s">
        <v>18079</v>
      </c>
      <c r="M69" s="89">
        <v>2019</v>
      </c>
      <c r="N69" s="89" t="s">
        <v>18073</v>
      </c>
      <c r="O69" s="89" t="s">
        <v>18071</v>
      </c>
      <c r="P69" s="89" t="str">
        <f>HYPERLINK("http://dx.doi.org/10.1109/COMPSAC.2019.00099","http://dx.doi.org/10.1109/COMPSAC.2019.00099")</f>
        <v>http://dx.doi.org/10.1109/COMPSAC.2019.00099</v>
      </c>
      <c r="S69" s="89" t="s">
        <v>646</v>
      </c>
      <c r="U69" s="89" t="s">
        <v>17474</v>
      </c>
      <c r="W69" s="89" t="s">
        <v>646</v>
      </c>
      <c r="X69" s="89" t="s">
        <v>646</v>
      </c>
      <c r="Y69" s="89" t="s">
        <v>18074</v>
      </c>
      <c r="Z69" s="89" t="s">
        <v>18075</v>
      </c>
      <c r="AA69" s="89" t="s">
        <v>18076</v>
      </c>
      <c r="AB69" s="89" t="s">
        <v>18077</v>
      </c>
      <c r="AC69" s="89" t="s">
        <v>18078</v>
      </c>
      <c r="AD69" s="89" t="s">
        <v>646</v>
      </c>
      <c r="AE69" s="89" t="s">
        <v>646</v>
      </c>
      <c r="AF69" s="89" t="s">
        <v>18079</v>
      </c>
      <c r="AG69" s="89" t="s">
        <v>646</v>
      </c>
      <c r="AH69" s="89" t="s">
        <v>646</v>
      </c>
      <c r="AI69" s="89" t="s">
        <v>646</v>
      </c>
      <c r="AJ69" s="89" t="s">
        <v>646</v>
      </c>
      <c r="AK69" s="89" t="s">
        <v>18080</v>
      </c>
      <c r="AL69" s="89" t="s">
        <v>18081</v>
      </c>
      <c r="AM69" s="89" t="s">
        <v>646</v>
      </c>
      <c r="AN69" s="89" t="s">
        <v>646</v>
      </c>
      <c r="AO69" s="89" t="s">
        <v>646</v>
      </c>
      <c r="AP69" s="89" t="s">
        <v>646</v>
      </c>
      <c r="AQ69" s="89" t="s">
        <v>646</v>
      </c>
      <c r="AR69" s="89" t="s">
        <v>646</v>
      </c>
      <c r="AS69" s="89" t="s">
        <v>646</v>
      </c>
      <c r="AT69" s="89" t="s">
        <v>646</v>
      </c>
      <c r="AU69" s="89" t="s">
        <v>646</v>
      </c>
      <c r="AV69" s="89" t="s">
        <v>646</v>
      </c>
      <c r="AW69" s="89" t="s">
        <v>646</v>
      </c>
      <c r="AX69" s="89" t="s">
        <v>646</v>
      </c>
      <c r="AY69" s="89" t="s">
        <v>18082</v>
      </c>
      <c r="AZ69" s="89" t="s">
        <v>646</v>
      </c>
      <c r="BA69" s="89" t="s">
        <v>18083</v>
      </c>
      <c r="BB69" s="89" t="s">
        <v>646</v>
      </c>
      <c r="BC69" s="89" t="s">
        <v>646</v>
      </c>
      <c r="BD69" s="89" t="s">
        <v>646</v>
      </c>
      <c r="BE69" s="89">
        <v>2019</v>
      </c>
      <c r="BF69" s="89" t="s">
        <v>646</v>
      </c>
      <c r="BG69" s="89" t="s">
        <v>646</v>
      </c>
      <c r="BH69" s="89" t="s">
        <v>646</v>
      </c>
      <c r="BI69" s="89" t="s">
        <v>646</v>
      </c>
      <c r="BJ69" s="89" t="s">
        <v>646</v>
      </c>
      <c r="BK69" s="89" t="s">
        <v>646</v>
      </c>
      <c r="BL69" s="89">
        <v>653</v>
      </c>
      <c r="BM69" s="89">
        <v>662</v>
      </c>
      <c r="BN69" s="89" t="s">
        <v>646</v>
      </c>
      <c r="BO69" s="89" t="str">
        <f>HYPERLINK("http://dx.doi.org/10.1109/COMPSAC.2019.00099","http://dx.doi.org/10.1109/COMPSAC.2019.00099")</f>
        <v>http://dx.doi.org/10.1109/COMPSAC.2019.00099</v>
      </c>
      <c r="BP69" s="89" t="s">
        <v>646</v>
      </c>
      <c r="BQ69" s="89" t="s">
        <v>646</v>
      </c>
      <c r="BR69" s="89" t="s">
        <v>646</v>
      </c>
      <c r="BS69" s="89" t="s">
        <v>646</v>
      </c>
      <c r="BT69" s="89" t="s">
        <v>646</v>
      </c>
      <c r="BU69" s="89" t="s">
        <v>646</v>
      </c>
      <c r="BV69" s="89" t="s">
        <v>646</v>
      </c>
      <c r="BW69" s="89" t="s">
        <v>646</v>
      </c>
      <c r="BX69" s="89" t="s">
        <v>646</v>
      </c>
      <c r="BY69" s="89" t="s">
        <v>646</v>
      </c>
      <c r="BZ69" s="89" t="s">
        <v>646</v>
      </c>
      <c r="CA69" s="89" t="s">
        <v>646</v>
      </c>
      <c r="CB69" s="89" t="s">
        <v>18084</v>
      </c>
      <c r="CC69" s="89" t="str">
        <f>HYPERLINK("https%3A%2F%2Fwww.webofscience.com%2Fwos%2Fwoscc%2Ffull-record%2FWOS:000538791700088","View Full Record in Web of Science")</f>
        <v>View Full Record in Web of Science</v>
      </c>
    </row>
    <row r="70" spans="1:81" ht="13.2" hidden="1" x14ac:dyDescent="0.25">
      <c r="A70" s="89" t="s">
        <v>18085</v>
      </c>
      <c r="B70" s="89" t="e">
        <f>+#REF!</f>
        <v>#REF!</v>
      </c>
      <c r="C70" s="89"/>
      <c r="D70" s="91" t="s">
        <v>17939</v>
      </c>
      <c r="E70" s="90" t="e">
        <v>#REF!</v>
      </c>
      <c r="F70" s="89"/>
      <c r="G70" s="89"/>
      <c r="H70" s="89" t="s">
        <v>18086</v>
      </c>
      <c r="I70" s="89" t="s">
        <v>18087</v>
      </c>
      <c r="J70" s="89" t="s">
        <v>646</v>
      </c>
      <c r="K70" s="89" t="s">
        <v>18089</v>
      </c>
      <c r="M70" s="89">
        <v>2019</v>
      </c>
      <c r="N70" s="89" t="s">
        <v>18088</v>
      </c>
      <c r="O70" s="89" t="s">
        <v>646</v>
      </c>
      <c r="P70" s="89" t="str">
        <f>HYPERLINK("http://dx.doi.org/10.1177/1035304619831245","http://dx.doi.org/10.1177/1035304619831245")</f>
        <v>http://dx.doi.org/10.1177/1035304619831245</v>
      </c>
      <c r="S70" s="89" t="s">
        <v>646</v>
      </c>
      <c r="U70" s="89" t="s">
        <v>17462</v>
      </c>
      <c r="W70" s="89" t="s">
        <v>646</v>
      </c>
      <c r="X70" s="89" t="s">
        <v>646</v>
      </c>
      <c r="Y70" s="89" t="s">
        <v>646</v>
      </c>
      <c r="Z70" s="89" t="s">
        <v>646</v>
      </c>
      <c r="AA70" s="89" t="s">
        <v>646</v>
      </c>
      <c r="AB70" s="89" t="s">
        <v>646</v>
      </c>
      <c r="AC70" s="89" t="s">
        <v>646</v>
      </c>
      <c r="AD70" s="89" t="s">
        <v>646</v>
      </c>
      <c r="AE70" s="89" t="s">
        <v>646</v>
      </c>
      <c r="AF70" s="89" t="s">
        <v>18089</v>
      </c>
      <c r="AG70" s="89" t="s">
        <v>646</v>
      </c>
      <c r="AH70" s="89" t="s">
        <v>646</v>
      </c>
      <c r="AI70" s="89" t="s">
        <v>646</v>
      </c>
      <c r="AJ70" s="89" t="s">
        <v>646</v>
      </c>
      <c r="AK70" s="89" t="s">
        <v>646</v>
      </c>
      <c r="AL70" s="89" t="s">
        <v>646</v>
      </c>
      <c r="AM70" s="89" t="s">
        <v>646</v>
      </c>
      <c r="AN70" s="89" t="s">
        <v>646</v>
      </c>
      <c r="AO70" s="89" t="s">
        <v>646</v>
      </c>
      <c r="AP70" s="89" t="s">
        <v>646</v>
      </c>
      <c r="AQ70" s="89" t="s">
        <v>646</v>
      </c>
      <c r="AR70" s="89" t="s">
        <v>646</v>
      </c>
      <c r="AS70" s="89" t="s">
        <v>646</v>
      </c>
      <c r="AT70" s="89" t="s">
        <v>646</v>
      </c>
      <c r="AU70" s="89" t="s">
        <v>646</v>
      </c>
      <c r="AV70" s="89" t="s">
        <v>646</v>
      </c>
      <c r="AW70" s="89" t="s">
        <v>646</v>
      </c>
      <c r="AX70" s="89" t="s">
        <v>646</v>
      </c>
      <c r="AY70" s="89" t="s">
        <v>18090</v>
      </c>
      <c r="AZ70" s="89" t="s">
        <v>18091</v>
      </c>
      <c r="BA70" s="89" t="s">
        <v>646</v>
      </c>
      <c r="BB70" s="89" t="s">
        <v>646</v>
      </c>
      <c r="BC70" s="89" t="s">
        <v>646</v>
      </c>
      <c r="BD70" s="89" t="s">
        <v>17779</v>
      </c>
      <c r="BE70" s="89">
        <v>2019</v>
      </c>
      <c r="BF70" s="89">
        <v>30</v>
      </c>
      <c r="BG70" s="89">
        <v>1</v>
      </c>
      <c r="BH70" s="89" t="s">
        <v>646</v>
      </c>
      <c r="BI70" s="89" t="s">
        <v>646</v>
      </c>
      <c r="BJ70" s="89" t="s">
        <v>646</v>
      </c>
      <c r="BK70" s="89" t="s">
        <v>646</v>
      </c>
      <c r="BL70" s="89">
        <v>120</v>
      </c>
      <c r="BM70" s="89">
        <v>141</v>
      </c>
      <c r="BN70" s="89" t="s">
        <v>646</v>
      </c>
      <c r="BO70" s="89" t="str">
        <f>HYPERLINK("http://dx.doi.org/10.1177/1035304619831245","http://dx.doi.org/10.1177/1035304619831245")</f>
        <v>http://dx.doi.org/10.1177/1035304619831245</v>
      </c>
      <c r="BP70" s="89" t="s">
        <v>646</v>
      </c>
      <c r="BQ70" s="89" t="s">
        <v>646</v>
      </c>
      <c r="BR70" s="89" t="s">
        <v>646</v>
      </c>
      <c r="BS70" s="89" t="s">
        <v>646</v>
      </c>
      <c r="BT70" s="89" t="s">
        <v>646</v>
      </c>
      <c r="BU70" s="89" t="s">
        <v>646</v>
      </c>
      <c r="BV70" s="89" t="s">
        <v>646</v>
      </c>
      <c r="BW70" s="89" t="s">
        <v>646</v>
      </c>
      <c r="BX70" s="89" t="s">
        <v>646</v>
      </c>
      <c r="BY70" s="89" t="s">
        <v>646</v>
      </c>
      <c r="BZ70" s="89" t="s">
        <v>646</v>
      </c>
      <c r="CA70" s="89" t="s">
        <v>646</v>
      </c>
      <c r="CB70" s="89" t="s">
        <v>18092</v>
      </c>
      <c r="CC70" s="89" t="str">
        <f>HYPERLINK("https%3A%2F%2Fwww.webofscience.com%2Fwos%2Fwoscc%2Ffull-record%2FWOS:000461570600007","View Full Record in Web of Science")</f>
        <v>View Full Record in Web of Science</v>
      </c>
    </row>
    <row r="71" spans="1:81" ht="13.2" hidden="1" x14ac:dyDescent="0.25">
      <c r="A71" s="89" t="s">
        <v>18093</v>
      </c>
      <c r="B71" s="89" t="e">
        <f>+#REF!</f>
        <v>#REF!</v>
      </c>
      <c r="C71" s="89"/>
      <c r="D71" s="91" t="s">
        <v>17939</v>
      </c>
      <c r="E71" s="90" t="e">
        <v>#REF!</v>
      </c>
      <c r="F71" s="89"/>
      <c r="G71" s="89"/>
      <c r="H71" s="89" t="s">
        <v>646</v>
      </c>
      <c r="I71" s="89" t="s">
        <v>18095</v>
      </c>
      <c r="J71" s="89" t="s">
        <v>646</v>
      </c>
      <c r="K71" s="89" t="s">
        <v>18101</v>
      </c>
      <c r="M71" s="89">
        <v>2014</v>
      </c>
      <c r="N71" s="89" t="s">
        <v>18096</v>
      </c>
      <c r="O71" s="89" t="s">
        <v>18094</v>
      </c>
      <c r="P71" s="89" t="s">
        <v>646</v>
      </c>
      <c r="S71" s="89" t="s">
        <v>646</v>
      </c>
      <c r="U71" s="89" t="s">
        <v>17474</v>
      </c>
      <c r="W71" s="89" t="s">
        <v>646</v>
      </c>
      <c r="X71" s="89" t="s">
        <v>646</v>
      </c>
      <c r="Y71" s="89" t="s">
        <v>18097</v>
      </c>
      <c r="Z71" s="89" t="s">
        <v>18098</v>
      </c>
      <c r="AA71" s="89" t="s">
        <v>18099</v>
      </c>
      <c r="AB71" s="89" t="s">
        <v>646</v>
      </c>
      <c r="AC71" s="89" t="s">
        <v>18100</v>
      </c>
      <c r="AD71" s="89" t="s">
        <v>646</v>
      </c>
      <c r="AE71" s="89" t="s">
        <v>646</v>
      </c>
      <c r="AF71" s="89" t="s">
        <v>18101</v>
      </c>
      <c r="AG71" s="89" t="s">
        <v>646</v>
      </c>
      <c r="AH71" s="89" t="s">
        <v>646</v>
      </c>
      <c r="AI71" s="89" t="s">
        <v>646</v>
      </c>
      <c r="AJ71" s="89" t="s">
        <v>646</v>
      </c>
      <c r="AK71" s="89" t="s">
        <v>646</v>
      </c>
      <c r="AL71" s="89" t="s">
        <v>646</v>
      </c>
      <c r="AM71" s="89" t="s">
        <v>646</v>
      </c>
      <c r="AN71" s="89" t="s">
        <v>646</v>
      </c>
      <c r="AO71" s="89" t="s">
        <v>646</v>
      </c>
      <c r="AP71" s="89" t="s">
        <v>646</v>
      </c>
      <c r="AQ71" s="89" t="s">
        <v>646</v>
      </c>
      <c r="AR71" s="89" t="s">
        <v>646</v>
      </c>
      <c r="AS71" s="89" t="s">
        <v>646</v>
      </c>
      <c r="AT71" s="89" t="s">
        <v>646</v>
      </c>
      <c r="AU71" s="89" t="s">
        <v>646</v>
      </c>
      <c r="AV71" s="89" t="s">
        <v>646</v>
      </c>
      <c r="AW71" s="89" t="s">
        <v>646</v>
      </c>
      <c r="AX71" s="89" t="s">
        <v>646</v>
      </c>
      <c r="AY71" s="89" t="s">
        <v>18102</v>
      </c>
      <c r="AZ71" s="89" t="s">
        <v>646</v>
      </c>
      <c r="BA71" s="89" t="s">
        <v>18103</v>
      </c>
      <c r="BB71" s="89" t="s">
        <v>646</v>
      </c>
      <c r="BC71" s="89" t="s">
        <v>646</v>
      </c>
      <c r="BD71" s="89" t="s">
        <v>646</v>
      </c>
      <c r="BE71" s="89">
        <v>2014</v>
      </c>
      <c r="BF71" s="89" t="s">
        <v>646</v>
      </c>
      <c r="BG71" s="89" t="s">
        <v>646</v>
      </c>
      <c r="BH71" s="89" t="s">
        <v>646</v>
      </c>
      <c r="BI71" s="89" t="s">
        <v>646</v>
      </c>
      <c r="BJ71" s="89" t="s">
        <v>646</v>
      </c>
      <c r="BK71" s="89" t="s">
        <v>646</v>
      </c>
      <c r="BL71" s="89">
        <v>1</v>
      </c>
      <c r="BM71" s="89">
        <v>10</v>
      </c>
      <c r="BN71" s="89" t="s">
        <v>646</v>
      </c>
      <c r="BO71" s="89" t="s">
        <v>646</v>
      </c>
      <c r="BP71" s="89" t="s">
        <v>646</v>
      </c>
      <c r="BQ71" s="89" t="s">
        <v>646</v>
      </c>
      <c r="BR71" s="89" t="s">
        <v>646</v>
      </c>
      <c r="BS71" s="89" t="s">
        <v>646</v>
      </c>
      <c r="BT71" s="89" t="s">
        <v>646</v>
      </c>
      <c r="BU71" s="89" t="s">
        <v>646</v>
      </c>
      <c r="BV71" s="89" t="s">
        <v>646</v>
      </c>
      <c r="BW71" s="89" t="s">
        <v>646</v>
      </c>
      <c r="BX71" s="89" t="s">
        <v>646</v>
      </c>
      <c r="BY71" s="89" t="s">
        <v>646</v>
      </c>
      <c r="BZ71" s="89" t="s">
        <v>646</v>
      </c>
      <c r="CA71" s="89" t="s">
        <v>646</v>
      </c>
      <c r="CB71" s="89" t="s">
        <v>18104</v>
      </c>
      <c r="CC71" s="89" t="str">
        <f>HYPERLINK("https%3A%2F%2Fwww.webofscience.com%2Fwos%2Fwoscc%2Ffull-record%2FWOS:000350974400001","View Full Record in Web of Science")</f>
        <v>View Full Record in Web of Science</v>
      </c>
    </row>
    <row r="72" spans="1:81" ht="13.2" hidden="1" x14ac:dyDescent="0.25">
      <c r="A72" s="89" t="s">
        <v>18105</v>
      </c>
      <c r="B72" s="89" t="e">
        <f>+#REF!</f>
        <v>#REF!</v>
      </c>
      <c r="C72" s="89"/>
      <c r="D72" s="91" t="s">
        <v>17939</v>
      </c>
      <c r="E72" s="90" t="e">
        <v>#REF!</v>
      </c>
      <c r="F72" s="89"/>
      <c r="G72" s="89"/>
      <c r="H72" s="89" t="s">
        <v>18106</v>
      </c>
      <c r="I72" s="89" t="s">
        <v>18107</v>
      </c>
      <c r="J72" s="89" t="s">
        <v>18110</v>
      </c>
      <c r="K72" s="89" t="s">
        <v>18109</v>
      </c>
      <c r="M72" s="89">
        <v>2020</v>
      </c>
      <c r="N72" s="89" t="s">
        <v>18108</v>
      </c>
      <c r="O72" s="89" t="s">
        <v>646</v>
      </c>
      <c r="P72" s="89" t="str">
        <f>HYPERLINK("http://dx.doi.org/10.1080/13683500.2019.1604639","http://dx.doi.org/10.1080/13683500.2019.1604639")</f>
        <v>http://dx.doi.org/10.1080/13683500.2019.1604639</v>
      </c>
      <c r="S72" s="89" t="s">
        <v>646</v>
      </c>
      <c r="U72" s="89" t="s">
        <v>17462</v>
      </c>
      <c r="W72" s="89" t="s">
        <v>646</v>
      </c>
      <c r="X72" s="89" t="s">
        <v>646</v>
      </c>
      <c r="Y72" s="89" t="s">
        <v>646</v>
      </c>
      <c r="Z72" s="89" t="s">
        <v>646</v>
      </c>
      <c r="AA72" s="89" t="s">
        <v>646</v>
      </c>
      <c r="AB72" s="89" t="s">
        <v>646</v>
      </c>
      <c r="AC72" s="89" t="s">
        <v>646</v>
      </c>
      <c r="AD72" s="89" t="s">
        <v>646</v>
      </c>
      <c r="AE72" s="89" t="s">
        <v>646</v>
      </c>
      <c r="AF72" s="89" t="s">
        <v>18109</v>
      </c>
      <c r="AG72" s="89" t="s">
        <v>646</v>
      </c>
      <c r="AH72" s="89" t="s">
        <v>646</v>
      </c>
      <c r="AI72" s="89" t="s">
        <v>646</v>
      </c>
      <c r="AJ72" s="89" t="s">
        <v>646</v>
      </c>
      <c r="AK72" s="89" t="s">
        <v>18110</v>
      </c>
      <c r="AL72" s="89" t="s">
        <v>18111</v>
      </c>
      <c r="AM72" s="89" t="s">
        <v>646</v>
      </c>
      <c r="AN72" s="89" t="s">
        <v>646</v>
      </c>
      <c r="AO72" s="89" t="s">
        <v>646</v>
      </c>
      <c r="AP72" s="89" t="s">
        <v>646</v>
      </c>
      <c r="AQ72" s="89" t="s">
        <v>646</v>
      </c>
      <c r="AR72" s="89" t="s">
        <v>646</v>
      </c>
      <c r="AS72" s="89" t="s">
        <v>646</v>
      </c>
      <c r="AT72" s="89" t="s">
        <v>646</v>
      </c>
      <c r="AU72" s="89" t="s">
        <v>646</v>
      </c>
      <c r="AV72" s="89" t="s">
        <v>646</v>
      </c>
      <c r="AW72" s="89" t="s">
        <v>646</v>
      </c>
      <c r="AX72" s="89" t="s">
        <v>646</v>
      </c>
      <c r="AY72" s="89" t="s">
        <v>18112</v>
      </c>
      <c r="AZ72" s="89" t="s">
        <v>18113</v>
      </c>
      <c r="BA72" s="89" t="s">
        <v>646</v>
      </c>
      <c r="BB72" s="89" t="s">
        <v>646</v>
      </c>
      <c r="BC72" s="89" t="s">
        <v>646</v>
      </c>
      <c r="BD72" s="89" t="s">
        <v>18114</v>
      </c>
      <c r="BE72" s="89">
        <v>2020</v>
      </c>
      <c r="BF72" s="89">
        <v>23</v>
      </c>
      <c r="BG72" s="89">
        <v>10</v>
      </c>
      <c r="BH72" s="89" t="s">
        <v>646</v>
      </c>
      <c r="BI72" s="89" t="s">
        <v>646</v>
      </c>
      <c r="BJ72" s="89" t="s">
        <v>646</v>
      </c>
      <c r="BK72" s="89" t="s">
        <v>646</v>
      </c>
      <c r="BL72" s="89">
        <v>1277</v>
      </c>
      <c r="BM72" s="89">
        <v>1290</v>
      </c>
      <c r="BN72" s="89" t="s">
        <v>646</v>
      </c>
      <c r="BO72" s="89" t="str">
        <f>HYPERLINK("http://dx.doi.org/10.1080/13683500.2019.1604639","http://dx.doi.org/10.1080/13683500.2019.1604639")</f>
        <v>http://dx.doi.org/10.1080/13683500.2019.1604639</v>
      </c>
      <c r="BP72" s="89" t="s">
        <v>646</v>
      </c>
      <c r="BQ72" s="89" t="s">
        <v>646</v>
      </c>
      <c r="BR72" s="89" t="s">
        <v>646</v>
      </c>
      <c r="BS72" s="89" t="s">
        <v>646</v>
      </c>
      <c r="BT72" s="89" t="s">
        <v>646</v>
      </c>
      <c r="BU72" s="89" t="s">
        <v>646</v>
      </c>
      <c r="BV72" s="89" t="s">
        <v>646</v>
      </c>
      <c r="BW72" s="89" t="s">
        <v>646</v>
      </c>
      <c r="BX72" s="89" t="s">
        <v>646</v>
      </c>
      <c r="BY72" s="89" t="s">
        <v>646</v>
      </c>
      <c r="BZ72" s="89" t="s">
        <v>646</v>
      </c>
      <c r="CA72" s="89" t="s">
        <v>646</v>
      </c>
      <c r="CB72" s="89" t="s">
        <v>18115</v>
      </c>
      <c r="CC72" s="89" t="str">
        <f>HYPERLINK("https%3A%2F%2Fwww.webofscience.com%2Fwos%2Fwoscc%2Ffull-record%2FWOS:000530936800007","View Full Record in Web of Science")</f>
        <v>View Full Record in Web of Science</v>
      </c>
    </row>
    <row r="73" spans="1:81" ht="13.2" hidden="1" x14ac:dyDescent="0.25">
      <c r="A73" s="89" t="s">
        <v>18116</v>
      </c>
      <c r="B73" s="89" t="e">
        <f>+#REF!</f>
        <v>#REF!</v>
      </c>
      <c r="C73" s="89"/>
      <c r="D73" s="91" t="s">
        <v>17939</v>
      </c>
      <c r="E73" s="90" t="e">
        <v>#REF!</v>
      </c>
      <c r="F73" s="89"/>
      <c r="G73" s="89"/>
      <c r="H73" s="89" t="s">
        <v>18117</v>
      </c>
      <c r="I73" s="89" t="s">
        <v>18118</v>
      </c>
      <c r="J73" s="89" t="s">
        <v>646</v>
      </c>
      <c r="K73" s="89" t="s">
        <v>18120</v>
      </c>
      <c r="M73" s="89">
        <v>2020</v>
      </c>
      <c r="N73" s="89" t="s">
        <v>18119</v>
      </c>
      <c r="O73" s="89" t="s">
        <v>646</v>
      </c>
      <c r="P73" s="89" t="str">
        <f>HYPERLINK("http://dx.doi.org/10.18389/dearq26.2020.09","http://dx.doi.org/10.18389/dearq26.2020.09")</f>
        <v>http://dx.doi.org/10.18389/dearq26.2020.09</v>
      </c>
      <c r="S73" s="89" t="s">
        <v>646</v>
      </c>
      <c r="U73" s="89" t="s">
        <v>17462</v>
      </c>
      <c r="W73" s="89" t="s">
        <v>646</v>
      </c>
      <c r="X73" s="89" t="s">
        <v>646</v>
      </c>
      <c r="Y73" s="89" t="s">
        <v>646</v>
      </c>
      <c r="Z73" s="89" t="s">
        <v>646</v>
      </c>
      <c r="AA73" s="89" t="s">
        <v>646</v>
      </c>
      <c r="AB73" s="89" t="s">
        <v>646</v>
      </c>
      <c r="AC73" s="89" t="s">
        <v>646</v>
      </c>
      <c r="AD73" s="89" t="s">
        <v>646</v>
      </c>
      <c r="AE73" s="89" t="s">
        <v>646</v>
      </c>
      <c r="AF73" s="89" t="s">
        <v>18120</v>
      </c>
      <c r="AG73" s="89" t="s">
        <v>646</v>
      </c>
      <c r="AH73" s="89" t="s">
        <v>646</v>
      </c>
      <c r="AI73" s="89" t="s">
        <v>646</v>
      </c>
      <c r="AJ73" s="89" t="s">
        <v>646</v>
      </c>
      <c r="AK73" s="89" t="s">
        <v>646</v>
      </c>
      <c r="AL73" s="89" t="s">
        <v>646</v>
      </c>
      <c r="AM73" s="89" t="s">
        <v>646</v>
      </c>
      <c r="AN73" s="89" t="s">
        <v>646</v>
      </c>
      <c r="AO73" s="89" t="s">
        <v>646</v>
      </c>
      <c r="AP73" s="89" t="s">
        <v>646</v>
      </c>
      <c r="AQ73" s="89" t="s">
        <v>646</v>
      </c>
      <c r="AR73" s="89" t="s">
        <v>646</v>
      </c>
      <c r="AS73" s="89" t="s">
        <v>646</v>
      </c>
      <c r="AT73" s="89" t="s">
        <v>646</v>
      </c>
      <c r="AU73" s="89" t="s">
        <v>646</v>
      </c>
      <c r="AV73" s="89" t="s">
        <v>646</v>
      </c>
      <c r="AW73" s="89" t="s">
        <v>646</v>
      </c>
      <c r="AX73" s="89" t="s">
        <v>646</v>
      </c>
      <c r="AY73" s="89" t="s">
        <v>18121</v>
      </c>
      <c r="AZ73" s="89" t="s">
        <v>18122</v>
      </c>
      <c r="BA73" s="89" t="s">
        <v>646</v>
      </c>
      <c r="BB73" s="89" t="s">
        <v>646</v>
      </c>
      <c r="BC73" s="89" t="s">
        <v>646</v>
      </c>
      <c r="BD73" s="89" t="s">
        <v>17513</v>
      </c>
      <c r="BE73" s="89">
        <v>2020</v>
      </c>
      <c r="BF73" s="89" t="s">
        <v>646</v>
      </c>
      <c r="BG73" s="89">
        <v>26</v>
      </c>
      <c r="BH73" s="89" t="s">
        <v>646</v>
      </c>
      <c r="BI73" s="89" t="s">
        <v>646</v>
      </c>
      <c r="BJ73" s="89" t="s">
        <v>646</v>
      </c>
      <c r="BK73" s="89" t="s">
        <v>646</v>
      </c>
      <c r="BL73" s="89">
        <v>80</v>
      </c>
      <c r="BM73" s="89">
        <v>87</v>
      </c>
      <c r="BN73" s="89" t="s">
        <v>646</v>
      </c>
      <c r="BO73" s="89" t="str">
        <f>HYPERLINK("http://dx.doi.org/10.18389/dearq26.2020.09","http://dx.doi.org/10.18389/dearq26.2020.09")</f>
        <v>http://dx.doi.org/10.18389/dearq26.2020.09</v>
      </c>
      <c r="BP73" s="89" t="s">
        <v>646</v>
      </c>
      <c r="BQ73" s="89" t="s">
        <v>646</v>
      </c>
      <c r="BR73" s="89" t="s">
        <v>646</v>
      </c>
      <c r="BS73" s="89" t="s">
        <v>646</v>
      </c>
      <c r="BT73" s="89" t="s">
        <v>646</v>
      </c>
      <c r="BU73" s="89" t="s">
        <v>646</v>
      </c>
      <c r="BV73" s="89" t="s">
        <v>646</v>
      </c>
      <c r="BW73" s="89" t="s">
        <v>646</v>
      </c>
      <c r="BX73" s="89" t="s">
        <v>646</v>
      </c>
      <c r="BY73" s="89" t="s">
        <v>646</v>
      </c>
      <c r="BZ73" s="89" t="s">
        <v>646</v>
      </c>
      <c r="CA73" s="89" t="s">
        <v>646</v>
      </c>
      <c r="CB73" s="89" t="s">
        <v>18123</v>
      </c>
      <c r="CC73" s="89" t="str">
        <f>HYPERLINK("https%3A%2F%2Fwww.webofscience.com%2Fwos%2Fwoscc%2Ffull-record%2FWOS:000510478300008","View Full Record in Web of Science")</f>
        <v>View Full Record in Web of Science</v>
      </c>
    </row>
    <row r="74" spans="1:81" ht="13.2" hidden="1" x14ac:dyDescent="0.25">
      <c r="A74" s="89" t="s">
        <v>18124</v>
      </c>
      <c r="B74" s="89" t="e">
        <f>+#REF!</f>
        <v>#REF!</v>
      </c>
      <c r="C74" s="89"/>
      <c r="D74" s="91" t="s">
        <v>17939</v>
      </c>
      <c r="E74" s="90" t="e">
        <v>#REF!</v>
      </c>
      <c r="F74" s="89"/>
      <c r="G74" s="89"/>
      <c r="H74" s="89" t="s">
        <v>646</v>
      </c>
      <c r="I74" s="89" t="s">
        <v>18126</v>
      </c>
      <c r="J74" s="89" t="s">
        <v>18132</v>
      </c>
      <c r="K74" s="89" t="s">
        <v>18131</v>
      </c>
      <c r="M74" s="89">
        <v>2016</v>
      </c>
      <c r="N74" s="89" t="s">
        <v>18127</v>
      </c>
      <c r="O74" s="89" t="s">
        <v>18125</v>
      </c>
      <c r="P74" s="89" t="s">
        <v>646</v>
      </c>
      <c r="S74" s="89" t="s">
        <v>646</v>
      </c>
      <c r="U74" s="89" t="s">
        <v>17474</v>
      </c>
      <c r="W74" s="89" t="s">
        <v>646</v>
      </c>
      <c r="X74" s="89" t="s">
        <v>646</v>
      </c>
      <c r="Y74" s="89" t="s">
        <v>18128</v>
      </c>
      <c r="Z74" s="89" t="s">
        <v>18129</v>
      </c>
      <c r="AA74" s="89" t="s">
        <v>18130</v>
      </c>
      <c r="AB74" s="89" t="s">
        <v>646</v>
      </c>
      <c r="AC74" s="89" t="s">
        <v>646</v>
      </c>
      <c r="AD74" s="89" t="s">
        <v>646</v>
      </c>
      <c r="AE74" s="89" t="s">
        <v>646</v>
      </c>
      <c r="AF74" s="89" t="s">
        <v>18131</v>
      </c>
      <c r="AG74" s="89" t="s">
        <v>646</v>
      </c>
      <c r="AH74" s="89" t="s">
        <v>646</v>
      </c>
      <c r="AI74" s="89" t="s">
        <v>646</v>
      </c>
      <c r="AJ74" s="89" t="s">
        <v>646</v>
      </c>
      <c r="AK74" s="89" t="s">
        <v>18132</v>
      </c>
      <c r="AL74" s="89" t="s">
        <v>18133</v>
      </c>
      <c r="AM74" s="89" t="s">
        <v>646</v>
      </c>
      <c r="AN74" s="89" t="s">
        <v>646</v>
      </c>
      <c r="AO74" s="89" t="s">
        <v>646</v>
      </c>
      <c r="AP74" s="89" t="s">
        <v>646</v>
      </c>
      <c r="AQ74" s="89" t="s">
        <v>646</v>
      </c>
      <c r="AR74" s="89" t="s">
        <v>646</v>
      </c>
      <c r="AS74" s="89" t="s">
        <v>646</v>
      </c>
      <c r="AT74" s="89" t="s">
        <v>646</v>
      </c>
      <c r="AU74" s="89" t="s">
        <v>646</v>
      </c>
      <c r="AV74" s="89" t="s">
        <v>646</v>
      </c>
      <c r="AW74" s="89" t="s">
        <v>646</v>
      </c>
      <c r="AX74" s="89" t="s">
        <v>646</v>
      </c>
      <c r="AY74" s="89" t="s">
        <v>18134</v>
      </c>
      <c r="AZ74" s="89" t="s">
        <v>646</v>
      </c>
      <c r="BA74" s="89" t="s">
        <v>18135</v>
      </c>
      <c r="BB74" s="89" t="s">
        <v>646</v>
      </c>
      <c r="BC74" s="89" t="s">
        <v>646</v>
      </c>
      <c r="BD74" s="89" t="s">
        <v>646</v>
      </c>
      <c r="BE74" s="89">
        <v>2016</v>
      </c>
      <c r="BF74" s="89" t="s">
        <v>646</v>
      </c>
      <c r="BG74" s="89" t="s">
        <v>646</v>
      </c>
      <c r="BH74" s="89" t="s">
        <v>646</v>
      </c>
      <c r="BI74" s="89" t="s">
        <v>646</v>
      </c>
      <c r="BJ74" s="89" t="s">
        <v>646</v>
      </c>
      <c r="BK74" s="89" t="s">
        <v>646</v>
      </c>
      <c r="BL74" s="89">
        <v>8032</v>
      </c>
      <c r="BM74" s="89">
        <v>8040</v>
      </c>
      <c r="BN74" s="89" t="s">
        <v>646</v>
      </c>
      <c r="BO74" s="89" t="s">
        <v>646</v>
      </c>
      <c r="BP74" s="89" t="s">
        <v>646</v>
      </c>
      <c r="BQ74" s="89" t="s">
        <v>646</v>
      </c>
      <c r="BR74" s="89" t="s">
        <v>646</v>
      </c>
      <c r="BS74" s="89" t="s">
        <v>646</v>
      </c>
      <c r="BT74" s="89" t="s">
        <v>646</v>
      </c>
      <c r="BU74" s="89" t="s">
        <v>646</v>
      </c>
      <c r="BV74" s="89" t="s">
        <v>646</v>
      </c>
      <c r="BW74" s="89" t="s">
        <v>646</v>
      </c>
      <c r="BX74" s="89" t="s">
        <v>646</v>
      </c>
      <c r="BY74" s="89" t="s">
        <v>646</v>
      </c>
      <c r="BZ74" s="89" t="s">
        <v>646</v>
      </c>
      <c r="CA74" s="89" t="s">
        <v>646</v>
      </c>
      <c r="CB74" s="89" t="s">
        <v>18136</v>
      </c>
      <c r="CC74" s="89" t="str">
        <f>HYPERLINK("https%3A%2F%2Fwww.webofscience.com%2Fwos%2Fwoscc%2Ffull-record%2FWOS:000402738408005","View Full Record in Web of Science")</f>
        <v>View Full Record in Web of Science</v>
      </c>
    </row>
    <row r="75" spans="1:81" ht="13.2" hidden="1" x14ac:dyDescent="0.25">
      <c r="A75" s="89" t="s">
        <v>18137</v>
      </c>
      <c r="B75" s="89" t="e">
        <f>+#REF!</f>
        <v>#REF!</v>
      </c>
      <c r="C75" s="89"/>
      <c r="D75" s="91" t="s">
        <v>17939</v>
      </c>
      <c r="E75" s="90" t="e">
        <v>#REF!</v>
      </c>
      <c r="F75" s="89"/>
      <c r="G75" s="89"/>
      <c r="H75" s="89" t="s">
        <v>646</v>
      </c>
      <c r="I75" s="89" t="s">
        <v>18139</v>
      </c>
      <c r="J75" s="89" t="s">
        <v>18145</v>
      </c>
      <c r="K75" s="89" t="s">
        <v>18144</v>
      </c>
      <c r="M75" s="89">
        <v>2016</v>
      </c>
      <c r="N75" s="89" t="s">
        <v>18140</v>
      </c>
      <c r="O75" s="89" t="s">
        <v>18138</v>
      </c>
      <c r="P75" s="89" t="s">
        <v>646</v>
      </c>
      <c r="S75" s="89" t="s">
        <v>646</v>
      </c>
      <c r="U75" s="89" t="s">
        <v>17474</v>
      </c>
      <c r="W75" s="89" t="s">
        <v>646</v>
      </c>
      <c r="X75" s="89" t="s">
        <v>646</v>
      </c>
      <c r="Y75" s="89" t="s">
        <v>18141</v>
      </c>
      <c r="Z75" s="89" t="s">
        <v>18142</v>
      </c>
      <c r="AA75" s="89" t="s">
        <v>18143</v>
      </c>
      <c r="AB75" s="89" t="s">
        <v>646</v>
      </c>
      <c r="AC75" s="89" t="s">
        <v>646</v>
      </c>
      <c r="AD75" s="89" t="s">
        <v>646</v>
      </c>
      <c r="AE75" s="89" t="s">
        <v>646</v>
      </c>
      <c r="AF75" s="89" t="s">
        <v>18144</v>
      </c>
      <c r="AG75" s="89" t="s">
        <v>646</v>
      </c>
      <c r="AH75" s="89" t="s">
        <v>646</v>
      </c>
      <c r="AI75" s="89" t="s">
        <v>646</v>
      </c>
      <c r="AJ75" s="89" t="s">
        <v>646</v>
      </c>
      <c r="AK75" s="89" t="s">
        <v>18145</v>
      </c>
      <c r="AL75" s="89" t="s">
        <v>18146</v>
      </c>
      <c r="AM75" s="89" t="s">
        <v>646</v>
      </c>
      <c r="AN75" s="89" t="s">
        <v>646</v>
      </c>
      <c r="AO75" s="89" t="s">
        <v>646</v>
      </c>
      <c r="AP75" s="89" t="s">
        <v>646</v>
      </c>
      <c r="AQ75" s="89" t="s">
        <v>646</v>
      </c>
      <c r="AR75" s="89" t="s">
        <v>646</v>
      </c>
      <c r="AS75" s="89" t="s">
        <v>646</v>
      </c>
      <c r="AT75" s="89" t="s">
        <v>646</v>
      </c>
      <c r="AU75" s="89" t="s">
        <v>646</v>
      </c>
      <c r="AV75" s="89" t="s">
        <v>646</v>
      </c>
      <c r="AW75" s="89" t="s">
        <v>646</v>
      </c>
      <c r="AX75" s="89" t="s">
        <v>646</v>
      </c>
      <c r="AY75" s="89" t="s">
        <v>18147</v>
      </c>
      <c r="AZ75" s="89" t="s">
        <v>646</v>
      </c>
      <c r="BA75" s="89" t="s">
        <v>18148</v>
      </c>
      <c r="BB75" s="89" t="s">
        <v>646</v>
      </c>
      <c r="BC75" s="89" t="s">
        <v>646</v>
      </c>
      <c r="BD75" s="89" t="s">
        <v>646</v>
      </c>
      <c r="BE75" s="89">
        <v>2016</v>
      </c>
      <c r="BF75" s="89">
        <v>32</v>
      </c>
      <c r="BG75" s="89" t="s">
        <v>646</v>
      </c>
      <c r="BH75" s="89" t="s">
        <v>646</v>
      </c>
      <c r="BI75" s="89" t="s">
        <v>646</v>
      </c>
      <c r="BJ75" s="89" t="s">
        <v>646</v>
      </c>
      <c r="BK75" s="89" t="s">
        <v>646</v>
      </c>
      <c r="BL75" s="89">
        <v>1487</v>
      </c>
      <c r="BM75" s="89">
        <v>1490</v>
      </c>
      <c r="BN75" s="89" t="s">
        <v>646</v>
      </c>
      <c r="BO75" s="89" t="s">
        <v>646</v>
      </c>
      <c r="BP75" s="89" t="s">
        <v>646</v>
      </c>
      <c r="BQ75" s="89" t="s">
        <v>646</v>
      </c>
      <c r="BR75" s="89" t="s">
        <v>646</v>
      </c>
      <c r="BS75" s="89" t="s">
        <v>646</v>
      </c>
      <c r="BT75" s="89" t="s">
        <v>646</v>
      </c>
      <c r="BU75" s="89" t="s">
        <v>646</v>
      </c>
      <c r="BV75" s="89" t="s">
        <v>646</v>
      </c>
      <c r="BW75" s="89" t="s">
        <v>646</v>
      </c>
      <c r="BX75" s="89" t="s">
        <v>646</v>
      </c>
      <c r="BY75" s="89" t="s">
        <v>646</v>
      </c>
      <c r="BZ75" s="89" t="s">
        <v>646</v>
      </c>
      <c r="CA75" s="89" t="s">
        <v>646</v>
      </c>
      <c r="CB75" s="89" t="s">
        <v>18149</v>
      </c>
      <c r="CC75" s="89" t="str">
        <f>HYPERLINK("https%3A%2F%2Fwww.webofscience.com%2Fwos%2Fwoscc%2Ffull-record%2FWOS:000388457800268","View Full Record in Web of Science")</f>
        <v>View Full Record in Web of Science</v>
      </c>
    </row>
    <row r="76" spans="1:81" ht="13.2" hidden="1" x14ac:dyDescent="0.25">
      <c r="A76" s="89" t="s">
        <v>18150</v>
      </c>
      <c r="B76" s="89" t="e">
        <f>+#REF!</f>
        <v>#REF!</v>
      </c>
      <c r="C76" s="89"/>
      <c r="D76" s="91" t="s">
        <v>17939</v>
      </c>
      <c r="E76" s="90" t="e">
        <v>#REF!</v>
      </c>
      <c r="F76" s="89"/>
      <c r="G76" s="89"/>
      <c r="H76" s="89" t="s">
        <v>18151</v>
      </c>
      <c r="I76" s="89" t="s">
        <v>18152</v>
      </c>
      <c r="J76" s="89" t="s">
        <v>18155</v>
      </c>
      <c r="K76" s="89" t="s">
        <v>18154</v>
      </c>
      <c r="M76" s="89">
        <v>2017</v>
      </c>
      <c r="N76" s="89" t="s">
        <v>18153</v>
      </c>
      <c r="O76" s="89" t="s">
        <v>646</v>
      </c>
      <c r="P76" s="89" t="str">
        <f>HYPERLINK("http://dx.doi.org/10.4149/cai_2017_3_517","http://dx.doi.org/10.4149/cai_2017_3_517")</f>
        <v>http://dx.doi.org/10.4149/cai_2017_3_517</v>
      </c>
      <c r="S76" s="89" t="s">
        <v>646</v>
      </c>
      <c r="U76" s="89" t="s">
        <v>17462</v>
      </c>
      <c r="W76" s="89" t="s">
        <v>646</v>
      </c>
      <c r="X76" s="89" t="s">
        <v>646</v>
      </c>
      <c r="Y76" s="89" t="s">
        <v>646</v>
      </c>
      <c r="Z76" s="89" t="s">
        <v>646</v>
      </c>
      <c r="AA76" s="89" t="s">
        <v>646</v>
      </c>
      <c r="AB76" s="89" t="s">
        <v>646</v>
      </c>
      <c r="AC76" s="89" t="s">
        <v>646</v>
      </c>
      <c r="AD76" s="89" t="s">
        <v>646</v>
      </c>
      <c r="AE76" s="89" t="s">
        <v>646</v>
      </c>
      <c r="AF76" s="89" t="s">
        <v>18154</v>
      </c>
      <c r="AG76" s="89" t="s">
        <v>646</v>
      </c>
      <c r="AH76" s="89" t="s">
        <v>646</v>
      </c>
      <c r="AI76" s="89" t="s">
        <v>646</v>
      </c>
      <c r="AJ76" s="89" t="s">
        <v>646</v>
      </c>
      <c r="AK76" s="89" t="s">
        <v>18155</v>
      </c>
      <c r="AL76" s="89" t="s">
        <v>18156</v>
      </c>
      <c r="AM76" s="89" t="s">
        <v>646</v>
      </c>
      <c r="AN76" s="89" t="s">
        <v>646</v>
      </c>
      <c r="AO76" s="89" t="s">
        <v>646</v>
      </c>
      <c r="AP76" s="89" t="s">
        <v>646</v>
      </c>
      <c r="AQ76" s="89" t="s">
        <v>646</v>
      </c>
      <c r="AR76" s="89" t="s">
        <v>646</v>
      </c>
      <c r="AS76" s="89" t="s">
        <v>646</v>
      </c>
      <c r="AT76" s="89" t="s">
        <v>646</v>
      </c>
      <c r="AU76" s="89" t="s">
        <v>646</v>
      </c>
      <c r="AV76" s="89" t="s">
        <v>646</v>
      </c>
      <c r="AW76" s="89" t="s">
        <v>646</v>
      </c>
      <c r="AX76" s="89" t="s">
        <v>646</v>
      </c>
      <c r="AY76" s="89" t="s">
        <v>18157</v>
      </c>
      <c r="AZ76" s="89" t="s">
        <v>646</v>
      </c>
      <c r="BA76" s="89" t="s">
        <v>646</v>
      </c>
      <c r="BB76" s="89" t="s">
        <v>646</v>
      </c>
      <c r="BC76" s="89" t="s">
        <v>646</v>
      </c>
      <c r="BD76" s="89" t="s">
        <v>646</v>
      </c>
      <c r="BE76" s="89">
        <v>2017</v>
      </c>
      <c r="BF76" s="89">
        <v>36</v>
      </c>
      <c r="BG76" s="89">
        <v>3</v>
      </c>
      <c r="BH76" s="89" t="s">
        <v>646</v>
      </c>
      <c r="BI76" s="89" t="s">
        <v>646</v>
      </c>
      <c r="BJ76" s="89" t="s">
        <v>646</v>
      </c>
      <c r="BK76" s="89" t="s">
        <v>646</v>
      </c>
      <c r="BL76" s="89">
        <v>517</v>
      </c>
      <c r="BM76" s="89">
        <v>540</v>
      </c>
      <c r="BN76" s="89" t="s">
        <v>646</v>
      </c>
      <c r="BO76" s="89" t="str">
        <f>HYPERLINK("http://dx.doi.org/10.4149/cai_2017_3_517","http://dx.doi.org/10.4149/cai_2017_3_517")</f>
        <v>http://dx.doi.org/10.4149/cai_2017_3_517</v>
      </c>
      <c r="BP76" s="89" t="s">
        <v>646</v>
      </c>
      <c r="BQ76" s="89" t="s">
        <v>646</v>
      </c>
      <c r="BR76" s="89" t="s">
        <v>646</v>
      </c>
      <c r="BS76" s="89" t="s">
        <v>646</v>
      </c>
      <c r="BT76" s="89" t="s">
        <v>646</v>
      </c>
      <c r="BU76" s="89" t="s">
        <v>646</v>
      </c>
      <c r="BV76" s="89" t="s">
        <v>646</v>
      </c>
      <c r="BW76" s="89" t="s">
        <v>646</v>
      </c>
      <c r="BX76" s="89" t="s">
        <v>646</v>
      </c>
      <c r="BY76" s="89" t="s">
        <v>646</v>
      </c>
      <c r="BZ76" s="89" t="s">
        <v>646</v>
      </c>
      <c r="CA76" s="89" t="s">
        <v>646</v>
      </c>
      <c r="CB76" s="89" t="s">
        <v>18158</v>
      </c>
      <c r="CC76" s="89" t="str">
        <f>HYPERLINK("https%3A%2F%2Fwww.webofscience.com%2Fwos%2Fwoscc%2Ffull-record%2FWOS:000404850000002","View Full Record in Web of Science")</f>
        <v>View Full Record in Web of Science</v>
      </c>
    </row>
    <row r="77" spans="1:81" ht="13.2" hidden="1" x14ac:dyDescent="0.25">
      <c r="A77" s="89" t="s">
        <v>1125</v>
      </c>
      <c r="B77" s="89" t="e">
        <f>+#REF!</f>
        <v>#REF!</v>
      </c>
      <c r="C77" s="89"/>
      <c r="D77" s="91" t="s">
        <v>17939</v>
      </c>
      <c r="E77" s="90" t="e">
        <v>#REF!</v>
      </c>
      <c r="F77" s="89"/>
      <c r="G77" s="89"/>
      <c r="H77" s="89" t="s">
        <v>646</v>
      </c>
      <c r="I77" s="89" t="s">
        <v>18159</v>
      </c>
      <c r="J77" s="89" t="s">
        <v>646</v>
      </c>
      <c r="K77" s="89" t="s">
        <v>18166</v>
      </c>
      <c r="M77" s="89">
        <v>1999</v>
      </c>
      <c r="N77" s="89" t="s">
        <v>18161</v>
      </c>
      <c r="O77" s="89" t="s">
        <v>18160</v>
      </c>
      <c r="P77" s="89" t="s">
        <v>646</v>
      </c>
      <c r="S77" s="89" t="s">
        <v>646</v>
      </c>
      <c r="U77" s="89" t="s">
        <v>17474</v>
      </c>
      <c r="W77" s="89" t="s">
        <v>646</v>
      </c>
      <c r="X77" s="89" t="s">
        <v>646</v>
      </c>
      <c r="Y77" s="89" t="s">
        <v>18162</v>
      </c>
      <c r="Z77" s="89" t="s">
        <v>18163</v>
      </c>
      <c r="AA77" s="89" t="s">
        <v>18164</v>
      </c>
      <c r="AB77" s="89" t="s">
        <v>18165</v>
      </c>
      <c r="AC77" s="89" t="s">
        <v>646</v>
      </c>
      <c r="AD77" s="89" t="s">
        <v>646</v>
      </c>
      <c r="AE77" s="89" t="s">
        <v>646</v>
      </c>
      <c r="AF77" s="89" t="s">
        <v>18166</v>
      </c>
      <c r="AG77" s="89" t="s">
        <v>646</v>
      </c>
      <c r="AH77" s="89" t="s">
        <v>646</v>
      </c>
      <c r="AI77" s="89" t="s">
        <v>646</v>
      </c>
      <c r="AJ77" s="89" t="s">
        <v>646</v>
      </c>
      <c r="AK77" s="89" t="s">
        <v>646</v>
      </c>
      <c r="AL77" s="89" t="s">
        <v>646</v>
      </c>
      <c r="AM77" s="89" t="s">
        <v>646</v>
      </c>
      <c r="AN77" s="89" t="s">
        <v>646</v>
      </c>
      <c r="AO77" s="89" t="s">
        <v>646</v>
      </c>
      <c r="AP77" s="89" t="s">
        <v>646</v>
      </c>
      <c r="AQ77" s="89" t="s">
        <v>646</v>
      </c>
      <c r="AR77" s="89" t="s">
        <v>646</v>
      </c>
      <c r="AS77" s="89" t="s">
        <v>646</v>
      </c>
      <c r="AT77" s="89" t="s">
        <v>646</v>
      </c>
      <c r="AU77" s="89" t="s">
        <v>646</v>
      </c>
      <c r="AV77" s="89" t="s">
        <v>646</v>
      </c>
      <c r="AW77" s="89" t="s">
        <v>646</v>
      </c>
      <c r="AX77" s="89" t="s">
        <v>646</v>
      </c>
      <c r="AY77" s="89" t="s">
        <v>646</v>
      </c>
      <c r="AZ77" s="89" t="s">
        <v>646</v>
      </c>
      <c r="BA77" s="89" t="s">
        <v>646</v>
      </c>
      <c r="BB77" s="89" t="s">
        <v>646</v>
      </c>
      <c r="BC77" s="89" t="s">
        <v>646</v>
      </c>
      <c r="BD77" s="89" t="s">
        <v>646</v>
      </c>
      <c r="BE77" s="89">
        <v>1999</v>
      </c>
      <c r="BF77" s="89" t="s">
        <v>646</v>
      </c>
      <c r="BG77" s="89" t="s">
        <v>646</v>
      </c>
      <c r="BH77" s="89" t="s">
        <v>646</v>
      </c>
      <c r="BI77" s="89" t="s">
        <v>646</v>
      </c>
      <c r="BJ77" s="89" t="s">
        <v>646</v>
      </c>
      <c r="BK77" s="89" t="s">
        <v>646</v>
      </c>
      <c r="BL77" s="89">
        <v>301</v>
      </c>
      <c r="BM77" s="89">
        <v>303</v>
      </c>
      <c r="BN77" s="89" t="s">
        <v>646</v>
      </c>
      <c r="BO77" s="89" t="s">
        <v>646</v>
      </c>
      <c r="BP77" s="89" t="s">
        <v>646</v>
      </c>
      <c r="BQ77" s="89" t="s">
        <v>646</v>
      </c>
      <c r="BR77" s="89" t="s">
        <v>646</v>
      </c>
      <c r="BS77" s="89" t="s">
        <v>646</v>
      </c>
      <c r="BT77" s="89" t="s">
        <v>646</v>
      </c>
      <c r="BU77" s="89" t="s">
        <v>646</v>
      </c>
      <c r="BV77" s="89" t="s">
        <v>646</v>
      </c>
      <c r="BW77" s="89" t="s">
        <v>646</v>
      </c>
      <c r="BX77" s="89" t="s">
        <v>646</v>
      </c>
      <c r="BY77" s="89" t="s">
        <v>646</v>
      </c>
      <c r="BZ77" s="89" t="s">
        <v>646</v>
      </c>
      <c r="CA77" s="89" t="s">
        <v>646</v>
      </c>
      <c r="CB77" s="89" t="s">
        <v>18167</v>
      </c>
      <c r="CC77" s="89" t="str">
        <f>HYPERLINK("https%3A%2F%2Fwww.webofscience.com%2Fwos%2Fwoscc%2Ffull-record%2FWOS:000086012100106","View Full Record in Web of Science")</f>
        <v>View Full Record in Web of Science</v>
      </c>
    </row>
    <row r="78" spans="1:81" ht="13.2" hidden="1" x14ac:dyDescent="0.25">
      <c r="A78" s="89" t="s">
        <v>18168</v>
      </c>
      <c r="B78" s="89" t="e">
        <f>+#REF!</f>
        <v>#REF!</v>
      </c>
      <c r="C78" s="89"/>
      <c r="D78" s="91" t="s">
        <v>17939</v>
      </c>
      <c r="E78" s="90" t="e">
        <v>#REF!</v>
      </c>
      <c r="F78" s="89"/>
      <c r="G78" s="89"/>
      <c r="H78" s="89" t="s">
        <v>18169</v>
      </c>
      <c r="I78" s="89" t="s">
        <v>18170</v>
      </c>
      <c r="J78" s="89" t="s">
        <v>18172</v>
      </c>
      <c r="K78" s="89" t="s">
        <v>18171</v>
      </c>
      <c r="M78" s="89">
        <v>2019</v>
      </c>
      <c r="N78" s="89" t="s">
        <v>18004</v>
      </c>
      <c r="O78" s="89" t="s">
        <v>646</v>
      </c>
      <c r="P78" s="89" t="str">
        <f>HYPERLINK("http://dx.doi.org/10.7717/peerj.8339","http://dx.doi.org/10.7717/peerj.8339")</f>
        <v>http://dx.doi.org/10.7717/peerj.8339</v>
      </c>
      <c r="S78" s="89" t="s">
        <v>646</v>
      </c>
      <c r="U78" s="89" t="s">
        <v>17462</v>
      </c>
      <c r="W78" s="89" t="s">
        <v>646</v>
      </c>
      <c r="X78" s="89" t="s">
        <v>646</v>
      </c>
      <c r="Y78" s="89" t="s">
        <v>646</v>
      </c>
      <c r="Z78" s="89" t="s">
        <v>646</v>
      </c>
      <c r="AA78" s="89" t="s">
        <v>646</v>
      </c>
      <c r="AB78" s="89" t="s">
        <v>646</v>
      </c>
      <c r="AC78" s="89" t="s">
        <v>646</v>
      </c>
      <c r="AD78" s="89" t="s">
        <v>646</v>
      </c>
      <c r="AE78" s="89" t="s">
        <v>646</v>
      </c>
      <c r="AF78" s="89" t="s">
        <v>18171</v>
      </c>
      <c r="AG78" s="89" t="s">
        <v>646</v>
      </c>
      <c r="AH78" s="89" t="s">
        <v>646</v>
      </c>
      <c r="AI78" s="89" t="s">
        <v>646</v>
      </c>
      <c r="AJ78" s="89" t="s">
        <v>646</v>
      </c>
      <c r="AK78" s="89" t="s">
        <v>18172</v>
      </c>
      <c r="AL78" s="89" t="s">
        <v>18173</v>
      </c>
      <c r="AM78" s="89" t="s">
        <v>646</v>
      </c>
      <c r="AN78" s="89" t="s">
        <v>646</v>
      </c>
      <c r="AO78" s="89" t="s">
        <v>646</v>
      </c>
      <c r="AP78" s="89" t="s">
        <v>646</v>
      </c>
      <c r="AQ78" s="89" t="s">
        <v>646</v>
      </c>
      <c r="AR78" s="89" t="s">
        <v>646</v>
      </c>
      <c r="AS78" s="89" t="s">
        <v>646</v>
      </c>
      <c r="AT78" s="89" t="s">
        <v>646</v>
      </c>
      <c r="AU78" s="89" t="s">
        <v>646</v>
      </c>
      <c r="AV78" s="89" t="s">
        <v>646</v>
      </c>
      <c r="AW78" s="89" t="s">
        <v>646</v>
      </c>
      <c r="AX78" s="89" t="s">
        <v>646</v>
      </c>
      <c r="AY78" s="89" t="s">
        <v>18006</v>
      </c>
      <c r="AZ78" s="89" t="s">
        <v>646</v>
      </c>
      <c r="BA78" s="89" t="s">
        <v>646</v>
      </c>
      <c r="BB78" s="89" t="s">
        <v>646</v>
      </c>
      <c r="BC78" s="89" t="s">
        <v>646</v>
      </c>
      <c r="BD78" s="89" t="s">
        <v>18174</v>
      </c>
      <c r="BE78" s="89">
        <v>2019</v>
      </c>
      <c r="BF78" s="89">
        <v>7</v>
      </c>
      <c r="BG78" s="89" t="s">
        <v>646</v>
      </c>
      <c r="BH78" s="89" t="s">
        <v>646</v>
      </c>
      <c r="BI78" s="89" t="s">
        <v>646</v>
      </c>
      <c r="BJ78" s="89" t="s">
        <v>646</v>
      </c>
      <c r="BK78" s="89" t="s">
        <v>646</v>
      </c>
      <c r="BL78" s="89" t="s">
        <v>646</v>
      </c>
      <c r="BM78" s="89" t="s">
        <v>646</v>
      </c>
      <c r="BN78" s="89" t="s">
        <v>18175</v>
      </c>
      <c r="BO78" s="89" t="str">
        <f>HYPERLINK("http://dx.doi.org/10.7717/peerj.8339","http://dx.doi.org/10.7717/peerj.8339")</f>
        <v>http://dx.doi.org/10.7717/peerj.8339</v>
      </c>
      <c r="BP78" s="89" t="s">
        <v>646</v>
      </c>
      <c r="BQ78" s="89" t="s">
        <v>646</v>
      </c>
      <c r="BR78" s="89" t="s">
        <v>646</v>
      </c>
      <c r="BS78" s="89" t="s">
        <v>646</v>
      </c>
      <c r="BT78" s="89" t="s">
        <v>646</v>
      </c>
      <c r="BU78" s="89" t="s">
        <v>646</v>
      </c>
      <c r="BV78" s="89" t="s">
        <v>646</v>
      </c>
      <c r="BW78" s="89">
        <v>31875164</v>
      </c>
      <c r="BX78" s="89" t="s">
        <v>646</v>
      </c>
      <c r="BY78" s="89" t="s">
        <v>646</v>
      </c>
      <c r="BZ78" s="89" t="s">
        <v>646</v>
      </c>
      <c r="CA78" s="89" t="s">
        <v>646</v>
      </c>
      <c r="CB78" s="89" t="s">
        <v>18176</v>
      </c>
      <c r="CC78" s="89" t="str">
        <f>HYPERLINK("https%3A%2F%2Fwww.webofscience.com%2Fwos%2Fwoscc%2Ffull-record%2FWOS:000503805000018","View Full Record in Web of Science")</f>
        <v>View Full Record in Web of Science</v>
      </c>
    </row>
    <row r="79" spans="1:81" ht="13.2" hidden="1" x14ac:dyDescent="0.25">
      <c r="A79" s="89" t="s">
        <v>18177</v>
      </c>
      <c r="B79" s="89" t="e">
        <f>+#REF!</f>
        <v>#REF!</v>
      </c>
      <c r="C79" s="89"/>
      <c r="D79" s="91" t="s">
        <v>17939</v>
      </c>
      <c r="E79" s="90" t="e">
        <v>#REF!</v>
      </c>
      <c r="F79" s="89"/>
      <c r="G79" s="89"/>
      <c r="H79" s="89" t="s">
        <v>18178</v>
      </c>
      <c r="I79" s="89" t="s">
        <v>18179</v>
      </c>
      <c r="J79" s="89" t="s">
        <v>646</v>
      </c>
      <c r="K79" s="89" t="s">
        <v>18181</v>
      </c>
      <c r="M79" s="89">
        <v>1993</v>
      </c>
      <c r="N79" s="89" t="s">
        <v>18180</v>
      </c>
      <c r="O79" s="89" t="s">
        <v>646</v>
      </c>
      <c r="P79" s="89" t="str">
        <f>HYPERLINK("http://dx.doi.org/10.2307/2393411","http://dx.doi.org/10.2307/2393411")</f>
        <v>http://dx.doi.org/10.2307/2393411</v>
      </c>
      <c r="S79" s="89" t="s">
        <v>646</v>
      </c>
      <c r="U79" s="89" t="s">
        <v>17462</v>
      </c>
      <c r="W79" s="89" t="s">
        <v>646</v>
      </c>
      <c r="X79" s="89" t="s">
        <v>646</v>
      </c>
      <c r="Y79" s="89" t="s">
        <v>646</v>
      </c>
      <c r="Z79" s="89" t="s">
        <v>646</v>
      </c>
      <c r="AA79" s="89" t="s">
        <v>646</v>
      </c>
      <c r="AB79" s="89" t="s">
        <v>646</v>
      </c>
      <c r="AC79" s="89" t="s">
        <v>646</v>
      </c>
      <c r="AD79" s="89" t="s">
        <v>646</v>
      </c>
      <c r="AE79" s="89" t="s">
        <v>646</v>
      </c>
      <c r="AF79" s="89" t="s">
        <v>18181</v>
      </c>
      <c r="AG79" s="89" t="s">
        <v>646</v>
      </c>
      <c r="AH79" s="89" t="s">
        <v>646</v>
      </c>
      <c r="AI79" s="89" t="s">
        <v>646</v>
      </c>
      <c r="AJ79" s="89" t="s">
        <v>646</v>
      </c>
      <c r="AK79" s="89" t="s">
        <v>646</v>
      </c>
      <c r="AL79" s="89" t="s">
        <v>646</v>
      </c>
      <c r="AM79" s="89" t="s">
        <v>646</v>
      </c>
      <c r="AN79" s="89" t="s">
        <v>646</v>
      </c>
      <c r="AO79" s="89" t="s">
        <v>646</v>
      </c>
      <c r="AP79" s="89" t="s">
        <v>646</v>
      </c>
      <c r="AQ79" s="89" t="s">
        <v>646</v>
      </c>
      <c r="AR79" s="89" t="s">
        <v>646</v>
      </c>
      <c r="AS79" s="89" t="s">
        <v>646</v>
      </c>
      <c r="AT79" s="89" t="s">
        <v>646</v>
      </c>
      <c r="AU79" s="89" t="s">
        <v>646</v>
      </c>
      <c r="AV79" s="89" t="s">
        <v>646</v>
      </c>
      <c r="AW79" s="89" t="s">
        <v>646</v>
      </c>
      <c r="AX79" s="89" t="s">
        <v>646</v>
      </c>
      <c r="AY79" s="89" t="s">
        <v>18182</v>
      </c>
      <c r="AZ79" s="89" t="s">
        <v>646</v>
      </c>
      <c r="BA79" s="89" t="s">
        <v>646</v>
      </c>
      <c r="BB79" s="89" t="s">
        <v>646</v>
      </c>
      <c r="BC79" s="89" t="s">
        <v>646</v>
      </c>
      <c r="BD79" s="89" t="s">
        <v>17772</v>
      </c>
      <c r="BE79" s="89">
        <v>1993</v>
      </c>
      <c r="BF79" s="89">
        <v>38</v>
      </c>
      <c r="BG79" s="89">
        <v>2</v>
      </c>
      <c r="BH79" s="89" t="s">
        <v>646</v>
      </c>
      <c r="BI79" s="89" t="s">
        <v>646</v>
      </c>
      <c r="BJ79" s="89" t="s">
        <v>646</v>
      </c>
      <c r="BK79" s="89" t="s">
        <v>646</v>
      </c>
      <c r="BL79" s="89">
        <v>195</v>
      </c>
      <c r="BM79" s="89">
        <v>223</v>
      </c>
      <c r="BN79" s="89" t="s">
        <v>646</v>
      </c>
      <c r="BO79" s="89" t="str">
        <f>HYPERLINK("http://dx.doi.org/10.2307/2393411","http://dx.doi.org/10.2307/2393411")</f>
        <v>http://dx.doi.org/10.2307/2393411</v>
      </c>
      <c r="BP79" s="89" t="s">
        <v>646</v>
      </c>
      <c r="BQ79" s="89" t="s">
        <v>646</v>
      </c>
      <c r="BR79" s="89" t="s">
        <v>646</v>
      </c>
      <c r="BS79" s="89" t="s">
        <v>646</v>
      </c>
      <c r="BT79" s="89" t="s">
        <v>646</v>
      </c>
      <c r="BU79" s="89" t="s">
        <v>646</v>
      </c>
      <c r="BV79" s="89" t="s">
        <v>646</v>
      </c>
      <c r="BW79" s="89" t="s">
        <v>646</v>
      </c>
      <c r="BX79" s="89" t="s">
        <v>646</v>
      </c>
      <c r="BY79" s="89" t="s">
        <v>646</v>
      </c>
      <c r="BZ79" s="89" t="s">
        <v>646</v>
      </c>
      <c r="CA79" s="89" t="s">
        <v>646</v>
      </c>
      <c r="CB79" s="89" t="s">
        <v>18183</v>
      </c>
      <c r="CC79" s="89" t="str">
        <f>HYPERLINK("https%3A%2F%2Fwww.webofscience.com%2Fwos%2Fwoscc%2Ffull-record%2FWOS:A1993LJ03100002","View Full Record in Web of Science")</f>
        <v>View Full Record in Web of Science</v>
      </c>
    </row>
    <row r="80" spans="1:81" ht="13.2" hidden="1" x14ac:dyDescent="0.25">
      <c r="A80" s="89" t="s">
        <v>18184</v>
      </c>
      <c r="B80" s="89" t="e">
        <f>+#REF!</f>
        <v>#REF!</v>
      </c>
      <c r="C80" s="89"/>
      <c r="D80" s="91" t="s">
        <v>17939</v>
      </c>
      <c r="E80" s="90" t="e">
        <v>#REF!</v>
      </c>
      <c r="F80" s="89"/>
      <c r="G80" s="89"/>
      <c r="H80" s="89" t="s">
        <v>646</v>
      </c>
      <c r="I80" s="89" t="s">
        <v>18185</v>
      </c>
      <c r="J80" s="89" t="s">
        <v>646</v>
      </c>
      <c r="K80" s="89" t="s">
        <v>18187</v>
      </c>
      <c r="M80" s="89">
        <v>2019</v>
      </c>
      <c r="N80" s="89" t="s">
        <v>18186</v>
      </c>
      <c r="O80" s="89" t="s">
        <v>646</v>
      </c>
      <c r="P80" s="89" t="s">
        <v>646</v>
      </c>
      <c r="S80" s="89" t="s">
        <v>646</v>
      </c>
      <c r="U80" s="89" t="s">
        <v>17462</v>
      </c>
      <c r="W80" s="89" t="s">
        <v>646</v>
      </c>
      <c r="X80" s="89" t="s">
        <v>646</v>
      </c>
      <c r="Y80" s="89" t="s">
        <v>646</v>
      </c>
      <c r="Z80" s="89" t="s">
        <v>646</v>
      </c>
      <c r="AA80" s="89" t="s">
        <v>646</v>
      </c>
      <c r="AB80" s="89" t="s">
        <v>646</v>
      </c>
      <c r="AC80" s="89" t="s">
        <v>646</v>
      </c>
      <c r="AD80" s="89" t="s">
        <v>646</v>
      </c>
      <c r="AE80" s="89" t="s">
        <v>646</v>
      </c>
      <c r="AF80" s="89" t="s">
        <v>18187</v>
      </c>
      <c r="AG80" s="89" t="s">
        <v>646</v>
      </c>
      <c r="AH80" s="89" t="s">
        <v>646</v>
      </c>
      <c r="AI80" s="89" t="s">
        <v>646</v>
      </c>
      <c r="AJ80" s="89" t="s">
        <v>646</v>
      </c>
      <c r="AK80" s="89" t="s">
        <v>646</v>
      </c>
      <c r="AL80" s="89" t="s">
        <v>646</v>
      </c>
      <c r="AM80" s="89" t="s">
        <v>646</v>
      </c>
      <c r="AN80" s="89" t="s">
        <v>646</v>
      </c>
      <c r="AO80" s="89" t="s">
        <v>646</v>
      </c>
      <c r="AP80" s="89" t="s">
        <v>646</v>
      </c>
      <c r="AQ80" s="89" t="s">
        <v>646</v>
      </c>
      <c r="AR80" s="89" t="s">
        <v>646</v>
      </c>
      <c r="AS80" s="89" t="s">
        <v>646</v>
      </c>
      <c r="AT80" s="89" t="s">
        <v>646</v>
      </c>
      <c r="AU80" s="89" t="s">
        <v>646</v>
      </c>
      <c r="AV80" s="89" t="s">
        <v>646</v>
      </c>
      <c r="AW80" s="89" t="s">
        <v>646</v>
      </c>
      <c r="AX80" s="89" t="s">
        <v>646</v>
      </c>
      <c r="AY80" s="89" t="s">
        <v>18188</v>
      </c>
      <c r="AZ80" s="89" t="s">
        <v>646</v>
      </c>
      <c r="BA80" s="89" t="s">
        <v>646</v>
      </c>
      <c r="BB80" s="89" t="s">
        <v>646</v>
      </c>
      <c r="BC80" s="89" t="s">
        <v>646</v>
      </c>
      <c r="BD80" s="89" t="s">
        <v>17772</v>
      </c>
      <c r="BE80" s="89">
        <v>2019</v>
      </c>
      <c r="BF80" s="89">
        <v>45</v>
      </c>
      <c r="BG80" s="89">
        <v>1</v>
      </c>
      <c r="BH80" s="89" t="s">
        <v>646</v>
      </c>
      <c r="BI80" s="89" t="s">
        <v>646</v>
      </c>
      <c r="BJ80" s="89" t="s">
        <v>646</v>
      </c>
      <c r="BK80" s="89" t="s">
        <v>646</v>
      </c>
      <c r="BL80" s="89">
        <v>158</v>
      </c>
      <c r="BM80" s="89">
        <v>182</v>
      </c>
      <c r="BN80" s="89" t="s">
        <v>646</v>
      </c>
      <c r="BO80" s="89" t="s">
        <v>646</v>
      </c>
      <c r="BP80" s="89" t="s">
        <v>646</v>
      </c>
      <c r="BQ80" s="89" t="s">
        <v>646</v>
      </c>
      <c r="BR80" s="89" t="s">
        <v>646</v>
      </c>
      <c r="BS80" s="89" t="s">
        <v>646</v>
      </c>
      <c r="BT80" s="89" t="s">
        <v>646</v>
      </c>
      <c r="BU80" s="89" t="s">
        <v>646</v>
      </c>
      <c r="BV80" s="89" t="s">
        <v>646</v>
      </c>
      <c r="BW80" s="89" t="s">
        <v>646</v>
      </c>
      <c r="BX80" s="89" t="s">
        <v>646</v>
      </c>
      <c r="BY80" s="89" t="s">
        <v>646</v>
      </c>
      <c r="BZ80" s="89" t="s">
        <v>646</v>
      </c>
      <c r="CA80" s="89" t="s">
        <v>646</v>
      </c>
      <c r="CB80" s="89" t="s">
        <v>18189</v>
      </c>
      <c r="CC80" s="89" t="str">
        <f>HYPERLINK("https%3A%2F%2Fwww.webofscience.com%2Fwos%2Fwoscc%2Ffull-record%2FWOS:000472828600006","View Full Record in Web of Science")</f>
        <v>View Full Record in Web of Science</v>
      </c>
    </row>
    <row r="81" spans="1:81" ht="13.2" hidden="1" x14ac:dyDescent="0.25">
      <c r="A81" s="89" t="s">
        <v>18190</v>
      </c>
      <c r="B81" s="89" t="e">
        <f>+#REF!</f>
        <v>#REF!</v>
      </c>
      <c r="C81" s="89"/>
      <c r="D81" s="91" t="s">
        <v>17939</v>
      </c>
      <c r="E81" s="90" t="e">
        <v>#REF!</v>
      </c>
      <c r="F81" s="89"/>
      <c r="G81" s="89"/>
      <c r="H81" s="89" t="s">
        <v>646</v>
      </c>
      <c r="I81" s="89" t="s">
        <v>18192</v>
      </c>
      <c r="J81" s="89" t="s">
        <v>646</v>
      </c>
      <c r="K81" s="89" t="s">
        <v>18198</v>
      </c>
      <c r="M81" s="89">
        <v>2019</v>
      </c>
      <c r="N81" s="89" t="s">
        <v>18193</v>
      </c>
      <c r="O81" s="89" t="s">
        <v>18191</v>
      </c>
      <c r="P81" s="89" t="s">
        <v>646</v>
      </c>
      <c r="S81" s="89" t="s">
        <v>646</v>
      </c>
      <c r="U81" s="89" t="s">
        <v>17474</v>
      </c>
      <c r="W81" s="89" t="s">
        <v>646</v>
      </c>
      <c r="X81" s="89" t="s">
        <v>646</v>
      </c>
      <c r="Y81" s="89" t="s">
        <v>18194</v>
      </c>
      <c r="Z81" s="89" t="s">
        <v>18195</v>
      </c>
      <c r="AA81" s="89" t="s">
        <v>18196</v>
      </c>
      <c r="AB81" s="89" t="s">
        <v>646</v>
      </c>
      <c r="AC81" s="89" t="s">
        <v>18197</v>
      </c>
      <c r="AD81" s="89" t="s">
        <v>646</v>
      </c>
      <c r="AE81" s="89" t="s">
        <v>646</v>
      </c>
      <c r="AF81" s="89" t="s">
        <v>18198</v>
      </c>
      <c r="AG81" s="89" t="s">
        <v>646</v>
      </c>
      <c r="AH81" s="89" t="s">
        <v>646</v>
      </c>
      <c r="AI81" s="89" t="s">
        <v>646</v>
      </c>
      <c r="AJ81" s="89" t="s">
        <v>646</v>
      </c>
      <c r="AK81" s="89" t="s">
        <v>646</v>
      </c>
      <c r="AL81" s="89" t="s">
        <v>646</v>
      </c>
      <c r="AM81" s="89" t="s">
        <v>646</v>
      </c>
      <c r="AN81" s="89" t="s">
        <v>646</v>
      </c>
      <c r="AO81" s="89" t="s">
        <v>646</v>
      </c>
      <c r="AP81" s="89" t="s">
        <v>646</v>
      </c>
      <c r="AQ81" s="89" t="s">
        <v>646</v>
      </c>
      <c r="AR81" s="89" t="s">
        <v>646</v>
      </c>
      <c r="AS81" s="89" t="s">
        <v>646</v>
      </c>
      <c r="AT81" s="89" t="s">
        <v>646</v>
      </c>
      <c r="AU81" s="89" t="s">
        <v>646</v>
      </c>
      <c r="AV81" s="89" t="s">
        <v>646</v>
      </c>
      <c r="AW81" s="89" t="s">
        <v>646</v>
      </c>
      <c r="AX81" s="89" t="s">
        <v>646</v>
      </c>
      <c r="AY81" s="89" t="s">
        <v>646</v>
      </c>
      <c r="AZ81" s="89" t="s">
        <v>646</v>
      </c>
      <c r="BA81" s="89" t="s">
        <v>18199</v>
      </c>
      <c r="BB81" s="89" t="s">
        <v>646</v>
      </c>
      <c r="BC81" s="89" t="s">
        <v>646</v>
      </c>
      <c r="BD81" s="89" t="s">
        <v>646</v>
      </c>
      <c r="BE81" s="89">
        <v>2019</v>
      </c>
      <c r="BF81" s="89" t="s">
        <v>646</v>
      </c>
      <c r="BG81" s="89" t="s">
        <v>646</v>
      </c>
      <c r="BH81" s="89" t="s">
        <v>646</v>
      </c>
      <c r="BI81" s="89" t="s">
        <v>646</v>
      </c>
      <c r="BJ81" s="89" t="s">
        <v>646</v>
      </c>
      <c r="BK81" s="89" t="s">
        <v>646</v>
      </c>
      <c r="BL81" s="89">
        <v>253</v>
      </c>
      <c r="BM81" s="89">
        <v>260</v>
      </c>
      <c r="BN81" s="89" t="s">
        <v>646</v>
      </c>
      <c r="BO81" s="89" t="s">
        <v>646</v>
      </c>
      <c r="BP81" s="89" t="s">
        <v>646</v>
      </c>
      <c r="BQ81" s="89" t="s">
        <v>646</v>
      </c>
      <c r="BR81" s="89" t="s">
        <v>646</v>
      </c>
      <c r="BS81" s="89" t="s">
        <v>646</v>
      </c>
      <c r="BT81" s="89" t="s">
        <v>646</v>
      </c>
      <c r="BU81" s="89" t="s">
        <v>646</v>
      </c>
      <c r="BV81" s="89" t="s">
        <v>646</v>
      </c>
      <c r="BW81" s="89" t="s">
        <v>646</v>
      </c>
      <c r="BX81" s="89" t="s">
        <v>646</v>
      </c>
      <c r="BY81" s="89" t="s">
        <v>646</v>
      </c>
      <c r="BZ81" s="89" t="s">
        <v>646</v>
      </c>
      <c r="CA81" s="89" t="s">
        <v>646</v>
      </c>
      <c r="CB81" s="89" t="s">
        <v>18200</v>
      </c>
      <c r="CC81" s="89" t="str">
        <f>HYPERLINK("https%3A%2F%2Fwww.webofscience.com%2Fwos%2Fwoscc%2Ffull-record%2FWOS:000471634700033","View Full Record in Web of Science")</f>
        <v>View Full Record in Web of Science</v>
      </c>
    </row>
    <row r="82" spans="1:81" ht="13.2" hidden="1" x14ac:dyDescent="0.25">
      <c r="A82" s="89" t="s">
        <v>18201</v>
      </c>
      <c r="B82" s="89" t="e">
        <f>+#REF!</f>
        <v>#REF!</v>
      </c>
      <c r="C82" s="89"/>
      <c r="D82" s="91" t="s">
        <v>17939</v>
      </c>
      <c r="E82" s="90" t="e">
        <v>#REF!</v>
      </c>
      <c r="F82" s="89"/>
      <c r="G82" s="89"/>
      <c r="H82" s="89" t="s">
        <v>18202</v>
      </c>
      <c r="I82" s="89" t="s">
        <v>18204</v>
      </c>
      <c r="J82" s="89" t="s">
        <v>18211</v>
      </c>
      <c r="K82" s="89" t="s">
        <v>18210</v>
      </c>
      <c r="M82" s="89">
        <v>2016</v>
      </c>
      <c r="N82" s="89" t="s">
        <v>18205</v>
      </c>
      <c r="O82" s="89" t="s">
        <v>18203</v>
      </c>
      <c r="P82" s="89" t="str">
        <f>HYPERLINK("http://dx.doi.org/10.1007/978-3-319-23784-8_21","http://dx.doi.org/10.1007/978-3-319-23784-8_21")</f>
        <v>http://dx.doi.org/10.1007/978-3-319-23784-8_21</v>
      </c>
      <c r="S82" s="89" t="s">
        <v>646</v>
      </c>
      <c r="U82" s="89" t="s">
        <v>17474</v>
      </c>
      <c r="W82" s="89" t="s">
        <v>646</v>
      </c>
      <c r="X82" s="89" t="s">
        <v>646</v>
      </c>
      <c r="Y82" s="89" t="s">
        <v>18206</v>
      </c>
      <c r="Z82" s="89" t="s">
        <v>18207</v>
      </c>
      <c r="AA82" s="89" t="s">
        <v>18208</v>
      </c>
      <c r="AB82" s="89" t="s">
        <v>18209</v>
      </c>
      <c r="AC82" s="89" t="s">
        <v>646</v>
      </c>
      <c r="AD82" s="89" t="s">
        <v>646</v>
      </c>
      <c r="AE82" s="89" t="s">
        <v>646</v>
      </c>
      <c r="AF82" s="89" t="s">
        <v>18210</v>
      </c>
      <c r="AG82" s="89" t="s">
        <v>646</v>
      </c>
      <c r="AH82" s="89" t="s">
        <v>646</v>
      </c>
      <c r="AI82" s="89" t="s">
        <v>646</v>
      </c>
      <c r="AJ82" s="89" t="s">
        <v>646</v>
      </c>
      <c r="AK82" s="89" t="s">
        <v>18211</v>
      </c>
      <c r="AL82" s="89" t="s">
        <v>18212</v>
      </c>
      <c r="AM82" s="89" t="s">
        <v>646</v>
      </c>
      <c r="AN82" s="89" t="s">
        <v>646</v>
      </c>
      <c r="AO82" s="89" t="s">
        <v>646</v>
      </c>
      <c r="AP82" s="89" t="s">
        <v>646</v>
      </c>
      <c r="AQ82" s="89" t="s">
        <v>646</v>
      </c>
      <c r="AR82" s="89" t="s">
        <v>646</v>
      </c>
      <c r="AS82" s="89" t="s">
        <v>646</v>
      </c>
      <c r="AT82" s="89" t="s">
        <v>646</v>
      </c>
      <c r="AU82" s="89" t="s">
        <v>646</v>
      </c>
      <c r="AV82" s="89" t="s">
        <v>646</v>
      </c>
      <c r="AW82" s="89" t="s">
        <v>646</v>
      </c>
      <c r="AX82" s="89" t="s">
        <v>646</v>
      </c>
      <c r="AY82" s="89" t="s">
        <v>18213</v>
      </c>
      <c r="AZ82" s="89" t="s">
        <v>18214</v>
      </c>
      <c r="BA82" s="89" t="s">
        <v>18215</v>
      </c>
      <c r="BB82" s="89" t="s">
        <v>646</v>
      </c>
      <c r="BC82" s="89" t="s">
        <v>646</v>
      </c>
      <c r="BD82" s="89" t="s">
        <v>646</v>
      </c>
      <c r="BE82" s="89">
        <v>2016</v>
      </c>
      <c r="BF82" s="89">
        <v>11</v>
      </c>
      <c r="BG82" s="89" t="s">
        <v>646</v>
      </c>
      <c r="BH82" s="89" t="s">
        <v>646</v>
      </c>
      <c r="BI82" s="89" t="s">
        <v>646</v>
      </c>
      <c r="BJ82" s="89" t="s">
        <v>646</v>
      </c>
      <c r="BK82" s="89" t="s">
        <v>646</v>
      </c>
      <c r="BL82" s="89">
        <v>273</v>
      </c>
      <c r="BM82" s="89">
        <v>283</v>
      </c>
      <c r="BN82" s="89" t="s">
        <v>646</v>
      </c>
      <c r="BO82" s="89" t="str">
        <f>HYPERLINK("http://dx.doi.org/10.1007/978-3-319-23784-8_21","http://dx.doi.org/10.1007/978-3-319-23784-8_21")</f>
        <v>http://dx.doi.org/10.1007/978-3-319-23784-8_21</v>
      </c>
      <c r="BP82" s="89" t="s">
        <v>646</v>
      </c>
      <c r="BQ82" s="89" t="s">
        <v>646</v>
      </c>
      <c r="BR82" s="89" t="s">
        <v>646</v>
      </c>
      <c r="BS82" s="89" t="s">
        <v>646</v>
      </c>
      <c r="BT82" s="89" t="s">
        <v>646</v>
      </c>
      <c r="BU82" s="89" t="s">
        <v>646</v>
      </c>
      <c r="BV82" s="89" t="s">
        <v>646</v>
      </c>
      <c r="BW82" s="89" t="s">
        <v>646</v>
      </c>
      <c r="BX82" s="89" t="s">
        <v>646</v>
      </c>
      <c r="BY82" s="89" t="s">
        <v>646</v>
      </c>
      <c r="BZ82" s="89" t="s">
        <v>646</v>
      </c>
      <c r="CA82" s="89" t="s">
        <v>646</v>
      </c>
      <c r="CB82" s="89" t="s">
        <v>18216</v>
      </c>
      <c r="CC82" s="89" t="str">
        <f>HYPERLINK("https%3A%2F%2Fwww.webofscience.com%2Fwos%2Fwoscc%2Ffull-record%2FWOS:000390413300021","View Full Record in Web of Science")</f>
        <v>View Full Record in Web of Science</v>
      </c>
    </row>
    <row r="83" spans="1:81" ht="13.2" hidden="1" x14ac:dyDescent="0.25">
      <c r="A83" s="89" t="s">
        <v>18217</v>
      </c>
      <c r="B83" s="89" t="e">
        <f>+#REF!</f>
        <v>#REF!</v>
      </c>
      <c r="C83" s="89"/>
      <c r="D83" s="91" t="s">
        <v>17939</v>
      </c>
      <c r="E83" s="90" t="e">
        <v>#REF!</v>
      </c>
      <c r="F83" s="89"/>
      <c r="G83" s="89"/>
      <c r="H83" s="89" t="s">
        <v>18218</v>
      </c>
      <c r="I83" s="89" t="s">
        <v>18220</v>
      </c>
      <c r="J83" s="89" t="s">
        <v>646</v>
      </c>
      <c r="K83" s="89" t="s">
        <v>18225</v>
      </c>
      <c r="M83" s="89">
        <v>2015</v>
      </c>
      <c r="N83" s="89" t="s">
        <v>18221</v>
      </c>
      <c r="O83" s="89" t="s">
        <v>18219</v>
      </c>
      <c r="P83" s="89" t="str">
        <f>HYPERLINK("http://dx.doi.org/10.1016/j.sbspro.2015.01.1110","http://dx.doi.org/10.1016/j.sbspro.2015.01.1110")</f>
        <v>http://dx.doi.org/10.1016/j.sbspro.2015.01.1110</v>
      </c>
      <c r="S83" s="89" t="s">
        <v>646</v>
      </c>
      <c r="U83" s="89" t="s">
        <v>17474</v>
      </c>
      <c r="W83" s="89" t="s">
        <v>646</v>
      </c>
      <c r="X83" s="89" t="s">
        <v>646</v>
      </c>
      <c r="Y83" s="89" t="s">
        <v>18222</v>
      </c>
      <c r="Z83" s="89" t="s">
        <v>18223</v>
      </c>
      <c r="AA83" s="89" t="s">
        <v>18224</v>
      </c>
      <c r="AB83" s="89" t="s">
        <v>646</v>
      </c>
      <c r="AC83" s="89" t="s">
        <v>646</v>
      </c>
      <c r="AD83" s="89" t="s">
        <v>646</v>
      </c>
      <c r="AE83" s="89" t="s">
        <v>646</v>
      </c>
      <c r="AF83" s="89" t="s">
        <v>18225</v>
      </c>
      <c r="AG83" s="89" t="s">
        <v>646</v>
      </c>
      <c r="AH83" s="89" t="s">
        <v>646</v>
      </c>
      <c r="AI83" s="89" t="s">
        <v>646</v>
      </c>
      <c r="AJ83" s="89" t="s">
        <v>646</v>
      </c>
      <c r="AK83" s="89" t="s">
        <v>646</v>
      </c>
      <c r="AL83" s="89" t="s">
        <v>646</v>
      </c>
      <c r="AM83" s="89" t="s">
        <v>646</v>
      </c>
      <c r="AN83" s="89" t="s">
        <v>646</v>
      </c>
      <c r="AO83" s="89" t="s">
        <v>646</v>
      </c>
      <c r="AP83" s="89" t="s">
        <v>646</v>
      </c>
      <c r="AQ83" s="89" t="s">
        <v>646</v>
      </c>
      <c r="AR83" s="89" t="s">
        <v>646</v>
      </c>
      <c r="AS83" s="89" t="s">
        <v>646</v>
      </c>
      <c r="AT83" s="89" t="s">
        <v>646</v>
      </c>
      <c r="AU83" s="89" t="s">
        <v>646</v>
      </c>
      <c r="AV83" s="89" t="s">
        <v>646</v>
      </c>
      <c r="AW83" s="89" t="s">
        <v>646</v>
      </c>
      <c r="AX83" s="89" t="s">
        <v>646</v>
      </c>
      <c r="AY83" s="89" t="s">
        <v>18226</v>
      </c>
      <c r="AZ83" s="89" t="s">
        <v>646</v>
      </c>
      <c r="BA83" s="89" t="s">
        <v>646</v>
      </c>
      <c r="BB83" s="89" t="s">
        <v>646</v>
      </c>
      <c r="BC83" s="89" t="s">
        <v>646</v>
      </c>
      <c r="BD83" s="89" t="s">
        <v>646</v>
      </c>
      <c r="BE83" s="89">
        <v>2015</v>
      </c>
      <c r="BF83" s="89">
        <v>174</v>
      </c>
      <c r="BG83" s="89" t="s">
        <v>646</v>
      </c>
      <c r="BH83" s="89" t="s">
        <v>646</v>
      </c>
      <c r="BI83" s="89" t="s">
        <v>646</v>
      </c>
      <c r="BJ83" s="89" t="s">
        <v>646</v>
      </c>
      <c r="BK83" s="89" t="s">
        <v>646</v>
      </c>
      <c r="BL83" s="89">
        <v>3757</v>
      </c>
      <c r="BM83" s="89">
        <v>3764</v>
      </c>
      <c r="BN83" s="89" t="s">
        <v>646</v>
      </c>
      <c r="BO83" s="89" t="str">
        <f>HYPERLINK("http://dx.doi.org/10.1016/j.sbspro.2015.01.1110","http://dx.doi.org/10.1016/j.sbspro.2015.01.1110")</f>
        <v>http://dx.doi.org/10.1016/j.sbspro.2015.01.1110</v>
      </c>
      <c r="BP83" s="89" t="s">
        <v>646</v>
      </c>
      <c r="BQ83" s="89" t="s">
        <v>646</v>
      </c>
      <c r="BR83" s="89" t="s">
        <v>646</v>
      </c>
      <c r="BS83" s="89" t="s">
        <v>646</v>
      </c>
      <c r="BT83" s="89" t="s">
        <v>646</v>
      </c>
      <c r="BU83" s="89" t="s">
        <v>646</v>
      </c>
      <c r="BV83" s="89" t="s">
        <v>646</v>
      </c>
      <c r="BW83" s="89" t="s">
        <v>646</v>
      </c>
      <c r="BX83" s="89" t="s">
        <v>646</v>
      </c>
      <c r="BY83" s="89" t="s">
        <v>646</v>
      </c>
      <c r="BZ83" s="89" t="s">
        <v>646</v>
      </c>
      <c r="CA83" s="89" t="s">
        <v>646</v>
      </c>
      <c r="CB83" s="89" t="s">
        <v>18227</v>
      </c>
      <c r="CC83" s="89" t="str">
        <f>HYPERLINK("https%3A%2F%2Fwww.webofscience.com%2Fwos%2Fwoscc%2Ffull-record%2FWOS:000383740203126","View Full Record in Web of Science")</f>
        <v>View Full Record in Web of Science</v>
      </c>
    </row>
    <row r="84" spans="1:81" ht="13.2" hidden="1" x14ac:dyDescent="0.25">
      <c r="A84" s="89" t="s">
        <v>18228</v>
      </c>
      <c r="B84" s="89" t="e">
        <f>+#REF!</f>
        <v>#REF!</v>
      </c>
      <c r="C84" s="89"/>
      <c r="D84" s="91" t="s">
        <v>17939</v>
      </c>
      <c r="E84" s="90" t="e">
        <v>#REF!</v>
      </c>
      <c r="F84" s="89"/>
      <c r="G84" s="89"/>
      <c r="H84" s="89" t="s">
        <v>646</v>
      </c>
      <c r="I84" s="89" t="s">
        <v>18229</v>
      </c>
      <c r="J84" s="89" t="s">
        <v>18237</v>
      </c>
      <c r="K84" s="89" t="s">
        <v>18236</v>
      </c>
      <c r="M84" s="89">
        <v>2019</v>
      </c>
      <c r="N84" s="89" t="s">
        <v>18230</v>
      </c>
      <c r="O84" s="89" t="s">
        <v>646</v>
      </c>
      <c r="P84" s="89" t="s">
        <v>646</v>
      </c>
      <c r="S84" s="89" t="s">
        <v>17475</v>
      </c>
      <c r="U84" s="89" t="s">
        <v>17474</v>
      </c>
      <c r="W84" s="89" t="s">
        <v>646</v>
      </c>
      <c r="X84" s="89" t="s">
        <v>646</v>
      </c>
      <c r="Y84" s="89" t="s">
        <v>18231</v>
      </c>
      <c r="Z84" s="89" t="s">
        <v>18232</v>
      </c>
      <c r="AA84" s="89" t="s">
        <v>18233</v>
      </c>
      <c r="AB84" s="89" t="s">
        <v>18234</v>
      </c>
      <c r="AC84" s="89" t="s">
        <v>18235</v>
      </c>
      <c r="AD84" s="89" t="s">
        <v>646</v>
      </c>
      <c r="AE84" s="89" t="s">
        <v>646</v>
      </c>
      <c r="AF84" s="89" t="s">
        <v>18236</v>
      </c>
      <c r="AG84" s="89" t="s">
        <v>646</v>
      </c>
      <c r="AH84" s="89" t="s">
        <v>646</v>
      </c>
      <c r="AI84" s="89" t="s">
        <v>646</v>
      </c>
      <c r="AJ84" s="89" t="s">
        <v>646</v>
      </c>
      <c r="AK84" s="89" t="s">
        <v>18237</v>
      </c>
      <c r="AL84" s="89" t="s">
        <v>18238</v>
      </c>
      <c r="AM84" s="89" t="s">
        <v>646</v>
      </c>
      <c r="AN84" s="89" t="s">
        <v>646</v>
      </c>
      <c r="AO84" s="89" t="s">
        <v>646</v>
      </c>
      <c r="AP84" s="89" t="s">
        <v>646</v>
      </c>
      <c r="AQ84" s="89" t="s">
        <v>646</v>
      </c>
      <c r="AR84" s="89" t="s">
        <v>646</v>
      </c>
      <c r="AS84" s="89" t="s">
        <v>646</v>
      </c>
      <c r="AT84" s="89" t="s">
        <v>646</v>
      </c>
      <c r="AU84" s="89" t="s">
        <v>646</v>
      </c>
      <c r="AV84" s="89" t="s">
        <v>646</v>
      </c>
      <c r="AW84" s="89" t="s">
        <v>646</v>
      </c>
      <c r="AX84" s="89" t="s">
        <v>646</v>
      </c>
      <c r="AY84" s="89" t="s">
        <v>18239</v>
      </c>
      <c r="AZ84" s="89" t="s">
        <v>646</v>
      </c>
      <c r="BA84" s="89" t="s">
        <v>18240</v>
      </c>
      <c r="BB84" s="89" t="s">
        <v>646</v>
      </c>
      <c r="BC84" s="89" t="s">
        <v>646</v>
      </c>
      <c r="BD84" s="89" t="s">
        <v>646</v>
      </c>
      <c r="BE84" s="89">
        <v>2019</v>
      </c>
      <c r="BF84" s="89" t="s">
        <v>646</v>
      </c>
      <c r="BG84" s="89" t="s">
        <v>646</v>
      </c>
      <c r="BH84" s="89" t="s">
        <v>646</v>
      </c>
      <c r="BI84" s="89" t="s">
        <v>646</v>
      </c>
      <c r="BJ84" s="89" t="s">
        <v>646</v>
      </c>
      <c r="BK84" s="89" t="s">
        <v>646</v>
      </c>
      <c r="BL84" s="89">
        <v>357</v>
      </c>
      <c r="BM84" s="89">
        <v>362</v>
      </c>
      <c r="BN84" s="89" t="s">
        <v>646</v>
      </c>
      <c r="BO84" s="89" t="s">
        <v>646</v>
      </c>
      <c r="BP84" s="89" t="s">
        <v>646</v>
      </c>
      <c r="BQ84" s="89" t="s">
        <v>646</v>
      </c>
      <c r="BR84" s="89" t="s">
        <v>646</v>
      </c>
      <c r="BS84" s="89" t="s">
        <v>646</v>
      </c>
      <c r="BT84" s="89" t="s">
        <v>646</v>
      </c>
      <c r="BU84" s="89" t="s">
        <v>646</v>
      </c>
      <c r="BV84" s="89" t="s">
        <v>646</v>
      </c>
      <c r="BW84" s="89" t="s">
        <v>646</v>
      </c>
      <c r="BX84" s="89" t="s">
        <v>646</v>
      </c>
      <c r="BY84" s="89" t="s">
        <v>646</v>
      </c>
      <c r="BZ84" s="89" t="s">
        <v>646</v>
      </c>
      <c r="CA84" s="89" t="s">
        <v>646</v>
      </c>
      <c r="CB84" s="89" t="s">
        <v>18241</v>
      </c>
      <c r="CC84" s="89" t="str">
        <f>HYPERLINK("https%3A%2F%2Fwww.webofscience.com%2Fwos%2Fwoscc%2Ffull-record%2FWOS:000542028400057","View Full Record in Web of Science")</f>
        <v>View Full Record in Web of Science</v>
      </c>
    </row>
    <row r="85" spans="1:81" ht="13.2" hidden="1" x14ac:dyDescent="0.25">
      <c r="A85" s="89" t="s">
        <v>18242</v>
      </c>
      <c r="B85" s="89" t="e">
        <f>+#REF!</f>
        <v>#REF!</v>
      </c>
      <c r="C85" s="89"/>
      <c r="D85" s="91" t="s">
        <v>17939</v>
      </c>
      <c r="E85" s="90" t="e">
        <v>#REF!</v>
      </c>
      <c r="F85" s="89"/>
      <c r="G85" s="89"/>
      <c r="H85" s="89" t="s">
        <v>646</v>
      </c>
      <c r="I85" s="89" t="s">
        <v>18244</v>
      </c>
      <c r="J85" s="89" t="s">
        <v>18251</v>
      </c>
      <c r="K85" s="89" t="s">
        <v>18250</v>
      </c>
      <c r="M85" s="89">
        <v>2019</v>
      </c>
      <c r="N85" s="89" t="s">
        <v>18245</v>
      </c>
      <c r="O85" s="89" t="s">
        <v>18243</v>
      </c>
      <c r="P85" s="89" t="s">
        <v>646</v>
      </c>
      <c r="S85" s="89" t="s">
        <v>646</v>
      </c>
      <c r="U85" s="89" t="s">
        <v>17474</v>
      </c>
      <c r="W85" s="89" t="s">
        <v>646</v>
      </c>
      <c r="X85" s="89" t="s">
        <v>646</v>
      </c>
      <c r="Y85" s="89" t="s">
        <v>18246</v>
      </c>
      <c r="Z85" s="89" t="s">
        <v>18247</v>
      </c>
      <c r="AA85" s="89" t="s">
        <v>18248</v>
      </c>
      <c r="AB85" s="89" t="s">
        <v>18249</v>
      </c>
      <c r="AC85" s="89" t="s">
        <v>646</v>
      </c>
      <c r="AD85" s="89" t="s">
        <v>646</v>
      </c>
      <c r="AE85" s="89" t="s">
        <v>646</v>
      </c>
      <c r="AF85" s="89" t="s">
        <v>18250</v>
      </c>
      <c r="AG85" s="89" t="s">
        <v>646</v>
      </c>
      <c r="AH85" s="89" t="s">
        <v>646</v>
      </c>
      <c r="AI85" s="89" t="s">
        <v>646</v>
      </c>
      <c r="AJ85" s="89" t="s">
        <v>646</v>
      </c>
      <c r="AK85" s="89" t="s">
        <v>18251</v>
      </c>
      <c r="AL85" s="89" t="s">
        <v>18252</v>
      </c>
      <c r="AM85" s="89" t="s">
        <v>646</v>
      </c>
      <c r="AN85" s="89" t="s">
        <v>646</v>
      </c>
      <c r="AO85" s="89" t="s">
        <v>646</v>
      </c>
      <c r="AP85" s="89" t="s">
        <v>646</v>
      </c>
      <c r="AQ85" s="89" t="s">
        <v>646</v>
      </c>
      <c r="AR85" s="89" t="s">
        <v>646</v>
      </c>
      <c r="AS85" s="89" t="s">
        <v>646</v>
      </c>
      <c r="AT85" s="89" t="s">
        <v>646</v>
      </c>
      <c r="AU85" s="89" t="s">
        <v>646</v>
      </c>
      <c r="AV85" s="89" t="s">
        <v>646</v>
      </c>
      <c r="AW85" s="89" t="s">
        <v>646</v>
      </c>
      <c r="AX85" s="89" t="s">
        <v>646</v>
      </c>
      <c r="AY85" s="89" t="s">
        <v>646</v>
      </c>
      <c r="AZ85" s="89" t="s">
        <v>646</v>
      </c>
      <c r="BA85" s="89" t="s">
        <v>18253</v>
      </c>
      <c r="BB85" s="89" t="s">
        <v>646</v>
      </c>
      <c r="BC85" s="89" t="s">
        <v>646</v>
      </c>
      <c r="BD85" s="89" t="s">
        <v>646</v>
      </c>
      <c r="BE85" s="89">
        <v>2019</v>
      </c>
      <c r="BF85" s="89" t="s">
        <v>646</v>
      </c>
      <c r="BG85" s="89" t="s">
        <v>646</v>
      </c>
      <c r="BH85" s="89" t="s">
        <v>646</v>
      </c>
      <c r="BI85" s="89" t="s">
        <v>646</v>
      </c>
      <c r="BJ85" s="89" t="s">
        <v>646</v>
      </c>
      <c r="BK85" s="89" t="s">
        <v>646</v>
      </c>
      <c r="BL85" s="89">
        <v>17</v>
      </c>
      <c r="BM85" s="89">
        <v>35</v>
      </c>
      <c r="BN85" s="89" t="s">
        <v>646</v>
      </c>
      <c r="BO85" s="89" t="s">
        <v>646</v>
      </c>
      <c r="BP85" s="89" t="s">
        <v>646</v>
      </c>
      <c r="BQ85" s="89" t="s">
        <v>646</v>
      </c>
      <c r="BR85" s="89" t="s">
        <v>646</v>
      </c>
      <c r="BS85" s="89" t="s">
        <v>646</v>
      </c>
      <c r="BT85" s="89" t="s">
        <v>646</v>
      </c>
      <c r="BU85" s="89" t="s">
        <v>646</v>
      </c>
      <c r="BV85" s="89" t="s">
        <v>646</v>
      </c>
      <c r="BW85" s="89" t="s">
        <v>646</v>
      </c>
      <c r="BX85" s="89" t="s">
        <v>646</v>
      </c>
      <c r="BY85" s="89" t="s">
        <v>646</v>
      </c>
      <c r="BZ85" s="89" t="s">
        <v>646</v>
      </c>
      <c r="CA85" s="89" t="s">
        <v>646</v>
      </c>
      <c r="CB85" s="89" t="s">
        <v>18254</v>
      </c>
      <c r="CC85" s="89" t="str">
        <f>HYPERLINK("https%3A%2F%2Fwww.webofscience.com%2Fwos%2Fwoscc%2Ffull-record%2FWOS:000589270200001","View Full Record in Web of Science")</f>
        <v>View Full Record in Web of Science</v>
      </c>
    </row>
    <row r="86" spans="1:81" ht="13.2" hidden="1" x14ac:dyDescent="0.25">
      <c r="A86" s="89" t="s">
        <v>18255</v>
      </c>
      <c r="B86" s="89" t="e">
        <f>+#REF!</f>
        <v>#REF!</v>
      </c>
      <c r="C86" s="89"/>
      <c r="D86" s="91" t="s">
        <v>17939</v>
      </c>
      <c r="E86" s="90" t="e">
        <v>#REF!</v>
      </c>
      <c r="F86" s="89"/>
      <c r="G86" s="89"/>
      <c r="H86" s="89" t="s">
        <v>18256</v>
      </c>
      <c r="I86" s="89" t="s">
        <v>18257</v>
      </c>
      <c r="J86" s="89" t="s">
        <v>18260</v>
      </c>
      <c r="K86" s="89" t="s">
        <v>18259</v>
      </c>
      <c r="M86" s="89">
        <v>2018</v>
      </c>
      <c r="N86" s="89" t="s">
        <v>18258</v>
      </c>
      <c r="O86" s="89" t="s">
        <v>646</v>
      </c>
      <c r="P86" s="89" t="str">
        <f>HYPERLINK("http://dx.doi.org/10.18001/TRS.4.1.3","http://dx.doi.org/10.18001/TRS.4.1.3")</f>
        <v>http://dx.doi.org/10.18001/TRS.4.1.3</v>
      </c>
      <c r="S86" s="89" t="s">
        <v>646</v>
      </c>
      <c r="U86" s="89" t="s">
        <v>17462</v>
      </c>
      <c r="W86" s="89" t="s">
        <v>646</v>
      </c>
      <c r="X86" s="89" t="s">
        <v>646</v>
      </c>
      <c r="Y86" s="89" t="s">
        <v>646</v>
      </c>
      <c r="Z86" s="89" t="s">
        <v>646</v>
      </c>
      <c r="AA86" s="89" t="s">
        <v>646</v>
      </c>
      <c r="AB86" s="89" t="s">
        <v>646</v>
      </c>
      <c r="AC86" s="89" t="s">
        <v>646</v>
      </c>
      <c r="AD86" s="89" t="s">
        <v>646</v>
      </c>
      <c r="AE86" s="89" t="s">
        <v>646</v>
      </c>
      <c r="AF86" s="89" t="s">
        <v>18259</v>
      </c>
      <c r="AG86" s="89" t="s">
        <v>646</v>
      </c>
      <c r="AH86" s="89" t="s">
        <v>646</v>
      </c>
      <c r="AI86" s="89" t="s">
        <v>646</v>
      </c>
      <c r="AJ86" s="89" t="s">
        <v>646</v>
      </c>
      <c r="AK86" s="89" t="s">
        <v>18260</v>
      </c>
      <c r="AL86" s="89" t="s">
        <v>18261</v>
      </c>
      <c r="AM86" s="89" t="s">
        <v>646</v>
      </c>
      <c r="AN86" s="89" t="s">
        <v>646</v>
      </c>
      <c r="AO86" s="89" t="s">
        <v>646</v>
      </c>
      <c r="AP86" s="89" t="s">
        <v>646</v>
      </c>
      <c r="AQ86" s="89" t="s">
        <v>646</v>
      </c>
      <c r="AR86" s="89" t="s">
        <v>646</v>
      </c>
      <c r="AS86" s="89" t="s">
        <v>646</v>
      </c>
      <c r="AT86" s="89" t="s">
        <v>646</v>
      </c>
      <c r="AU86" s="89" t="s">
        <v>646</v>
      </c>
      <c r="AV86" s="89" t="s">
        <v>646</v>
      </c>
      <c r="AW86" s="89" t="s">
        <v>646</v>
      </c>
      <c r="AX86" s="89" t="s">
        <v>646</v>
      </c>
      <c r="AY86" s="89" t="s">
        <v>18262</v>
      </c>
      <c r="AZ86" s="89" t="s">
        <v>646</v>
      </c>
      <c r="BA86" s="89" t="s">
        <v>646</v>
      </c>
      <c r="BB86" s="89" t="s">
        <v>646</v>
      </c>
      <c r="BC86" s="89" t="s">
        <v>646</v>
      </c>
      <c r="BD86" s="89" t="s">
        <v>17513</v>
      </c>
      <c r="BE86" s="89">
        <v>2018</v>
      </c>
      <c r="BF86" s="89">
        <v>4</v>
      </c>
      <c r="BG86" s="89">
        <v>1</v>
      </c>
      <c r="BH86" s="89" t="s">
        <v>646</v>
      </c>
      <c r="BI86" s="89" t="s">
        <v>646</v>
      </c>
      <c r="BJ86" s="89" t="s">
        <v>646</v>
      </c>
      <c r="BK86" s="89" t="s">
        <v>646</v>
      </c>
      <c r="BL86" s="89">
        <v>562</v>
      </c>
      <c r="BM86" s="89">
        <v>572</v>
      </c>
      <c r="BN86" s="89" t="s">
        <v>646</v>
      </c>
      <c r="BO86" s="89" t="str">
        <f>HYPERLINK("http://dx.doi.org/10.18001/TRS.4.1.3","http://dx.doi.org/10.18001/TRS.4.1.3")</f>
        <v>http://dx.doi.org/10.18001/TRS.4.1.3</v>
      </c>
      <c r="BP86" s="89" t="s">
        <v>646</v>
      </c>
      <c r="BQ86" s="89" t="s">
        <v>646</v>
      </c>
      <c r="BR86" s="89" t="s">
        <v>646</v>
      </c>
      <c r="BS86" s="89" t="s">
        <v>646</v>
      </c>
      <c r="BT86" s="89" t="s">
        <v>646</v>
      </c>
      <c r="BU86" s="89" t="s">
        <v>646</v>
      </c>
      <c r="BV86" s="89" t="s">
        <v>646</v>
      </c>
      <c r="BW86" s="89">
        <v>29242819</v>
      </c>
      <c r="BX86" s="89" t="s">
        <v>646</v>
      </c>
      <c r="BY86" s="89" t="s">
        <v>646</v>
      </c>
      <c r="BZ86" s="89" t="s">
        <v>646</v>
      </c>
      <c r="CA86" s="89" t="s">
        <v>646</v>
      </c>
      <c r="CB86" s="89" t="s">
        <v>18263</v>
      </c>
      <c r="CC86" s="89" t="str">
        <f>HYPERLINK("https%3A%2F%2Fwww.webofscience.com%2Fwos%2Fwoscc%2Ffull-record%2FWOS:000430183200003","View Full Record in Web of Science")</f>
        <v>View Full Record in Web of Science</v>
      </c>
    </row>
    <row r="87" spans="1:81" ht="13.2" hidden="1" x14ac:dyDescent="0.25">
      <c r="A87" s="89" t="s">
        <v>18264</v>
      </c>
      <c r="B87" s="89" t="e">
        <f>+#REF!</f>
        <v>#REF!</v>
      </c>
      <c r="C87" s="89"/>
      <c r="D87" s="91" t="s">
        <v>17939</v>
      </c>
      <c r="E87" s="90" t="e">
        <v>#REF!</v>
      </c>
      <c r="F87" s="89"/>
      <c r="G87" s="89"/>
      <c r="H87" s="89" t="s">
        <v>18265</v>
      </c>
      <c r="I87" s="89" t="s">
        <v>18266</v>
      </c>
      <c r="J87" s="89" t="s">
        <v>646</v>
      </c>
      <c r="K87" s="89" t="s">
        <v>18268</v>
      </c>
      <c r="M87" s="89">
        <v>2018</v>
      </c>
      <c r="N87" s="89" t="s">
        <v>18267</v>
      </c>
      <c r="O87" s="89" t="s">
        <v>646</v>
      </c>
      <c r="P87" s="89" t="str">
        <f>HYPERLINK("http://dx.doi.org/10.1891/2168-6653.32.2.139","http://dx.doi.org/10.1891/2168-6653.32.2.139")</f>
        <v>http://dx.doi.org/10.1891/2168-6653.32.2.139</v>
      </c>
      <c r="S87" s="89" t="s">
        <v>646</v>
      </c>
      <c r="U87" s="89" t="s">
        <v>17462</v>
      </c>
      <c r="W87" s="89" t="s">
        <v>646</v>
      </c>
      <c r="X87" s="89" t="s">
        <v>646</v>
      </c>
      <c r="Y87" s="89" t="s">
        <v>646</v>
      </c>
      <c r="Z87" s="89" t="s">
        <v>646</v>
      </c>
      <c r="AA87" s="89" t="s">
        <v>646</v>
      </c>
      <c r="AB87" s="89" t="s">
        <v>646</v>
      </c>
      <c r="AC87" s="89" t="s">
        <v>646</v>
      </c>
      <c r="AD87" s="89" t="s">
        <v>646</v>
      </c>
      <c r="AE87" s="89" t="s">
        <v>646</v>
      </c>
      <c r="AF87" s="89" t="s">
        <v>18268</v>
      </c>
      <c r="AG87" s="89" t="s">
        <v>646</v>
      </c>
      <c r="AH87" s="89" t="s">
        <v>646</v>
      </c>
      <c r="AI87" s="89" t="s">
        <v>646</v>
      </c>
      <c r="AJ87" s="89" t="s">
        <v>646</v>
      </c>
      <c r="AK87" s="89" t="s">
        <v>646</v>
      </c>
      <c r="AL87" s="89" t="s">
        <v>646</v>
      </c>
      <c r="AM87" s="89" t="s">
        <v>646</v>
      </c>
      <c r="AN87" s="89" t="s">
        <v>646</v>
      </c>
      <c r="AO87" s="89" t="s">
        <v>646</v>
      </c>
      <c r="AP87" s="89" t="s">
        <v>646</v>
      </c>
      <c r="AQ87" s="89" t="s">
        <v>646</v>
      </c>
      <c r="AR87" s="89" t="s">
        <v>646</v>
      </c>
      <c r="AS87" s="89" t="s">
        <v>646</v>
      </c>
      <c r="AT87" s="89" t="s">
        <v>646</v>
      </c>
      <c r="AU87" s="89" t="s">
        <v>646</v>
      </c>
      <c r="AV87" s="89" t="s">
        <v>646</v>
      </c>
      <c r="AW87" s="89" t="s">
        <v>646</v>
      </c>
      <c r="AX87" s="89" t="s">
        <v>646</v>
      </c>
      <c r="AY87" s="89" t="s">
        <v>18269</v>
      </c>
      <c r="AZ87" s="89" t="s">
        <v>18270</v>
      </c>
      <c r="BA87" s="89" t="s">
        <v>646</v>
      </c>
      <c r="BB87" s="89" t="s">
        <v>646</v>
      </c>
      <c r="BC87" s="89" t="s">
        <v>646</v>
      </c>
      <c r="BD87" s="89" t="s">
        <v>646</v>
      </c>
      <c r="BE87" s="89">
        <v>2018</v>
      </c>
      <c r="BF87" s="89">
        <v>32</v>
      </c>
      <c r="BG87" s="89">
        <v>2</v>
      </c>
      <c r="BH87" s="89" t="s">
        <v>646</v>
      </c>
      <c r="BI87" s="89" t="s">
        <v>646</v>
      </c>
      <c r="BJ87" s="89" t="s">
        <v>646</v>
      </c>
      <c r="BK87" s="89" t="s">
        <v>646</v>
      </c>
      <c r="BL87" s="89">
        <v>139</v>
      </c>
      <c r="BM87" s="89">
        <v>154</v>
      </c>
      <c r="BN87" s="89" t="s">
        <v>646</v>
      </c>
      <c r="BO87" s="89" t="str">
        <f>HYPERLINK("http://dx.doi.org/10.1891/2168-6653.32.2.139","http://dx.doi.org/10.1891/2168-6653.32.2.139")</f>
        <v>http://dx.doi.org/10.1891/2168-6653.32.2.139</v>
      </c>
      <c r="BP87" s="89" t="s">
        <v>646</v>
      </c>
      <c r="BQ87" s="89" t="s">
        <v>646</v>
      </c>
      <c r="BR87" s="89" t="s">
        <v>646</v>
      </c>
      <c r="BS87" s="89" t="s">
        <v>646</v>
      </c>
      <c r="BT87" s="89" t="s">
        <v>646</v>
      </c>
      <c r="BU87" s="89" t="s">
        <v>646</v>
      </c>
      <c r="BV87" s="89" t="s">
        <v>646</v>
      </c>
      <c r="BW87" s="89" t="s">
        <v>646</v>
      </c>
      <c r="BX87" s="89" t="s">
        <v>646</v>
      </c>
      <c r="BY87" s="89" t="s">
        <v>646</v>
      </c>
      <c r="BZ87" s="89" t="s">
        <v>646</v>
      </c>
      <c r="CA87" s="89" t="s">
        <v>646</v>
      </c>
      <c r="CB87" s="89" t="s">
        <v>18271</v>
      </c>
      <c r="CC87" s="89" t="str">
        <f>HYPERLINK("https%3A%2F%2Fwww.webofscience.com%2Fwos%2Fwoscc%2Ffull-record%2FWOS:000435519200005","View Full Record in Web of Science")</f>
        <v>View Full Record in Web of Science</v>
      </c>
    </row>
    <row r="88" spans="1:81" ht="13.2" hidden="1" x14ac:dyDescent="0.25">
      <c r="A88" s="89" t="s">
        <v>18272</v>
      </c>
      <c r="B88" s="89" t="e">
        <f>+#REF!</f>
        <v>#REF!</v>
      </c>
      <c r="C88" s="89"/>
      <c r="D88" s="91" t="s">
        <v>17939</v>
      </c>
      <c r="E88" s="90" t="e">
        <v>#REF!</v>
      </c>
      <c r="F88" s="89"/>
      <c r="G88" s="89"/>
      <c r="H88" s="89" t="s">
        <v>646</v>
      </c>
      <c r="I88" s="89" t="s">
        <v>18274</v>
      </c>
      <c r="J88" s="89" t="s">
        <v>646</v>
      </c>
      <c r="K88" s="89" t="s">
        <v>18280</v>
      </c>
      <c r="M88" s="89">
        <v>2010</v>
      </c>
      <c r="N88" s="89" t="s">
        <v>18275</v>
      </c>
      <c r="O88" s="89" t="s">
        <v>18273</v>
      </c>
      <c r="P88" s="89" t="s">
        <v>646</v>
      </c>
      <c r="S88" s="89" t="s">
        <v>646</v>
      </c>
      <c r="U88" s="89" t="s">
        <v>17474</v>
      </c>
      <c r="W88" s="89" t="s">
        <v>646</v>
      </c>
      <c r="X88" s="89" t="s">
        <v>646</v>
      </c>
      <c r="Y88" s="89" t="s">
        <v>18276</v>
      </c>
      <c r="Z88" s="89" t="s">
        <v>18277</v>
      </c>
      <c r="AA88" s="89" t="s">
        <v>18278</v>
      </c>
      <c r="AB88" s="89" t="s">
        <v>18279</v>
      </c>
      <c r="AC88" s="89" t="s">
        <v>646</v>
      </c>
      <c r="AD88" s="89" t="s">
        <v>646</v>
      </c>
      <c r="AE88" s="89" t="s">
        <v>646</v>
      </c>
      <c r="AF88" s="89" t="s">
        <v>18280</v>
      </c>
      <c r="AG88" s="89" t="s">
        <v>646</v>
      </c>
      <c r="AH88" s="89" t="s">
        <v>646</v>
      </c>
      <c r="AI88" s="89" t="s">
        <v>646</v>
      </c>
      <c r="AJ88" s="89" t="s">
        <v>646</v>
      </c>
      <c r="AK88" s="89" t="s">
        <v>646</v>
      </c>
      <c r="AL88" s="89" t="s">
        <v>646</v>
      </c>
      <c r="AM88" s="89" t="s">
        <v>646</v>
      </c>
      <c r="AN88" s="89" t="s">
        <v>646</v>
      </c>
      <c r="AO88" s="89" t="s">
        <v>646</v>
      </c>
      <c r="AP88" s="89" t="s">
        <v>646</v>
      </c>
      <c r="AQ88" s="89" t="s">
        <v>646</v>
      </c>
      <c r="AR88" s="89" t="s">
        <v>646</v>
      </c>
      <c r="AS88" s="89" t="s">
        <v>646</v>
      </c>
      <c r="AT88" s="89" t="s">
        <v>646</v>
      </c>
      <c r="AU88" s="89" t="s">
        <v>646</v>
      </c>
      <c r="AV88" s="89" t="s">
        <v>646</v>
      </c>
      <c r="AW88" s="89" t="s">
        <v>646</v>
      </c>
      <c r="AX88" s="89" t="s">
        <v>646</v>
      </c>
      <c r="AY88" s="89" t="s">
        <v>646</v>
      </c>
      <c r="AZ88" s="89" t="s">
        <v>646</v>
      </c>
      <c r="BA88" s="89" t="s">
        <v>18281</v>
      </c>
      <c r="BB88" s="89" t="s">
        <v>646</v>
      </c>
      <c r="BC88" s="89" t="s">
        <v>646</v>
      </c>
      <c r="BD88" s="89" t="s">
        <v>646</v>
      </c>
      <c r="BE88" s="89">
        <v>2010</v>
      </c>
      <c r="BF88" s="89" t="s">
        <v>646</v>
      </c>
      <c r="BG88" s="89" t="s">
        <v>646</v>
      </c>
      <c r="BH88" s="89" t="s">
        <v>646</v>
      </c>
      <c r="BI88" s="89" t="s">
        <v>646</v>
      </c>
      <c r="BJ88" s="89" t="s">
        <v>646</v>
      </c>
      <c r="BK88" s="89" t="s">
        <v>646</v>
      </c>
      <c r="BL88" s="89">
        <v>43</v>
      </c>
      <c r="BM88" s="89">
        <v>47</v>
      </c>
      <c r="BN88" s="89" t="s">
        <v>646</v>
      </c>
      <c r="BO88" s="89" t="s">
        <v>646</v>
      </c>
      <c r="BP88" s="89" t="s">
        <v>646</v>
      </c>
      <c r="BQ88" s="89" t="s">
        <v>646</v>
      </c>
      <c r="BR88" s="89" t="s">
        <v>646</v>
      </c>
      <c r="BS88" s="89" t="s">
        <v>646</v>
      </c>
      <c r="BT88" s="89" t="s">
        <v>646</v>
      </c>
      <c r="BU88" s="89" t="s">
        <v>646</v>
      </c>
      <c r="BV88" s="89" t="s">
        <v>646</v>
      </c>
      <c r="BW88" s="89" t="s">
        <v>646</v>
      </c>
      <c r="BX88" s="89" t="s">
        <v>646</v>
      </c>
      <c r="BY88" s="89" t="s">
        <v>646</v>
      </c>
      <c r="BZ88" s="89" t="s">
        <v>646</v>
      </c>
      <c r="CA88" s="89" t="s">
        <v>646</v>
      </c>
      <c r="CB88" s="89" t="s">
        <v>18282</v>
      </c>
      <c r="CC88" s="89" t="str">
        <f>HYPERLINK("https%3A%2F%2Fwww.webofscience.com%2Fwos%2Fwoscc%2Ffull-record%2FWOS:000306943100008","View Full Record in Web of Science")</f>
        <v>View Full Record in Web of Science</v>
      </c>
    </row>
    <row r="89" spans="1:81" ht="13.2" hidden="1" x14ac:dyDescent="0.25">
      <c r="A89" s="89" t="s">
        <v>18283</v>
      </c>
      <c r="B89" s="89" t="e">
        <f>+#REF!</f>
        <v>#REF!</v>
      </c>
      <c r="C89" s="89"/>
      <c r="D89" s="91" t="s">
        <v>17939</v>
      </c>
      <c r="E89" s="90" t="e">
        <v>#REF!</v>
      </c>
      <c r="F89" s="89"/>
      <c r="G89" s="89"/>
      <c r="H89" s="89" t="s">
        <v>18284</v>
      </c>
      <c r="I89" s="89" t="s">
        <v>18285</v>
      </c>
      <c r="J89" s="89" t="s">
        <v>18288</v>
      </c>
      <c r="K89" s="89" t="s">
        <v>18287</v>
      </c>
      <c r="M89" s="89">
        <v>2018</v>
      </c>
      <c r="N89" s="89" t="s">
        <v>18286</v>
      </c>
      <c r="O89" s="89" t="s">
        <v>646</v>
      </c>
      <c r="P89" s="89" t="str">
        <f>HYPERLINK("http://dx.doi.org/10.1002/erv.2613","http://dx.doi.org/10.1002/erv.2613")</f>
        <v>http://dx.doi.org/10.1002/erv.2613</v>
      </c>
      <c r="S89" s="89" t="s">
        <v>646</v>
      </c>
      <c r="U89" s="89" t="s">
        <v>17462</v>
      </c>
      <c r="W89" s="89" t="s">
        <v>646</v>
      </c>
      <c r="X89" s="89" t="s">
        <v>646</v>
      </c>
      <c r="Y89" s="89" t="s">
        <v>646</v>
      </c>
      <c r="Z89" s="89" t="s">
        <v>646</v>
      </c>
      <c r="AA89" s="89" t="s">
        <v>646</v>
      </c>
      <c r="AB89" s="89" t="s">
        <v>646</v>
      </c>
      <c r="AC89" s="89" t="s">
        <v>646</v>
      </c>
      <c r="AD89" s="89" t="s">
        <v>646</v>
      </c>
      <c r="AE89" s="89" t="s">
        <v>646</v>
      </c>
      <c r="AF89" s="89" t="s">
        <v>18287</v>
      </c>
      <c r="AG89" s="89" t="s">
        <v>646</v>
      </c>
      <c r="AH89" s="89" t="s">
        <v>646</v>
      </c>
      <c r="AI89" s="89" t="s">
        <v>646</v>
      </c>
      <c r="AJ89" s="89" t="s">
        <v>646</v>
      </c>
      <c r="AK89" s="89" t="s">
        <v>18288</v>
      </c>
      <c r="AL89" s="89" t="s">
        <v>18289</v>
      </c>
      <c r="AM89" s="89" t="s">
        <v>646</v>
      </c>
      <c r="AN89" s="89" t="s">
        <v>646</v>
      </c>
      <c r="AO89" s="89" t="s">
        <v>646</v>
      </c>
      <c r="AP89" s="89" t="s">
        <v>646</v>
      </c>
      <c r="AQ89" s="89" t="s">
        <v>646</v>
      </c>
      <c r="AR89" s="89" t="s">
        <v>646</v>
      </c>
      <c r="AS89" s="89" t="s">
        <v>646</v>
      </c>
      <c r="AT89" s="89" t="s">
        <v>646</v>
      </c>
      <c r="AU89" s="89" t="s">
        <v>646</v>
      </c>
      <c r="AV89" s="89" t="s">
        <v>646</v>
      </c>
      <c r="AW89" s="89" t="s">
        <v>646</v>
      </c>
      <c r="AX89" s="89" t="s">
        <v>646</v>
      </c>
      <c r="AY89" s="89" t="s">
        <v>18290</v>
      </c>
      <c r="AZ89" s="89" t="s">
        <v>18291</v>
      </c>
      <c r="BA89" s="89" t="s">
        <v>646</v>
      </c>
      <c r="BB89" s="89" t="s">
        <v>646</v>
      </c>
      <c r="BC89" s="89" t="s">
        <v>646</v>
      </c>
      <c r="BD89" s="89" t="s">
        <v>18292</v>
      </c>
      <c r="BE89" s="89">
        <v>2018</v>
      </c>
      <c r="BF89" s="89">
        <v>26</v>
      </c>
      <c r="BG89" s="89">
        <v>6</v>
      </c>
      <c r="BH89" s="89" t="s">
        <v>646</v>
      </c>
      <c r="BI89" s="89" t="s">
        <v>646</v>
      </c>
      <c r="BJ89" s="89" t="s">
        <v>646</v>
      </c>
      <c r="BK89" s="89" t="s">
        <v>646</v>
      </c>
      <c r="BL89" s="89">
        <v>597</v>
      </c>
      <c r="BM89" s="89">
        <v>604</v>
      </c>
      <c r="BN89" s="89" t="s">
        <v>646</v>
      </c>
      <c r="BO89" s="89" t="str">
        <f>HYPERLINK("http://dx.doi.org/10.1002/erv.2613","http://dx.doi.org/10.1002/erv.2613")</f>
        <v>http://dx.doi.org/10.1002/erv.2613</v>
      </c>
      <c r="BP89" s="89" t="s">
        <v>646</v>
      </c>
      <c r="BQ89" s="89" t="s">
        <v>646</v>
      </c>
      <c r="BR89" s="89" t="s">
        <v>646</v>
      </c>
      <c r="BS89" s="89" t="s">
        <v>646</v>
      </c>
      <c r="BT89" s="89" t="s">
        <v>646</v>
      </c>
      <c r="BU89" s="89" t="s">
        <v>646</v>
      </c>
      <c r="BV89" s="89" t="s">
        <v>646</v>
      </c>
      <c r="BW89" s="89">
        <v>30003654</v>
      </c>
      <c r="BX89" s="89" t="s">
        <v>646</v>
      </c>
      <c r="BY89" s="89" t="s">
        <v>646</v>
      </c>
      <c r="BZ89" s="89" t="s">
        <v>646</v>
      </c>
      <c r="CA89" s="89" t="s">
        <v>646</v>
      </c>
      <c r="CB89" s="89" t="s">
        <v>18293</v>
      </c>
      <c r="CC89" s="89" t="str">
        <f>HYPERLINK("https%3A%2F%2Fwww.webofscience.com%2Fwos%2Fwoscc%2Ffull-record%2FWOS:000449655600007","View Full Record in Web of Science")</f>
        <v>View Full Record in Web of Science</v>
      </c>
    </row>
    <row r="90" spans="1:81" ht="13.2" hidden="1" x14ac:dyDescent="0.25">
      <c r="A90" s="89" t="s">
        <v>18294</v>
      </c>
      <c r="B90" s="89" t="e">
        <f>+#REF!</f>
        <v>#REF!</v>
      </c>
      <c r="C90" s="89"/>
      <c r="D90" s="91" t="s">
        <v>17939</v>
      </c>
      <c r="E90" s="90" t="e">
        <v>#REF!</v>
      </c>
      <c r="F90" s="89"/>
      <c r="G90" s="89"/>
      <c r="H90" s="89" t="s">
        <v>646</v>
      </c>
      <c r="I90" s="89" t="s">
        <v>18296</v>
      </c>
      <c r="J90" s="89" t="s">
        <v>646</v>
      </c>
      <c r="K90" s="89" t="s">
        <v>6471</v>
      </c>
      <c r="M90" s="89">
        <v>2014</v>
      </c>
      <c r="N90" s="89" t="s">
        <v>18297</v>
      </c>
      <c r="O90" s="89" t="s">
        <v>18295</v>
      </c>
      <c r="P90" s="89" t="s">
        <v>646</v>
      </c>
      <c r="S90" s="89" t="s">
        <v>646</v>
      </c>
      <c r="U90" s="89" t="s">
        <v>17474</v>
      </c>
      <c r="W90" s="89" t="s">
        <v>646</v>
      </c>
      <c r="X90" s="89" t="s">
        <v>646</v>
      </c>
      <c r="Y90" s="89" t="s">
        <v>18298</v>
      </c>
      <c r="Z90" s="89" t="s">
        <v>18299</v>
      </c>
      <c r="AA90" s="89" t="s">
        <v>18300</v>
      </c>
      <c r="AB90" s="89" t="s">
        <v>646</v>
      </c>
      <c r="AC90" s="89" t="s">
        <v>646</v>
      </c>
      <c r="AD90" s="89" t="s">
        <v>646</v>
      </c>
      <c r="AE90" s="89" t="s">
        <v>646</v>
      </c>
      <c r="AF90" s="89" t="s">
        <v>6471</v>
      </c>
      <c r="AG90" s="89" t="s">
        <v>646</v>
      </c>
      <c r="AH90" s="89" t="s">
        <v>646</v>
      </c>
      <c r="AI90" s="89" t="s">
        <v>646</v>
      </c>
      <c r="AJ90" s="89" t="s">
        <v>646</v>
      </c>
      <c r="AK90" s="89" t="s">
        <v>646</v>
      </c>
      <c r="AL90" s="89" t="s">
        <v>646</v>
      </c>
      <c r="AM90" s="89" t="s">
        <v>646</v>
      </c>
      <c r="AN90" s="89" t="s">
        <v>646</v>
      </c>
      <c r="AO90" s="89" t="s">
        <v>646</v>
      </c>
      <c r="AP90" s="89" t="s">
        <v>646</v>
      </c>
      <c r="AQ90" s="89" t="s">
        <v>646</v>
      </c>
      <c r="AR90" s="89" t="s">
        <v>646</v>
      </c>
      <c r="AS90" s="89" t="s">
        <v>646</v>
      </c>
      <c r="AT90" s="89" t="s">
        <v>646</v>
      </c>
      <c r="AU90" s="89" t="s">
        <v>646</v>
      </c>
      <c r="AV90" s="89" t="s">
        <v>646</v>
      </c>
      <c r="AW90" s="89" t="s">
        <v>646</v>
      </c>
      <c r="AX90" s="89" t="s">
        <v>646</v>
      </c>
      <c r="AY90" s="89" t="s">
        <v>18301</v>
      </c>
      <c r="AZ90" s="89" t="s">
        <v>646</v>
      </c>
      <c r="BA90" s="89" t="s">
        <v>646</v>
      </c>
      <c r="BB90" s="89" t="s">
        <v>646</v>
      </c>
      <c r="BC90" s="89" t="s">
        <v>646</v>
      </c>
      <c r="BD90" s="89" t="s">
        <v>646</v>
      </c>
      <c r="BE90" s="89">
        <v>2014</v>
      </c>
      <c r="BF90" s="89">
        <v>27</v>
      </c>
      <c r="BG90" s="89" t="s">
        <v>646</v>
      </c>
      <c r="BH90" s="89" t="s">
        <v>646</v>
      </c>
      <c r="BI90" s="89" t="s">
        <v>646</v>
      </c>
      <c r="BJ90" s="89" t="s">
        <v>646</v>
      </c>
      <c r="BK90" s="89" t="s">
        <v>646</v>
      </c>
      <c r="BL90" s="89" t="s">
        <v>646</v>
      </c>
      <c r="BM90" s="89" t="s">
        <v>646</v>
      </c>
      <c r="BN90" s="89" t="s">
        <v>646</v>
      </c>
      <c r="BO90" s="89" t="s">
        <v>646</v>
      </c>
      <c r="BP90" s="89" t="s">
        <v>646</v>
      </c>
      <c r="BQ90" s="89" t="s">
        <v>646</v>
      </c>
      <c r="BR90" s="89" t="s">
        <v>646</v>
      </c>
      <c r="BS90" s="89" t="s">
        <v>646</v>
      </c>
      <c r="BT90" s="89" t="s">
        <v>646</v>
      </c>
      <c r="BU90" s="89" t="s">
        <v>646</v>
      </c>
      <c r="BV90" s="89" t="s">
        <v>646</v>
      </c>
      <c r="BW90" s="89" t="s">
        <v>646</v>
      </c>
      <c r="BX90" s="89" t="s">
        <v>646</v>
      </c>
      <c r="BY90" s="89" t="s">
        <v>646</v>
      </c>
      <c r="BZ90" s="89" t="s">
        <v>646</v>
      </c>
      <c r="CA90" s="89" t="s">
        <v>646</v>
      </c>
      <c r="CB90" s="89" t="s">
        <v>18302</v>
      </c>
      <c r="CC90" s="89" t="str">
        <f>HYPERLINK("https%3A%2F%2Fwww.webofscience.com%2Fwos%2Fwoscc%2Ffull-record%2FWOS:000452647100088","View Full Record in Web of Science")</f>
        <v>View Full Record in Web of Science</v>
      </c>
    </row>
    <row r="91" spans="1:81" ht="13.2" hidden="1" x14ac:dyDescent="0.25">
      <c r="A91" s="89" t="s">
        <v>18303</v>
      </c>
      <c r="B91" s="89" t="e">
        <f>+#REF!</f>
        <v>#REF!</v>
      </c>
      <c r="C91" s="89"/>
      <c r="D91" s="91" t="s">
        <v>17939</v>
      </c>
      <c r="E91" s="90" t="e">
        <v>#REF!</v>
      </c>
      <c r="F91" s="89"/>
      <c r="G91" s="89"/>
      <c r="H91" s="89" t="s">
        <v>18304</v>
      </c>
      <c r="I91" s="89" t="s">
        <v>18305</v>
      </c>
      <c r="J91" s="89" t="s">
        <v>646</v>
      </c>
      <c r="K91" s="89" t="s">
        <v>18307</v>
      </c>
      <c r="M91" s="89">
        <v>2017</v>
      </c>
      <c r="N91" s="89" t="s">
        <v>18306</v>
      </c>
      <c r="O91" s="89" t="s">
        <v>646</v>
      </c>
      <c r="P91" s="89" t="str">
        <f>HYPERLINK("http://dx.doi.org/10.15195/v4.a19","http://dx.doi.org/10.15195/v4.a19")</f>
        <v>http://dx.doi.org/10.15195/v4.a19</v>
      </c>
      <c r="S91" s="89" t="s">
        <v>646</v>
      </c>
      <c r="U91" s="89" t="s">
        <v>17462</v>
      </c>
      <c r="W91" s="89" t="s">
        <v>646</v>
      </c>
      <c r="X91" s="89" t="s">
        <v>646</v>
      </c>
      <c r="Y91" s="89" t="s">
        <v>646</v>
      </c>
      <c r="Z91" s="89" t="s">
        <v>646</v>
      </c>
      <c r="AA91" s="89" t="s">
        <v>646</v>
      </c>
      <c r="AB91" s="89" t="s">
        <v>646</v>
      </c>
      <c r="AC91" s="89" t="s">
        <v>646</v>
      </c>
      <c r="AD91" s="89" t="s">
        <v>646</v>
      </c>
      <c r="AE91" s="89" t="s">
        <v>646</v>
      </c>
      <c r="AF91" s="89" t="s">
        <v>18307</v>
      </c>
      <c r="AG91" s="89" t="s">
        <v>646</v>
      </c>
      <c r="AH91" s="89" t="s">
        <v>646</v>
      </c>
      <c r="AI91" s="89" t="s">
        <v>646</v>
      </c>
      <c r="AJ91" s="89" t="s">
        <v>646</v>
      </c>
      <c r="AK91" s="89" t="s">
        <v>646</v>
      </c>
      <c r="AL91" s="89" t="s">
        <v>646</v>
      </c>
      <c r="AM91" s="89" t="s">
        <v>646</v>
      </c>
      <c r="AN91" s="89" t="s">
        <v>646</v>
      </c>
      <c r="AO91" s="89" t="s">
        <v>646</v>
      </c>
      <c r="AP91" s="89" t="s">
        <v>646</v>
      </c>
      <c r="AQ91" s="89" t="s">
        <v>646</v>
      </c>
      <c r="AR91" s="89" t="s">
        <v>646</v>
      </c>
      <c r="AS91" s="89" t="s">
        <v>646</v>
      </c>
      <c r="AT91" s="89" t="s">
        <v>646</v>
      </c>
      <c r="AU91" s="89" t="s">
        <v>646</v>
      </c>
      <c r="AV91" s="89" t="s">
        <v>646</v>
      </c>
      <c r="AW91" s="89" t="s">
        <v>646</v>
      </c>
      <c r="AX91" s="89" t="s">
        <v>646</v>
      </c>
      <c r="AY91" s="89" t="s">
        <v>646</v>
      </c>
      <c r="AZ91" s="89" t="s">
        <v>18308</v>
      </c>
      <c r="BA91" s="89" t="s">
        <v>646</v>
      </c>
      <c r="BB91" s="89" t="s">
        <v>646</v>
      </c>
      <c r="BC91" s="89" t="s">
        <v>646</v>
      </c>
      <c r="BD91" s="89" t="s">
        <v>18309</v>
      </c>
      <c r="BE91" s="89">
        <v>2017</v>
      </c>
      <c r="BF91" s="89">
        <v>4</v>
      </c>
      <c r="BG91" s="89" t="s">
        <v>646</v>
      </c>
      <c r="BH91" s="89" t="s">
        <v>646</v>
      </c>
      <c r="BI91" s="89" t="s">
        <v>646</v>
      </c>
      <c r="BJ91" s="89" t="s">
        <v>646</v>
      </c>
      <c r="BK91" s="89" t="s">
        <v>646</v>
      </c>
      <c r="BL91" s="89">
        <v>469</v>
      </c>
      <c r="BM91" s="89">
        <v>489</v>
      </c>
      <c r="BN91" s="89" t="s">
        <v>646</v>
      </c>
      <c r="BO91" s="89" t="str">
        <f>HYPERLINK("http://dx.doi.org/10.15195/v4.a19","http://dx.doi.org/10.15195/v4.a19")</f>
        <v>http://dx.doi.org/10.15195/v4.a19</v>
      </c>
      <c r="BP91" s="89" t="s">
        <v>646</v>
      </c>
      <c r="BQ91" s="89" t="s">
        <v>646</v>
      </c>
      <c r="BR91" s="89" t="s">
        <v>646</v>
      </c>
      <c r="BS91" s="89" t="s">
        <v>646</v>
      </c>
      <c r="BT91" s="89" t="s">
        <v>646</v>
      </c>
      <c r="BU91" s="89" t="s">
        <v>646</v>
      </c>
      <c r="BV91" s="89" t="s">
        <v>646</v>
      </c>
      <c r="BW91" s="89" t="s">
        <v>646</v>
      </c>
      <c r="BX91" s="89" t="s">
        <v>646</v>
      </c>
      <c r="BY91" s="89" t="s">
        <v>646</v>
      </c>
      <c r="BZ91" s="89" t="s">
        <v>646</v>
      </c>
      <c r="CA91" s="89" t="s">
        <v>646</v>
      </c>
      <c r="CB91" s="89" t="s">
        <v>18310</v>
      </c>
      <c r="CC91" s="89" t="str">
        <f>HYPERLINK("https%3A%2F%2Fwww.webofscience.com%2Fwos%2Fwoscc%2Ffull-record%2FWOS:000411667900001","View Full Record in Web of Science")</f>
        <v>View Full Record in Web of Science</v>
      </c>
    </row>
    <row r="92" spans="1:81" ht="13.2" hidden="1" x14ac:dyDescent="0.25">
      <c r="A92" s="89" t="s">
        <v>18311</v>
      </c>
      <c r="B92" s="89" t="e">
        <f>+#REF!</f>
        <v>#REF!</v>
      </c>
      <c r="C92" s="89"/>
      <c r="D92" s="91" t="s">
        <v>17939</v>
      </c>
      <c r="E92" s="90" t="e">
        <v>#REF!</v>
      </c>
      <c r="F92" s="89"/>
      <c r="G92" s="89"/>
      <c r="H92" s="89" t="s">
        <v>646</v>
      </c>
      <c r="I92" s="89" t="s">
        <v>18312</v>
      </c>
      <c r="J92" s="89" t="s">
        <v>646</v>
      </c>
      <c r="K92" s="89" t="s">
        <v>18314</v>
      </c>
      <c r="M92" s="89">
        <v>2018</v>
      </c>
      <c r="N92" s="89" t="s">
        <v>18313</v>
      </c>
      <c r="O92" s="89" t="s">
        <v>646</v>
      </c>
      <c r="P92" s="89" t="s">
        <v>646</v>
      </c>
      <c r="S92" s="89" t="s">
        <v>646</v>
      </c>
      <c r="U92" s="89" t="s">
        <v>17462</v>
      </c>
      <c r="W92" s="89" t="s">
        <v>646</v>
      </c>
      <c r="X92" s="89" t="s">
        <v>646</v>
      </c>
      <c r="Y92" s="89" t="s">
        <v>646</v>
      </c>
      <c r="Z92" s="89" t="s">
        <v>646</v>
      </c>
      <c r="AA92" s="89" t="s">
        <v>646</v>
      </c>
      <c r="AB92" s="89" t="s">
        <v>646</v>
      </c>
      <c r="AC92" s="89" t="s">
        <v>646</v>
      </c>
      <c r="AD92" s="89" t="s">
        <v>646</v>
      </c>
      <c r="AE92" s="89" t="s">
        <v>646</v>
      </c>
      <c r="AF92" s="89" t="s">
        <v>18314</v>
      </c>
      <c r="AG92" s="89" t="s">
        <v>646</v>
      </c>
      <c r="AH92" s="89" t="s">
        <v>646</v>
      </c>
      <c r="AI92" s="89" t="s">
        <v>646</v>
      </c>
      <c r="AJ92" s="89" t="s">
        <v>646</v>
      </c>
      <c r="AK92" s="89" t="s">
        <v>646</v>
      </c>
      <c r="AL92" s="89" t="s">
        <v>646</v>
      </c>
      <c r="AM92" s="89" t="s">
        <v>646</v>
      </c>
      <c r="AN92" s="89" t="s">
        <v>646</v>
      </c>
      <c r="AO92" s="89" t="s">
        <v>646</v>
      </c>
      <c r="AP92" s="89" t="s">
        <v>646</v>
      </c>
      <c r="AQ92" s="89" t="s">
        <v>646</v>
      </c>
      <c r="AR92" s="89" t="s">
        <v>646</v>
      </c>
      <c r="AS92" s="89" t="s">
        <v>646</v>
      </c>
      <c r="AT92" s="89" t="s">
        <v>646</v>
      </c>
      <c r="AU92" s="89" t="s">
        <v>646</v>
      </c>
      <c r="AV92" s="89" t="s">
        <v>646</v>
      </c>
      <c r="AW92" s="89" t="s">
        <v>646</v>
      </c>
      <c r="AX92" s="89" t="s">
        <v>646</v>
      </c>
      <c r="AY92" s="89" t="s">
        <v>18315</v>
      </c>
      <c r="AZ92" s="89" t="s">
        <v>646</v>
      </c>
      <c r="BA92" s="89" t="s">
        <v>646</v>
      </c>
      <c r="BB92" s="89" t="s">
        <v>646</v>
      </c>
      <c r="BC92" s="89" t="s">
        <v>646</v>
      </c>
      <c r="BD92" s="89" t="s">
        <v>18316</v>
      </c>
      <c r="BE92" s="89">
        <v>2018</v>
      </c>
      <c r="BF92" s="89">
        <v>70</v>
      </c>
      <c r="BG92" s="89">
        <v>2</v>
      </c>
      <c r="BH92" s="89" t="s">
        <v>646</v>
      </c>
      <c r="BI92" s="89" t="s">
        <v>646</v>
      </c>
      <c r="BJ92" s="89" t="s">
        <v>646</v>
      </c>
      <c r="BK92" s="89" t="s">
        <v>646</v>
      </c>
      <c r="BL92" s="89">
        <v>459</v>
      </c>
      <c r="BM92" s="89">
        <v>519</v>
      </c>
      <c r="BN92" s="89" t="s">
        <v>646</v>
      </c>
      <c r="BO92" s="89" t="s">
        <v>646</v>
      </c>
      <c r="BP92" s="89" t="s">
        <v>646</v>
      </c>
      <c r="BQ92" s="89" t="s">
        <v>646</v>
      </c>
      <c r="BR92" s="89" t="s">
        <v>646</v>
      </c>
      <c r="BS92" s="89" t="s">
        <v>646</v>
      </c>
      <c r="BT92" s="89" t="s">
        <v>646</v>
      </c>
      <c r="BU92" s="89" t="s">
        <v>646</v>
      </c>
      <c r="BV92" s="89" t="s">
        <v>646</v>
      </c>
      <c r="BW92" s="89" t="s">
        <v>646</v>
      </c>
      <c r="BX92" s="89" t="s">
        <v>646</v>
      </c>
      <c r="BY92" s="89" t="s">
        <v>646</v>
      </c>
      <c r="BZ92" s="89" t="s">
        <v>646</v>
      </c>
      <c r="CA92" s="89" t="s">
        <v>646</v>
      </c>
      <c r="CB92" s="89" t="s">
        <v>18317</v>
      </c>
      <c r="CC92" s="89" t="str">
        <f>HYPERLINK("https%3A%2F%2Fwww.webofscience.com%2Fwos%2Fwoscc%2Ffull-record%2FWOS:000438834200005","View Full Record in Web of Science")</f>
        <v>View Full Record in Web of Science</v>
      </c>
    </row>
    <row r="93" spans="1:81" ht="13.2" hidden="1" x14ac:dyDescent="0.25">
      <c r="A93" s="89" t="s">
        <v>18318</v>
      </c>
      <c r="B93" s="89" t="e">
        <f>+#REF!</f>
        <v>#REF!</v>
      </c>
      <c r="C93" s="89"/>
      <c r="D93" s="91" t="s">
        <v>17939</v>
      </c>
      <c r="E93" s="90" t="e">
        <v>#REF!</v>
      </c>
      <c r="F93" s="89"/>
      <c r="G93" s="89"/>
      <c r="H93" s="89" t="s">
        <v>646</v>
      </c>
      <c r="I93" s="89" t="s">
        <v>18319</v>
      </c>
      <c r="J93" s="89" t="s">
        <v>18322</v>
      </c>
      <c r="K93" s="89" t="s">
        <v>18321</v>
      </c>
      <c r="M93" s="89">
        <v>2012</v>
      </c>
      <c r="N93" s="89" t="s">
        <v>18320</v>
      </c>
      <c r="O93" s="89" t="s">
        <v>646</v>
      </c>
      <c r="P93" s="89" t="s">
        <v>646</v>
      </c>
      <c r="S93" s="89" t="s">
        <v>646</v>
      </c>
      <c r="U93" s="89" t="s">
        <v>17462</v>
      </c>
      <c r="W93" s="89" t="s">
        <v>646</v>
      </c>
      <c r="X93" s="89" t="s">
        <v>646</v>
      </c>
      <c r="Y93" s="89" t="s">
        <v>646</v>
      </c>
      <c r="Z93" s="89" t="s">
        <v>646</v>
      </c>
      <c r="AA93" s="89" t="s">
        <v>646</v>
      </c>
      <c r="AB93" s="89" t="s">
        <v>646</v>
      </c>
      <c r="AC93" s="89" t="s">
        <v>646</v>
      </c>
      <c r="AD93" s="89" t="s">
        <v>646</v>
      </c>
      <c r="AE93" s="89" t="s">
        <v>646</v>
      </c>
      <c r="AF93" s="89" t="s">
        <v>18321</v>
      </c>
      <c r="AG93" s="89" t="s">
        <v>646</v>
      </c>
      <c r="AH93" s="89" t="s">
        <v>646</v>
      </c>
      <c r="AI93" s="89" t="s">
        <v>646</v>
      </c>
      <c r="AJ93" s="89" t="s">
        <v>646</v>
      </c>
      <c r="AK93" s="89" t="s">
        <v>18322</v>
      </c>
      <c r="AL93" s="89" t="s">
        <v>18323</v>
      </c>
      <c r="AM93" s="89" t="s">
        <v>646</v>
      </c>
      <c r="AN93" s="89" t="s">
        <v>646</v>
      </c>
      <c r="AO93" s="89" t="s">
        <v>646</v>
      </c>
      <c r="AP93" s="89" t="s">
        <v>646</v>
      </c>
      <c r="AQ93" s="89" t="s">
        <v>646</v>
      </c>
      <c r="AR93" s="89" t="s">
        <v>646</v>
      </c>
      <c r="AS93" s="89" t="s">
        <v>646</v>
      </c>
      <c r="AT93" s="89" t="s">
        <v>646</v>
      </c>
      <c r="AU93" s="89" t="s">
        <v>646</v>
      </c>
      <c r="AV93" s="89" t="s">
        <v>646</v>
      </c>
      <c r="AW93" s="89" t="s">
        <v>646</v>
      </c>
      <c r="AX93" s="89" t="s">
        <v>646</v>
      </c>
      <c r="AY93" s="89" t="s">
        <v>18324</v>
      </c>
      <c r="AZ93" s="89" t="s">
        <v>18325</v>
      </c>
      <c r="BA93" s="89" t="s">
        <v>646</v>
      </c>
      <c r="BB93" s="89" t="s">
        <v>646</v>
      </c>
      <c r="BC93" s="89" t="s">
        <v>646</v>
      </c>
      <c r="BD93" s="89" t="s">
        <v>17687</v>
      </c>
      <c r="BE93" s="89">
        <v>2012</v>
      </c>
      <c r="BF93" s="89">
        <v>30</v>
      </c>
      <c r="BG93" s="89">
        <v>10</v>
      </c>
      <c r="BH93" s="89" t="s">
        <v>646</v>
      </c>
      <c r="BI93" s="89" t="s">
        <v>646</v>
      </c>
      <c r="BJ93" s="89" t="s">
        <v>646</v>
      </c>
      <c r="BK93" s="89" t="s">
        <v>646</v>
      </c>
      <c r="BL93" s="89">
        <v>540</v>
      </c>
      <c r="BM93" s="89">
        <v>546</v>
      </c>
      <c r="BN93" s="89" t="s">
        <v>646</v>
      </c>
      <c r="BO93" s="89" t="s">
        <v>646</v>
      </c>
      <c r="BP93" s="89" t="s">
        <v>646</v>
      </c>
      <c r="BQ93" s="89" t="s">
        <v>646</v>
      </c>
      <c r="BR93" s="89" t="s">
        <v>646</v>
      </c>
      <c r="BS93" s="89" t="s">
        <v>646</v>
      </c>
      <c r="BT93" s="89" t="s">
        <v>646</v>
      </c>
      <c r="BU93" s="89" t="s">
        <v>646</v>
      </c>
      <c r="BV93" s="89" t="s">
        <v>646</v>
      </c>
      <c r="BW93" s="89">
        <v>23079482</v>
      </c>
      <c r="BX93" s="89" t="s">
        <v>646</v>
      </c>
      <c r="BY93" s="89" t="s">
        <v>646</v>
      </c>
      <c r="BZ93" s="89" t="s">
        <v>646</v>
      </c>
      <c r="CA93" s="89" t="s">
        <v>646</v>
      </c>
      <c r="CB93" s="89" t="s">
        <v>18326</v>
      </c>
      <c r="CC93" s="89" t="str">
        <f>HYPERLINK("https%3A%2F%2Fwww.webofscience.com%2Fwos%2Fwoscc%2Ffull-record%2FWOS:000310358000004","View Full Record in Web of Science")</f>
        <v>View Full Record in Web of Science</v>
      </c>
    </row>
    <row r="94" spans="1:81" ht="13.2" hidden="1" x14ac:dyDescent="0.25">
      <c r="A94" s="89" t="s">
        <v>1130</v>
      </c>
      <c r="B94" s="89" t="e">
        <f>+#REF!</f>
        <v>#REF!</v>
      </c>
      <c r="C94" s="89"/>
      <c r="D94" s="91" t="s">
        <v>17939</v>
      </c>
      <c r="E94" s="90" t="e">
        <v>#REF!</v>
      </c>
      <c r="F94" s="89"/>
      <c r="G94" s="89"/>
      <c r="H94" s="89" t="s">
        <v>1132</v>
      </c>
      <c r="I94" s="89" t="s">
        <v>18327</v>
      </c>
      <c r="J94" s="89" t="s">
        <v>18330</v>
      </c>
      <c r="K94" s="89" t="s">
        <v>18329</v>
      </c>
      <c r="M94" s="89">
        <v>2018</v>
      </c>
      <c r="N94" s="89" t="s">
        <v>18328</v>
      </c>
      <c r="O94" s="89" t="s">
        <v>646</v>
      </c>
      <c r="P94" s="89" t="str">
        <f>HYPERLINK("http://dx.doi.org/10.14207/ejsd.2018.v7n4p11","http://dx.doi.org/10.14207/ejsd.2018.v7n4p11")</f>
        <v>http://dx.doi.org/10.14207/ejsd.2018.v7n4p11</v>
      </c>
      <c r="S94" s="89" t="s">
        <v>646</v>
      </c>
      <c r="U94" s="89" t="s">
        <v>17462</v>
      </c>
      <c r="W94" s="89" t="s">
        <v>646</v>
      </c>
      <c r="X94" s="89" t="s">
        <v>646</v>
      </c>
      <c r="Y94" s="89" t="s">
        <v>646</v>
      </c>
      <c r="Z94" s="89" t="s">
        <v>646</v>
      </c>
      <c r="AA94" s="89" t="s">
        <v>646</v>
      </c>
      <c r="AB94" s="89" t="s">
        <v>646</v>
      </c>
      <c r="AC94" s="89" t="s">
        <v>646</v>
      </c>
      <c r="AD94" s="89" t="s">
        <v>646</v>
      </c>
      <c r="AE94" s="89" t="s">
        <v>646</v>
      </c>
      <c r="AF94" s="89" t="s">
        <v>18329</v>
      </c>
      <c r="AG94" s="89" t="s">
        <v>646</v>
      </c>
      <c r="AH94" s="89" t="s">
        <v>646</v>
      </c>
      <c r="AI94" s="89" t="s">
        <v>646</v>
      </c>
      <c r="AJ94" s="89" t="s">
        <v>646</v>
      </c>
      <c r="AK94" s="89" t="s">
        <v>18330</v>
      </c>
      <c r="AL94" s="89" t="s">
        <v>646</v>
      </c>
      <c r="AM94" s="89" t="s">
        <v>646</v>
      </c>
      <c r="AN94" s="89" t="s">
        <v>646</v>
      </c>
      <c r="AO94" s="89" t="s">
        <v>646</v>
      </c>
      <c r="AP94" s="89" t="s">
        <v>646</v>
      </c>
      <c r="AQ94" s="89" t="s">
        <v>646</v>
      </c>
      <c r="AR94" s="89" t="s">
        <v>646</v>
      </c>
      <c r="AS94" s="89" t="s">
        <v>646</v>
      </c>
      <c r="AT94" s="89" t="s">
        <v>646</v>
      </c>
      <c r="AU94" s="89" t="s">
        <v>646</v>
      </c>
      <c r="AV94" s="89" t="s">
        <v>646</v>
      </c>
      <c r="AW94" s="89" t="s">
        <v>646</v>
      </c>
      <c r="AX94" s="89" t="s">
        <v>646</v>
      </c>
      <c r="AY94" s="89" t="s">
        <v>18331</v>
      </c>
      <c r="AZ94" s="89" t="s">
        <v>18332</v>
      </c>
      <c r="BA94" s="89" t="s">
        <v>646</v>
      </c>
      <c r="BB94" s="89" t="s">
        <v>646</v>
      </c>
      <c r="BC94" s="89" t="s">
        <v>646</v>
      </c>
      <c r="BD94" s="89" t="s">
        <v>646</v>
      </c>
      <c r="BE94" s="89">
        <v>2018</v>
      </c>
      <c r="BF94" s="89">
        <v>7</v>
      </c>
      <c r="BG94" s="89">
        <v>4</v>
      </c>
      <c r="BH94" s="89" t="s">
        <v>646</v>
      </c>
      <c r="BI94" s="89" t="s">
        <v>646</v>
      </c>
      <c r="BJ94" s="89" t="s">
        <v>646</v>
      </c>
      <c r="BK94" s="89" t="s">
        <v>646</v>
      </c>
      <c r="BL94" s="89">
        <v>11</v>
      </c>
      <c r="BM94" s="89">
        <v>21</v>
      </c>
      <c r="BN94" s="89" t="s">
        <v>646</v>
      </c>
      <c r="BO94" s="89" t="str">
        <f>HYPERLINK("http://dx.doi.org/10.14207/ejsd.2018.v7n4p11","http://dx.doi.org/10.14207/ejsd.2018.v7n4p11")</f>
        <v>http://dx.doi.org/10.14207/ejsd.2018.v7n4p11</v>
      </c>
      <c r="BP94" s="89" t="s">
        <v>646</v>
      </c>
      <c r="BQ94" s="89" t="s">
        <v>646</v>
      </c>
      <c r="BR94" s="89" t="s">
        <v>646</v>
      </c>
      <c r="BS94" s="89" t="s">
        <v>646</v>
      </c>
      <c r="BT94" s="89" t="s">
        <v>646</v>
      </c>
      <c r="BU94" s="89" t="s">
        <v>646</v>
      </c>
      <c r="BV94" s="89" t="s">
        <v>646</v>
      </c>
      <c r="BW94" s="89" t="s">
        <v>646</v>
      </c>
      <c r="BX94" s="89" t="s">
        <v>646</v>
      </c>
      <c r="BY94" s="89" t="s">
        <v>646</v>
      </c>
      <c r="BZ94" s="89" t="s">
        <v>646</v>
      </c>
      <c r="CA94" s="89" t="s">
        <v>646</v>
      </c>
      <c r="CB94" s="89" t="s">
        <v>18333</v>
      </c>
      <c r="CC94" s="89" t="str">
        <f>HYPERLINK("https%3A%2F%2Fwww.webofscience.com%2Fwos%2Fwoscc%2Ffull-record%2FWOS:000446113700001","View Full Record in Web of Science")</f>
        <v>View Full Record in Web of Science</v>
      </c>
    </row>
    <row r="95" spans="1:81" ht="13.2" hidden="1" x14ac:dyDescent="0.25">
      <c r="A95" s="89" t="s">
        <v>18334</v>
      </c>
      <c r="B95" s="89" t="e">
        <f>+#REF!</f>
        <v>#REF!</v>
      </c>
      <c r="C95" s="89"/>
      <c r="D95" s="91" t="s">
        <v>17939</v>
      </c>
      <c r="E95" s="90" t="e">
        <v>#REF!</v>
      </c>
      <c r="F95" s="89"/>
      <c r="G95" s="89"/>
      <c r="H95" s="89" t="s">
        <v>646</v>
      </c>
      <c r="I95" s="89" t="s">
        <v>18336</v>
      </c>
      <c r="J95" s="89" t="s">
        <v>646</v>
      </c>
      <c r="K95" s="89" t="s">
        <v>18342</v>
      </c>
      <c r="M95" s="89">
        <v>2006</v>
      </c>
      <c r="N95" s="89" t="s">
        <v>18337</v>
      </c>
      <c r="O95" s="89" t="s">
        <v>18335</v>
      </c>
      <c r="P95" s="89" t="s">
        <v>646</v>
      </c>
      <c r="S95" s="89" t="s">
        <v>646</v>
      </c>
      <c r="U95" s="89" t="s">
        <v>17474</v>
      </c>
      <c r="W95" s="89" t="s">
        <v>646</v>
      </c>
      <c r="X95" s="89" t="s">
        <v>646</v>
      </c>
      <c r="Y95" s="89" t="s">
        <v>18338</v>
      </c>
      <c r="Z95" s="89" t="s">
        <v>18339</v>
      </c>
      <c r="AA95" s="89" t="s">
        <v>18340</v>
      </c>
      <c r="AB95" s="89" t="s">
        <v>18341</v>
      </c>
      <c r="AC95" s="89" t="s">
        <v>646</v>
      </c>
      <c r="AD95" s="89" t="s">
        <v>646</v>
      </c>
      <c r="AE95" s="89" t="s">
        <v>646</v>
      </c>
      <c r="AF95" s="89" t="s">
        <v>18342</v>
      </c>
      <c r="AG95" s="89" t="s">
        <v>646</v>
      </c>
      <c r="AH95" s="89" t="s">
        <v>646</v>
      </c>
      <c r="AI95" s="89" t="s">
        <v>646</v>
      </c>
      <c r="AJ95" s="89" t="s">
        <v>646</v>
      </c>
      <c r="AK95" s="89" t="s">
        <v>646</v>
      </c>
      <c r="AL95" s="89" t="s">
        <v>646</v>
      </c>
      <c r="AM95" s="89" t="s">
        <v>646</v>
      </c>
      <c r="AN95" s="89" t="s">
        <v>646</v>
      </c>
      <c r="AO95" s="89" t="s">
        <v>646</v>
      </c>
      <c r="AP95" s="89" t="s">
        <v>646</v>
      </c>
      <c r="AQ95" s="89" t="s">
        <v>646</v>
      </c>
      <c r="AR95" s="89" t="s">
        <v>646</v>
      </c>
      <c r="AS95" s="89" t="s">
        <v>646</v>
      </c>
      <c r="AT95" s="89" t="s">
        <v>646</v>
      </c>
      <c r="AU95" s="89" t="s">
        <v>646</v>
      </c>
      <c r="AV95" s="89" t="s">
        <v>646</v>
      </c>
      <c r="AW95" s="89" t="s">
        <v>646</v>
      </c>
      <c r="AX95" s="89" t="s">
        <v>646</v>
      </c>
      <c r="AY95" s="89" t="s">
        <v>18343</v>
      </c>
      <c r="AZ95" s="89" t="s">
        <v>646</v>
      </c>
      <c r="BA95" s="89" t="s">
        <v>18344</v>
      </c>
      <c r="BB95" s="89" t="s">
        <v>646</v>
      </c>
      <c r="BC95" s="89" t="s">
        <v>646</v>
      </c>
      <c r="BD95" s="89" t="s">
        <v>646</v>
      </c>
      <c r="BE95" s="89">
        <v>2006</v>
      </c>
      <c r="BF95" s="89">
        <v>210</v>
      </c>
      <c r="BG95" s="89" t="s">
        <v>646</v>
      </c>
      <c r="BH95" s="89" t="s">
        <v>646</v>
      </c>
      <c r="BI95" s="89" t="s">
        <v>646</v>
      </c>
      <c r="BJ95" s="89" t="s">
        <v>646</v>
      </c>
      <c r="BK95" s="89" t="s">
        <v>646</v>
      </c>
      <c r="BL95" s="89">
        <v>387</v>
      </c>
      <c r="BM95" s="89">
        <v>391</v>
      </c>
      <c r="BN95" s="89" t="s">
        <v>646</v>
      </c>
      <c r="BO95" s="89" t="s">
        <v>646</v>
      </c>
      <c r="BP95" s="89" t="s">
        <v>646</v>
      </c>
      <c r="BQ95" s="89" t="s">
        <v>646</v>
      </c>
      <c r="BR95" s="89" t="s">
        <v>646</v>
      </c>
      <c r="BS95" s="89" t="s">
        <v>646</v>
      </c>
      <c r="BT95" s="89" t="s">
        <v>646</v>
      </c>
      <c r="BU95" s="89" t="s">
        <v>646</v>
      </c>
      <c r="BV95" s="89" t="s">
        <v>646</v>
      </c>
      <c r="BW95" s="89" t="s">
        <v>646</v>
      </c>
      <c r="BX95" s="89" t="s">
        <v>646</v>
      </c>
      <c r="BY95" s="89" t="s">
        <v>646</v>
      </c>
      <c r="BZ95" s="89" t="s">
        <v>646</v>
      </c>
      <c r="CA95" s="89" t="s">
        <v>646</v>
      </c>
      <c r="CB95" s="89" t="s">
        <v>18345</v>
      </c>
      <c r="CC95" s="89" t="str">
        <f>HYPERLINK("https%3A%2F%2Fwww.webofscience.com%2Fwos%2Fwoscc%2Ffull-record%2FWOS:000239949700049","View Full Record in Web of Science")</f>
        <v>View Full Record in Web of Science</v>
      </c>
    </row>
    <row r="96" spans="1:81" ht="13.2" hidden="1" x14ac:dyDescent="0.25">
      <c r="A96" s="89" t="s">
        <v>18346</v>
      </c>
      <c r="B96" s="89" t="e">
        <f>+#REF!</f>
        <v>#REF!</v>
      </c>
      <c r="C96" s="89"/>
      <c r="D96" s="91" t="s">
        <v>17939</v>
      </c>
      <c r="E96" s="90" t="e">
        <v>#REF!</v>
      </c>
      <c r="F96" s="89"/>
      <c r="G96" s="89"/>
      <c r="H96" s="89" t="s">
        <v>646</v>
      </c>
      <c r="I96" s="89" t="s">
        <v>18348</v>
      </c>
      <c r="J96" s="89" t="s">
        <v>18355</v>
      </c>
      <c r="K96" s="89" t="s">
        <v>18354</v>
      </c>
      <c r="M96" s="89">
        <v>2017</v>
      </c>
      <c r="N96" s="89" t="s">
        <v>18349</v>
      </c>
      <c r="O96" s="89" t="s">
        <v>18347</v>
      </c>
      <c r="P96" s="89" t="s">
        <v>646</v>
      </c>
      <c r="S96" s="89" t="s">
        <v>646</v>
      </c>
      <c r="U96" s="89" t="s">
        <v>17474</v>
      </c>
      <c r="W96" s="89" t="s">
        <v>646</v>
      </c>
      <c r="X96" s="89" t="s">
        <v>646</v>
      </c>
      <c r="Y96" s="89" t="s">
        <v>18350</v>
      </c>
      <c r="Z96" s="89" t="s">
        <v>18351</v>
      </c>
      <c r="AA96" s="89" t="s">
        <v>18352</v>
      </c>
      <c r="AB96" s="89" t="s">
        <v>18353</v>
      </c>
      <c r="AC96" s="89" t="s">
        <v>646</v>
      </c>
      <c r="AD96" s="89" t="s">
        <v>646</v>
      </c>
      <c r="AE96" s="89" t="s">
        <v>646</v>
      </c>
      <c r="AF96" s="89" t="s">
        <v>18354</v>
      </c>
      <c r="AG96" s="89" t="s">
        <v>646</v>
      </c>
      <c r="AH96" s="89" t="s">
        <v>646</v>
      </c>
      <c r="AI96" s="89" t="s">
        <v>646</v>
      </c>
      <c r="AJ96" s="89" t="s">
        <v>646</v>
      </c>
      <c r="AK96" s="89" t="s">
        <v>18355</v>
      </c>
      <c r="AL96" s="89" t="s">
        <v>18356</v>
      </c>
      <c r="AM96" s="89" t="s">
        <v>646</v>
      </c>
      <c r="AN96" s="89" t="s">
        <v>646</v>
      </c>
      <c r="AO96" s="89" t="s">
        <v>646</v>
      </c>
      <c r="AP96" s="89" t="s">
        <v>646</v>
      </c>
      <c r="AQ96" s="89" t="s">
        <v>646</v>
      </c>
      <c r="AR96" s="89" t="s">
        <v>646</v>
      </c>
      <c r="AS96" s="89" t="s">
        <v>646</v>
      </c>
      <c r="AT96" s="89" t="s">
        <v>646</v>
      </c>
      <c r="AU96" s="89" t="s">
        <v>646</v>
      </c>
      <c r="AV96" s="89" t="s">
        <v>646</v>
      </c>
      <c r="AW96" s="89" t="s">
        <v>646</v>
      </c>
      <c r="AX96" s="89" t="s">
        <v>646</v>
      </c>
      <c r="AY96" s="89" t="s">
        <v>18357</v>
      </c>
      <c r="AZ96" s="89" t="s">
        <v>646</v>
      </c>
      <c r="BA96" s="89" t="s">
        <v>646</v>
      </c>
      <c r="BB96" s="89" t="s">
        <v>646</v>
      </c>
      <c r="BC96" s="89" t="s">
        <v>646</v>
      </c>
      <c r="BD96" s="89" t="s">
        <v>646</v>
      </c>
      <c r="BE96" s="89">
        <v>2017</v>
      </c>
      <c r="BF96" s="89" t="s">
        <v>646</v>
      </c>
      <c r="BG96" s="89" t="s">
        <v>646</v>
      </c>
      <c r="BH96" s="89" t="s">
        <v>646</v>
      </c>
      <c r="BI96" s="89" t="s">
        <v>646</v>
      </c>
      <c r="BJ96" s="89" t="s">
        <v>646</v>
      </c>
      <c r="BK96" s="89" t="s">
        <v>646</v>
      </c>
      <c r="BL96" s="89">
        <v>129</v>
      </c>
      <c r="BM96" s="89">
        <v>138</v>
      </c>
      <c r="BN96" s="89" t="s">
        <v>646</v>
      </c>
      <c r="BO96" s="89" t="s">
        <v>646</v>
      </c>
      <c r="BP96" s="89" t="s">
        <v>646</v>
      </c>
      <c r="BQ96" s="89" t="s">
        <v>646</v>
      </c>
      <c r="BR96" s="89" t="s">
        <v>646</v>
      </c>
      <c r="BS96" s="89" t="s">
        <v>646</v>
      </c>
      <c r="BT96" s="89" t="s">
        <v>646</v>
      </c>
      <c r="BU96" s="89" t="s">
        <v>646</v>
      </c>
      <c r="BV96" s="89" t="s">
        <v>646</v>
      </c>
      <c r="BW96" s="89" t="s">
        <v>646</v>
      </c>
      <c r="BX96" s="89" t="s">
        <v>646</v>
      </c>
      <c r="BY96" s="89" t="s">
        <v>646</v>
      </c>
      <c r="BZ96" s="89" t="s">
        <v>646</v>
      </c>
      <c r="CA96" s="89" t="s">
        <v>646</v>
      </c>
      <c r="CB96" s="89" t="s">
        <v>18358</v>
      </c>
      <c r="CC96" s="89" t="str">
        <f>HYPERLINK("https%3A%2F%2Fwww.webofscience.com%2Fwos%2Fwoscc%2Ffull-record%2FWOS:000466917100014","View Full Record in Web of Science")</f>
        <v>View Full Record in Web of Science</v>
      </c>
    </row>
    <row r="97" spans="1:81" ht="13.2" hidden="1" x14ac:dyDescent="0.25">
      <c r="A97" s="89" t="s">
        <v>18359</v>
      </c>
      <c r="B97" s="89" t="e">
        <f>+#REF!</f>
        <v>#REF!</v>
      </c>
      <c r="C97" s="89"/>
      <c r="D97" s="91" t="s">
        <v>17939</v>
      </c>
      <c r="E97" s="90" t="e">
        <v>#REF!</v>
      </c>
      <c r="F97" s="89"/>
      <c r="G97" s="89"/>
      <c r="H97" s="89" t="s">
        <v>646</v>
      </c>
      <c r="I97" s="89" t="s">
        <v>18361</v>
      </c>
      <c r="J97" s="89" t="s">
        <v>646</v>
      </c>
      <c r="K97" s="89" t="s">
        <v>18366</v>
      </c>
      <c r="M97" s="89">
        <v>2011</v>
      </c>
      <c r="N97" s="89" t="s">
        <v>18362</v>
      </c>
      <c r="O97" s="89" t="s">
        <v>18360</v>
      </c>
      <c r="P97" s="89" t="s">
        <v>646</v>
      </c>
      <c r="S97" s="89" t="s">
        <v>646</v>
      </c>
      <c r="U97" s="89" t="s">
        <v>17474</v>
      </c>
      <c r="W97" s="89" t="s">
        <v>646</v>
      </c>
      <c r="X97" s="89" t="s">
        <v>646</v>
      </c>
      <c r="Y97" s="89" t="s">
        <v>18363</v>
      </c>
      <c r="Z97" s="89" t="s">
        <v>18364</v>
      </c>
      <c r="AA97" s="89" t="s">
        <v>18365</v>
      </c>
      <c r="AB97" s="89" t="s">
        <v>646</v>
      </c>
      <c r="AC97" s="89" t="s">
        <v>646</v>
      </c>
      <c r="AD97" s="89" t="s">
        <v>646</v>
      </c>
      <c r="AE97" s="89" t="s">
        <v>646</v>
      </c>
      <c r="AF97" s="89" t="s">
        <v>18366</v>
      </c>
      <c r="AG97" s="89" t="s">
        <v>646</v>
      </c>
      <c r="AH97" s="89" t="s">
        <v>646</v>
      </c>
      <c r="AI97" s="89" t="s">
        <v>646</v>
      </c>
      <c r="AJ97" s="89" t="s">
        <v>646</v>
      </c>
      <c r="AK97" s="89" t="s">
        <v>646</v>
      </c>
      <c r="AL97" s="89" t="s">
        <v>646</v>
      </c>
      <c r="AM97" s="89" t="s">
        <v>646</v>
      </c>
      <c r="AN97" s="89" t="s">
        <v>646</v>
      </c>
      <c r="AO97" s="89" t="s">
        <v>646</v>
      </c>
      <c r="AP97" s="89" t="s">
        <v>646</v>
      </c>
      <c r="AQ97" s="89" t="s">
        <v>646</v>
      </c>
      <c r="AR97" s="89" t="s">
        <v>646</v>
      </c>
      <c r="AS97" s="89" t="s">
        <v>646</v>
      </c>
      <c r="AT97" s="89" t="s">
        <v>646</v>
      </c>
      <c r="AU97" s="89" t="s">
        <v>646</v>
      </c>
      <c r="AV97" s="89" t="s">
        <v>646</v>
      </c>
      <c r="AW97" s="89" t="s">
        <v>646</v>
      </c>
      <c r="AX97" s="89" t="s">
        <v>646</v>
      </c>
      <c r="AY97" s="89" t="s">
        <v>18367</v>
      </c>
      <c r="AZ97" s="89" t="s">
        <v>646</v>
      </c>
      <c r="BA97" s="89" t="s">
        <v>18368</v>
      </c>
      <c r="BB97" s="89" t="s">
        <v>646</v>
      </c>
      <c r="BC97" s="89" t="s">
        <v>646</v>
      </c>
      <c r="BD97" s="89" t="s">
        <v>646</v>
      </c>
      <c r="BE97" s="89">
        <v>2011</v>
      </c>
      <c r="BF97" s="89">
        <v>6777</v>
      </c>
      <c r="BG97" s="89" t="s">
        <v>646</v>
      </c>
      <c r="BH97" s="89" t="s">
        <v>646</v>
      </c>
      <c r="BI97" s="89" t="s">
        <v>646</v>
      </c>
      <c r="BJ97" s="89" t="s">
        <v>646</v>
      </c>
      <c r="BK97" s="89" t="s">
        <v>646</v>
      </c>
      <c r="BL97" s="89">
        <v>272</v>
      </c>
      <c r="BM97" s="89">
        <v>281</v>
      </c>
      <c r="BN97" s="89" t="s">
        <v>646</v>
      </c>
      <c r="BO97" s="89" t="s">
        <v>646</v>
      </c>
      <c r="BP97" s="89" t="s">
        <v>646</v>
      </c>
      <c r="BQ97" s="89" t="s">
        <v>646</v>
      </c>
      <c r="BR97" s="89" t="s">
        <v>646</v>
      </c>
      <c r="BS97" s="89" t="s">
        <v>646</v>
      </c>
      <c r="BT97" s="89" t="s">
        <v>646</v>
      </c>
      <c r="BU97" s="89" t="s">
        <v>646</v>
      </c>
      <c r="BV97" s="89" t="s">
        <v>646</v>
      </c>
      <c r="BW97" s="89" t="s">
        <v>646</v>
      </c>
      <c r="BX97" s="89" t="s">
        <v>646</v>
      </c>
      <c r="BY97" s="89" t="s">
        <v>646</v>
      </c>
      <c r="BZ97" s="89" t="s">
        <v>646</v>
      </c>
      <c r="CA97" s="89" t="s">
        <v>646</v>
      </c>
      <c r="CB97" s="89" t="s">
        <v>18369</v>
      </c>
      <c r="CC97" s="89" t="str">
        <f>HYPERLINK("https%3A%2F%2Fwww.webofscience.com%2Fwos%2Fwoscc%2Ffull-record%2FWOS:000306308800031","View Full Record in Web of Science")</f>
        <v>View Full Record in Web of Science</v>
      </c>
    </row>
    <row r="98" spans="1:81" ht="13.2" hidden="1" x14ac:dyDescent="0.25">
      <c r="A98" s="89" t="s">
        <v>18370</v>
      </c>
      <c r="B98" s="89" t="e">
        <f>+#REF!</f>
        <v>#REF!</v>
      </c>
      <c r="C98" s="89"/>
      <c r="D98" s="91" t="s">
        <v>17939</v>
      </c>
      <c r="E98" s="90" t="e">
        <v>#REF!</v>
      </c>
      <c r="F98" s="89"/>
      <c r="G98" s="89"/>
      <c r="H98" s="89" t="s">
        <v>18371</v>
      </c>
      <c r="I98" s="89" t="s">
        <v>18373</v>
      </c>
      <c r="J98" s="89" t="s">
        <v>18380</v>
      </c>
      <c r="K98" s="89" t="s">
        <v>18379</v>
      </c>
      <c r="M98" s="89">
        <v>2019</v>
      </c>
      <c r="N98" s="89" t="s">
        <v>18374</v>
      </c>
      <c r="O98" s="89" t="s">
        <v>18372</v>
      </c>
      <c r="P98" s="89" t="str">
        <f>HYPERLINK("http://dx.doi.org/10.1007/978-3-030-05940-8_5","http://dx.doi.org/10.1007/978-3-030-05940-8_5")</f>
        <v>http://dx.doi.org/10.1007/978-3-030-05940-8_5</v>
      </c>
      <c r="S98" s="89" t="s">
        <v>646</v>
      </c>
      <c r="U98" s="89" t="s">
        <v>17474</v>
      </c>
      <c r="W98" s="89" t="s">
        <v>646</v>
      </c>
      <c r="X98" s="89" t="s">
        <v>646</v>
      </c>
      <c r="Y98" s="89" t="s">
        <v>18375</v>
      </c>
      <c r="Z98" s="89" t="s">
        <v>18376</v>
      </c>
      <c r="AA98" s="89" t="s">
        <v>18377</v>
      </c>
      <c r="AB98" s="89" t="s">
        <v>18378</v>
      </c>
      <c r="AC98" s="89" t="s">
        <v>646</v>
      </c>
      <c r="AD98" s="89" t="s">
        <v>646</v>
      </c>
      <c r="AE98" s="89" t="s">
        <v>646</v>
      </c>
      <c r="AF98" s="89" t="s">
        <v>18379</v>
      </c>
      <c r="AG98" s="89" t="s">
        <v>646</v>
      </c>
      <c r="AH98" s="89" t="s">
        <v>646</v>
      </c>
      <c r="AI98" s="89" t="s">
        <v>646</v>
      </c>
      <c r="AJ98" s="89" t="s">
        <v>646</v>
      </c>
      <c r="AK98" s="89" t="s">
        <v>18380</v>
      </c>
      <c r="AL98" s="89" t="s">
        <v>18381</v>
      </c>
      <c r="AM98" s="89" t="s">
        <v>646</v>
      </c>
      <c r="AN98" s="89" t="s">
        <v>646</v>
      </c>
      <c r="AO98" s="89" t="s">
        <v>646</v>
      </c>
      <c r="AP98" s="89" t="s">
        <v>646</v>
      </c>
      <c r="AQ98" s="89" t="s">
        <v>646</v>
      </c>
      <c r="AR98" s="89" t="s">
        <v>646</v>
      </c>
      <c r="AS98" s="89" t="s">
        <v>646</v>
      </c>
      <c r="AT98" s="89" t="s">
        <v>646</v>
      </c>
      <c r="AU98" s="89" t="s">
        <v>646</v>
      </c>
      <c r="AV98" s="89" t="s">
        <v>646</v>
      </c>
      <c r="AW98" s="89" t="s">
        <v>646</v>
      </c>
      <c r="AX98" s="89" t="s">
        <v>646</v>
      </c>
      <c r="AY98" s="89" t="s">
        <v>646</v>
      </c>
      <c r="AZ98" s="89" t="s">
        <v>646</v>
      </c>
      <c r="BA98" s="89" t="s">
        <v>18382</v>
      </c>
      <c r="BB98" s="89" t="s">
        <v>646</v>
      </c>
      <c r="BC98" s="89" t="s">
        <v>646</v>
      </c>
      <c r="BD98" s="89" t="s">
        <v>646</v>
      </c>
      <c r="BE98" s="89">
        <v>2019</v>
      </c>
      <c r="BF98" s="89" t="s">
        <v>646</v>
      </c>
      <c r="BG98" s="89" t="s">
        <v>646</v>
      </c>
      <c r="BH98" s="89" t="s">
        <v>646</v>
      </c>
      <c r="BI98" s="89" t="s">
        <v>646</v>
      </c>
      <c r="BJ98" s="89" t="s">
        <v>646</v>
      </c>
      <c r="BK98" s="89" t="s">
        <v>646</v>
      </c>
      <c r="BL98" s="89">
        <v>55</v>
      </c>
      <c r="BM98" s="89">
        <v>66</v>
      </c>
      <c r="BN98" s="89" t="s">
        <v>646</v>
      </c>
      <c r="BO98" s="89" t="str">
        <f>HYPERLINK("http://dx.doi.org/10.1007/978-3-030-05940-8_5","http://dx.doi.org/10.1007/978-3-030-05940-8_5")</f>
        <v>http://dx.doi.org/10.1007/978-3-030-05940-8_5</v>
      </c>
      <c r="BP98" s="89" t="s">
        <v>646</v>
      </c>
      <c r="BQ98" s="89" t="s">
        <v>646</v>
      </c>
      <c r="BR98" s="89" t="s">
        <v>646</v>
      </c>
      <c r="BS98" s="89" t="s">
        <v>646</v>
      </c>
      <c r="BT98" s="89" t="s">
        <v>646</v>
      </c>
      <c r="BU98" s="89" t="s">
        <v>646</v>
      </c>
      <c r="BV98" s="89" t="s">
        <v>646</v>
      </c>
      <c r="BW98" s="89" t="s">
        <v>646</v>
      </c>
      <c r="BX98" s="89" t="s">
        <v>646</v>
      </c>
      <c r="BY98" s="89" t="s">
        <v>646</v>
      </c>
      <c r="BZ98" s="89" t="s">
        <v>646</v>
      </c>
      <c r="CA98" s="89" t="s">
        <v>646</v>
      </c>
      <c r="CB98" s="89" t="s">
        <v>18383</v>
      </c>
      <c r="CC98" s="89" t="str">
        <f>HYPERLINK("https%3A%2F%2Fwww.webofscience.com%2Fwos%2Fwoscc%2Ffull-record%2FWOS:000518026800005","View Full Record in Web of Science")</f>
        <v>View Full Record in Web of Science</v>
      </c>
    </row>
    <row r="99" spans="1:81" ht="13.2" hidden="1" x14ac:dyDescent="0.25">
      <c r="A99" s="89" t="s">
        <v>18384</v>
      </c>
      <c r="B99" s="89" t="e">
        <f>+#REF!</f>
        <v>#REF!</v>
      </c>
      <c r="C99" s="89"/>
      <c r="D99" s="91" t="s">
        <v>17939</v>
      </c>
      <c r="E99" s="90" t="e">
        <v>#REF!</v>
      </c>
      <c r="F99" s="89"/>
      <c r="G99" s="89"/>
      <c r="H99" s="89" t="s">
        <v>18385</v>
      </c>
      <c r="I99" s="89" t="s">
        <v>18386</v>
      </c>
      <c r="J99" s="89" t="s">
        <v>18389</v>
      </c>
      <c r="K99" s="89" t="s">
        <v>18388</v>
      </c>
      <c r="M99" s="89">
        <v>2016</v>
      </c>
      <c r="N99" s="89" t="s">
        <v>18387</v>
      </c>
      <c r="O99" s="89" t="s">
        <v>646</v>
      </c>
      <c r="P99" s="89" t="str">
        <f>HYPERLINK("http://dx.doi.org/10.1016/j.ijinfomgt.2016.02.005","http://dx.doi.org/10.1016/j.ijinfomgt.2016.02.005")</f>
        <v>http://dx.doi.org/10.1016/j.ijinfomgt.2016.02.005</v>
      </c>
      <c r="S99" s="89" t="s">
        <v>646</v>
      </c>
      <c r="U99" s="89" t="s">
        <v>17462</v>
      </c>
      <c r="W99" s="89" t="s">
        <v>646</v>
      </c>
      <c r="X99" s="89" t="s">
        <v>646</v>
      </c>
      <c r="Y99" s="89" t="s">
        <v>646</v>
      </c>
      <c r="Z99" s="89" t="s">
        <v>646</v>
      </c>
      <c r="AA99" s="89" t="s">
        <v>646</v>
      </c>
      <c r="AB99" s="89" t="s">
        <v>646</v>
      </c>
      <c r="AC99" s="89" t="s">
        <v>646</v>
      </c>
      <c r="AD99" s="89" t="s">
        <v>646</v>
      </c>
      <c r="AE99" s="89" t="s">
        <v>646</v>
      </c>
      <c r="AF99" s="89" t="s">
        <v>18388</v>
      </c>
      <c r="AG99" s="89" t="s">
        <v>646</v>
      </c>
      <c r="AH99" s="89" t="s">
        <v>646</v>
      </c>
      <c r="AI99" s="89" t="s">
        <v>646</v>
      </c>
      <c r="AJ99" s="89" t="s">
        <v>646</v>
      </c>
      <c r="AK99" s="89" t="s">
        <v>18389</v>
      </c>
      <c r="AL99" s="89" t="s">
        <v>18390</v>
      </c>
      <c r="AM99" s="89" t="s">
        <v>646</v>
      </c>
      <c r="AN99" s="89" t="s">
        <v>646</v>
      </c>
      <c r="AO99" s="89" t="s">
        <v>646</v>
      </c>
      <c r="AP99" s="89" t="s">
        <v>646</v>
      </c>
      <c r="AQ99" s="89" t="s">
        <v>646</v>
      </c>
      <c r="AR99" s="89" t="s">
        <v>646</v>
      </c>
      <c r="AS99" s="89" t="s">
        <v>646</v>
      </c>
      <c r="AT99" s="89" t="s">
        <v>646</v>
      </c>
      <c r="AU99" s="89" t="s">
        <v>646</v>
      </c>
      <c r="AV99" s="89" t="s">
        <v>646</v>
      </c>
      <c r="AW99" s="89" t="s">
        <v>646</v>
      </c>
      <c r="AX99" s="89" t="s">
        <v>646</v>
      </c>
      <c r="AY99" s="89" t="s">
        <v>18391</v>
      </c>
      <c r="AZ99" s="89" t="s">
        <v>18392</v>
      </c>
      <c r="BA99" s="89" t="s">
        <v>646</v>
      </c>
      <c r="BB99" s="89" t="s">
        <v>646</v>
      </c>
      <c r="BC99" s="89" t="s">
        <v>646</v>
      </c>
      <c r="BD99" s="89" t="s">
        <v>17772</v>
      </c>
      <c r="BE99" s="89">
        <v>2016</v>
      </c>
      <c r="BF99" s="89">
        <v>36</v>
      </c>
      <c r="BG99" s="89">
        <v>3</v>
      </c>
      <c r="BH99" s="89" t="s">
        <v>646</v>
      </c>
      <c r="BI99" s="89" t="s">
        <v>646</v>
      </c>
      <c r="BJ99" s="89" t="s">
        <v>646</v>
      </c>
      <c r="BK99" s="89" t="s">
        <v>646</v>
      </c>
      <c r="BL99" s="89">
        <v>451</v>
      </c>
      <c r="BM99" s="89">
        <v>475</v>
      </c>
      <c r="BN99" s="89" t="s">
        <v>646</v>
      </c>
      <c r="BO99" s="89" t="str">
        <f>HYPERLINK("http://dx.doi.org/10.1016/j.ijinfomgt.2016.02.005","http://dx.doi.org/10.1016/j.ijinfomgt.2016.02.005")</f>
        <v>http://dx.doi.org/10.1016/j.ijinfomgt.2016.02.005</v>
      </c>
      <c r="BP99" s="89" t="s">
        <v>646</v>
      </c>
      <c r="BQ99" s="89" t="s">
        <v>646</v>
      </c>
      <c r="BR99" s="89" t="s">
        <v>646</v>
      </c>
      <c r="BS99" s="89" t="s">
        <v>646</v>
      </c>
      <c r="BT99" s="89" t="s">
        <v>646</v>
      </c>
      <c r="BU99" s="89" t="s">
        <v>646</v>
      </c>
      <c r="BV99" s="89" t="s">
        <v>646</v>
      </c>
      <c r="BW99" s="89" t="s">
        <v>646</v>
      </c>
      <c r="BX99" s="89" t="s">
        <v>646</v>
      </c>
      <c r="BY99" s="89" t="s">
        <v>646</v>
      </c>
      <c r="BZ99" s="89" t="s">
        <v>646</v>
      </c>
      <c r="CA99" s="89" t="s">
        <v>646</v>
      </c>
      <c r="CB99" s="89" t="s">
        <v>18393</v>
      </c>
      <c r="CC99" s="89" t="str">
        <f>HYPERLINK("https%3A%2F%2Fwww.webofscience.com%2Fwos%2Fwoscc%2Ffull-record%2FWOS:000372540200019","View Full Record in Web of Science")</f>
        <v>View Full Record in Web of Science</v>
      </c>
    </row>
    <row r="100" spans="1:81" ht="13.2" hidden="1" x14ac:dyDescent="0.25">
      <c r="A100" s="89" t="s">
        <v>1626</v>
      </c>
      <c r="B100" s="89" t="e">
        <f>+#REF!</f>
        <v>#REF!</v>
      </c>
      <c r="C100" s="89"/>
      <c r="D100" s="91" t="s">
        <v>17939</v>
      </c>
      <c r="E100" s="90" t="e">
        <v>#REF!</v>
      </c>
      <c r="F100" s="89"/>
      <c r="G100" s="89"/>
      <c r="H100" s="89" t="s">
        <v>646</v>
      </c>
      <c r="I100" s="89" t="s">
        <v>18395</v>
      </c>
      <c r="J100" s="89" t="s">
        <v>646</v>
      </c>
      <c r="K100" s="89" t="s">
        <v>18401</v>
      </c>
      <c r="M100" s="89">
        <v>2010</v>
      </c>
      <c r="N100" s="89" t="s">
        <v>18396</v>
      </c>
      <c r="O100" s="89" t="s">
        <v>18394</v>
      </c>
      <c r="P100" s="89" t="s">
        <v>646</v>
      </c>
      <c r="S100" s="89" t="s">
        <v>646</v>
      </c>
      <c r="U100" s="89" t="s">
        <v>17474</v>
      </c>
      <c r="W100" s="89" t="s">
        <v>646</v>
      </c>
      <c r="X100" s="89" t="s">
        <v>646</v>
      </c>
      <c r="Y100" s="89" t="s">
        <v>18397</v>
      </c>
      <c r="Z100" s="89" t="s">
        <v>18398</v>
      </c>
      <c r="AA100" s="89" t="s">
        <v>18399</v>
      </c>
      <c r="AB100" s="89" t="s">
        <v>18400</v>
      </c>
      <c r="AC100" s="89" t="s">
        <v>646</v>
      </c>
      <c r="AD100" s="89" t="s">
        <v>646</v>
      </c>
      <c r="AE100" s="89" t="s">
        <v>646</v>
      </c>
      <c r="AF100" s="89" t="s">
        <v>18401</v>
      </c>
      <c r="AG100" s="89" t="s">
        <v>646</v>
      </c>
      <c r="AH100" s="89" t="s">
        <v>646</v>
      </c>
      <c r="AI100" s="89" t="s">
        <v>646</v>
      </c>
      <c r="AJ100" s="89" t="s">
        <v>646</v>
      </c>
      <c r="AK100" s="89" t="s">
        <v>646</v>
      </c>
      <c r="AL100" s="89" t="s">
        <v>18402</v>
      </c>
      <c r="AM100" s="89" t="s">
        <v>646</v>
      </c>
      <c r="AN100" s="89" t="s">
        <v>646</v>
      </c>
      <c r="AO100" s="89" t="s">
        <v>646</v>
      </c>
      <c r="AP100" s="89" t="s">
        <v>646</v>
      </c>
      <c r="AQ100" s="89" t="s">
        <v>646</v>
      </c>
      <c r="AR100" s="89" t="s">
        <v>646</v>
      </c>
      <c r="AS100" s="89" t="s">
        <v>646</v>
      </c>
      <c r="AT100" s="89" t="s">
        <v>646</v>
      </c>
      <c r="AU100" s="89" t="s">
        <v>646</v>
      </c>
      <c r="AV100" s="89" t="s">
        <v>646</v>
      </c>
      <c r="AW100" s="89" t="s">
        <v>646</v>
      </c>
      <c r="AX100" s="89" t="s">
        <v>646</v>
      </c>
      <c r="AY100" s="89" t="s">
        <v>18403</v>
      </c>
      <c r="AZ100" s="89" t="s">
        <v>646</v>
      </c>
      <c r="BA100" s="89" t="s">
        <v>18404</v>
      </c>
      <c r="BB100" s="89" t="s">
        <v>646</v>
      </c>
      <c r="BC100" s="89" t="s">
        <v>646</v>
      </c>
      <c r="BD100" s="89" t="s">
        <v>646</v>
      </c>
      <c r="BE100" s="89">
        <v>2010</v>
      </c>
      <c r="BF100" s="89">
        <v>55</v>
      </c>
      <c r="BG100" s="89" t="s">
        <v>646</v>
      </c>
      <c r="BH100" s="89" t="s">
        <v>646</v>
      </c>
      <c r="BI100" s="89" t="s">
        <v>646</v>
      </c>
      <c r="BJ100" s="89" t="s">
        <v>646</v>
      </c>
      <c r="BK100" s="89" t="s">
        <v>646</v>
      </c>
      <c r="BL100" s="89">
        <v>69</v>
      </c>
      <c r="BM100" s="89" t="s">
        <v>18405</v>
      </c>
      <c r="BN100" s="89" t="s">
        <v>646</v>
      </c>
      <c r="BO100" s="89" t="s">
        <v>646</v>
      </c>
      <c r="BP100" s="89" t="s">
        <v>646</v>
      </c>
      <c r="BQ100" s="89" t="s">
        <v>646</v>
      </c>
      <c r="BR100" s="89" t="s">
        <v>646</v>
      </c>
      <c r="BS100" s="89" t="s">
        <v>646</v>
      </c>
      <c r="BT100" s="89" t="s">
        <v>646</v>
      </c>
      <c r="BU100" s="89" t="s">
        <v>646</v>
      </c>
      <c r="BV100" s="89" t="s">
        <v>646</v>
      </c>
      <c r="BW100" s="89" t="s">
        <v>646</v>
      </c>
      <c r="BX100" s="89" t="s">
        <v>646</v>
      </c>
      <c r="BY100" s="89" t="s">
        <v>646</v>
      </c>
      <c r="BZ100" s="89" t="s">
        <v>646</v>
      </c>
      <c r="CA100" s="89" t="s">
        <v>646</v>
      </c>
      <c r="CB100" s="89" t="s">
        <v>18406</v>
      </c>
      <c r="CC100" s="89" t="str">
        <f>HYPERLINK("https%3A%2F%2Fwww.webofscience.com%2Fwos%2Fwoscc%2Ffull-record%2FWOS:000287947300005","View Full Record in Web of Science")</f>
        <v>View Full Record in Web of Science</v>
      </c>
    </row>
    <row r="101" spans="1:81" ht="13.2" hidden="1" x14ac:dyDescent="0.25">
      <c r="A101" s="89" t="s">
        <v>18407</v>
      </c>
      <c r="B101" s="89" t="e">
        <f>+#REF!</f>
        <v>#REF!</v>
      </c>
      <c r="C101" s="89"/>
      <c r="D101" s="91" t="s">
        <v>17939</v>
      </c>
      <c r="E101" s="90" t="e">
        <v>#REF!</v>
      </c>
      <c r="F101" s="89"/>
      <c r="G101" s="89"/>
      <c r="H101" s="89" t="s">
        <v>18408</v>
      </c>
      <c r="I101" s="89" t="s">
        <v>18409</v>
      </c>
      <c r="J101" s="89" t="s">
        <v>646</v>
      </c>
      <c r="K101" s="89" t="s">
        <v>18411</v>
      </c>
      <c r="M101" s="89">
        <v>2017</v>
      </c>
      <c r="N101" s="89" t="s">
        <v>18410</v>
      </c>
      <c r="O101" s="89" t="s">
        <v>646</v>
      </c>
      <c r="P101" s="89" t="str">
        <f>HYPERLINK("http://dx.doi.org/10.3390/bs7040072","http://dx.doi.org/10.3390/bs7040072")</f>
        <v>http://dx.doi.org/10.3390/bs7040072</v>
      </c>
      <c r="S101" s="89" t="s">
        <v>646</v>
      </c>
      <c r="U101" s="89" t="s">
        <v>17462</v>
      </c>
      <c r="W101" s="89" t="s">
        <v>646</v>
      </c>
      <c r="X101" s="89" t="s">
        <v>646</v>
      </c>
      <c r="Y101" s="89" t="s">
        <v>646</v>
      </c>
      <c r="Z101" s="89" t="s">
        <v>646</v>
      </c>
      <c r="AA101" s="89" t="s">
        <v>646</v>
      </c>
      <c r="AB101" s="89" t="s">
        <v>646</v>
      </c>
      <c r="AC101" s="89" t="s">
        <v>646</v>
      </c>
      <c r="AD101" s="89" t="s">
        <v>646</v>
      </c>
      <c r="AE101" s="89" t="s">
        <v>646</v>
      </c>
      <c r="AF101" s="89" t="s">
        <v>18411</v>
      </c>
      <c r="AG101" s="89" t="s">
        <v>646</v>
      </c>
      <c r="AH101" s="89" t="s">
        <v>646</v>
      </c>
      <c r="AI101" s="89" t="s">
        <v>646</v>
      </c>
      <c r="AJ101" s="89" t="s">
        <v>646</v>
      </c>
      <c r="AK101" s="89" t="s">
        <v>646</v>
      </c>
      <c r="AL101" s="89" t="s">
        <v>646</v>
      </c>
      <c r="AM101" s="89" t="s">
        <v>646</v>
      </c>
      <c r="AN101" s="89" t="s">
        <v>646</v>
      </c>
      <c r="AO101" s="89" t="s">
        <v>646</v>
      </c>
      <c r="AP101" s="89" t="s">
        <v>646</v>
      </c>
      <c r="AQ101" s="89" t="s">
        <v>646</v>
      </c>
      <c r="AR101" s="89" t="s">
        <v>646</v>
      </c>
      <c r="AS101" s="89" t="s">
        <v>646</v>
      </c>
      <c r="AT101" s="89" t="s">
        <v>646</v>
      </c>
      <c r="AU101" s="89" t="s">
        <v>646</v>
      </c>
      <c r="AV101" s="89" t="s">
        <v>646</v>
      </c>
      <c r="AW101" s="89" t="s">
        <v>646</v>
      </c>
      <c r="AX101" s="89" t="s">
        <v>646</v>
      </c>
      <c r="AY101" s="89" t="s">
        <v>18412</v>
      </c>
      <c r="AZ101" s="89" t="s">
        <v>646</v>
      </c>
      <c r="BA101" s="89" t="s">
        <v>646</v>
      </c>
      <c r="BB101" s="89" t="s">
        <v>646</v>
      </c>
      <c r="BC101" s="89" t="s">
        <v>646</v>
      </c>
      <c r="BD101" s="89" t="s">
        <v>17615</v>
      </c>
      <c r="BE101" s="89">
        <v>2017</v>
      </c>
      <c r="BF101" s="89">
        <v>7</v>
      </c>
      <c r="BG101" s="89">
        <v>4</v>
      </c>
      <c r="BH101" s="89" t="s">
        <v>646</v>
      </c>
      <c r="BI101" s="89" t="s">
        <v>646</v>
      </c>
      <c r="BJ101" s="89" t="s">
        <v>646</v>
      </c>
      <c r="BK101" s="89" t="s">
        <v>646</v>
      </c>
      <c r="BL101" s="89" t="s">
        <v>646</v>
      </c>
      <c r="BM101" s="89" t="s">
        <v>646</v>
      </c>
      <c r="BN101" s="89">
        <v>72</v>
      </c>
      <c r="BO101" s="89" t="str">
        <f>HYPERLINK("http://dx.doi.org/10.3390/bs7040072","http://dx.doi.org/10.3390/bs7040072")</f>
        <v>http://dx.doi.org/10.3390/bs7040072</v>
      </c>
      <c r="BP101" s="89" t="s">
        <v>646</v>
      </c>
      <c r="BQ101" s="89" t="s">
        <v>646</v>
      </c>
      <c r="BR101" s="89" t="s">
        <v>646</v>
      </c>
      <c r="BS101" s="89" t="s">
        <v>646</v>
      </c>
      <c r="BT101" s="89" t="s">
        <v>646</v>
      </c>
      <c r="BU101" s="89" t="s">
        <v>646</v>
      </c>
      <c r="BV101" s="89" t="s">
        <v>646</v>
      </c>
      <c r="BW101" s="89">
        <v>29068371</v>
      </c>
      <c r="BX101" s="89" t="s">
        <v>646</v>
      </c>
      <c r="BY101" s="89" t="s">
        <v>646</v>
      </c>
      <c r="BZ101" s="89" t="s">
        <v>646</v>
      </c>
      <c r="CA101" s="89" t="s">
        <v>646</v>
      </c>
      <c r="CB101" s="89" t="s">
        <v>18413</v>
      </c>
      <c r="CC101" s="89" t="str">
        <f>HYPERLINK("https%3A%2F%2Fwww.webofscience.com%2Fwos%2Fwoscc%2Ffull-record%2FWOS:000419185800009","View Full Record in Web of Science")</f>
        <v>View Full Record in Web of Science</v>
      </c>
    </row>
    <row r="102" spans="1:81" ht="13.2" hidden="1" x14ac:dyDescent="0.25">
      <c r="A102" s="89" t="s">
        <v>18414</v>
      </c>
      <c r="B102" s="89" t="e">
        <f>+#REF!</f>
        <v>#REF!</v>
      </c>
      <c r="C102" s="89"/>
      <c r="D102" s="91" t="s">
        <v>17939</v>
      </c>
      <c r="E102" s="90" t="e">
        <v>#REF!</v>
      </c>
      <c r="F102" s="89"/>
      <c r="G102" s="89"/>
      <c r="H102" s="89" t="s">
        <v>18415</v>
      </c>
      <c r="I102" s="89" t="s">
        <v>18416</v>
      </c>
      <c r="J102" s="89" t="s">
        <v>646</v>
      </c>
      <c r="K102" s="89" t="s">
        <v>18418</v>
      </c>
      <c r="M102" s="89">
        <v>2011</v>
      </c>
      <c r="N102" s="89" t="s">
        <v>18417</v>
      </c>
      <c r="O102" s="89" t="s">
        <v>646</v>
      </c>
      <c r="P102" s="89" t="str">
        <f>HYPERLINK("http://dx.doi.org/10.1007/s11263-010-0376-0","http://dx.doi.org/10.1007/s11263-010-0376-0")</f>
        <v>http://dx.doi.org/10.1007/s11263-010-0376-0</v>
      </c>
      <c r="S102" s="89" t="s">
        <v>646</v>
      </c>
      <c r="U102" s="89" t="s">
        <v>17462</v>
      </c>
      <c r="W102" s="89" t="s">
        <v>646</v>
      </c>
      <c r="X102" s="89" t="s">
        <v>646</v>
      </c>
      <c r="Y102" s="89" t="s">
        <v>646</v>
      </c>
      <c r="Z102" s="89" t="s">
        <v>646</v>
      </c>
      <c r="AA102" s="89" t="s">
        <v>646</v>
      </c>
      <c r="AB102" s="89" t="s">
        <v>646</v>
      </c>
      <c r="AC102" s="89" t="s">
        <v>646</v>
      </c>
      <c r="AD102" s="89" t="s">
        <v>646</v>
      </c>
      <c r="AE102" s="89" t="s">
        <v>646</v>
      </c>
      <c r="AF102" s="89" t="s">
        <v>18418</v>
      </c>
      <c r="AG102" s="89" t="s">
        <v>646</v>
      </c>
      <c r="AH102" s="89" t="s">
        <v>646</v>
      </c>
      <c r="AI102" s="89" t="s">
        <v>646</v>
      </c>
      <c r="AJ102" s="89" t="s">
        <v>646</v>
      </c>
      <c r="AK102" s="89" t="s">
        <v>646</v>
      </c>
      <c r="AL102" s="89" t="s">
        <v>646</v>
      </c>
      <c r="AM102" s="89" t="s">
        <v>646</v>
      </c>
      <c r="AN102" s="89" t="s">
        <v>646</v>
      </c>
      <c r="AO102" s="89" t="s">
        <v>646</v>
      </c>
      <c r="AP102" s="89" t="s">
        <v>646</v>
      </c>
      <c r="AQ102" s="89" t="s">
        <v>646</v>
      </c>
      <c r="AR102" s="89" t="s">
        <v>646</v>
      </c>
      <c r="AS102" s="89" t="s">
        <v>646</v>
      </c>
      <c r="AT102" s="89" t="s">
        <v>646</v>
      </c>
      <c r="AU102" s="89" t="s">
        <v>646</v>
      </c>
      <c r="AV102" s="89" t="s">
        <v>646</v>
      </c>
      <c r="AW102" s="89" t="s">
        <v>646</v>
      </c>
      <c r="AX102" s="89" t="s">
        <v>646</v>
      </c>
      <c r="AY102" s="89" t="s">
        <v>18419</v>
      </c>
      <c r="AZ102" s="89" t="s">
        <v>18420</v>
      </c>
      <c r="BA102" s="89" t="s">
        <v>646</v>
      </c>
      <c r="BB102" s="89" t="s">
        <v>646</v>
      </c>
      <c r="BC102" s="89" t="s">
        <v>646</v>
      </c>
      <c r="BD102" s="89" t="s">
        <v>17513</v>
      </c>
      <c r="BE102" s="89">
        <v>2011</v>
      </c>
      <c r="BF102" s="89">
        <v>91</v>
      </c>
      <c r="BG102" s="89">
        <v>1</v>
      </c>
      <c r="BH102" s="89" t="s">
        <v>646</v>
      </c>
      <c r="BI102" s="89" t="s">
        <v>646</v>
      </c>
      <c r="BJ102" s="89" t="s">
        <v>646</v>
      </c>
      <c r="BK102" s="89" t="s">
        <v>646</v>
      </c>
      <c r="BL102" s="89">
        <v>59</v>
      </c>
      <c r="BM102" s="89">
        <v>76</v>
      </c>
      <c r="BN102" s="89" t="s">
        <v>646</v>
      </c>
      <c r="BO102" s="89" t="str">
        <f>HYPERLINK("http://dx.doi.org/10.1007/s11263-010-0376-0","http://dx.doi.org/10.1007/s11263-010-0376-0")</f>
        <v>http://dx.doi.org/10.1007/s11263-010-0376-0</v>
      </c>
      <c r="BP102" s="89" t="s">
        <v>646</v>
      </c>
      <c r="BQ102" s="89" t="s">
        <v>646</v>
      </c>
      <c r="BR102" s="89" t="s">
        <v>646</v>
      </c>
      <c r="BS102" s="89" t="s">
        <v>646</v>
      </c>
      <c r="BT102" s="89" t="s">
        <v>646</v>
      </c>
      <c r="BU102" s="89" t="s">
        <v>646</v>
      </c>
      <c r="BV102" s="89" t="s">
        <v>646</v>
      </c>
      <c r="BW102" s="89">
        <v>32719573</v>
      </c>
      <c r="BX102" s="89" t="s">
        <v>646</v>
      </c>
      <c r="BY102" s="89" t="s">
        <v>646</v>
      </c>
      <c r="BZ102" s="89" t="s">
        <v>646</v>
      </c>
      <c r="CA102" s="89" t="s">
        <v>646</v>
      </c>
      <c r="CB102" s="89" t="s">
        <v>18421</v>
      </c>
      <c r="CC102" s="89" t="str">
        <f>HYPERLINK("https%3A%2F%2Fwww.webofscience.com%2Fwos%2Fwoscc%2Ffull-record%2FWOS:000286118400004","View Full Record in Web of Science")</f>
        <v>View Full Record in Web of Science</v>
      </c>
    </row>
    <row r="103" spans="1:81" ht="13.2" hidden="1" x14ac:dyDescent="0.25">
      <c r="A103" s="89" t="s">
        <v>1115</v>
      </c>
      <c r="B103" s="89" t="e">
        <f>+#REF!</f>
        <v>#REF!</v>
      </c>
      <c r="C103" s="89"/>
      <c r="D103" s="91" t="s">
        <v>17939</v>
      </c>
      <c r="E103" s="90" t="e">
        <v>#REF!</v>
      </c>
      <c r="F103" s="89"/>
      <c r="G103" s="89"/>
      <c r="H103" s="89" t="s">
        <v>1118</v>
      </c>
      <c r="I103" s="89" t="s">
        <v>18422</v>
      </c>
      <c r="J103" s="89" t="s">
        <v>18425</v>
      </c>
      <c r="K103" s="89" t="s">
        <v>18424</v>
      </c>
      <c r="M103" s="89">
        <v>2020</v>
      </c>
      <c r="N103" s="89" t="s">
        <v>18423</v>
      </c>
      <c r="O103" s="89" t="s">
        <v>646</v>
      </c>
      <c r="P103" s="89" t="str">
        <f>HYPERLINK("http://dx.doi.org/10.1109/ACCESS.2020.2976803","http://dx.doi.org/10.1109/ACCESS.2020.2976803")</f>
        <v>http://dx.doi.org/10.1109/ACCESS.2020.2976803</v>
      </c>
      <c r="S103" s="89" t="s">
        <v>646</v>
      </c>
      <c r="U103" s="89" t="s">
        <v>17462</v>
      </c>
      <c r="W103" s="89" t="s">
        <v>646</v>
      </c>
      <c r="X103" s="89" t="s">
        <v>646</v>
      </c>
      <c r="Y103" s="89" t="s">
        <v>646</v>
      </c>
      <c r="Z103" s="89" t="s">
        <v>646</v>
      </c>
      <c r="AA103" s="89" t="s">
        <v>646</v>
      </c>
      <c r="AB103" s="89" t="s">
        <v>646</v>
      </c>
      <c r="AC103" s="89" t="s">
        <v>646</v>
      </c>
      <c r="AD103" s="89" t="s">
        <v>646</v>
      </c>
      <c r="AE103" s="89" t="s">
        <v>646</v>
      </c>
      <c r="AF103" s="89" t="s">
        <v>18424</v>
      </c>
      <c r="AG103" s="89" t="s">
        <v>646</v>
      </c>
      <c r="AH103" s="89" t="s">
        <v>646</v>
      </c>
      <c r="AI103" s="89" t="s">
        <v>646</v>
      </c>
      <c r="AJ103" s="89" t="s">
        <v>646</v>
      </c>
      <c r="AK103" s="89" t="s">
        <v>18425</v>
      </c>
      <c r="AL103" s="89" t="s">
        <v>18426</v>
      </c>
      <c r="AM103" s="89" t="s">
        <v>646</v>
      </c>
      <c r="AN103" s="89" t="s">
        <v>646</v>
      </c>
      <c r="AO103" s="89" t="s">
        <v>646</v>
      </c>
      <c r="AP103" s="89" t="s">
        <v>646</v>
      </c>
      <c r="AQ103" s="89" t="s">
        <v>646</v>
      </c>
      <c r="AR103" s="89" t="s">
        <v>646</v>
      </c>
      <c r="AS103" s="89" t="s">
        <v>646</v>
      </c>
      <c r="AT103" s="89" t="s">
        <v>646</v>
      </c>
      <c r="AU103" s="89" t="s">
        <v>646</v>
      </c>
      <c r="AV103" s="89" t="s">
        <v>646</v>
      </c>
      <c r="AW103" s="89" t="s">
        <v>646</v>
      </c>
      <c r="AX103" s="89" t="s">
        <v>646</v>
      </c>
      <c r="AY103" s="89" t="s">
        <v>18427</v>
      </c>
      <c r="AZ103" s="89" t="s">
        <v>646</v>
      </c>
      <c r="BA103" s="89" t="s">
        <v>646</v>
      </c>
      <c r="BB103" s="89" t="s">
        <v>646</v>
      </c>
      <c r="BC103" s="89" t="s">
        <v>646</v>
      </c>
      <c r="BD103" s="89" t="s">
        <v>646</v>
      </c>
      <c r="BE103" s="89">
        <v>2020</v>
      </c>
      <c r="BF103" s="89">
        <v>8</v>
      </c>
      <c r="BG103" s="89" t="s">
        <v>646</v>
      </c>
      <c r="BH103" s="89" t="s">
        <v>646</v>
      </c>
      <c r="BI103" s="89" t="s">
        <v>646</v>
      </c>
      <c r="BJ103" s="89" t="s">
        <v>646</v>
      </c>
      <c r="BK103" s="89" t="s">
        <v>646</v>
      </c>
      <c r="BL103" s="89">
        <v>46958</v>
      </c>
      <c r="BM103" s="89">
        <v>46980</v>
      </c>
      <c r="BN103" s="89" t="s">
        <v>646</v>
      </c>
      <c r="BO103" s="89" t="str">
        <f>HYPERLINK("http://dx.doi.org/10.1109/ACCESS.2020.2976803","http://dx.doi.org/10.1109/ACCESS.2020.2976803")</f>
        <v>http://dx.doi.org/10.1109/ACCESS.2020.2976803</v>
      </c>
      <c r="BP103" s="89" t="s">
        <v>646</v>
      </c>
      <c r="BQ103" s="89" t="s">
        <v>646</v>
      </c>
      <c r="BR103" s="89" t="s">
        <v>646</v>
      </c>
      <c r="BS103" s="89" t="s">
        <v>646</v>
      </c>
      <c r="BT103" s="89" t="s">
        <v>646</v>
      </c>
      <c r="BU103" s="89" t="s">
        <v>646</v>
      </c>
      <c r="BV103" s="89" t="s">
        <v>646</v>
      </c>
      <c r="BW103" s="89" t="s">
        <v>646</v>
      </c>
      <c r="BX103" s="89" t="s">
        <v>646</v>
      </c>
      <c r="BY103" s="89" t="s">
        <v>646</v>
      </c>
      <c r="BZ103" s="89" t="s">
        <v>646</v>
      </c>
      <c r="CA103" s="89" t="s">
        <v>646</v>
      </c>
      <c r="CB103" s="89" t="s">
        <v>18428</v>
      </c>
      <c r="CC103" s="89" t="str">
        <f>HYPERLINK("https%3A%2F%2Fwww.webofscience.com%2Fwos%2Fwoscc%2Ffull-record%2FWOS:000524579200001","View Full Record in Web of Science")</f>
        <v>View Full Record in Web of Science</v>
      </c>
    </row>
    <row r="104" spans="1:81" ht="13.2" hidden="1" x14ac:dyDescent="0.25">
      <c r="A104" s="89" t="s">
        <v>18429</v>
      </c>
      <c r="B104" s="89" t="e">
        <f>+#REF!</f>
        <v>#REF!</v>
      </c>
      <c r="C104" s="89"/>
      <c r="D104" s="91" t="s">
        <v>17939</v>
      </c>
      <c r="E104" s="90" t="e">
        <v>#REF!</v>
      </c>
      <c r="F104" s="89"/>
      <c r="G104" s="89"/>
      <c r="H104" s="89" t="s">
        <v>646</v>
      </c>
      <c r="I104" s="89" t="s">
        <v>18430</v>
      </c>
      <c r="J104" s="89" t="s">
        <v>18433</v>
      </c>
      <c r="K104" s="89" t="s">
        <v>18432</v>
      </c>
      <c r="M104" s="89">
        <v>2019</v>
      </c>
      <c r="N104" s="89" t="s">
        <v>18431</v>
      </c>
      <c r="O104" s="89" t="s">
        <v>646</v>
      </c>
      <c r="P104" s="89" t="s">
        <v>646</v>
      </c>
      <c r="S104" s="89" t="s">
        <v>646</v>
      </c>
      <c r="U104" s="89" t="s">
        <v>17462</v>
      </c>
      <c r="W104" s="89" t="s">
        <v>646</v>
      </c>
      <c r="X104" s="89" t="s">
        <v>646</v>
      </c>
      <c r="Y104" s="89" t="s">
        <v>646</v>
      </c>
      <c r="Z104" s="89" t="s">
        <v>646</v>
      </c>
      <c r="AA104" s="89" t="s">
        <v>646</v>
      </c>
      <c r="AB104" s="89" t="s">
        <v>646</v>
      </c>
      <c r="AC104" s="89" t="s">
        <v>646</v>
      </c>
      <c r="AD104" s="89" t="s">
        <v>646</v>
      </c>
      <c r="AE104" s="89" t="s">
        <v>646</v>
      </c>
      <c r="AF104" s="89" t="s">
        <v>18432</v>
      </c>
      <c r="AG104" s="89" t="s">
        <v>646</v>
      </c>
      <c r="AH104" s="89" t="s">
        <v>646</v>
      </c>
      <c r="AI104" s="89" t="s">
        <v>646</v>
      </c>
      <c r="AJ104" s="89" t="s">
        <v>646</v>
      </c>
      <c r="AK104" s="89" t="s">
        <v>18433</v>
      </c>
      <c r="AL104" s="89" t="s">
        <v>18434</v>
      </c>
      <c r="AM104" s="89" t="s">
        <v>646</v>
      </c>
      <c r="AN104" s="89" t="s">
        <v>646</v>
      </c>
      <c r="AO104" s="89" t="s">
        <v>646</v>
      </c>
      <c r="AP104" s="89" t="s">
        <v>646</v>
      </c>
      <c r="AQ104" s="89" t="s">
        <v>646</v>
      </c>
      <c r="AR104" s="89" t="s">
        <v>646</v>
      </c>
      <c r="AS104" s="89" t="s">
        <v>646</v>
      </c>
      <c r="AT104" s="89" t="s">
        <v>646</v>
      </c>
      <c r="AU104" s="89" t="s">
        <v>646</v>
      </c>
      <c r="AV104" s="89" t="s">
        <v>646</v>
      </c>
      <c r="AW104" s="89" t="s">
        <v>646</v>
      </c>
      <c r="AX104" s="89" t="s">
        <v>646</v>
      </c>
      <c r="AY104" s="89" t="s">
        <v>18435</v>
      </c>
      <c r="AZ104" s="89" t="s">
        <v>646</v>
      </c>
      <c r="BA104" s="89" t="s">
        <v>646</v>
      </c>
      <c r="BB104" s="89" t="s">
        <v>646</v>
      </c>
      <c r="BC104" s="89" t="s">
        <v>646</v>
      </c>
      <c r="BD104" s="89" t="s">
        <v>18436</v>
      </c>
      <c r="BE104" s="89">
        <v>2019</v>
      </c>
      <c r="BF104" s="89">
        <v>9</v>
      </c>
      <c r="BG104" s="89" t="s">
        <v>18437</v>
      </c>
      <c r="BH104" s="89" t="s">
        <v>646</v>
      </c>
      <c r="BI104" s="89" t="s">
        <v>646</v>
      </c>
      <c r="BJ104" s="89" t="s">
        <v>646</v>
      </c>
      <c r="BK104" s="89" t="s">
        <v>646</v>
      </c>
      <c r="BL104" s="89">
        <v>7</v>
      </c>
      <c r="BM104" s="89">
        <v>32</v>
      </c>
      <c r="BN104" s="89" t="s">
        <v>646</v>
      </c>
      <c r="BO104" s="89" t="s">
        <v>646</v>
      </c>
      <c r="BP104" s="89" t="s">
        <v>646</v>
      </c>
      <c r="BQ104" s="89" t="s">
        <v>646</v>
      </c>
      <c r="BR104" s="89" t="s">
        <v>646</v>
      </c>
      <c r="BS104" s="89" t="s">
        <v>646</v>
      </c>
      <c r="BT104" s="89" t="s">
        <v>646</v>
      </c>
      <c r="BU104" s="89" t="s">
        <v>646</v>
      </c>
      <c r="BV104" s="89" t="s">
        <v>646</v>
      </c>
      <c r="BW104" s="89" t="s">
        <v>646</v>
      </c>
      <c r="BX104" s="89" t="s">
        <v>646</v>
      </c>
      <c r="BY104" s="89" t="s">
        <v>646</v>
      </c>
      <c r="BZ104" s="89" t="s">
        <v>646</v>
      </c>
      <c r="CA104" s="89" t="s">
        <v>646</v>
      </c>
      <c r="CB104" s="89" t="s">
        <v>18438</v>
      </c>
      <c r="CC104" s="89" t="str">
        <f>HYPERLINK("https%3A%2F%2Fwww.webofscience.com%2Fwos%2Fwoscc%2Ffull-record%2FWOS:000470122000002","View Full Record in Web of Science")</f>
        <v>View Full Record in Web of Science</v>
      </c>
    </row>
    <row r="105" spans="1:81" ht="13.2" hidden="1" x14ac:dyDescent="0.25">
      <c r="A105" s="89" t="s">
        <v>18439</v>
      </c>
      <c r="B105" s="89" t="e">
        <f>+#REF!</f>
        <v>#REF!</v>
      </c>
      <c r="C105" s="89"/>
      <c r="D105" s="91" t="s">
        <v>17939</v>
      </c>
      <c r="E105" s="90" t="e">
        <v>#REF!</v>
      </c>
      <c r="F105" s="89"/>
      <c r="G105" s="89"/>
      <c r="H105" s="89" t="s">
        <v>646</v>
      </c>
      <c r="I105" s="89" t="s">
        <v>18440</v>
      </c>
      <c r="J105" s="89" t="s">
        <v>646</v>
      </c>
      <c r="K105" s="89" t="s">
        <v>18442</v>
      </c>
      <c r="M105" s="89">
        <v>1998</v>
      </c>
      <c r="N105" s="89" t="s">
        <v>18441</v>
      </c>
      <c r="O105" s="89" t="s">
        <v>646</v>
      </c>
      <c r="P105" s="89" t="s">
        <v>646</v>
      </c>
      <c r="S105" s="89" t="s">
        <v>646</v>
      </c>
      <c r="U105" s="89" t="s">
        <v>17462</v>
      </c>
      <c r="W105" s="89" t="s">
        <v>646</v>
      </c>
      <c r="X105" s="89" t="s">
        <v>646</v>
      </c>
      <c r="Y105" s="89" t="s">
        <v>646</v>
      </c>
      <c r="Z105" s="89" t="s">
        <v>646</v>
      </c>
      <c r="AA105" s="89" t="s">
        <v>646</v>
      </c>
      <c r="AB105" s="89" t="s">
        <v>646</v>
      </c>
      <c r="AC105" s="89" t="s">
        <v>646</v>
      </c>
      <c r="AD105" s="89" t="s">
        <v>646</v>
      </c>
      <c r="AE105" s="89" t="s">
        <v>646</v>
      </c>
      <c r="AF105" s="89" t="s">
        <v>18442</v>
      </c>
      <c r="AG105" s="89" t="s">
        <v>646</v>
      </c>
      <c r="AH105" s="89" t="s">
        <v>646</v>
      </c>
      <c r="AI105" s="89" t="s">
        <v>646</v>
      </c>
      <c r="AJ105" s="89" t="s">
        <v>646</v>
      </c>
      <c r="AK105" s="89" t="s">
        <v>646</v>
      </c>
      <c r="AL105" s="89" t="s">
        <v>646</v>
      </c>
      <c r="AM105" s="89" t="s">
        <v>646</v>
      </c>
      <c r="AN105" s="89" t="s">
        <v>646</v>
      </c>
      <c r="AO105" s="89" t="s">
        <v>646</v>
      </c>
      <c r="AP105" s="89" t="s">
        <v>646</v>
      </c>
      <c r="AQ105" s="89" t="s">
        <v>646</v>
      </c>
      <c r="AR105" s="89" t="s">
        <v>646</v>
      </c>
      <c r="AS105" s="89" t="s">
        <v>646</v>
      </c>
      <c r="AT105" s="89" t="s">
        <v>646</v>
      </c>
      <c r="AU105" s="89" t="s">
        <v>646</v>
      </c>
      <c r="AV105" s="89" t="s">
        <v>646</v>
      </c>
      <c r="AW105" s="89" t="s">
        <v>646</v>
      </c>
      <c r="AX105" s="89" t="s">
        <v>646</v>
      </c>
      <c r="AY105" s="89" t="s">
        <v>18443</v>
      </c>
      <c r="AZ105" s="89" t="s">
        <v>646</v>
      </c>
      <c r="BA105" s="89" t="s">
        <v>646</v>
      </c>
      <c r="BB105" s="89" t="s">
        <v>646</v>
      </c>
      <c r="BC105" s="89" t="s">
        <v>646</v>
      </c>
      <c r="BD105" s="89" t="s">
        <v>17823</v>
      </c>
      <c r="BE105" s="89">
        <v>1998</v>
      </c>
      <c r="BF105" s="89">
        <v>52</v>
      </c>
      <c r="BG105" s="89">
        <v>4</v>
      </c>
      <c r="BH105" s="89" t="s">
        <v>646</v>
      </c>
      <c r="BI105" s="89" t="s">
        <v>646</v>
      </c>
      <c r="BJ105" s="89" t="s">
        <v>646</v>
      </c>
      <c r="BK105" s="89" t="s">
        <v>646</v>
      </c>
      <c r="BL105" s="89">
        <v>36</v>
      </c>
      <c r="BM105" s="89" t="s">
        <v>18405</v>
      </c>
      <c r="BN105" s="89" t="s">
        <v>646</v>
      </c>
      <c r="BO105" s="89" t="s">
        <v>646</v>
      </c>
      <c r="BP105" s="89" t="s">
        <v>646</v>
      </c>
      <c r="BQ105" s="89" t="s">
        <v>646</v>
      </c>
      <c r="BR105" s="89" t="s">
        <v>646</v>
      </c>
      <c r="BS105" s="89" t="s">
        <v>646</v>
      </c>
      <c r="BT105" s="89" t="s">
        <v>646</v>
      </c>
      <c r="BU105" s="89" t="s">
        <v>646</v>
      </c>
      <c r="BV105" s="89" t="s">
        <v>646</v>
      </c>
      <c r="BW105" s="89" t="s">
        <v>646</v>
      </c>
      <c r="BX105" s="89" t="s">
        <v>646</v>
      </c>
      <c r="BY105" s="89" t="s">
        <v>646</v>
      </c>
      <c r="BZ105" s="89" t="s">
        <v>646</v>
      </c>
      <c r="CA105" s="89" t="s">
        <v>646</v>
      </c>
      <c r="CB105" s="89" t="s">
        <v>18444</v>
      </c>
      <c r="CC105" s="89" t="str">
        <f>HYPERLINK("https%3A%2F%2Fwww.webofscience.com%2Fwos%2Fwoscc%2Ffull-record%2FWOS:000073025700008","View Full Record in Web of Science")</f>
        <v>View Full Record in Web of Science</v>
      </c>
    </row>
    <row r="106" spans="1:81" ht="13.2" hidden="1" x14ac:dyDescent="0.25">
      <c r="A106" s="89" t="s">
        <v>18445</v>
      </c>
      <c r="B106" s="89" t="e">
        <f>+#REF!</f>
        <v>#REF!</v>
      </c>
      <c r="C106" s="89"/>
      <c r="D106" s="91" t="s">
        <v>17939</v>
      </c>
      <c r="E106" s="90" t="e">
        <v>#REF!</v>
      </c>
      <c r="F106" s="89"/>
      <c r="G106" s="89"/>
      <c r="H106" s="89" t="s">
        <v>18446</v>
      </c>
      <c r="I106" s="89" t="s">
        <v>18447</v>
      </c>
      <c r="J106" s="89" t="s">
        <v>18450</v>
      </c>
      <c r="K106" s="89" t="s">
        <v>18449</v>
      </c>
      <c r="M106" s="89">
        <v>2019</v>
      </c>
      <c r="N106" s="89" t="s">
        <v>18448</v>
      </c>
      <c r="O106" s="89" t="s">
        <v>646</v>
      </c>
      <c r="P106" s="89" t="str">
        <f>HYPERLINK("http://dx.doi.org/10.15288/jsad.2019.80.415","http://dx.doi.org/10.15288/jsad.2019.80.415")</f>
        <v>http://dx.doi.org/10.15288/jsad.2019.80.415</v>
      </c>
      <c r="S106" s="89" t="s">
        <v>646</v>
      </c>
      <c r="U106" s="89" t="s">
        <v>17462</v>
      </c>
      <c r="W106" s="89" t="s">
        <v>646</v>
      </c>
      <c r="X106" s="89" t="s">
        <v>646</v>
      </c>
      <c r="Y106" s="89" t="s">
        <v>646</v>
      </c>
      <c r="Z106" s="89" t="s">
        <v>646</v>
      </c>
      <c r="AA106" s="89" t="s">
        <v>646</v>
      </c>
      <c r="AB106" s="89" t="s">
        <v>646</v>
      </c>
      <c r="AC106" s="89" t="s">
        <v>646</v>
      </c>
      <c r="AD106" s="89" t="s">
        <v>646</v>
      </c>
      <c r="AE106" s="89" t="s">
        <v>646</v>
      </c>
      <c r="AF106" s="89" t="s">
        <v>18449</v>
      </c>
      <c r="AG106" s="89" t="s">
        <v>646</v>
      </c>
      <c r="AH106" s="89" t="s">
        <v>646</v>
      </c>
      <c r="AI106" s="89" t="s">
        <v>646</v>
      </c>
      <c r="AJ106" s="89" t="s">
        <v>646</v>
      </c>
      <c r="AK106" s="89" t="s">
        <v>18450</v>
      </c>
      <c r="AL106" s="89" t="s">
        <v>18451</v>
      </c>
      <c r="AM106" s="89" t="s">
        <v>646</v>
      </c>
      <c r="AN106" s="89" t="s">
        <v>646</v>
      </c>
      <c r="AO106" s="89" t="s">
        <v>646</v>
      </c>
      <c r="AP106" s="89" t="s">
        <v>646</v>
      </c>
      <c r="AQ106" s="89" t="s">
        <v>646</v>
      </c>
      <c r="AR106" s="89" t="s">
        <v>646</v>
      </c>
      <c r="AS106" s="89" t="s">
        <v>646</v>
      </c>
      <c r="AT106" s="89" t="s">
        <v>646</v>
      </c>
      <c r="AU106" s="89" t="s">
        <v>646</v>
      </c>
      <c r="AV106" s="89" t="s">
        <v>646</v>
      </c>
      <c r="AW106" s="89" t="s">
        <v>646</v>
      </c>
      <c r="AX106" s="89" t="s">
        <v>646</v>
      </c>
      <c r="AY106" s="89" t="s">
        <v>18452</v>
      </c>
      <c r="AZ106" s="89" t="s">
        <v>18453</v>
      </c>
      <c r="BA106" s="89" t="s">
        <v>646</v>
      </c>
      <c r="BB106" s="89" t="s">
        <v>646</v>
      </c>
      <c r="BC106" s="89" t="s">
        <v>646</v>
      </c>
      <c r="BD106" s="89" t="s">
        <v>17676</v>
      </c>
      <c r="BE106" s="89">
        <v>2019</v>
      </c>
      <c r="BF106" s="89">
        <v>80</v>
      </c>
      <c r="BG106" s="89">
        <v>4</v>
      </c>
      <c r="BH106" s="89" t="s">
        <v>646</v>
      </c>
      <c r="BI106" s="89" t="s">
        <v>646</v>
      </c>
      <c r="BJ106" s="89" t="s">
        <v>646</v>
      </c>
      <c r="BK106" s="89" t="s">
        <v>646</v>
      </c>
      <c r="BL106" s="89">
        <v>415</v>
      </c>
      <c r="BM106" s="89">
        <v>422</v>
      </c>
      <c r="BN106" s="89" t="s">
        <v>646</v>
      </c>
      <c r="BO106" s="89" t="str">
        <f>HYPERLINK("http://dx.doi.org/10.15288/jsad.2019.80.415","http://dx.doi.org/10.15288/jsad.2019.80.415")</f>
        <v>http://dx.doi.org/10.15288/jsad.2019.80.415</v>
      </c>
      <c r="BP106" s="89" t="s">
        <v>646</v>
      </c>
      <c r="BQ106" s="89" t="s">
        <v>646</v>
      </c>
      <c r="BR106" s="89" t="s">
        <v>646</v>
      </c>
      <c r="BS106" s="89" t="s">
        <v>646</v>
      </c>
      <c r="BT106" s="89" t="s">
        <v>646</v>
      </c>
      <c r="BU106" s="89" t="s">
        <v>646</v>
      </c>
      <c r="BV106" s="89" t="s">
        <v>646</v>
      </c>
      <c r="BW106" s="89">
        <v>31495378</v>
      </c>
      <c r="BX106" s="89" t="s">
        <v>646</v>
      </c>
      <c r="BY106" s="89" t="s">
        <v>646</v>
      </c>
      <c r="BZ106" s="89" t="s">
        <v>646</v>
      </c>
      <c r="CA106" s="89" t="s">
        <v>646</v>
      </c>
      <c r="CB106" s="89" t="s">
        <v>18454</v>
      </c>
      <c r="CC106" s="89" t="str">
        <f>HYPERLINK("https%3A%2F%2Fwww.webofscience.com%2Fwos%2Fwoscc%2Ffull-record%2FWOS:000485639400005","View Full Record in Web of Science")</f>
        <v>View Full Record in Web of Science</v>
      </c>
    </row>
    <row r="107" spans="1:81" ht="13.2" hidden="1" x14ac:dyDescent="0.25">
      <c r="A107" s="89" t="s">
        <v>18455</v>
      </c>
      <c r="B107" s="89" t="e">
        <f>+#REF!</f>
        <v>#REF!</v>
      </c>
      <c r="C107" s="89"/>
      <c r="D107" s="91" t="s">
        <v>17939</v>
      </c>
      <c r="E107" s="90" t="e">
        <v>#REF!</v>
      </c>
      <c r="F107" s="89"/>
      <c r="G107" s="89"/>
      <c r="H107" s="89" t="s">
        <v>18456</v>
      </c>
      <c r="I107" s="89" t="s">
        <v>18457</v>
      </c>
      <c r="J107" s="89" t="s">
        <v>646</v>
      </c>
      <c r="K107" s="89" t="s">
        <v>18459</v>
      </c>
      <c r="M107" s="89">
        <v>2016</v>
      </c>
      <c r="N107" s="89" t="s">
        <v>18458</v>
      </c>
      <c r="O107" s="89" t="s">
        <v>646</v>
      </c>
      <c r="P107" s="89" t="str">
        <f>HYPERLINK("http://dx.doi.org/10.1080/13607863.2015.1072800","http://dx.doi.org/10.1080/13607863.2015.1072800")</f>
        <v>http://dx.doi.org/10.1080/13607863.2015.1072800</v>
      </c>
      <c r="S107" s="89" t="s">
        <v>646</v>
      </c>
      <c r="U107" s="89" t="s">
        <v>17462</v>
      </c>
      <c r="W107" s="89" t="s">
        <v>646</v>
      </c>
      <c r="X107" s="89" t="s">
        <v>646</v>
      </c>
      <c r="Y107" s="89" t="s">
        <v>646</v>
      </c>
      <c r="Z107" s="89" t="s">
        <v>646</v>
      </c>
      <c r="AA107" s="89" t="s">
        <v>646</v>
      </c>
      <c r="AB107" s="89" t="s">
        <v>646</v>
      </c>
      <c r="AC107" s="89" t="s">
        <v>646</v>
      </c>
      <c r="AD107" s="89" t="s">
        <v>646</v>
      </c>
      <c r="AE107" s="89" t="s">
        <v>646</v>
      </c>
      <c r="AF107" s="89" t="s">
        <v>18459</v>
      </c>
      <c r="AG107" s="89" t="s">
        <v>646</v>
      </c>
      <c r="AH107" s="89" t="s">
        <v>646</v>
      </c>
      <c r="AI107" s="89" t="s">
        <v>646</v>
      </c>
      <c r="AJ107" s="89" t="s">
        <v>646</v>
      </c>
      <c r="AK107" s="89" t="s">
        <v>646</v>
      </c>
      <c r="AL107" s="89" t="s">
        <v>646</v>
      </c>
      <c r="AM107" s="89" t="s">
        <v>646</v>
      </c>
      <c r="AN107" s="89" t="s">
        <v>646</v>
      </c>
      <c r="AO107" s="89" t="s">
        <v>646</v>
      </c>
      <c r="AP107" s="89" t="s">
        <v>646</v>
      </c>
      <c r="AQ107" s="89" t="s">
        <v>646</v>
      </c>
      <c r="AR107" s="89" t="s">
        <v>646</v>
      </c>
      <c r="AS107" s="89" t="s">
        <v>646</v>
      </c>
      <c r="AT107" s="89" t="s">
        <v>646</v>
      </c>
      <c r="AU107" s="89" t="s">
        <v>646</v>
      </c>
      <c r="AV107" s="89" t="s">
        <v>646</v>
      </c>
      <c r="AW107" s="89" t="s">
        <v>646</v>
      </c>
      <c r="AX107" s="89" t="s">
        <v>646</v>
      </c>
      <c r="AY107" s="89" t="s">
        <v>18460</v>
      </c>
      <c r="AZ107" s="89" t="s">
        <v>18461</v>
      </c>
      <c r="BA107" s="89" t="s">
        <v>646</v>
      </c>
      <c r="BB107" s="89" t="s">
        <v>646</v>
      </c>
      <c r="BC107" s="89" t="s">
        <v>646</v>
      </c>
      <c r="BD107" s="89" t="s">
        <v>646</v>
      </c>
      <c r="BE107" s="89">
        <v>2016</v>
      </c>
      <c r="BF107" s="89">
        <v>20</v>
      </c>
      <c r="BG107" s="89">
        <v>11</v>
      </c>
      <c r="BH107" s="89" t="s">
        <v>646</v>
      </c>
      <c r="BI107" s="89" t="s">
        <v>646</v>
      </c>
      <c r="BJ107" s="89" t="s">
        <v>646</v>
      </c>
      <c r="BK107" s="89" t="s">
        <v>646</v>
      </c>
      <c r="BL107" s="89">
        <v>1221</v>
      </c>
      <c r="BM107" s="89">
        <v>1228</v>
      </c>
      <c r="BN107" s="89" t="s">
        <v>646</v>
      </c>
      <c r="BO107" s="89" t="str">
        <f>HYPERLINK("http://dx.doi.org/10.1080/13607863.2015.1072800","http://dx.doi.org/10.1080/13607863.2015.1072800")</f>
        <v>http://dx.doi.org/10.1080/13607863.2015.1072800</v>
      </c>
      <c r="BP107" s="89" t="s">
        <v>646</v>
      </c>
      <c r="BQ107" s="89" t="s">
        <v>646</v>
      </c>
      <c r="BR107" s="89" t="s">
        <v>646</v>
      </c>
      <c r="BS107" s="89" t="s">
        <v>646</v>
      </c>
      <c r="BT107" s="89" t="s">
        <v>646</v>
      </c>
      <c r="BU107" s="89" t="s">
        <v>646</v>
      </c>
      <c r="BV107" s="89" t="s">
        <v>646</v>
      </c>
      <c r="BW107" s="89">
        <v>26260112</v>
      </c>
      <c r="BX107" s="89" t="s">
        <v>646</v>
      </c>
      <c r="BY107" s="89" t="s">
        <v>646</v>
      </c>
      <c r="BZ107" s="89" t="s">
        <v>646</v>
      </c>
      <c r="CA107" s="89" t="s">
        <v>646</v>
      </c>
      <c r="CB107" s="89" t="s">
        <v>18462</v>
      </c>
      <c r="CC107" s="89" t="str">
        <f>HYPERLINK("https%3A%2F%2Fwww.webofscience.com%2Fwos%2Fwoscc%2Ffull-record%2FWOS:000386377300013","View Full Record in Web of Science")</f>
        <v>View Full Record in Web of Science</v>
      </c>
    </row>
    <row r="108" spans="1:81" ht="13.2" hidden="1" x14ac:dyDescent="0.25">
      <c r="A108" s="89" t="s">
        <v>18463</v>
      </c>
      <c r="B108" s="89" t="e">
        <f>+#REF!</f>
        <v>#REF!</v>
      </c>
      <c r="C108" s="89"/>
      <c r="D108" s="91" t="s">
        <v>17939</v>
      </c>
      <c r="E108" s="90" t="e">
        <v>#REF!</v>
      </c>
      <c r="F108" s="89"/>
      <c r="G108" s="89"/>
      <c r="H108" s="89" t="s">
        <v>18464</v>
      </c>
      <c r="I108" s="89" t="s">
        <v>18465</v>
      </c>
      <c r="J108" s="89" t="s">
        <v>646</v>
      </c>
      <c r="K108" s="89" t="s">
        <v>18467</v>
      </c>
      <c r="M108" s="89">
        <v>2016</v>
      </c>
      <c r="N108" s="89" t="s">
        <v>18466</v>
      </c>
      <c r="O108" s="89" t="s">
        <v>646</v>
      </c>
      <c r="P108" s="89" t="str">
        <f>HYPERLINK("http://dx.doi.org/10.1111/ilr.12019","http://dx.doi.org/10.1111/ilr.12019")</f>
        <v>http://dx.doi.org/10.1111/ilr.12019</v>
      </c>
      <c r="S108" s="89" t="s">
        <v>646</v>
      </c>
      <c r="U108" s="89" t="s">
        <v>17462</v>
      </c>
      <c r="W108" s="89" t="s">
        <v>646</v>
      </c>
      <c r="X108" s="89" t="s">
        <v>646</v>
      </c>
      <c r="Y108" s="89" t="s">
        <v>646</v>
      </c>
      <c r="Z108" s="89" t="s">
        <v>646</v>
      </c>
      <c r="AA108" s="89" t="s">
        <v>646</v>
      </c>
      <c r="AB108" s="89" t="s">
        <v>646</v>
      </c>
      <c r="AC108" s="89" t="s">
        <v>646</v>
      </c>
      <c r="AD108" s="89" t="s">
        <v>646</v>
      </c>
      <c r="AE108" s="89" t="s">
        <v>646</v>
      </c>
      <c r="AF108" s="89" t="s">
        <v>18467</v>
      </c>
      <c r="AG108" s="89" t="s">
        <v>646</v>
      </c>
      <c r="AH108" s="89" t="s">
        <v>646</v>
      </c>
      <c r="AI108" s="89" t="s">
        <v>646</v>
      </c>
      <c r="AJ108" s="89" t="s">
        <v>646</v>
      </c>
      <c r="AK108" s="89" t="s">
        <v>646</v>
      </c>
      <c r="AL108" s="89" t="s">
        <v>646</v>
      </c>
      <c r="AM108" s="89" t="s">
        <v>646</v>
      </c>
      <c r="AN108" s="89" t="s">
        <v>646</v>
      </c>
      <c r="AO108" s="89" t="s">
        <v>646</v>
      </c>
      <c r="AP108" s="89" t="s">
        <v>646</v>
      </c>
      <c r="AQ108" s="89" t="s">
        <v>646</v>
      </c>
      <c r="AR108" s="89" t="s">
        <v>646</v>
      </c>
      <c r="AS108" s="89" t="s">
        <v>646</v>
      </c>
      <c r="AT108" s="89" t="s">
        <v>646</v>
      </c>
      <c r="AU108" s="89" t="s">
        <v>646</v>
      </c>
      <c r="AV108" s="89" t="s">
        <v>646</v>
      </c>
      <c r="AW108" s="89" t="s">
        <v>646</v>
      </c>
      <c r="AX108" s="89" t="s">
        <v>646</v>
      </c>
      <c r="AY108" s="89" t="s">
        <v>18468</v>
      </c>
      <c r="AZ108" s="89" t="s">
        <v>18469</v>
      </c>
      <c r="BA108" s="89" t="s">
        <v>646</v>
      </c>
      <c r="BB108" s="89" t="s">
        <v>646</v>
      </c>
      <c r="BC108" s="89" t="s">
        <v>646</v>
      </c>
      <c r="BD108" s="89" t="s">
        <v>17615</v>
      </c>
      <c r="BE108" s="89">
        <v>2016</v>
      </c>
      <c r="BF108" s="89">
        <v>155</v>
      </c>
      <c r="BG108" s="89">
        <v>4</v>
      </c>
      <c r="BH108" s="89" t="s">
        <v>646</v>
      </c>
      <c r="BI108" s="89" t="s">
        <v>646</v>
      </c>
      <c r="BJ108" s="89" t="s">
        <v>17555</v>
      </c>
      <c r="BK108" s="89" t="s">
        <v>646</v>
      </c>
      <c r="BL108" s="89">
        <v>535</v>
      </c>
      <c r="BM108" s="89">
        <v>561</v>
      </c>
      <c r="BN108" s="89" t="s">
        <v>646</v>
      </c>
      <c r="BO108" s="89" t="str">
        <f>HYPERLINK("http://dx.doi.org/10.1111/ilr.12019","http://dx.doi.org/10.1111/ilr.12019")</f>
        <v>http://dx.doi.org/10.1111/ilr.12019</v>
      </c>
      <c r="BP108" s="89" t="s">
        <v>646</v>
      </c>
      <c r="BQ108" s="89" t="s">
        <v>646</v>
      </c>
      <c r="BR108" s="89" t="s">
        <v>646</v>
      </c>
      <c r="BS108" s="89" t="s">
        <v>646</v>
      </c>
      <c r="BT108" s="89" t="s">
        <v>646</v>
      </c>
      <c r="BU108" s="89" t="s">
        <v>646</v>
      </c>
      <c r="BV108" s="89" t="s">
        <v>646</v>
      </c>
      <c r="BW108" s="89" t="s">
        <v>646</v>
      </c>
      <c r="BX108" s="89" t="s">
        <v>646</v>
      </c>
      <c r="BY108" s="89" t="s">
        <v>646</v>
      </c>
      <c r="BZ108" s="89" t="s">
        <v>646</v>
      </c>
      <c r="CA108" s="89" t="s">
        <v>646</v>
      </c>
      <c r="CB108" s="89" t="s">
        <v>18470</v>
      </c>
      <c r="CC108" s="89" t="str">
        <f>HYPERLINK("https%3A%2F%2Fwww.webofscience.com%2Fwos%2Fwoscc%2Ffull-record%2FWOS:000398710800003","View Full Record in Web of Science")</f>
        <v>View Full Record in Web of Science</v>
      </c>
    </row>
    <row r="109" spans="1:81" ht="13.2" hidden="1" x14ac:dyDescent="0.25">
      <c r="A109" s="89" t="s">
        <v>18471</v>
      </c>
      <c r="B109" s="89" t="e">
        <f>+#REF!</f>
        <v>#REF!</v>
      </c>
      <c r="C109" s="89"/>
      <c r="D109" s="91" t="s">
        <v>17939</v>
      </c>
      <c r="E109" s="90" t="e">
        <v>#REF!</v>
      </c>
      <c r="F109" s="89"/>
      <c r="G109" s="89"/>
      <c r="H109" s="89" t="s">
        <v>646</v>
      </c>
      <c r="I109" s="89" t="s">
        <v>18472</v>
      </c>
      <c r="J109" s="89" t="s">
        <v>646</v>
      </c>
      <c r="K109" s="89" t="s">
        <v>18478</v>
      </c>
      <c r="M109" s="89">
        <v>1998</v>
      </c>
      <c r="N109" s="89" t="s">
        <v>18474</v>
      </c>
      <c r="O109" s="89" t="s">
        <v>646</v>
      </c>
      <c r="P109" s="89" t="s">
        <v>646</v>
      </c>
      <c r="S109" s="89" t="s">
        <v>18473</v>
      </c>
      <c r="U109" s="89" t="s">
        <v>17474</v>
      </c>
      <c r="W109" s="89" t="s">
        <v>646</v>
      </c>
      <c r="X109" s="89" t="s">
        <v>646</v>
      </c>
      <c r="Y109" s="89" t="s">
        <v>18475</v>
      </c>
      <c r="Z109" s="89" t="s">
        <v>18476</v>
      </c>
      <c r="AA109" s="89" t="s">
        <v>18477</v>
      </c>
      <c r="AB109" s="89" t="s">
        <v>646</v>
      </c>
      <c r="AC109" s="89" t="s">
        <v>646</v>
      </c>
      <c r="AD109" s="89" t="s">
        <v>646</v>
      </c>
      <c r="AE109" s="89" t="s">
        <v>646</v>
      </c>
      <c r="AF109" s="89" t="s">
        <v>18478</v>
      </c>
      <c r="AG109" s="89" t="s">
        <v>646</v>
      </c>
      <c r="AH109" s="89" t="s">
        <v>646</v>
      </c>
      <c r="AI109" s="89" t="s">
        <v>646</v>
      </c>
      <c r="AJ109" s="89" t="s">
        <v>646</v>
      </c>
      <c r="AK109" s="89" t="s">
        <v>646</v>
      </c>
      <c r="AL109" s="89" t="s">
        <v>646</v>
      </c>
      <c r="AM109" s="89" t="s">
        <v>646</v>
      </c>
      <c r="AN109" s="89" t="s">
        <v>646</v>
      </c>
      <c r="AO109" s="89" t="s">
        <v>646</v>
      </c>
      <c r="AP109" s="89" t="s">
        <v>646</v>
      </c>
      <c r="AQ109" s="89" t="s">
        <v>646</v>
      </c>
      <c r="AR109" s="89" t="s">
        <v>646</v>
      </c>
      <c r="AS109" s="89" t="s">
        <v>646</v>
      </c>
      <c r="AT109" s="89" t="s">
        <v>646</v>
      </c>
      <c r="AU109" s="89" t="s">
        <v>646</v>
      </c>
      <c r="AV109" s="89" t="s">
        <v>646</v>
      </c>
      <c r="AW109" s="89" t="s">
        <v>646</v>
      </c>
      <c r="AX109" s="89" t="s">
        <v>646</v>
      </c>
      <c r="AY109" s="89" t="s">
        <v>646</v>
      </c>
      <c r="AZ109" s="89" t="s">
        <v>646</v>
      </c>
      <c r="BA109" s="89" t="s">
        <v>18479</v>
      </c>
      <c r="BB109" s="89" t="s">
        <v>646</v>
      </c>
      <c r="BC109" s="89" t="s">
        <v>646</v>
      </c>
      <c r="BD109" s="89" t="s">
        <v>646</v>
      </c>
      <c r="BE109" s="89">
        <v>1998</v>
      </c>
      <c r="BF109" s="89" t="s">
        <v>646</v>
      </c>
      <c r="BG109" s="89" t="s">
        <v>646</v>
      </c>
      <c r="BH109" s="89" t="s">
        <v>646</v>
      </c>
      <c r="BI109" s="89" t="s">
        <v>646</v>
      </c>
      <c r="BJ109" s="89" t="s">
        <v>646</v>
      </c>
      <c r="BK109" s="89" t="s">
        <v>646</v>
      </c>
      <c r="BL109" s="89">
        <v>173</v>
      </c>
      <c r="BM109" s="89">
        <v>173</v>
      </c>
      <c r="BN109" s="89" t="s">
        <v>646</v>
      </c>
      <c r="BO109" s="89" t="s">
        <v>646</v>
      </c>
      <c r="BP109" s="89" t="s">
        <v>646</v>
      </c>
      <c r="BQ109" s="89" t="s">
        <v>646</v>
      </c>
      <c r="BR109" s="89" t="s">
        <v>646</v>
      </c>
      <c r="BS109" s="89" t="s">
        <v>646</v>
      </c>
      <c r="BT109" s="89" t="s">
        <v>646</v>
      </c>
      <c r="BU109" s="89" t="s">
        <v>646</v>
      </c>
      <c r="BV109" s="89" t="s">
        <v>646</v>
      </c>
      <c r="BW109" s="89" t="s">
        <v>646</v>
      </c>
      <c r="BX109" s="89" t="s">
        <v>646</v>
      </c>
      <c r="BY109" s="89" t="s">
        <v>646</v>
      </c>
      <c r="BZ109" s="89" t="s">
        <v>646</v>
      </c>
      <c r="CA109" s="89" t="s">
        <v>646</v>
      </c>
      <c r="CB109" s="89" t="s">
        <v>18480</v>
      </c>
      <c r="CC109" s="89" t="str">
        <f>HYPERLINK("https%3A%2F%2Fwww.webofscience.com%2Fwos%2Fwoscc%2Ffull-record%2FWOS:000089239500064","View Full Record in Web of Science")</f>
        <v>View Full Record in Web of Science</v>
      </c>
    </row>
    <row r="110" spans="1:81" ht="13.2" hidden="1" x14ac:dyDescent="0.25">
      <c r="A110" s="89" t="s">
        <v>18481</v>
      </c>
      <c r="B110" s="89" t="e">
        <f>+#REF!</f>
        <v>#REF!</v>
      </c>
      <c r="C110" s="89"/>
      <c r="D110" s="91" t="s">
        <v>17939</v>
      </c>
      <c r="E110" s="90" t="e">
        <v>#REF!</v>
      </c>
      <c r="F110" s="89"/>
      <c r="G110" s="89"/>
      <c r="H110" s="89" t="s">
        <v>646</v>
      </c>
      <c r="I110" s="89" t="s">
        <v>18482</v>
      </c>
      <c r="J110" s="89" t="s">
        <v>18237</v>
      </c>
      <c r="K110" s="89" t="s">
        <v>18489</v>
      </c>
      <c r="M110" s="89">
        <v>2018</v>
      </c>
      <c r="N110" s="89" t="s">
        <v>18483</v>
      </c>
      <c r="O110" s="89" t="s">
        <v>646</v>
      </c>
      <c r="P110" s="89" t="s">
        <v>646</v>
      </c>
      <c r="S110" s="89" t="s">
        <v>17475</v>
      </c>
      <c r="U110" s="89" t="s">
        <v>17474</v>
      </c>
      <c r="W110" s="89" t="s">
        <v>646</v>
      </c>
      <c r="X110" s="89" t="s">
        <v>646</v>
      </c>
      <c r="Y110" s="89" t="s">
        <v>18484</v>
      </c>
      <c r="Z110" s="89" t="s">
        <v>18485</v>
      </c>
      <c r="AA110" s="89" t="s">
        <v>18486</v>
      </c>
      <c r="AB110" s="89" t="s">
        <v>18487</v>
      </c>
      <c r="AC110" s="89" t="s">
        <v>18488</v>
      </c>
      <c r="AD110" s="89" t="s">
        <v>646</v>
      </c>
      <c r="AE110" s="89" t="s">
        <v>646</v>
      </c>
      <c r="AF110" s="89" t="s">
        <v>18489</v>
      </c>
      <c r="AG110" s="89" t="s">
        <v>646</v>
      </c>
      <c r="AH110" s="89" t="s">
        <v>646</v>
      </c>
      <c r="AI110" s="89" t="s">
        <v>646</v>
      </c>
      <c r="AJ110" s="89" t="s">
        <v>646</v>
      </c>
      <c r="AK110" s="89" t="s">
        <v>18237</v>
      </c>
      <c r="AL110" s="89" t="s">
        <v>18238</v>
      </c>
      <c r="AM110" s="89" t="s">
        <v>646</v>
      </c>
      <c r="AN110" s="89" t="s">
        <v>646</v>
      </c>
      <c r="AO110" s="89" t="s">
        <v>646</v>
      </c>
      <c r="AP110" s="89" t="s">
        <v>646</v>
      </c>
      <c r="AQ110" s="89" t="s">
        <v>646</v>
      </c>
      <c r="AR110" s="89" t="s">
        <v>646</v>
      </c>
      <c r="AS110" s="89" t="s">
        <v>646</v>
      </c>
      <c r="AT110" s="89" t="s">
        <v>646</v>
      </c>
      <c r="AU110" s="89" t="s">
        <v>646</v>
      </c>
      <c r="AV110" s="89" t="s">
        <v>646</v>
      </c>
      <c r="AW110" s="89" t="s">
        <v>646</v>
      </c>
      <c r="AX110" s="89" t="s">
        <v>646</v>
      </c>
      <c r="AY110" s="89" t="s">
        <v>18239</v>
      </c>
      <c r="AZ110" s="89" t="s">
        <v>646</v>
      </c>
      <c r="BA110" s="89" t="s">
        <v>18490</v>
      </c>
      <c r="BB110" s="89" t="s">
        <v>646</v>
      </c>
      <c r="BC110" s="89" t="s">
        <v>646</v>
      </c>
      <c r="BD110" s="89" t="s">
        <v>646</v>
      </c>
      <c r="BE110" s="89">
        <v>2018</v>
      </c>
      <c r="BF110" s="89" t="s">
        <v>646</v>
      </c>
      <c r="BG110" s="89" t="s">
        <v>646</v>
      </c>
      <c r="BH110" s="89" t="s">
        <v>646</v>
      </c>
      <c r="BI110" s="89" t="s">
        <v>646</v>
      </c>
      <c r="BJ110" s="89" t="s">
        <v>646</v>
      </c>
      <c r="BK110" s="89" t="s">
        <v>646</v>
      </c>
      <c r="BL110" s="89">
        <v>137</v>
      </c>
      <c r="BM110" s="89">
        <v>142</v>
      </c>
      <c r="BN110" s="89" t="s">
        <v>646</v>
      </c>
      <c r="BO110" s="89" t="s">
        <v>646</v>
      </c>
      <c r="BP110" s="89" t="s">
        <v>646</v>
      </c>
      <c r="BQ110" s="89" t="s">
        <v>646</v>
      </c>
      <c r="BR110" s="89" t="s">
        <v>646</v>
      </c>
      <c r="BS110" s="89" t="s">
        <v>646</v>
      </c>
      <c r="BT110" s="89" t="s">
        <v>646</v>
      </c>
      <c r="BU110" s="89" t="s">
        <v>646</v>
      </c>
      <c r="BV110" s="89" t="s">
        <v>646</v>
      </c>
      <c r="BW110" s="89" t="s">
        <v>646</v>
      </c>
      <c r="BX110" s="89" t="s">
        <v>646</v>
      </c>
      <c r="BY110" s="89" t="s">
        <v>646</v>
      </c>
      <c r="BZ110" s="89" t="s">
        <v>646</v>
      </c>
      <c r="CA110" s="89" t="s">
        <v>646</v>
      </c>
      <c r="CB110" s="89" t="s">
        <v>18491</v>
      </c>
      <c r="CC110" s="89" t="str">
        <f>HYPERLINK("https%3A%2F%2Fwww.webofscience.com%2Fwos%2Fwoscc%2Ffull-record%2FWOS:000458881800023","View Full Record in Web of Science")</f>
        <v>View Full Record in Web of Science</v>
      </c>
    </row>
    <row r="111" spans="1:81" ht="13.2" hidden="1" x14ac:dyDescent="0.25">
      <c r="A111" s="89" t="s">
        <v>18492</v>
      </c>
      <c r="B111" s="89" t="e">
        <f>+#REF!</f>
        <v>#REF!</v>
      </c>
      <c r="C111" s="89"/>
      <c r="D111" s="91" t="s">
        <v>17939</v>
      </c>
      <c r="E111" s="90" t="e">
        <v>#REF!</v>
      </c>
      <c r="F111" s="89"/>
      <c r="G111" s="89"/>
      <c r="H111" s="89" t="s">
        <v>18493</v>
      </c>
      <c r="I111" s="89" t="s">
        <v>18494</v>
      </c>
      <c r="J111" s="89" t="s">
        <v>18497</v>
      </c>
      <c r="K111" s="89" t="s">
        <v>18496</v>
      </c>
      <c r="M111" s="89">
        <v>2014</v>
      </c>
      <c r="N111" s="89" t="s">
        <v>18495</v>
      </c>
      <c r="O111" s="89" t="s">
        <v>646</v>
      </c>
      <c r="P111" s="89" t="str">
        <f>HYPERLINK("http://dx.doi.org/10.2298/CSIS130129019C","http://dx.doi.org/10.2298/CSIS130129019C")</f>
        <v>http://dx.doi.org/10.2298/CSIS130129019C</v>
      </c>
      <c r="S111" s="89" t="s">
        <v>646</v>
      </c>
      <c r="U111" s="89" t="s">
        <v>17462</v>
      </c>
      <c r="W111" s="89" t="s">
        <v>646</v>
      </c>
      <c r="X111" s="89" t="s">
        <v>646</v>
      </c>
      <c r="Y111" s="89" t="s">
        <v>646</v>
      </c>
      <c r="Z111" s="89" t="s">
        <v>646</v>
      </c>
      <c r="AA111" s="89" t="s">
        <v>646</v>
      </c>
      <c r="AB111" s="89" t="s">
        <v>646</v>
      </c>
      <c r="AC111" s="89" t="s">
        <v>646</v>
      </c>
      <c r="AD111" s="89" t="s">
        <v>646</v>
      </c>
      <c r="AE111" s="89" t="s">
        <v>646</v>
      </c>
      <c r="AF111" s="89" t="s">
        <v>18496</v>
      </c>
      <c r="AG111" s="89" t="s">
        <v>646</v>
      </c>
      <c r="AH111" s="89" t="s">
        <v>646</v>
      </c>
      <c r="AI111" s="89" t="s">
        <v>646</v>
      </c>
      <c r="AJ111" s="89" t="s">
        <v>646</v>
      </c>
      <c r="AK111" s="89" t="s">
        <v>18497</v>
      </c>
      <c r="AL111" s="89" t="s">
        <v>18498</v>
      </c>
      <c r="AM111" s="89" t="s">
        <v>646</v>
      </c>
      <c r="AN111" s="89" t="s">
        <v>646</v>
      </c>
      <c r="AO111" s="89" t="s">
        <v>646</v>
      </c>
      <c r="AP111" s="89" t="s">
        <v>646</v>
      </c>
      <c r="AQ111" s="89" t="s">
        <v>646</v>
      </c>
      <c r="AR111" s="89" t="s">
        <v>646</v>
      </c>
      <c r="AS111" s="89" t="s">
        <v>646</v>
      </c>
      <c r="AT111" s="89" t="s">
        <v>646</v>
      </c>
      <c r="AU111" s="89" t="s">
        <v>646</v>
      </c>
      <c r="AV111" s="89" t="s">
        <v>646</v>
      </c>
      <c r="AW111" s="89" t="s">
        <v>646</v>
      </c>
      <c r="AX111" s="89" t="s">
        <v>646</v>
      </c>
      <c r="AY111" s="89" t="s">
        <v>18499</v>
      </c>
      <c r="AZ111" s="89" t="s">
        <v>646</v>
      </c>
      <c r="BA111" s="89" t="s">
        <v>646</v>
      </c>
      <c r="BB111" s="89" t="s">
        <v>646</v>
      </c>
      <c r="BC111" s="89" t="s">
        <v>646</v>
      </c>
      <c r="BD111" s="89" t="s">
        <v>17513</v>
      </c>
      <c r="BE111" s="89">
        <v>2014</v>
      </c>
      <c r="BF111" s="89">
        <v>11</v>
      </c>
      <c r="BG111" s="89">
        <v>1</v>
      </c>
      <c r="BH111" s="89" t="s">
        <v>646</v>
      </c>
      <c r="BI111" s="89" t="s">
        <v>646</v>
      </c>
      <c r="BJ111" s="89" t="s">
        <v>646</v>
      </c>
      <c r="BK111" s="89" t="s">
        <v>646</v>
      </c>
      <c r="BL111" s="89">
        <v>29</v>
      </c>
      <c r="BM111" s="89">
        <v>45</v>
      </c>
      <c r="BN111" s="89" t="s">
        <v>646</v>
      </c>
      <c r="BO111" s="89" t="str">
        <f>HYPERLINK("http://dx.doi.org/10.2298/CSIS130129019C","http://dx.doi.org/10.2298/CSIS130129019C")</f>
        <v>http://dx.doi.org/10.2298/CSIS130129019C</v>
      </c>
      <c r="BP111" s="89" t="s">
        <v>646</v>
      </c>
      <c r="BQ111" s="89" t="s">
        <v>646</v>
      </c>
      <c r="BR111" s="89" t="s">
        <v>646</v>
      </c>
      <c r="BS111" s="89" t="s">
        <v>646</v>
      </c>
      <c r="BT111" s="89" t="s">
        <v>646</v>
      </c>
      <c r="BU111" s="89" t="s">
        <v>646</v>
      </c>
      <c r="BV111" s="89" t="s">
        <v>646</v>
      </c>
      <c r="BW111" s="89" t="s">
        <v>646</v>
      </c>
      <c r="BX111" s="89" t="s">
        <v>646</v>
      </c>
      <c r="BY111" s="89" t="s">
        <v>646</v>
      </c>
      <c r="BZ111" s="89" t="s">
        <v>646</v>
      </c>
      <c r="CA111" s="89" t="s">
        <v>646</v>
      </c>
      <c r="CB111" s="89" t="s">
        <v>18500</v>
      </c>
      <c r="CC111" s="89" t="str">
        <f>HYPERLINK("https%3A%2F%2Fwww.webofscience.com%2Fwos%2Fwoscc%2Ffull-record%2FWOS:000331779200006","View Full Record in Web of Science")</f>
        <v>View Full Record in Web of Science</v>
      </c>
    </row>
    <row r="112" spans="1:81" ht="13.2" hidden="1" x14ac:dyDescent="0.25">
      <c r="A112" s="89" t="s">
        <v>18501</v>
      </c>
      <c r="B112" s="89" t="e">
        <f>+#REF!</f>
        <v>#REF!</v>
      </c>
      <c r="C112" s="89"/>
      <c r="D112" s="91" t="s">
        <v>17939</v>
      </c>
      <c r="E112" s="90" t="e">
        <v>#REF!</v>
      </c>
      <c r="F112" s="89"/>
      <c r="G112" s="89"/>
      <c r="H112" s="89" t="s">
        <v>18502</v>
      </c>
      <c r="I112" s="89" t="s">
        <v>18503</v>
      </c>
      <c r="J112" s="89" t="s">
        <v>18506</v>
      </c>
      <c r="K112" s="89" t="s">
        <v>18505</v>
      </c>
      <c r="M112" s="89">
        <v>2020</v>
      </c>
      <c r="N112" s="89" t="s">
        <v>18504</v>
      </c>
      <c r="O112" s="89" t="s">
        <v>646</v>
      </c>
      <c r="P112" s="89" t="str">
        <f>HYPERLINK("http://dx.doi.org/10.1111/glob.12252","http://dx.doi.org/10.1111/glob.12252")</f>
        <v>http://dx.doi.org/10.1111/glob.12252</v>
      </c>
      <c r="S112" s="89" t="s">
        <v>646</v>
      </c>
      <c r="U112" s="89" t="s">
        <v>17462</v>
      </c>
      <c r="W112" s="89" t="s">
        <v>646</v>
      </c>
      <c r="X112" s="89" t="s">
        <v>646</v>
      </c>
      <c r="Y112" s="89" t="s">
        <v>646</v>
      </c>
      <c r="Z112" s="89" t="s">
        <v>646</v>
      </c>
      <c r="AA112" s="89" t="s">
        <v>646</v>
      </c>
      <c r="AB112" s="89" t="s">
        <v>646</v>
      </c>
      <c r="AC112" s="89" t="s">
        <v>646</v>
      </c>
      <c r="AD112" s="89" t="s">
        <v>646</v>
      </c>
      <c r="AE112" s="89" t="s">
        <v>646</v>
      </c>
      <c r="AF112" s="89" t="s">
        <v>18505</v>
      </c>
      <c r="AG112" s="89" t="s">
        <v>646</v>
      </c>
      <c r="AH112" s="89" t="s">
        <v>646</v>
      </c>
      <c r="AI112" s="89" t="s">
        <v>646</v>
      </c>
      <c r="AJ112" s="89" t="s">
        <v>646</v>
      </c>
      <c r="AK112" s="89" t="s">
        <v>18506</v>
      </c>
      <c r="AL112" s="89" t="s">
        <v>18507</v>
      </c>
      <c r="AM112" s="89" t="s">
        <v>646</v>
      </c>
      <c r="AN112" s="89" t="s">
        <v>646</v>
      </c>
      <c r="AO112" s="89" t="s">
        <v>646</v>
      </c>
      <c r="AP112" s="89" t="s">
        <v>646</v>
      </c>
      <c r="AQ112" s="89" t="s">
        <v>646</v>
      </c>
      <c r="AR112" s="89" t="s">
        <v>646</v>
      </c>
      <c r="AS112" s="89" t="s">
        <v>646</v>
      </c>
      <c r="AT112" s="89" t="s">
        <v>646</v>
      </c>
      <c r="AU112" s="89" t="s">
        <v>646</v>
      </c>
      <c r="AV112" s="89" t="s">
        <v>646</v>
      </c>
      <c r="AW112" s="89" t="s">
        <v>646</v>
      </c>
      <c r="AX112" s="89" t="s">
        <v>646</v>
      </c>
      <c r="AY112" s="89" t="s">
        <v>18508</v>
      </c>
      <c r="AZ112" s="89" t="s">
        <v>18509</v>
      </c>
      <c r="BA112" s="89" t="s">
        <v>646</v>
      </c>
      <c r="BB112" s="89" t="s">
        <v>646</v>
      </c>
      <c r="BC112" s="89" t="s">
        <v>646</v>
      </c>
      <c r="BD112" s="89" t="s">
        <v>17676</v>
      </c>
      <c r="BE112" s="89">
        <v>2020</v>
      </c>
      <c r="BF112" s="89">
        <v>20</v>
      </c>
      <c r="BG112" s="89">
        <v>3</v>
      </c>
      <c r="BH112" s="89" t="s">
        <v>646</v>
      </c>
      <c r="BI112" s="89" t="s">
        <v>646</v>
      </c>
      <c r="BJ112" s="89" t="s">
        <v>646</v>
      </c>
      <c r="BK112" s="89" t="s">
        <v>646</v>
      </c>
      <c r="BL112" s="89">
        <v>454</v>
      </c>
      <c r="BM112" s="89">
        <v>471</v>
      </c>
      <c r="BN112" s="89" t="s">
        <v>646</v>
      </c>
      <c r="BO112" s="89" t="str">
        <f>HYPERLINK("http://dx.doi.org/10.1111/glob.12252","http://dx.doi.org/10.1111/glob.12252")</f>
        <v>http://dx.doi.org/10.1111/glob.12252</v>
      </c>
      <c r="BP112" s="89" t="s">
        <v>646</v>
      </c>
      <c r="BQ112" s="89" t="s">
        <v>18510</v>
      </c>
      <c r="BR112" s="89" t="s">
        <v>646</v>
      </c>
      <c r="BS112" s="89" t="s">
        <v>646</v>
      </c>
      <c r="BT112" s="89" t="s">
        <v>646</v>
      </c>
      <c r="BU112" s="89" t="s">
        <v>646</v>
      </c>
      <c r="BV112" s="89" t="s">
        <v>646</v>
      </c>
      <c r="BW112" s="89" t="s">
        <v>646</v>
      </c>
      <c r="BX112" s="89" t="s">
        <v>646</v>
      </c>
      <c r="BY112" s="89" t="s">
        <v>646</v>
      </c>
      <c r="BZ112" s="89" t="s">
        <v>646</v>
      </c>
      <c r="CA112" s="89" t="s">
        <v>646</v>
      </c>
      <c r="CB112" s="89" t="s">
        <v>18511</v>
      </c>
      <c r="CC112" s="89" t="str">
        <f>HYPERLINK("https%3A%2F%2Fwww.webofscience.com%2Fwos%2Fwoscc%2Ffull-record%2FWOS:000477255000001","View Full Record in Web of Science")</f>
        <v>View Full Record in Web of Science</v>
      </c>
    </row>
    <row r="113" spans="1:81" ht="13.2" hidden="1" x14ac:dyDescent="0.25">
      <c r="A113" s="89" t="s">
        <v>18512</v>
      </c>
      <c r="B113" s="89" t="e">
        <f>+#REF!</f>
        <v>#REF!</v>
      </c>
      <c r="C113" s="89"/>
      <c r="D113" s="91" t="s">
        <v>17939</v>
      </c>
      <c r="E113" s="90" t="e">
        <v>#REF!</v>
      </c>
      <c r="F113" s="89"/>
      <c r="G113" s="89"/>
      <c r="H113" s="89" t="s">
        <v>646</v>
      </c>
      <c r="I113" s="89" t="s">
        <v>18514</v>
      </c>
      <c r="J113" s="89" t="s">
        <v>18519</v>
      </c>
      <c r="K113" s="89" t="s">
        <v>18518</v>
      </c>
      <c r="M113" s="89">
        <v>2018</v>
      </c>
      <c r="N113" s="89" t="s">
        <v>18515</v>
      </c>
      <c r="O113" s="89" t="s">
        <v>18513</v>
      </c>
      <c r="P113" s="89" t="s">
        <v>646</v>
      </c>
      <c r="S113" s="89" t="s">
        <v>646</v>
      </c>
      <c r="U113" s="89" t="s">
        <v>17474</v>
      </c>
      <c r="W113" s="89" t="s">
        <v>646</v>
      </c>
      <c r="X113" s="89" t="s">
        <v>646</v>
      </c>
      <c r="Y113" s="89" t="s">
        <v>18516</v>
      </c>
      <c r="Z113" s="89" t="s">
        <v>18517</v>
      </c>
      <c r="AA113" s="89" t="s">
        <v>18352</v>
      </c>
      <c r="AB113" s="89" t="s">
        <v>646</v>
      </c>
      <c r="AC113" s="89" t="s">
        <v>646</v>
      </c>
      <c r="AD113" s="89" t="s">
        <v>646</v>
      </c>
      <c r="AE113" s="89" t="s">
        <v>646</v>
      </c>
      <c r="AF113" s="89" t="s">
        <v>18518</v>
      </c>
      <c r="AG113" s="89" t="s">
        <v>646</v>
      </c>
      <c r="AH113" s="89" t="s">
        <v>646</v>
      </c>
      <c r="AI113" s="89" t="s">
        <v>646</v>
      </c>
      <c r="AJ113" s="89" t="s">
        <v>646</v>
      </c>
      <c r="AK113" s="89" t="s">
        <v>18519</v>
      </c>
      <c r="AL113" s="89" t="s">
        <v>646</v>
      </c>
      <c r="AM113" s="89" t="s">
        <v>646</v>
      </c>
      <c r="AN113" s="89" t="s">
        <v>646</v>
      </c>
      <c r="AO113" s="89" t="s">
        <v>646</v>
      </c>
      <c r="AP113" s="89" t="s">
        <v>646</v>
      </c>
      <c r="AQ113" s="89" t="s">
        <v>646</v>
      </c>
      <c r="AR113" s="89" t="s">
        <v>646</v>
      </c>
      <c r="AS113" s="89" t="s">
        <v>646</v>
      </c>
      <c r="AT113" s="89" t="s">
        <v>646</v>
      </c>
      <c r="AU113" s="89" t="s">
        <v>646</v>
      </c>
      <c r="AV113" s="89" t="s">
        <v>646</v>
      </c>
      <c r="AW113" s="89" t="s">
        <v>646</v>
      </c>
      <c r="AX113" s="89" t="s">
        <v>646</v>
      </c>
      <c r="AY113" s="89" t="s">
        <v>18520</v>
      </c>
      <c r="AZ113" s="89" t="s">
        <v>646</v>
      </c>
      <c r="BA113" s="89" t="s">
        <v>18521</v>
      </c>
      <c r="BB113" s="89" t="s">
        <v>646</v>
      </c>
      <c r="BC113" s="89" t="s">
        <v>646</v>
      </c>
      <c r="BD113" s="89" t="s">
        <v>646</v>
      </c>
      <c r="BE113" s="89">
        <v>2018</v>
      </c>
      <c r="BF113" s="89" t="s">
        <v>646</v>
      </c>
      <c r="BG113" s="89" t="s">
        <v>646</v>
      </c>
      <c r="BH113" s="89" t="s">
        <v>646</v>
      </c>
      <c r="BI113" s="89" t="s">
        <v>646</v>
      </c>
      <c r="BJ113" s="89" t="s">
        <v>646</v>
      </c>
      <c r="BK113" s="89" t="s">
        <v>646</v>
      </c>
      <c r="BL113" s="89">
        <v>673</v>
      </c>
      <c r="BM113" s="89">
        <v>682</v>
      </c>
      <c r="BN113" s="89" t="s">
        <v>646</v>
      </c>
      <c r="BO113" s="89" t="s">
        <v>646</v>
      </c>
      <c r="BP113" s="89" t="s">
        <v>646</v>
      </c>
      <c r="BQ113" s="89" t="s">
        <v>646</v>
      </c>
      <c r="BR113" s="89" t="s">
        <v>646</v>
      </c>
      <c r="BS113" s="89" t="s">
        <v>646</v>
      </c>
      <c r="BT113" s="89" t="s">
        <v>646</v>
      </c>
      <c r="BU113" s="89" t="s">
        <v>646</v>
      </c>
      <c r="BV113" s="89" t="s">
        <v>646</v>
      </c>
      <c r="BW113" s="89" t="s">
        <v>646</v>
      </c>
      <c r="BX113" s="89" t="s">
        <v>646</v>
      </c>
      <c r="BY113" s="89" t="s">
        <v>646</v>
      </c>
      <c r="BZ113" s="89" t="s">
        <v>646</v>
      </c>
      <c r="CA113" s="89" t="s">
        <v>646</v>
      </c>
      <c r="CB113" s="89" t="s">
        <v>18522</v>
      </c>
      <c r="CC113" s="89" t="str">
        <f>HYPERLINK("https%3A%2F%2Fwww.webofscience.com%2Fwos%2Fwoscc%2Ffull-record%2FWOS:000482078200059","View Full Record in Web of Science")</f>
        <v>View Full Record in Web of Science</v>
      </c>
    </row>
    <row r="114" spans="1:81" ht="13.2" hidden="1" x14ac:dyDescent="0.25">
      <c r="A114" s="89" t="s">
        <v>18523</v>
      </c>
      <c r="B114" s="89" t="e">
        <f>+#REF!</f>
        <v>#REF!</v>
      </c>
      <c r="C114" s="89"/>
      <c r="D114" s="91" t="s">
        <v>17939</v>
      </c>
      <c r="E114" s="90" t="e">
        <v>#REF!</v>
      </c>
      <c r="F114" s="89"/>
      <c r="G114" s="89"/>
      <c r="H114" s="89" t="s">
        <v>18524</v>
      </c>
      <c r="I114" s="89" t="s">
        <v>18525</v>
      </c>
      <c r="J114" s="89" t="s">
        <v>646</v>
      </c>
      <c r="K114" s="89" t="s">
        <v>18527</v>
      </c>
      <c r="M114" s="89">
        <v>2018</v>
      </c>
      <c r="N114" s="89" t="s">
        <v>18526</v>
      </c>
      <c r="O114" s="89" t="s">
        <v>646</v>
      </c>
      <c r="P114" s="89" t="str">
        <f>HYPERLINK("http://dx.doi.org/10.30925/zpfsr.39.4.5","http://dx.doi.org/10.30925/zpfsr.39.4.5")</f>
        <v>http://dx.doi.org/10.30925/zpfsr.39.4.5</v>
      </c>
      <c r="S114" s="89" t="s">
        <v>646</v>
      </c>
      <c r="U114" s="89" t="s">
        <v>17462</v>
      </c>
      <c r="W114" s="89" t="s">
        <v>646</v>
      </c>
      <c r="X114" s="89" t="s">
        <v>646</v>
      </c>
      <c r="Y114" s="89" t="s">
        <v>646</v>
      </c>
      <c r="Z114" s="89" t="s">
        <v>646</v>
      </c>
      <c r="AA114" s="89" t="s">
        <v>646</v>
      </c>
      <c r="AB114" s="89" t="s">
        <v>646</v>
      </c>
      <c r="AC114" s="89" t="s">
        <v>646</v>
      </c>
      <c r="AD114" s="89" t="s">
        <v>646</v>
      </c>
      <c r="AE114" s="89" t="s">
        <v>646</v>
      </c>
      <c r="AF114" s="89" t="s">
        <v>18527</v>
      </c>
      <c r="AG114" s="89" t="s">
        <v>646</v>
      </c>
      <c r="AH114" s="89" t="s">
        <v>646</v>
      </c>
      <c r="AI114" s="89" t="s">
        <v>646</v>
      </c>
      <c r="AJ114" s="89" t="s">
        <v>646</v>
      </c>
      <c r="AK114" s="89" t="s">
        <v>646</v>
      </c>
      <c r="AL114" s="89" t="s">
        <v>18528</v>
      </c>
      <c r="AM114" s="89" t="s">
        <v>646</v>
      </c>
      <c r="AN114" s="89" t="s">
        <v>646</v>
      </c>
      <c r="AO114" s="89" t="s">
        <v>646</v>
      </c>
      <c r="AP114" s="89" t="s">
        <v>646</v>
      </c>
      <c r="AQ114" s="89" t="s">
        <v>646</v>
      </c>
      <c r="AR114" s="89" t="s">
        <v>646</v>
      </c>
      <c r="AS114" s="89" t="s">
        <v>646</v>
      </c>
      <c r="AT114" s="89" t="s">
        <v>646</v>
      </c>
      <c r="AU114" s="89" t="s">
        <v>646</v>
      </c>
      <c r="AV114" s="89" t="s">
        <v>646</v>
      </c>
      <c r="AW114" s="89" t="s">
        <v>646</v>
      </c>
      <c r="AX114" s="89" t="s">
        <v>646</v>
      </c>
      <c r="AY114" s="89" t="s">
        <v>18529</v>
      </c>
      <c r="AZ114" s="89" t="s">
        <v>18530</v>
      </c>
      <c r="BA114" s="89" t="s">
        <v>646</v>
      </c>
      <c r="BB114" s="89" t="s">
        <v>646</v>
      </c>
      <c r="BC114" s="89" t="s">
        <v>646</v>
      </c>
      <c r="BD114" s="89" t="s">
        <v>646</v>
      </c>
      <c r="BE114" s="89">
        <v>2018</v>
      </c>
      <c r="BF114" s="89">
        <v>39</v>
      </c>
      <c r="BG114" s="89">
        <v>4</v>
      </c>
      <c r="BH114" s="89" t="s">
        <v>646</v>
      </c>
      <c r="BI114" s="89" t="s">
        <v>646</v>
      </c>
      <c r="BJ114" s="89" t="s">
        <v>646</v>
      </c>
      <c r="BK114" s="89" t="s">
        <v>646</v>
      </c>
      <c r="BL114" s="89">
        <v>1561</v>
      </c>
      <c r="BM114" s="89">
        <v>1599</v>
      </c>
      <c r="BN114" s="89" t="s">
        <v>646</v>
      </c>
      <c r="BO114" s="89" t="str">
        <f>HYPERLINK("http://dx.doi.org/10.30925/zpfsr.39.4.5","http://dx.doi.org/10.30925/zpfsr.39.4.5")</f>
        <v>http://dx.doi.org/10.30925/zpfsr.39.4.5</v>
      </c>
      <c r="BP114" s="89" t="s">
        <v>646</v>
      </c>
      <c r="BQ114" s="89" t="s">
        <v>646</v>
      </c>
      <c r="BR114" s="89" t="s">
        <v>646</v>
      </c>
      <c r="BS114" s="89" t="s">
        <v>646</v>
      </c>
      <c r="BT114" s="89" t="s">
        <v>646</v>
      </c>
      <c r="BU114" s="89" t="s">
        <v>646</v>
      </c>
      <c r="BV114" s="89" t="s">
        <v>646</v>
      </c>
      <c r="BW114" s="89" t="s">
        <v>646</v>
      </c>
      <c r="BX114" s="89" t="s">
        <v>646</v>
      </c>
      <c r="BY114" s="89" t="s">
        <v>646</v>
      </c>
      <c r="BZ114" s="89" t="s">
        <v>646</v>
      </c>
      <c r="CA114" s="89" t="s">
        <v>646</v>
      </c>
      <c r="CB114" s="89" t="s">
        <v>18531</v>
      </c>
      <c r="CC114" s="89" t="str">
        <f>HYPERLINK("https%3A%2F%2Fwww.webofscience.com%2Fwos%2Fwoscc%2Ffull-record%2FWOS:000462817700005","View Full Record in Web of Science")</f>
        <v>View Full Record in Web of Science</v>
      </c>
    </row>
    <row r="115" spans="1:81" ht="13.2" hidden="1" x14ac:dyDescent="0.25">
      <c r="A115" s="89" t="s">
        <v>1123</v>
      </c>
      <c r="B115" s="89" t="e">
        <f>+#REF!</f>
        <v>#REF!</v>
      </c>
      <c r="C115" s="89"/>
      <c r="D115" s="91" t="s">
        <v>17939</v>
      </c>
      <c r="E115" s="90" t="e">
        <v>#REF!</v>
      </c>
      <c r="F115" s="89"/>
      <c r="G115" s="89"/>
      <c r="H115" s="89" t="s">
        <v>646</v>
      </c>
      <c r="I115" s="89" t="s">
        <v>18533</v>
      </c>
      <c r="J115" s="89" t="s">
        <v>18541</v>
      </c>
      <c r="K115" s="89" t="s">
        <v>18540</v>
      </c>
      <c r="M115" s="89">
        <v>2012</v>
      </c>
      <c r="N115" s="89" t="s">
        <v>18534</v>
      </c>
      <c r="O115" s="89" t="s">
        <v>646</v>
      </c>
      <c r="P115" s="89" t="s">
        <v>646</v>
      </c>
      <c r="S115" s="89" t="s">
        <v>18532</v>
      </c>
      <c r="U115" s="89" t="s">
        <v>17474</v>
      </c>
      <c r="W115" s="89" t="s">
        <v>646</v>
      </c>
      <c r="X115" s="89" t="s">
        <v>646</v>
      </c>
      <c r="Y115" s="89" t="s">
        <v>18535</v>
      </c>
      <c r="Z115" s="89" t="s">
        <v>18536</v>
      </c>
      <c r="AA115" s="89" t="s">
        <v>18537</v>
      </c>
      <c r="AB115" s="89" t="s">
        <v>18538</v>
      </c>
      <c r="AC115" s="89" t="s">
        <v>18539</v>
      </c>
      <c r="AD115" s="89" t="s">
        <v>646</v>
      </c>
      <c r="AE115" s="89" t="s">
        <v>646</v>
      </c>
      <c r="AF115" s="89" t="s">
        <v>18540</v>
      </c>
      <c r="AG115" s="89" t="s">
        <v>646</v>
      </c>
      <c r="AH115" s="89" t="s">
        <v>646</v>
      </c>
      <c r="AI115" s="89" t="s">
        <v>646</v>
      </c>
      <c r="AJ115" s="89" t="s">
        <v>646</v>
      </c>
      <c r="AK115" s="89" t="s">
        <v>18541</v>
      </c>
      <c r="AL115" s="89" t="s">
        <v>18542</v>
      </c>
      <c r="AM115" s="89" t="s">
        <v>646</v>
      </c>
      <c r="AN115" s="89" t="s">
        <v>646</v>
      </c>
      <c r="AO115" s="89" t="s">
        <v>646</v>
      </c>
      <c r="AP115" s="89" t="s">
        <v>646</v>
      </c>
      <c r="AQ115" s="89" t="s">
        <v>646</v>
      </c>
      <c r="AR115" s="89" t="s">
        <v>646</v>
      </c>
      <c r="AS115" s="89" t="s">
        <v>646</v>
      </c>
      <c r="AT115" s="89" t="s">
        <v>646</v>
      </c>
      <c r="AU115" s="89" t="s">
        <v>646</v>
      </c>
      <c r="AV115" s="89" t="s">
        <v>646</v>
      </c>
      <c r="AW115" s="89" t="s">
        <v>646</v>
      </c>
      <c r="AX115" s="89" t="s">
        <v>646</v>
      </c>
      <c r="AY115" s="89" t="s">
        <v>646</v>
      </c>
      <c r="AZ115" s="89" t="s">
        <v>646</v>
      </c>
      <c r="BA115" s="89" t="s">
        <v>18543</v>
      </c>
      <c r="BB115" s="89" t="s">
        <v>646</v>
      </c>
      <c r="BC115" s="89" t="s">
        <v>646</v>
      </c>
      <c r="BD115" s="89" t="s">
        <v>646</v>
      </c>
      <c r="BE115" s="89">
        <v>2012</v>
      </c>
      <c r="BF115" s="89" t="s">
        <v>646</v>
      </c>
      <c r="BG115" s="89" t="s">
        <v>646</v>
      </c>
      <c r="BH115" s="89" t="s">
        <v>646</v>
      </c>
      <c r="BI115" s="89" t="s">
        <v>646</v>
      </c>
      <c r="BJ115" s="89" t="s">
        <v>646</v>
      </c>
      <c r="BK115" s="89" t="s">
        <v>646</v>
      </c>
      <c r="BL115" s="89">
        <v>452</v>
      </c>
      <c r="BM115" s="89">
        <v>457</v>
      </c>
      <c r="BN115" s="89" t="s">
        <v>646</v>
      </c>
      <c r="BO115" s="89" t="s">
        <v>646</v>
      </c>
      <c r="BP115" s="89" t="s">
        <v>646</v>
      </c>
      <c r="BQ115" s="89" t="s">
        <v>646</v>
      </c>
      <c r="BR115" s="89" t="s">
        <v>646</v>
      </c>
      <c r="BS115" s="89" t="s">
        <v>646</v>
      </c>
      <c r="BT115" s="89" t="s">
        <v>646</v>
      </c>
      <c r="BU115" s="89" t="s">
        <v>646</v>
      </c>
      <c r="BV115" s="89" t="s">
        <v>646</v>
      </c>
      <c r="BW115" s="89" t="s">
        <v>646</v>
      </c>
      <c r="BX115" s="89" t="s">
        <v>646</v>
      </c>
      <c r="BY115" s="89" t="s">
        <v>646</v>
      </c>
      <c r="BZ115" s="89" t="s">
        <v>646</v>
      </c>
      <c r="CA115" s="89" t="s">
        <v>646</v>
      </c>
      <c r="CB115" s="89" t="s">
        <v>18544</v>
      </c>
      <c r="CC115" s="89" t="str">
        <f>HYPERLINK("https%3A%2F%2Fwww.webofscience.com%2Fwos%2Fwoscc%2Ffull-record%2FWOS:000320247600067","View Full Record in Web of Science")</f>
        <v>View Full Record in Web of Science</v>
      </c>
    </row>
    <row r="116" spans="1:81" ht="13.2" hidden="1" x14ac:dyDescent="0.25">
      <c r="A116" s="89" t="s">
        <v>18545</v>
      </c>
      <c r="B116" s="89" t="e">
        <f>+#REF!</f>
        <v>#REF!</v>
      </c>
      <c r="C116" s="89"/>
      <c r="D116" s="91" t="s">
        <v>17939</v>
      </c>
      <c r="E116" s="90" t="e">
        <v>#REF!</v>
      </c>
      <c r="F116" s="89"/>
      <c r="G116" s="89"/>
      <c r="H116" s="89" t="s">
        <v>646</v>
      </c>
      <c r="I116" s="89" t="s">
        <v>18547</v>
      </c>
      <c r="J116" s="89" t="s">
        <v>646</v>
      </c>
      <c r="K116" s="89" t="s">
        <v>18552</v>
      </c>
      <c r="M116" s="89">
        <v>2015</v>
      </c>
      <c r="N116" s="89" t="s">
        <v>18548</v>
      </c>
      <c r="O116" s="89" t="s">
        <v>18546</v>
      </c>
      <c r="P116" s="89" t="s">
        <v>646</v>
      </c>
      <c r="S116" s="89" t="s">
        <v>646</v>
      </c>
      <c r="U116" s="89" t="s">
        <v>17474</v>
      </c>
      <c r="W116" s="89" t="s">
        <v>646</v>
      </c>
      <c r="X116" s="89" t="s">
        <v>646</v>
      </c>
      <c r="Y116" s="89" t="s">
        <v>18549</v>
      </c>
      <c r="Z116" s="89" t="s">
        <v>18550</v>
      </c>
      <c r="AA116" s="89" t="s">
        <v>18352</v>
      </c>
      <c r="AB116" s="89" t="s">
        <v>18551</v>
      </c>
      <c r="AC116" s="89" t="s">
        <v>646</v>
      </c>
      <c r="AD116" s="89" t="s">
        <v>646</v>
      </c>
      <c r="AE116" s="89" t="s">
        <v>646</v>
      </c>
      <c r="AF116" s="89" t="s">
        <v>18552</v>
      </c>
      <c r="AG116" s="89" t="s">
        <v>646</v>
      </c>
      <c r="AH116" s="89" t="s">
        <v>646</v>
      </c>
      <c r="AI116" s="89" t="s">
        <v>646</v>
      </c>
      <c r="AJ116" s="89" t="s">
        <v>646</v>
      </c>
      <c r="AK116" s="89" t="s">
        <v>646</v>
      </c>
      <c r="AL116" s="89" t="s">
        <v>646</v>
      </c>
      <c r="AM116" s="89" t="s">
        <v>646</v>
      </c>
      <c r="AN116" s="89" t="s">
        <v>646</v>
      </c>
      <c r="AO116" s="89" t="s">
        <v>646</v>
      </c>
      <c r="AP116" s="89" t="s">
        <v>646</v>
      </c>
      <c r="AQ116" s="89" t="s">
        <v>646</v>
      </c>
      <c r="AR116" s="89" t="s">
        <v>646</v>
      </c>
      <c r="AS116" s="89" t="s">
        <v>646</v>
      </c>
      <c r="AT116" s="89" t="s">
        <v>646</v>
      </c>
      <c r="AU116" s="89" t="s">
        <v>646</v>
      </c>
      <c r="AV116" s="89" t="s">
        <v>646</v>
      </c>
      <c r="AW116" s="89" t="s">
        <v>646</v>
      </c>
      <c r="AX116" s="89" t="s">
        <v>646</v>
      </c>
      <c r="AY116" s="89" t="s">
        <v>18553</v>
      </c>
      <c r="AZ116" s="89" t="s">
        <v>646</v>
      </c>
      <c r="BA116" s="89" t="s">
        <v>646</v>
      </c>
      <c r="BB116" s="89" t="s">
        <v>646</v>
      </c>
      <c r="BC116" s="89" t="s">
        <v>646</v>
      </c>
      <c r="BD116" s="89" t="s">
        <v>646</v>
      </c>
      <c r="BE116" s="89">
        <v>2015</v>
      </c>
      <c r="BF116" s="89" t="s">
        <v>646</v>
      </c>
      <c r="BG116" s="89" t="s">
        <v>646</v>
      </c>
      <c r="BH116" s="89" t="s">
        <v>646</v>
      </c>
      <c r="BI116" s="89" t="s">
        <v>646</v>
      </c>
      <c r="BJ116" s="89" t="s">
        <v>646</v>
      </c>
      <c r="BK116" s="89" t="s">
        <v>646</v>
      </c>
      <c r="BL116" s="89">
        <v>84</v>
      </c>
      <c r="BM116" s="89">
        <v>89</v>
      </c>
      <c r="BN116" s="89" t="s">
        <v>646</v>
      </c>
      <c r="BO116" s="89" t="s">
        <v>646</v>
      </c>
      <c r="BP116" s="89" t="s">
        <v>646</v>
      </c>
      <c r="BQ116" s="89" t="s">
        <v>646</v>
      </c>
      <c r="BR116" s="89" t="s">
        <v>646</v>
      </c>
      <c r="BS116" s="89" t="s">
        <v>646</v>
      </c>
      <c r="BT116" s="89" t="s">
        <v>646</v>
      </c>
      <c r="BU116" s="89" t="s">
        <v>646</v>
      </c>
      <c r="BV116" s="89" t="s">
        <v>646</v>
      </c>
      <c r="BW116" s="89" t="s">
        <v>646</v>
      </c>
      <c r="BX116" s="89" t="s">
        <v>646</v>
      </c>
      <c r="BY116" s="89" t="s">
        <v>646</v>
      </c>
      <c r="BZ116" s="89" t="s">
        <v>646</v>
      </c>
      <c r="CA116" s="89" t="s">
        <v>646</v>
      </c>
      <c r="CB116" s="89" t="s">
        <v>18554</v>
      </c>
      <c r="CC116" s="89" t="str">
        <f>HYPERLINK("https%3A%2F%2Fwww.webofscience.com%2Fwos%2Fwoscc%2Ffull-record%2FWOS:000362796900015","View Full Record in Web of Science")</f>
        <v>View Full Record in Web of Science</v>
      </c>
    </row>
    <row r="117" spans="1:81" ht="13.2" hidden="1" x14ac:dyDescent="0.25">
      <c r="A117" s="89" t="s">
        <v>1620</v>
      </c>
      <c r="B117" s="89" t="e">
        <f>+#REF!</f>
        <v>#REF!</v>
      </c>
      <c r="C117" s="89"/>
      <c r="D117" s="91" t="s">
        <v>17939</v>
      </c>
      <c r="E117" s="90" t="e">
        <v>#REF!</v>
      </c>
      <c r="F117" s="89"/>
      <c r="G117" s="89"/>
      <c r="H117" s="89" t="s">
        <v>1622</v>
      </c>
      <c r="I117" s="89" t="s">
        <v>18555</v>
      </c>
      <c r="J117" s="89" t="s">
        <v>18558</v>
      </c>
      <c r="K117" s="89" t="s">
        <v>18557</v>
      </c>
      <c r="M117" s="89">
        <v>2020</v>
      </c>
      <c r="N117" s="89" t="s">
        <v>18556</v>
      </c>
      <c r="O117" s="89" t="s">
        <v>646</v>
      </c>
      <c r="P117" s="89" t="str">
        <f>HYPERLINK("http://dx.doi.org/10.1016/j.asoc.2020.106122","http://dx.doi.org/10.1016/j.asoc.2020.106122")</f>
        <v>http://dx.doi.org/10.1016/j.asoc.2020.106122</v>
      </c>
      <c r="S117" s="89" t="s">
        <v>646</v>
      </c>
      <c r="U117" s="89" t="s">
        <v>17462</v>
      </c>
      <c r="W117" s="89" t="s">
        <v>646</v>
      </c>
      <c r="X117" s="89" t="s">
        <v>646</v>
      </c>
      <c r="Y117" s="89" t="s">
        <v>646</v>
      </c>
      <c r="Z117" s="89" t="s">
        <v>646</v>
      </c>
      <c r="AA117" s="89" t="s">
        <v>646</v>
      </c>
      <c r="AB117" s="89" t="s">
        <v>646</v>
      </c>
      <c r="AC117" s="89" t="s">
        <v>646</v>
      </c>
      <c r="AD117" s="89" t="s">
        <v>646</v>
      </c>
      <c r="AE117" s="89" t="s">
        <v>646</v>
      </c>
      <c r="AF117" s="89" t="s">
        <v>18557</v>
      </c>
      <c r="AG117" s="89" t="s">
        <v>646</v>
      </c>
      <c r="AH117" s="89" t="s">
        <v>646</v>
      </c>
      <c r="AI117" s="89" t="s">
        <v>646</v>
      </c>
      <c r="AJ117" s="89" t="s">
        <v>646</v>
      </c>
      <c r="AK117" s="89" t="s">
        <v>18558</v>
      </c>
      <c r="AL117" s="89" t="s">
        <v>18559</v>
      </c>
      <c r="AM117" s="89" t="s">
        <v>646</v>
      </c>
      <c r="AN117" s="89" t="s">
        <v>646</v>
      </c>
      <c r="AO117" s="89" t="s">
        <v>646</v>
      </c>
      <c r="AP117" s="89" t="s">
        <v>646</v>
      </c>
      <c r="AQ117" s="89" t="s">
        <v>646</v>
      </c>
      <c r="AR117" s="89" t="s">
        <v>646</v>
      </c>
      <c r="AS117" s="89" t="s">
        <v>646</v>
      </c>
      <c r="AT117" s="89" t="s">
        <v>646</v>
      </c>
      <c r="AU117" s="89" t="s">
        <v>646</v>
      </c>
      <c r="AV117" s="89" t="s">
        <v>646</v>
      </c>
      <c r="AW117" s="89" t="s">
        <v>646</v>
      </c>
      <c r="AX117" s="89" t="s">
        <v>646</v>
      </c>
      <c r="AY117" s="89" t="s">
        <v>18560</v>
      </c>
      <c r="AZ117" s="89" t="s">
        <v>18561</v>
      </c>
      <c r="BA117" s="89" t="s">
        <v>646</v>
      </c>
      <c r="BB117" s="89" t="s">
        <v>646</v>
      </c>
      <c r="BC117" s="89" t="s">
        <v>646</v>
      </c>
      <c r="BD117" s="89" t="s">
        <v>18436</v>
      </c>
      <c r="BE117" s="89">
        <v>2020</v>
      </c>
      <c r="BF117" s="89">
        <v>90</v>
      </c>
      <c r="BG117" s="89" t="s">
        <v>646</v>
      </c>
      <c r="BH117" s="89" t="s">
        <v>646</v>
      </c>
      <c r="BI117" s="89" t="s">
        <v>646</v>
      </c>
      <c r="BJ117" s="89" t="s">
        <v>646</v>
      </c>
      <c r="BK117" s="89" t="s">
        <v>646</v>
      </c>
      <c r="BL117" s="89" t="s">
        <v>646</v>
      </c>
      <c r="BM117" s="89" t="s">
        <v>646</v>
      </c>
      <c r="BN117" s="89">
        <v>106122</v>
      </c>
      <c r="BO117" s="89" t="str">
        <f>HYPERLINK("http://dx.doi.org/10.1016/j.asoc.2020.106122","http://dx.doi.org/10.1016/j.asoc.2020.106122")</f>
        <v>http://dx.doi.org/10.1016/j.asoc.2020.106122</v>
      </c>
      <c r="BP117" s="89" t="s">
        <v>646</v>
      </c>
      <c r="BQ117" s="89" t="s">
        <v>646</v>
      </c>
      <c r="BR117" s="89" t="s">
        <v>646</v>
      </c>
      <c r="BS117" s="89" t="s">
        <v>646</v>
      </c>
      <c r="BT117" s="89" t="s">
        <v>646</v>
      </c>
      <c r="BU117" s="89" t="s">
        <v>646</v>
      </c>
      <c r="BV117" s="89" t="s">
        <v>646</v>
      </c>
      <c r="BW117" s="89" t="s">
        <v>646</v>
      </c>
      <c r="BX117" s="89" t="s">
        <v>646</v>
      </c>
      <c r="BY117" s="89" t="s">
        <v>646</v>
      </c>
      <c r="BZ117" s="89" t="s">
        <v>646</v>
      </c>
      <c r="CA117" s="89" t="s">
        <v>646</v>
      </c>
      <c r="CB117" s="89" t="s">
        <v>18562</v>
      </c>
      <c r="CC117" s="89" t="str">
        <f>HYPERLINK("https%3A%2F%2Fwww.webofscience.com%2Fwos%2Fwoscc%2Ffull-record%2FWOS:000529902300006","View Full Record in Web of Science")</f>
        <v>View Full Record in Web of Science</v>
      </c>
    </row>
    <row r="118" spans="1:81" ht="13.2" hidden="1" x14ac:dyDescent="0.25">
      <c r="A118" s="89" t="s">
        <v>18563</v>
      </c>
      <c r="B118" s="89" t="e">
        <f>+#REF!</f>
        <v>#REF!</v>
      </c>
      <c r="C118" s="89"/>
      <c r="D118" s="91" t="s">
        <v>17939</v>
      </c>
      <c r="E118" s="90" t="e">
        <v>#REF!</v>
      </c>
      <c r="F118" s="89"/>
      <c r="G118" s="89"/>
      <c r="H118" s="89" t="s">
        <v>18564</v>
      </c>
      <c r="I118" s="89" t="s">
        <v>18565</v>
      </c>
      <c r="J118" s="89" t="s">
        <v>18568</v>
      </c>
      <c r="K118" s="89" t="s">
        <v>18567</v>
      </c>
      <c r="M118" s="89">
        <v>2020</v>
      </c>
      <c r="N118" s="89" t="s">
        <v>18566</v>
      </c>
      <c r="O118" s="89" t="s">
        <v>646</v>
      </c>
      <c r="P118" s="89" t="str">
        <f>HYPERLINK("http://dx.doi.org/10.17402/422","http://dx.doi.org/10.17402/422")</f>
        <v>http://dx.doi.org/10.17402/422</v>
      </c>
      <c r="S118" s="89" t="s">
        <v>646</v>
      </c>
      <c r="U118" s="89" t="s">
        <v>17462</v>
      </c>
      <c r="W118" s="89" t="s">
        <v>646</v>
      </c>
      <c r="X118" s="89" t="s">
        <v>646</v>
      </c>
      <c r="Y118" s="89" t="s">
        <v>646</v>
      </c>
      <c r="Z118" s="89" t="s">
        <v>646</v>
      </c>
      <c r="AA118" s="89" t="s">
        <v>646</v>
      </c>
      <c r="AB118" s="89" t="s">
        <v>646</v>
      </c>
      <c r="AC118" s="89" t="s">
        <v>646</v>
      </c>
      <c r="AD118" s="89" t="s">
        <v>646</v>
      </c>
      <c r="AE118" s="89" t="s">
        <v>646</v>
      </c>
      <c r="AF118" s="89" t="s">
        <v>18567</v>
      </c>
      <c r="AG118" s="89" t="s">
        <v>646</v>
      </c>
      <c r="AH118" s="89" t="s">
        <v>646</v>
      </c>
      <c r="AI118" s="89" t="s">
        <v>646</v>
      </c>
      <c r="AJ118" s="89" t="s">
        <v>646</v>
      </c>
      <c r="AK118" s="89" t="s">
        <v>18568</v>
      </c>
      <c r="AL118" s="89" t="s">
        <v>18569</v>
      </c>
      <c r="AM118" s="89" t="s">
        <v>646</v>
      </c>
      <c r="AN118" s="89" t="s">
        <v>646</v>
      </c>
      <c r="AO118" s="89" t="s">
        <v>646</v>
      </c>
      <c r="AP118" s="89" t="s">
        <v>646</v>
      </c>
      <c r="AQ118" s="89" t="s">
        <v>646</v>
      </c>
      <c r="AR118" s="89" t="s">
        <v>646</v>
      </c>
      <c r="AS118" s="89" t="s">
        <v>646</v>
      </c>
      <c r="AT118" s="89" t="s">
        <v>646</v>
      </c>
      <c r="AU118" s="89" t="s">
        <v>646</v>
      </c>
      <c r="AV118" s="89" t="s">
        <v>646</v>
      </c>
      <c r="AW118" s="89" t="s">
        <v>646</v>
      </c>
      <c r="AX118" s="89" t="s">
        <v>646</v>
      </c>
      <c r="AY118" s="89" t="s">
        <v>18570</v>
      </c>
      <c r="AZ118" s="89" t="s">
        <v>18571</v>
      </c>
      <c r="BA118" s="89" t="s">
        <v>646</v>
      </c>
      <c r="BB118" s="89" t="s">
        <v>646</v>
      </c>
      <c r="BC118" s="89" t="s">
        <v>646</v>
      </c>
      <c r="BD118" s="89" t="s">
        <v>646</v>
      </c>
      <c r="BE118" s="89">
        <v>2020</v>
      </c>
      <c r="BF118" s="89">
        <v>62</v>
      </c>
      <c r="BG118" s="89">
        <v>134</v>
      </c>
      <c r="BH118" s="89" t="s">
        <v>646</v>
      </c>
      <c r="BI118" s="89" t="s">
        <v>646</v>
      </c>
      <c r="BJ118" s="89" t="s">
        <v>646</v>
      </c>
      <c r="BK118" s="89" t="s">
        <v>646</v>
      </c>
      <c r="BL118" s="89">
        <v>80</v>
      </c>
      <c r="BM118" s="89">
        <v>88</v>
      </c>
      <c r="BN118" s="89" t="s">
        <v>646</v>
      </c>
      <c r="BO118" s="89" t="str">
        <f>HYPERLINK("http://dx.doi.org/10.17402/422","http://dx.doi.org/10.17402/422")</f>
        <v>http://dx.doi.org/10.17402/422</v>
      </c>
      <c r="BP118" s="89" t="s">
        <v>646</v>
      </c>
      <c r="BQ118" s="89" t="s">
        <v>646</v>
      </c>
      <c r="BR118" s="89" t="s">
        <v>646</v>
      </c>
      <c r="BS118" s="89" t="s">
        <v>646</v>
      </c>
      <c r="BT118" s="89" t="s">
        <v>646</v>
      </c>
      <c r="BU118" s="89" t="s">
        <v>646</v>
      </c>
      <c r="BV118" s="89" t="s">
        <v>646</v>
      </c>
      <c r="BW118" s="89" t="s">
        <v>646</v>
      </c>
      <c r="BX118" s="89" t="s">
        <v>646</v>
      </c>
      <c r="BY118" s="89" t="s">
        <v>646</v>
      </c>
      <c r="BZ118" s="89" t="s">
        <v>646</v>
      </c>
      <c r="CA118" s="89" t="s">
        <v>646</v>
      </c>
      <c r="CB118" s="89" t="s">
        <v>18572</v>
      </c>
      <c r="CC118" s="89" t="str">
        <f>HYPERLINK("https%3A%2F%2Fwww.webofscience.com%2Fwos%2Fwoscc%2Ffull-record%2FWOS:000555004300010","View Full Record in Web of Science")</f>
        <v>View Full Record in Web of Science</v>
      </c>
    </row>
    <row r="119" spans="1:81" ht="13.2" hidden="1" x14ac:dyDescent="0.25">
      <c r="A119" s="89" t="s">
        <v>18573</v>
      </c>
      <c r="B119" s="89" t="e">
        <f>+#REF!</f>
        <v>#REF!</v>
      </c>
      <c r="C119" s="89"/>
      <c r="D119" s="91" t="s">
        <v>17939</v>
      </c>
      <c r="E119" s="90" t="e">
        <v>#REF!</v>
      </c>
      <c r="F119" s="89"/>
      <c r="G119" s="89"/>
      <c r="H119" s="89" t="s">
        <v>18574</v>
      </c>
      <c r="I119" s="89" t="s">
        <v>18575</v>
      </c>
      <c r="J119" s="89" t="s">
        <v>646</v>
      </c>
      <c r="K119" s="89" t="s">
        <v>18577</v>
      </c>
      <c r="M119" s="89">
        <v>2020</v>
      </c>
      <c r="N119" s="89" t="s">
        <v>18576</v>
      </c>
      <c r="O119" s="89" t="s">
        <v>646</v>
      </c>
      <c r="P119" s="89" t="str">
        <f>HYPERLINK("http://dx.doi.org/10.1002/jeab.585","http://dx.doi.org/10.1002/jeab.585")</f>
        <v>http://dx.doi.org/10.1002/jeab.585</v>
      </c>
      <c r="S119" s="89" t="s">
        <v>646</v>
      </c>
      <c r="U119" s="89" t="s">
        <v>17462</v>
      </c>
      <c r="W119" s="89" t="s">
        <v>646</v>
      </c>
      <c r="X119" s="89" t="s">
        <v>646</v>
      </c>
      <c r="Y119" s="89" t="s">
        <v>646</v>
      </c>
      <c r="Z119" s="89" t="s">
        <v>646</v>
      </c>
      <c r="AA119" s="89" t="s">
        <v>646</v>
      </c>
      <c r="AB119" s="89" t="s">
        <v>646</v>
      </c>
      <c r="AC119" s="89" t="s">
        <v>646</v>
      </c>
      <c r="AD119" s="89" t="s">
        <v>646</v>
      </c>
      <c r="AE119" s="89" t="s">
        <v>646</v>
      </c>
      <c r="AF119" s="89" t="s">
        <v>18577</v>
      </c>
      <c r="AG119" s="89" t="s">
        <v>646</v>
      </c>
      <c r="AH119" s="89" t="s">
        <v>646</v>
      </c>
      <c r="AI119" s="89" t="s">
        <v>646</v>
      </c>
      <c r="AJ119" s="89" t="s">
        <v>646</v>
      </c>
      <c r="AK119" s="89" t="s">
        <v>646</v>
      </c>
      <c r="AL119" s="89" t="s">
        <v>18578</v>
      </c>
      <c r="AM119" s="89" t="s">
        <v>646</v>
      </c>
      <c r="AN119" s="89" t="s">
        <v>646</v>
      </c>
      <c r="AO119" s="89" t="s">
        <v>646</v>
      </c>
      <c r="AP119" s="89" t="s">
        <v>646</v>
      </c>
      <c r="AQ119" s="89" t="s">
        <v>646</v>
      </c>
      <c r="AR119" s="89" t="s">
        <v>646</v>
      </c>
      <c r="AS119" s="89" t="s">
        <v>646</v>
      </c>
      <c r="AT119" s="89" t="s">
        <v>646</v>
      </c>
      <c r="AU119" s="89" t="s">
        <v>646</v>
      </c>
      <c r="AV119" s="89" t="s">
        <v>646</v>
      </c>
      <c r="AW119" s="89" t="s">
        <v>646</v>
      </c>
      <c r="AX119" s="89" t="s">
        <v>646</v>
      </c>
      <c r="AY119" s="89" t="s">
        <v>18579</v>
      </c>
      <c r="AZ119" s="89" t="s">
        <v>18580</v>
      </c>
      <c r="BA119" s="89" t="s">
        <v>646</v>
      </c>
      <c r="BB119" s="89" t="s">
        <v>646</v>
      </c>
      <c r="BC119" s="89" t="s">
        <v>646</v>
      </c>
      <c r="BD119" s="89" t="s">
        <v>17779</v>
      </c>
      <c r="BE119" s="89">
        <v>2020</v>
      </c>
      <c r="BF119" s="89">
        <v>113</v>
      </c>
      <c r="BG119" s="89">
        <v>2</v>
      </c>
      <c r="BH119" s="89" t="s">
        <v>646</v>
      </c>
      <c r="BI119" s="89" t="s">
        <v>646</v>
      </c>
      <c r="BJ119" s="89" t="s">
        <v>646</v>
      </c>
      <c r="BK119" s="89" t="s">
        <v>646</v>
      </c>
      <c r="BL119" s="89">
        <v>435</v>
      </c>
      <c r="BM119" s="89">
        <v>448</v>
      </c>
      <c r="BN119" s="89" t="s">
        <v>646</v>
      </c>
      <c r="BO119" s="89" t="str">
        <f>HYPERLINK("http://dx.doi.org/10.1002/jeab.585","http://dx.doi.org/10.1002/jeab.585")</f>
        <v>http://dx.doi.org/10.1002/jeab.585</v>
      </c>
      <c r="BP119" s="89" t="s">
        <v>646</v>
      </c>
      <c r="BQ119" s="89" t="s">
        <v>18581</v>
      </c>
      <c r="BR119" s="89" t="s">
        <v>646</v>
      </c>
      <c r="BS119" s="89" t="s">
        <v>646</v>
      </c>
      <c r="BT119" s="89" t="s">
        <v>646</v>
      </c>
      <c r="BU119" s="89" t="s">
        <v>646</v>
      </c>
      <c r="BV119" s="89" t="s">
        <v>646</v>
      </c>
      <c r="BW119" s="89">
        <v>32056222</v>
      </c>
      <c r="BX119" s="89" t="s">
        <v>646</v>
      </c>
      <c r="BY119" s="89" t="s">
        <v>646</v>
      </c>
      <c r="BZ119" s="89" t="s">
        <v>646</v>
      </c>
      <c r="CA119" s="89" t="s">
        <v>646</v>
      </c>
      <c r="CB119" s="89" t="s">
        <v>18582</v>
      </c>
      <c r="CC119" s="89" t="str">
        <f>HYPERLINK("https%3A%2F%2Fwww.webofscience.com%2Fwos%2Fwoscc%2Ffull-record%2FWOS:000513129100001","View Full Record in Web of Science")</f>
        <v>View Full Record in Web of Science</v>
      </c>
    </row>
    <row r="120" spans="1:81" ht="13.2" hidden="1" x14ac:dyDescent="0.25">
      <c r="A120" s="89" t="s">
        <v>18583</v>
      </c>
      <c r="B120" s="89" t="e">
        <f>+#REF!</f>
        <v>#REF!</v>
      </c>
      <c r="C120" s="89"/>
      <c r="D120" s="91" t="s">
        <v>17939</v>
      </c>
      <c r="E120" s="90" t="e">
        <v>#REF!</v>
      </c>
      <c r="F120" s="89"/>
      <c r="G120" s="89"/>
      <c r="H120" s="89" t="s">
        <v>18584</v>
      </c>
      <c r="I120" s="89" t="s">
        <v>18585</v>
      </c>
      <c r="J120" s="89" t="s">
        <v>646</v>
      </c>
      <c r="K120" s="89" t="s">
        <v>18587</v>
      </c>
      <c r="M120" s="89">
        <v>2020</v>
      </c>
      <c r="N120" s="89" t="s">
        <v>18586</v>
      </c>
      <c r="O120" s="89" t="s">
        <v>646</v>
      </c>
      <c r="P120" s="89" t="str">
        <f>HYPERLINK("http://dx.doi.org/10.1525/collabra.190","http://dx.doi.org/10.1525/collabra.190")</f>
        <v>http://dx.doi.org/10.1525/collabra.190</v>
      </c>
      <c r="S120" s="89" t="s">
        <v>646</v>
      </c>
      <c r="U120" s="89" t="s">
        <v>17462</v>
      </c>
      <c r="W120" s="89" t="s">
        <v>646</v>
      </c>
      <c r="X120" s="89" t="s">
        <v>646</v>
      </c>
      <c r="Y120" s="89" t="s">
        <v>646</v>
      </c>
      <c r="Z120" s="89" t="s">
        <v>646</v>
      </c>
      <c r="AA120" s="89" t="s">
        <v>646</v>
      </c>
      <c r="AB120" s="89" t="s">
        <v>646</v>
      </c>
      <c r="AC120" s="89" t="s">
        <v>646</v>
      </c>
      <c r="AD120" s="89" t="s">
        <v>646</v>
      </c>
      <c r="AE120" s="89" t="s">
        <v>646</v>
      </c>
      <c r="AF120" s="89" t="s">
        <v>18587</v>
      </c>
      <c r="AG120" s="89" t="s">
        <v>646</v>
      </c>
      <c r="AH120" s="89" t="s">
        <v>646</v>
      </c>
      <c r="AI120" s="89" t="s">
        <v>646</v>
      </c>
      <c r="AJ120" s="89" t="s">
        <v>646</v>
      </c>
      <c r="AK120" s="89" t="s">
        <v>646</v>
      </c>
      <c r="AL120" s="89" t="s">
        <v>18588</v>
      </c>
      <c r="AM120" s="89" t="s">
        <v>646</v>
      </c>
      <c r="AN120" s="89" t="s">
        <v>646</v>
      </c>
      <c r="AO120" s="89" t="s">
        <v>646</v>
      </c>
      <c r="AP120" s="89" t="s">
        <v>646</v>
      </c>
      <c r="AQ120" s="89" t="s">
        <v>646</v>
      </c>
      <c r="AR120" s="89" t="s">
        <v>646</v>
      </c>
      <c r="AS120" s="89" t="s">
        <v>646</v>
      </c>
      <c r="AT120" s="89" t="s">
        <v>646</v>
      </c>
      <c r="AU120" s="89" t="s">
        <v>646</v>
      </c>
      <c r="AV120" s="89" t="s">
        <v>646</v>
      </c>
      <c r="AW120" s="89" t="s">
        <v>646</v>
      </c>
      <c r="AX120" s="89" t="s">
        <v>646</v>
      </c>
      <c r="AY120" s="89" t="s">
        <v>18589</v>
      </c>
      <c r="AZ120" s="89" t="s">
        <v>646</v>
      </c>
      <c r="BA120" s="89" t="s">
        <v>646</v>
      </c>
      <c r="BB120" s="89" t="s">
        <v>646</v>
      </c>
      <c r="BC120" s="89" t="s">
        <v>646</v>
      </c>
      <c r="BD120" s="89" t="s">
        <v>18590</v>
      </c>
      <c r="BE120" s="89">
        <v>2020</v>
      </c>
      <c r="BF120" s="89">
        <v>6</v>
      </c>
      <c r="BG120" s="89">
        <v>1</v>
      </c>
      <c r="BH120" s="89" t="s">
        <v>646</v>
      </c>
      <c r="BI120" s="89" t="s">
        <v>646</v>
      </c>
      <c r="BJ120" s="89" t="s">
        <v>646</v>
      </c>
      <c r="BK120" s="89" t="s">
        <v>646</v>
      </c>
      <c r="BL120" s="89" t="s">
        <v>646</v>
      </c>
      <c r="BM120" s="89" t="s">
        <v>646</v>
      </c>
      <c r="BN120" s="89">
        <v>16</v>
      </c>
      <c r="BO120" s="89" t="str">
        <f>HYPERLINK("http://dx.doi.org/10.1525/collabra.190","http://dx.doi.org/10.1525/collabra.190")</f>
        <v>http://dx.doi.org/10.1525/collabra.190</v>
      </c>
      <c r="BP120" s="89" t="s">
        <v>646</v>
      </c>
      <c r="BQ120" s="89" t="s">
        <v>646</v>
      </c>
      <c r="BR120" s="89" t="s">
        <v>646</v>
      </c>
      <c r="BS120" s="89" t="s">
        <v>646</v>
      </c>
      <c r="BT120" s="89" t="s">
        <v>646</v>
      </c>
      <c r="BU120" s="89" t="s">
        <v>646</v>
      </c>
      <c r="BV120" s="89" t="s">
        <v>646</v>
      </c>
      <c r="BW120" s="89" t="s">
        <v>646</v>
      </c>
      <c r="BX120" s="89" t="s">
        <v>646</v>
      </c>
      <c r="BY120" s="89" t="s">
        <v>646</v>
      </c>
      <c r="BZ120" s="89" t="s">
        <v>646</v>
      </c>
      <c r="CA120" s="89" t="s">
        <v>646</v>
      </c>
      <c r="CB120" s="89" t="s">
        <v>18591</v>
      </c>
      <c r="CC120" s="89" t="str">
        <f>HYPERLINK("https%3A%2F%2Fwww.webofscience.com%2Fwos%2Fwoscc%2Ffull-record%2FWOS:000572399600001","View Full Record in Web of Science")</f>
        <v>View Full Record in Web of Science</v>
      </c>
    </row>
    <row r="121" spans="1:81" ht="13.2" hidden="1" x14ac:dyDescent="0.25">
      <c r="A121" s="89" t="s">
        <v>18592</v>
      </c>
      <c r="B121" s="89" t="e">
        <f>+#REF!</f>
        <v>#REF!</v>
      </c>
      <c r="C121" s="89"/>
      <c r="D121" s="91" t="s">
        <v>17939</v>
      </c>
      <c r="E121" s="90" t="e">
        <v>#REF!</v>
      </c>
      <c r="F121" s="89"/>
      <c r="G121" s="89"/>
      <c r="H121" s="89" t="s">
        <v>18593</v>
      </c>
      <c r="I121" s="89" t="s">
        <v>18594</v>
      </c>
      <c r="J121" s="89" t="s">
        <v>18597</v>
      </c>
      <c r="K121" s="89" t="s">
        <v>18596</v>
      </c>
      <c r="M121" s="89">
        <v>2013</v>
      </c>
      <c r="N121" s="89" t="s">
        <v>18595</v>
      </c>
      <c r="O121" s="89" t="s">
        <v>646</v>
      </c>
      <c r="P121" s="89" t="str">
        <f>HYPERLINK("http://dx.doi.org/10.1371/journal.pone.0073131","http://dx.doi.org/10.1371/journal.pone.0073131")</f>
        <v>http://dx.doi.org/10.1371/journal.pone.0073131</v>
      </c>
      <c r="S121" s="89" t="s">
        <v>646</v>
      </c>
      <c r="U121" s="89" t="s">
        <v>17462</v>
      </c>
      <c r="W121" s="89" t="s">
        <v>646</v>
      </c>
      <c r="X121" s="89" t="s">
        <v>646</v>
      </c>
      <c r="Y121" s="89" t="s">
        <v>646</v>
      </c>
      <c r="Z121" s="89" t="s">
        <v>646</v>
      </c>
      <c r="AA121" s="89" t="s">
        <v>646</v>
      </c>
      <c r="AB121" s="89" t="s">
        <v>646</v>
      </c>
      <c r="AC121" s="89" t="s">
        <v>646</v>
      </c>
      <c r="AD121" s="89" t="s">
        <v>646</v>
      </c>
      <c r="AE121" s="89" t="s">
        <v>646</v>
      </c>
      <c r="AF121" s="89" t="s">
        <v>18596</v>
      </c>
      <c r="AG121" s="89" t="s">
        <v>646</v>
      </c>
      <c r="AH121" s="89" t="s">
        <v>646</v>
      </c>
      <c r="AI121" s="89" t="s">
        <v>646</v>
      </c>
      <c r="AJ121" s="89" t="s">
        <v>646</v>
      </c>
      <c r="AK121" s="89" t="s">
        <v>18597</v>
      </c>
      <c r="AL121" s="89" t="s">
        <v>18598</v>
      </c>
      <c r="AM121" s="89" t="s">
        <v>646</v>
      </c>
      <c r="AN121" s="89" t="s">
        <v>646</v>
      </c>
      <c r="AO121" s="89" t="s">
        <v>646</v>
      </c>
      <c r="AP121" s="89" t="s">
        <v>646</v>
      </c>
      <c r="AQ121" s="89" t="s">
        <v>646</v>
      </c>
      <c r="AR121" s="89" t="s">
        <v>646</v>
      </c>
      <c r="AS121" s="89" t="s">
        <v>646</v>
      </c>
      <c r="AT121" s="89" t="s">
        <v>646</v>
      </c>
      <c r="AU121" s="89" t="s">
        <v>646</v>
      </c>
      <c r="AV121" s="89" t="s">
        <v>646</v>
      </c>
      <c r="AW121" s="89" t="s">
        <v>646</v>
      </c>
      <c r="AX121" s="89" t="s">
        <v>646</v>
      </c>
      <c r="AY121" s="89" t="s">
        <v>18599</v>
      </c>
      <c r="AZ121" s="89" t="s">
        <v>646</v>
      </c>
      <c r="BA121" s="89" t="s">
        <v>646</v>
      </c>
      <c r="BB121" s="89" t="s">
        <v>646</v>
      </c>
      <c r="BC121" s="89" t="s">
        <v>646</v>
      </c>
      <c r="BD121" s="89" t="s">
        <v>18600</v>
      </c>
      <c r="BE121" s="89">
        <v>2013</v>
      </c>
      <c r="BF121" s="89">
        <v>8</v>
      </c>
      <c r="BG121" s="89">
        <v>8</v>
      </c>
      <c r="BH121" s="89" t="s">
        <v>646</v>
      </c>
      <c r="BI121" s="89" t="s">
        <v>646</v>
      </c>
      <c r="BJ121" s="89" t="s">
        <v>646</v>
      </c>
      <c r="BK121" s="89" t="s">
        <v>646</v>
      </c>
      <c r="BL121" s="89" t="s">
        <v>646</v>
      </c>
      <c r="BM121" s="89" t="s">
        <v>646</v>
      </c>
      <c r="BN121" s="89" t="s">
        <v>18601</v>
      </c>
      <c r="BO121" s="89" t="str">
        <f>HYPERLINK("http://dx.doi.org/10.1371/journal.pone.0073131","http://dx.doi.org/10.1371/journal.pone.0073131")</f>
        <v>http://dx.doi.org/10.1371/journal.pone.0073131</v>
      </c>
      <c r="BP121" s="89" t="s">
        <v>646</v>
      </c>
      <c r="BQ121" s="89" t="s">
        <v>646</v>
      </c>
      <c r="BR121" s="89" t="s">
        <v>646</v>
      </c>
      <c r="BS121" s="89" t="s">
        <v>646</v>
      </c>
      <c r="BT121" s="89" t="s">
        <v>646</v>
      </c>
      <c r="BU121" s="89" t="s">
        <v>646</v>
      </c>
      <c r="BV121" s="89" t="s">
        <v>646</v>
      </c>
      <c r="BW121" s="89">
        <v>23951342</v>
      </c>
      <c r="BX121" s="89" t="s">
        <v>646</v>
      </c>
      <c r="BY121" s="89" t="s">
        <v>646</v>
      </c>
      <c r="BZ121" s="89" t="s">
        <v>646</v>
      </c>
      <c r="CA121" s="89" t="s">
        <v>646</v>
      </c>
      <c r="CB121" s="89" t="s">
        <v>18602</v>
      </c>
      <c r="CC121" s="89" t="str">
        <f>HYPERLINK("https%3A%2F%2Fwww.webofscience.com%2Fwos%2Fwoscc%2Ffull-record%2FWOS:000323097300203","View Full Record in Web of Science")</f>
        <v>View Full Record in Web of Science</v>
      </c>
    </row>
    <row r="122" spans="1:81" ht="13.2" hidden="1" x14ac:dyDescent="0.25">
      <c r="A122" s="89" t="s">
        <v>18603</v>
      </c>
      <c r="B122" s="89" t="e">
        <f>+#REF!</f>
        <v>#REF!</v>
      </c>
      <c r="C122" s="89"/>
      <c r="D122" s="91" t="s">
        <v>17939</v>
      </c>
      <c r="E122" s="90" t="e">
        <v>#REF!</v>
      </c>
      <c r="F122" s="89"/>
      <c r="G122" s="89"/>
      <c r="H122" s="89" t="s">
        <v>646</v>
      </c>
      <c r="I122" s="89" t="s">
        <v>18604</v>
      </c>
      <c r="J122" s="89" t="s">
        <v>646</v>
      </c>
      <c r="K122" s="89" t="s">
        <v>18606</v>
      </c>
      <c r="M122" s="89">
        <v>2017</v>
      </c>
      <c r="N122" s="89" t="s">
        <v>18605</v>
      </c>
      <c r="O122" s="89" t="s">
        <v>646</v>
      </c>
      <c r="P122" s="89" t="s">
        <v>646</v>
      </c>
      <c r="S122" s="89" t="s">
        <v>646</v>
      </c>
      <c r="U122" s="89" t="s">
        <v>17462</v>
      </c>
      <c r="W122" s="89" t="s">
        <v>646</v>
      </c>
      <c r="X122" s="89" t="s">
        <v>646</v>
      </c>
      <c r="Y122" s="89" t="s">
        <v>646</v>
      </c>
      <c r="Z122" s="89" t="s">
        <v>646</v>
      </c>
      <c r="AA122" s="89" t="s">
        <v>646</v>
      </c>
      <c r="AB122" s="89" t="s">
        <v>646</v>
      </c>
      <c r="AC122" s="89" t="s">
        <v>646</v>
      </c>
      <c r="AD122" s="89" t="s">
        <v>646</v>
      </c>
      <c r="AE122" s="89" t="s">
        <v>646</v>
      </c>
      <c r="AF122" s="89" t="s">
        <v>18606</v>
      </c>
      <c r="AG122" s="89" t="s">
        <v>646</v>
      </c>
      <c r="AH122" s="89" t="s">
        <v>646</v>
      </c>
      <c r="AI122" s="89" t="s">
        <v>646</v>
      </c>
      <c r="AJ122" s="89" t="s">
        <v>646</v>
      </c>
      <c r="AK122" s="89" t="s">
        <v>646</v>
      </c>
      <c r="AL122" s="89" t="s">
        <v>646</v>
      </c>
      <c r="AM122" s="89" t="s">
        <v>646</v>
      </c>
      <c r="AN122" s="89" t="s">
        <v>646</v>
      </c>
      <c r="AO122" s="89" t="s">
        <v>646</v>
      </c>
      <c r="AP122" s="89" t="s">
        <v>646</v>
      </c>
      <c r="AQ122" s="89" t="s">
        <v>646</v>
      </c>
      <c r="AR122" s="89" t="s">
        <v>646</v>
      </c>
      <c r="AS122" s="89" t="s">
        <v>646</v>
      </c>
      <c r="AT122" s="89" t="s">
        <v>646</v>
      </c>
      <c r="AU122" s="89" t="s">
        <v>646</v>
      </c>
      <c r="AV122" s="89" t="s">
        <v>646</v>
      </c>
      <c r="AW122" s="89" t="s">
        <v>646</v>
      </c>
      <c r="AX122" s="89" t="s">
        <v>646</v>
      </c>
      <c r="AY122" s="89" t="s">
        <v>18607</v>
      </c>
      <c r="AZ122" s="89" t="s">
        <v>646</v>
      </c>
      <c r="BA122" s="89" t="s">
        <v>646</v>
      </c>
      <c r="BB122" s="89" t="s">
        <v>646</v>
      </c>
      <c r="BC122" s="89" t="s">
        <v>646</v>
      </c>
      <c r="BD122" s="89" t="s">
        <v>18608</v>
      </c>
      <c r="BE122" s="89">
        <v>2017</v>
      </c>
      <c r="BF122" s="89">
        <v>6</v>
      </c>
      <c r="BG122" s="89">
        <v>2</v>
      </c>
      <c r="BH122" s="89" t="s">
        <v>646</v>
      </c>
      <c r="BI122" s="89" t="s">
        <v>646</v>
      </c>
      <c r="BJ122" s="89" t="s">
        <v>646</v>
      </c>
      <c r="BK122" s="89" t="s">
        <v>646</v>
      </c>
      <c r="BL122" s="89">
        <v>1</v>
      </c>
      <c r="BM122" s="89">
        <v>12</v>
      </c>
      <c r="BN122" s="89" t="s">
        <v>646</v>
      </c>
      <c r="BO122" s="89" t="s">
        <v>646</v>
      </c>
      <c r="BP122" s="89" t="s">
        <v>646</v>
      </c>
      <c r="BQ122" s="89" t="s">
        <v>646</v>
      </c>
      <c r="BR122" s="89" t="s">
        <v>646</v>
      </c>
      <c r="BS122" s="89" t="s">
        <v>646</v>
      </c>
      <c r="BT122" s="89" t="s">
        <v>646</v>
      </c>
      <c r="BU122" s="89" t="s">
        <v>646</v>
      </c>
      <c r="BV122" s="89" t="s">
        <v>646</v>
      </c>
      <c r="BW122" s="89" t="s">
        <v>646</v>
      </c>
      <c r="BX122" s="89" t="s">
        <v>646</v>
      </c>
      <c r="BY122" s="89" t="s">
        <v>646</v>
      </c>
      <c r="BZ122" s="89" t="s">
        <v>646</v>
      </c>
      <c r="CA122" s="89" t="s">
        <v>646</v>
      </c>
      <c r="CB122" s="89" t="s">
        <v>18609</v>
      </c>
      <c r="CC122" s="89" t="str">
        <f>HYPERLINK("https%3A%2F%2Fwww.webofscience.com%2Fwos%2Fwoscc%2Ffull-record%2FWOS:000416759800001","View Full Record in Web of Science")</f>
        <v>View Full Record in Web of Science</v>
      </c>
    </row>
    <row r="123" spans="1:81" ht="13.2" hidden="1" x14ac:dyDescent="0.25">
      <c r="A123" s="89" t="s">
        <v>18610</v>
      </c>
      <c r="B123" s="89" t="e">
        <f>+#REF!</f>
        <v>#REF!</v>
      </c>
      <c r="C123" s="89"/>
      <c r="D123" s="91" t="s">
        <v>17939</v>
      </c>
      <c r="E123" s="90" t="e">
        <v>#REF!</v>
      </c>
      <c r="F123" s="89"/>
      <c r="G123" s="89"/>
      <c r="H123" s="89" t="s">
        <v>18611</v>
      </c>
      <c r="I123" s="89" t="s">
        <v>18612</v>
      </c>
      <c r="J123" s="89" t="s">
        <v>18615</v>
      </c>
      <c r="K123" s="89" t="s">
        <v>18614</v>
      </c>
      <c r="M123" s="89">
        <v>2019</v>
      </c>
      <c r="N123" s="89" t="s">
        <v>18613</v>
      </c>
      <c r="O123" s="89" t="s">
        <v>646</v>
      </c>
      <c r="P123" s="89" t="str">
        <f>HYPERLINK("http://dx.doi.org/10.1177/0149206318786781","http://dx.doi.org/10.1177/0149206318786781")</f>
        <v>http://dx.doi.org/10.1177/0149206318786781</v>
      </c>
      <c r="S123" s="89" t="s">
        <v>646</v>
      </c>
      <c r="U123" s="89" t="s">
        <v>17462</v>
      </c>
      <c r="W123" s="89" t="s">
        <v>646</v>
      </c>
      <c r="X123" s="89" t="s">
        <v>646</v>
      </c>
      <c r="Y123" s="89" t="s">
        <v>646</v>
      </c>
      <c r="Z123" s="89" t="s">
        <v>646</v>
      </c>
      <c r="AA123" s="89" t="s">
        <v>646</v>
      </c>
      <c r="AB123" s="89" t="s">
        <v>646</v>
      </c>
      <c r="AC123" s="89" t="s">
        <v>646</v>
      </c>
      <c r="AD123" s="89" t="s">
        <v>646</v>
      </c>
      <c r="AE123" s="89" t="s">
        <v>646</v>
      </c>
      <c r="AF123" s="89" t="s">
        <v>18614</v>
      </c>
      <c r="AG123" s="89" t="s">
        <v>646</v>
      </c>
      <c r="AH123" s="89" t="s">
        <v>646</v>
      </c>
      <c r="AI123" s="89" t="s">
        <v>646</v>
      </c>
      <c r="AJ123" s="89" t="s">
        <v>646</v>
      </c>
      <c r="AK123" s="89" t="s">
        <v>18615</v>
      </c>
      <c r="AL123" s="89" t="s">
        <v>18616</v>
      </c>
      <c r="AM123" s="89" t="s">
        <v>646</v>
      </c>
      <c r="AN123" s="89" t="s">
        <v>646</v>
      </c>
      <c r="AO123" s="89" t="s">
        <v>646</v>
      </c>
      <c r="AP123" s="89" t="s">
        <v>646</v>
      </c>
      <c r="AQ123" s="89" t="s">
        <v>646</v>
      </c>
      <c r="AR123" s="89" t="s">
        <v>646</v>
      </c>
      <c r="AS123" s="89" t="s">
        <v>646</v>
      </c>
      <c r="AT123" s="89" t="s">
        <v>646</v>
      </c>
      <c r="AU123" s="89" t="s">
        <v>646</v>
      </c>
      <c r="AV123" s="89" t="s">
        <v>646</v>
      </c>
      <c r="AW123" s="89" t="s">
        <v>646</v>
      </c>
      <c r="AX123" s="89" t="s">
        <v>646</v>
      </c>
      <c r="AY123" s="89" t="s">
        <v>18617</v>
      </c>
      <c r="AZ123" s="89" t="s">
        <v>18618</v>
      </c>
      <c r="BA123" s="89" t="s">
        <v>646</v>
      </c>
      <c r="BB123" s="89" t="s">
        <v>646</v>
      </c>
      <c r="BC123" s="89" t="s">
        <v>646</v>
      </c>
      <c r="BD123" s="89" t="s">
        <v>17658</v>
      </c>
      <c r="BE123" s="89">
        <v>2019</v>
      </c>
      <c r="BF123" s="89">
        <v>45</v>
      </c>
      <c r="BG123" s="89">
        <v>2</v>
      </c>
      <c r="BH123" s="89" t="s">
        <v>646</v>
      </c>
      <c r="BI123" s="89" t="s">
        <v>646</v>
      </c>
      <c r="BJ123" s="89" t="s">
        <v>17555</v>
      </c>
      <c r="BK123" s="89" t="s">
        <v>646</v>
      </c>
      <c r="BL123" s="89">
        <v>567</v>
      </c>
      <c r="BM123" s="89">
        <v>599</v>
      </c>
      <c r="BN123" s="89" t="s">
        <v>646</v>
      </c>
      <c r="BO123" s="89" t="str">
        <f>HYPERLINK("http://dx.doi.org/10.1177/0149206318786781","http://dx.doi.org/10.1177/0149206318786781")</f>
        <v>http://dx.doi.org/10.1177/0149206318786781</v>
      </c>
      <c r="BP123" s="89" t="s">
        <v>646</v>
      </c>
      <c r="BQ123" s="89" t="s">
        <v>646</v>
      </c>
      <c r="BR123" s="89" t="s">
        <v>646</v>
      </c>
      <c r="BS123" s="89" t="s">
        <v>646</v>
      </c>
      <c r="BT123" s="89" t="s">
        <v>646</v>
      </c>
      <c r="BU123" s="89" t="s">
        <v>646</v>
      </c>
      <c r="BV123" s="89" t="s">
        <v>646</v>
      </c>
      <c r="BW123" s="89">
        <v>30774168</v>
      </c>
      <c r="BX123" s="89" t="s">
        <v>646</v>
      </c>
      <c r="BY123" s="89" t="s">
        <v>646</v>
      </c>
      <c r="BZ123" s="89" t="s">
        <v>646</v>
      </c>
      <c r="CA123" s="89" t="s">
        <v>646</v>
      </c>
      <c r="CB123" s="89" t="s">
        <v>18619</v>
      </c>
      <c r="CC123" s="89" t="str">
        <f>HYPERLINK("https%3A%2F%2Fwww.webofscience.com%2Fwos%2Fwoscc%2Ffull-record%2FWOS:000456460300008","View Full Record in Web of Science")</f>
        <v>View Full Record in Web of Science</v>
      </c>
    </row>
    <row r="124" spans="1:81" ht="13.2" hidden="1" x14ac:dyDescent="0.25">
      <c r="A124" s="89" t="s">
        <v>18620</v>
      </c>
      <c r="B124" s="89" t="e">
        <f>+#REF!</f>
        <v>#REF!</v>
      </c>
      <c r="C124" s="89"/>
      <c r="D124" s="91" t="s">
        <v>17939</v>
      </c>
      <c r="E124" s="90" t="e">
        <v>#REF!</v>
      </c>
      <c r="F124" s="89"/>
      <c r="G124" s="89"/>
      <c r="H124" s="89" t="s">
        <v>18621</v>
      </c>
      <c r="I124" s="89" t="s">
        <v>18622</v>
      </c>
      <c r="J124" s="89" t="s">
        <v>646</v>
      </c>
      <c r="K124" s="89" t="s">
        <v>18624</v>
      </c>
      <c r="M124" s="89">
        <v>2019</v>
      </c>
      <c r="N124" s="89" t="s">
        <v>18623</v>
      </c>
      <c r="O124" s="89" t="s">
        <v>646</v>
      </c>
      <c r="P124" s="89" t="str">
        <f>HYPERLINK("http://dx.doi.org/10.1016/j.copsyc.2018.12.018","http://dx.doi.org/10.1016/j.copsyc.2018.12.018")</f>
        <v>http://dx.doi.org/10.1016/j.copsyc.2018.12.018</v>
      </c>
      <c r="S124" s="89" t="s">
        <v>646</v>
      </c>
      <c r="U124" s="89" t="s">
        <v>17462</v>
      </c>
      <c r="W124" s="89" t="s">
        <v>646</v>
      </c>
      <c r="X124" s="89" t="s">
        <v>646</v>
      </c>
      <c r="Y124" s="89" t="s">
        <v>646</v>
      </c>
      <c r="Z124" s="89" t="s">
        <v>646</v>
      </c>
      <c r="AA124" s="89" t="s">
        <v>646</v>
      </c>
      <c r="AB124" s="89" t="s">
        <v>646</v>
      </c>
      <c r="AC124" s="89" t="s">
        <v>646</v>
      </c>
      <c r="AD124" s="89" t="s">
        <v>646</v>
      </c>
      <c r="AE124" s="89" t="s">
        <v>646</v>
      </c>
      <c r="AF124" s="89" t="s">
        <v>18624</v>
      </c>
      <c r="AG124" s="89" t="s">
        <v>646</v>
      </c>
      <c r="AH124" s="89" t="s">
        <v>646</v>
      </c>
      <c r="AI124" s="89" t="s">
        <v>646</v>
      </c>
      <c r="AJ124" s="89" t="s">
        <v>646</v>
      </c>
      <c r="AK124" s="89" t="s">
        <v>646</v>
      </c>
      <c r="AL124" s="89" t="s">
        <v>646</v>
      </c>
      <c r="AM124" s="89" t="s">
        <v>646</v>
      </c>
      <c r="AN124" s="89" t="s">
        <v>646</v>
      </c>
      <c r="AO124" s="89" t="s">
        <v>646</v>
      </c>
      <c r="AP124" s="89" t="s">
        <v>646</v>
      </c>
      <c r="AQ124" s="89" t="s">
        <v>646</v>
      </c>
      <c r="AR124" s="89" t="s">
        <v>646</v>
      </c>
      <c r="AS124" s="89" t="s">
        <v>646</v>
      </c>
      <c r="AT124" s="89" t="s">
        <v>646</v>
      </c>
      <c r="AU124" s="89" t="s">
        <v>646</v>
      </c>
      <c r="AV124" s="89" t="s">
        <v>646</v>
      </c>
      <c r="AW124" s="89" t="s">
        <v>646</v>
      </c>
      <c r="AX124" s="89" t="s">
        <v>646</v>
      </c>
      <c r="AY124" s="89" t="s">
        <v>18625</v>
      </c>
      <c r="AZ124" s="89" t="s">
        <v>18626</v>
      </c>
      <c r="BA124" s="89" t="s">
        <v>646</v>
      </c>
      <c r="BB124" s="89" t="s">
        <v>646</v>
      </c>
      <c r="BC124" s="89" t="s">
        <v>646</v>
      </c>
      <c r="BD124" s="89" t="s">
        <v>17823</v>
      </c>
      <c r="BE124" s="89">
        <v>2019</v>
      </c>
      <c r="BF124" s="89">
        <v>26</v>
      </c>
      <c r="BG124" s="89" t="s">
        <v>646</v>
      </c>
      <c r="BH124" s="89" t="s">
        <v>646</v>
      </c>
      <c r="BI124" s="89" t="s">
        <v>646</v>
      </c>
      <c r="BJ124" s="89" t="s">
        <v>646</v>
      </c>
      <c r="BK124" s="89" t="s">
        <v>646</v>
      </c>
      <c r="BL124" s="89">
        <v>103</v>
      </c>
      <c r="BM124" s="89">
        <v>105</v>
      </c>
      <c r="BN124" s="89" t="s">
        <v>646</v>
      </c>
      <c r="BO124" s="89" t="str">
        <f>HYPERLINK("http://dx.doi.org/10.1016/j.copsyc.2018.12.018","http://dx.doi.org/10.1016/j.copsyc.2018.12.018")</f>
        <v>http://dx.doi.org/10.1016/j.copsyc.2018.12.018</v>
      </c>
      <c r="BP124" s="89" t="s">
        <v>646</v>
      </c>
      <c r="BQ124" s="89" t="s">
        <v>646</v>
      </c>
      <c r="BR124" s="89" t="s">
        <v>646</v>
      </c>
      <c r="BS124" s="89" t="s">
        <v>646</v>
      </c>
      <c r="BT124" s="89" t="s">
        <v>646</v>
      </c>
      <c r="BU124" s="89" t="s">
        <v>646</v>
      </c>
      <c r="BV124" s="89" t="s">
        <v>646</v>
      </c>
      <c r="BW124" s="89">
        <v>30685640</v>
      </c>
      <c r="BX124" s="89" t="s">
        <v>646</v>
      </c>
      <c r="BY124" s="89" t="s">
        <v>646</v>
      </c>
      <c r="BZ124" s="89" t="s">
        <v>646</v>
      </c>
      <c r="CA124" s="89" t="s">
        <v>646</v>
      </c>
      <c r="CB124" s="89" t="s">
        <v>18627</v>
      </c>
      <c r="CC124" s="89" t="str">
        <f>HYPERLINK("https%3A%2F%2Fwww.webofscience.com%2Fwos%2Fwoscc%2Ffull-record%2FWOS:000463730800024","View Full Record in Web of Science")</f>
        <v>View Full Record in Web of Science</v>
      </c>
    </row>
    <row r="125" spans="1:81" ht="13.2" hidden="1" x14ac:dyDescent="0.25">
      <c r="A125" s="89" t="s">
        <v>18628</v>
      </c>
      <c r="B125" s="89" t="e">
        <f>+#REF!</f>
        <v>#REF!</v>
      </c>
      <c r="C125" s="89"/>
      <c r="D125" s="91" t="s">
        <v>17939</v>
      </c>
      <c r="E125" s="90" t="e">
        <v>#REF!</v>
      </c>
      <c r="F125" s="89"/>
      <c r="G125" s="89"/>
      <c r="H125" s="89" t="s">
        <v>646</v>
      </c>
      <c r="I125" s="89" t="s">
        <v>18629</v>
      </c>
      <c r="J125" s="89" t="s">
        <v>646</v>
      </c>
      <c r="K125" s="89" t="s">
        <v>18631</v>
      </c>
      <c r="M125" s="89">
        <v>2018</v>
      </c>
      <c r="N125" s="89" t="s">
        <v>18630</v>
      </c>
      <c r="O125" s="89" t="s">
        <v>646</v>
      </c>
      <c r="P125" s="89" t="s">
        <v>646</v>
      </c>
      <c r="S125" s="89" t="s">
        <v>646</v>
      </c>
      <c r="U125" s="89" t="s">
        <v>17462</v>
      </c>
      <c r="W125" s="89" t="s">
        <v>646</v>
      </c>
      <c r="X125" s="89" t="s">
        <v>646</v>
      </c>
      <c r="Y125" s="89" t="s">
        <v>646</v>
      </c>
      <c r="Z125" s="89" t="s">
        <v>646</v>
      </c>
      <c r="AA125" s="89" t="s">
        <v>646</v>
      </c>
      <c r="AB125" s="89" t="s">
        <v>646</v>
      </c>
      <c r="AC125" s="89" t="s">
        <v>646</v>
      </c>
      <c r="AD125" s="89" t="s">
        <v>646</v>
      </c>
      <c r="AE125" s="89" t="s">
        <v>646</v>
      </c>
      <c r="AF125" s="89" t="s">
        <v>18631</v>
      </c>
      <c r="AG125" s="89" t="s">
        <v>646</v>
      </c>
      <c r="AH125" s="89" t="s">
        <v>646</v>
      </c>
      <c r="AI125" s="89" t="s">
        <v>646</v>
      </c>
      <c r="AJ125" s="89" t="s">
        <v>646</v>
      </c>
      <c r="AK125" s="89" t="s">
        <v>646</v>
      </c>
      <c r="AL125" s="89" t="s">
        <v>18632</v>
      </c>
      <c r="AM125" s="89" t="s">
        <v>646</v>
      </c>
      <c r="AN125" s="89" t="s">
        <v>646</v>
      </c>
      <c r="AO125" s="89" t="s">
        <v>646</v>
      </c>
      <c r="AP125" s="89" t="s">
        <v>646</v>
      </c>
      <c r="AQ125" s="89" t="s">
        <v>646</v>
      </c>
      <c r="AR125" s="89" t="s">
        <v>646</v>
      </c>
      <c r="AS125" s="89" t="s">
        <v>646</v>
      </c>
      <c r="AT125" s="89" t="s">
        <v>646</v>
      </c>
      <c r="AU125" s="89" t="s">
        <v>646</v>
      </c>
      <c r="AV125" s="89" t="s">
        <v>646</v>
      </c>
      <c r="AW125" s="89" t="s">
        <v>646</v>
      </c>
      <c r="AX125" s="89" t="s">
        <v>646</v>
      </c>
      <c r="AY125" s="89" t="s">
        <v>18633</v>
      </c>
      <c r="AZ125" s="89" t="s">
        <v>646</v>
      </c>
      <c r="BA125" s="89" t="s">
        <v>646</v>
      </c>
      <c r="BB125" s="89" t="s">
        <v>646</v>
      </c>
      <c r="BC125" s="89" t="s">
        <v>646</v>
      </c>
      <c r="BD125" s="89" t="s">
        <v>646</v>
      </c>
      <c r="BE125" s="89">
        <v>2018</v>
      </c>
      <c r="BF125" s="89" t="s">
        <v>646</v>
      </c>
      <c r="BG125" s="89">
        <v>1</v>
      </c>
      <c r="BH125" s="89" t="s">
        <v>646</v>
      </c>
      <c r="BI125" s="89" t="s">
        <v>646</v>
      </c>
      <c r="BJ125" s="89" t="s">
        <v>646</v>
      </c>
      <c r="BK125" s="89" t="s">
        <v>646</v>
      </c>
      <c r="BL125" s="89">
        <v>52</v>
      </c>
      <c r="BM125" s="89">
        <v>68</v>
      </c>
      <c r="BN125" s="89" t="s">
        <v>646</v>
      </c>
      <c r="BO125" s="89" t="s">
        <v>646</v>
      </c>
      <c r="BP125" s="89" t="s">
        <v>646</v>
      </c>
      <c r="BQ125" s="89" t="s">
        <v>646</v>
      </c>
      <c r="BR125" s="89" t="s">
        <v>646</v>
      </c>
      <c r="BS125" s="89" t="s">
        <v>646</v>
      </c>
      <c r="BT125" s="89" t="s">
        <v>646</v>
      </c>
      <c r="BU125" s="89" t="s">
        <v>646</v>
      </c>
      <c r="BV125" s="89" t="s">
        <v>646</v>
      </c>
      <c r="BW125" s="89" t="s">
        <v>646</v>
      </c>
      <c r="BX125" s="89" t="s">
        <v>646</v>
      </c>
      <c r="BY125" s="89" t="s">
        <v>646</v>
      </c>
      <c r="BZ125" s="89" t="s">
        <v>646</v>
      </c>
      <c r="CA125" s="89" t="s">
        <v>646</v>
      </c>
      <c r="CB125" s="89" t="s">
        <v>18634</v>
      </c>
      <c r="CC125" s="89" t="str">
        <f>HYPERLINK("https%3A%2F%2Fwww.webofscience.com%2Fwos%2Fwoscc%2Ffull-record%2FWOS:000454916000005","View Full Record in Web of Science")</f>
        <v>View Full Record in Web of Science</v>
      </c>
    </row>
    <row r="126" spans="1:81" ht="13.2" hidden="1" x14ac:dyDescent="0.25">
      <c r="A126" s="89" t="s">
        <v>18635</v>
      </c>
      <c r="B126" s="89" t="e">
        <f>+#REF!</f>
        <v>#REF!</v>
      </c>
      <c r="C126" s="89"/>
      <c r="D126" s="91" t="s">
        <v>17939</v>
      </c>
      <c r="E126" s="90" t="e">
        <v>#REF!</v>
      </c>
      <c r="F126" s="89"/>
      <c r="G126" s="89"/>
      <c r="H126" s="89" t="s">
        <v>18636</v>
      </c>
      <c r="I126" s="89" t="s">
        <v>18637</v>
      </c>
      <c r="J126" s="89" t="s">
        <v>646</v>
      </c>
      <c r="K126" s="89" t="s">
        <v>18639</v>
      </c>
      <c r="M126" s="89">
        <v>2020</v>
      </c>
      <c r="N126" s="89" t="s">
        <v>18638</v>
      </c>
      <c r="O126" s="89" t="s">
        <v>646</v>
      </c>
      <c r="P126" s="89" t="str">
        <f>HYPERLINK("http://dx.doi.org/10.33119/GN/128215","http://dx.doi.org/10.33119/GN/128215")</f>
        <v>http://dx.doi.org/10.33119/GN/128215</v>
      </c>
      <c r="S126" s="89" t="s">
        <v>646</v>
      </c>
      <c r="U126" s="89" t="s">
        <v>17462</v>
      </c>
      <c r="W126" s="89" t="s">
        <v>646</v>
      </c>
      <c r="X126" s="89" t="s">
        <v>646</v>
      </c>
      <c r="Y126" s="89" t="s">
        <v>646</v>
      </c>
      <c r="Z126" s="89" t="s">
        <v>646</v>
      </c>
      <c r="AA126" s="89" t="s">
        <v>646</v>
      </c>
      <c r="AB126" s="89" t="s">
        <v>646</v>
      </c>
      <c r="AC126" s="89" t="s">
        <v>646</v>
      </c>
      <c r="AD126" s="89" t="s">
        <v>646</v>
      </c>
      <c r="AE126" s="89" t="s">
        <v>646</v>
      </c>
      <c r="AF126" s="89" t="s">
        <v>18639</v>
      </c>
      <c r="AG126" s="89" t="s">
        <v>646</v>
      </c>
      <c r="AH126" s="89" t="s">
        <v>646</v>
      </c>
      <c r="AI126" s="89" t="s">
        <v>646</v>
      </c>
      <c r="AJ126" s="89" t="s">
        <v>646</v>
      </c>
      <c r="AK126" s="89" t="s">
        <v>646</v>
      </c>
      <c r="AL126" s="89" t="s">
        <v>18640</v>
      </c>
      <c r="AM126" s="89" t="s">
        <v>646</v>
      </c>
      <c r="AN126" s="89" t="s">
        <v>646</v>
      </c>
      <c r="AO126" s="89" t="s">
        <v>646</v>
      </c>
      <c r="AP126" s="89" t="s">
        <v>646</v>
      </c>
      <c r="AQ126" s="89" t="s">
        <v>646</v>
      </c>
      <c r="AR126" s="89" t="s">
        <v>646</v>
      </c>
      <c r="AS126" s="89" t="s">
        <v>646</v>
      </c>
      <c r="AT126" s="89" t="s">
        <v>646</v>
      </c>
      <c r="AU126" s="89" t="s">
        <v>646</v>
      </c>
      <c r="AV126" s="89" t="s">
        <v>646</v>
      </c>
      <c r="AW126" s="89" t="s">
        <v>646</v>
      </c>
      <c r="AX126" s="89" t="s">
        <v>646</v>
      </c>
      <c r="AY126" s="89" t="s">
        <v>18641</v>
      </c>
      <c r="AZ126" s="89" t="s">
        <v>18642</v>
      </c>
      <c r="BA126" s="89" t="s">
        <v>646</v>
      </c>
      <c r="BB126" s="89" t="s">
        <v>646</v>
      </c>
      <c r="BC126" s="89" t="s">
        <v>646</v>
      </c>
      <c r="BD126" s="89" t="s">
        <v>646</v>
      </c>
      <c r="BE126" s="89">
        <v>2020</v>
      </c>
      <c r="BF126" s="89">
        <v>304</v>
      </c>
      <c r="BG126" s="89">
        <v>4</v>
      </c>
      <c r="BH126" s="89" t="s">
        <v>646</v>
      </c>
      <c r="BI126" s="89" t="s">
        <v>646</v>
      </c>
      <c r="BJ126" s="89" t="s">
        <v>646</v>
      </c>
      <c r="BK126" s="89" t="s">
        <v>646</v>
      </c>
      <c r="BL126" s="89">
        <v>105</v>
      </c>
      <c r="BM126" s="89">
        <v>134</v>
      </c>
      <c r="BN126" s="89" t="s">
        <v>646</v>
      </c>
      <c r="BO126" s="89" t="str">
        <f>HYPERLINK("http://dx.doi.org/10.33119/GN/128215","http://dx.doi.org/10.33119/GN/128215")</f>
        <v>http://dx.doi.org/10.33119/GN/128215</v>
      </c>
      <c r="BP126" s="89" t="s">
        <v>646</v>
      </c>
      <c r="BQ126" s="89" t="s">
        <v>646</v>
      </c>
      <c r="BR126" s="89" t="s">
        <v>646</v>
      </c>
      <c r="BS126" s="89" t="s">
        <v>646</v>
      </c>
      <c r="BT126" s="89" t="s">
        <v>646</v>
      </c>
      <c r="BU126" s="89" t="s">
        <v>646</v>
      </c>
      <c r="BV126" s="89" t="s">
        <v>646</v>
      </c>
      <c r="BW126" s="89" t="s">
        <v>646</v>
      </c>
      <c r="BX126" s="89" t="s">
        <v>646</v>
      </c>
      <c r="BY126" s="89" t="s">
        <v>646</v>
      </c>
      <c r="BZ126" s="89" t="s">
        <v>646</v>
      </c>
      <c r="CA126" s="89" t="s">
        <v>646</v>
      </c>
      <c r="CB126" s="89" t="s">
        <v>18643</v>
      </c>
      <c r="CC126" s="89" t="str">
        <f>HYPERLINK("https%3A%2F%2Fwww.webofscience.com%2Fwos%2Fwoscc%2Ffull-record%2FWOS:000604728500005","View Full Record in Web of Science")</f>
        <v>View Full Record in Web of Science</v>
      </c>
    </row>
    <row r="127" spans="1:81" ht="13.2" hidden="1" x14ac:dyDescent="0.25">
      <c r="A127" s="89" t="s">
        <v>18644</v>
      </c>
      <c r="B127" s="89" t="e">
        <f>+#REF!</f>
        <v>#REF!</v>
      </c>
      <c r="C127" s="89"/>
      <c r="D127" s="91" t="s">
        <v>17939</v>
      </c>
      <c r="E127" s="90" t="e">
        <v>#REF!</v>
      </c>
      <c r="F127" s="89"/>
      <c r="G127" s="89"/>
      <c r="H127" s="89" t="s">
        <v>646</v>
      </c>
      <c r="I127" s="89" t="s">
        <v>18645</v>
      </c>
      <c r="J127" s="89" t="s">
        <v>646</v>
      </c>
      <c r="K127" s="89" t="s">
        <v>18647</v>
      </c>
      <c r="M127" s="89">
        <v>2019</v>
      </c>
      <c r="N127" s="89" t="s">
        <v>18646</v>
      </c>
      <c r="O127" s="89" t="s">
        <v>646</v>
      </c>
      <c r="P127" s="89" t="s">
        <v>646</v>
      </c>
      <c r="S127" s="89" t="s">
        <v>646</v>
      </c>
      <c r="U127" s="89" t="s">
        <v>17462</v>
      </c>
      <c r="W127" s="89" t="s">
        <v>646</v>
      </c>
      <c r="X127" s="89" t="s">
        <v>646</v>
      </c>
      <c r="Y127" s="89" t="s">
        <v>646</v>
      </c>
      <c r="Z127" s="89" t="s">
        <v>646</v>
      </c>
      <c r="AA127" s="89" t="s">
        <v>646</v>
      </c>
      <c r="AB127" s="89" t="s">
        <v>646</v>
      </c>
      <c r="AC127" s="89" t="s">
        <v>646</v>
      </c>
      <c r="AD127" s="89" t="s">
        <v>646</v>
      </c>
      <c r="AE127" s="89" t="s">
        <v>646</v>
      </c>
      <c r="AF127" s="89" t="s">
        <v>18647</v>
      </c>
      <c r="AG127" s="89" t="s">
        <v>646</v>
      </c>
      <c r="AH127" s="89" t="s">
        <v>646</v>
      </c>
      <c r="AI127" s="89" t="s">
        <v>646</v>
      </c>
      <c r="AJ127" s="89" t="s">
        <v>646</v>
      </c>
      <c r="AK127" s="89" t="s">
        <v>646</v>
      </c>
      <c r="AL127" s="89" t="s">
        <v>646</v>
      </c>
      <c r="AM127" s="89" t="s">
        <v>646</v>
      </c>
      <c r="AN127" s="89" t="s">
        <v>646</v>
      </c>
      <c r="AO127" s="89" t="s">
        <v>646</v>
      </c>
      <c r="AP127" s="89" t="s">
        <v>646</v>
      </c>
      <c r="AQ127" s="89" t="s">
        <v>646</v>
      </c>
      <c r="AR127" s="89" t="s">
        <v>646</v>
      </c>
      <c r="AS127" s="89" t="s">
        <v>646</v>
      </c>
      <c r="AT127" s="89" t="s">
        <v>646</v>
      </c>
      <c r="AU127" s="89" t="s">
        <v>646</v>
      </c>
      <c r="AV127" s="89" t="s">
        <v>646</v>
      </c>
      <c r="AW127" s="89" t="s">
        <v>646</v>
      </c>
      <c r="AX127" s="89" t="s">
        <v>646</v>
      </c>
      <c r="AY127" s="89" t="s">
        <v>18648</v>
      </c>
      <c r="AZ127" s="89" t="s">
        <v>18649</v>
      </c>
      <c r="BA127" s="89" t="s">
        <v>646</v>
      </c>
      <c r="BB127" s="89" t="s">
        <v>646</v>
      </c>
      <c r="BC127" s="89" t="s">
        <v>646</v>
      </c>
      <c r="BD127" s="89" t="s">
        <v>646</v>
      </c>
      <c r="BE127" s="89">
        <v>2019</v>
      </c>
      <c r="BF127" s="89" t="s">
        <v>646</v>
      </c>
      <c r="BG127" s="89">
        <v>12</v>
      </c>
      <c r="BH127" s="89" t="s">
        <v>646</v>
      </c>
      <c r="BI127" s="89" t="s">
        <v>646</v>
      </c>
      <c r="BJ127" s="89" t="s">
        <v>646</v>
      </c>
      <c r="BK127" s="89" t="s">
        <v>646</v>
      </c>
      <c r="BL127" s="89">
        <v>40</v>
      </c>
      <c r="BM127" s="89">
        <v>56</v>
      </c>
      <c r="BN127" s="89" t="s">
        <v>646</v>
      </c>
      <c r="BO127" s="89" t="s">
        <v>646</v>
      </c>
      <c r="BP127" s="89" t="s">
        <v>646</v>
      </c>
      <c r="BQ127" s="89" t="s">
        <v>646</v>
      </c>
      <c r="BR127" s="89" t="s">
        <v>646</v>
      </c>
      <c r="BS127" s="89" t="s">
        <v>646</v>
      </c>
      <c r="BT127" s="89" t="s">
        <v>646</v>
      </c>
      <c r="BU127" s="89" t="s">
        <v>646</v>
      </c>
      <c r="BV127" s="89" t="s">
        <v>646</v>
      </c>
      <c r="BW127" s="89" t="s">
        <v>646</v>
      </c>
      <c r="BX127" s="89" t="s">
        <v>646</v>
      </c>
      <c r="BY127" s="89" t="s">
        <v>646</v>
      </c>
      <c r="BZ127" s="89" t="s">
        <v>646</v>
      </c>
      <c r="CA127" s="89" t="s">
        <v>646</v>
      </c>
      <c r="CB127" s="89" t="s">
        <v>18650</v>
      </c>
      <c r="CC127" s="89" t="str">
        <f>HYPERLINK("https%3A%2F%2Fwww.webofscience.com%2Fwos%2Fwoscc%2Ffull-record%2FWOS:000504634700003","View Full Record in Web of Science")</f>
        <v>View Full Record in Web of Science</v>
      </c>
    </row>
    <row r="128" spans="1:81" ht="13.2" hidden="1" x14ac:dyDescent="0.25">
      <c r="A128" s="89" t="s">
        <v>18651</v>
      </c>
      <c r="B128" s="89" t="e">
        <f>+#REF!</f>
        <v>#REF!</v>
      </c>
      <c r="C128" s="89"/>
      <c r="D128" s="91" t="s">
        <v>17939</v>
      </c>
      <c r="E128" s="90" t="e">
        <v>#REF!</v>
      </c>
      <c r="F128" s="89"/>
      <c r="G128" s="89"/>
      <c r="H128" s="89" t="s">
        <v>646</v>
      </c>
      <c r="I128" s="89" t="s">
        <v>18652</v>
      </c>
      <c r="J128" s="89" t="s">
        <v>646</v>
      </c>
      <c r="K128" s="89" t="s">
        <v>8405</v>
      </c>
      <c r="M128" s="89">
        <v>2011</v>
      </c>
      <c r="N128" s="89" t="s">
        <v>18653</v>
      </c>
      <c r="O128" s="89" t="s">
        <v>646</v>
      </c>
      <c r="P128" s="89" t="s">
        <v>646</v>
      </c>
      <c r="S128" s="89" t="s">
        <v>646</v>
      </c>
      <c r="U128" s="89" t="s">
        <v>17462</v>
      </c>
      <c r="W128" s="89" t="s">
        <v>646</v>
      </c>
      <c r="X128" s="89" t="s">
        <v>646</v>
      </c>
      <c r="Y128" s="89" t="s">
        <v>646</v>
      </c>
      <c r="Z128" s="89" t="s">
        <v>646</v>
      </c>
      <c r="AA128" s="89" t="s">
        <v>646</v>
      </c>
      <c r="AB128" s="89" t="s">
        <v>646</v>
      </c>
      <c r="AC128" s="89" t="s">
        <v>646</v>
      </c>
      <c r="AD128" s="89" t="s">
        <v>646</v>
      </c>
      <c r="AE128" s="89" t="s">
        <v>646</v>
      </c>
      <c r="AF128" s="89" t="s">
        <v>8405</v>
      </c>
      <c r="AG128" s="89" t="s">
        <v>646</v>
      </c>
      <c r="AH128" s="89" t="s">
        <v>646</v>
      </c>
      <c r="AI128" s="89" t="s">
        <v>646</v>
      </c>
      <c r="AJ128" s="89" t="s">
        <v>646</v>
      </c>
      <c r="AK128" s="89" t="s">
        <v>646</v>
      </c>
      <c r="AL128" s="89" t="s">
        <v>646</v>
      </c>
      <c r="AM128" s="89" t="s">
        <v>646</v>
      </c>
      <c r="AN128" s="89" t="s">
        <v>646</v>
      </c>
      <c r="AO128" s="89" t="s">
        <v>646</v>
      </c>
      <c r="AP128" s="89" t="s">
        <v>646</v>
      </c>
      <c r="AQ128" s="89" t="s">
        <v>646</v>
      </c>
      <c r="AR128" s="89" t="s">
        <v>646</v>
      </c>
      <c r="AS128" s="89" t="s">
        <v>646</v>
      </c>
      <c r="AT128" s="89" t="s">
        <v>646</v>
      </c>
      <c r="AU128" s="89" t="s">
        <v>646</v>
      </c>
      <c r="AV128" s="89" t="s">
        <v>646</v>
      </c>
      <c r="AW128" s="89" t="s">
        <v>646</v>
      </c>
      <c r="AX128" s="89" t="s">
        <v>646</v>
      </c>
      <c r="AY128" s="89" t="s">
        <v>18654</v>
      </c>
      <c r="AZ128" s="89" t="s">
        <v>646</v>
      </c>
      <c r="BA128" s="89" t="s">
        <v>646</v>
      </c>
      <c r="BB128" s="89" t="s">
        <v>646</v>
      </c>
      <c r="BC128" s="89" t="s">
        <v>646</v>
      </c>
      <c r="BD128" s="89" t="s">
        <v>18655</v>
      </c>
      <c r="BE128" s="89">
        <v>2011</v>
      </c>
      <c r="BF128" s="89">
        <v>58</v>
      </c>
      <c r="BG128" s="89">
        <v>3</v>
      </c>
      <c r="BH128" s="89" t="s">
        <v>646</v>
      </c>
      <c r="BI128" s="89" t="s">
        <v>646</v>
      </c>
      <c r="BJ128" s="89" t="s">
        <v>646</v>
      </c>
      <c r="BK128" s="89" t="s">
        <v>646</v>
      </c>
      <c r="BL128" s="89">
        <v>217</v>
      </c>
      <c r="BM128" s="89">
        <v>237</v>
      </c>
      <c r="BN128" s="89" t="s">
        <v>646</v>
      </c>
      <c r="BO128" s="89" t="s">
        <v>646</v>
      </c>
      <c r="BP128" s="89" t="s">
        <v>646</v>
      </c>
      <c r="BQ128" s="89" t="s">
        <v>646</v>
      </c>
      <c r="BR128" s="89" t="s">
        <v>646</v>
      </c>
      <c r="BS128" s="89" t="s">
        <v>646</v>
      </c>
      <c r="BT128" s="89" t="s">
        <v>646</v>
      </c>
      <c r="BU128" s="89" t="s">
        <v>646</v>
      </c>
      <c r="BV128" s="89" t="s">
        <v>646</v>
      </c>
      <c r="BW128" s="89" t="s">
        <v>646</v>
      </c>
      <c r="BX128" s="89" t="s">
        <v>646</v>
      </c>
      <c r="BY128" s="89" t="s">
        <v>646</v>
      </c>
      <c r="BZ128" s="89" t="s">
        <v>646</v>
      </c>
      <c r="CA128" s="89" t="s">
        <v>646</v>
      </c>
      <c r="CB128" s="89" t="s">
        <v>18656</v>
      </c>
      <c r="CC128" s="89" t="str">
        <f>HYPERLINK("https%3A%2F%2Fwww.webofscience.com%2Fwos%2Fwoscc%2Ffull-record%2FWOS:000296048300003","View Full Record in Web of Science")</f>
        <v>View Full Record in Web of Science</v>
      </c>
    </row>
    <row r="129" spans="1:81" ht="13.2" hidden="1" x14ac:dyDescent="0.25">
      <c r="A129" s="89" t="s">
        <v>18657</v>
      </c>
      <c r="B129" s="89" t="e">
        <f>+#REF!</f>
        <v>#REF!</v>
      </c>
      <c r="C129" s="89"/>
      <c r="D129" s="91" t="s">
        <v>17939</v>
      </c>
      <c r="E129" s="90" t="e">
        <v>#REF!</v>
      </c>
      <c r="F129" s="89"/>
      <c r="G129" s="89"/>
      <c r="H129" s="89" t="s">
        <v>18658</v>
      </c>
      <c r="I129" s="89" t="s">
        <v>18659</v>
      </c>
      <c r="J129" s="89" t="s">
        <v>646</v>
      </c>
      <c r="K129" s="89" t="s">
        <v>18660</v>
      </c>
      <c r="M129" s="89">
        <v>2019</v>
      </c>
      <c r="N129" s="89" t="s">
        <v>17819</v>
      </c>
      <c r="O129" s="89" t="s">
        <v>646</v>
      </c>
      <c r="P129" s="89" t="str">
        <f>HYPERLINK("http://dx.doi.org/10.22581/muet1982.1904.11","http://dx.doi.org/10.22581/muet1982.1904.11")</f>
        <v>http://dx.doi.org/10.22581/muet1982.1904.11</v>
      </c>
      <c r="S129" s="89" t="s">
        <v>646</v>
      </c>
      <c r="U129" s="89" t="s">
        <v>17462</v>
      </c>
      <c r="W129" s="89" t="s">
        <v>646</v>
      </c>
      <c r="X129" s="89" t="s">
        <v>646</v>
      </c>
      <c r="Y129" s="89" t="s">
        <v>646</v>
      </c>
      <c r="Z129" s="89" t="s">
        <v>646</v>
      </c>
      <c r="AA129" s="89" t="s">
        <v>646</v>
      </c>
      <c r="AB129" s="89" t="s">
        <v>646</v>
      </c>
      <c r="AC129" s="89" t="s">
        <v>646</v>
      </c>
      <c r="AD129" s="89" t="s">
        <v>646</v>
      </c>
      <c r="AE129" s="89" t="s">
        <v>646</v>
      </c>
      <c r="AF129" s="89" t="s">
        <v>18660</v>
      </c>
      <c r="AG129" s="89" t="s">
        <v>646</v>
      </c>
      <c r="AH129" s="89" t="s">
        <v>646</v>
      </c>
      <c r="AI129" s="89" t="s">
        <v>646</v>
      </c>
      <c r="AJ129" s="89" t="s">
        <v>646</v>
      </c>
      <c r="AK129" s="89" t="s">
        <v>646</v>
      </c>
      <c r="AL129" s="89" t="s">
        <v>646</v>
      </c>
      <c r="AM129" s="89" t="s">
        <v>646</v>
      </c>
      <c r="AN129" s="89" t="s">
        <v>646</v>
      </c>
      <c r="AO129" s="89" t="s">
        <v>646</v>
      </c>
      <c r="AP129" s="89" t="s">
        <v>646</v>
      </c>
      <c r="AQ129" s="89" t="s">
        <v>646</v>
      </c>
      <c r="AR129" s="89" t="s">
        <v>646</v>
      </c>
      <c r="AS129" s="89" t="s">
        <v>646</v>
      </c>
      <c r="AT129" s="89" t="s">
        <v>646</v>
      </c>
      <c r="AU129" s="89" t="s">
        <v>646</v>
      </c>
      <c r="AV129" s="89" t="s">
        <v>646</v>
      </c>
      <c r="AW129" s="89" t="s">
        <v>646</v>
      </c>
      <c r="AX129" s="89" t="s">
        <v>646</v>
      </c>
      <c r="AY129" s="89" t="s">
        <v>17821</v>
      </c>
      <c r="AZ129" s="89" t="s">
        <v>17822</v>
      </c>
      <c r="BA129" s="89" t="s">
        <v>646</v>
      </c>
      <c r="BB129" s="89" t="s">
        <v>646</v>
      </c>
      <c r="BC129" s="89" t="s">
        <v>646</v>
      </c>
      <c r="BD129" s="89" t="s">
        <v>17687</v>
      </c>
      <c r="BE129" s="89">
        <v>2019</v>
      </c>
      <c r="BF129" s="89">
        <v>38</v>
      </c>
      <c r="BG129" s="89">
        <v>4</v>
      </c>
      <c r="BH129" s="89" t="s">
        <v>646</v>
      </c>
      <c r="BI129" s="89" t="s">
        <v>646</v>
      </c>
      <c r="BJ129" s="89" t="s">
        <v>646</v>
      </c>
      <c r="BK129" s="89" t="s">
        <v>646</v>
      </c>
      <c r="BL129" s="89">
        <v>979</v>
      </c>
      <c r="BM129" s="89">
        <v>998</v>
      </c>
      <c r="BN129" s="89" t="s">
        <v>646</v>
      </c>
      <c r="BO129" s="89" t="str">
        <f>HYPERLINK("http://dx.doi.org/10.22581/muet1982.1904.11","http://dx.doi.org/10.22581/muet1982.1904.11")</f>
        <v>http://dx.doi.org/10.22581/muet1982.1904.11</v>
      </c>
      <c r="BP129" s="89" t="s">
        <v>646</v>
      </c>
      <c r="BQ129" s="89" t="s">
        <v>646</v>
      </c>
      <c r="BR129" s="89" t="s">
        <v>646</v>
      </c>
      <c r="BS129" s="89" t="s">
        <v>646</v>
      </c>
      <c r="BT129" s="89" t="s">
        <v>646</v>
      </c>
      <c r="BU129" s="89" t="s">
        <v>646</v>
      </c>
      <c r="BV129" s="89" t="s">
        <v>646</v>
      </c>
      <c r="BW129" s="89" t="s">
        <v>646</v>
      </c>
      <c r="BX129" s="89" t="s">
        <v>646</v>
      </c>
      <c r="BY129" s="89" t="s">
        <v>646</v>
      </c>
      <c r="BZ129" s="89" t="s">
        <v>646</v>
      </c>
      <c r="CA129" s="89" t="s">
        <v>646</v>
      </c>
      <c r="CB129" s="89" t="s">
        <v>18661</v>
      </c>
      <c r="CC129" s="89" t="str">
        <f>HYPERLINK("https%3A%2F%2Fwww.webofscience.com%2Fwos%2Fwoscc%2Ffull-record%2FWOS:000495376100011","View Full Record in Web of Science")</f>
        <v>View Full Record in Web of Science</v>
      </c>
    </row>
    <row r="130" spans="1:81" ht="13.2" hidden="1" x14ac:dyDescent="0.25">
      <c r="A130" s="89" t="s">
        <v>18662</v>
      </c>
      <c r="B130" s="89" t="e">
        <f>+#REF!</f>
        <v>#REF!</v>
      </c>
      <c r="C130" s="89"/>
      <c r="D130" s="91" t="s">
        <v>17939</v>
      </c>
      <c r="E130" s="90" t="e">
        <v>#REF!</v>
      </c>
      <c r="F130" s="89"/>
      <c r="G130" s="89"/>
      <c r="H130" s="89" t="s">
        <v>646</v>
      </c>
      <c r="I130" s="89" t="s">
        <v>18664</v>
      </c>
      <c r="J130" s="89" t="s">
        <v>646</v>
      </c>
      <c r="K130" s="89" t="s">
        <v>18670</v>
      </c>
      <c r="M130" s="89">
        <v>2014</v>
      </c>
      <c r="N130" s="89" t="s">
        <v>18665</v>
      </c>
      <c r="O130" s="89" t="s">
        <v>18663</v>
      </c>
      <c r="P130" s="89" t="s">
        <v>646</v>
      </c>
      <c r="S130" s="89" t="s">
        <v>646</v>
      </c>
      <c r="U130" s="89" t="s">
        <v>17474</v>
      </c>
      <c r="W130" s="89" t="s">
        <v>646</v>
      </c>
      <c r="X130" s="89" t="s">
        <v>646</v>
      </c>
      <c r="Y130" s="89" t="s">
        <v>18666</v>
      </c>
      <c r="Z130" s="89" t="s">
        <v>18667</v>
      </c>
      <c r="AA130" s="89" t="s">
        <v>18668</v>
      </c>
      <c r="AB130" s="89" t="s">
        <v>18669</v>
      </c>
      <c r="AC130" s="89" t="s">
        <v>646</v>
      </c>
      <c r="AD130" s="89" t="s">
        <v>646</v>
      </c>
      <c r="AE130" s="89" t="s">
        <v>646</v>
      </c>
      <c r="AF130" s="89" t="s">
        <v>18670</v>
      </c>
      <c r="AG130" s="89" t="s">
        <v>646</v>
      </c>
      <c r="AH130" s="89" t="s">
        <v>646</v>
      </c>
      <c r="AI130" s="89" t="s">
        <v>646</v>
      </c>
      <c r="AJ130" s="89" t="s">
        <v>646</v>
      </c>
      <c r="AK130" s="89" t="s">
        <v>646</v>
      </c>
      <c r="AL130" s="89" t="s">
        <v>646</v>
      </c>
      <c r="AM130" s="89" t="s">
        <v>646</v>
      </c>
      <c r="AN130" s="89" t="s">
        <v>646</v>
      </c>
      <c r="AO130" s="89" t="s">
        <v>646</v>
      </c>
      <c r="AP130" s="89" t="s">
        <v>646</v>
      </c>
      <c r="AQ130" s="89" t="s">
        <v>646</v>
      </c>
      <c r="AR130" s="89" t="s">
        <v>646</v>
      </c>
      <c r="AS130" s="89" t="s">
        <v>646</v>
      </c>
      <c r="AT130" s="89" t="s">
        <v>646</v>
      </c>
      <c r="AU130" s="89" t="s">
        <v>646</v>
      </c>
      <c r="AV130" s="89" t="s">
        <v>646</v>
      </c>
      <c r="AW130" s="89" t="s">
        <v>646</v>
      </c>
      <c r="AX130" s="89" t="s">
        <v>646</v>
      </c>
      <c r="AY130" s="89" t="s">
        <v>646</v>
      </c>
      <c r="AZ130" s="89" t="s">
        <v>646</v>
      </c>
      <c r="BA130" s="89" t="s">
        <v>18671</v>
      </c>
      <c r="BB130" s="89" t="s">
        <v>646</v>
      </c>
      <c r="BC130" s="89" t="s">
        <v>646</v>
      </c>
      <c r="BD130" s="89" t="s">
        <v>646</v>
      </c>
      <c r="BE130" s="89">
        <v>2014</v>
      </c>
      <c r="BF130" s="89" t="s">
        <v>646</v>
      </c>
      <c r="BG130" s="89" t="s">
        <v>646</v>
      </c>
      <c r="BH130" s="89" t="s">
        <v>646</v>
      </c>
      <c r="BI130" s="89" t="s">
        <v>646</v>
      </c>
      <c r="BJ130" s="89" t="s">
        <v>646</v>
      </c>
      <c r="BK130" s="89" t="s">
        <v>646</v>
      </c>
      <c r="BL130" s="89" t="s">
        <v>646</v>
      </c>
      <c r="BM130" s="89" t="s">
        <v>646</v>
      </c>
      <c r="BN130" s="89" t="s">
        <v>646</v>
      </c>
      <c r="BO130" s="89" t="s">
        <v>646</v>
      </c>
      <c r="BP130" s="89" t="s">
        <v>646</v>
      </c>
      <c r="BQ130" s="89" t="s">
        <v>646</v>
      </c>
      <c r="BR130" s="89" t="s">
        <v>646</v>
      </c>
      <c r="BS130" s="89" t="s">
        <v>646</v>
      </c>
      <c r="BT130" s="89" t="s">
        <v>646</v>
      </c>
      <c r="BU130" s="89" t="s">
        <v>646</v>
      </c>
      <c r="BV130" s="89" t="s">
        <v>646</v>
      </c>
      <c r="BW130" s="89" t="s">
        <v>646</v>
      </c>
      <c r="BX130" s="89" t="s">
        <v>646</v>
      </c>
      <c r="BY130" s="89" t="s">
        <v>646</v>
      </c>
      <c r="BZ130" s="89" t="s">
        <v>646</v>
      </c>
      <c r="CA130" s="89" t="s">
        <v>646</v>
      </c>
      <c r="CB130" s="89" t="s">
        <v>18672</v>
      </c>
      <c r="CC130" s="89" t="str">
        <f>HYPERLINK("https%3A%2F%2Fwww.webofscience.com%2Fwos%2Fwoscc%2Ffull-record%2FWOS:000355611001030","View Full Record in Web of Science")</f>
        <v>View Full Record in Web of Science</v>
      </c>
    </row>
    <row r="131" spans="1:81" ht="13.2" hidden="1" x14ac:dyDescent="0.25">
      <c r="A131" s="89" t="s">
        <v>18673</v>
      </c>
      <c r="B131" s="89" t="e">
        <f>+#REF!</f>
        <v>#REF!</v>
      </c>
      <c r="C131" s="89"/>
      <c r="D131" s="91" t="s">
        <v>17939</v>
      </c>
      <c r="E131" s="90" t="e">
        <v>#REF!</v>
      </c>
      <c r="F131" s="89"/>
      <c r="G131" s="89"/>
      <c r="H131" s="89" t="s">
        <v>18674</v>
      </c>
      <c r="I131" s="89" t="s">
        <v>18675</v>
      </c>
      <c r="J131" s="89" t="s">
        <v>646</v>
      </c>
      <c r="K131" s="89" t="s">
        <v>18677</v>
      </c>
      <c r="M131" s="89">
        <v>2015</v>
      </c>
      <c r="N131" s="89" t="s">
        <v>18676</v>
      </c>
      <c r="O131" s="89" t="s">
        <v>646</v>
      </c>
      <c r="P131" s="89" t="str">
        <f>HYPERLINK("http://dx.doi.org/10.1007/s10551-014-2249-x","http://dx.doi.org/10.1007/s10551-014-2249-x")</f>
        <v>http://dx.doi.org/10.1007/s10551-014-2249-x</v>
      </c>
      <c r="S131" s="89" t="s">
        <v>646</v>
      </c>
      <c r="U131" s="89" t="s">
        <v>17462</v>
      </c>
      <c r="W131" s="89" t="s">
        <v>646</v>
      </c>
      <c r="X131" s="89" t="s">
        <v>646</v>
      </c>
      <c r="Y131" s="89" t="s">
        <v>646</v>
      </c>
      <c r="Z131" s="89" t="s">
        <v>646</v>
      </c>
      <c r="AA131" s="89" t="s">
        <v>646</v>
      </c>
      <c r="AB131" s="89" t="s">
        <v>646</v>
      </c>
      <c r="AC131" s="89" t="s">
        <v>646</v>
      </c>
      <c r="AD131" s="89" t="s">
        <v>646</v>
      </c>
      <c r="AE131" s="89" t="s">
        <v>646</v>
      </c>
      <c r="AF131" s="89" t="s">
        <v>18677</v>
      </c>
      <c r="AG131" s="89" t="s">
        <v>646</v>
      </c>
      <c r="AH131" s="89" t="s">
        <v>646</v>
      </c>
      <c r="AI131" s="89" t="s">
        <v>646</v>
      </c>
      <c r="AJ131" s="89" t="s">
        <v>646</v>
      </c>
      <c r="AK131" s="89" t="s">
        <v>646</v>
      </c>
      <c r="AL131" s="89" t="s">
        <v>18678</v>
      </c>
      <c r="AM131" s="89" t="s">
        <v>646</v>
      </c>
      <c r="AN131" s="89" t="s">
        <v>646</v>
      </c>
      <c r="AO131" s="89" t="s">
        <v>646</v>
      </c>
      <c r="AP131" s="89" t="s">
        <v>646</v>
      </c>
      <c r="AQ131" s="89" t="s">
        <v>646</v>
      </c>
      <c r="AR131" s="89" t="s">
        <v>646</v>
      </c>
      <c r="AS131" s="89" t="s">
        <v>646</v>
      </c>
      <c r="AT131" s="89" t="s">
        <v>646</v>
      </c>
      <c r="AU131" s="89" t="s">
        <v>646</v>
      </c>
      <c r="AV131" s="89" t="s">
        <v>646</v>
      </c>
      <c r="AW131" s="89" t="s">
        <v>646</v>
      </c>
      <c r="AX131" s="89" t="s">
        <v>646</v>
      </c>
      <c r="AY131" s="89" t="s">
        <v>18679</v>
      </c>
      <c r="AZ131" s="89" t="s">
        <v>18680</v>
      </c>
      <c r="BA131" s="89" t="s">
        <v>646</v>
      </c>
      <c r="BB131" s="89" t="s">
        <v>646</v>
      </c>
      <c r="BC131" s="89" t="s">
        <v>646</v>
      </c>
      <c r="BD131" s="89" t="s">
        <v>17739</v>
      </c>
      <c r="BE131" s="89">
        <v>2015</v>
      </c>
      <c r="BF131" s="89">
        <v>130</v>
      </c>
      <c r="BG131" s="89">
        <v>3</v>
      </c>
      <c r="BH131" s="89" t="s">
        <v>646</v>
      </c>
      <c r="BI131" s="89" t="s">
        <v>646</v>
      </c>
      <c r="BJ131" s="89" t="s">
        <v>646</v>
      </c>
      <c r="BK131" s="89" t="s">
        <v>646</v>
      </c>
      <c r="BL131" s="89">
        <v>619</v>
      </c>
      <c r="BM131" s="89">
        <v>637</v>
      </c>
      <c r="BN131" s="89" t="s">
        <v>646</v>
      </c>
      <c r="BO131" s="89" t="str">
        <f>HYPERLINK("http://dx.doi.org/10.1007/s10551-014-2249-x","http://dx.doi.org/10.1007/s10551-014-2249-x")</f>
        <v>http://dx.doi.org/10.1007/s10551-014-2249-x</v>
      </c>
      <c r="BP131" s="89" t="s">
        <v>646</v>
      </c>
      <c r="BQ131" s="89" t="s">
        <v>646</v>
      </c>
      <c r="BR131" s="89" t="s">
        <v>646</v>
      </c>
      <c r="BS131" s="89" t="s">
        <v>646</v>
      </c>
      <c r="BT131" s="89" t="s">
        <v>646</v>
      </c>
      <c r="BU131" s="89" t="s">
        <v>646</v>
      </c>
      <c r="BV131" s="89" t="s">
        <v>646</v>
      </c>
      <c r="BW131" s="89" t="s">
        <v>646</v>
      </c>
      <c r="BX131" s="89" t="s">
        <v>646</v>
      </c>
      <c r="BY131" s="89" t="s">
        <v>646</v>
      </c>
      <c r="BZ131" s="89" t="s">
        <v>646</v>
      </c>
      <c r="CA131" s="89" t="s">
        <v>646</v>
      </c>
      <c r="CB131" s="89" t="s">
        <v>18681</v>
      </c>
      <c r="CC131" s="89" t="str">
        <f>HYPERLINK("https%3A%2F%2Fwww.webofscience.com%2Fwos%2Fwoscc%2Ffull-record%2FWOS:000360083100008","View Full Record in Web of Science")</f>
        <v>View Full Record in Web of Science</v>
      </c>
    </row>
    <row r="132" spans="1:81" ht="13.2" hidden="1" x14ac:dyDescent="0.25">
      <c r="A132" s="89" t="s">
        <v>18682</v>
      </c>
      <c r="B132" s="89" t="e">
        <f>+#REF!</f>
        <v>#REF!</v>
      </c>
      <c r="C132" s="89"/>
      <c r="D132" s="91" t="s">
        <v>17939</v>
      </c>
      <c r="E132" s="90" t="e">
        <v>#REF!</v>
      </c>
      <c r="F132" s="89"/>
      <c r="G132" s="89"/>
      <c r="H132" s="89" t="s">
        <v>646</v>
      </c>
      <c r="I132" s="89" t="s">
        <v>18684</v>
      </c>
      <c r="J132" s="89" t="s">
        <v>646</v>
      </c>
      <c r="K132" s="89" t="s">
        <v>18689</v>
      </c>
      <c r="M132" s="89">
        <v>2008</v>
      </c>
      <c r="N132" s="89" t="s">
        <v>18685</v>
      </c>
      <c r="O132" s="89" t="s">
        <v>18683</v>
      </c>
      <c r="P132" s="89" t="s">
        <v>646</v>
      </c>
      <c r="S132" s="89" t="s">
        <v>646</v>
      </c>
      <c r="U132" s="89" t="s">
        <v>17474</v>
      </c>
      <c r="W132" s="89" t="s">
        <v>646</v>
      </c>
      <c r="X132" s="89" t="s">
        <v>646</v>
      </c>
      <c r="Y132" s="89" t="s">
        <v>18686</v>
      </c>
      <c r="Z132" s="89" t="s">
        <v>18687</v>
      </c>
      <c r="AA132" s="89" t="s">
        <v>18688</v>
      </c>
      <c r="AB132" s="89" t="s">
        <v>18279</v>
      </c>
      <c r="AC132" s="89" t="s">
        <v>646</v>
      </c>
      <c r="AD132" s="89" t="s">
        <v>646</v>
      </c>
      <c r="AE132" s="89" t="s">
        <v>646</v>
      </c>
      <c r="AF132" s="89" t="s">
        <v>18689</v>
      </c>
      <c r="AG132" s="89" t="s">
        <v>646</v>
      </c>
      <c r="AH132" s="89" t="s">
        <v>646</v>
      </c>
      <c r="AI132" s="89" t="s">
        <v>646</v>
      </c>
      <c r="AJ132" s="89" t="s">
        <v>646</v>
      </c>
      <c r="AK132" s="89" t="s">
        <v>646</v>
      </c>
      <c r="AL132" s="89" t="s">
        <v>646</v>
      </c>
      <c r="AM132" s="89" t="s">
        <v>646</v>
      </c>
      <c r="AN132" s="89" t="s">
        <v>646</v>
      </c>
      <c r="AO132" s="89" t="s">
        <v>646</v>
      </c>
      <c r="AP132" s="89" t="s">
        <v>646</v>
      </c>
      <c r="AQ132" s="89" t="s">
        <v>646</v>
      </c>
      <c r="AR132" s="89" t="s">
        <v>646</v>
      </c>
      <c r="AS132" s="89" t="s">
        <v>646</v>
      </c>
      <c r="AT132" s="89" t="s">
        <v>646</v>
      </c>
      <c r="AU132" s="89" t="s">
        <v>646</v>
      </c>
      <c r="AV132" s="89" t="s">
        <v>646</v>
      </c>
      <c r="AW132" s="89" t="s">
        <v>646</v>
      </c>
      <c r="AX132" s="89" t="s">
        <v>646</v>
      </c>
      <c r="AY132" s="89" t="s">
        <v>646</v>
      </c>
      <c r="AZ132" s="89" t="s">
        <v>646</v>
      </c>
      <c r="BA132" s="89" t="s">
        <v>18690</v>
      </c>
      <c r="BB132" s="89" t="s">
        <v>646</v>
      </c>
      <c r="BC132" s="89" t="s">
        <v>646</v>
      </c>
      <c r="BD132" s="89" t="s">
        <v>646</v>
      </c>
      <c r="BE132" s="89">
        <v>2008</v>
      </c>
      <c r="BF132" s="89" t="s">
        <v>646</v>
      </c>
      <c r="BG132" s="89" t="s">
        <v>646</v>
      </c>
      <c r="BH132" s="89" t="s">
        <v>646</v>
      </c>
      <c r="BI132" s="89" t="s">
        <v>646</v>
      </c>
      <c r="BJ132" s="89" t="s">
        <v>646</v>
      </c>
      <c r="BK132" s="89" t="s">
        <v>646</v>
      </c>
      <c r="BL132" s="89">
        <v>995</v>
      </c>
      <c r="BM132" s="89">
        <v>1000</v>
      </c>
      <c r="BN132" s="89" t="s">
        <v>646</v>
      </c>
      <c r="BO132" s="89" t="s">
        <v>646</v>
      </c>
      <c r="BP132" s="89" t="s">
        <v>646</v>
      </c>
      <c r="BQ132" s="89" t="s">
        <v>646</v>
      </c>
      <c r="BR132" s="89" t="s">
        <v>646</v>
      </c>
      <c r="BS132" s="89" t="s">
        <v>646</v>
      </c>
      <c r="BT132" s="89" t="s">
        <v>646</v>
      </c>
      <c r="BU132" s="89" t="s">
        <v>646</v>
      </c>
      <c r="BV132" s="89" t="s">
        <v>646</v>
      </c>
      <c r="BW132" s="89" t="s">
        <v>646</v>
      </c>
      <c r="BX132" s="89" t="s">
        <v>646</v>
      </c>
      <c r="BY132" s="89" t="s">
        <v>646</v>
      </c>
      <c r="BZ132" s="89" t="s">
        <v>646</v>
      </c>
      <c r="CA132" s="89" t="s">
        <v>646</v>
      </c>
      <c r="CB132" s="89" t="s">
        <v>18691</v>
      </c>
      <c r="CC132" s="89" t="str">
        <f>HYPERLINK("https%3A%2F%2Fwww.webofscience.com%2Fwos%2Fwoscc%2Ffull-record%2FWOS:000261490900146","View Full Record in Web of Science")</f>
        <v>View Full Record in Web of Science</v>
      </c>
    </row>
    <row r="133" spans="1:81" ht="13.2" hidden="1" x14ac:dyDescent="0.25">
      <c r="A133" s="89" t="s">
        <v>1127</v>
      </c>
      <c r="B133" s="89" t="e">
        <f>+#REF!</f>
        <v>#REF!</v>
      </c>
      <c r="C133" s="89"/>
      <c r="D133" s="91" t="s">
        <v>17939</v>
      </c>
      <c r="E133" s="90" t="e">
        <v>#REF!</v>
      </c>
      <c r="F133" s="89"/>
      <c r="G133" s="89"/>
      <c r="H133" s="89" t="s">
        <v>1129</v>
      </c>
      <c r="I133" s="89" t="s">
        <v>18692</v>
      </c>
      <c r="J133" s="89" t="s">
        <v>18695</v>
      </c>
      <c r="K133" s="89" t="s">
        <v>18694</v>
      </c>
      <c r="M133" s="89">
        <v>2020</v>
      </c>
      <c r="N133" s="89" t="s">
        <v>18693</v>
      </c>
      <c r="O133" s="89" t="s">
        <v>646</v>
      </c>
      <c r="P133" s="89" t="str">
        <f>HYPERLINK("http://dx.doi.org/10.3390/ijerph17051531","http://dx.doi.org/10.3390/ijerph17051531")</f>
        <v>http://dx.doi.org/10.3390/ijerph17051531</v>
      </c>
      <c r="S133" s="89" t="s">
        <v>646</v>
      </c>
      <c r="U133" s="89" t="s">
        <v>17462</v>
      </c>
      <c r="W133" s="89" t="s">
        <v>646</v>
      </c>
      <c r="X133" s="89" t="s">
        <v>646</v>
      </c>
      <c r="Y133" s="89" t="s">
        <v>646</v>
      </c>
      <c r="Z133" s="89" t="s">
        <v>646</v>
      </c>
      <c r="AA133" s="89" t="s">
        <v>646</v>
      </c>
      <c r="AB133" s="89" t="s">
        <v>646</v>
      </c>
      <c r="AC133" s="89" t="s">
        <v>646</v>
      </c>
      <c r="AD133" s="89" t="s">
        <v>646</v>
      </c>
      <c r="AE133" s="89" t="s">
        <v>646</v>
      </c>
      <c r="AF133" s="89" t="s">
        <v>18694</v>
      </c>
      <c r="AG133" s="89" t="s">
        <v>646</v>
      </c>
      <c r="AH133" s="89" t="s">
        <v>646</v>
      </c>
      <c r="AI133" s="89" t="s">
        <v>646</v>
      </c>
      <c r="AJ133" s="89" t="s">
        <v>646</v>
      </c>
      <c r="AK133" s="89" t="s">
        <v>18695</v>
      </c>
      <c r="AL133" s="89" t="s">
        <v>18696</v>
      </c>
      <c r="AM133" s="89" t="s">
        <v>646</v>
      </c>
      <c r="AN133" s="89" t="s">
        <v>646</v>
      </c>
      <c r="AO133" s="89" t="s">
        <v>646</v>
      </c>
      <c r="AP133" s="89" t="s">
        <v>646</v>
      </c>
      <c r="AQ133" s="89" t="s">
        <v>646</v>
      </c>
      <c r="AR133" s="89" t="s">
        <v>646</v>
      </c>
      <c r="AS133" s="89" t="s">
        <v>646</v>
      </c>
      <c r="AT133" s="89" t="s">
        <v>646</v>
      </c>
      <c r="AU133" s="89" t="s">
        <v>646</v>
      </c>
      <c r="AV133" s="89" t="s">
        <v>646</v>
      </c>
      <c r="AW133" s="89" t="s">
        <v>646</v>
      </c>
      <c r="AX133" s="89" t="s">
        <v>646</v>
      </c>
      <c r="AY133" s="89" t="s">
        <v>646</v>
      </c>
      <c r="AZ133" s="89" t="s">
        <v>18697</v>
      </c>
      <c r="BA133" s="89" t="s">
        <v>646</v>
      </c>
      <c r="BB133" s="89" t="s">
        <v>646</v>
      </c>
      <c r="BC133" s="89" t="s">
        <v>646</v>
      </c>
      <c r="BD133" s="89" t="s">
        <v>17779</v>
      </c>
      <c r="BE133" s="89">
        <v>2020</v>
      </c>
      <c r="BF133" s="89">
        <v>17</v>
      </c>
      <c r="BG133" s="89">
        <v>5</v>
      </c>
      <c r="BH133" s="89" t="s">
        <v>646</v>
      </c>
      <c r="BI133" s="89" t="s">
        <v>646</v>
      </c>
      <c r="BJ133" s="89" t="s">
        <v>646</v>
      </c>
      <c r="BK133" s="89" t="s">
        <v>646</v>
      </c>
      <c r="BL133" s="89" t="s">
        <v>646</v>
      </c>
      <c r="BM133" s="89" t="s">
        <v>646</v>
      </c>
      <c r="BN133" s="89">
        <v>1531</v>
      </c>
      <c r="BO133" s="89" t="str">
        <f>HYPERLINK("http://dx.doi.org/10.3390/ijerph17051531","http://dx.doi.org/10.3390/ijerph17051531")</f>
        <v>http://dx.doi.org/10.3390/ijerph17051531</v>
      </c>
      <c r="BP133" s="89" t="s">
        <v>646</v>
      </c>
      <c r="BQ133" s="89" t="s">
        <v>646</v>
      </c>
      <c r="BR133" s="89" t="s">
        <v>646</v>
      </c>
      <c r="BS133" s="89" t="s">
        <v>646</v>
      </c>
      <c r="BT133" s="89" t="s">
        <v>646</v>
      </c>
      <c r="BU133" s="89" t="s">
        <v>646</v>
      </c>
      <c r="BV133" s="89" t="s">
        <v>646</v>
      </c>
      <c r="BW133" s="89">
        <v>32120918</v>
      </c>
      <c r="BX133" s="89" t="s">
        <v>646</v>
      </c>
      <c r="BY133" s="89" t="s">
        <v>646</v>
      </c>
      <c r="BZ133" s="89" t="s">
        <v>646</v>
      </c>
      <c r="CA133" s="89" t="s">
        <v>646</v>
      </c>
      <c r="CB133" s="89" t="s">
        <v>18698</v>
      </c>
      <c r="CC133" s="89" t="str">
        <f>HYPERLINK("https%3A%2F%2Fwww.webofscience.com%2Fwos%2Fwoscc%2Ffull-record%2FWOS:000522389200071","View Full Record in Web of Science")</f>
        <v>View Full Record in Web of Science</v>
      </c>
    </row>
    <row r="134" spans="1:81" ht="13.2" hidden="1" x14ac:dyDescent="0.25">
      <c r="A134" s="89" t="s">
        <v>18699</v>
      </c>
      <c r="B134" s="89" t="e">
        <f>+#REF!</f>
        <v>#REF!</v>
      </c>
      <c r="C134" s="89"/>
      <c r="D134" s="91" t="s">
        <v>17939</v>
      </c>
      <c r="E134" s="90" t="e">
        <v>#REF!</v>
      </c>
      <c r="F134" s="89"/>
      <c r="G134" s="89"/>
      <c r="H134" s="89" t="s">
        <v>18700</v>
      </c>
      <c r="I134" s="89" t="s">
        <v>18701</v>
      </c>
      <c r="J134" s="89" t="s">
        <v>646</v>
      </c>
      <c r="K134" s="89" t="s">
        <v>18702</v>
      </c>
      <c r="M134" s="89">
        <v>2019</v>
      </c>
      <c r="N134" s="89" t="s">
        <v>17768</v>
      </c>
      <c r="O134" s="89" t="s">
        <v>646</v>
      </c>
      <c r="P134" s="89" t="str">
        <f>HYPERLINK("http://dx.doi.org/10.1177/2031952519867544","http://dx.doi.org/10.1177/2031952519867544")</f>
        <v>http://dx.doi.org/10.1177/2031952519867544</v>
      </c>
      <c r="S134" s="89" t="s">
        <v>646</v>
      </c>
      <c r="U134" s="89" t="s">
        <v>17462</v>
      </c>
      <c r="W134" s="89" t="s">
        <v>646</v>
      </c>
      <c r="X134" s="89" t="s">
        <v>646</v>
      </c>
      <c r="Y134" s="89" t="s">
        <v>646</v>
      </c>
      <c r="Z134" s="89" t="s">
        <v>646</v>
      </c>
      <c r="AA134" s="89" t="s">
        <v>646</v>
      </c>
      <c r="AB134" s="89" t="s">
        <v>646</v>
      </c>
      <c r="AC134" s="89" t="s">
        <v>646</v>
      </c>
      <c r="AD134" s="89" t="s">
        <v>646</v>
      </c>
      <c r="AE134" s="89" t="s">
        <v>646</v>
      </c>
      <c r="AF134" s="89" t="s">
        <v>18702</v>
      </c>
      <c r="AG134" s="89" t="s">
        <v>646</v>
      </c>
      <c r="AH134" s="89" t="s">
        <v>646</v>
      </c>
      <c r="AI134" s="89" t="s">
        <v>646</v>
      </c>
      <c r="AJ134" s="89" t="s">
        <v>646</v>
      </c>
      <c r="AK134" s="89" t="s">
        <v>646</v>
      </c>
      <c r="AL134" s="89" t="s">
        <v>646</v>
      </c>
      <c r="AM134" s="89" t="s">
        <v>646</v>
      </c>
      <c r="AN134" s="89" t="s">
        <v>646</v>
      </c>
      <c r="AO134" s="89" t="s">
        <v>646</v>
      </c>
      <c r="AP134" s="89" t="s">
        <v>646</v>
      </c>
      <c r="AQ134" s="89" t="s">
        <v>646</v>
      </c>
      <c r="AR134" s="89" t="s">
        <v>646</v>
      </c>
      <c r="AS134" s="89" t="s">
        <v>646</v>
      </c>
      <c r="AT134" s="89" t="s">
        <v>646</v>
      </c>
      <c r="AU134" s="89" t="s">
        <v>646</v>
      </c>
      <c r="AV134" s="89" t="s">
        <v>646</v>
      </c>
      <c r="AW134" s="89" t="s">
        <v>646</v>
      </c>
      <c r="AX134" s="89" t="s">
        <v>646</v>
      </c>
      <c r="AY134" s="89" t="s">
        <v>17770</v>
      </c>
      <c r="AZ134" s="89" t="s">
        <v>17771</v>
      </c>
      <c r="BA134" s="89" t="s">
        <v>646</v>
      </c>
      <c r="BB134" s="89" t="s">
        <v>646</v>
      </c>
      <c r="BC134" s="89" t="s">
        <v>646</v>
      </c>
      <c r="BD134" s="89" t="s">
        <v>17739</v>
      </c>
      <c r="BE134" s="89">
        <v>2019</v>
      </c>
      <c r="BF134" s="89">
        <v>10</v>
      </c>
      <c r="BG134" s="89">
        <v>3</v>
      </c>
      <c r="BH134" s="89" t="s">
        <v>646</v>
      </c>
      <c r="BI134" s="89" t="s">
        <v>646</v>
      </c>
      <c r="BJ134" s="89" t="s">
        <v>17555</v>
      </c>
      <c r="BK134" s="89" t="s">
        <v>646</v>
      </c>
      <c r="BL134" s="89">
        <v>254</v>
      </c>
      <c r="BM134" s="89">
        <v>270</v>
      </c>
      <c r="BN134" s="89" t="s">
        <v>646</v>
      </c>
      <c r="BO134" s="89" t="str">
        <f>HYPERLINK("http://dx.doi.org/10.1177/2031952519867544","http://dx.doi.org/10.1177/2031952519867544")</f>
        <v>http://dx.doi.org/10.1177/2031952519867544</v>
      </c>
      <c r="BP134" s="89" t="s">
        <v>646</v>
      </c>
      <c r="BQ134" s="89" t="s">
        <v>646</v>
      </c>
      <c r="BR134" s="89" t="s">
        <v>646</v>
      </c>
      <c r="BS134" s="89" t="s">
        <v>646</v>
      </c>
      <c r="BT134" s="89" t="s">
        <v>646</v>
      </c>
      <c r="BU134" s="89" t="s">
        <v>646</v>
      </c>
      <c r="BV134" s="89" t="s">
        <v>646</v>
      </c>
      <c r="BW134" s="89" t="s">
        <v>646</v>
      </c>
      <c r="BX134" s="89" t="s">
        <v>646</v>
      </c>
      <c r="BY134" s="89" t="s">
        <v>646</v>
      </c>
      <c r="BZ134" s="89" t="s">
        <v>646</v>
      </c>
      <c r="CA134" s="89" t="s">
        <v>646</v>
      </c>
      <c r="CB134" s="89" t="s">
        <v>18703</v>
      </c>
      <c r="CC134" s="89" t="str">
        <f>HYPERLINK("https%3A%2F%2Fwww.webofscience.com%2Fwos%2Fwoscc%2Ffull-record%2FWOS:000598959000009","View Full Record in Web of Science")</f>
        <v>View Full Record in Web of Science</v>
      </c>
    </row>
    <row r="135" spans="1:81" ht="13.2" hidden="1" x14ac:dyDescent="0.25">
      <c r="A135" s="89" t="s">
        <v>8895</v>
      </c>
      <c r="B135" s="89" t="e">
        <f>+#REF!</f>
        <v>#REF!</v>
      </c>
      <c r="C135" s="89"/>
      <c r="D135" s="91" t="s">
        <v>717</v>
      </c>
      <c r="E135" s="90" t="e">
        <v>#REF!</v>
      </c>
      <c r="F135" s="89"/>
      <c r="G135" s="89"/>
      <c r="H135" s="89" t="s">
        <v>8896</v>
      </c>
      <c r="I135" s="89" t="s">
        <v>18704</v>
      </c>
      <c r="J135" s="89" t="s">
        <v>646</v>
      </c>
      <c r="K135" s="89" t="s">
        <v>18706</v>
      </c>
      <c r="M135" s="89">
        <v>2022</v>
      </c>
      <c r="N135" s="89" t="s">
        <v>18705</v>
      </c>
      <c r="O135" s="89" t="s">
        <v>646</v>
      </c>
      <c r="P135" s="89" t="str">
        <f>HYPERLINK("http://dx.doi.org/10.1007/s10993-021-09589-x","http://dx.doi.org/10.1007/s10993-021-09589-x")</f>
        <v>http://dx.doi.org/10.1007/s10993-021-09589-x</v>
      </c>
      <c r="S135" s="89" t="s">
        <v>646</v>
      </c>
      <c r="U135" s="89" t="s">
        <v>17462</v>
      </c>
      <c r="W135" s="89" t="s">
        <v>646</v>
      </c>
      <c r="X135" s="89" t="s">
        <v>646</v>
      </c>
      <c r="Y135" s="89" t="s">
        <v>646</v>
      </c>
      <c r="Z135" s="89" t="s">
        <v>646</v>
      </c>
      <c r="AA135" s="89" t="s">
        <v>646</v>
      </c>
      <c r="AB135" s="89" t="s">
        <v>646</v>
      </c>
      <c r="AC135" s="89" t="s">
        <v>646</v>
      </c>
      <c r="AD135" s="89" t="s">
        <v>646</v>
      </c>
      <c r="AE135" s="89" t="s">
        <v>646</v>
      </c>
      <c r="AF135" s="89" t="s">
        <v>18706</v>
      </c>
      <c r="AG135" s="89" t="s">
        <v>646</v>
      </c>
      <c r="AH135" s="89" t="s">
        <v>646</v>
      </c>
      <c r="AI135" s="89" t="s">
        <v>646</v>
      </c>
      <c r="AJ135" s="89" t="s">
        <v>646</v>
      </c>
      <c r="AK135" s="89" t="s">
        <v>646</v>
      </c>
      <c r="AL135" s="89" t="s">
        <v>18707</v>
      </c>
      <c r="AM135" s="89" t="s">
        <v>646</v>
      </c>
      <c r="AN135" s="89" t="s">
        <v>646</v>
      </c>
      <c r="AO135" s="89" t="s">
        <v>646</v>
      </c>
      <c r="AP135" s="89" t="s">
        <v>646</v>
      </c>
      <c r="AQ135" s="89" t="s">
        <v>646</v>
      </c>
      <c r="AR135" s="89" t="s">
        <v>646</v>
      </c>
      <c r="AS135" s="89" t="s">
        <v>646</v>
      </c>
      <c r="AT135" s="89" t="s">
        <v>646</v>
      </c>
      <c r="AU135" s="89" t="s">
        <v>646</v>
      </c>
      <c r="AV135" s="89" t="s">
        <v>646</v>
      </c>
      <c r="AW135" s="89" t="s">
        <v>646</v>
      </c>
      <c r="AX135" s="89" t="s">
        <v>646</v>
      </c>
      <c r="AY135" s="89" t="s">
        <v>18708</v>
      </c>
      <c r="AZ135" s="89" t="s">
        <v>18709</v>
      </c>
      <c r="BA135" s="89" t="s">
        <v>646</v>
      </c>
      <c r="BB135" s="89" t="s">
        <v>646</v>
      </c>
      <c r="BC135" s="89" t="s">
        <v>646</v>
      </c>
      <c r="BD135" s="89" t="s">
        <v>17779</v>
      </c>
      <c r="BE135" s="89">
        <v>2022</v>
      </c>
      <c r="BF135" s="89">
        <v>21</v>
      </c>
      <c r="BG135" s="89">
        <v>1</v>
      </c>
      <c r="BH135" s="89" t="s">
        <v>646</v>
      </c>
      <c r="BI135" s="89" t="s">
        <v>646</v>
      </c>
      <c r="BJ135" s="89" t="s">
        <v>646</v>
      </c>
      <c r="BK135" s="89" t="s">
        <v>646</v>
      </c>
      <c r="BL135" s="89">
        <v>121</v>
      </c>
      <c r="BM135" s="89">
        <v>154</v>
      </c>
      <c r="BN135" s="89" t="s">
        <v>646</v>
      </c>
      <c r="BO135" s="89" t="str">
        <f>HYPERLINK("http://dx.doi.org/10.1007/s10993-021-09589-x","http://dx.doi.org/10.1007/s10993-021-09589-x")</f>
        <v>http://dx.doi.org/10.1007/s10993-021-09589-x</v>
      </c>
      <c r="BP135" s="89" t="s">
        <v>646</v>
      </c>
      <c r="BQ135" s="89" t="s">
        <v>17906</v>
      </c>
      <c r="BR135" s="89" t="s">
        <v>646</v>
      </c>
      <c r="BS135" s="89" t="s">
        <v>646</v>
      </c>
      <c r="BT135" s="89" t="s">
        <v>646</v>
      </c>
      <c r="BU135" s="89" t="s">
        <v>646</v>
      </c>
      <c r="BV135" s="89" t="s">
        <v>646</v>
      </c>
      <c r="BW135" s="89">
        <v>34248446</v>
      </c>
      <c r="BX135" s="89" t="s">
        <v>646</v>
      </c>
      <c r="BY135" s="89" t="s">
        <v>646</v>
      </c>
      <c r="BZ135" s="89" t="s">
        <v>646</v>
      </c>
      <c r="CA135" s="89" t="s">
        <v>646</v>
      </c>
      <c r="CB135" s="89" t="s">
        <v>18710</v>
      </c>
      <c r="CC135" s="89" t="str">
        <f>HYPERLINK("https%3A%2F%2Fwww.webofscience.com%2Fwos%2Fwoscc%2Ffull-record%2FWOS:000669275700001","View Full Record in Web of Science")</f>
        <v>View Full Record in Web of Science</v>
      </c>
    </row>
    <row r="136" spans="1:81" ht="13.2" hidden="1" x14ac:dyDescent="0.25">
      <c r="A136" s="89" t="s">
        <v>16346</v>
      </c>
      <c r="B136" s="89" t="e">
        <f>+#REF!</f>
        <v>#REF!</v>
      </c>
      <c r="C136" s="89"/>
      <c r="D136" s="91" t="s">
        <v>717</v>
      </c>
      <c r="E136" s="90" t="e">
        <v>#REF!</v>
      </c>
      <c r="F136" s="89"/>
      <c r="G136" s="89"/>
      <c r="H136" s="89" t="s">
        <v>16347</v>
      </c>
      <c r="I136" s="89" t="s">
        <v>18711</v>
      </c>
      <c r="J136" s="89" t="s">
        <v>18714</v>
      </c>
      <c r="K136" s="89" t="s">
        <v>18713</v>
      </c>
      <c r="M136" s="89">
        <v>2021</v>
      </c>
      <c r="N136" s="89" t="s">
        <v>18712</v>
      </c>
      <c r="O136" s="89" t="s">
        <v>646</v>
      </c>
      <c r="P136" s="89" t="str">
        <f>HYPERLINK("http://dx.doi.org/10.1111/bjir.12564","http://dx.doi.org/10.1111/bjir.12564")</f>
        <v>http://dx.doi.org/10.1111/bjir.12564</v>
      </c>
      <c r="S136" s="89" t="s">
        <v>646</v>
      </c>
      <c r="U136" s="89" t="s">
        <v>17462</v>
      </c>
      <c r="W136" s="89" t="s">
        <v>646</v>
      </c>
      <c r="X136" s="89" t="s">
        <v>646</v>
      </c>
      <c r="Y136" s="89" t="s">
        <v>646</v>
      </c>
      <c r="Z136" s="89" t="s">
        <v>646</v>
      </c>
      <c r="AA136" s="89" t="s">
        <v>646</v>
      </c>
      <c r="AB136" s="89" t="s">
        <v>646</v>
      </c>
      <c r="AC136" s="89" t="s">
        <v>646</v>
      </c>
      <c r="AD136" s="89" t="s">
        <v>646</v>
      </c>
      <c r="AE136" s="89" t="s">
        <v>646</v>
      </c>
      <c r="AF136" s="89" t="s">
        <v>18713</v>
      </c>
      <c r="AG136" s="89" t="s">
        <v>646</v>
      </c>
      <c r="AH136" s="89" t="s">
        <v>646</v>
      </c>
      <c r="AI136" s="89" t="s">
        <v>646</v>
      </c>
      <c r="AJ136" s="89" t="s">
        <v>646</v>
      </c>
      <c r="AK136" s="89" t="s">
        <v>18714</v>
      </c>
      <c r="AL136" s="89" t="s">
        <v>18715</v>
      </c>
      <c r="AM136" s="89" t="s">
        <v>646</v>
      </c>
      <c r="AN136" s="89" t="s">
        <v>646</v>
      </c>
      <c r="AO136" s="89" t="s">
        <v>646</v>
      </c>
      <c r="AP136" s="89" t="s">
        <v>646</v>
      </c>
      <c r="AQ136" s="89" t="s">
        <v>646</v>
      </c>
      <c r="AR136" s="89" t="s">
        <v>646</v>
      </c>
      <c r="AS136" s="89" t="s">
        <v>646</v>
      </c>
      <c r="AT136" s="89" t="s">
        <v>646</v>
      </c>
      <c r="AU136" s="89" t="s">
        <v>646</v>
      </c>
      <c r="AV136" s="89" t="s">
        <v>646</v>
      </c>
      <c r="AW136" s="89" t="s">
        <v>646</v>
      </c>
      <c r="AX136" s="89" t="s">
        <v>646</v>
      </c>
      <c r="AY136" s="89" t="s">
        <v>18716</v>
      </c>
      <c r="AZ136" s="89" t="s">
        <v>18717</v>
      </c>
      <c r="BA136" s="89" t="s">
        <v>646</v>
      </c>
      <c r="BB136" s="89" t="s">
        <v>646</v>
      </c>
      <c r="BC136" s="89" t="s">
        <v>646</v>
      </c>
      <c r="BD136" s="89" t="s">
        <v>17772</v>
      </c>
      <c r="BE136" s="89">
        <v>2021</v>
      </c>
      <c r="BF136" s="89">
        <v>59</v>
      </c>
      <c r="BG136" s="89">
        <v>2</v>
      </c>
      <c r="BH136" s="89" t="s">
        <v>646</v>
      </c>
      <c r="BI136" s="89" t="s">
        <v>646</v>
      </c>
      <c r="BJ136" s="89" t="s">
        <v>646</v>
      </c>
      <c r="BK136" s="89" t="s">
        <v>646</v>
      </c>
      <c r="BL136" s="89">
        <v>335</v>
      </c>
      <c r="BM136" s="89">
        <v>369</v>
      </c>
      <c r="BN136" s="89" t="s">
        <v>646</v>
      </c>
      <c r="BO136" s="89" t="str">
        <f>HYPERLINK("http://dx.doi.org/10.1111/bjir.12564","http://dx.doi.org/10.1111/bjir.12564")</f>
        <v>http://dx.doi.org/10.1111/bjir.12564</v>
      </c>
      <c r="BP136" s="89" t="s">
        <v>646</v>
      </c>
      <c r="BQ136" s="89" t="s">
        <v>18718</v>
      </c>
      <c r="BR136" s="89" t="s">
        <v>646</v>
      </c>
      <c r="BS136" s="89" t="s">
        <v>646</v>
      </c>
      <c r="BT136" s="89" t="s">
        <v>646</v>
      </c>
      <c r="BU136" s="89" t="s">
        <v>646</v>
      </c>
      <c r="BV136" s="89" t="s">
        <v>646</v>
      </c>
      <c r="BW136" s="89" t="s">
        <v>646</v>
      </c>
      <c r="BX136" s="89" t="s">
        <v>646</v>
      </c>
      <c r="BY136" s="89" t="s">
        <v>646</v>
      </c>
      <c r="BZ136" s="89" t="s">
        <v>646</v>
      </c>
      <c r="CA136" s="89" t="s">
        <v>646</v>
      </c>
      <c r="CB136" s="89" t="s">
        <v>18719</v>
      </c>
      <c r="CC136" s="89" t="str">
        <f>HYPERLINK("https%3A%2F%2Fwww.webofscience.com%2Fwos%2Fwoscc%2Ffull-record%2FWOS:000554873300001","View Full Record in Web of Science")</f>
        <v>View Full Record in Web of Science</v>
      </c>
    </row>
    <row r="137" spans="1:81" ht="13.2" hidden="1" x14ac:dyDescent="0.25">
      <c r="A137" s="89" t="s">
        <v>18720</v>
      </c>
      <c r="B137" s="89" t="e">
        <f>+#REF!</f>
        <v>#REF!</v>
      </c>
      <c r="C137" s="89"/>
      <c r="D137" s="91" t="s">
        <v>717</v>
      </c>
      <c r="E137" s="90" t="e">
        <v>#REF!</v>
      </c>
      <c r="F137" s="89"/>
      <c r="G137" s="89"/>
      <c r="H137" s="89" t="s">
        <v>10796</v>
      </c>
      <c r="I137" s="89" t="s">
        <v>18721</v>
      </c>
      <c r="J137" s="89" t="s">
        <v>18723</v>
      </c>
      <c r="K137" s="89" t="s">
        <v>18722</v>
      </c>
      <c r="M137" s="89">
        <v>2019</v>
      </c>
      <c r="N137" s="89" t="s">
        <v>18693</v>
      </c>
      <c r="O137" s="89" t="s">
        <v>646</v>
      </c>
      <c r="P137" s="89" t="str">
        <f>HYPERLINK("http://dx.doi.org/10.3390/ijerph16030496","http://dx.doi.org/10.3390/ijerph16030496")</f>
        <v>http://dx.doi.org/10.3390/ijerph16030496</v>
      </c>
      <c r="S137" s="89" t="s">
        <v>646</v>
      </c>
      <c r="U137" s="89" t="s">
        <v>17462</v>
      </c>
      <c r="W137" s="89" t="s">
        <v>646</v>
      </c>
      <c r="X137" s="89" t="s">
        <v>646</v>
      </c>
      <c r="Y137" s="89" t="s">
        <v>646</v>
      </c>
      <c r="Z137" s="89" t="s">
        <v>646</v>
      </c>
      <c r="AA137" s="89" t="s">
        <v>646</v>
      </c>
      <c r="AB137" s="89" t="s">
        <v>646</v>
      </c>
      <c r="AC137" s="89" t="s">
        <v>646</v>
      </c>
      <c r="AD137" s="89" t="s">
        <v>646</v>
      </c>
      <c r="AE137" s="89" t="s">
        <v>646</v>
      </c>
      <c r="AF137" s="89" t="s">
        <v>18722</v>
      </c>
      <c r="AG137" s="89" t="s">
        <v>646</v>
      </c>
      <c r="AH137" s="89" t="s">
        <v>646</v>
      </c>
      <c r="AI137" s="89" t="s">
        <v>646</v>
      </c>
      <c r="AJ137" s="89" t="s">
        <v>646</v>
      </c>
      <c r="AK137" s="89" t="s">
        <v>18723</v>
      </c>
      <c r="AL137" s="89" t="s">
        <v>18724</v>
      </c>
      <c r="AM137" s="89" t="s">
        <v>646</v>
      </c>
      <c r="AN137" s="89" t="s">
        <v>646</v>
      </c>
      <c r="AO137" s="89" t="s">
        <v>646</v>
      </c>
      <c r="AP137" s="89" t="s">
        <v>646</v>
      </c>
      <c r="AQ137" s="89" t="s">
        <v>646</v>
      </c>
      <c r="AR137" s="89" t="s">
        <v>646</v>
      </c>
      <c r="AS137" s="89" t="s">
        <v>646</v>
      </c>
      <c r="AT137" s="89" t="s">
        <v>646</v>
      </c>
      <c r="AU137" s="89" t="s">
        <v>646</v>
      </c>
      <c r="AV137" s="89" t="s">
        <v>646</v>
      </c>
      <c r="AW137" s="89" t="s">
        <v>646</v>
      </c>
      <c r="AX137" s="89" t="s">
        <v>646</v>
      </c>
      <c r="AY137" s="89" t="s">
        <v>646</v>
      </c>
      <c r="AZ137" s="89" t="s">
        <v>18697</v>
      </c>
      <c r="BA137" s="89" t="s">
        <v>646</v>
      </c>
      <c r="BB137" s="89" t="s">
        <v>646</v>
      </c>
      <c r="BC137" s="89" t="s">
        <v>646</v>
      </c>
      <c r="BD137" s="89" t="s">
        <v>18725</v>
      </c>
      <c r="BE137" s="89">
        <v>2019</v>
      </c>
      <c r="BF137" s="89">
        <v>16</v>
      </c>
      <c r="BG137" s="89">
        <v>3</v>
      </c>
      <c r="BH137" s="89" t="s">
        <v>646</v>
      </c>
      <c r="BI137" s="89" t="s">
        <v>646</v>
      </c>
      <c r="BJ137" s="89" t="s">
        <v>646</v>
      </c>
      <c r="BK137" s="89" t="s">
        <v>646</v>
      </c>
      <c r="BL137" s="89" t="s">
        <v>646</v>
      </c>
      <c r="BM137" s="89" t="s">
        <v>646</v>
      </c>
      <c r="BN137" s="89">
        <v>496</v>
      </c>
      <c r="BO137" s="89" t="str">
        <f>HYPERLINK("http://dx.doi.org/10.3390/ijerph16030496","http://dx.doi.org/10.3390/ijerph16030496")</f>
        <v>http://dx.doi.org/10.3390/ijerph16030496</v>
      </c>
      <c r="BP137" s="89" t="s">
        <v>646</v>
      </c>
      <c r="BQ137" s="89" t="s">
        <v>646</v>
      </c>
      <c r="BR137" s="89" t="s">
        <v>646</v>
      </c>
      <c r="BS137" s="89" t="s">
        <v>646</v>
      </c>
      <c r="BT137" s="89" t="s">
        <v>646</v>
      </c>
      <c r="BU137" s="89" t="s">
        <v>646</v>
      </c>
      <c r="BV137" s="89" t="s">
        <v>646</v>
      </c>
      <c r="BW137" s="89">
        <v>30754648</v>
      </c>
      <c r="BX137" s="89" t="s">
        <v>646</v>
      </c>
      <c r="BY137" s="89" t="s">
        <v>646</v>
      </c>
      <c r="BZ137" s="89" t="s">
        <v>646</v>
      </c>
      <c r="CA137" s="89" t="s">
        <v>646</v>
      </c>
      <c r="CB137" s="89" t="s">
        <v>18726</v>
      </c>
      <c r="CC137" s="89" t="str">
        <f>HYPERLINK("https%3A%2F%2Fwww.webofscience.com%2Fwos%2Fwoscc%2Ffull-record%2FWOS:000459113600202","View Full Record in Web of Science")</f>
        <v>View Full Record in Web of Science</v>
      </c>
    </row>
    <row r="138" spans="1:81" ht="13.2" hidden="1" x14ac:dyDescent="0.25">
      <c r="A138" s="89" t="s">
        <v>1255</v>
      </c>
      <c r="B138" s="89" t="e">
        <f>+#REF!</f>
        <v>#REF!</v>
      </c>
      <c r="C138" s="89"/>
      <c r="D138" s="91" t="s">
        <v>717</v>
      </c>
      <c r="E138" s="90" t="e">
        <v>#REF!</v>
      </c>
      <c r="F138" s="89"/>
      <c r="G138" s="89"/>
      <c r="H138" s="89" t="s">
        <v>1257</v>
      </c>
      <c r="I138" s="89" t="s">
        <v>18727</v>
      </c>
      <c r="J138" s="89" t="s">
        <v>18730</v>
      </c>
      <c r="K138" s="89" t="s">
        <v>18729</v>
      </c>
      <c r="M138" s="89">
        <v>2015</v>
      </c>
      <c r="N138" s="89" t="s">
        <v>18728</v>
      </c>
      <c r="O138" s="89" t="s">
        <v>646</v>
      </c>
      <c r="P138" s="89" t="str">
        <f>HYPERLINK("http://dx.doi.org/10.1007/s00521-014-1771-1","http://dx.doi.org/10.1007/s00521-014-1771-1")</f>
        <v>http://dx.doi.org/10.1007/s00521-014-1771-1</v>
      </c>
      <c r="S138" s="89" t="s">
        <v>646</v>
      </c>
      <c r="U138" s="89" t="s">
        <v>17462</v>
      </c>
      <c r="W138" s="89" t="s">
        <v>646</v>
      </c>
      <c r="X138" s="89" t="s">
        <v>646</v>
      </c>
      <c r="Y138" s="89" t="s">
        <v>646</v>
      </c>
      <c r="Z138" s="89" t="s">
        <v>646</v>
      </c>
      <c r="AA138" s="89" t="s">
        <v>646</v>
      </c>
      <c r="AB138" s="89" t="s">
        <v>646</v>
      </c>
      <c r="AC138" s="89" t="s">
        <v>646</v>
      </c>
      <c r="AD138" s="89" t="s">
        <v>646</v>
      </c>
      <c r="AE138" s="89" t="s">
        <v>646</v>
      </c>
      <c r="AF138" s="89" t="s">
        <v>18729</v>
      </c>
      <c r="AG138" s="89" t="s">
        <v>646</v>
      </c>
      <c r="AH138" s="89" t="s">
        <v>646</v>
      </c>
      <c r="AI138" s="89" t="s">
        <v>646</v>
      </c>
      <c r="AJ138" s="89" t="s">
        <v>646</v>
      </c>
      <c r="AK138" s="89" t="s">
        <v>18730</v>
      </c>
      <c r="AL138" s="89" t="s">
        <v>18731</v>
      </c>
      <c r="AM138" s="89" t="s">
        <v>646</v>
      </c>
      <c r="AN138" s="89" t="s">
        <v>646</v>
      </c>
      <c r="AO138" s="89" t="s">
        <v>646</v>
      </c>
      <c r="AP138" s="89" t="s">
        <v>646</v>
      </c>
      <c r="AQ138" s="89" t="s">
        <v>646</v>
      </c>
      <c r="AR138" s="89" t="s">
        <v>646</v>
      </c>
      <c r="AS138" s="89" t="s">
        <v>646</v>
      </c>
      <c r="AT138" s="89" t="s">
        <v>646</v>
      </c>
      <c r="AU138" s="89" t="s">
        <v>646</v>
      </c>
      <c r="AV138" s="89" t="s">
        <v>646</v>
      </c>
      <c r="AW138" s="89" t="s">
        <v>646</v>
      </c>
      <c r="AX138" s="89" t="s">
        <v>646</v>
      </c>
      <c r="AY138" s="89" t="s">
        <v>18732</v>
      </c>
      <c r="AZ138" s="89" t="s">
        <v>18733</v>
      </c>
      <c r="BA138" s="89" t="s">
        <v>646</v>
      </c>
      <c r="BB138" s="89" t="s">
        <v>646</v>
      </c>
      <c r="BC138" s="89" t="s">
        <v>646</v>
      </c>
      <c r="BD138" s="89" t="s">
        <v>17676</v>
      </c>
      <c r="BE138" s="89">
        <v>2015</v>
      </c>
      <c r="BF138" s="89">
        <v>26</v>
      </c>
      <c r="BG138" s="89">
        <v>5</v>
      </c>
      <c r="BH138" s="89" t="s">
        <v>646</v>
      </c>
      <c r="BI138" s="89" t="s">
        <v>646</v>
      </c>
      <c r="BJ138" s="89" t="s">
        <v>646</v>
      </c>
      <c r="BK138" s="89" t="s">
        <v>646</v>
      </c>
      <c r="BL138" s="89">
        <v>1025</v>
      </c>
      <c r="BM138" s="89">
        <v>1040</v>
      </c>
      <c r="BN138" s="89" t="s">
        <v>646</v>
      </c>
      <c r="BO138" s="89" t="str">
        <f>HYPERLINK("http://dx.doi.org/10.1007/s00521-014-1771-1","http://dx.doi.org/10.1007/s00521-014-1771-1")</f>
        <v>http://dx.doi.org/10.1007/s00521-014-1771-1</v>
      </c>
      <c r="BP138" s="89" t="s">
        <v>646</v>
      </c>
      <c r="BQ138" s="89" t="s">
        <v>646</v>
      </c>
      <c r="BR138" s="89" t="s">
        <v>646</v>
      </c>
      <c r="BS138" s="89" t="s">
        <v>646</v>
      </c>
      <c r="BT138" s="89" t="s">
        <v>646</v>
      </c>
      <c r="BU138" s="89" t="s">
        <v>646</v>
      </c>
      <c r="BV138" s="89" t="s">
        <v>646</v>
      </c>
      <c r="BW138" s="89" t="s">
        <v>646</v>
      </c>
      <c r="BX138" s="89" t="s">
        <v>646</v>
      </c>
      <c r="BY138" s="89" t="s">
        <v>646</v>
      </c>
      <c r="BZ138" s="89" t="s">
        <v>646</v>
      </c>
      <c r="CA138" s="89" t="s">
        <v>646</v>
      </c>
      <c r="CB138" s="89" t="s">
        <v>18734</v>
      </c>
      <c r="CC138" s="89" t="str">
        <f>HYPERLINK("https%3A%2F%2Fwww.webofscience.com%2Fwos%2Fwoscc%2Ffull-record%2FWOS:000355765200002","View Full Record in Web of Science")</f>
        <v>View Full Record in Web of Science</v>
      </c>
    </row>
    <row r="139" spans="1:81" ht="13.2" hidden="1" x14ac:dyDescent="0.25">
      <c r="A139" s="89" t="s">
        <v>8922</v>
      </c>
      <c r="B139" s="89" t="e">
        <f>+#REF!</f>
        <v>#REF!</v>
      </c>
      <c r="C139" s="89"/>
      <c r="D139" s="91" t="s">
        <v>717</v>
      </c>
      <c r="E139" s="90" t="e">
        <v>#REF!</v>
      </c>
      <c r="F139" s="89"/>
      <c r="G139" s="89"/>
      <c r="H139" s="89" t="s">
        <v>8923</v>
      </c>
      <c r="I139" s="89" t="s">
        <v>18736</v>
      </c>
      <c r="J139" s="89" t="s">
        <v>646</v>
      </c>
      <c r="K139" s="89" t="s">
        <v>18742</v>
      </c>
      <c r="M139" s="89">
        <v>2021</v>
      </c>
      <c r="N139" s="89" t="s">
        <v>18737</v>
      </c>
      <c r="O139" s="89" t="s">
        <v>18735</v>
      </c>
      <c r="P139" s="89" t="str">
        <f>HYPERLINK("http://dx.doi.org/10.1007/978-3-030-86800-0_30","http://dx.doi.org/10.1007/978-3-030-86800-0_30")</f>
        <v>http://dx.doi.org/10.1007/978-3-030-86800-0_30</v>
      </c>
      <c r="S139" s="89" t="s">
        <v>646</v>
      </c>
      <c r="U139" s="89" t="s">
        <v>17474</v>
      </c>
      <c r="W139" s="89" t="s">
        <v>646</v>
      </c>
      <c r="X139" s="89" t="s">
        <v>646</v>
      </c>
      <c r="Y139" s="89" t="s">
        <v>18738</v>
      </c>
      <c r="Z139" s="89" t="s">
        <v>18739</v>
      </c>
      <c r="AA139" s="89" t="s">
        <v>18740</v>
      </c>
      <c r="AB139" s="89" t="s">
        <v>646</v>
      </c>
      <c r="AC139" s="89" t="s">
        <v>18741</v>
      </c>
      <c r="AD139" s="89" t="s">
        <v>646</v>
      </c>
      <c r="AE139" s="89" t="s">
        <v>646</v>
      </c>
      <c r="AF139" s="89" t="s">
        <v>18742</v>
      </c>
      <c r="AG139" s="89" t="s">
        <v>646</v>
      </c>
      <c r="AH139" s="89" t="s">
        <v>646</v>
      </c>
      <c r="AI139" s="89" t="s">
        <v>646</v>
      </c>
      <c r="AJ139" s="89" t="s">
        <v>646</v>
      </c>
      <c r="AK139" s="89" t="s">
        <v>646</v>
      </c>
      <c r="AL139" s="89" t="s">
        <v>646</v>
      </c>
      <c r="AM139" s="89" t="s">
        <v>646</v>
      </c>
      <c r="AN139" s="89" t="s">
        <v>646</v>
      </c>
      <c r="AO139" s="89" t="s">
        <v>646</v>
      </c>
      <c r="AP139" s="89" t="s">
        <v>646</v>
      </c>
      <c r="AQ139" s="89" t="s">
        <v>646</v>
      </c>
      <c r="AR139" s="89" t="s">
        <v>646</v>
      </c>
      <c r="AS139" s="89" t="s">
        <v>646</v>
      </c>
      <c r="AT139" s="89" t="s">
        <v>646</v>
      </c>
      <c r="AU139" s="89" t="s">
        <v>646</v>
      </c>
      <c r="AV139" s="89" t="s">
        <v>646</v>
      </c>
      <c r="AW139" s="89" t="s">
        <v>646</v>
      </c>
      <c r="AX139" s="89" t="s">
        <v>646</v>
      </c>
      <c r="AY139" s="89" t="s">
        <v>18213</v>
      </c>
      <c r="AZ139" s="89" t="s">
        <v>18214</v>
      </c>
      <c r="BA139" s="89" t="s">
        <v>18743</v>
      </c>
      <c r="BB139" s="89" t="s">
        <v>646</v>
      </c>
      <c r="BC139" s="89" t="s">
        <v>646</v>
      </c>
      <c r="BD139" s="89" t="s">
        <v>646</v>
      </c>
      <c r="BE139" s="89">
        <v>2021</v>
      </c>
      <c r="BF139" s="89">
        <v>48</v>
      </c>
      <c r="BG139" s="89" t="s">
        <v>646</v>
      </c>
      <c r="BH139" s="89" t="s">
        <v>646</v>
      </c>
      <c r="BI139" s="89" t="s">
        <v>646</v>
      </c>
      <c r="BJ139" s="89" t="s">
        <v>646</v>
      </c>
      <c r="BK139" s="89" t="s">
        <v>646</v>
      </c>
      <c r="BL139" s="89">
        <v>437</v>
      </c>
      <c r="BM139" s="89">
        <v>453</v>
      </c>
      <c r="BN139" s="89" t="s">
        <v>646</v>
      </c>
      <c r="BO139" s="89" t="str">
        <f>HYPERLINK("http://dx.doi.org/10.1007/978-3-030-86800-0_30","http://dx.doi.org/10.1007/978-3-030-86800-0_30")</f>
        <v>http://dx.doi.org/10.1007/978-3-030-86800-0_30</v>
      </c>
      <c r="BP139" s="89" t="s">
        <v>646</v>
      </c>
      <c r="BQ139" s="89" t="s">
        <v>646</v>
      </c>
      <c r="BR139" s="89" t="s">
        <v>646</v>
      </c>
      <c r="BS139" s="89" t="s">
        <v>646</v>
      </c>
      <c r="BT139" s="89" t="s">
        <v>646</v>
      </c>
      <c r="BU139" s="89" t="s">
        <v>646</v>
      </c>
      <c r="BV139" s="89" t="s">
        <v>646</v>
      </c>
      <c r="BW139" s="89" t="s">
        <v>646</v>
      </c>
      <c r="BX139" s="89" t="s">
        <v>646</v>
      </c>
      <c r="BY139" s="89" t="s">
        <v>646</v>
      </c>
      <c r="BZ139" s="89" t="s">
        <v>646</v>
      </c>
      <c r="CA139" s="89" t="s">
        <v>646</v>
      </c>
      <c r="CB139" s="89" t="s">
        <v>18744</v>
      </c>
      <c r="CC139" s="89" t="str">
        <f>HYPERLINK("https%3A%2F%2Fwww.webofscience.com%2Fwos%2Fwoscc%2Ffull-record%2FWOS:000841507100036","View Full Record in Web of Science")</f>
        <v>View Full Record in Web of Science</v>
      </c>
    </row>
    <row r="140" spans="1:81" ht="13.2" hidden="1" x14ac:dyDescent="0.25">
      <c r="A140" s="89" t="s">
        <v>18745</v>
      </c>
      <c r="B140" s="89" t="e">
        <f>+#REF!</f>
        <v>#REF!</v>
      </c>
      <c r="C140" s="89"/>
      <c r="D140" s="91" t="s">
        <v>717</v>
      </c>
      <c r="E140" s="90" t="e">
        <v>#REF!</v>
      </c>
      <c r="F140" s="89"/>
      <c r="G140" s="89"/>
      <c r="H140" s="89" t="s">
        <v>18746</v>
      </c>
      <c r="I140" s="89" t="s">
        <v>18748</v>
      </c>
      <c r="J140" s="89" t="s">
        <v>646</v>
      </c>
      <c r="K140" s="89" t="s">
        <v>18753</v>
      </c>
      <c r="M140" s="89">
        <v>2018</v>
      </c>
      <c r="N140" s="89" t="s">
        <v>18749</v>
      </c>
      <c r="O140" s="89" t="s">
        <v>646</v>
      </c>
      <c r="P140" s="89" t="str">
        <f>HYPERLINK("http://dx.doi.org/10.21437/1nterspeech.2018-1313","http://dx.doi.org/10.21437/1nterspeech.2018-1313")</f>
        <v>http://dx.doi.org/10.21437/1nterspeech.2018-1313</v>
      </c>
      <c r="S140" s="89" t="s">
        <v>18747</v>
      </c>
      <c r="U140" s="89" t="s">
        <v>17474</v>
      </c>
      <c r="W140" s="89" t="s">
        <v>646</v>
      </c>
      <c r="X140" s="89" t="s">
        <v>646</v>
      </c>
      <c r="Y140" s="89" t="s">
        <v>18750</v>
      </c>
      <c r="Z140" s="89" t="s">
        <v>18751</v>
      </c>
      <c r="AA140" s="89" t="s">
        <v>18752</v>
      </c>
      <c r="AB140" s="89" t="s">
        <v>18747</v>
      </c>
      <c r="AC140" s="89" t="s">
        <v>646</v>
      </c>
      <c r="AD140" s="89" t="s">
        <v>646</v>
      </c>
      <c r="AE140" s="89" t="s">
        <v>646</v>
      </c>
      <c r="AF140" s="89" t="s">
        <v>18753</v>
      </c>
      <c r="AG140" s="89" t="s">
        <v>646</v>
      </c>
      <c r="AH140" s="89" t="s">
        <v>646</v>
      </c>
      <c r="AI140" s="89" t="s">
        <v>646</v>
      </c>
      <c r="AJ140" s="89" t="s">
        <v>646</v>
      </c>
      <c r="AK140" s="89" t="s">
        <v>646</v>
      </c>
      <c r="AL140" s="89" t="s">
        <v>646</v>
      </c>
      <c r="AM140" s="89" t="s">
        <v>646</v>
      </c>
      <c r="AN140" s="89" t="s">
        <v>646</v>
      </c>
      <c r="AO140" s="89" t="s">
        <v>646</v>
      </c>
      <c r="AP140" s="89" t="s">
        <v>646</v>
      </c>
      <c r="AQ140" s="89" t="s">
        <v>646</v>
      </c>
      <c r="AR140" s="89" t="s">
        <v>646</v>
      </c>
      <c r="AS140" s="89" t="s">
        <v>646</v>
      </c>
      <c r="AT140" s="89" t="s">
        <v>646</v>
      </c>
      <c r="AU140" s="89" t="s">
        <v>646</v>
      </c>
      <c r="AV140" s="89" t="s">
        <v>646</v>
      </c>
      <c r="AW140" s="89" t="s">
        <v>646</v>
      </c>
      <c r="AX140" s="89" t="s">
        <v>646</v>
      </c>
      <c r="AY140" s="89" t="s">
        <v>18754</v>
      </c>
      <c r="AZ140" s="89" t="s">
        <v>646</v>
      </c>
      <c r="BA140" s="89" t="s">
        <v>18755</v>
      </c>
      <c r="BB140" s="89" t="s">
        <v>646</v>
      </c>
      <c r="BC140" s="89" t="s">
        <v>646</v>
      </c>
      <c r="BD140" s="89" t="s">
        <v>646</v>
      </c>
      <c r="BE140" s="89">
        <v>2018</v>
      </c>
      <c r="BF140" s="89" t="s">
        <v>646</v>
      </c>
      <c r="BG140" s="89" t="s">
        <v>646</v>
      </c>
      <c r="BH140" s="89" t="s">
        <v>646</v>
      </c>
      <c r="BI140" s="89" t="s">
        <v>646</v>
      </c>
      <c r="BJ140" s="89" t="s">
        <v>646</v>
      </c>
      <c r="BK140" s="89" t="s">
        <v>646</v>
      </c>
      <c r="BL140" s="89">
        <v>2873</v>
      </c>
      <c r="BM140" s="89">
        <v>2877</v>
      </c>
      <c r="BN140" s="89" t="s">
        <v>646</v>
      </c>
      <c r="BO140" s="89" t="str">
        <f>HYPERLINK("http://dx.doi.org/10.21437/1nterspeech.2018-1313","http://dx.doi.org/10.21437/1nterspeech.2018-1313")</f>
        <v>http://dx.doi.org/10.21437/1nterspeech.2018-1313</v>
      </c>
      <c r="BP140" s="89" t="s">
        <v>646</v>
      </c>
      <c r="BQ140" s="89" t="s">
        <v>646</v>
      </c>
      <c r="BR140" s="89" t="s">
        <v>646</v>
      </c>
      <c r="BS140" s="89" t="s">
        <v>646</v>
      </c>
      <c r="BT140" s="89" t="s">
        <v>646</v>
      </c>
      <c r="BU140" s="89" t="s">
        <v>646</v>
      </c>
      <c r="BV140" s="89" t="s">
        <v>646</v>
      </c>
      <c r="BW140" s="89" t="s">
        <v>646</v>
      </c>
      <c r="BX140" s="89" t="s">
        <v>646</v>
      </c>
      <c r="BY140" s="89" t="s">
        <v>646</v>
      </c>
      <c r="BZ140" s="89" t="s">
        <v>646</v>
      </c>
      <c r="CA140" s="89" t="s">
        <v>646</v>
      </c>
      <c r="CB140" s="89" t="s">
        <v>18756</v>
      </c>
      <c r="CC140" s="89" t="str">
        <f>HYPERLINK("https%3A%2F%2Fwww.webofscience.com%2Fwos%2Fwoscc%2Ffull-record%2FWOS:000465363900600","View Full Record in Web of Science")</f>
        <v>View Full Record in Web of Science</v>
      </c>
    </row>
    <row r="141" spans="1:81" ht="13.2" hidden="1" x14ac:dyDescent="0.25">
      <c r="A141" s="89" t="s">
        <v>18757</v>
      </c>
      <c r="B141" s="89" t="e">
        <f>+#REF!</f>
        <v>#REF!</v>
      </c>
      <c r="C141" s="89"/>
      <c r="D141" s="91" t="s">
        <v>717</v>
      </c>
      <c r="E141" s="90" t="e">
        <v>#REF!</v>
      </c>
      <c r="F141" s="89"/>
      <c r="G141" s="89"/>
      <c r="H141" s="89" t="s">
        <v>10815</v>
      </c>
      <c r="I141" s="89" t="s">
        <v>18759</v>
      </c>
      <c r="J141" s="89" t="s">
        <v>18766</v>
      </c>
      <c r="K141" s="89" t="s">
        <v>18765</v>
      </c>
      <c r="M141" s="89">
        <v>2009</v>
      </c>
      <c r="N141" s="89" t="s">
        <v>18760</v>
      </c>
      <c r="O141" s="89" t="s">
        <v>646</v>
      </c>
      <c r="P141" s="89" t="str">
        <f>HYPERLINK("http://dx.doi.org/10.1109/ICGSE.2009.36","http://dx.doi.org/10.1109/ICGSE.2009.36")</f>
        <v>http://dx.doi.org/10.1109/ICGSE.2009.36</v>
      </c>
      <c r="S141" s="89" t="s">
        <v>18758</v>
      </c>
      <c r="U141" s="89" t="s">
        <v>17474</v>
      </c>
      <c r="W141" s="89" t="s">
        <v>646</v>
      </c>
      <c r="X141" s="89" t="s">
        <v>646</v>
      </c>
      <c r="Y141" s="89" t="s">
        <v>18761</v>
      </c>
      <c r="Z141" s="89" t="s">
        <v>18762</v>
      </c>
      <c r="AA141" s="89" t="s">
        <v>18763</v>
      </c>
      <c r="AB141" s="89" t="s">
        <v>18764</v>
      </c>
      <c r="AC141" s="89" t="s">
        <v>646</v>
      </c>
      <c r="AD141" s="89" t="s">
        <v>646</v>
      </c>
      <c r="AE141" s="89" t="s">
        <v>646</v>
      </c>
      <c r="AF141" s="89" t="s">
        <v>18765</v>
      </c>
      <c r="AG141" s="89" t="s">
        <v>646</v>
      </c>
      <c r="AH141" s="89" t="s">
        <v>646</v>
      </c>
      <c r="AI141" s="89" t="s">
        <v>646</v>
      </c>
      <c r="AJ141" s="89" t="s">
        <v>646</v>
      </c>
      <c r="AK141" s="89" t="s">
        <v>18766</v>
      </c>
      <c r="AL141" s="89" t="s">
        <v>18767</v>
      </c>
      <c r="AM141" s="89" t="s">
        <v>646</v>
      </c>
      <c r="AN141" s="89" t="s">
        <v>646</v>
      </c>
      <c r="AO141" s="89" t="s">
        <v>646</v>
      </c>
      <c r="AP141" s="89" t="s">
        <v>646</v>
      </c>
      <c r="AQ141" s="89" t="s">
        <v>646</v>
      </c>
      <c r="AR141" s="89" t="s">
        <v>646</v>
      </c>
      <c r="AS141" s="89" t="s">
        <v>646</v>
      </c>
      <c r="AT141" s="89" t="s">
        <v>646</v>
      </c>
      <c r="AU141" s="89" t="s">
        <v>646</v>
      </c>
      <c r="AV141" s="89" t="s">
        <v>646</v>
      </c>
      <c r="AW141" s="89" t="s">
        <v>646</v>
      </c>
      <c r="AX141" s="89" t="s">
        <v>646</v>
      </c>
      <c r="AY141" s="89" t="s">
        <v>18768</v>
      </c>
      <c r="AZ141" s="89" t="s">
        <v>646</v>
      </c>
      <c r="BA141" s="89" t="s">
        <v>18769</v>
      </c>
      <c r="BB141" s="89" t="s">
        <v>646</v>
      </c>
      <c r="BC141" s="89" t="s">
        <v>646</v>
      </c>
      <c r="BD141" s="89" t="s">
        <v>646</v>
      </c>
      <c r="BE141" s="89">
        <v>2009</v>
      </c>
      <c r="BF141" s="89" t="s">
        <v>646</v>
      </c>
      <c r="BG141" s="89" t="s">
        <v>646</v>
      </c>
      <c r="BH141" s="89" t="s">
        <v>646</v>
      </c>
      <c r="BI141" s="89" t="s">
        <v>646</v>
      </c>
      <c r="BJ141" s="89" t="s">
        <v>646</v>
      </c>
      <c r="BK141" s="89" t="s">
        <v>646</v>
      </c>
      <c r="BL141" s="89">
        <v>267</v>
      </c>
      <c r="BM141" s="89" t="s">
        <v>18405</v>
      </c>
      <c r="BN141" s="89" t="s">
        <v>646</v>
      </c>
      <c r="BO141" s="89" t="str">
        <f>HYPERLINK("http://dx.doi.org/10.1109/ICGSE.2009.36","http://dx.doi.org/10.1109/ICGSE.2009.36")</f>
        <v>http://dx.doi.org/10.1109/ICGSE.2009.36</v>
      </c>
      <c r="BP141" s="89" t="s">
        <v>646</v>
      </c>
      <c r="BQ141" s="89" t="s">
        <v>646</v>
      </c>
      <c r="BR141" s="89" t="s">
        <v>646</v>
      </c>
      <c r="BS141" s="89" t="s">
        <v>646</v>
      </c>
      <c r="BT141" s="89" t="s">
        <v>646</v>
      </c>
      <c r="BU141" s="89" t="s">
        <v>646</v>
      </c>
      <c r="BV141" s="89" t="s">
        <v>646</v>
      </c>
      <c r="BW141" s="89" t="s">
        <v>646</v>
      </c>
      <c r="BX141" s="89" t="s">
        <v>646</v>
      </c>
      <c r="BY141" s="89" t="s">
        <v>646</v>
      </c>
      <c r="BZ141" s="89" t="s">
        <v>646</v>
      </c>
      <c r="CA141" s="89" t="s">
        <v>646</v>
      </c>
      <c r="CB141" s="89" t="s">
        <v>18770</v>
      </c>
      <c r="CC141" s="89" t="str">
        <f>HYPERLINK("https%3A%2F%2Fwww.webofscience.com%2Fwos%2Fwoscc%2Ffull-record%2FWOS:000272550200029","View Full Record in Web of Science")</f>
        <v>View Full Record in Web of Science</v>
      </c>
    </row>
    <row r="142" spans="1:81" ht="13.2" hidden="1" x14ac:dyDescent="0.25">
      <c r="A142" s="89" t="s">
        <v>10823</v>
      </c>
      <c r="B142" s="89" t="e">
        <f>+#REF!</f>
        <v>#REF!</v>
      </c>
      <c r="C142" s="89"/>
      <c r="D142" s="91" t="s">
        <v>717</v>
      </c>
      <c r="E142" s="90" t="e">
        <v>#REF!</v>
      </c>
      <c r="F142" s="89"/>
      <c r="G142" s="89"/>
      <c r="H142" s="89" t="s">
        <v>10824</v>
      </c>
      <c r="I142" s="89" t="s">
        <v>18771</v>
      </c>
      <c r="J142" s="89" t="s">
        <v>646</v>
      </c>
      <c r="K142" s="89" t="s">
        <v>18773</v>
      </c>
      <c r="M142" s="89">
        <v>2016</v>
      </c>
      <c r="N142" s="89" t="s">
        <v>18772</v>
      </c>
      <c r="O142" s="89" t="s">
        <v>646</v>
      </c>
      <c r="P142" s="89" t="str">
        <f>HYPERLINK("http://dx.doi.org/10.1111/fare.12206","http://dx.doi.org/10.1111/fare.12206")</f>
        <v>http://dx.doi.org/10.1111/fare.12206</v>
      </c>
      <c r="S142" s="89" t="s">
        <v>646</v>
      </c>
      <c r="U142" s="89" t="s">
        <v>17462</v>
      </c>
      <c r="W142" s="89" t="s">
        <v>646</v>
      </c>
      <c r="X142" s="89" t="s">
        <v>646</v>
      </c>
      <c r="Y142" s="89" t="s">
        <v>646</v>
      </c>
      <c r="Z142" s="89" t="s">
        <v>646</v>
      </c>
      <c r="AA142" s="89" t="s">
        <v>646</v>
      </c>
      <c r="AB142" s="89" t="s">
        <v>646</v>
      </c>
      <c r="AC142" s="89" t="s">
        <v>646</v>
      </c>
      <c r="AD142" s="89" t="s">
        <v>646</v>
      </c>
      <c r="AE142" s="89" t="s">
        <v>646</v>
      </c>
      <c r="AF142" s="89" t="s">
        <v>18773</v>
      </c>
      <c r="AG142" s="89" t="s">
        <v>646</v>
      </c>
      <c r="AH142" s="89" t="s">
        <v>646</v>
      </c>
      <c r="AI142" s="89" t="s">
        <v>646</v>
      </c>
      <c r="AJ142" s="89" t="s">
        <v>646</v>
      </c>
      <c r="AK142" s="89" t="s">
        <v>646</v>
      </c>
      <c r="AL142" s="89" t="s">
        <v>18774</v>
      </c>
      <c r="AM142" s="89" t="s">
        <v>646</v>
      </c>
      <c r="AN142" s="89" t="s">
        <v>646</v>
      </c>
      <c r="AO142" s="89" t="s">
        <v>646</v>
      </c>
      <c r="AP142" s="89" t="s">
        <v>646</v>
      </c>
      <c r="AQ142" s="89" t="s">
        <v>646</v>
      </c>
      <c r="AR142" s="89" t="s">
        <v>646</v>
      </c>
      <c r="AS142" s="89" t="s">
        <v>646</v>
      </c>
      <c r="AT142" s="89" t="s">
        <v>646</v>
      </c>
      <c r="AU142" s="89" t="s">
        <v>646</v>
      </c>
      <c r="AV142" s="89" t="s">
        <v>646</v>
      </c>
      <c r="AW142" s="89" t="s">
        <v>646</v>
      </c>
      <c r="AX142" s="89" t="s">
        <v>646</v>
      </c>
      <c r="AY142" s="89" t="s">
        <v>18775</v>
      </c>
      <c r="AZ142" s="89" t="s">
        <v>18776</v>
      </c>
      <c r="BA142" s="89" t="s">
        <v>646</v>
      </c>
      <c r="BB142" s="89" t="s">
        <v>646</v>
      </c>
      <c r="BC142" s="89" t="s">
        <v>646</v>
      </c>
      <c r="BD142" s="89" t="s">
        <v>17687</v>
      </c>
      <c r="BE142" s="89">
        <v>2016</v>
      </c>
      <c r="BF142" s="89">
        <v>65</v>
      </c>
      <c r="BG142" s="89">
        <v>4</v>
      </c>
      <c r="BH142" s="89" t="s">
        <v>646</v>
      </c>
      <c r="BI142" s="89" t="s">
        <v>646</v>
      </c>
      <c r="BJ142" s="89" t="s">
        <v>646</v>
      </c>
      <c r="BK142" s="89" t="s">
        <v>646</v>
      </c>
      <c r="BL142" s="89">
        <v>550</v>
      </c>
      <c r="BM142" s="89">
        <v>561</v>
      </c>
      <c r="BN142" s="89" t="s">
        <v>646</v>
      </c>
      <c r="BO142" s="89" t="str">
        <f>HYPERLINK("http://dx.doi.org/10.1111/fare.12206","http://dx.doi.org/10.1111/fare.12206")</f>
        <v>http://dx.doi.org/10.1111/fare.12206</v>
      </c>
      <c r="BP142" s="89" t="s">
        <v>646</v>
      </c>
      <c r="BQ142" s="89" t="s">
        <v>646</v>
      </c>
      <c r="BR142" s="89" t="s">
        <v>646</v>
      </c>
      <c r="BS142" s="89" t="s">
        <v>646</v>
      </c>
      <c r="BT142" s="89" t="s">
        <v>646</v>
      </c>
      <c r="BU142" s="89" t="s">
        <v>646</v>
      </c>
      <c r="BV142" s="89" t="s">
        <v>646</v>
      </c>
      <c r="BW142" s="89">
        <v>28804184</v>
      </c>
      <c r="BX142" s="89" t="s">
        <v>646</v>
      </c>
      <c r="BY142" s="89" t="s">
        <v>646</v>
      </c>
      <c r="BZ142" s="89" t="s">
        <v>646</v>
      </c>
      <c r="CA142" s="89" t="s">
        <v>646</v>
      </c>
      <c r="CB142" s="89" t="s">
        <v>18777</v>
      </c>
      <c r="CC142" s="89" t="str">
        <f>HYPERLINK("https%3A%2F%2Fwww.webofscience.com%2Fwos%2Fwoscc%2Ffull-record%2FWOS:000388279800002","View Full Record in Web of Science")</f>
        <v>View Full Record in Web of Science</v>
      </c>
    </row>
    <row r="143" spans="1:81" ht="13.2" hidden="1" x14ac:dyDescent="0.25">
      <c r="A143" s="89" t="s">
        <v>10843</v>
      </c>
      <c r="B143" s="89" t="e">
        <f>+#REF!</f>
        <v>#REF!</v>
      </c>
      <c r="C143" s="89"/>
      <c r="D143" s="91" t="s">
        <v>717</v>
      </c>
      <c r="E143" s="90" t="e">
        <v>#REF!</v>
      </c>
      <c r="F143" s="89"/>
      <c r="G143" s="89"/>
      <c r="H143" s="89" t="s">
        <v>10844</v>
      </c>
      <c r="I143" s="89" t="s">
        <v>18778</v>
      </c>
      <c r="J143" s="89" t="s">
        <v>646</v>
      </c>
      <c r="K143" s="89" t="s">
        <v>18780</v>
      </c>
      <c r="M143" s="89">
        <v>2015</v>
      </c>
      <c r="N143" s="89" t="s">
        <v>18779</v>
      </c>
      <c r="O143" s="89" t="s">
        <v>646</v>
      </c>
      <c r="P143" s="89" t="str">
        <f>HYPERLINK("http://dx.doi.org/10.1016/j.infsof.2015.02.013","http://dx.doi.org/10.1016/j.infsof.2015.02.013")</f>
        <v>http://dx.doi.org/10.1016/j.infsof.2015.02.013</v>
      </c>
      <c r="S143" s="89" t="s">
        <v>646</v>
      </c>
      <c r="U143" s="89" t="s">
        <v>17462</v>
      </c>
      <c r="W143" s="89" t="s">
        <v>646</v>
      </c>
      <c r="X143" s="89" t="s">
        <v>646</v>
      </c>
      <c r="Y143" s="89" t="s">
        <v>646</v>
      </c>
      <c r="Z143" s="89" t="s">
        <v>646</v>
      </c>
      <c r="AA143" s="89" t="s">
        <v>646</v>
      </c>
      <c r="AB143" s="89" t="s">
        <v>646</v>
      </c>
      <c r="AC143" s="89" t="s">
        <v>646</v>
      </c>
      <c r="AD143" s="89" t="s">
        <v>646</v>
      </c>
      <c r="AE143" s="89" t="s">
        <v>646</v>
      </c>
      <c r="AF143" s="89" t="s">
        <v>18780</v>
      </c>
      <c r="AG143" s="89" t="s">
        <v>646</v>
      </c>
      <c r="AH143" s="89" t="s">
        <v>646</v>
      </c>
      <c r="AI143" s="89" t="s">
        <v>646</v>
      </c>
      <c r="AJ143" s="89" t="s">
        <v>646</v>
      </c>
      <c r="AK143" s="89" t="s">
        <v>646</v>
      </c>
      <c r="AL143" s="89" t="s">
        <v>18781</v>
      </c>
      <c r="AM143" s="89" t="s">
        <v>646</v>
      </c>
      <c r="AN143" s="89" t="s">
        <v>646</v>
      </c>
      <c r="AO143" s="89" t="s">
        <v>646</v>
      </c>
      <c r="AP143" s="89" t="s">
        <v>646</v>
      </c>
      <c r="AQ143" s="89" t="s">
        <v>646</v>
      </c>
      <c r="AR143" s="89" t="s">
        <v>646</v>
      </c>
      <c r="AS143" s="89" t="s">
        <v>646</v>
      </c>
      <c r="AT143" s="89" t="s">
        <v>646</v>
      </c>
      <c r="AU143" s="89" t="s">
        <v>646</v>
      </c>
      <c r="AV143" s="89" t="s">
        <v>646</v>
      </c>
      <c r="AW143" s="89" t="s">
        <v>646</v>
      </c>
      <c r="AX143" s="89" t="s">
        <v>646</v>
      </c>
      <c r="AY143" s="89" t="s">
        <v>18782</v>
      </c>
      <c r="AZ143" s="89" t="s">
        <v>18783</v>
      </c>
      <c r="BA143" s="89" t="s">
        <v>646</v>
      </c>
      <c r="BB143" s="89" t="s">
        <v>646</v>
      </c>
      <c r="BC143" s="89" t="s">
        <v>646</v>
      </c>
      <c r="BD143" s="89" t="s">
        <v>17676</v>
      </c>
      <c r="BE143" s="89">
        <v>2015</v>
      </c>
      <c r="BF143" s="89">
        <v>63</v>
      </c>
      <c r="BG143" s="89" t="s">
        <v>646</v>
      </c>
      <c r="BH143" s="89" t="s">
        <v>646</v>
      </c>
      <c r="BI143" s="89" t="s">
        <v>646</v>
      </c>
      <c r="BJ143" s="89" t="s">
        <v>646</v>
      </c>
      <c r="BK143" s="89" t="s">
        <v>646</v>
      </c>
      <c r="BL143" s="89">
        <v>11</v>
      </c>
      <c r="BM143" s="89">
        <v>30</v>
      </c>
      <c r="BN143" s="89" t="s">
        <v>646</v>
      </c>
      <c r="BO143" s="89" t="str">
        <f>HYPERLINK("http://dx.doi.org/10.1016/j.infsof.2015.02.013","http://dx.doi.org/10.1016/j.infsof.2015.02.013")</f>
        <v>http://dx.doi.org/10.1016/j.infsof.2015.02.013</v>
      </c>
      <c r="BP143" s="89" t="s">
        <v>646</v>
      </c>
      <c r="BQ143" s="89" t="s">
        <v>646</v>
      </c>
      <c r="BR143" s="89" t="s">
        <v>646</v>
      </c>
      <c r="BS143" s="89" t="s">
        <v>646</v>
      </c>
      <c r="BT143" s="89" t="s">
        <v>646</v>
      </c>
      <c r="BU143" s="89" t="s">
        <v>646</v>
      </c>
      <c r="BV143" s="89" t="s">
        <v>646</v>
      </c>
      <c r="BW143" s="89" t="s">
        <v>646</v>
      </c>
      <c r="BX143" s="89" t="s">
        <v>646</v>
      </c>
      <c r="BY143" s="89" t="s">
        <v>646</v>
      </c>
      <c r="BZ143" s="89" t="s">
        <v>646</v>
      </c>
      <c r="CA143" s="89" t="s">
        <v>646</v>
      </c>
      <c r="CB143" s="89" t="s">
        <v>18784</v>
      </c>
      <c r="CC143" s="89" t="str">
        <f>HYPERLINK("https%3A%2F%2Fwww.webofscience.com%2Fwos%2Fwoscc%2Ffull-record%2FWOS:000354149000002","View Full Record in Web of Science")</f>
        <v>View Full Record in Web of Science</v>
      </c>
    </row>
    <row r="144" spans="1:81" ht="13.2" hidden="1" x14ac:dyDescent="0.25">
      <c r="A144" s="89" t="s">
        <v>10850</v>
      </c>
      <c r="B144" s="89" t="e">
        <f>+#REF!</f>
        <v>#REF!</v>
      </c>
      <c r="C144" s="89"/>
      <c r="D144" s="91" t="s">
        <v>717</v>
      </c>
      <c r="E144" s="90" t="e">
        <v>#REF!</v>
      </c>
      <c r="F144" s="89"/>
      <c r="G144" s="89"/>
      <c r="H144" s="89" t="s">
        <v>10851</v>
      </c>
      <c r="I144" s="89" t="s">
        <v>18785</v>
      </c>
      <c r="J144" s="89" t="s">
        <v>18155</v>
      </c>
      <c r="K144" s="89" t="s">
        <v>18787</v>
      </c>
      <c r="M144" s="89">
        <v>2017</v>
      </c>
      <c r="N144" s="89" t="s">
        <v>18786</v>
      </c>
      <c r="O144" s="89" t="s">
        <v>646</v>
      </c>
      <c r="P144" s="89" t="str">
        <f>HYPERLINK("http://dx.doi.org/10.1007/s11280-016-0429-6","http://dx.doi.org/10.1007/s11280-016-0429-6")</f>
        <v>http://dx.doi.org/10.1007/s11280-016-0429-6</v>
      </c>
      <c r="S144" s="89" t="s">
        <v>646</v>
      </c>
      <c r="U144" s="89" t="s">
        <v>17462</v>
      </c>
      <c r="W144" s="89" t="s">
        <v>646</v>
      </c>
      <c r="X144" s="89" t="s">
        <v>646</v>
      </c>
      <c r="Y144" s="89" t="s">
        <v>646</v>
      </c>
      <c r="Z144" s="89" t="s">
        <v>646</v>
      </c>
      <c r="AA144" s="89" t="s">
        <v>646</v>
      </c>
      <c r="AB144" s="89" t="s">
        <v>646</v>
      </c>
      <c r="AC144" s="89" t="s">
        <v>646</v>
      </c>
      <c r="AD144" s="89" t="s">
        <v>646</v>
      </c>
      <c r="AE144" s="89" t="s">
        <v>646</v>
      </c>
      <c r="AF144" s="89" t="s">
        <v>18787</v>
      </c>
      <c r="AG144" s="89" t="s">
        <v>646</v>
      </c>
      <c r="AH144" s="89" t="s">
        <v>646</v>
      </c>
      <c r="AI144" s="89" t="s">
        <v>646</v>
      </c>
      <c r="AJ144" s="89" t="s">
        <v>646</v>
      </c>
      <c r="AK144" s="89" t="s">
        <v>18155</v>
      </c>
      <c r="AL144" s="89" t="s">
        <v>18156</v>
      </c>
      <c r="AM144" s="89" t="s">
        <v>646</v>
      </c>
      <c r="AN144" s="89" t="s">
        <v>646</v>
      </c>
      <c r="AO144" s="89" t="s">
        <v>646</v>
      </c>
      <c r="AP144" s="89" t="s">
        <v>646</v>
      </c>
      <c r="AQ144" s="89" t="s">
        <v>646</v>
      </c>
      <c r="AR144" s="89" t="s">
        <v>646</v>
      </c>
      <c r="AS144" s="89" t="s">
        <v>646</v>
      </c>
      <c r="AT144" s="89" t="s">
        <v>646</v>
      </c>
      <c r="AU144" s="89" t="s">
        <v>646</v>
      </c>
      <c r="AV144" s="89" t="s">
        <v>646</v>
      </c>
      <c r="AW144" s="89" t="s">
        <v>646</v>
      </c>
      <c r="AX144" s="89" t="s">
        <v>646</v>
      </c>
      <c r="AY144" s="89" t="s">
        <v>18788</v>
      </c>
      <c r="AZ144" s="89" t="s">
        <v>18789</v>
      </c>
      <c r="BA144" s="89" t="s">
        <v>646</v>
      </c>
      <c r="BB144" s="89" t="s">
        <v>646</v>
      </c>
      <c r="BC144" s="89" t="s">
        <v>646</v>
      </c>
      <c r="BD144" s="89" t="s">
        <v>18292</v>
      </c>
      <c r="BE144" s="89">
        <v>2017</v>
      </c>
      <c r="BF144" s="89">
        <v>20</v>
      </c>
      <c r="BG144" s="89">
        <v>6</v>
      </c>
      <c r="BH144" s="89" t="s">
        <v>646</v>
      </c>
      <c r="BI144" s="89" t="s">
        <v>646</v>
      </c>
      <c r="BJ144" s="89" t="s">
        <v>646</v>
      </c>
      <c r="BK144" s="89" t="s">
        <v>646</v>
      </c>
      <c r="BL144" s="89">
        <v>1211</v>
      </c>
      <c r="BM144" s="89">
        <v>1235</v>
      </c>
      <c r="BN144" s="89" t="s">
        <v>646</v>
      </c>
      <c r="BO144" s="89" t="str">
        <f>HYPERLINK("http://dx.doi.org/10.1007/s11280-016-0429-6","http://dx.doi.org/10.1007/s11280-016-0429-6")</f>
        <v>http://dx.doi.org/10.1007/s11280-016-0429-6</v>
      </c>
      <c r="BP144" s="89" t="s">
        <v>646</v>
      </c>
      <c r="BQ144" s="89" t="s">
        <v>646</v>
      </c>
      <c r="BR144" s="89" t="s">
        <v>646</v>
      </c>
      <c r="BS144" s="89" t="s">
        <v>646</v>
      </c>
      <c r="BT144" s="89" t="s">
        <v>646</v>
      </c>
      <c r="BU144" s="89" t="s">
        <v>646</v>
      </c>
      <c r="BV144" s="89" t="s">
        <v>646</v>
      </c>
      <c r="BW144" s="89" t="s">
        <v>646</v>
      </c>
      <c r="BX144" s="89" t="s">
        <v>646</v>
      </c>
      <c r="BY144" s="89" t="s">
        <v>646</v>
      </c>
      <c r="BZ144" s="89" t="s">
        <v>646</v>
      </c>
      <c r="CA144" s="89" t="s">
        <v>646</v>
      </c>
      <c r="CB144" s="89" t="s">
        <v>18790</v>
      </c>
      <c r="CC144" s="89" t="str">
        <f>HYPERLINK("https%3A%2F%2Fwww.webofscience.com%2Fwos%2Fwoscc%2Ffull-record%2FWOS:000408496500003","View Full Record in Web of Science")</f>
        <v>View Full Record in Web of Science</v>
      </c>
    </row>
    <row r="145" spans="1:81" ht="13.2" hidden="1" x14ac:dyDescent="0.25">
      <c r="A145" s="89" t="s">
        <v>16365</v>
      </c>
      <c r="B145" s="89" t="e">
        <f>+#REF!</f>
        <v>#REF!</v>
      </c>
      <c r="C145" s="89"/>
      <c r="D145" s="91" t="s">
        <v>717</v>
      </c>
      <c r="E145" s="90" t="e">
        <v>#REF!</v>
      </c>
      <c r="F145" s="89"/>
      <c r="G145" s="89"/>
      <c r="H145" s="89" t="s">
        <v>16366</v>
      </c>
      <c r="I145" s="89" t="s">
        <v>18791</v>
      </c>
      <c r="J145" s="89" t="s">
        <v>646</v>
      </c>
      <c r="K145" s="89" t="s">
        <v>18793</v>
      </c>
      <c r="M145" s="89">
        <v>2021</v>
      </c>
      <c r="N145" s="89" t="s">
        <v>18792</v>
      </c>
      <c r="O145" s="89" t="s">
        <v>646</v>
      </c>
      <c r="P145" s="89" t="str">
        <f>HYPERLINK("http://dx.doi.org/10.1145/3439795","http://dx.doi.org/10.1145/3439795")</f>
        <v>http://dx.doi.org/10.1145/3439795</v>
      </c>
      <c r="S145" s="89" t="s">
        <v>646</v>
      </c>
      <c r="U145" s="89" t="s">
        <v>17462</v>
      </c>
      <c r="W145" s="89" t="s">
        <v>646</v>
      </c>
      <c r="X145" s="89" t="s">
        <v>646</v>
      </c>
      <c r="Y145" s="89" t="s">
        <v>646</v>
      </c>
      <c r="Z145" s="89" t="s">
        <v>646</v>
      </c>
      <c r="AA145" s="89" t="s">
        <v>646</v>
      </c>
      <c r="AB145" s="89" t="s">
        <v>646</v>
      </c>
      <c r="AC145" s="89" t="s">
        <v>646</v>
      </c>
      <c r="AD145" s="89" t="s">
        <v>646</v>
      </c>
      <c r="AE145" s="89" t="s">
        <v>646</v>
      </c>
      <c r="AF145" s="89" t="s">
        <v>18793</v>
      </c>
      <c r="AG145" s="89" t="s">
        <v>646</v>
      </c>
      <c r="AH145" s="89" t="s">
        <v>646</v>
      </c>
      <c r="AI145" s="89" t="s">
        <v>646</v>
      </c>
      <c r="AJ145" s="89" t="s">
        <v>646</v>
      </c>
      <c r="AK145" s="89" t="s">
        <v>646</v>
      </c>
      <c r="AL145" s="89" t="s">
        <v>646</v>
      </c>
      <c r="AM145" s="89" t="s">
        <v>646</v>
      </c>
      <c r="AN145" s="89" t="s">
        <v>646</v>
      </c>
      <c r="AO145" s="89" t="s">
        <v>646</v>
      </c>
      <c r="AP145" s="89" t="s">
        <v>646</v>
      </c>
      <c r="AQ145" s="89" t="s">
        <v>646</v>
      </c>
      <c r="AR145" s="89" t="s">
        <v>646</v>
      </c>
      <c r="AS145" s="89" t="s">
        <v>646</v>
      </c>
      <c r="AT145" s="89" t="s">
        <v>646</v>
      </c>
      <c r="AU145" s="89" t="s">
        <v>646</v>
      </c>
      <c r="AV145" s="89" t="s">
        <v>646</v>
      </c>
      <c r="AW145" s="89" t="s">
        <v>646</v>
      </c>
      <c r="AX145" s="89" t="s">
        <v>646</v>
      </c>
      <c r="AY145" s="89" t="s">
        <v>18794</v>
      </c>
      <c r="AZ145" s="89" t="s">
        <v>18795</v>
      </c>
      <c r="BA145" s="89" t="s">
        <v>646</v>
      </c>
      <c r="BB145" s="89" t="s">
        <v>646</v>
      </c>
      <c r="BC145" s="89" t="s">
        <v>646</v>
      </c>
      <c r="BD145" s="89" t="s">
        <v>17513</v>
      </c>
      <c r="BE145" s="89">
        <v>2021</v>
      </c>
      <c r="BF145" s="89">
        <v>40</v>
      </c>
      <c r="BG145" s="89">
        <v>1</v>
      </c>
      <c r="BH145" s="89" t="s">
        <v>646</v>
      </c>
      <c r="BI145" s="89" t="s">
        <v>646</v>
      </c>
      <c r="BJ145" s="89" t="s">
        <v>646</v>
      </c>
      <c r="BK145" s="89" t="s">
        <v>646</v>
      </c>
      <c r="BL145" s="89" t="s">
        <v>646</v>
      </c>
      <c r="BM145" s="89" t="s">
        <v>646</v>
      </c>
      <c r="BN145" s="89">
        <v>7</v>
      </c>
      <c r="BO145" s="89" t="str">
        <f>HYPERLINK("http://dx.doi.org/10.1145/3439795","http://dx.doi.org/10.1145/3439795")</f>
        <v>http://dx.doi.org/10.1145/3439795</v>
      </c>
      <c r="BP145" s="89" t="s">
        <v>646</v>
      </c>
      <c r="BQ145" s="89" t="s">
        <v>646</v>
      </c>
      <c r="BR145" s="89" t="s">
        <v>646</v>
      </c>
      <c r="BS145" s="89" t="s">
        <v>646</v>
      </c>
      <c r="BT145" s="89" t="s">
        <v>646</v>
      </c>
      <c r="BU145" s="89" t="s">
        <v>646</v>
      </c>
      <c r="BV145" s="89" t="s">
        <v>646</v>
      </c>
      <c r="BW145" s="89" t="s">
        <v>646</v>
      </c>
      <c r="BX145" s="89" t="s">
        <v>646</v>
      </c>
      <c r="BY145" s="89" t="s">
        <v>646</v>
      </c>
      <c r="BZ145" s="89" t="s">
        <v>646</v>
      </c>
      <c r="CA145" s="89" t="s">
        <v>646</v>
      </c>
      <c r="CB145" s="89" t="s">
        <v>18796</v>
      </c>
      <c r="CC145" s="89" t="str">
        <f>HYPERLINK("https%3A%2F%2Fwww.webofscience.com%2Fwos%2Fwoscc%2Ffull-record%2FWOS:000606818600001","View Full Record in Web of Science")</f>
        <v>View Full Record in Web of Science</v>
      </c>
    </row>
    <row r="146" spans="1:81" ht="13.2" hidden="1" x14ac:dyDescent="0.25">
      <c r="A146" s="89" t="s">
        <v>10860</v>
      </c>
      <c r="B146" s="89" t="e">
        <f>+#REF!</f>
        <v>#REF!</v>
      </c>
      <c r="C146" s="89"/>
      <c r="D146" s="91" t="s">
        <v>717</v>
      </c>
      <c r="E146" s="90" t="e">
        <v>#REF!</v>
      </c>
      <c r="F146" s="89"/>
      <c r="G146" s="89"/>
      <c r="H146" s="89" t="s">
        <v>10861</v>
      </c>
      <c r="I146" s="89" t="s">
        <v>18797</v>
      </c>
      <c r="J146" s="89" t="s">
        <v>18800</v>
      </c>
      <c r="K146" s="89" t="s">
        <v>18799</v>
      </c>
      <c r="M146" s="89">
        <v>2020</v>
      </c>
      <c r="N146" s="89" t="s">
        <v>18798</v>
      </c>
      <c r="O146" s="89" t="s">
        <v>646</v>
      </c>
      <c r="P146" s="89" t="str">
        <f>HYPERLINK("http://dx.doi.org/10.1016/j.comnet.2019.107029","http://dx.doi.org/10.1016/j.comnet.2019.107029")</f>
        <v>http://dx.doi.org/10.1016/j.comnet.2019.107029</v>
      </c>
      <c r="S146" s="89" t="s">
        <v>646</v>
      </c>
      <c r="U146" s="89" t="s">
        <v>17462</v>
      </c>
      <c r="W146" s="89" t="s">
        <v>646</v>
      </c>
      <c r="X146" s="89" t="s">
        <v>646</v>
      </c>
      <c r="Y146" s="89" t="s">
        <v>646</v>
      </c>
      <c r="Z146" s="89" t="s">
        <v>646</v>
      </c>
      <c r="AA146" s="89" t="s">
        <v>646</v>
      </c>
      <c r="AB146" s="89" t="s">
        <v>646</v>
      </c>
      <c r="AC146" s="89" t="s">
        <v>646</v>
      </c>
      <c r="AD146" s="89" t="s">
        <v>646</v>
      </c>
      <c r="AE146" s="89" t="s">
        <v>646</v>
      </c>
      <c r="AF146" s="89" t="s">
        <v>18799</v>
      </c>
      <c r="AG146" s="89" t="s">
        <v>646</v>
      </c>
      <c r="AH146" s="89" t="s">
        <v>646</v>
      </c>
      <c r="AI146" s="89" t="s">
        <v>646</v>
      </c>
      <c r="AJ146" s="89" t="s">
        <v>646</v>
      </c>
      <c r="AK146" s="89" t="s">
        <v>18800</v>
      </c>
      <c r="AL146" s="89" t="s">
        <v>18801</v>
      </c>
      <c r="AM146" s="89" t="s">
        <v>646</v>
      </c>
      <c r="AN146" s="89" t="s">
        <v>646</v>
      </c>
      <c r="AO146" s="89" t="s">
        <v>646</v>
      </c>
      <c r="AP146" s="89" t="s">
        <v>646</v>
      </c>
      <c r="AQ146" s="89" t="s">
        <v>646</v>
      </c>
      <c r="AR146" s="89" t="s">
        <v>646</v>
      </c>
      <c r="AS146" s="89" t="s">
        <v>646</v>
      </c>
      <c r="AT146" s="89" t="s">
        <v>646</v>
      </c>
      <c r="AU146" s="89" t="s">
        <v>646</v>
      </c>
      <c r="AV146" s="89" t="s">
        <v>646</v>
      </c>
      <c r="AW146" s="89" t="s">
        <v>646</v>
      </c>
      <c r="AX146" s="89" t="s">
        <v>646</v>
      </c>
      <c r="AY146" s="89" t="s">
        <v>18802</v>
      </c>
      <c r="AZ146" s="89" t="s">
        <v>18803</v>
      </c>
      <c r="BA146" s="89" t="s">
        <v>646</v>
      </c>
      <c r="BB146" s="89" t="s">
        <v>646</v>
      </c>
      <c r="BC146" s="89" t="s">
        <v>646</v>
      </c>
      <c r="BD146" s="89" t="s">
        <v>18804</v>
      </c>
      <c r="BE146" s="89">
        <v>2020</v>
      </c>
      <c r="BF146" s="89">
        <v>168</v>
      </c>
      <c r="BG146" s="89" t="s">
        <v>646</v>
      </c>
      <c r="BH146" s="89" t="s">
        <v>646</v>
      </c>
      <c r="BI146" s="89" t="s">
        <v>646</v>
      </c>
      <c r="BJ146" s="89" t="s">
        <v>646</v>
      </c>
      <c r="BK146" s="89" t="s">
        <v>646</v>
      </c>
      <c r="BL146" s="89" t="s">
        <v>646</v>
      </c>
      <c r="BM146" s="89" t="s">
        <v>646</v>
      </c>
      <c r="BN146" s="89">
        <v>107029</v>
      </c>
      <c r="BO146" s="89" t="str">
        <f>HYPERLINK("http://dx.doi.org/10.1016/j.comnet.2019.107029","http://dx.doi.org/10.1016/j.comnet.2019.107029")</f>
        <v>http://dx.doi.org/10.1016/j.comnet.2019.107029</v>
      </c>
      <c r="BP146" s="89" t="s">
        <v>646</v>
      </c>
      <c r="BQ146" s="89" t="s">
        <v>646</v>
      </c>
      <c r="BR146" s="89" t="s">
        <v>646</v>
      </c>
      <c r="BS146" s="89" t="s">
        <v>646</v>
      </c>
      <c r="BT146" s="89" t="s">
        <v>646</v>
      </c>
      <c r="BU146" s="89" t="s">
        <v>646</v>
      </c>
      <c r="BV146" s="89" t="s">
        <v>646</v>
      </c>
      <c r="BW146" s="89" t="s">
        <v>646</v>
      </c>
      <c r="BX146" s="89" t="s">
        <v>646</v>
      </c>
      <c r="BY146" s="89" t="s">
        <v>646</v>
      </c>
      <c r="BZ146" s="89" t="s">
        <v>646</v>
      </c>
      <c r="CA146" s="89" t="s">
        <v>646</v>
      </c>
      <c r="CB146" s="89" t="s">
        <v>18805</v>
      </c>
      <c r="CC146" s="89" t="str">
        <f>HYPERLINK("https%3A%2F%2Fwww.webofscience.com%2Fwos%2Fwoscc%2Ffull-record%2FWOS:000514230900002","View Full Record in Web of Science")</f>
        <v>View Full Record in Web of Science</v>
      </c>
    </row>
    <row r="147" spans="1:81" ht="13.2" hidden="1" x14ac:dyDescent="0.25">
      <c r="A147" s="89" t="s">
        <v>18806</v>
      </c>
      <c r="B147" s="89" t="e">
        <f>+#REF!</f>
        <v>#REF!</v>
      </c>
      <c r="C147" s="89"/>
      <c r="D147" s="91" t="s">
        <v>717</v>
      </c>
      <c r="E147" s="90" t="e">
        <v>#REF!</v>
      </c>
      <c r="F147" s="89"/>
      <c r="G147" s="89"/>
      <c r="H147" s="89" t="s">
        <v>10871</v>
      </c>
      <c r="I147" s="89" t="s">
        <v>18807</v>
      </c>
      <c r="J147" s="89" t="s">
        <v>646</v>
      </c>
      <c r="K147" s="89" t="s">
        <v>18809</v>
      </c>
      <c r="M147" s="89">
        <v>2018</v>
      </c>
      <c r="N147" s="89" t="s">
        <v>18808</v>
      </c>
      <c r="O147" s="89" t="s">
        <v>646</v>
      </c>
      <c r="P147" s="89" t="str">
        <f>HYPERLINK("http://dx.doi.org/10.1037/apl0000267","http://dx.doi.org/10.1037/apl0000267")</f>
        <v>http://dx.doi.org/10.1037/apl0000267</v>
      </c>
      <c r="S147" s="89" t="s">
        <v>646</v>
      </c>
      <c r="U147" s="89" t="s">
        <v>17462</v>
      </c>
      <c r="W147" s="89" t="s">
        <v>646</v>
      </c>
      <c r="X147" s="89" t="s">
        <v>646</v>
      </c>
      <c r="Y147" s="89" t="s">
        <v>646</v>
      </c>
      <c r="Z147" s="89" t="s">
        <v>646</v>
      </c>
      <c r="AA147" s="89" t="s">
        <v>646</v>
      </c>
      <c r="AB147" s="89" t="s">
        <v>646</v>
      </c>
      <c r="AC147" s="89" t="s">
        <v>646</v>
      </c>
      <c r="AD147" s="89" t="s">
        <v>646</v>
      </c>
      <c r="AE147" s="89" t="s">
        <v>646</v>
      </c>
      <c r="AF147" s="89" t="s">
        <v>18809</v>
      </c>
      <c r="AG147" s="89" t="s">
        <v>646</v>
      </c>
      <c r="AH147" s="89" t="s">
        <v>646</v>
      </c>
      <c r="AI147" s="89" t="s">
        <v>646</v>
      </c>
      <c r="AJ147" s="89" t="s">
        <v>646</v>
      </c>
      <c r="AK147" s="89" t="s">
        <v>646</v>
      </c>
      <c r="AL147" s="89" t="s">
        <v>18810</v>
      </c>
      <c r="AM147" s="89" t="s">
        <v>646</v>
      </c>
      <c r="AN147" s="89" t="s">
        <v>646</v>
      </c>
      <c r="AO147" s="89" t="s">
        <v>646</v>
      </c>
      <c r="AP147" s="89" t="s">
        <v>646</v>
      </c>
      <c r="AQ147" s="89" t="s">
        <v>646</v>
      </c>
      <c r="AR147" s="89" t="s">
        <v>646</v>
      </c>
      <c r="AS147" s="89" t="s">
        <v>646</v>
      </c>
      <c r="AT147" s="89" t="s">
        <v>646</v>
      </c>
      <c r="AU147" s="89" t="s">
        <v>646</v>
      </c>
      <c r="AV147" s="89" t="s">
        <v>646</v>
      </c>
      <c r="AW147" s="89" t="s">
        <v>646</v>
      </c>
      <c r="AX147" s="89" t="s">
        <v>646</v>
      </c>
      <c r="AY147" s="89" t="s">
        <v>18811</v>
      </c>
      <c r="AZ147" s="89" t="s">
        <v>18812</v>
      </c>
      <c r="BA147" s="89" t="s">
        <v>646</v>
      </c>
      <c r="BB147" s="89" t="s">
        <v>646</v>
      </c>
      <c r="BC147" s="89" t="s">
        <v>646</v>
      </c>
      <c r="BD147" s="89" t="s">
        <v>17513</v>
      </c>
      <c r="BE147" s="89">
        <v>2018</v>
      </c>
      <c r="BF147" s="89">
        <v>103</v>
      </c>
      <c r="BG147" s="89">
        <v>1</v>
      </c>
      <c r="BH147" s="89" t="s">
        <v>646</v>
      </c>
      <c r="BI147" s="89" t="s">
        <v>646</v>
      </c>
      <c r="BJ147" s="89" t="s">
        <v>646</v>
      </c>
      <c r="BK147" s="89" t="s">
        <v>646</v>
      </c>
      <c r="BL147" s="89">
        <v>14</v>
      </c>
      <c r="BM147" s="89">
        <v>36</v>
      </c>
      <c r="BN147" s="89" t="s">
        <v>646</v>
      </c>
      <c r="BO147" s="89" t="str">
        <f>HYPERLINK("http://dx.doi.org/10.1037/apl0000267","http://dx.doi.org/10.1037/apl0000267")</f>
        <v>http://dx.doi.org/10.1037/apl0000267</v>
      </c>
      <c r="BP147" s="89" t="s">
        <v>646</v>
      </c>
      <c r="BQ147" s="89" t="s">
        <v>646</v>
      </c>
      <c r="BR147" s="89" t="s">
        <v>646</v>
      </c>
      <c r="BS147" s="89" t="s">
        <v>646</v>
      </c>
      <c r="BT147" s="89" t="s">
        <v>646</v>
      </c>
      <c r="BU147" s="89" t="s">
        <v>646</v>
      </c>
      <c r="BV147" s="89" t="s">
        <v>646</v>
      </c>
      <c r="BW147" s="89">
        <v>28933909</v>
      </c>
      <c r="BX147" s="89" t="s">
        <v>646</v>
      </c>
      <c r="BY147" s="89" t="s">
        <v>646</v>
      </c>
      <c r="BZ147" s="89" t="s">
        <v>646</v>
      </c>
      <c r="CA147" s="89" t="s">
        <v>646</v>
      </c>
      <c r="CB147" s="89" t="s">
        <v>18813</v>
      </c>
      <c r="CC147" s="89" t="str">
        <f>HYPERLINK("https%3A%2F%2Fwww.webofscience.com%2Fwos%2Fwoscc%2Ffull-record%2FWOS:000423243400002","View Full Record in Web of Science")</f>
        <v>View Full Record in Web of Science</v>
      </c>
    </row>
    <row r="148" spans="1:81" ht="13.2" hidden="1" x14ac:dyDescent="0.25">
      <c r="A148" s="89" t="s">
        <v>10879</v>
      </c>
      <c r="B148" s="89" t="e">
        <f>+#REF!</f>
        <v>#REF!</v>
      </c>
      <c r="C148" s="89"/>
      <c r="D148" s="91" t="s">
        <v>717</v>
      </c>
      <c r="E148" s="90" t="e">
        <v>#REF!</v>
      </c>
      <c r="F148" s="89"/>
      <c r="G148" s="89"/>
      <c r="H148" s="89" t="s">
        <v>10880</v>
      </c>
      <c r="I148" s="89" t="s">
        <v>18814</v>
      </c>
      <c r="J148" s="89" t="s">
        <v>18816</v>
      </c>
      <c r="K148" s="89" t="s">
        <v>18815</v>
      </c>
      <c r="M148" s="89">
        <v>2016</v>
      </c>
      <c r="N148" s="89" t="s">
        <v>18576</v>
      </c>
      <c r="O148" s="89" t="s">
        <v>646</v>
      </c>
      <c r="P148" s="89" t="str">
        <f>HYPERLINK("http://dx.doi.org/10.1002/jeab.220","http://dx.doi.org/10.1002/jeab.220")</f>
        <v>http://dx.doi.org/10.1002/jeab.220</v>
      </c>
      <c r="S148" s="89" t="s">
        <v>646</v>
      </c>
      <c r="U148" s="89" t="s">
        <v>17462</v>
      </c>
      <c r="W148" s="89" t="s">
        <v>646</v>
      </c>
      <c r="X148" s="89" t="s">
        <v>646</v>
      </c>
      <c r="Y148" s="89" t="s">
        <v>646</v>
      </c>
      <c r="Z148" s="89" t="s">
        <v>646</v>
      </c>
      <c r="AA148" s="89" t="s">
        <v>646</v>
      </c>
      <c r="AB148" s="89" t="s">
        <v>646</v>
      </c>
      <c r="AC148" s="89" t="s">
        <v>646</v>
      </c>
      <c r="AD148" s="89" t="s">
        <v>646</v>
      </c>
      <c r="AE148" s="89" t="s">
        <v>646</v>
      </c>
      <c r="AF148" s="89" t="s">
        <v>18815</v>
      </c>
      <c r="AG148" s="89" t="s">
        <v>646</v>
      </c>
      <c r="AH148" s="89" t="s">
        <v>646</v>
      </c>
      <c r="AI148" s="89" t="s">
        <v>646</v>
      </c>
      <c r="AJ148" s="89" t="s">
        <v>646</v>
      </c>
      <c r="AK148" s="89" t="s">
        <v>18816</v>
      </c>
      <c r="AL148" s="89" t="s">
        <v>18817</v>
      </c>
      <c r="AM148" s="89" t="s">
        <v>646</v>
      </c>
      <c r="AN148" s="89" t="s">
        <v>646</v>
      </c>
      <c r="AO148" s="89" t="s">
        <v>646</v>
      </c>
      <c r="AP148" s="89" t="s">
        <v>646</v>
      </c>
      <c r="AQ148" s="89" t="s">
        <v>646</v>
      </c>
      <c r="AR148" s="89" t="s">
        <v>646</v>
      </c>
      <c r="AS148" s="89" t="s">
        <v>646</v>
      </c>
      <c r="AT148" s="89" t="s">
        <v>646</v>
      </c>
      <c r="AU148" s="89" t="s">
        <v>646</v>
      </c>
      <c r="AV148" s="89" t="s">
        <v>646</v>
      </c>
      <c r="AW148" s="89" t="s">
        <v>646</v>
      </c>
      <c r="AX148" s="89" t="s">
        <v>646</v>
      </c>
      <c r="AY148" s="89" t="s">
        <v>18579</v>
      </c>
      <c r="AZ148" s="89" t="s">
        <v>18580</v>
      </c>
      <c r="BA148" s="89" t="s">
        <v>646</v>
      </c>
      <c r="BB148" s="89" t="s">
        <v>646</v>
      </c>
      <c r="BC148" s="89" t="s">
        <v>646</v>
      </c>
      <c r="BD148" s="89" t="s">
        <v>17739</v>
      </c>
      <c r="BE148" s="89">
        <v>2016</v>
      </c>
      <c r="BF148" s="89">
        <v>106</v>
      </c>
      <c r="BG148" s="89">
        <v>2</v>
      </c>
      <c r="BH148" s="89" t="s">
        <v>646</v>
      </c>
      <c r="BI148" s="89" t="s">
        <v>646</v>
      </c>
      <c r="BJ148" s="89" t="s">
        <v>646</v>
      </c>
      <c r="BK148" s="89" t="s">
        <v>646</v>
      </c>
      <c r="BL148" s="89">
        <v>134</v>
      </c>
      <c r="BM148" s="89">
        <v>144</v>
      </c>
      <c r="BN148" s="89" t="s">
        <v>646</v>
      </c>
      <c r="BO148" s="89" t="str">
        <f>HYPERLINK("http://dx.doi.org/10.1002/jeab.220","http://dx.doi.org/10.1002/jeab.220")</f>
        <v>http://dx.doi.org/10.1002/jeab.220</v>
      </c>
      <c r="BP148" s="89" t="s">
        <v>646</v>
      </c>
      <c r="BQ148" s="89" t="s">
        <v>646</v>
      </c>
      <c r="BR148" s="89" t="s">
        <v>646</v>
      </c>
      <c r="BS148" s="89" t="s">
        <v>646</v>
      </c>
      <c r="BT148" s="89" t="s">
        <v>646</v>
      </c>
      <c r="BU148" s="89" t="s">
        <v>646</v>
      </c>
      <c r="BV148" s="89" t="s">
        <v>646</v>
      </c>
      <c r="BW148" s="89">
        <v>27565123</v>
      </c>
      <c r="BX148" s="89" t="s">
        <v>646</v>
      </c>
      <c r="BY148" s="89" t="s">
        <v>646</v>
      </c>
      <c r="BZ148" s="89" t="s">
        <v>646</v>
      </c>
      <c r="CA148" s="89" t="s">
        <v>646</v>
      </c>
      <c r="CB148" s="89" t="s">
        <v>18818</v>
      </c>
      <c r="CC148" s="89" t="str">
        <f>HYPERLINK("https%3A%2F%2Fwww.webofscience.com%2Fwos%2Fwoscc%2Ffull-record%2FWOS:000384818500003","View Full Record in Web of Science")</f>
        <v>View Full Record in Web of Science</v>
      </c>
    </row>
    <row r="149" spans="1:81" ht="13.2" hidden="1" x14ac:dyDescent="0.25">
      <c r="A149" s="89" t="s">
        <v>18819</v>
      </c>
      <c r="B149" s="89" t="e">
        <f>+#REF!</f>
        <v>#REF!</v>
      </c>
      <c r="C149" s="89"/>
      <c r="D149" s="91" t="s">
        <v>717</v>
      </c>
      <c r="E149" s="90" t="e">
        <v>#REF!</v>
      </c>
      <c r="F149" s="89"/>
      <c r="G149" s="89"/>
      <c r="H149" s="89" t="s">
        <v>16375</v>
      </c>
      <c r="I149" s="89" t="s">
        <v>18821</v>
      </c>
      <c r="J149" s="89" t="s">
        <v>18827</v>
      </c>
      <c r="K149" s="89" t="s">
        <v>18826</v>
      </c>
      <c r="M149" s="89">
        <v>2020</v>
      </c>
      <c r="N149" s="89" t="s">
        <v>18822</v>
      </c>
      <c r="O149" s="89" t="s">
        <v>18820</v>
      </c>
      <c r="P149" s="89" t="str">
        <f>HYPERLINK("http://dx.doi.org/10.1016/j.prostr.2020.10.124","http://dx.doi.org/10.1016/j.prostr.2020.10.124")</f>
        <v>http://dx.doi.org/10.1016/j.prostr.2020.10.124</v>
      </c>
      <c r="S149" s="89" t="s">
        <v>646</v>
      </c>
      <c r="U149" s="89" t="s">
        <v>17474</v>
      </c>
      <c r="W149" s="89" t="s">
        <v>646</v>
      </c>
      <c r="X149" s="89" t="s">
        <v>646</v>
      </c>
      <c r="Y149" s="89" t="s">
        <v>18823</v>
      </c>
      <c r="Z149" s="89" t="s">
        <v>18824</v>
      </c>
      <c r="AA149" s="89" t="s">
        <v>17494</v>
      </c>
      <c r="AB149" s="89" t="s">
        <v>18825</v>
      </c>
      <c r="AC149" s="89" t="s">
        <v>646</v>
      </c>
      <c r="AD149" s="89" t="s">
        <v>646</v>
      </c>
      <c r="AE149" s="89" t="s">
        <v>646</v>
      </c>
      <c r="AF149" s="89" t="s">
        <v>18826</v>
      </c>
      <c r="AG149" s="89" t="s">
        <v>646</v>
      </c>
      <c r="AH149" s="89" t="s">
        <v>646</v>
      </c>
      <c r="AI149" s="89" t="s">
        <v>646</v>
      </c>
      <c r="AJ149" s="89" t="s">
        <v>646</v>
      </c>
      <c r="AK149" s="89" t="s">
        <v>18827</v>
      </c>
      <c r="AL149" s="89" t="s">
        <v>18828</v>
      </c>
      <c r="AM149" s="89" t="s">
        <v>646</v>
      </c>
      <c r="AN149" s="89" t="s">
        <v>646</v>
      </c>
      <c r="AO149" s="89" t="s">
        <v>646</v>
      </c>
      <c r="AP149" s="89" t="s">
        <v>646</v>
      </c>
      <c r="AQ149" s="89" t="s">
        <v>646</v>
      </c>
      <c r="AR149" s="89" t="s">
        <v>646</v>
      </c>
      <c r="AS149" s="89" t="s">
        <v>646</v>
      </c>
      <c r="AT149" s="89" t="s">
        <v>646</v>
      </c>
      <c r="AU149" s="89" t="s">
        <v>646</v>
      </c>
      <c r="AV149" s="89" t="s">
        <v>646</v>
      </c>
      <c r="AW149" s="89" t="s">
        <v>646</v>
      </c>
      <c r="AX149" s="89" t="s">
        <v>646</v>
      </c>
      <c r="AY149" s="89" t="s">
        <v>18829</v>
      </c>
      <c r="AZ149" s="89" t="s">
        <v>646</v>
      </c>
      <c r="BA149" s="89" t="s">
        <v>646</v>
      </c>
      <c r="BB149" s="89" t="s">
        <v>646</v>
      </c>
      <c r="BC149" s="89" t="s">
        <v>646</v>
      </c>
      <c r="BD149" s="89" t="s">
        <v>646</v>
      </c>
      <c r="BE149" s="89">
        <v>2020</v>
      </c>
      <c r="BF149" s="89">
        <v>28</v>
      </c>
      <c r="BG149" s="89" t="s">
        <v>646</v>
      </c>
      <c r="BH149" s="89" t="s">
        <v>646</v>
      </c>
      <c r="BI149" s="89" t="s">
        <v>646</v>
      </c>
      <c r="BJ149" s="89" t="s">
        <v>646</v>
      </c>
      <c r="BK149" s="89" t="s">
        <v>646</v>
      </c>
      <c r="BL149" s="89">
        <v>1511</v>
      </c>
      <c r="BM149" s="89">
        <v>1519</v>
      </c>
      <c r="BN149" s="89" t="s">
        <v>646</v>
      </c>
      <c r="BO149" s="89" t="str">
        <f>HYPERLINK("http://dx.doi.org/10.1016/j.prostr.2020.10.124","http://dx.doi.org/10.1016/j.prostr.2020.10.124")</f>
        <v>http://dx.doi.org/10.1016/j.prostr.2020.10.124</v>
      </c>
      <c r="BP149" s="89" t="s">
        <v>646</v>
      </c>
      <c r="BQ149" s="89" t="s">
        <v>646</v>
      </c>
      <c r="BR149" s="89" t="s">
        <v>646</v>
      </c>
      <c r="BS149" s="89" t="s">
        <v>646</v>
      </c>
      <c r="BT149" s="89" t="s">
        <v>646</v>
      </c>
      <c r="BU149" s="89" t="s">
        <v>646</v>
      </c>
      <c r="BV149" s="89" t="s">
        <v>646</v>
      </c>
      <c r="BW149" s="89" t="s">
        <v>646</v>
      </c>
      <c r="BX149" s="89" t="s">
        <v>646</v>
      </c>
      <c r="BY149" s="89" t="s">
        <v>646</v>
      </c>
      <c r="BZ149" s="89" t="s">
        <v>646</v>
      </c>
      <c r="CA149" s="89" t="s">
        <v>646</v>
      </c>
      <c r="CB149" s="89" t="s">
        <v>18830</v>
      </c>
      <c r="CC149" s="89" t="str">
        <f>HYPERLINK("https%3A%2F%2Fwww.webofscience.com%2Fwos%2Fwoscc%2Ffull-record%2FWOS:000632387500171","View Full Record in Web of Science")</f>
        <v>View Full Record in Web of Science</v>
      </c>
    </row>
    <row r="150" spans="1:81" ht="13.2" hidden="1" x14ac:dyDescent="0.25">
      <c r="A150" s="89" t="s">
        <v>10888</v>
      </c>
      <c r="B150" s="89" t="e">
        <f>+#REF!</f>
        <v>#REF!</v>
      </c>
      <c r="C150" s="89"/>
      <c r="D150" s="91" t="s">
        <v>717</v>
      </c>
      <c r="E150" s="90" t="e">
        <v>#REF!</v>
      </c>
      <c r="F150" s="89"/>
      <c r="G150" s="89"/>
      <c r="H150" s="89" t="s">
        <v>10889</v>
      </c>
      <c r="I150" s="89" t="s">
        <v>18831</v>
      </c>
      <c r="J150" s="89" t="s">
        <v>18833</v>
      </c>
      <c r="K150" s="89" t="s">
        <v>18832</v>
      </c>
      <c r="M150" s="89">
        <v>2019</v>
      </c>
      <c r="N150" s="89" t="s">
        <v>18423</v>
      </c>
      <c r="O150" s="89" t="s">
        <v>646</v>
      </c>
      <c r="P150" s="89" t="str">
        <f>HYPERLINK("http://dx.doi.org/10.1109/ACCESS.2019.2909839","http://dx.doi.org/10.1109/ACCESS.2019.2909839")</f>
        <v>http://dx.doi.org/10.1109/ACCESS.2019.2909839</v>
      </c>
      <c r="S150" s="89" t="s">
        <v>646</v>
      </c>
      <c r="U150" s="89" t="s">
        <v>17462</v>
      </c>
      <c r="W150" s="89" t="s">
        <v>646</v>
      </c>
      <c r="X150" s="89" t="s">
        <v>646</v>
      </c>
      <c r="Y150" s="89" t="s">
        <v>646</v>
      </c>
      <c r="Z150" s="89" t="s">
        <v>646</v>
      </c>
      <c r="AA150" s="89" t="s">
        <v>646</v>
      </c>
      <c r="AB150" s="89" t="s">
        <v>646</v>
      </c>
      <c r="AC150" s="89" t="s">
        <v>646</v>
      </c>
      <c r="AD150" s="89" t="s">
        <v>646</v>
      </c>
      <c r="AE150" s="89" t="s">
        <v>646</v>
      </c>
      <c r="AF150" s="89" t="s">
        <v>18832</v>
      </c>
      <c r="AG150" s="89" t="s">
        <v>646</v>
      </c>
      <c r="AH150" s="89" t="s">
        <v>646</v>
      </c>
      <c r="AI150" s="89" t="s">
        <v>646</v>
      </c>
      <c r="AJ150" s="89" t="s">
        <v>646</v>
      </c>
      <c r="AK150" s="89" t="s">
        <v>18833</v>
      </c>
      <c r="AL150" s="89" t="s">
        <v>18834</v>
      </c>
      <c r="AM150" s="89" t="s">
        <v>646</v>
      </c>
      <c r="AN150" s="89" t="s">
        <v>646</v>
      </c>
      <c r="AO150" s="89" t="s">
        <v>646</v>
      </c>
      <c r="AP150" s="89" t="s">
        <v>646</v>
      </c>
      <c r="AQ150" s="89" t="s">
        <v>646</v>
      </c>
      <c r="AR150" s="89" t="s">
        <v>646</v>
      </c>
      <c r="AS150" s="89" t="s">
        <v>646</v>
      </c>
      <c r="AT150" s="89" t="s">
        <v>646</v>
      </c>
      <c r="AU150" s="89" t="s">
        <v>646</v>
      </c>
      <c r="AV150" s="89" t="s">
        <v>646</v>
      </c>
      <c r="AW150" s="89" t="s">
        <v>646</v>
      </c>
      <c r="AX150" s="89" t="s">
        <v>646</v>
      </c>
      <c r="AY150" s="89" t="s">
        <v>18427</v>
      </c>
      <c r="AZ150" s="89" t="s">
        <v>646</v>
      </c>
      <c r="BA150" s="89" t="s">
        <v>646</v>
      </c>
      <c r="BB150" s="89" t="s">
        <v>646</v>
      </c>
      <c r="BC150" s="89" t="s">
        <v>646</v>
      </c>
      <c r="BD150" s="89" t="s">
        <v>646</v>
      </c>
      <c r="BE150" s="89">
        <v>2019</v>
      </c>
      <c r="BF150" s="89">
        <v>7</v>
      </c>
      <c r="BG150" s="89" t="s">
        <v>646</v>
      </c>
      <c r="BH150" s="89" t="s">
        <v>646</v>
      </c>
      <c r="BI150" s="89" t="s">
        <v>646</v>
      </c>
      <c r="BJ150" s="89" t="s">
        <v>646</v>
      </c>
      <c r="BK150" s="89" t="s">
        <v>646</v>
      </c>
      <c r="BL150" s="89">
        <v>49352</v>
      </c>
      <c r="BM150" s="89">
        <v>49361</v>
      </c>
      <c r="BN150" s="89" t="s">
        <v>646</v>
      </c>
      <c r="BO150" s="89" t="str">
        <f>HYPERLINK("http://dx.doi.org/10.1109/ACCESS.2019.2909839","http://dx.doi.org/10.1109/ACCESS.2019.2909839")</f>
        <v>http://dx.doi.org/10.1109/ACCESS.2019.2909839</v>
      </c>
      <c r="BP150" s="89" t="s">
        <v>646</v>
      </c>
      <c r="BQ150" s="89" t="s">
        <v>646</v>
      </c>
      <c r="BR150" s="89" t="s">
        <v>646</v>
      </c>
      <c r="BS150" s="89" t="s">
        <v>646</v>
      </c>
      <c r="BT150" s="89" t="s">
        <v>646</v>
      </c>
      <c r="BU150" s="89" t="s">
        <v>646</v>
      </c>
      <c r="BV150" s="89" t="s">
        <v>646</v>
      </c>
      <c r="BW150" s="89" t="s">
        <v>646</v>
      </c>
      <c r="BX150" s="89" t="s">
        <v>646</v>
      </c>
      <c r="BY150" s="89" t="s">
        <v>646</v>
      </c>
      <c r="BZ150" s="89" t="s">
        <v>646</v>
      </c>
      <c r="CA150" s="89" t="s">
        <v>646</v>
      </c>
      <c r="CB150" s="89" t="s">
        <v>18835</v>
      </c>
      <c r="CC150" s="89" t="str">
        <f>HYPERLINK("https%3A%2F%2Fwww.webofscience.com%2Fwos%2Fwoscc%2Ffull-record%2FWOS:000466202400001","View Full Record in Web of Science")</f>
        <v>View Full Record in Web of Science</v>
      </c>
    </row>
    <row r="151" spans="1:81" ht="13.2" hidden="1" x14ac:dyDescent="0.25">
      <c r="A151" s="89" t="s">
        <v>10897</v>
      </c>
      <c r="B151" s="89" t="e">
        <f>+#REF!</f>
        <v>#REF!</v>
      </c>
      <c r="C151" s="89"/>
      <c r="D151" s="91" t="s">
        <v>717</v>
      </c>
      <c r="E151" s="90" t="e">
        <v>#REF!</v>
      </c>
      <c r="F151" s="89"/>
      <c r="G151" s="89"/>
      <c r="H151" s="89" t="s">
        <v>10898</v>
      </c>
      <c r="I151" s="89" t="s">
        <v>18836</v>
      </c>
      <c r="J151" s="89" t="s">
        <v>646</v>
      </c>
      <c r="K151" s="89" t="s">
        <v>18838</v>
      </c>
      <c r="M151" s="89">
        <v>2012</v>
      </c>
      <c r="N151" s="89" t="s">
        <v>18837</v>
      </c>
      <c r="O151" s="89" t="s">
        <v>646</v>
      </c>
      <c r="P151" s="89" t="str">
        <f>HYPERLINK("http://dx.doi.org/10.1002/smr.478","http://dx.doi.org/10.1002/smr.478")</f>
        <v>http://dx.doi.org/10.1002/smr.478</v>
      </c>
      <c r="S151" s="89" t="s">
        <v>646</v>
      </c>
      <c r="U151" s="89" t="s">
        <v>17462</v>
      </c>
      <c r="W151" s="89" t="s">
        <v>646</v>
      </c>
      <c r="X151" s="89" t="s">
        <v>646</v>
      </c>
      <c r="Y151" s="89" t="s">
        <v>646</v>
      </c>
      <c r="Z151" s="89" t="s">
        <v>646</v>
      </c>
      <c r="AA151" s="89" t="s">
        <v>646</v>
      </c>
      <c r="AB151" s="89" t="s">
        <v>646</v>
      </c>
      <c r="AC151" s="89" t="s">
        <v>646</v>
      </c>
      <c r="AD151" s="89" t="s">
        <v>646</v>
      </c>
      <c r="AE151" s="89" t="s">
        <v>646</v>
      </c>
      <c r="AF151" s="89" t="s">
        <v>18838</v>
      </c>
      <c r="AG151" s="89" t="s">
        <v>646</v>
      </c>
      <c r="AH151" s="89" t="s">
        <v>646</v>
      </c>
      <c r="AI151" s="89" t="s">
        <v>646</v>
      </c>
      <c r="AJ151" s="89" t="s">
        <v>646</v>
      </c>
      <c r="AK151" s="89" t="s">
        <v>646</v>
      </c>
      <c r="AL151" s="89" t="s">
        <v>646</v>
      </c>
      <c r="AM151" s="89" t="s">
        <v>646</v>
      </c>
      <c r="AN151" s="89" t="s">
        <v>646</v>
      </c>
      <c r="AO151" s="89" t="s">
        <v>646</v>
      </c>
      <c r="AP151" s="89" t="s">
        <v>646</v>
      </c>
      <c r="AQ151" s="89" t="s">
        <v>646</v>
      </c>
      <c r="AR151" s="89" t="s">
        <v>646</v>
      </c>
      <c r="AS151" s="89" t="s">
        <v>646</v>
      </c>
      <c r="AT151" s="89" t="s">
        <v>646</v>
      </c>
      <c r="AU151" s="89" t="s">
        <v>646</v>
      </c>
      <c r="AV151" s="89" t="s">
        <v>646</v>
      </c>
      <c r="AW151" s="89" t="s">
        <v>646</v>
      </c>
      <c r="AX151" s="89" t="s">
        <v>646</v>
      </c>
      <c r="AY151" s="89" t="s">
        <v>18839</v>
      </c>
      <c r="AZ151" s="89" t="s">
        <v>18840</v>
      </c>
      <c r="BA151" s="89" t="s">
        <v>646</v>
      </c>
      <c r="BB151" s="89" t="s">
        <v>646</v>
      </c>
      <c r="BC151" s="89" t="s">
        <v>646</v>
      </c>
      <c r="BD151" s="89" t="s">
        <v>17779</v>
      </c>
      <c r="BE151" s="89">
        <v>2012</v>
      </c>
      <c r="BF151" s="89">
        <v>24</v>
      </c>
      <c r="BG151" s="89">
        <v>2</v>
      </c>
      <c r="BH151" s="89" t="s">
        <v>646</v>
      </c>
      <c r="BI151" s="89" t="s">
        <v>646</v>
      </c>
      <c r="BJ151" s="89" t="s">
        <v>17555</v>
      </c>
      <c r="BK151" s="89" t="s">
        <v>646</v>
      </c>
      <c r="BL151" s="89">
        <v>207</v>
      </c>
      <c r="BM151" s="89">
        <v>229</v>
      </c>
      <c r="BN151" s="89" t="s">
        <v>646</v>
      </c>
      <c r="BO151" s="89" t="str">
        <f>HYPERLINK("http://dx.doi.org/10.1002/smr.478","http://dx.doi.org/10.1002/smr.478")</f>
        <v>http://dx.doi.org/10.1002/smr.478</v>
      </c>
      <c r="BP151" s="89" t="s">
        <v>646</v>
      </c>
      <c r="BQ151" s="89" t="s">
        <v>646</v>
      </c>
      <c r="BR151" s="89" t="s">
        <v>646</v>
      </c>
      <c r="BS151" s="89" t="s">
        <v>646</v>
      </c>
      <c r="BT151" s="89" t="s">
        <v>646</v>
      </c>
      <c r="BU151" s="89" t="s">
        <v>646</v>
      </c>
      <c r="BV151" s="89" t="s">
        <v>646</v>
      </c>
      <c r="BW151" s="89" t="s">
        <v>646</v>
      </c>
      <c r="BX151" s="89" t="s">
        <v>646</v>
      </c>
      <c r="BY151" s="89" t="s">
        <v>646</v>
      </c>
      <c r="BZ151" s="89" t="s">
        <v>646</v>
      </c>
      <c r="CA151" s="89" t="s">
        <v>646</v>
      </c>
      <c r="CB151" s="89" t="s">
        <v>18841</v>
      </c>
      <c r="CC151" s="89" t="str">
        <f>HYPERLINK("https%3A%2F%2Fwww.webofscience.com%2Fwos%2Fwoscc%2Ffull-record%2FWOS:000301645500007","View Full Record in Web of Science")</f>
        <v>View Full Record in Web of Science</v>
      </c>
    </row>
    <row r="152" spans="1:81" ht="13.2" hidden="1" x14ac:dyDescent="0.25">
      <c r="A152" s="89" t="s">
        <v>18842</v>
      </c>
      <c r="B152" s="89" t="e">
        <f>+#REF!</f>
        <v>#REF!</v>
      </c>
      <c r="C152" s="89"/>
      <c r="D152" s="91" t="s">
        <v>717</v>
      </c>
      <c r="E152" s="90" t="e">
        <v>#REF!</v>
      </c>
      <c r="F152" s="89"/>
      <c r="G152" s="89"/>
      <c r="H152" s="89" t="s">
        <v>646</v>
      </c>
      <c r="I152" s="89" t="s">
        <v>18844</v>
      </c>
      <c r="J152" s="89" t="s">
        <v>646</v>
      </c>
      <c r="K152" s="89" t="s">
        <v>18849</v>
      </c>
      <c r="M152" s="89">
        <v>2007</v>
      </c>
      <c r="N152" s="89" t="s">
        <v>18845</v>
      </c>
      <c r="O152" s="89" t="s">
        <v>18843</v>
      </c>
      <c r="P152" s="89" t="s">
        <v>646</v>
      </c>
      <c r="S152" s="89" t="s">
        <v>646</v>
      </c>
      <c r="U152" s="89" t="s">
        <v>17474</v>
      </c>
      <c r="W152" s="89" t="s">
        <v>646</v>
      </c>
      <c r="X152" s="89" t="s">
        <v>646</v>
      </c>
      <c r="Y152" s="89" t="s">
        <v>18846</v>
      </c>
      <c r="Z152" s="89" t="s">
        <v>18847</v>
      </c>
      <c r="AA152" s="89" t="s">
        <v>18848</v>
      </c>
      <c r="AB152" s="89" t="s">
        <v>646</v>
      </c>
      <c r="AC152" s="89" t="s">
        <v>646</v>
      </c>
      <c r="AD152" s="89" t="s">
        <v>646</v>
      </c>
      <c r="AE152" s="89" t="s">
        <v>646</v>
      </c>
      <c r="AF152" s="89" t="s">
        <v>18849</v>
      </c>
      <c r="AG152" s="89" t="s">
        <v>646</v>
      </c>
      <c r="AH152" s="89" t="s">
        <v>646</v>
      </c>
      <c r="AI152" s="89" t="s">
        <v>646</v>
      </c>
      <c r="AJ152" s="89" t="s">
        <v>646</v>
      </c>
      <c r="AK152" s="89" t="s">
        <v>646</v>
      </c>
      <c r="AL152" s="89" t="s">
        <v>18850</v>
      </c>
      <c r="AM152" s="89" t="s">
        <v>646</v>
      </c>
      <c r="AN152" s="89" t="s">
        <v>646</v>
      </c>
      <c r="AO152" s="89" t="s">
        <v>646</v>
      </c>
      <c r="AP152" s="89" t="s">
        <v>646</v>
      </c>
      <c r="AQ152" s="89" t="s">
        <v>646</v>
      </c>
      <c r="AR152" s="89" t="s">
        <v>646</v>
      </c>
      <c r="AS152" s="89" t="s">
        <v>646</v>
      </c>
      <c r="AT152" s="89" t="s">
        <v>646</v>
      </c>
      <c r="AU152" s="89" t="s">
        <v>646</v>
      </c>
      <c r="AV152" s="89" t="s">
        <v>646</v>
      </c>
      <c r="AW152" s="89" t="s">
        <v>646</v>
      </c>
      <c r="AX152" s="89" t="s">
        <v>646</v>
      </c>
      <c r="AY152" s="89" t="s">
        <v>646</v>
      </c>
      <c r="AZ152" s="89" t="s">
        <v>646</v>
      </c>
      <c r="BA152" s="89" t="s">
        <v>18851</v>
      </c>
      <c r="BB152" s="89" t="s">
        <v>646</v>
      </c>
      <c r="BC152" s="89" t="s">
        <v>646</v>
      </c>
      <c r="BD152" s="89" t="s">
        <v>646</v>
      </c>
      <c r="BE152" s="89">
        <v>2007</v>
      </c>
      <c r="BF152" s="89" t="s">
        <v>646</v>
      </c>
      <c r="BG152" s="89" t="s">
        <v>646</v>
      </c>
      <c r="BH152" s="89" t="s">
        <v>646</v>
      </c>
      <c r="BI152" s="89" t="s">
        <v>646</v>
      </c>
      <c r="BJ152" s="89" t="s">
        <v>646</v>
      </c>
      <c r="BK152" s="89" t="s">
        <v>646</v>
      </c>
      <c r="BL152" s="89">
        <v>381</v>
      </c>
      <c r="BM152" s="89" t="s">
        <v>18405</v>
      </c>
      <c r="BN152" s="89" t="s">
        <v>646</v>
      </c>
      <c r="BO152" s="89" t="s">
        <v>646</v>
      </c>
      <c r="BP152" s="89" t="s">
        <v>646</v>
      </c>
      <c r="BQ152" s="89" t="s">
        <v>646</v>
      </c>
      <c r="BR152" s="89" t="s">
        <v>646</v>
      </c>
      <c r="BS152" s="89" t="s">
        <v>646</v>
      </c>
      <c r="BT152" s="89" t="s">
        <v>646</v>
      </c>
      <c r="BU152" s="89" t="s">
        <v>646</v>
      </c>
      <c r="BV152" s="89" t="s">
        <v>646</v>
      </c>
      <c r="BW152" s="89" t="s">
        <v>646</v>
      </c>
      <c r="BX152" s="89" t="s">
        <v>646</v>
      </c>
      <c r="BY152" s="89" t="s">
        <v>646</v>
      </c>
      <c r="BZ152" s="89" t="s">
        <v>646</v>
      </c>
      <c r="CA152" s="89" t="s">
        <v>646</v>
      </c>
      <c r="CB152" s="89" t="s">
        <v>18852</v>
      </c>
      <c r="CC152" s="89" t="str">
        <f>HYPERLINK("https%3A%2F%2Fwww.webofscience.com%2Fwos%2Fwoscc%2Ffull-record%2FWOS:000264665900042","View Full Record in Web of Science")</f>
        <v>View Full Record in Web of Science</v>
      </c>
    </row>
    <row r="153" spans="1:81" ht="13.2" hidden="1" x14ac:dyDescent="0.25">
      <c r="A153" s="89" t="s">
        <v>18853</v>
      </c>
      <c r="B153" s="89" t="e">
        <f>+#REF!</f>
        <v>#REF!</v>
      </c>
      <c r="C153" s="89"/>
      <c r="D153" s="91" t="s">
        <v>717</v>
      </c>
      <c r="E153" s="90" t="e">
        <v>#REF!</v>
      </c>
      <c r="F153" s="89"/>
      <c r="G153" s="89"/>
      <c r="H153" s="89" t="s">
        <v>10917</v>
      </c>
      <c r="I153" s="89" t="s">
        <v>18836</v>
      </c>
      <c r="J153" s="89" t="s">
        <v>646</v>
      </c>
      <c r="K153" s="89" t="s">
        <v>18854</v>
      </c>
      <c r="M153" s="89">
        <v>2009</v>
      </c>
      <c r="N153" s="89" t="s">
        <v>18760</v>
      </c>
      <c r="O153" s="89" t="s">
        <v>646</v>
      </c>
      <c r="P153" s="89" t="str">
        <f>HYPERLINK("http://dx.doi.org/10.1109/ICGSE.2009.17","http://dx.doi.org/10.1109/ICGSE.2009.17")</f>
        <v>http://dx.doi.org/10.1109/ICGSE.2009.17</v>
      </c>
      <c r="S153" s="89" t="s">
        <v>18758</v>
      </c>
      <c r="U153" s="89" t="s">
        <v>17474</v>
      </c>
      <c r="W153" s="89" t="s">
        <v>646</v>
      </c>
      <c r="X153" s="89" t="s">
        <v>646</v>
      </c>
      <c r="Y153" s="89" t="s">
        <v>18761</v>
      </c>
      <c r="Z153" s="89" t="s">
        <v>18762</v>
      </c>
      <c r="AA153" s="89" t="s">
        <v>18763</v>
      </c>
      <c r="AB153" s="89" t="s">
        <v>18764</v>
      </c>
      <c r="AC153" s="89" t="s">
        <v>646</v>
      </c>
      <c r="AD153" s="89" t="s">
        <v>646</v>
      </c>
      <c r="AE153" s="89" t="s">
        <v>646</v>
      </c>
      <c r="AF153" s="89" t="s">
        <v>18854</v>
      </c>
      <c r="AG153" s="89" t="s">
        <v>646</v>
      </c>
      <c r="AH153" s="89" t="s">
        <v>646</v>
      </c>
      <c r="AI153" s="89" t="s">
        <v>646</v>
      </c>
      <c r="AJ153" s="89" t="s">
        <v>646</v>
      </c>
      <c r="AK153" s="89" t="s">
        <v>646</v>
      </c>
      <c r="AL153" s="89" t="s">
        <v>646</v>
      </c>
      <c r="AM153" s="89" t="s">
        <v>646</v>
      </c>
      <c r="AN153" s="89" t="s">
        <v>646</v>
      </c>
      <c r="AO153" s="89" t="s">
        <v>646</v>
      </c>
      <c r="AP153" s="89" t="s">
        <v>646</v>
      </c>
      <c r="AQ153" s="89" t="s">
        <v>646</v>
      </c>
      <c r="AR153" s="89" t="s">
        <v>646</v>
      </c>
      <c r="AS153" s="89" t="s">
        <v>646</v>
      </c>
      <c r="AT153" s="89" t="s">
        <v>646</v>
      </c>
      <c r="AU153" s="89" t="s">
        <v>646</v>
      </c>
      <c r="AV153" s="89" t="s">
        <v>646</v>
      </c>
      <c r="AW153" s="89" t="s">
        <v>646</v>
      </c>
      <c r="AX153" s="89" t="s">
        <v>646</v>
      </c>
      <c r="AY153" s="89" t="s">
        <v>18768</v>
      </c>
      <c r="AZ153" s="89" t="s">
        <v>646</v>
      </c>
      <c r="BA153" s="89" t="s">
        <v>18769</v>
      </c>
      <c r="BB153" s="89" t="s">
        <v>646</v>
      </c>
      <c r="BC153" s="89" t="s">
        <v>646</v>
      </c>
      <c r="BD153" s="89" t="s">
        <v>646</v>
      </c>
      <c r="BE153" s="89">
        <v>2009</v>
      </c>
      <c r="BF153" s="89" t="s">
        <v>646</v>
      </c>
      <c r="BG153" s="89" t="s">
        <v>646</v>
      </c>
      <c r="BH153" s="89" t="s">
        <v>646</v>
      </c>
      <c r="BI153" s="89" t="s">
        <v>646</v>
      </c>
      <c r="BJ153" s="89" t="s">
        <v>646</v>
      </c>
      <c r="BK153" s="89" t="s">
        <v>646</v>
      </c>
      <c r="BL153" s="89">
        <v>93</v>
      </c>
      <c r="BM153" s="89">
        <v>102</v>
      </c>
      <c r="BN153" s="89" t="s">
        <v>646</v>
      </c>
      <c r="BO153" s="89" t="str">
        <f>HYPERLINK("http://dx.doi.org/10.1109/ICGSE.2009.17","http://dx.doi.org/10.1109/ICGSE.2009.17")</f>
        <v>http://dx.doi.org/10.1109/ICGSE.2009.17</v>
      </c>
      <c r="BP153" s="89" t="s">
        <v>646</v>
      </c>
      <c r="BQ153" s="89" t="s">
        <v>646</v>
      </c>
      <c r="BR153" s="89" t="s">
        <v>646</v>
      </c>
      <c r="BS153" s="89" t="s">
        <v>646</v>
      </c>
      <c r="BT153" s="89" t="s">
        <v>646</v>
      </c>
      <c r="BU153" s="89" t="s">
        <v>646</v>
      </c>
      <c r="BV153" s="89" t="s">
        <v>646</v>
      </c>
      <c r="BW153" s="89" t="s">
        <v>646</v>
      </c>
      <c r="BX153" s="89" t="s">
        <v>646</v>
      </c>
      <c r="BY153" s="89" t="s">
        <v>646</v>
      </c>
      <c r="BZ153" s="89" t="s">
        <v>646</v>
      </c>
      <c r="CA153" s="89" t="s">
        <v>646</v>
      </c>
      <c r="CB153" s="89" t="s">
        <v>18855</v>
      </c>
      <c r="CC153" s="89" t="str">
        <f>HYPERLINK("https%3A%2F%2Fwww.webofscience.com%2Fwos%2Fwoscc%2Ffull-record%2FWOS:000272550200010","View Full Record in Web of Science")</f>
        <v>View Full Record in Web of Science</v>
      </c>
    </row>
    <row r="154" spans="1:81" ht="13.2" hidden="1" x14ac:dyDescent="0.25">
      <c r="A154" s="89" t="s">
        <v>18856</v>
      </c>
      <c r="B154" s="89" t="e">
        <f>+#REF!</f>
        <v>#REF!</v>
      </c>
      <c r="C154" s="89"/>
      <c r="D154" s="91" t="s">
        <v>717</v>
      </c>
      <c r="E154" s="90" t="e">
        <v>#REF!</v>
      </c>
      <c r="F154" s="89"/>
      <c r="G154" s="89"/>
      <c r="H154" s="89" t="s">
        <v>762</v>
      </c>
      <c r="I154" s="89" t="s">
        <v>18857</v>
      </c>
      <c r="J154" s="89" t="s">
        <v>18864</v>
      </c>
      <c r="K154" s="89" t="s">
        <v>18863</v>
      </c>
      <c r="M154" s="89">
        <v>2017</v>
      </c>
      <c r="N154" s="89" t="s">
        <v>18858</v>
      </c>
      <c r="O154" s="89" t="s">
        <v>646</v>
      </c>
      <c r="P154" s="89" t="str">
        <f>HYPERLINK("http://dx.doi.org/10.1109/ICSE-C.2017.145","http://dx.doi.org/10.1109/ICSE-C.2017.145")</f>
        <v>http://dx.doi.org/10.1109/ICSE-C.2017.145</v>
      </c>
      <c r="S154" s="89" t="s">
        <v>17475</v>
      </c>
      <c r="U154" s="89" t="s">
        <v>17474</v>
      </c>
      <c r="W154" s="89" t="s">
        <v>646</v>
      </c>
      <c r="X154" s="89" t="s">
        <v>646</v>
      </c>
      <c r="Y154" s="89" t="s">
        <v>18859</v>
      </c>
      <c r="Z154" s="89" t="s">
        <v>18860</v>
      </c>
      <c r="AA154" s="89" t="s">
        <v>18861</v>
      </c>
      <c r="AB154" s="89" t="s">
        <v>18862</v>
      </c>
      <c r="AC154" s="89" t="s">
        <v>646</v>
      </c>
      <c r="AD154" s="89" t="s">
        <v>646</v>
      </c>
      <c r="AE154" s="89" t="s">
        <v>646</v>
      </c>
      <c r="AF154" s="89" t="s">
        <v>18863</v>
      </c>
      <c r="AG154" s="89" t="s">
        <v>646</v>
      </c>
      <c r="AH154" s="89" t="s">
        <v>646</v>
      </c>
      <c r="AI154" s="89" t="s">
        <v>646</v>
      </c>
      <c r="AJ154" s="89" t="s">
        <v>646</v>
      </c>
      <c r="AK154" s="89" t="s">
        <v>18864</v>
      </c>
      <c r="AL154" s="89" t="s">
        <v>646</v>
      </c>
      <c r="AM154" s="89" t="s">
        <v>646</v>
      </c>
      <c r="AN154" s="89" t="s">
        <v>646</v>
      </c>
      <c r="AO154" s="89" t="s">
        <v>646</v>
      </c>
      <c r="AP154" s="89" t="s">
        <v>646</v>
      </c>
      <c r="AQ154" s="89" t="s">
        <v>646</v>
      </c>
      <c r="AR154" s="89" t="s">
        <v>646</v>
      </c>
      <c r="AS154" s="89" t="s">
        <v>646</v>
      </c>
      <c r="AT154" s="89" t="s">
        <v>646</v>
      </c>
      <c r="AU154" s="89" t="s">
        <v>646</v>
      </c>
      <c r="AV154" s="89" t="s">
        <v>646</v>
      </c>
      <c r="AW154" s="89" t="s">
        <v>646</v>
      </c>
      <c r="AX154" s="89" t="s">
        <v>646</v>
      </c>
      <c r="AY154" s="89" t="s">
        <v>18865</v>
      </c>
      <c r="AZ154" s="89" t="s">
        <v>646</v>
      </c>
      <c r="BA154" s="89" t="s">
        <v>18866</v>
      </c>
      <c r="BB154" s="89" t="s">
        <v>646</v>
      </c>
      <c r="BC154" s="89" t="s">
        <v>646</v>
      </c>
      <c r="BD154" s="89" t="s">
        <v>646</v>
      </c>
      <c r="BE154" s="89">
        <v>2017</v>
      </c>
      <c r="BF154" s="89" t="s">
        <v>646</v>
      </c>
      <c r="BG154" s="89" t="s">
        <v>646</v>
      </c>
      <c r="BH154" s="89" t="s">
        <v>646</v>
      </c>
      <c r="BI154" s="89" t="s">
        <v>646</v>
      </c>
      <c r="BJ154" s="89" t="s">
        <v>646</v>
      </c>
      <c r="BK154" s="89" t="s">
        <v>646</v>
      </c>
      <c r="BL154" s="89">
        <v>115</v>
      </c>
      <c r="BM154" s="89">
        <v>117</v>
      </c>
      <c r="BN154" s="89" t="s">
        <v>646</v>
      </c>
      <c r="BO154" s="89" t="str">
        <f>HYPERLINK("http://dx.doi.org/10.1109/ICSE-C.2017.145","http://dx.doi.org/10.1109/ICSE-C.2017.145")</f>
        <v>http://dx.doi.org/10.1109/ICSE-C.2017.145</v>
      </c>
      <c r="BP154" s="89" t="s">
        <v>646</v>
      </c>
      <c r="BQ154" s="89" t="s">
        <v>646</v>
      </c>
      <c r="BR154" s="89" t="s">
        <v>646</v>
      </c>
      <c r="BS154" s="89" t="s">
        <v>646</v>
      </c>
      <c r="BT154" s="89" t="s">
        <v>646</v>
      </c>
      <c r="BU154" s="89" t="s">
        <v>646</v>
      </c>
      <c r="BV154" s="89" t="s">
        <v>646</v>
      </c>
      <c r="BW154" s="89" t="s">
        <v>646</v>
      </c>
      <c r="BX154" s="89" t="s">
        <v>646</v>
      </c>
      <c r="BY154" s="89" t="s">
        <v>646</v>
      </c>
      <c r="BZ154" s="89" t="s">
        <v>646</v>
      </c>
      <c r="CA154" s="89" t="s">
        <v>646</v>
      </c>
      <c r="CB154" s="89" t="s">
        <v>18867</v>
      </c>
      <c r="CC154" s="89" t="str">
        <f>HYPERLINK("https%3A%2F%2Fwww.webofscience.com%2Fwos%2Fwoscc%2Ffull-record%2FWOS:000425916900031","View Full Record in Web of Science")</f>
        <v>View Full Record in Web of Science</v>
      </c>
    </row>
    <row r="155" spans="1:81" ht="13.2" hidden="1" x14ac:dyDescent="0.25">
      <c r="A155" s="89" t="s">
        <v>1224</v>
      </c>
      <c r="B155" s="89" t="e">
        <f>+#REF!</f>
        <v>#REF!</v>
      </c>
      <c r="C155" s="89"/>
      <c r="D155" s="91" t="s">
        <v>717</v>
      </c>
      <c r="E155" s="90" t="e">
        <v>#REF!</v>
      </c>
      <c r="F155" s="89"/>
      <c r="G155" s="89"/>
      <c r="H155" s="89" t="s">
        <v>1226</v>
      </c>
      <c r="I155" s="89" t="s">
        <v>18868</v>
      </c>
      <c r="J155" s="89" t="s">
        <v>18870</v>
      </c>
      <c r="K155" s="89" t="s">
        <v>18869</v>
      </c>
      <c r="M155" s="89">
        <v>2021</v>
      </c>
      <c r="N155" s="89" t="s">
        <v>18837</v>
      </c>
      <c r="O155" s="89" t="s">
        <v>646</v>
      </c>
      <c r="P155" s="89" t="str">
        <f>HYPERLINK("http://dx.doi.org/10.1002/smr.2292","http://dx.doi.org/10.1002/smr.2292")</f>
        <v>http://dx.doi.org/10.1002/smr.2292</v>
      </c>
      <c r="S155" s="89" t="s">
        <v>646</v>
      </c>
      <c r="U155" s="89" t="s">
        <v>17462</v>
      </c>
      <c r="W155" s="89" t="s">
        <v>646</v>
      </c>
      <c r="X155" s="89" t="s">
        <v>646</v>
      </c>
      <c r="Y155" s="89" t="s">
        <v>646</v>
      </c>
      <c r="Z155" s="89" t="s">
        <v>646</v>
      </c>
      <c r="AA155" s="89" t="s">
        <v>646</v>
      </c>
      <c r="AB155" s="89" t="s">
        <v>646</v>
      </c>
      <c r="AC155" s="89" t="s">
        <v>646</v>
      </c>
      <c r="AD155" s="89" t="s">
        <v>646</v>
      </c>
      <c r="AE155" s="89" t="s">
        <v>646</v>
      </c>
      <c r="AF155" s="89" t="s">
        <v>18869</v>
      </c>
      <c r="AG155" s="89" t="s">
        <v>646</v>
      </c>
      <c r="AH155" s="89" t="s">
        <v>646</v>
      </c>
      <c r="AI155" s="89" t="s">
        <v>646</v>
      </c>
      <c r="AJ155" s="89" t="s">
        <v>646</v>
      </c>
      <c r="AK155" s="89" t="s">
        <v>18870</v>
      </c>
      <c r="AL155" s="89" t="s">
        <v>18871</v>
      </c>
      <c r="AM155" s="89" t="s">
        <v>646</v>
      </c>
      <c r="AN155" s="89" t="s">
        <v>646</v>
      </c>
      <c r="AO155" s="89" t="s">
        <v>646</v>
      </c>
      <c r="AP155" s="89" t="s">
        <v>646</v>
      </c>
      <c r="AQ155" s="89" t="s">
        <v>646</v>
      </c>
      <c r="AR155" s="89" t="s">
        <v>646</v>
      </c>
      <c r="AS155" s="89" t="s">
        <v>646</v>
      </c>
      <c r="AT155" s="89" t="s">
        <v>646</v>
      </c>
      <c r="AU155" s="89" t="s">
        <v>646</v>
      </c>
      <c r="AV155" s="89" t="s">
        <v>646</v>
      </c>
      <c r="AW155" s="89" t="s">
        <v>646</v>
      </c>
      <c r="AX155" s="89" t="s">
        <v>646</v>
      </c>
      <c r="AY155" s="89" t="s">
        <v>18839</v>
      </c>
      <c r="AZ155" s="89" t="s">
        <v>18840</v>
      </c>
      <c r="BA155" s="89" t="s">
        <v>646</v>
      </c>
      <c r="BB155" s="89" t="s">
        <v>646</v>
      </c>
      <c r="BC155" s="89" t="s">
        <v>646</v>
      </c>
      <c r="BD155" s="89" t="s">
        <v>17658</v>
      </c>
      <c r="BE155" s="89">
        <v>2021</v>
      </c>
      <c r="BF155" s="89">
        <v>33</v>
      </c>
      <c r="BG155" s="89">
        <v>2</v>
      </c>
      <c r="BH155" s="89" t="s">
        <v>646</v>
      </c>
      <c r="BI155" s="89" t="s">
        <v>646</v>
      </c>
      <c r="BJ155" s="89" t="s">
        <v>646</v>
      </c>
      <c r="BK155" s="89" t="s">
        <v>646</v>
      </c>
      <c r="BL155" s="89" t="s">
        <v>646</v>
      </c>
      <c r="BM155" s="89" t="s">
        <v>646</v>
      </c>
      <c r="BN155" s="89" t="s">
        <v>18872</v>
      </c>
      <c r="BO155" s="89" t="str">
        <f>HYPERLINK("http://dx.doi.org/10.1002/smr.2292","http://dx.doi.org/10.1002/smr.2292")</f>
        <v>http://dx.doi.org/10.1002/smr.2292</v>
      </c>
      <c r="BP155" s="89" t="s">
        <v>646</v>
      </c>
      <c r="BQ155" s="89" t="s">
        <v>18873</v>
      </c>
      <c r="BR155" s="89" t="s">
        <v>646</v>
      </c>
      <c r="BS155" s="89" t="s">
        <v>646</v>
      </c>
      <c r="BT155" s="89" t="s">
        <v>646</v>
      </c>
      <c r="BU155" s="89" t="s">
        <v>646</v>
      </c>
      <c r="BV155" s="89" t="s">
        <v>646</v>
      </c>
      <c r="BW155" s="89" t="s">
        <v>646</v>
      </c>
      <c r="BX155" s="89" t="s">
        <v>646</v>
      </c>
      <c r="BY155" s="89" t="s">
        <v>646</v>
      </c>
      <c r="BZ155" s="89" t="s">
        <v>646</v>
      </c>
      <c r="CA155" s="89" t="s">
        <v>646</v>
      </c>
      <c r="CB155" s="89" t="s">
        <v>18874</v>
      </c>
      <c r="CC155" s="89" t="str">
        <f>HYPERLINK("https%3A%2F%2Fwww.webofscience.com%2Fwos%2Fwoscc%2Ffull-record%2FWOS:000545856200001","View Full Record in Web of Science")</f>
        <v>View Full Record in Web of Science</v>
      </c>
    </row>
    <row r="156" spans="1:81" ht="13.2" hidden="1" x14ac:dyDescent="0.25">
      <c r="A156" s="89" t="s">
        <v>18875</v>
      </c>
      <c r="B156" s="89" t="e">
        <f>+#REF!</f>
        <v>#REF!</v>
      </c>
      <c r="C156" s="89"/>
      <c r="D156" s="91" t="s">
        <v>717</v>
      </c>
      <c r="E156" s="90" t="e">
        <v>#REF!</v>
      </c>
      <c r="F156" s="89"/>
      <c r="G156" s="89"/>
      <c r="H156" s="89" t="s">
        <v>1205</v>
      </c>
      <c r="I156" s="89" t="s">
        <v>18877</v>
      </c>
      <c r="J156" s="89" t="s">
        <v>646</v>
      </c>
      <c r="K156" s="89" t="s">
        <v>18883</v>
      </c>
      <c r="M156" s="89">
        <v>2018</v>
      </c>
      <c r="N156" s="89" t="s">
        <v>18878</v>
      </c>
      <c r="O156" s="89" t="s">
        <v>18876</v>
      </c>
      <c r="P156" s="89" t="str">
        <f>HYPERLINK("http://dx.doi.org/10.1007/978-3-030-02837-4_18","http://dx.doi.org/10.1007/978-3-030-02837-4_18")</f>
        <v>http://dx.doi.org/10.1007/978-3-030-02837-4_18</v>
      </c>
      <c r="S156" s="89" t="s">
        <v>646</v>
      </c>
      <c r="U156" s="89" t="s">
        <v>17474</v>
      </c>
      <c r="W156" s="89" t="s">
        <v>646</v>
      </c>
      <c r="X156" s="89" t="s">
        <v>646</v>
      </c>
      <c r="Y156" s="89" t="s">
        <v>18879</v>
      </c>
      <c r="Z156" s="89" t="s">
        <v>18880</v>
      </c>
      <c r="AA156" s="89" t="s">
        <v>18881</v>
      </c>
      <c r="AB156" s="89" t="s">
        <v>18882</v>
      </c>
      <c r="AC156" s="89" t="s">
        <v>646</v>
      </c>
      <c r="AD156" s="89" t="s">
        <v>646</v>
      </c>
      <c r="AE156" s="89" t="s">
        <v>646</v>
      </c>
      <c r="AF156" s="89" t="s">
        <v>18883</v>
      </c>
      <c r="AG156" s="89" t="s">
        <v>646</v>
      </c>
      <c r="AH156" s="89" t="s">
        <v>646</v>
      </c>
      <c r="AI156" s="89" t="s">
        <v>646</v>
      </c>
      <c r="AJ156" s="89" t="s">
        <v>646</v>
      </c>
      <c r="AK156" s="89" t="s">
        <v>646</v>
      </c>
      <c r="AL156" s="89" t="s">
        <v>646</v>
      </c>
      <c r="AM156" s="89" t="s">
        <v>646</v>
      </c>
      <c r="AN156" s="89" t="s">
        <v>646</v>
      </c>
      <c r="AO156" s="89" t="s">
        <v>646</v>
      </c>
      <c r="AP156" s="89" t="s">
        <v>646</v>
      </c>
      <c r="AQ156" s="89" t="s">
        <v>646</v>
      </c>
      <c r="AR156" s="89" t="s">
        <v>646</v>
      </c>
      <c r="AS156" s="89" t="s">
        <v>646</v>
      </c>
      <c r="AT156" s="89" t="s">
        <v>646</v>
      </c>
      <c r="AU156" s="89" t="s">
        <v>646</v>
      </c>
      <c r="AV156" s="89" t="s">
        <v>646</v>
      </c>
      <c r="AW156" s="89" t="s">
        <v>646</v>
      </c>
      <c r="AX156" s="89" t="s">
        <v>646</v>
      </c>
      <c r="AY156" s="89" t="s">
        <v>18367</v>
      </c>
      <c r="AZ156" s="89" t="s">
        <v>18884</v>
      </c>
      <c r="BA156" s="89" t="s">
        <v>18885</v>
      </c>
      <c r="BB156" s="89" t="s">
        <v>646</v>
      </c>
      <c r="BC156" s="89" t="s">
        <v>646</v>
      </c>
      <c r="BD156" s="89" t="s">
        <v>646</v>
      </c>
      <c r="BE156" s="89">
        <v>2018</v>
      </c>
      <c r="BF156" s="89">
        <v>10632</v>
      </c>
      <c r="BG156" s="89" t="s">
        <v>646</v>
      </c>
      <c r="BH156" s="89" t="s">
        <v>646</v>
      </c>
      <c r="BI156" s="89" t="s">
        <v>646</v>
      </c>
      <c r="BJ156" s="89" t="s">
        <v>646</v>
      </c>
      <c r="BK156" s="89" t="s">
        <v>646</v>
      </c>
      <c r="BL156" s="89">
        <v>221</v>
      </c>
      <c r="BM156" s="89">
        <v>235</v>
      </c>
      <c r="BN156" s="89" t="s">
        <v>646</v>
      </c>
      <c r="BO156" s="89" t="str">
        <f>HYPERLINK("http://dx.doi.org/10.1007/978-3-030-02837-4_18","http://dx.doi.org/10.1007/978-3-030-02837-4_18")</f>
        <v>http://dx.doi.org/10.1007/978-3-030-02837-4_18</v>
      </c>
      <c r="BP156" s="89" t="s">
        <v>646</v>
      </c>
      <c r="BQ156" s="89" t="s">
        <v>646</v>
      </c>
      <c r="BR156" s="89" t="s">
        <v>646</v>
      </c>
      <c r="BS156" s="89" t="s">
        <v>646</v>
      </c>
      <c r="BT156" s="89" t="s">
        <v>646</v>
      </c>
      <c r="BU156" s="89" t="s">
        <v>646</v>
      </c>
      <c r="BV156" s="89" t="s">
        <v>646</v>
      </c>
      <c r="BW156" s="89" t="s">
        <v>646</v>
      </c>
      <c r="BX156" s="89" t="s">
        <v>646</v>
      </c>
      <c r="BY156" s="89" t="s">
        <v>646</v>
      </c>
      <c r="BZ156" s="89" t="s">
        <v>646</v>
      </c>
      <c r="CA156" s="89" t="s">
        <v>646</v>
      </c>
      <c r="CB156" s="89" t="s">
        <v>18886</v>
      </c>
      <c r="CC156" s="89" t="str">
        <f>HYPERLINK("https%3A%2F%2Fwww.webofscience.com%2Fwos%2Fwoscc%2Ffull-record%2FWOS:000611394300018","View Full Record in Web of Science")</f>
        <v>View Full Record in Web of Science</v>
      </c>
    </row>
    <row r="157" spans="1:81" ht="13.2" hidden="1" x14ac:dyDescent="0.25">
      <c r="A157" s="89" t="s">
        <v>18887</v>
      </c>
      <c r="B157" s="89" t="e">
        <f>+#REF!</f>
        <v>#REF!</v>
      </c>
      <c r="C157" s="89"/>
      <c r="D157" s="91" t="s">
        <v>717</v>
      </c>
      <c r="E157" s="90" t="e">
        <v>#REF!</v>
      </c>
      <c r="F157" s="89"/>
      <c r="G157" s="89"/>
      <c r="H157" s="89" t="s">
        <v>646</v>
      </c>
      <c r="I157" s="89" t="s">
        <v>18889</v>
      </c>
      <c r="J157" s="89" t="s">
        <v>646</v>
      </c>
      <c r="K157" s="89" t="s">
        <v>18895</v>
      </c>
      <c r="M157" s="89">
        <v>2013</v>
      </c>
      <c r="N157" s="89" t="s">
        <v>18890</v>
      </c>
      <c r="O157" s="89" t="s">
        <v>18888</v>
      </c>
      <c r="P157" s="89" t="s">
        <v>646</v>
      </c>
      <c r="S157" s="89" t="s">
        <v>646</v>
      </c>
      <c r="U157" s="89" t="s">
        <v>17474</v>
      </c>
      <c r="W157" s="89" t="s">
        <v>646</v>
      </c>
      <c r="X157" s="89" t="s">
        <v>646</v>
      </c>
      <c r="Y157" s="89" t="s">
        <v>18891</v>
      </c>
      <c r="Z157" s="89" t="s">
        <v>18892</v>
      </c>
      <c r="AA157" s="89" t="s">
        <v>18893</v>
      </c>
      <c r="AB157" s="89" t="s">
        <v>646</v>
      </c>
      <c r="AC157" s="89" t="s">
        <v>18894</v>
      </c>
      <c r="AD157" s="89" t="s">
        <v>646</v>
      </c>
      <c r="AE157" s="89" t="s">
        <v>646</v>
      </c>
      <c r="AF157" s="89" t="s">
        <v>18895</v>
      </c>
      <c r="AG157" s="89" t="s">
        <v>646</v>
      </c>
      <c r="AH157" s="89" t="s">
        <v>646</v>
      </c>
      <c r="AI157" s="89" t="s">
        <v>646</v>
      </c>
      <c r="AJ157" s="89" t="s">
        <v>646</v>
      </c>
      <c r="AK157" s="89" t="s">
        <v>646</v>
      </c>
      <c r="AL157" s="89" t="s">
        <v>646</v>
      </c>
      <c r="AM157" s="89" t="s">
        <v>646</v>
      </c>
      <c r="AN157" s="89" t="s">
        <v>646</v>
      </c>
      <c r="AO157" s="89" t="s">
        <v>646</v>
      </c>
      <c r="AP157" s="89" t="s">
        <v>646</v>
      </c>
      <c r="AQ157" s="89" t="s">
        <v>646</v>
      </c>
      <c r="AR157" s="89" t="s">
        <v>646</v>
      </c>
      <c r="AS157" s="89" t="s">
        <v>646</v>
      </c>
      <c r="AT157" s="89" t="s">
        <v>646</v>
      </c>
      <c r="AU157" s="89" t="s">
        <v>646</v>
      </c>
      <c r="AV157" s="89" t="s">
        <v>646</v>
      </c>
      <c r="AW157" s="89" t="s">
        <v>646</v>
      </c>
      <c r="AX157" s="89" t="s">
        <v>646</v>
      </c>
      <c r="AY157" s="89" t="s">
        <v>18896</v>
      </c>
      <c r="AZ157" s="89" t="s">
        <v>646</v>
      </c>
      <c r="BA157" s="89" t="s">
        <v>18897</v>
      </c>
      <c r="BB157" s="89" t="s">
        <v>646</v>
      </c>
      <c r="BC157" s="89" t="s">
        <v>646</v>
      </c>
      <c r="BD157" s="89" t="s">
        <v>646</v>
      </c>
      <c r="BE157" s="89">
        <v>2013</v>
      </c>
      <c r="BF157" s="89" t="s">
        <v>646</v>
      </c>
      <c r="BG157" s="89" t="s">
        <v>646</v>
      </c>
      <c r="BH157" s="89" t="s">
        <v>646</v>
      </c>
      <c r="BI157" s="89" t="s">
        <v>646</v>
      </c>
      <c r="BJ157" s="89" t="s">
        <v>646</v>
      </c>
      <c r="BK157" s="89" t="s">
        <v>646</v>
      </c>
      <c r="BL157" s="89">
        <v>666</v>
      </c>
      <c r="BM157" s="89">
        <v>669</v>
      </c>
      <c r="BN157" s="89" t="s">
        <v>646</v>
      </c>
      <c r="BO157" s="89" t="s">
        <v>646</v>
      </c>
      <c r="BP157" s="89" t="s">
        <v>646</v>
      </c>
      <c r="BQ157" s="89" t="s">
        <v>646</v>
      </c>
      <c r="BR157" s="89" t="s">
        <v>646</v>
      </c>
      <c r="BS157" s="89" t="s">
        <v>646</v>
      </c>
      <c r="BT157" s="89" t="s">
        <v>646</v>
      </c>
      <c r="BU157" s="89" t="s">
        <v>646</v>
      </c>
      <c r="BV157" s="89" t="s">
        <v>646</v>
      </c>
      <c r="BW157" s="89" t="s">
        <v>646</v>
      </c>
      <c r="BX157" s="89" t="s">
        <v>646</v>
      </c>
      <c r="BY157" s="89" t="s">
        <v>646</v>
      </c>
      <c r="BZ157" s="89" t="s">
        <v>646</v>
      </c>
      <c r="CA157" s="89" t="s">
        <v>646</v>
      </c>
      <c r="CB157" s="89" t="s">
        <v>18898</v>
      </c>
      <c r="CC157" s="89" t="str">
        <f>HYPERLINK("https%3A%2F%2Fwww.webofscience.com%2Fwos%2Fwoscc%2Ffull-record%2FWOS:000342674900084","View Full Record in Web of Science")</f>
        <v>View Full Record in Web of Science</v>
      </c>
    </row>
    <row r="158" spans="1:81" ht="13.2" hidden="1" x14ac:dyDescent="0.25">
      <c r="A158" s="89" t="s">
        <v>18899</v>
      </c>
      <c r="B158" s="89" t="e">
        <f>+#REF!</f>
        <v>#REF!</v>
      </c>
      <c r="C158" s="89"/>
      <c r="D158" s="91" t="s">
        <v>717</v>
      </c>
      <c r="E158" s="90" t="e">
        <v>#REF!</v>
      </c>
      <c r="F158" s="89"/>
      <c r="G158" s="89"/>
      <c r="H158" s="89" t="s">
        <v>646</v>
      </c>
      <c r="I158" s="89" t="s">
        <v>18901</v>
      </c>
      <c r="J158" s="89" t="s">
        <v>646</v>
      </c>
      <c r="K158" s="89" t="s">
        <v>10936</v>
      </c>
      <c r="M158" s="89">
        <v>2016</v>
      </c>
      <c r="N158" s="89" t="s">
        <v>18902</v>
      </c>
      <c r="O158" s="89" t="s">
        <v>18900</v>
      </c>
      <c r="P158" s="89" t="s">
        <v>646</v>
      </c>
      <c r="S158" s="89" t="s">
        <v>646</v>
      </c>
      <c r="U158" s="89" t="s">
        <v>17474</v>
      </c>
      <c r="W158" s="89" t="s">
        <v>646</v>
      </c>
      <c r="X158" s="89" t="s">
        <v>646</v>
      </c>
      <c r="Y158" s="89" t="s">
        <v>18903</v>
      </c>
      <c r="Z158" s="89" t="s">
        <v>18904</v>
      </c>
      <c r="AA158" s="89" t="s">
        <v>18905</v>
      </c>
      <c r="AB158" s="89" t="s">
        <v>18906</v>
      </c>
      <c r="AC158" s="89" t="s">
        <v>646</v>
      </c>
      <c r="AD158" s="89" t="s">
        <v>646</v>
      </c>
      <c r="AE158" s="89" t="s">
        <v>646</v>
      </c>
      <c r="AF158" s="89" t="s">
        <v>10936</v>
      </c>
      <c r="AG158" s="89" t="s">
        <v>646</v>
      </c>
      <c r="AH158" s="89" t="s">
        <v>646</v>
      </c>
      <c r="AI158" s="89" t="s">
        <v>646</v>
      </c>
      <c r="AJ158" s="89" t="s">
        <v>646</v>
      </c>
      <c r="AK158" s="89" t="s">
        <v>646</v>
      </c>
      <c r="AL158" s="89" t="s">
        <v>646</v>
      </c>
      <c r="AM158" s="89" t="s">
        <v>646</v>
      </c>
      <c r="AN158" s="89" t="s">
        <v>646</v>
      </c>
      <c r="AO158" s="89" t="s">
        <v>646</v>
      </c>
      <c r="AP158" s="89" t="s">
        <v>646</v>
      </c>
      <c r="AQ158" s="89" t="s">
        <v>646</v>
      </c>
      <c r="AR158" s="89" t="s">
        <v>646</v>
      </c>
      <c r="AS158" s="89" t="s">
        <v>646</v>
      </c>
      <c r="AT158" s="89" t="s">
        <v>646</v>
      </c>
      <c r="AU158" s="89" t="s">
        <v>646</v>
      </c>
      <c r="AV158" s="89" t="s">
        <v>646</v>
      </c>
      <c r="AW158" s="89" t="s">
        <v>646</v>
      </c>
      <c r="AX158" s="89" t="s">
        <v>646</v>
      </c>
      <c r="AY158" s="89" t="s">
        <v>646</v>
      </c>
      <c r="AZ158" s="89" t="s">
        <v>646</v>
      </c>
      <c r="BA158" s="89" t="s">
        <v>18907</v>
      </c>
      <c r="BB158" s="89" t="s">
        <v>646</v>
      </c>
      <c r="BC158" s="89" t="s">
        <v>646</v>
      </c>
      <c r="BD158" s="89" t="s">
        <v>646</v>
      </c>
      <c r="BE158" s="89">
        <v>2016</v>
      </c>
      <c r="BF158" s="89" t="s">
        <v>646</v>
      </c>
      <c r="BG158" s="89" t="s">
        <v>646</v>
      </c>
      <c r="BH158" s="89" t="s">
        <v>646</v>
      </c>
      <c r="BI158" s="89" t="s">
        <v>646</v>
      </c>
      <c r="BJ158" s="89" t="s">
        <v>646</v>
      </c>
      <c r="BK158" s="89" t="s">
        <v>646</v>
      </c>
      <c r="BL158" s="89">
        <v>2669</v>
      </c>
      <c r="BM158" s="89">
        <v>2675</v>
      </c>
      <c r="BN158" s="89" t="s">
        <v>646</v>
      </c>
      <c r="BO158" s="89" t="s">
        <v>646</v>
      </c>
      <c r="BP158" s="89" t="s">
        <v>646</v>
      </c>
      <c r="BQ158" s="89" t="s">
        <v>646</v>
      </c>
      <c r="BR158" s="89" t="s">
        <v>646</v>
      </c>
      <c r="BS158" s="89" t="s">
        <v>646</v>
      </c>
      <c r="BT158" s="89" t="s">
        <v>646</v>
      </c>
      <c r="BU158" s="89" t="s">
        <v>646</v>
      </c>
      <c r="BV158" s="89" t="s">
        <v>646</v>
      </c>
      <c r="BW158" s="89" t="s">
        <v>646</v>
      </c>
      <c r="BX158" s="89" t="s">
        <v>646</v>
      </c>
      <c r="BY158" s="89" t="s">
        <v>646</v>
      </c>
      <c r="BZ158" s="89" t="s">
        <v>646</v>
      </c>
      <c r="CA158" s="89" t="s">
        <v>646</v>
      </c>
      <c r="CB158" s="89" t="s">
        <v>18908</v>
      </c>
      <c r="CC158" s="89" t="str">
        <f>HYPERLINK("https%3A%2F%2Fwww.webofscience.com%2Fwos%2Fwoscc%2Ffull-record%2FWOS:000526952502143","View Full Record in Web of Science")</f>
        <v>View Full Record in Web of Science</v>
      </c>
    </row>
    <row r="159" spans="1:81" ht="13.2" hidden="1" x14ac:dyDescent="0.25">
      <c r="A159" s="89" t="s">
        <v>10942</v>
      </c>
      <c r="B159" s="89" t="e">
        <f>+#REF!</f>
        <v>#REF!</v>
      </c>
      <c r="C159" s="89"/>
      <c r="D159" s="91" t="s">
        <v>717</v>
      </c>
      <c r="E159" s="90" t="e">
        <v>#REF!</v>
      </c>
      <c r="F159" s="89"/>
      <c r="G159" s="89"/>
      <c r="H159" s="89" t="s">
        <v>10943</v>
      </c>
      <c r="I159" s="89" t="s">
        <v>18909</v>
      </c>
      <c r="J159" s="89" t="s">
        <v>646</v>
      </c>
      <c r="K159" s="89" t="s">
        <v>18910</v>
      </c>
      <c r="M159" s="89">
        <v>2016</v>
      </c>
      <c r="N159" s="89" t="s">
        <v>18417</v>
      </c>
      <c r="O159" s="89" t="s">
        <v>646</v>
      </c>
      <c r="P159" s="89" t="str">
        <f>HYPERLINK("http://dx.doi.org/10.1007/s11263-015-0834-9","http://dx.doi.org/10.1007/s11263-015-0834-9")</f>
        <v>http://dx.doi.org/10.1007/s11263-015-0834-9</v>
      </c>
      <c r="S159" s="89" t="s">
        <v>646</v>
      </c>
      <c r="U159" s="89" t="s">
        <v>17462</v>
      </c>
      <c r="W159" s="89" t="s">
        <v>646</v>
      </c>
      <c r="X159" s="89" t="s">
        <v>646</v>
      </c>
      <c r="Y159" s="89" t="s">
        <v>646</v>
      </c>
      <c r="Z159" s="89" t="s">
        <v>646</v>
      </c>
      <c r="AA159" s="89" t="s">
        <v>646</v>
      </c>
      <c r="AB159" s="89" t="s">
        <v>646</v>
      </c>
      <c r="AC159" s="89" t="s">
        <v>646</v>
      </c>
      <c r="AD159" s="89" t="s">
        <v>646</v>
      </c>
      <c r="AE159" s="89" t="s">
        <v>646</v>
      </c>
      <c r="AF159" s="89" t="s">
        <v>18910</v>
      </c>
      <c r="AG159" s="89" t="s">
        <v>646</v>
      </c>
      <c r="AH159" s="89" t="s">
        <v>646</v>
      </c>
      <c r="AI159" s="89" t="s">
        <v>646</v>
      </c>
      <c r="AJ159" s="89" t="s">
        <v>646</v>
      </c>
      <c r="AK159" s="89" t="s">
        <v>646</v>
      </c>
      <c r="AL159" s="89" t="s">
        <v>646</v>
      </c>
      <c r="AM159" s="89" t="s">
        <v>646</v>
      </c>
      <c r="AN159" s="89" t="s">
        <v>646</v>
      </c>
      <c r="AO159" s="89" t="s">
        <v>646</v>
      </c>
      <c r="AP159" s="89" t="s">
        <v>646</v>
      </c>
      <c r="AQ159" s="89" t="s">
        <v>646</v>
      </c>
      <c r="AR159" s="89" t="s">
        <v>646</v>
      </c>
      <c r="AS159" s="89" t="s">
        <v>646</v>
      </c>
      <c r="AT159" s="89" t="s">
        <v>646</v>
      </c>
      <c r="AU159" s="89" t="s">
        <v>646</v>
      </c>
      <c r="AV159" s="89" t="s">
        <v>646</v>
      </c>
      <c r="AW159" s="89" t="s">
        <v>646</v>
      </c>
      <c r="AX159" s="89" t="s">
        <v>646</v>
      </c>
      <c r="AY159" s="89" t="s">
        <v>18419</v>
      </c>
      <c r="AZ159" s="89" t="s">
        <v>18420</v>
      </c>
      <c r="BA159" s="89" t="s">
        <v>646</v>
      </c>
      <c r="BB159" s="89" t="s">
        <v>646</v>
      </c>
      <c r="BC159" s="89" t="s">
        <v>646</v>
      </c>
      <c r="BD159" s="89" t="s">
        <v>17513</v>
      </c>
      <c r="BE159" s="89">
        <v>2016</v>
      </c>
      <c r="BF159" s="89">
        <v>116</v>
      </c>
      <c r="BG159" s="89">
        <v>2</v>
      </c>
      <c r="BH159" s="89" t="s">
        <v>646</v>
      </c>
      <c r="BI159" s="89" t="s">
        <v>646</v>
      </c>
      <c r="BJ159" s="89" t="s">
        <v>646</v>
      </c>
      <c r="BK159" s="89" t="s">
        <v>646</v>
      </c>
      <c r="BL159" s="89">
        <v>136</v>
      </c>
      <c r="BM159" s="89">
        <v>160</v>
      </c>
      <c r="BN159" s="89" t="s">
        <v>646</v>
      </c>
      <c r="BO159" s="89" t="str">
        <f>HYPERLINK("http://dx.doi.org/10.1007/s11263-015-0834-9","http://dx.doi.org/10.1007/s11263-015-0834-9")</f>
        <v>http://dx.doi.org/10.1007/s11263-015-0834-9</v>
      </c>
      <c r="BP159" s="89" t="s">
        <v>646</v>
      </c>
      <c r="BQ159" s="89" t="s">
        <v>646</v>
      </c>
      <c r="BR159" s="89" t="s">
        <v>646</v>
      </c>
      <c r="BS159" s="89" t="s">
        <v>646</v>
      </c>
      <c r="BT159" s="89" t="s">
        <v>646</v>
      </c>
      <c r="BU159" s="89" t="s">
        <v>646</v>
      </c>
      <c r="BV159" s="89" t="s">
        <v>646</v>
      </c>
      <c r="BW159" s="89">
        <v>26924892</v>
      </c>
      <c r="BX159" s="89" t="s">
        <v>646</v>
      </c>
      <c r="BY159" s="89" t="s">
        <v>646</v>
      </c>
      <c r="BZ159" s="89" t="s">
        <v>646</v>
      </c>
      <c r="CA159" s="89" t="s">
        <v>646</v>
      </c>
      <c r="CB159" s="89" t="s">
        <v>18911</v>
      </c>
      <c r="CC159" s="89" t="str">
        <f>HYPERLINK("https%3A%2F%2Fwww.webofscience.com%2Fwos%2Fwoscc%2Ffull-record%2FWOS:000369423000002","View Full Record in Web of Science")</f>
        <v>View Full Record in Web of Science</v>
      </c>
    </row>
    <row r="160" spans="1:81" ht="13.2" hidden="1" x14ac:dyDescent="0.25">
      <c r="A160" s="89" t="s">
        <v>10952</v>
      </c>
      <c r="B160" s="89" t="e">
        <f>+#REF!</f>
        <v>#REF!</v>
      </c>
      <c r="C160" s="89"/>
      <c r="D160" s="91" t="s">
        <v>717</v>
      </c>
      <c r="E160" s="90" t="e">
        <v>#REF!</v>
      </c>
      <c r="F160" s="89"/>
      <c r="G160" s="89"/>
      <c r="H160" s="89" t="s">
        <v>10953</v>
      </c>
      <c r="I160" s="89" t="s">
        <v>18912</v>
      </c>
      <c r="J160" s="89" t="s">
        <v>18915</v>
      </c>
      <c r="K160" s="89" t="s">
        <v>18914</v>
      </c>
      <c r="M160" s="89">
        <v>2019</v>
      </c>
      <c r="N160" s="89" t="s">
        <v>18913</v>
      </c>
      <c r="O160" s="89" t="s">
        <v>646</v>
      </c>
      <c r="P160" s="89" t="str">
        <f>HYPERLINK("http://dx.doi.org/10.1007/s10508-018-1325-1","http://dx.doi.org/10.1007/s10508-018-1325-1")</f>
        <v>http://dx.doi.org/10.1007/s10508-018-1325-1</v>
      </c>
      <c r="S160" s="89" t="s">
        <v>646</v>
      </c>
      <c r="U160" s="89" t="s">
        <v>17462</v>
      </c>
      <c r="W160" s="89" t="s">
        <v>646</v>
      </c>
      <c r="X160" s="89" t="s">
        <v>646</v>
      </c>
      <c r="Y160" s="89" t="s">
        <v>646</v>
      </c>
      <c r="Z160" s="89" t="s">
        <v>646</v>
      </c>
      <c r="AA160" s="89" t="s">
        <v>646</v>
      </c>
      <c r="AB160" s="89" t="s">
        <v>646</v>
      </c>
      <c r="AC160" s="89" t="s">
        <v>646</v>
      </c>
      <c r="AD160" s="89" t="s">
        <v>646</v>
      </c>
      <c r="AE160" s="89" t="s">
        <v>646</v>
      </c>
      <c r="AF160" s="89" t="s">
        <v>18914</v>
      </c>
      <c r="AG160" s="89" t="s">
        <v>646</v>
      </c>
      <c r="AH160" s="89" t="s">
        <v>646</v>
      </c>
      <c r="AI160" s="89" t="s">
        <v>646</v>
      </c>
      <c r="AJ160" s="89" t="s">
        <v>646</v>
      </c>
      <c r="AK160" s="89" t="s">
        <v>18915</v>
      </c>
      <c r="AL160" s="89" t="s">
        <v>18916</v>
      </c>
      <c r="AM160" s="89" t="s">
        <v>646</v>
      </c>
      <c r="AN160" s="89" t="s">
        <v>646</v>
      </c>
      <c r="AO160" s="89" t="s">
        <v>646</v>
      </c>
      <c r="AP160" s="89" t="s">
        <v>646</v>
      </c>
      <c r="AQ160" s="89" t="s">
        <v>646</v>
      </c>
      <c r="AR160" s="89" t="s">
        <v>646</v>
      </c>
      <c r="AS160" s="89" t="s">
        <v>646</v>
      </c>
      <c r="AT160" s="89" t="s">
        <v>646</v>
      </c>
      <c r="AU160" s="89" t="s">
        <v>646</v>
      </c>
      <c r="AV160" s="89" t="s">
        <v>646</v>
      </c>
      <c r="AW160" s="89" t="s">
        <v>646</v>
      </c>
      <c r="AX160" s="89" t="s">
        <v>646</v>
      </c>
      <c r="AY160" s="89" t="s">
        <v>18917</v>
      </c>
      <c r="AZ160" s="89" t="s">
        <v>18918</v>
      </c>
      <c r="BA160" s="89" t="s">
        <v>646</v>
      </c>
      <c r="BB160" s="89" t="s">
        <v>646</v>
      </c>
      <c r="BC160" s="89" t="s">
        <v>646</v>
      </c>
      <c r="BD160" s="89" t="s">
        <v>17513</v>
      </c>
      <c r="BE160" s="89">
        <v>2019</v>
      </c>
      <c r="BF160" s="89">
        <v>48</v>
      </c>
      <c r="BG160" s="89">
        <v>1</v>
      </c>
      <c r="BH160" s="89" t="s">
        <v>646</v>
      </c>
      <c r="BI160" s="89" t="s">
        <v>646</v>
      </c>
      <c r="BJ160" s="89" t="s">
        <v>646</v>
      </c>
      <c r="BK160" s="89" t="s">
        <v>646</v>
      </c>
      <c r="BL160" s="89">
        <v>113</v>
      </c>
      <c r="BM160" s="89">
        <v>130</v>
      </c>
      <c r="BN160" s="89" t="s">
        <v>646</v>
      </c>
      <c r="BO160" s="89" t="str">
        <f>HYPERLINK("http://dx.doi.org/10.1007/s10508-018-1325-1","http://dx.doi.org/10.1007/s10508-018-1325-1")</f>
        <v>http://dx.doi.org/10.1007/s10508-018-1325-1</v>
      </c>
      <c r="BP160" s="89" t="s">
        <v>646</v>
      </c>
      <c r="BQ160" s="89" t="s">
        <v>646</v>
      </c>
      <c r="BR160" s="89" t="s">
        <v>646</v>
      </c>
      <c r="BS160" s="89" t="s">
        <v>646</v>
      </c>
      <c r="BT160" s="89" t="s">
        <v>646</v>
      </c>
      <c r="BU160" s="89" t="s">
        <v>646</v>
      </c>
      <c r="BV160" s="89" t="s">
        <v>646</v>
      </c>
      <c r="BW160" s="89">
        <v>30443835</v>
      </c>
      <c r="BX160" s="89" t="s">
        <v>646</v>
      </c>
      <c r="BY160" s="89" t="s">
        <v>646</v>
      </c>
      <c r="BZ160" s="89" t="s">
        <v>646</v>
      </c>
      <c r="CA160" s="89" t="s">
        <v>646</v>
      </c>
      <c r="CB160" s="89" t="s">
        <v>18919</v>
      </c>
      <c r="CC160" s="89" t="str">
        <f>HYPERLINK("https%3A%2F%2Fwww.webofscience.com%2Fwos%2Fwoscc%2Ffull-record%2FWOS:000456918300013","View Full Record in Web of Science")</f>
        <v>View Full Record in Web of Science</v>
      </c>
    </row>
    <row r="161" spans="1:81" ht="13.2" hidden="1" x14ac:dyDescent="0.25">
      <c r="A161" s="89" t="s">
        <v>10961</v>
      </c>
      <c r="B161" s="89" t="e">
        <f>+#REF!</f>
        <v>#REF!</v>
      </c>
      <c r="C161" s="89"/>
      <c r="D161" s="91" t="s">
        <v>717</v>
      </c>
      <c r="E161" s="90" t="e">
        <v>#REF!</v>
      </c>
      <c r="F161" s="89"/>
      <c r="G161" s="89"/>
      <c r="H161" s="89" t="s">
        <v>10962</v>
      </c>
      <c r="I161" s="89" t="s">
        <v>18920</v>
      </c>
      <c r="J161" s="89" t="s">
        <v>18923</v>
      </c>
      <c r="K161" s="89" t="s">
        <v>18922</v>
      </c>
      <c r="M161" s="89">
        <v>2019</v>
      </c>
      <c r="N161" s="89" t="s">
        <v>18921</v>
      </c>
      <c r="O161" s="89" t="s">
        <v>646</v>
      </c>
      <c r="P161" s="89" t="str">
        <f>HYPERLINK("http://dx.doi.org/10.1016/j.clsr.2019.02.003","http://dx.doi.org/10.1016/j.clsr.2019.02.003")</f>
        <v>http://dx.doi.org/10.1016/j.clsr.2019.02.003</v>
      </c>
      <c r="S161" s="89" t="s">
        <v>646</v>
      </c>
      <c r="U161" s="89" t="s">
        <v>17462</v>
      </c>
      <c r="W161" s="89" t="s">
        <v>646</v>
      </c>
      <c r="X161" s="89" t="s">
        <v>646</v>
      </c>
      <c r="Y161" s="89" t="s">
        <v>646</v>
      </c>
      <c r="Z161" s="89" t="s">
        <v>646</v>
      </c>
      <c r="AA161" s="89" t="s">
        <v>646</v>
      </c>
      <c r="AB161" s="89" t="s">
        <v>646</v>
      </c>
      <c r="AC161" s="89" t="s">
        <v>646</v>
      </c>
      <c r="AD161" s="89" t="s">
        <v>646</v>
      </c>
      <c r="AE161" s="89" t="s">
        <v>646</v>
      </c>
      <c r="AF161" s="89" t="s">
        <v>18922</v>
      </c>
      <c r="AG161" s="89" t="s">
        <v>646</v>
      </c>
      <c r="AH161" s="89" t="s">
        <v>646</v>
      </c>
      <c r="AI161" s="89" t="s">
        <v>646</v>
      </c>
      <c r="AJ161" s="89" t="s">
        <v>646</v>
      </c>
      <c r="AK161" s="89" t="s">
        <v>18923</v>
      </c>
      <c r="AL161" s="89" t="s">
        <v>18924</v>
      </c>
      <c r="AM161" s="89" t="s">
        <v>646</v>
      </c>
      <c r="AN161" s="89" t="s">
        <v>646</v>
      </c>
      <c r="AO161" s="89" t="s">
        <v>646</v>
      </c>
      <c r="AP161" s="89" t="s">
        <v>646</v>
      </c>
      <c r="AQ161" s="89" t="s">
        <v>646</v>
      </c>
      <c r="AR161" s="89" t="s">
        <v>646</v>
      </c>
      <c r="AS161" s="89" t="s">
        <v>646</v>
      </c>
      <c r="AT161" s="89" t="s">
        <v>646</v>
      </c>
      <c r="AU161" s="89" t="s">
        <v>646</v>
      </c>
      <c r="AV161" s="89" t="s">
        <v>646</v>
      </c>
      <c r="AW161" s="89" t="s">
        <v>646</v>
      </c>
      <c r="AX161" s="89" t="s">
        <v>646</v>
      </c>
      <c r="AY161" s="89" t="s">
        <v>18925</v>
      </c>
      <c r="AZ161" s="89" t="s">
        <v>646</v>
      </c>
      <c r="BA161" s="89" t="s">
        <v>646</v>
      </c>
      <c r="BB161" s="89" t="s">
        <v>646</v>
      </c>
      <c r="BC161" s="89" t="s">
        <v>646</v>
      </c>
      <c r="BD161" s="89" t="s">
        <v>18436</v>
      </c>
      <c r="BE161" s="89">
        <v>2019</v>
      </c>
      <c r="BF161" s="89">
        <v>35</v>
      </c>
      <c r="BG161" s="89">
        <v>3</v>
      </c>
      <c r="BH161" s="89" t="s">
        <v>646</v>
      </c>
      <c r="BI161" s="89" t="s">
        <v>646</v>
      </c>
      <c r="BJ161" s="89" t="s">
        <v>646</v>
      </c>
      <c r="BK161" s="89" t="s">
        <v>646</v>
      </c>
      <c r="BL161" s="89">
        <v>281</v>
      </c>
      <c r="BM161" s="89">
        <v>294</v>
      </c>
      <c r="BN161" s="89" t="s">
        <v>646</v>
      </c>
      <c r="BO161" s="89" t="str">
        <f>HYPERLINK("http://dx.doi.org/10.1016/j.clsr.2019.02.003","http://dx.doi.org/10.1016/j.clsr.2019.02.003")</f>
        <v>http://dx.doi.org/10.1016/j.clsr.2019.02.003</v>
      </c>
      <c r="BP161" s="89" t="s">
        <v>646</v>
      </c>
      <c r="BQ161" s="89" t="s">
        <v>646</v>
      </c>
      <c r="BR161" s="89" t="s">
        <v>646</v>
      </c>
      <c r="BS161" s="89" t="s">
        <v>646</v>
      </c>
      <c r="BT161" s="89" t="s">
        <v>646</v>
      </c>
      <c r="BU161" s="89" t="s">
        <v>646</v>
      </c>
      <c r="BV161" s="89" t="s">
        <v>646</v>
      </c>
      <c r="BW161" s="89" t="s">
        <v>646</v>
      </c>
      <c r="BX161" s="89" t="s">
        <v>646</v>
      </c>
      <c r="BY161" s="89" t="s">
        <v>646</v>
      </c>
      <c r="BZ161" s="89" t="s">
        <v>646</v>
      </c>
      <c r="CA161" s="89" t="s">
        <v>646</v>
      </c>
      <c r="CB161" s="89" t="s">
        <v>18926</v>
      </c>
      <c r="CC161" s="89" t="str">
        <f>HYPERLINK("https%3A%2F%2Fwww.webofscience.com%2Fwos%2Fwoscc%2Ffull-record%2FWOS:000470943200004","View Full Record in Web of Science")</f>
        <v>View Full Record in Web of Science</v>
      </c>
    </row>
    <row r="162" spans="1:81" ht="13.2" hidden="1" x14ac:dyDescent="0.25">
      <c r="A162" s="89" t="s">
        <v>10970</v>
      </c>
      <c r="B162" s="89" t="e">
        <f>+#REF!</f>
        <v>#REF!</v>
      </c>
      <c r="C162" s="89"/>
      <c r="D162" s="91" t="s">
        <v>717</v>
      </c>
      <c r="E162" s="90" t="e">
        <v>#REF!</v>
      </c>
      <c r="F162" s="89"/>
      <c r="G162" s="89"/>
      <c r="H162" s="89" t="s">
        <v>10971</v>
      </c>
      <c r="I162" s="89" t="s">
        <v>17710</v>
      </c>
      <c r="J162" s="89" t="s">
        <v>646</v>
      </c>
      <c r="K162" s="89" t="s">
        <v>18927</v>
      </c>
      <c r="M162" s="89">
        <v>2017</v>
      </c>
      <c r="N162" s="89" t="s">
        <v>18837</v>
      </c>
      <c r="O162" s="89" t="s">
        <v>646</v>
      </c>
      <c r="P162" s="89" t="str">
        <f>HYPERLINK("http://dx.doi.org/10.1002/smr.1830","http://dx.doi.org/10.1002/smr.1830")</f>
        <v>http://dx.doi.org/10.1002/smr.1830</v>
      </c>
      <c r="S162" s="89" t="s">
        <v>646</v>
      </c>
      <c r="U162" s="89" t="s">
        <v>17462</v>
      </c>
      <c r="W162" s="89" t="s">
        <v>646</v>
      </c>
      <c r="X162" s="89" t="s">
        <v>646</v>
      </c>
      <c r="Y162" s="89" t="s">
        <v>646</v>
      </c>
      <c r="Z162" s="89" t="s">
        <v>646</v>
      </c>
      <c r="AA162" s="89" t="s">
        <v>646</v>
      </c>
      <c r="AB162" s="89" t="s">
        <v>646</v>
      </c>
      <c r="AC162" s="89" t="s">
        <v>646</v>
      </c>
      <c r="AD162" s="89" t="s">
        <v>646</v>
      </c>
      <c r="AE162" s="89" t="s">
        <v>646</v>
      </c>
      <c r="AF162" s="89" t="s">
        <v>18927</v>
      </c>
      <c r="AG162" s="89" t="s">
        <v>646</v>
      </c>
      <c r="AH162" s="89" t="s">
        <v>646</v>
      </c>
      <c r="AI162" s="89" t="s">
        <v>646</v>
      </c>
      <c r="AJ162" s="89" t="s">
        <v>646</v>
      </c>
      <c r="AK162" s="89" t="s">
        <v>646</v>
      </c>
      <c r="AL162" s="89" t="s">
        <v>646</v>
      </c>
      <c r="AM162" s="89" t="s">
        <v>646</v>
      </c>
      <c r="AN162" s="89" t="s">
        <v>646</v>
      </c>
      <c r="AO162" s="89" t="s">
        <v>646</v>
      </c>
      <c r="AP162" s="89" t="s">
        <v>646</v>
      </c>
      <c r="AQ162" s="89" t="s">
        <v>646</v>
      </c>
      <c r="AR162" s="89" t="s">
        <v>646</v>
      </c>
      <c r="AS162" s="89" t="s">
        <v>646</v>
      </c>
      <c r="AT162" s="89" t="s">
        <v>646</v>
      </c>
      <c r="AU162" s="89" t="s">
        <v>646</v>
      </c>
      <c r="AV162" s="89" t="s">
        <v>646</v>
      </c>
      <c r="AW162" s="89" t="s">
        <v>646</v>
      </c>
      <c r="AX162" s="89" t="s">
        <v>646</v>
      </c>
      <c r="AY162" s="89" t="s">
        <v>18839</v>
      </c>
      <c r="AZ162" s="89" t="s">
        <v>18840</v>
      </c>
      <c r="BA162" s="89" t="s">
        <v>646</v>
      </c>
      <c r="BB162" s="89" t="s">
        <v>646</v>
      </c>
      <c r="BC162" s="89" t="s">
        <v>646</v>
      </c>
      <c r="BD162" s="89" t="s">
        <v>17823</v>
      </c>
      <c r="BE162" s="89">
        <v>2017</v>
      </c>
      <c r="BF162" s="89">
        <v>29</v>
      </c>
      <c r="BG162" s="89">
        <v>4</v>
      </c>
      <c r="BH162" s="89" t="s">
        <v>646</v>
      </c>
      <c r="BI162" s="89" t="s">
        <v>646</v>
      </c>
      <c r="BJ162" s="89" t="s">
        <v>646</v>
      </c>
      <c r="BK162" s="89" t="s">
        <v>646</v>
      </c>
      <c r="BL162" s="89" t="s">
        <v>646</v>
      </c>
      <c r="BM162" s="89" t="s">
        <v>646</v>
      </c>
      <c r="BN162" s="89" t="s">
        <v>646</v>
      </c>
      <c r="BO162" s="89" t="str">
        <f>HYPERLINK("http://dx.doi.org/10.1002/smr.1830","http://dx.doi.org/10.1002/smr.1830")</f>
        <v>http://dx.doi.org/10.1002/smr.1830</v>
      </c>
      <c r="BP162" s="89" t="s">
        <v>646</v>
      </c>
      <c r="BQ162" s="89" t="s">
        <v>646</v>
      </c>
      <c r="BR162" s="89" t="s">
        <v>646</v>
      </c>
      <c r="BS162" s="89" t="s">
        <v>646</v>
      </c>
      <c r="BT162" s="89" t="s">
        <v>646</v>
      </c>
      <c r="BU162" s="89" t="s">
        <v>646</v>
      </c>
      <c r="BV162" s="89" t="s">
        <v>646</v>
      </c>
      <c r="BW162" s="89" t="s">
        <v>646</v>
      </c>
      <c r="BX162" s="89" t="s">
        <v>646</v>
      </c>
      <c r="BY162" s="89" t="s">
        <v>646</v>
      </c>
      <c r="BZ162" s="89" t="s">
        <v>646</v>
      </c>
      <c r="CA162" s="89" t="s">
        <v>646</v>
      </c>
      <c r="CB162" s="89" t="s">
        <v>18928</v>
      </c>
      <c r="CC162" s="89" t="str">
        <f>HYPERLINK("https%3A%2F%2Fwww.webofscience.com%2Fwos%2Fwoscc%2Ffull-record%2FWOS:000398680400002","View Full Record in Web of Science")</f>
        <v>View Full Record in Web of Science</v>
      </c>
    </row>
    <row r="163" spans="1:81" ht="13.2" hidden="1" x14ac:dyDescent="0.25">
      <c r="A163" s="89" t="s">
        <v>1581</v>
      </c>
      <c r="B163" s="89" t="e">
        <f>+#REF!</f>
        <v>#REF!</v>
      </c>
      <c r="C163" s="89"/>
      <c r="D163" s="91" t="s">
        <v>717</v>
      </c>
      <c r="E163" s="90" t="e">
        <v>#REF!</v>
      </c>
      <c r="F163" s="89"/>
      <c r="G163" s="89"/>
      <c r="H163" s="89" t="s">
        <v>1583</v>
      </c>
      <c r="I163" s="89" t="s">
        <v>18929</v>
      </c>
      <c r="J163" s="89" t="s">
        <v>18931</v>
      </c>
      <c r="K163" s="89" t="s">
        <v>18930</v>
      </c>
      <c r="M163" s="89">
        <v>2020</v>
      </c>
      <c r="N163" s="89" t="s">
        <v>18837</v>
      </c>
      <c r="O163" s="89" t="s">
        <v>646</v>
      </c>
      <c r="P163" s="89" t="str">
        <f>HYPERLINK("http://dx.doi.org/10.1002/smr.2252","http://dx.doi.org/10.1002/smr.2252")</f>
        <v>http://dx.doi.org/10.1002/smr.2252</v>
      </c>
      <c r="S163" s="89" t="s">
        <v>646</v>
      </c>
      <c r="U163" s="89" t="s">
        <v>17462</v>
      </c>
      <c r="W163" s="89" t="s">
        <v>646</v>
      </c>
      <c r="X163" s="89" t="s">
        <v>646</v>
      </c>
      <c r="Y163" s="89" t="s">
        <v>646</v>
      </c>
      <c r="Z163" s="89" t="s">
        <v>646</v>
      </c>
      <c r="AA163" s="89" t="s">
        <v>646</v>
      </c>
      <c r="AB163" s="89" t="s">
        <v>646</v>
      </c>
      <c r="AC163" s="89" t="s">
        <v>646</v>
      </c>
      <c r="AD163" s="89" t="s">
        <v>646</v>
      </c>
      <c r="AE163" s="89" t="s">
        <v>646</v>
      </c>
      <c r="AF163" s="89" t="s">
        <v>18930</v>
      </c>
      <c r="AG163" s="89" t="s">
        <v>646</v>
      </c>
      <c r="AH163" s="89" t="s">
        <v>646</v>
      </c>
      <c r="AI163" s="89" t="s">
        <v>646</v>
      </c>
      <c r="AJ163" s="89" t="s">
        <v>646</v>
      </c>
      <c r="AK163" s="89" t="s">
        <v>18931</v>
      </c>
      <c r="AL163" s="89" t="s">
        <v>18932</v>
      </c>
      <c r="AM163" s="89" t="s">
        <v>646</v>
      </c>
      <c r="AN163" s="89" t="s">
        <v>646</v>
      </c>
      <c r="AO163" s="89" t="s">
        <v>646</v>
      </c>
      <c r="AP163" s="89" t="s">
        <v>646</v>
      </c>
      <c r="AQ163" s="89" t="s">
        <v>646</v>
      </c>
      <c r="AR163" s="89" t="s">
        <v>646</v>
      </c>
      <c r="AS163" s="89" t="s">
        <v>646</v>
      </c>
      <c r="AT163" s="89" t="s">
        <v>646</v>
      </c>
      <c r="AU163" s="89" t="s">
        <v>646</v>
      </c>
      <c r="AV163" s="89" t="s">
        <v>646</v>
      </c>
      <c r="AW163" s="89" t="s">
        <v>646</v>
      </c>
      <c r="AX163" s="89" t="s">
        <v>646</v>
      </c>
      <c r="AY163" s="89" t="s">
        <v>18839</v>
      </c>
      <c r="AZ163" s="89" t="s">
        <v>18840</v>
      </c>
      <c r="BA163" s="89" t="s">
        <v>646</v>
      </c>
      <c r="BB163" s="89" t="s">
        <v>646</v>
      </c>
      <c r="BC163" s="89" t="s">
        <v>646</v>
      </c>
      <c r="BD163" s="89" t="s">
        <v>18655</v>
      </c>
      <c r="BE163" s="89">
        <v>2020</v>
      </c>
      <c r="BF163" s="89">
        <v>32</v>
      </c>
      <c r="BG163" s="89">
        <v>8</v>
      </c>
      <c r="BH163" s="89" t="s">
        <v>646</v>
      </c>
      <c r="BI163" s="89" t="s">
        <v>646</v>
      </c>
      <c r="BJ163" s="89" t="s">
        <v>646</v>
      </c>
      <c r="BK163" s="89" t="s">
        <v>646</v>
      </c>
      <c r="BL163" s="89" t="s">
        <v>646</v>
      </c>
      <c r="BM163" s="89" t="s">
        <v>646</v>
      </c>
      <c r="BN163" s="89" t="s">
        <v>18933</v>
      </c>
      <c r="BO163" s="89" t="str">
        <f>HYPERLINK("http://dx.doi.org/10.1002/smr.2252","http://dx.doi.org/10.1002/smr.2252")</f>
        <v>http://dx.doi.org/10.1002/smr.2252</v>
      </c>
      <c r="BP163" s="89" t="s">
        <v>646</v>
      </c>
      <c r="BQ163" s="89" t="s">
        <v>18581</v>
      </c>
      <c r="BR163" s="89" t="s">
        <v>646</v>
      </c>
      <c r="BS163" s="89" t="s">
        <v>646</v>
      </c>
      <c r="BT163" s="89" t="s">
        <v>646</v>
      </c>
      <c r="BU163" s="89" t="s">
        <v>646</v>
      </c>
      <c r="BV163" s="89" t="s">
        <v>646</v>
      </c>
      <c r="BW163" s="89" t="s">
        <v>646</v>
      </c>
      <c r="BX163" s="89" t="s">
        <v>646</v>
      </c>
      <c r="BY163" s="89" t="s">
        <v>646</v>
      </c>
      <c r="BZ163" s="89" t="s">
        <v>646</v>
      </c>
      <c r="CA163" s="89" t="s">
        <v>646</v>
      </c>
      <c r="CB163" s="89" t="s">
        <v>18934</v>
      </c>
      <c r="CC163" s="89" t="str">
        <f>HYPERLINK("https%3A%2F%2Fwww.webofscience.com%2Fwos%2Fwoscc%2Ffull-record%2FWOS:000513798400001","View Full Record in Web of Science")</f>
        <v>View Full Record in Web of Science</v>
      </c>
    </row>
    <row r="164" spans="1:81" ht="13.2" hidden="1" x14ac:dyDescent="0.25">
      <c r="A164" s="89" t="s">
        <v>18935</v>
      </c>
      <c r="B164" s="89" t="e">
        <f>+#REF!</f>
        <v>#REF!</v>
      </c>
      <c r="C164" s="89"/>
      <c r="D164" s="91" t="s">
        <v>717</v>
      </c>
      <c r="E164" s="90" t="e">
        <v>#REF!</v>
      </c>
      <c r="F164" s="89"/>
      <c r="G164" s="89"/>
      <c r="H164" s="89" t="s">
        <v>10980</v>
      </c>
      <c r="I164" s="89" t="s">
        <v>18936</v>
      </c>
      <c r="J164" s="89" t="s">
        <v>646</v>
      </c>
      <c r="K164" s="89" t="s">
        <v>18943</v>
      </c>
      <c r="M164" s="89">
        <v>2018</v>
      </c>
      <c r="N164" s="89" t="s">
        <v>18937</v>
      </c>
      <c r="O164" s="89" t="s">
        <v>646</v>
      </c>
      <c r="P164" s="89" t="str">
        <f>HYPERLINK("http://dx.doi.org/10.1145/3219166.3219220","http://dx.doi.org/10.1145/3219166.3219220")</f>
        <v>http://dx.doi.org/10.1145/3219166.3219220</v>
      </c>
      <c r="S164" s="89" t="s">
        <v>17804</v>
      </c>
      <c r="U164" s="89" t="s">
        <v>17474</v>
      </c>
      <c r="W164" s="89" t="s">
        <v>646</v>
      </c>
      <c r="X164" s="89" t="s">
        <v>646</v>
      </c>
      <c r="Y164" s="89" t="s">
        <v>18938</v>
      </c>
      <c r="Z164" s="89" t="s">
        <v>18939</v>
      </c>
      <c r="AA164" s="89" t="s">
        <v>18940</v>
      </c>
      <c r="AB164" s="89" t="s">
        <v>18941</v>
      </c>
      <c r="AC164" s="89" t="s">
        <v>18942</v>
      </c>
      <c r="AD164" s="89" t="s">
        <v>646</v>
      </c>
      <c r="AE164" s="89" t="s">
        <v>646</v>
      </c>
      <c r="AF164" s="89" t="s">
        <v>18943</v>
      </c>
      <c r="AG164" s="89" t="s">
        <v>646</v>
      </c>
      <c r="AH164" s="89" t="s">
        <v>646</v>
      </c>
      <c r="AI164" s="89" t="s">
        <v>646</v>
      </c>
      <c r="AJ164" s="89" t="s">
        <v>646</v>
      </c>
      <c r="AK164" s="89" t="s">
        <v>646</v>
      </c>
      <c r="AL164" s="89" t="s">
        <v>646</v>
      </c>
      <c r="AM164" s="89" t="s">
        <v>646</v>
      </c>
      <c r="AN164" s="89" t="s">
        <v>646</v>
      </c>
      <c r="AO164" s="89" t="s">
        <v>646</v>
      </c>
      <c r="AP164" s="89" t="s">
        <v>646</v>
      </c>
      <c r="AQ164" s="89" t="s">
        <v>646</v>
      </c>
      <c r="AR164" s="89" t="s">
        <v>646</v>
      </c>
      <c r="AS164" s="89" t="s">
        <v>646</v>
      </c>
      <c r="AT164" s="89" t="s">
        <v>646</v>
      </c>
      <c r="AU164" s="89" t="s">
        <v>646</v>
      </c>
      <c r="AV164" s="89" t="s">
        <v>646</v>
      </c>
      <c r="AW164" s="89" t="s">
        <v>646</v>
      </c>
      <c r="AX164" s="89" t="s">
        <v>646</v>
      </c>
      <c r="AY164" s="89" t="s">
        <v>646</v>
      </c>
      <c r="AZ164" s="89" t="s">
        <v>646</v>
      </c>
      <c r="BA164" s="89" t="s">
        <v>18944</v>
      </c>
      <c r="BB164" s="89" t="s">
        <v>646</v>
      </c>
      <c r="BC164" s="89" t="s">
        <v>646</v>
      </c>
      <c r="BD164" s="89" t="s">
        <v>646</v>
      </c>
      <c r="BE164" s="89">
        <v>2018</v>
      </c>
      <c r="BF164" s="89" t="s">
        <v>646</v>
      </c>
      <c r="BG164" s="89" t="s">
        <v>646</v>
      </c>
      <c r="BH164" s="89" t="s">
        <v>646</v>
      </c>
      <c r="BI164" s="89" t="s">
        <v>646</v>
      </c>
      <c r="BJ164" s="89" t="s">
        <v>646</v>
      </c>
      <c r="BK164" s="89" t="s">
        <v>646</v>
      </c>
      <c r="BL164" s="89">
        <v>463</v>
      </c>
      <c r="BM164" s="89">
        <v>480</v>
      </c>
      <c r="BN164" s="89" t="s">
        <v>646</v>
      </c>
      <c r="BO164" s="89" t="str">
        <f>HYPERLINK("http://dx.doi.org/10.1145/3219166.3219220","http://dx.doi.org/10.1145/3219166.3219220")</f>
        <v>http://dx.doi.org/10.1145/3219166.3219220</v>
      </c>
      <c r="BP164" s="89" t="s">
        <v>646</v>
      </c>
      <c r="BQ164" s="89" t="s">
        <v>646</v>
      </c>
      <c r="BR164" s="89" t="s">
        <v>646</v>
      </c>
      <c r="BS164" s="89" t="s">
        <v>646</v>
      </c>
      <c r="BT164" s="89" t="s">
        <v>646</v>
      </c>
      <c r="BU164" s="89" t="s">
        <v>646</v>
      </c>
      <c r="BV164" s="89" t="s">
        <v>646</v>
      </c>
      <c r="BW164" s="89" t="s">
        <v>646</v>
      </c>
      <c r="BX164" s="89" t="s">
        <v>646</v>
      </c>
      <c r="BY164" s="89" t="s">
        <v>646</v>
      </c>
      <c r="BZ164" s="89" t="s">
        <v>646</v>
      </c>
      <c r="CA164" s="89" t="s">
        <v>646</v>
      </c>
      <c r="CB164" s="89" t="s">
        <v>18945</v>
      </c>
      <c r="CC164" s="89" t="str">
        <f>HYPERLINK("https%3A%2F%2Fwww.webofscience.com%2Fwos%2Fwoscc%2Ffull-record%2FWOS:000492755100050","View Full Record in Web of Science")</f>
        <v>View Full Record in Web of Science</v>
      </c>
    </row>
    <row r="165" spans="1:81" ht="13.2" hidden="1" x14ac:dyDescent="0.25">
      <c r="A165" s="89" t="s">
        <v>18946</v>
      </c>
      <c r="B165" s="89" t="e">
        <f>+#REF!</f>
        <v>#REF!</v>
      </c>
      <c r="C165" s="89"/>
      <c r="D165" s="91" t="s">
        <v>717</v>
      </c>
      <c r="E165" s="90" t="e">
        <v>#REF!</v>
      </c>
      <c r="F165" s="89"/>
      <c r="G165" s="89"/>
      <c r="H165" s="89" t="s">
        <v>646</v>
      </c>
      <c r="I165" s="89" t="s">
        <v>18947</v>
      </c>
      <c r="J165" s="89" t="s">
        <v>18950</v>
      </c>
      <c r="K165" s="89" t="s">
        <v>18949</v>
      </c>
      <c r="M165" s="89">
        <v>2018</v>
      </c>
      <c r="N165" s="89" t="s">
        <v>18948</v>
      </c>
      <c r="O165" s="89" t="s">
        <v>646</v>
      </c>
      <c r="P165" s="89" t="s">
        <v>646</v>
      </c>
      <c r="S165" s="89" t="s">
        <v>646</v>
      </c>
      <c r="U165" s="89" t="s">
        <v>17462</v>
      </c>
      <c r="W165" s="89" t="s">
        <v>646</v>
      </c>
      <c r="X165" s="89" t="s">
        <v>646</v>
      </c>
      <c r="Y165" s="89" t="s">
        <v>646</v>
      </c>
      <c r="Z165" s="89" t="s">
        <v>646</v>
      </c>
      <c r="AA165" s="89" t="s">
        <v>646</v>
      </c>
      <c r="AB165" s="89" t="s">
        <v>646</v>
      </c>
      <c r="AC165" s="89" t="s">
        <v>646</v>
      </c>
      <c r="AD165" s="89" t="s">
        <v>646</v>
      </c>
      <c r="AE165" s="89" t="s">
        <v>646</v>
      </c>
      <c r="AF165" s="89" t="s">
        <v>18949</v>
      </c>
      <c r="AG165" s="89" t="s">
        <v>646</v>
      </c>
      <c r="AH165" s="89" t="s">
        <v>646</v>
      </c>
      <c r="AI165" s="89" t="s">
        <v>646</v>
      </c>
      <c r="AJ165" s="89" t="s">
        <v>646</v>
      </c>
      <c r="AK165" s="89" t="s">
        <v>18950</v>
      </c>
      <c r="AL165" s="89" t="s">
        <v>646</v>
      </c>
      <c r="AM165" s="89" t="s">
        <v>646</v>
      </c>
      <c r="AN165" s="89" t="s">
        <v>646</v>
      </c>
      <c r="AO165" s="89" t="s">
        <v>646</v>
      </c>
      <c r="AP165" s="89" t="s">
        <v>646</v>
      </c>
      <c r="AQ165" s="89" t="s">
        <v>646</v>
      </c>
      <c r="AR165" s="89" t="s">
        <v>646</v>
      </c>
      <c r="AS165" s="89" t="s">
        <v>646</v>
      </c>
      <c r="AT165" s="89" t="s">
        <v>646</v>
      </c>
      <c r="AU165" s="89" t="s">
        <v>646</v>
      </c>
      <c r="AV165" s="89" t="s">
        <v>646</v>
      </c>
      <c r="AW165" s="89" t="s">
        <v>646</v>
      </c>
      <c r="AX165" s="89" t="s">
        <v>646</v>
      </c>
      <c r="AY165" s="89" t="s">
        <v>18951</v>
      </c>
      <c r="AZ165" s="89" t="s">
        <v>18952</v>
      </c>
      <c r="BA165" s="89" t="s">
        <v>646</v>
      </c>
      <c r="BB165" s="89" t="s">
        <v>646</v>
      </c>
      <c r="BC165" s="89" t="s">
        <v>646</v>
      </c>
      <c r="BD165" s="89" t="s">
        <v>17676</v>
      </c>
      <c r="BE165" s="89">
        <v>2018</v>
      </c>
      <c r="BF165" s="89">
        <v>9</v>
      </c>
      <c r="BG165" s="89">
        <v>7</v>
      </c>
      <c r="BH165" s="89" t="s">
        <v>646</v>
      </c>
      <c r="BI165" s="89" t="s">
        <v>646</v>
      </c>
      <c r="BJ165" s="89" t="s">
        <v>646</v>
      </c>
      <c r="BK165" s="89" t="s">
        <v>646</v>
      </c>
      <c r="BL165" s="89">
        <v>181</v>
      </c>
      <c r="BM165" s="89">
        <v>190</v>
      </c>
      <c r="BN165" s="89" t="s">
        <v>646</v>
      </c>
      <c r="BO165" s="89" t="s">
        <v>646</v>
      </c>
      <c r="BP165" s="89" t="s">
        <v>646</v>
      </c>
      <c r="BQ165" s="89" t="s">
        <v>646</v>
      </c>
      <c r="BR165" s="89" t="s">
        <v>646</v>
      </c>
      <c r="BS165" s="89" t="s">
        <v>646</v>
      </c>
      <c r="BT165" s="89" t="s">
        <v>646</v>
      </c>
      <c r="BU165" s="89" t="s">
        <v>646</v>
      </c>
      <c r="BV165" s="89" t="s">
        <v>646</v>
      </c>
      <c r="BW165" s="89" t="s">
        <v>646</v>
      </c>
      <c r="BX165" s="89" t="s">
        <v>646</v>
      </c>
      <c r="BY165" s="89" t="s">
        <v>646</v>
      </c>
      <c r="BZ165" s="89" t="s">
        <v>646</v>
      </c>
      <c r="CA165" s="89" t="s">
        <v>646</v>
      </c>
      <c r="CB165" s="89" t="s">
        <v>18953</v>
      </c>
      <c r="CC165" s="89" t="str">
        <f>HYPERLINK("https%3A%2F%2Fwww.webofscience.com%2Fwos%2Fwoscc%2Ffull-record%2FWOS:000441330600026","View Full Record in Web of Science")</f>
        <v>View Full Record in Web of Science</v>
      </c>
    </row>
    <row r="166" spans="1:81" ht="13.2" hidden="1" x14ac:dyDescent="0.25">
      <c r="A166" s="89" t="s">
        <v>18954</v>
      </c>
      <c r="B166" s="89" t="e">
        <f>+#REF!</f>
        <v>#REF!</v>
      </c>
      <c r="C166" s="89"/>
      <c r="D166" s="91" t="s">
        <v>717</v>
      </c>
      <c r="E166" s="90" t="e">
        <v>#REF!</v>
      </c>
      <c r="F166" s="89"/>
      <c r="G166" s="89"/>
      <c r="H166" s="89" t="s">
        <v>10990</v>
      </c>
      <c r="I166" s="89" t="s">
        <v>18955</v>
      </c>
      <c r="J166" s="89" t="s">
        <v>18962</v>
      </c>
      <c r="K166" s="89" t="s">
        <v>10992</v>
      </c>
      <c r="M166" s="89">
        <v>2013</v>
      </c>
      <c r="N166" s="89" t="s">
        <v>18956</v>
      </c>
      <c r="O166" s="89" t="s">
        <v>646</v>
      </c>
      <c r="P166" s="89" t="str">
        <f>HYPERLINK("http://dx.doi.org/10.1109/ICGSE.2013.20","http://dx.doi.org/10.1109/ICGSE.2013.20")</f>
        <v>http://dx.doi.org/10.1109/ICGSE.2013.20</v>
      </c>
      <c r="S166" s="89" t="s">
        <v>17475</v>
      </c>
      <c r="U166" s="89" t="s">
        <v>17474</v>
      </c>
      <c r="W166" s="89" t="s">
        <v>646</v>
      </c>
      <c r="X166" s="89" t="s">
        <v>646</v>
      </c>
      <c r="Y166" s="89" t="s">
        <v>18957</v>
      </c>
      <c r="Z166" s="89" t="s">
        <v>18958</v>
      </c>
      <c r="AA166" s="89" t="s">
        <v>18959</v>
      </c>
      <c r="AB166" s="89" t="s">
        <v>18960</v>
      </c>
      <c r="AC166" s="89" t="s">
        <v>18961</v>
      </c>
      <c r="AD166" s="89" t="s">
        <v>646</v>
      </c>
      <c r="AE166" s="89" t="s">
        <v>646</v>
      </c>
      <c r="AF166" s="89" t="s">
        <v>10992</v>
      </c>
      <c r="AG166" s="89" t="s">
        <v>646</v>
      </c>
      <c r="AH166" s="89" t="s">
        <v>646</v>
      </c>
      <c r="AI166" s="89" t="s">
        <v>646</v>
      </c>
      <c r="AJ166" s="89" t="s">
        <v>646</v>
      </c>
      <c r="AK166" s="89" t="s">
        <v>18962</v>
      </c>
      <c r="AL166" s="89" t="s">
        <v>18963</v>
      </c>
      <c r="AM166" s="89" t="s">
        <v>646</v>
      </c>
      <c r="AN166" s="89" t="s">
        <v>646</v>
      </c>
      <c r="AO166" s="89" t="s">
        <v>646</v>
      </c>
      <c r="AP166" s="89" t="s">
        <v>646</v>
      </c>
      <c r="AQ166" s="89" t="s">
        <v>646</v>
      </c>
      <c r="AR166" s="89" t="s">
        <v>646</v>
      </c>
      <c r="AS166" s="89" t="s">
        <v>646</v>
      </c>
      <c r="AT166" s="89" t="s">
        <v>646</v>
      </c>
      <c r="AU166" s="89" t="s">
        <v>646</v>
      </c>
      <c r="AV166" s="89" t="s">
        <v>646</v>
      </c>
      <c r="AW166" s="89" t="s">
        <v>646</v>
      </c>
      <c r="AX166" s="89" t="s">
        <v>646</v>
      </c>
      <c r="AY166" s="89" t="s">
        <v>646</v>
      </c>
      <c r="AZ166" s="89" t="s">
        <v>646</v>
      </c>
      <c r="BA166" s="89" t="s">
        <v>18964</v>
      </c>
      <c r="BB166" s="89" t="s">
        <v>646</v>
      </c>
      <c r="BC166" s="89" t="s">
        <v>646</v>
      </c>
      <c r="BD166" s="89" t="s">
        <v>646</v>
      </c>
      <c r="BE166" s="89">
        <v>2013</v>
      </c>
      <c r="BF166" s="89" t="s">
        <v>646</v>
      </c>
      <c r="BG166" s="89" t="s">
        <v>646</v>
      </c>
      <c r="BH166" s="89" t="s">
        <v>646</v>
      </c>
      <c r="BI166" s="89" t="s">
        <v>646</v>
      </c>
      <c r="BJ166" s="89" t="s">
        <v>646</v>
      </c>
      <c r="BK166" s="89" t="s">
        <v>646</v>
      </c>
      <c r="BL166" s="89">
        <v>100</v>
      </c>
      <c r="BM166" s="89">
        <v>109</v>
      </c>
      <c r="BN166" s="89" t="s">
        <v>646</v>
      </c>
      <c r="BO166" s="89" t="str">
        <f>HYPERLINK("http://dx.doi.org/10.1109/ICGSE.2013.20","http://dx.doi.org/10.1109/ICGSE.2013.20")</f>
        <v>http://dx.doi.org/10.1109/ICGSE.2013.20</v>
      </c>
      <c r="BP166" s="89" t="s">
        <v>646</v>
      </c>
      <c r="BQ166" s="89" t="s">
        <v>646</v>
      </c>
      <c r="BR166" s="89" t="s">
        <v>646</v>
      </c>
      <c r="BS166" s="89" t="s">
        <v>646</v>
      </c>
      <c r="BT166" s="89" t="s">
        <v>646</v>
      </c>
      <c r="BU166" s="89" t="s">
        <v>646</v>
      </c>
      <c r="BV166" s="89" t="s">
        <v>646</v>
      </c>
      <c r="BW166" s="89" t="s">
        <v>646</v>
      </c>
      <c r="BX166" s="89" t="s">
        <v>646</v>
      </c>
      <c r="BY166" s="89" t="s">
        <v>646</v>
      </c>
      <c r="BZ166" s="89" t="s">
        <v>646</v>
      </c>
      <c r="CA166" s="89" t="s">
        <v>646</v>
      </c>
      <c r="CB166" s="89" t="s">
        <v>18965</v>
      </c>
      <c r="CC166" s="89" t="str">
        <f>HYPERLINK("https%3A%2F%2Fwww.webofscience.com%2Fwos%2Fwoscc%2Ffull-record%2FWOS:000335769100011","View Full Record in Web of Science")</f>
        <v>View Full Record in Web of Science</v>
      </c>
    </row>
    <row r="167" spans="1:81" ht="13.2" hidden="1" x14ac:dyDescent="0.25">
      <c r="A167" s="89" t="s">
        <v>16384</v>
      </c>
      <c r="B167" s="89" t="e">
        <f>+#REF!</f>
        <v>#REF!</v>
      </c>
      <c r="C167" s="89"/>
      <c r="D167" s="91" t="s">
        <v>717</v>
      </c>
      <c r="E167" s="90" t="e">
        <v>#REF!</v>
      </c>
      <c r="F167" s="89"/>
      <c r="G167" s="89"/>
      <c r="H167" s="89" t="s">
        <v>16385</v>
      </c>
      <c r="I167" s="89" t="s">
        <v>18966</v>
      </c>
      <c r="J167" s="89" t="s">
        <v>18969</v>
      </c>
      <c r="K167" s="89" t="s">
        <v>18968</v>
      </c>
      <c r="M167" s="89">
        <v>2020</v>
      </c>
      <c r="N167" s="89" t="s">
        <v>18967</v>
      </c>
      <c r="O167" s="89" t="s">
        <v>646</v>
      </c>
      <c r="P167" s="89" t="str">
        <f>HYPERLINK("http://dx.doi.org/10.1186/s12891-020-03696-2","http://dx.doi.org/10.1186/s12891-020-03696-2")</f>
        <v>http://dx.doi.org/10.1186/s12891-020-03696-2</v>
      </c>
      <c r="S167" s="89" t="s">
        <v>646</v>
      </c>
      <c r="U167" s="89" t="s">
        <v>17462</v>
      </c>
      <c r="W167" s="89" t="s">
        <v>646</v>
      </c>
      <c r="X167" s="89" t="s">
        <v>646</v>
      </c>
      <c r="Y167" s="89" t="s">
        <v>646</v>
      </c>
      <c r="Z167" s="89" t="s">
        <v>646</v>
      </c>
      <c r="AA167" s="89" t="s">
        <v>646</v>
      </c>
      <c r="AB167" s="89" t="s">
        <v>646</v>
      </c>
      <c r="AC167" s="89" t="s">
        <v>646</v>
      </c>
      <c r="AD167" s="89" t="s">
        <v>646</v>
      </c>
      <c r="AE167" s="89" t="s">
        <v>646</v>
      </c>
      <c r="AF167" s="89" t="s">
        <v>18968</v>
      </c>
      <c r="AG167" s="89" t="s">
        <v>646</v>
      </c>
      <c r="AH167" s="89" t="s">
        <v>646</v>
      </c>
      <c r="AI167" s="89" t="s">
        <v>646</v>
      </c>
      <c r="AJ167" s="89" t="s">
        <v>646</v>
      </c>
      <c r="AK167" s="89" t="s">
        <v>18969</v>
      </c>
      <c r="AL167" s="89" t="s">
        <v>18970</v>
      </c>
      <c r="AM167" s="89" t="s">
        <v>646</v>
      </c>
      <c r="AN167" s="89" t="s">
        <v>646</v>
      </c>
      <c r="AO167" s="89" t="s">
        <v>646</v>
      </c>
      <c r="AP167" s="89" t="s">
        <v>646</v>
      </c>
      <c r="AQ167" s="89" t="s">
        <v>646</v>
      </c>
      <c r="AR167" s="89" t="s">
        <v>646</v>
      </c>
      <c r="AS167" s="89" t="s">
        <v>646</v>
      </c>
      <c r="AT167" s="89" t="s">
        <v>646</v>
      </c>
      <c r="AU167" s="89" t="s">
        <v>646</v>
      </c>
      <c r="AV167" s="89" t="s">
        <v>646</v>
      </c>
      <c r="AW167" s="89" t="s">
        <v>646</v>
      </c>
      <c r="AX167" s="89" t="s">
        <v>646</v>
      </c>
      <c r="AY167" s="89" t="s">
        <v>646</v>
      </c>
      <c r="AZ167" s="89" t="s">
        <v>18971</v>
      </c>
      <c r="BA167" s="89" t="s">
        <v>646</v>
      </c>
      <c r="BB167" s="89" t="s">
        <v>646</v>
      </c>
      <c r="BC167" s="89" t="s">
        <v>646</v>
      </c>
      <c r="BD167" s="89" t="s">
        <v>18972</v>
      </c>
      <c r="BE167" s="89">
        <v>2020</v>
      </c>
      <c r="BF167" s="89">
        <v>21</v>
      </c>
      <c r="BG167" s="89">
        <v>1</v>
      </c>
      <c r="BH167" s="89" t="s">
        <v>646</v>
      </c>
      <c r="BI167" s="89" t="s">
        <v>646</v>
      </c>
      <c r="BJ167" s="89" t="s">
        <v>646</v>
      </c>
      <c r="BK167" s="89" t="s">
        <v>646</v>
      </c>
      <c r="BL167" s="89" t="s">
        <v>646</v>
      </c>
      <c r="BM167" s="89" t="s">
        <v>646</v>
      </c>
      <c r="BN167" s="89">
        <v>671</v>
      </c>
      <c r="BO167" s="89" t="str">
        <f>HYPERLINK("http://dx.doi.org/10.1186/s12891-020-03696-2","http://dx.doi.org/10.1186/s12891-020-03696-2")</f>
        <v>http://dx.doi.org/10.1186/s12891-020-03696-2</v>
      </c>
      <c r="BP167" s="89" t="s">
        <v>646</v>
      </c>
      <c r="BQ167" s="89" t="s">
        <v>646</v>
      </c>
      <c r="BR167" s="89" t="s">
        <v>646</v>
      </c>
      <c r="BS167" s="89" t="s">
        <v>646</v>
      </c>
      <c r="BT167" s="89" t="s">
        <v>646</v>
      </c>
      <c r="BU167" s="89" t="s">
        <v>646</v>
      </c>
      <c r="BV167" s="89" t="s">
        <v>646</v>
      </c>
      <c r="BW167" s="89">
        <v>33038933</v>
      </c>
      <c r="BX167" s="89" t="s">
        <v>646</v>
      </c>
      <c r="BY167" s="89" t="s">
        <v>646</v>
      </c>
      <c r="BZ167" s="89" t="s">
        <v>646</v>
      </c>
      <c r="CA167" s="89" t="s">
        <v>646</v>
      </c>
      <c r="CB167" s="89" t="s">
        <v>18973</v>
      </c>
      <c r="CC167" s="89" t="str">
        <f>HYPERLINK("https%3A%2F%2Fwww.webofscience.com%2Fwos%2Fwoscc%2Ffull-record%2FWOS:000578578300001","View Full Record in Web of Science")</f>
        <v>View Full Record in Web of Science</v>
      </c>
    </row>
    <row r="168" spans="1:81" ht="13.2" hidden="1" x14ac:dyDescent="0.25">
      <c r="A168" s="89" t="s">
        <v>18974</v>
      </c>
      <c r="B168" s="89" t="e">
        <f>+#REF!</f>
        <v>#REF!</v>
      </c>
      <c r="C168" s="89"/>
      <c r="D168" s="91" t="s">
        <v>717</v>
      </c>
      <c r="E168" s="90" t="e">
        <v>#REF!</v>
      </c>
      <c r="F168" s="89"/>
      <c r="G168" s="89"/>
      <c r="H168" s="89" t="s">
        <v>646</v>
      </c>
      <c r="I168" s="89" t="s">
        <v>18975</v>
      </c>
      <c r="J168" s="89" t="s">
        <v>646</v>
      </c>
      <c r="K168" s="89" t="s">
        <v>18982</v>
      </c>
      <c r="M168" s="89">
        <v>2016</v>
      </c>
      <c r="N168" s="89" t="s">
        <v>18976</v>
      </c>
      <c r="O168" s="89" t="s">
        <v>646</v>
      </c>
      <c r="P168" s="89" t="s">
        <v>646</v>
      </c>
      <c r="S168" s="89" t="s">
        <v>17475</v>
      </c>
      <c r="U168" s="89" t="s">
        <v>17474</v>
      </c>
      <c r="W168" s="89" t="s">
        <v>646</v>
      </c>
      <c r="X168" s="89" t="s">
        <v>646</v>
      </c>
      <c r="Y168" s="89" t="s">
        <v>18977</v>
      </c>
      <c r="Z168" s="89" t="s">
        <v>18978</v>
      </c>
      <c r="AA168" s="89" t="s">
        <v>18979</v>
      </c>
      <c r="AB168" s="89" t="s">
        <v>18980</v>
      </c>
      <c r="AC168" s="89" t="s">
        <v>18981</v>
      </c>
      <c r="AD168" s="89" t="s">
        <v>646</v>
      </c>
      <c r="AE168" s="89" t="s">
        <v>646</v>
      </c>
      <c r="AF168" s="89" t="s">
        <v>18982</v>
      </c>
      <c r="AG168" s="89" t="s">
        <v>646</v>
      </c>
      <c r="AH168" s="89" t="s">
        <v>646</v>
      </c>
      <c r="AI168" s="89" t="s">
        <v>646</v>
      </c>
      <c r="AJ168" s="89" t="s">
        <v>646</v>
      </c>
      <c r="AK168" s="89" t="s">
        <v>646</v>
      </c>
      <c r="AL168" s="89" t="s">
        <v>646</v>
      </c>
      <c r="AM168" s="89" t="s">
        <v>646</v>
      </c>
      <c r="AN168" s="89" t="s">
        <v>646</v>
      </c>
      <c r="AO168" s="89" t="s">
        <v>646</v>
      </c>
      <c r="AP168" s="89" t="s">
        <v>646</v>
      </c>
      <c r="AQ168" s="89" t="s">
        <v>646</v>
      </c>
      <c r="AR168" s="89" t="s">
        <v>646</v>
      </c>
      <c r="AS168" s="89" t="s">
        <v>646</v>
      </c>
      <c r="AT168" s="89" t="s">
        <v>646</v>
      </c>
      <c r="AU168" s="89" t="s">
        <v>646</v>
      </c>
      <c r="AV168" s="89" t="s">
        <v>646</v>
      </c>
      <c r="AW168" s="89" t="s">
        <v>646</v>
      </c>
      <c r="AX168" s="89" t="s">
        <v>646</v>
      </c>
      <c r="AY168" s="89" t="s">
        <v>18983</v>
      </c>
      <c r="AZ168" s="89" t="s">
        <v>646</v>
      </c>
      <c r="BA168" s="89" t="s">
        <v>18984</v>
      </c>
      <c r="BB168" s="89" t="s">
        <v>646</v>
      </c>
      <c r="BC168" s="89" t="s">
        <v>646</v>
      </c>
      <c r="BD168" s="89" t="s">
        <v>646</v>
      </c>
      <c r="BE168" s="89">
        <v>2016</v>
      </c>
      <c r="BF168" s="89" t="s">
        <v>646</v>
      </c>
      <c r="BG168" s="89" t="s">
        <v>646</v>
      </c>
      <c r="BH168" s="89" t="s">
        <v>646</v>
      </c>
      <c r="BI168" s="89" t="s">
        <v>646</v>
      </c>
      <c r="BJ168" s="89" t="s">
        <v>646</v>
      </c>
      <c r="BK168" s="89" t="s">
        <v>646</v>
      </c>
      <c r="BL168" s="89">
        <v>981</v>
      </c>
      <c r="BM168" s="89">
        <v>984</v>
      </c>
      <c r="BN168" s="89" t="s">
        <v>646</v>
      </c>
      <c r="BO168" s="89" t="s">
        <v>646</v>
      </c>
      <c r="BP168" s="89" t="s">
        <v>646</v>
      </c>
      <c r="BQ168" s="89" t="s">
        <v>646</v>
      </c>
      <c r="BR168" s="89" t="s">
        <v>646</v>
      </c>
      <c r="BS168" s="89" t="s">
        <v>646</v>
      </c>
      <c r="BT168" s="89" t="s">
        <v>646</v>
      </c>
      <c r="BU168" s="89" t="s">
        <v>646</v>
      </c>
      <c r="BV168" s="89" t="s">
        <v>646</v>
      </c>
      <c r="BW168" s="89" t="s">
        <v>646</v>
      </c>
      <c r="BX168" s="89" t="s">
        <v>646</v>
      </c>
      <c r="BY168" s="89" t="s">
        <v>646</v>
      </c>
      <c r="BZ168" s="89" t="s">
        <v>646</v>
      </c>
      <c r="CA168" s="89" t="s">
        <v>646</v>
      </c>
      <c r="CB168" s="89" t="s">
        <v>18985</v>
      </c>
      <c r="CC168" s="89" t="str">
        <f>HYPERLINK("https%3A%2F%2Fwww.webofscience.com%2Fwos%2Fwoscc%2Ffull-record%2FWOS:000402055400211","View Full Record in Web of Science")</f>
        <v>View Full Record in Web of Science</v>
      </c>
    </row>
    <row r="169" spans="1:81" ht="13.2" hidden="1" x14ac:dyDescent="0.25">
      <c r="A169" s="89" t="s">
        <v>8931</v>
      </c>
      <c r="B169" s="89" t="e">
        <f>+#REF!</f>
        <v>#REF!</v>
      </c>
      <c r="C169" s="89"/>
      <c r="D169" s="91" t="s">
        <v>717</v>
      </c>
      <c r="E169" s="90" t="e">
        <v>#REF!</v>
      </c>
      <c r="F169" s="89"/>
      <c r="G169" s="89"/>
      <c r="H169" s="89" t="s">
        <v>8932</v>
      </c>
      <c r="I169" s="89" t="s">
        <v>18987</v>
      </c>
      <c r="J169" s="89" t="s">
        <v>646</v>
      </c>
      <c r="K169" s="89" t="s">
        <v>18992</v>
      </c>
      <c r="M169" s="89">
        <v>2021</v>
      </c>
      <c r="N169" s="89" t="s">
        <v>18988</v>
      </c>
      <c r="O169" s="89" t="s">
        <v>18986</v>
      </c>
      <c r="P169" s="89" t="str">
        <f>HYPERLINK("http://dx.doi.org/10.1109/ICDMW53433.2021.00021","http://dx.doi.org/10.1109/ICDMW53433.2021.00021")</f>
        <v>http://dx.doi.org/10.1109/ICDMW53433.2021.00021</v>
      </c>
      <c r="S169" s="89" t="s">
        <v>646</v>
      </c>
      <c r="U169" s="89" t="s">
        <v>17474</v>
      </c>
      <c r="W169" s="89" t="s">
        <v>646</v>
      </c>
      <c r="X169" s="89" t="s">
        <v>646</v>
      </c>
      <c r="Y169" s="89" t="s">
        <v>18989</v>
      </c>
      <c r="Z169" s="89" t="s">
        <v>18990</v>
      </c>
      <c r="AA169" s="89" t="s">
        <v>17494</v>
      </c>
      <c r="AB169" s="89" t="s">
        <v>18991</v>
      </c>
      <c r="AC169" s="89" t="s">
        <v>646</v>
      </c>
      <c r="AD169" s="89" t="s">
        <v>646</v>
      </c>
      <c r="AE169" s="89" t="s">
        <v>646</v>
      </c>
      <c r="AF169" s="89" t="s">
        <v>18992</v>
      </c>
      <c r="AG169" s="89" t="s">
        <v>646</v>
      </c>
      <c r="AH169" s="89" t="s">
        <v>646</v>
      </c>
      <c r="AI169" s="89" t="s">
        <v>646</v>
      </c>
      <c r="AJ169" s="89" t="s">
        <v>646</v>
      </c>
      <c r="AK169" s="89" t="s">
        <v>646</v>
      </c>
      <c r="AL169" s="89" t="s">
        <v>646</v>
      </c>
      <c r="AM169" s="89" t="s">
        <v>646</v>
      </c>
      <c r="AN169" s="89" t="s">
        <v>646</v>
      </c>
      <c r="AO169" s="89" t="s">
        <v>646</v>
      </c>
      <c r="AP169" s="89" t="s">
        <v>646</v>
      </c>
      <c r="AQ169" s="89" t="s">
        <v>646</v>
      </c>
      <c r="AR169" s="89" t="s">
        <v>646</v>
      </c>
      <c r="AS169" s="89" t="s">
        <v>646</v>
      </c>
      <c r="AT169" s="89" t="s">
        <v>646</v>
      </c>
      <c r="AU169" s="89" t="s">
        <v>646</v>
      </c>
      <c r="AV169" s="89" t="s">
        <v>646</v>
      </c>
      <c r="AW169" s="89" t="s">
        <v>646</v>
      </c>
      <c r="AX169" s="89" t="s">
        <v>646</v>
      </c>
      <c r="AY169" s="89" t="s">
        <v>18993</v>
      </c>
      <c r="AZ169" s="89" t="s">
        <v>646</v>
      </c>
      <c r="BA169" s="89" t="s">
        <v>18994</v>
      </c>
      <c r="BB169" s="89" t="s">
        <v>646</v>
      </c>
      <c r="BC169" s="89" t="s">
        <v>646</v>
      </c>
      <c r="BD169" s="89" t="s">
        <v>646</v>
      </c>
      <c r="BE169" s="89">
        <v>2021</v>
      </c>
      <c r="BF169" s="89" t="s">
        <v>646</v>
      </c>
      <c r="BG169" s="89" t="s">
        <v>646</v>
      </c>
      <c r="BH169" s="89" t="s">
        <v>646</v>
      </c>
      <c r="BI169" s="89" t="s">
        <v>646</v>
      </c>
      <c r="BJ169" s="89" t="s">
        <v>646</v>
      </c>
      <c r="BK169" s="89" t="s">
        <v>646</v>
      </c>
      <c r="BL169" s="89">
        <v>118</v>
      </c>
      <c r="BM169" s="89">
        <v>127</v>
      </c>
      <c r="BN169" s="89" t="s">
        <v>646</v>
      </c>
      <c r="BO169" s="89" t="str">
        <f>HYPERLINK("http://dx.doi.org/10.1109/ICDMW53433.2021.00021","http://dx.doi.org/10.1109/ICDMW53433.2021.00021")</f>
        <v>http://dx.doi.org/10.1109/ICDMW53433.2021.00021</v>
      </c>
      <c r="BP169" s="89" t="s">
        <v>646</v>
      </c>
      <c r="BQ169" s="89" t="s">
        <v>646</v>
      </c>
      <c r="BR169" s="89" t="s">
        <v>646</v>
      </c>
      <c r="BS169" s="89" t="s">
        <v>646</v>
      </c>
      <c r="BT169" s="89" t="s">
        <v>646</v>
      </c>
      <c r="BU169" s="89" t="s">
        <v>646</v>
      </c>
      <c r="BV169" s="89" t="s">
        <v>646</v>
      </c>
      <c r="BW169" s="89" t="s">
        <v>646</v>
      </c>
      <c r="BX169" s="89" t="s">
        <v>646</v>
      </c>
      <c r="BY169" s="89" t="s">
        <v>646</v>
      </c>
      <c r="BZ169" s="89" t="s">
        <v>646</v>
      </c>
      <c r="CA169" s="89" t="s">
        <v>646</v>
      </c>
      <c r="CB169" s="89" t="s">
        <v>18995</v>
      </c>
      <c r="CC169" s="89" t="str">
        <f>HYPERLINK("https%3A%2F%2Fwww.webofscience.com%2Fwos%2Fwoscc%2Ffull-record%2FWOS:000779306300014","View Full Record in Web of Science")</f>
        <v>View Full Record in Web of Science</v>
      </c>
    </row>
    <row r="170" spans="1:81" ht="13.2" hidden="1" x14ac:dyDescent="0.25">
      <c r="A170" s="89" t="s">
        <v>11007</v>
      </c>
      <c r="B170" s="89" t="e">
        <f>+#REF!</f>
        <v>#REF!</v>
      </c>
      <c r="C170" s="89"/>
      <c r="D170" s="91" t="s">
        <v>717</v>
      </c>
      <c r="E170" s="90" t="e">
        <v>#REF!</v>
      </c>
      <c r="F170" s="89"/>
      <c r="G170" s="89"/>
      <c r="H170" s="89" t="s">
        <v>646</v>
      </c>
      <c r="I170" s="89" t="s">
        <v>18996</v>
      </c>
      <c r="J170" s="89" t="s">
        <v>646</v>
      </c>
      <c r="K170" s="89" t="s">
        <v>19003</v>
      </c>
      <c r="M170" s="89">
        <v>2004</v>
      </c>
      <c r="N170" s="89" t="s">
        <v>18998</v>
      </c>
      <c r="O170" s="89" t="s">
        <v>18997</v>
      </c>
      <c r="P170" s="89" t="s">
        <v>646</v>
      </c>
      <c r="S170" s="89" t="s">
        <v>646</v>
      </c>
      <c r="U170" s="89" t="s">
        <v>17474</v>
      </c>
      <c r="W170" s="89" t="s">
        <v>646</v>
      </c>
      <c r="X170" s="89" t="s">
        <v>646</v>
      </c>
      <c r="Y170" s="89" t="s">
        <v>18999</v>
      </c>
      <c r="Z170" s="89" t="s">
        <v>19000</v>
      </c>
      <c r="AA170" s="89" t="s">
        <v>19001</v>
      </c>
      <c r="AB170" s="89" t="s">
        <v>19002</v>
      </c>
      <c r="AC170" s="89" t="s">
        <v>646</v>
      </c>
      <c r="AD170" s="89" t="s">
        <v>646</v>
      </c>
      <c r="AE170" s="89" t="s">
        <v>646</v>
      </c>
      <c r="AF170" s="89" t="s">
        <v>19003</v>
      </c>
      <c r="AG170" s="89" t="s">
        <v>646</v>
      </c>
      <c r="AH170" s="89" t="s">
        <v>646</v>
      </c>
      <c r="AI170" s="89" t="s">
        <v>646</v>
      </c>
      <c r="AJ170" s="89" t="s">
        <v>646</v>
      </c>
      <c r="AK170" s="89" t="s">
        <v>646</v>
      </c>
      <c r="AL170" s="89" t="s">
        <v>646</v>
      </c>
      <c r="AM170" s="89" t="s">
        <v>646</v>
      </c>
      <c r="AN170" s="89" t="s">
        <v>646</v>
      </c>
      <c r="AO170" s="89" t="s">
        <v>646</v>
      </c>
      <c r="AP170" s="89" t="s">
        <v>646</v>
      </c>
      <c r="AQ170" s="89" t="s">
        <v>646</v>
      </c>
      <c r="AR170" s="89" t="s">
        <v>646</v>
      </c>
      <c r="AS170" s="89" t="s">
        <v>646</v>
      </c>
      <c r="AT170" s="89" t="s">
        <v>646</v>
      </c>
      <c r="AU170" s="89" t="s">
        <v>646</v>
      </c>
      <c r="AV170" s="89" t="s">
        <v>646</v>
      </c>
      <c r="AW170" s="89" t="s">
        <v>646</v>
      </c>
      <c r="AX170" s="89" t="s">
        <v>646</v>
      </c>
      <c r="AY170" s="89" t="s">
        <v>18343</v>
      </c>
      <c r="AZ170" s="89" t="s">
        <v>646</v>
      </c>
      <c r="BA170" s="89" t="s">
        <v>19004</v>
      </c>
      <c r="BB170" s="89" t="s">
        <v>646</v>
      </c>
      <c r="BC170" s="89" t="s">
        <v>646</v>
      </c>
      <c r="BD170" s="89" t="s">
        <v>646</v>
      </c>
      <c r="BE170" s="89">
        <v>2004</v>
      </c>
      <c r="BF170" s="89">
        <v>149</v>
      </c>
      <c r="BG170" s="89" t="s">
        <v>646</v>
      </c>
      <c r="BH170" s="89" t="s">
        <v>646</v>
      </c>
      <c r="BI170" s="89" t="s">
        <v>646</v>
      </c>
      <c r="BJ170" s="89" t="s">
        <v>646</v>
      </c>
      <c r="BK170" s="89" t="s">
        <v>646</v>
      </c>
      <c r="BL170" s="89">
        <v>369</v>
      </c>
      <c r="BM170" s="89">
        <v>378</v>
      </c>
      <c r="BN170" s="89" t="s">
        <v>646</v>
      </c>
      <c r="BO170" s="89" t="s">
        <v>646</v>
      </c>
      <c r="BP170" s="89" t="s">
        <v>646</v>
      </c>
      <c r="BQ170" s="89" t="s">
        <v>646</v>
      </c>
      <c r="BR170" s="89" t="s">
        <v>646</v>
      </c>
      <c r="BS170" s="89" t="s">
        <v>646</v>
      </c>
      <c r="BT170" s="89" t="s">
        <v>646</v>
      </c>
      <c r="BU170" s="89" t="s">
        <v>646</v>
      </c>
      <c r="BV170" s="89" t="s">
        <v>646</v>
      </c>
      <c r="BW170" s="89" t="s">
        <v>646</v>
      </c>
      <c r="BX170" s="89" t="s">
        <v>646</v>
      </c>
      <c r="BY170" s="89" t="s">
        <v>646</v>
      </c>
      <c r="BZ170" s="89" t="s">
        <v>646</v>
      </c>
      <c r="CA170" s="89" t="s">
        <v>646</v>
      </c>
      <c r="CB170" s="89" t="s">
        <v>19005</v>
      </c>
      <c r="CC170" s="89" t="str">
        <f>HYPERLINK("https%3A%2F%2Fwww.webofscience.com%2Fwos%2Fwoscc%2Ffull-record%2FWOS:000228128400039","View Full Record in Web of Science")</f>
        <v>View Full Record in Web of Science</v>
      </c>
    </row>
    <row r="171" spans="1:81" ht="13.2" hidden="1" x14ac:dyDescent="0.25">
      <c r="A171" s="89" t="s">
        <v>11015</v>
      </c>
      <c r="B171" s="89" t="e">
        <f>+#REF!</f>
        <v>#REF!</v>
      </c>
      <c r="C171" s="89"/>
      <c r="D171" s="91" t="s">
        <v>717</v>
      </c>
      <c r="E171" s="90" t="e">
        <v>#REF!</v>
      </c>
      <c r="F171" s="89"/>
      <c r="G171" s="89"/>
      <c r="H171" s="89" t="s">
        <v>11016</v>
      </c>
      <c r="I171" s="89" t="s">
        <v>19007</v>
      </c>
      <c r="J171" s="89" t="s">
        <v>646</v>
      </c>
      <c r="K171" s="89" t="s">
        <v>19013</v>
      </c>
      <c r="M171" s="89">
        <v>2006</v>
      </c>
      <c r="N171" s="89" t="s">
        <v>19008</v>
      </c>
      <c r="O171" s="89" t="s">
        <v>646</v>
      </c>
      <c r="P171" s="89" t="str">
        <f>HYPERLINK("http://dx.doi.org/10.1109/ICGSE.2006.261212","http://dx.doi.org/10.1109/ICGSE.2006.261212")</f>
        <v>http://dx.doi.org/10.1109/ICGSE.2006.261212</v>
      </c>
      <c r="S171" s="89" t="s">
        <v>19006</v>
      </c>
      <c r="U171" s="89" t="s">
        <v>17474</v>
      </c>
      <c r="W171" s="89" t="s">
        <v>646</v>
      </c>
      <c r="X171" s="89" t="s">
        <v>646</v>
      </c>
      <c r="Y171" s="89" t="s">
        <v>19009</v>
      </c>
      <c r="Z171" s="89" t="s">
        <v>19010</v>
      </c>
      <c r="AA171" s="89" t="s">
        <v>19011</v>
      </c>
      <c r="AB171" s="89" t="s">
        <v>19012</v>
      </c>
      <c r="AC171" s="89" t="s">
        <v>646</v>
      </c>
      <c r="AD171" s="89" t="s">
        <v>646</v>
      </c>
      <c r="AE171" s="89" t="s">
        <v>646</v>
      </c>
      <c r="AF171" s="89" t="s">
        <v>19013</v>
      </c>
      <c r="AG171" s="89" t="s">
        <v>646</v>
      </c>
      <c r="AH171" s="89" t="s">
        <v>646</v>
      </c>
      <c r="AI171" s="89" t="s">
        <v>646</v>
      </c>
      <c r="AJ171" s="89" t="s">
        <v>646</v>
      </c>
      <c r="AK171" s="89" t="s">
        <v>646</v>
      </c>
      <c r="AL171" s="89" t="s">
        <v>646</v>
      </c>
      <c r="AM171" s="89" t="s">
        <v>646</v>
      </c>
      <c r="AN171" s="89" t="s">
        <v>646</v>
      </c>
      <c r="AO171" s="89" t="s">
        <v>646</v>
      </c>
      <c r="AP171" s="89" t="s">
        <v>646</v>
      </c>
      <c r="AQ171" s="89" t="s">
        <v>646</v>
      </c>
      <c r="AR171" s="89" t="s">
        <v>646</v>
      </c>
      <c r="AS171" s="89" t="s">
        <v>646</v>
      </c>
      <c r="AT171" s="89" t="s">
        <v>646</v>
      </c>
      <c r="AU171" s="89" t="s">
        <v>646</v>
      </c>
      <c r="AV171" s="89" t="s">
        <v>646</v>
      </c>
      <c r="AW171" s="89" t="s">
        <v>646</v>
      </c>
      <c r="AX171" s="89" t="s">
        <v>646</v>
      </c>
      <c r="AY171" s="89" t="s">
        <v>646</v>
      </c>
      <c r="AZ171" s="89" t="s">
        <v>646</v>
      </c>
      <c r="BA171" s="89" t="s">
        <v>19014</v>
      </c>
      <c r="BB171" s="89" t="s">
        <v>646</v>
      </c>
      <c r="BC171" s="89" t="s">
        <v>646</v>
      </c>
      <c r="BD171" s="89" t="s">
        <v>646</v>
      </c>
      <c r="BE171" s="89">
        <v>2006</v>
      </c>
      <c r="BF171" s="89" t="s">
        <v>646</v>
      </c>
      <c r="BG171" s="89" t="s">
        <v>646</v>
      </c>
      <c r="BH171" s="89" t="s">
        <v>646</v>
      </c>
      <c r="BI171" s="89" t="s">
        <v>646</v>
      </c>
      <c r="BJ171" s="89" t="s">
        <v>646</v>
      </c>
      <c r="BK171" s="89" t="s">
        <v>646</v>
      </c>
      <c r="BL171" s="89">
        <v>18</v>
      </c>
      <c r="BM171" s="89">
        <v>25</v>
      </c>
      <c r="BN171" s="89" t="s">
        <v>646</v>
      </c>
      <c r="BO171" s="89" t="str">
        <f>HYPERLINK("http://dx.doi.org/10.1109/ICGSE.2006.261212","http://dx.doi.org/10.1109/ICGSE.2006.261212")</f>
        <v>http://dx.doi.org/10.1109/ICGSE.2006.261212</v>
      </c>
      <c r="BP171" s="89" t="s">
        <v>646</v>
      </c>
      <c r="BQ171" s="89" t="s">
        <v>646</v>
      </c>
      <c r="BR171" s="89" t="s">
        <v>646</v>
      </c>
      <c r="BS171" s="89" t="s">
        <v>646</v>
      </c>
      <c r="BT171" s="89" t="s">
        <v>646</v>
      </c>
      <c r="BU171" s="89" t="s">
        <v>646</v>
      </c>
      <c r="BV171" s="89" t="s">
        <v>646</v>
      </c>
      <c r="BW171" s="89" t="s">
        <v>646</v>
      </c>
      <c r="BX171" s="89" t="s">
        <v>646</v>
      </c>
      <c r="BY171" s="89" t="s">
        <v>646</v>
      </c>
      <c r="BZ171" s="89" t="s">
        <v>646</v>
      </c>
      <c r="CA171" s="89" t="s">
        <v>646</v>
      </c>
      <c r="CB171" s="89" t="s">
        <v>19015</v>
      </c>
      <c r="CC171" s="89" t="str">
        <f>HYPERLINK("https%3A%2F%2Fwww.webofscience.com%2Fwos%2Fwoscc%2Ffull-record%2FWOS:000242500600003","View Full Record in Web of Science")</f>
        <v>View Full Record in Web of Science</v>
      </c>
    </row>
    <row r="172" spans="1:81" ht="13.2" hidden="1" x14ac:dyDescent="0.25">
      <c r="A172" s="89" t="s">
        <v>1032</v>
      </c>
      <c r="B172" s="89" t="e">
        <f>+#REF!</f>
        <v>#REF!</v>
      </c>
      <c r="C172" s="89"/>
      <c r="D172" s="91" t="s">
        <v>717</v>
      </c>
      <c r="E172" s="90" t="e">
        <v>#REF!</v>
      </c>
      <c r="F172" s="89"/>
      <c r="G172" s="89"/>
      <c r="H172" s="89" t="s">
        <v>1034</v>
      </c>
      <c r="I172" s="89" t="s">
        <v>19016</v>
      </c>
      <c r="J172" s="89" t="s">
        <v>19018</v>
      </c>
      <c r="K172" s="89" t="s">
        <v>19017</v>
      </c>
      <c r="M172" s="89">
        <v>2012</v>
      </c>
      <c r="N172" s="89" t="s">
        <v>18837</v>
      </c>
      <c r="O172" s="89" t="s">
        <v>646</v>
      </c>
      <c r="P172" s="89" t="str">
        <f>HYPERLINK("http://dx.doi.org/10.1002/smr.576","http://dx.doi.org/10.1002/smr.576")</f>
        <v>http://dx.doi.org/10.1002/smr.576</v>
      </c>
      <c r="S172" s="89" t="s">
        <v>646</v>
      </c>
      <c r="U172" s="89" t="s">
        <v>17462</v>
      </c>
      <c r="W172" s="89" t="s">
        <v>646</v>
      </c>
      <c r="X172" s="89" t="s">
        <v>646</v>
      </c>
      <c r="Y172" s="89" t="s">
        <v>646</v>
      </c>
      <c r="Z172" s="89" t="s">
        <v>646</v>
      </c>
      <c r="AA172" s="89" t="s">
        <v>646</v>
      </c>
      <c r="AB172" s="89" t="s">
        <v>646</v>
      </c>
      <c r="AC172" s="89" t="s">
        <v>646</v>
      </c>
      <c r="AD172" s="89" t="s">
        <v>646</v>
      </c>
      <c r="AE172" s="89" t="s">
        <v>646</v>
      </c>
      <c r="AF172" s="89" t="s">
        <v>19017</v>
      </c>
      <c r="AG172" s="89" t="s">
        <v>646</v>
      </c>
      <c r="AH172" s="89" t="s">
        <v>646</v>
      </c>
      <c r="AI172" s="89" t="s">
        <v>646</v>
      </c>
      <c r="AJ172" s="89" t="s">
        <v>646</v>
      </c>
      <c r="AK172" s="89" t="s">
        <v>19018</v>
      </c>
      <c r="AL172" s="89" t="s">
        <v>19019</v>
      </c>
      <c r="AM172" s="89" t="s">
        <v>646</v>
      </c>
      <c r="AN172" s="89" t="s">
        <v>646</v>
      </c>
      <c r="AO172" s="89" t="s">
        <v>646</v>
      </c>
      <c r="AP172" s="89" t="s">
        <v>646</v>
      </c>
      <c r="AQ172" s="89" t="s">
        <v>646</v>
      </c>
      <c r="AR172" s="89" t="s">
        <v>646</v>
      </c>
      <c r="AS172" s="89" t="s">
        <v>646</v>
      </c>
      <c r="AT172" s="89" t="s">
        <v>646</v>
      </c>
      <c r="AU172" s="89" t="s">
        <v>646</v>
      </c>
      <c r="AV172" s="89" t="s">
        <v>646</v>
      </c>
      <c r="AW172" s="89" t="s">
        <v>646</v>
      </c>
      <c r="AX172" s="89" t="s">
        <v>646</v>
      </c>
      <c r="AY172" s="89" t="s">
        <v>18839</v>
      </c>
      <c r="AZ172" s="89" t="s">
        <v>18840</v>
      </c>
      <c r="BA172" s="89" t="s">
        <v>646</v>
      </c>
      <c r="BB172" s="89" t="s">
        <v>646</v>
      </c>
      <c r="BC172" s="89" t="s">
        <v>646</v>
      </c>
      <c r="BD172" s="89" t="s">
        <v>17687</v>
      </c>
      <c r="BE172" s="89">
        <v>2012</v>
      </c>
      <c r="BF172" s="89">
        <v>24</v>
      </c>
      <c r="BG172" s="89">
        <v>6</v>
      </c>
      <c r="BH172" s="89" t="s">
        <v>646</v>
      </c>
      <c r="BI172" s="89" t="s">
        <v>646</v>
      </c>
      <c r="BJ172" s="89" t="s">
        <v>17555</v>
      </c>
      <c r="BK172" s="89" t="s">
        <v>646</v>
      </c>
      <c r="BL172" s="89">
        <v>661</v>
      </c>
      <c r="BM172" s="89">
        <v>675</v>
      </c>
      <c r="BN172" s="89" t="s">
        <v>646</v>
      </c>
      <c r="BO172" s="89" t="str">
        <f>HYPERLINK("http://dx.doi.org/10.1002/smr.576","http://dx.doi.org/10.1002/smr.576")</f>
        <v>http://dx.doi.org/10.1002/smr.576</v>
      </c>
      <c r="BP172" s="89" t="s">
        <v>646</v>
      </c>
      <c r="BQ172" s="89" t="s">
        <v>646</v>
      </c>
      <c r="BR172" s="89" t="s">
        <v>646</v>
      </c>
      <c r="BS172" s="89" t="s">
        <v>646</v>
      </c>
      <c r="BT172" s="89" t="s">
        <v>646</v>
      </c>
      <c r="BU172" s="89" t="s">
        <v>646</v>
      </c>
      <c r="BV172" s="89" t="s">
        <v>646</v>
      </c>
      <c r="BW172" s="89" t="s">
        <v>646</v>
      </c>
      <c r="BX172" s="89" t="s">
        <v>646</v>
      </c>
      <c r="BY172" s="89" t="s">
        <v>646</v>
      </c>
      <c r="BZ172" s="89" t="s">
        <v>646</v>
      </c>
      <c r="CA172" s="89" t="s">
        <v>646</v>
      </c>
      <c r="CB172" s="89" t="s">
        <v>19020</v>
      </c>
      <c r="CC172" s="89" t="str">
        <f>HYPERLINK("https%3A%2F%2Fwww.webofscience.com%2Fwos%2Fwoscc%2Ffull-record%2FWOS:000308719900005","View Full Record in Web of Science")</f>
        <v>View Full Record in Web of Science</v>
      </c>
    </row>
    <row r="173" spans="1:81" ht="13.2" hidden="1" x14ac:dyDescent="0.25">
      <c r="A173" s="89" t="s">
        <v>19021</v>
      </c>
      <c r="B173" s="89" t="e">
        <f>+#REF!</f>
        <v>#REF!</v>
      </c>
      <c r="C173" s="89"/>
      <c r="D173" s="91" t="s">
        <v>717</v>
      </c>
      <c r="E173" s="90" t="e">
        <v>#REF!</v>
      </c>
      <c r="F173" s="89"/>
      <c r="G173" s="89"/>
      <c r="H173" s="89" t="s">
        <v>11024</v>
      </c>
      <c r="I173" s="89" t="s">
        <v>19022</v>
      </c>
      <c r="J173" s="89" t="s">
        <v>19025</v>
      </c>
      <c r="K173" s="89" t="s">
        <v>19024</v>
      </c>
      <c r="M173" s="89">
        <v>2015</v>
      </c>
      <c r="N173" s="89" t="s">
        <v>19023</v>
      </c>
      <c r="O173" s="89" t="s">
        <v>646</v>
      </c>
      <c r="P173" s="89" t="str">
        <f>HYPERLINK("http://dx.doi.org/10.2196/jmir.4305","http://dx.doi.org/10.2196/jmir.4305")</f>
        <v>http://dx.doi.org/10.2196/jmir.4305</v>
      </c>
      <c r="S173" s="89" t="s">
        <v>646</v>
      </c>
      <c r="U173" s="89" t="s">
        <v>17462</v>
      </c>
      <c r="W173" s="89" t="s">
        <v>646</v>
      </c>
      <c r="X173" s="89" t="s">
        <v>646</v>
      </c>
      <c r="Y173" s="89" t="s">
        <v>646</v>
      </c>
      <c r="Z173" s="89" t="s">
        <v>646</v>
      </c>
      <c r="AA173" s="89" t="s">
        <v>646</v>
      </c>
      <c r="AB173" s="89" t="s">
        <v>646</v>
      </c>
      <c r="AC173" s="89" t="s">
        <v>646</v>
      </c>
      <c r="AD173" s="89" t="s">
        <v>646</v>
      </c>
      <c r="AE173" s="89" t="s">
        <v>646</v>
      </c>
      <c r="AF173" s="89" t="s">
        <v>19024</v>
      </c>
      <c r="AG173" s="89" t="s">
        <v>646</v>
      </c>
      <c r="AH173" s="89" t="s">
        <v>646</v>
      </c>
      <c r="AI173" s="89" t="s">
        <v>646</v>
      </c>
      <c r="AJ173" s="89" t="s">
        <v>646</v>
      </c>
      <c r="AK173" s="89" t="s">
        <v>19025</v>
      </c>
      <c r="AL173" s="89" t="s">
        <v>646</v>
      </c>
      <c r="AM173" s="89" t="s">
        <v>646</v>
      </c>
      <c r="AN173" s="89" t="s">
        <v>646</v>
      </c>
      <c r="AO173" s="89" t="s">
        <v>646</v>
      </c>
      <c r="AP173" s="89" t="s">
        <v>646</v>
      </c>
      <c r="AQ173" s="89" t="s">
        <v>646</v>
      </c>
      <c r="AR173" s="89" t="s">
        <v>646</v>
      </c>
      <c r="AS173" s="89" t="s">
        <v>646</v>
      </c>
      <c r="AT173" s="89" t="s">
        <v>646</v>
      </c>
      <c r="AU173" s="89" t="s">
        <v>646</v>
      </c>
      <c r="AV173" s="89" t="s">
        <v>646</v>
      </c>
      <c r="AW173" s="89" t="s">
        <v>646</v>
      </c>
      <c r="AX173" s="89" t="s">
        <v>646</v>
      </c>
      <c r="AY173" s="89" t="s">
        <v>19026</v>
      </c>
      <c r="AZ173" s="89" t="s">
        <v>646</v>
      </c>
      <c r="BA173" s="89" t="s">
        <v>646</v>
      </c>
      <c r="BB173" s="89" t="s">
        <v>646</v>
      </c>
      <c r="BC173" s="89" t="s">
        <v>646</v>
      </c>
      <c r="BD173" s="89" t="s">
        <v>17772</v>
      </c>
      <c r="BE173" s="89">
        <v>2015</v>
      </c>
      <c r="BF173" s="89">
        <v>17</v>
      </c>
      <c r="BG173" s="89">
        <v>6</v>
      </c>
      <c r="BH173" s="89" t="s">
        <v>646</v>
      </c>
      <c r="BI173" s="89" t="s">
        <v>646</v>
      </c>
      <c r="BJ173" s="89" t="s">
        <v>646</v>
      </c>
      <c r="BK173" s="89" t="s">
        <v>646</v>
      </c>
      <c r="BL173" s="89" t="s">
        <v>646</v>
      </c>
      <c r="BM173" s="89" t="s">
        <v>646</v>
      </c>
      <c r="BN173" s="89" t="s">
        <v>19027</v>
      </c>
      <c r="BO173" s="89" t="str">
        <f>HYPERLINK("http://dx.doi.org/10.2196/jmir.4305","http://dx.doi.org/10.2196/jmir.4305")</f>
        <v>http://dx.doi.org/10.2196/jmir.4305</v>
      </c>
      <c r="BP173" s="89" t="s">
        <v>646</v>
      </c>
      <c r="BQ173" s="89" t="s">
        <v>646</v>
      </c>
      <c r="BR173" s="89" t="s">
        <v>646</v>
      </c>
      <c r="BS173" s="89" t="s">
        <v>646</v>
      </c>
      <c r="BT173" s="89" t="s">
        <v>646</v>
      </c>
      <c r="BU173" s="89" t="s">
        <v>646</v>
      </c>
      <c r="BV173" s="89" t="s">
        <v>646</v>
      </c>
      <c r="BW173" s="89">
        <v>26048075</v>
      </c>
      <c r="BX173" s="89" t="s">
        <v>646</v>
      </c>
      <c r="BY173" s="89" t="s">
        <v>646</v>
      </c>
      <c r="BZ173" s="89" t="s">
        <v>646</v>
      </c>
      <c r="CA173" s="89" t="s">
        <v>646</v>
      </c>
      <c r="CB173" s="89" t="s">
        <v>19028</v>
      </c>
      <c r="CC173" s="89" t="str">
        <f>HYPERLINK("https%3A%2F%2Fwww.webofscience.com%2Fwos%2Fwoscc%2Ffull-record%2FWOS:000356819800005","View Full Record in Web of Science")</f>
        <v>View Full Record in Web of Science</v>
      </c>
    </row>
    <row r="174" spans="1:81" ht="13.2" hidden="1" x14ac:dyDescent="0.25">
      <c r="A174" s="89" t="s">
        <v>19029</v>
      </c>
      <c r="B174" s="89" t="e">
        <f>+#REF!</f>
        <v>#REF!</v>
      </c>
      <c r="C174" s="89"/>
      <c r="D174" s="91" t="s">
        <v>717</v>
      </c>
      <c r="E174" s="90" t="e">
        <v>#REF!</v>
      </c>
      <c r="F174" s="89"/>
      <c r="G174" s="89"/>
      <c r="H174" s="89" t="s">
        <v>1511</v>
      </c>
      <c r="I174" s="89" t="s">
        <v>19030</v>
      </c>
      <c r="J174" s="89" t="s">
        <v>19032</v>
      </c>
      <c r="K174" s="89" t="s">
        <v>19031</v>
      </c>
      <c r="M174" s="89">
        <v>2018</v>
      </c>
      <c r="N174" s="89" t="s">
        <v>17622</v>
      </c>
      <c r="O174" s="89" t="s">
        <v>646</v>
      </c>
      <c r="P174" s="89" t="str">
        <f>HYPERLINK("http://dx.doi.org/10.13053/CyS-22-2-2491","http://dx.doi.org/10.13053/CyS-22-2-2491")</f>
        <v>http://dx.doi.org/10.13053/CyS-22-2-2491</v>
      </c>
      <c r="S174" s="89" t="s">
        <v>646</v>
      </c>
      <c r="U174" s="89" t="s">
        <v>17462</v>
      </c>
      <c r="W174" s="89" t="s">
        <v>646</v>
      </c>
      <c r="X174" s="89" t="s">
        <v>646</v>
      </c>
      <c r="Y174" s="89" t="s">
        <v>646</v>
      </c>
      <c r="Z174" s="89" t="s">
        <v>646</v>
      </c>
      <c r="AA174" s="89" t="s">
        <v>646</v>
      </c>
      <c r="AB174" s="89" t="s">
        <v>646</v>
      </c>
      <c r="AC174" s="89" t="s">
        <v>646</v>
      </c>
      <c r="AD174" s="89" t="s">
        <v>646</v>
      </c>
      <c r="AE174" s="89" t="s">
        <v>646</v>
      </c>
      <c r="AF174" s="89" t="s">
        <v>19031</v>
      </c>
      <c r="AG174" s="89" t="s">
        <v>646</v>
      </c>
      <c r="AH174" s="89" t="s">
        <v>646</v>
      </c>
      <c r="AI174" s="89" t="s">
        <v>646</v>
      </c>
      <c r="AJ174" s="89" t="s">
        <v>646</v>
      </c>
      <c r="AK174" s="89" t="s">
        <v>19032</v>
      </c>
      <c r="AL174" s="89" t="s">
        <v>19033</v>
      </c>
      <c r="AM174" s="89" t="s">
        <v>646</v>
      </c>
      <c r="AN174" s="89" t="s">
        <v>646</v>
      </c>
      <c r="AO174" s="89" t="s">
        <v>646</v>
      </c>
      <c r="AP174" s="89" t="s">
        <v>646</v>
      </c>
      <c r="AQ174" s="89" t="s">
        <v>646</v>
      </c>
      <c r="AR174" s="89" t="s">
        <v>646</v>
      </c>
      <c r="AS174" s="89" t="s">
        <v>646</v>
      </c>
      <c r="AT174" s="89" t="s">
        <v>646</v>
      </c>
      <c r="AU174" s="89" t="s">
        <v>646</v>
      </c>
      <c r="AV174" s="89" t="s">
        <v>646</v>
      </c>
      <c r="AW174" s="89" t="s">
        <v>646</v>
      </c>
      <c r="AX174" s="89" t="s">
        <v>646</v>
      </c>
      <c r="AY174" s="89" t="s">
        <v>17624</v>
      </c>
      <c r="AZ174" s="89" t="s">
        <v>17625</v>
      </c>
      <c r="BA174" s="89" t="s">
        <v>646</v>
      </c>
      <c r="BB174" s="89" t="s">
        <v>646</v>
      </c>
      <c r="BC174" s="89" t="s">
        <v>646</v>
      </c>
      <c r="BD174" s="89" t="s">
        <v>646</v>
      </c>
      <c r="BE174" s="89">
        <v>2018</v>
      </c>
      <c r="BF174" s="89">
        <v>22</v>
      </c>
      <c r="BG174" s="89">
        <v>2</v>
      </c>
      <c r="BH174" s="89" t="s">
        <v>646</v>
      </c>
      <c r="BI174" s="89" t="s">
        <v>646</v>
      </c>
      <c r="BJ174" s="89" t="s">
        <v>646</v>
      </c>
      <c r="BK174" s="89" t="s">
        <v>646</v>
      </c>
      <c r="BL174" s="89">
        <v>463</v>
      </c>
      <c r="BM174" s="89">
        <v>481</v>
      </c>
      <c r="BN174" s="89" t="s">
        <v>646</v>
      </c>
      <c r="BO174" s="89" t="str">
        <f>HYPERLINK("http://dx.doi.org/10.13053/CyS-22-2-2491","http://dx.doi.org/10.13053/CyS-22-2-2491")</f>
        <v>http://dx.doi.org/10.13053/CyS-22-2-2491</v>
      </c>
      <c r="BP174" s="89" t="s">
        <v>646</v>
      </c>
      <c r="BQ174" s="89" t="s">
        <v>646</v>
      </c>
      <c r="BR174" s="89" t="s">
        <v>646</v>
      </c>
      <c r="BS174" s="89" t="s">
        <v>646</v>
      </c>
      <c r="BT174" s="89" t="s">
        <v>646</v>
      </c>
      <c r="BU174" s="89" t="s">
        <v>646</v>
      </c>
      <c r="BV174" s="89" t="s">
        <v>646</v>
      </c>
      <c r="BW174" s="89" t="s">
        <v>646</v>
      </c>
      <c r="BX174" s="89" t="s">
        <v>646</v>
      </c>
      <c r="BY174" s="89" t="s">
        <v>646</v>
      </c>
      <c r="BZ174" s="89" t="s">
        <v>646</v>
      </c>
      <c r="CA174" s="89" t="s">
        <v>646</v>
      </c>
      <c r="CB174" s="89" t="s">
        <v>19034</v>
      </c>
      <c r="CC174" s="89" t="str">
        <f>HYPERLINK("https%3A%2F%2Fwww.webofscience.com%2Fwos%2Fwoscc%2Ffull-record%2FWOS:000438112800011","View Full Record in Web of Science")</f>
        <v>View Full Record in Web of Science</v>
      </c>
    </row>
    <row r="175" spans="1:81" ht="13.2" hidden="1" x14ac:dyDescent="0.25">
      <c r="A175" s="89" t="s">
        <v>19035</v>
      </c>
      <c r="B175" s="89" t="e">
        <f>+#REF!</f>
        <v>#REF!</v>
      </c>
      <c r="C175" s="89"/>
      <c r="D175" s="91" t="s">
        <v>717</v>
      </c>
      <c r="E175" s="90" t="e">
        <v>#REF!</v>
      </c>
      <c r="F175" s="89"/>
      <c r="G175" s="89"/>
      <c r="H175" s="89" t="s">
        <v>11034</v>
      </c>
      <c r="I175" s="89" t="s">
        <v>19036</v>
      </c>
      <c r="J175" s="89" t="s">
        <v>19039</v>
      </c>
      <c r="K175" s="89" t="s">
        <v>19038</v>
      </c>
      <c r="M175" s="89">
        <v>2019</v>
      </c>
      <c r="N175" s="89" t="s">
        <v>19037</v>
      </c>
      <c r="O175" s="89" t="s">
        <v>646</v>
      </c>
      <c r="P175" s="89" t="str">
        <f>HYPERLINK("http://dx.doi.org/10.1080/14783363.2019.1665822","http://dx.doi.org/10.1080/14783363.2019.1665822")</f>
        <v>http://dx.doi.org/10.1080/14783363.2019.1665822</v>
      </c>
      <c r="S175" s="89" t="s">
        <v>646</v>
      </c>
      <c r="U175" s="89" t="s">
        <v>17462</v>
      </c>
      <c r="W175" s="89" t="s">
        <v>646</v>
      </c>
      <c r="X175" s="89" t="s">
        <v>646</v>
      </c>
      <c r="Y175" s="89" t="s">
        <v>646</v>
      </c>
      <c r="Z175" s="89" t="s">
        <v>646</v>
      </c>
      <c r="AA175" s="89" t="s">
        <v>646</v>
      </c>
      <c r="AB175" s="89" t="s">
        <v>646</v>
      </c>
      <c r="AC175" s="89" t="s">
        <v>646</v>
      </c>
      <c r="AD175" s="89" t="s">
        <v>646</v>
      </c>
      <c r="AE175" s="89" t="s">
        <v>646</v>
      </c>
      <c r="AF175" s="89" t="s">
        <v>19038</v>
      </c>
      <c r="AG175" s="89" t="s">
        <v>646</v>
      </c>
      <c r="AH175" s="89" t="s">
        <v>646</v>
      </c>
      <c r="AI175" s="89" t="s">
        <v>646</v>
      </c>
      <c r="AJ175" s="89" t="s">
        <v>646</v>
      </c>
      <c r="AK175" s="89" t="s">
        <v>19039</v>
      </c>
      <c r="AL175" s="89" t="s">
        <v>19040</v>
      </c>
      <c r="AM175" s="89" t="s">
        <v>646</v>
      </c>
      <c r="AN175" s="89" t="s">
        <v>646</v>
      </c>
      <c r="AO175" s="89" t="s">
        <v>646</v>
      </c>
      <c r="AP175" s="89" t="s">
        <v>646</v>
      </c>
      <c r="AQ175" s="89" t="s">
        <v>646</v>
      </c>
      <c r="AR175" s="89" t="s">
        <v>646</v>
      </c>
      <c r="AS175" s="89" t="s">
        <v>646</v>
      </c>
      <c r="AT175" s="89" t="s">
        <v>646</v>
      </c>
      <c r="AU175" s="89" t="s">
        <v>646</v>
      </c>
      <c r="AV175" s="89" t="s">
        <v>646</v>
      </c>
      <c r="AW175" s="89" t="s">
        <v>646</v>
      </c>
      <c r="AX175" s="89" t="s">
        <v>646</v>
      </c>
      <c r="AY175" s="89" t="s">
        <v>19041</v>
      </c>
      <c r="AZ175" s="89" t="s">
        <v>19042</v>
      </c>
      <c r="BA175" s="89" t="s">
        <v>646</v>
      </c>
      <c r="BB175" s="89" t="s">
        <v>646</v>
      </c>
      <c r="BC175" s="89" t="s">
        <v>646</v>
      </c>
      <c r="BD175" s="89" t="s">
        <v>19043</v>
      </c>
      <c r="BE175" s="89">
        <v>2019</v>
      </c>
      <c r="BF175" s="89">
        <v>30</v>
      </c>
      <c r="BG175" s="89" t="s">
        <v>646</v>
      </c>
      <c r="BH175" s="89" t="s">
        <v>646</v>
      </c>
      <c r="BI175" s="89">
        <v>1</v>
      </c>
      <c r="BJ175" s="89" t="s">
        <v>17555</v>
      </c>
      <c r="BK175" s="89" t="s">
        <v>646</v>
      </c>
      <c r="BL175" s="89" t="s">
        <v>19044</v>
      </c>
      <c r="BM175" s="89" t="s">
        <v>19045</v>
      </c>
      <c r="BN175" s="89" t="s">
        <v>646</v>
      </c>
      <c r="BO175" s="89" t="str">
        <f>HYPERLINK("http://dx.doi.org/10.1080/14783363.2019.1665822","http://dx.doi.org/10.1080/14783363.2019.1665822")</f>
        <v>http://dx.doi.org/10.1080/14783363.2019.1665822</v>
      </c>
      <c r="BP175" s="89" t="s">
        <v>646</v>
      </c>
      <c r="BQ175" s="89" t="s">
        <v>19046</v>
      </c>
      <c r="BR175" s="89" t="s">
        <v>646</v>
      </c>
      <c r="BS175" s="89" t="s">
        <v>646</v>
      </c>
      <c r="BT175" s="89" t="s">
        <v>646</v>
      </c>
      <c r="BU175" s="89" t="s">
        <v>646</v>
      </c>
      <c r="BV175" s="89" t="s">
        <v>646</v>
      </c>
      <c r="BW175" s="89" t="s">
        <v>646</v>
      </c>
      <c r="BX175" s="89" t="s">
        <v>646</v>
      </c>
      <c r="BY175" s="89" t="s">
        <v>646</v>
      </c>
      <c r="BZ175" s="89" t="s">
        <v>646</v>
      </c>
      <c r="CA175" s="89" t="s">
        <v>646</v>
      </c>
      <c r="CB175" s="89" t="s">
        <v>19047</v>
      </c>
      <c r="CC175" s="89" t="str">
        <f>HYPERLINK("https%3A%2F%2Fwww.webofscience.com%2Fwos%2Fwoscc%2Ffull-record%2FWOS:000486864300001","View Full Record in Web of Science")</f>
        <v>View Full Record in Web of Science</v>
      </c>
    </row>
    <row r="176" spans="1:81" ht="13.2" hidden="1" x14ac:dyDescent="0.25">
      <c r="A176" s="89" t="s">
        <v>19048</v>
      </c>
      <c r="B176" s="89" t="e">
        <f>+#REF!</f>
        <v>#REF!</v>
      </c>
      <c r="C176" s="89"/>
      <c r="D176" s="91" t="s">
        <v>717</v>
      </c>
      <c r="E176" s="90" t="e">
        <v>#REF!</v>
      </c>
      <c r="F176" s="89"/>
      <c r="G176" s="89"/>
      <c r="H176" s="89" t="s">
        <v>646</v>
      </c>
      <c r="I176" s="89" t="s">
        <v>19049</v>
      </c>
      <c r="J176" s="89" t="s">
        <v>19052</v>
      </c>
      <c r="K176" s="89" t="s">
        <v>19051</v>
      </c>
      <c r="M176" s="89">
        <v>2012</v>
      </c>
      <c r="N176" s="89" t="s">
        <v>19050</v>
      </c>
      <c r="O176" s="89" t="s">
        <v>646</v>
      </c>
      <c r="P176" s="89" t="s">
        <v>646</v>
      </c>
      <c r="S176" s="89" t="s">
        <v>646</v>
      </c>
      <c r="U176" s="89" t="s">
        <v>17462</v>
      </c>
      <c r="W176" s="89" t="s">
        <v>646</v>
      </c>
      <c r="X176" s="89" t="s">
        <v>646</v>
      </c>
      <c r="Y176" s="89" t="s">
        <v>646</v>
      </c>
      <c r="Z176" s="89" t="s">
        <v>646</v>
      </c>
      <c r="AA176" s="89" t="s">
        <v>646</v>
      </c>
      <c r="AB176" s="89" t="s">
        <v>646</v>
      </c>
      <c r="AC176" s="89" t="s">
        <v>646</v>
      </c>
      <c r="AD176" s="89" t="s">
        <v>646</v>
      </c>
      <c r="AE176" s="89" t="s">
        <v>646</v>
      </c>
      <c r="AF176" s="89" t="s">
        <v>19051</v>
      </c>
      <c r="AG176" s="89" t="s">
        <v>646</v>
      </c>
      <c r="AH176" s="89" t="s">
        <v>646</v>
      </c>
      <c r="AI176" s="89" t="s">
        <v>646</v>
      </c>
      <c r="AJ176" s="89" t="s">
        <v>646</v>
      </c>
      <c r="AK176" s="89" t="s">
        <v>19052</v>
      </c>
      <c r="AL176" s="89" t="s">
        <v>19053</v>
      </c>
      <c r="AM176" s="89" t="s">
        <v>646</v>
      </c>
      <c r="AN176" s="89" t="s">
        <v>646</v>
      </c>
      <c r="AO176" s="89" t="s">
        <v>646</v>
      </c>
      <c r="AP176" s="89" t="s">
        <v>646</v>
      </c>
      <c r="AQ176" s="89" t="s">
        <v>646</v>
      </c>
      <c r="AR176" s="89" t="s">
        <v>646</v>
      </c>
      <c r="AS176" s="89" t="s">
        <v>646</v>
      </c>
      <c r="AT176" s="89" t="s">
        <v>646</v>
      </c>
      <c r="AU176" s="89" t="s">
        <v>646</v>
      </c>
      <c r="AV176" s="89" t="s">
        <v>646</v>
      </c>
      <c r="AW176" s="89" t="s">
        <v>646</v>
      </c>
      <c r="AX176" s="89" t="s">
        <v>646</v>
      </c>
      <c r="AY176" s="89" t="s">
        <v>19054</v>
      </c>
      <c r="AZ176" s="89" t="s">
        <v>646</v>
      </c>
      <c r="BA176" s="89" t="s">
        <v>646</v>
      </c>
      <c r="BB176" s="89" t="s">
        <v>646</v>
      </c>
      <c r="BC176" s="89" t="s">
        <v>646</v>
      </c>
      <c r="BD176" s="89" t="s">
        <v>646</v>
      </c>
      <c r="BE176" s="89">
        <v>2012</v>
      </c>
      <c r="BF176" s="89">
        <v>18</v>
      </c>
      <c r="BG176" s="89">
        <v>19</v>
      </c>
      <c r="BH176" s="89" t="s">
        <v>646</v>
      </c>
      <c r="BI176" s="89" t="s">
        <v>646</v>
      </c>
      <c r="BJ176" s="89" t="s">
        <v>646</v>
      </c>
      <c r="BK176" s="89" t="s">
        <v>646</v>
      </c>
      <c r="BL176" s="89">
        <v>2646</v>
      </c>
      <c r="BM176" s="89">
        <v>2668</v>
      </c>
      <c r="BN176" s="89" t="s">
        <v>646</v>
      </c>
      <c r="BO176" s="89" t="s">
        <v>646</v>
      </c>
      <c r="BP176" s="89" t="s">
        <v>646</v>
      </c>
      <c r="BQ176" s="89" t="s">
        <v>646</v>
      </c>
      <c r="BR176" s="89" t="s">
        <v>646</v>
      </c>
      <c r="BS176" s="89" t="s">
        <v>646</v>
      </c>
      <c r="BT176" s="89" t="s">
        <v>646</v>
      </c>
      <c r="BU176" s="89" t="s">
        <v>646</v>
      </c>
      <c r="BV176" s="89" t="s">
        <v>646</v>
      </c>
      <c r="BW176" s="89" t="s">
        <v>646</v>
      </c>
      <c r="BX176" s="89" t="s">
        <v>646</v>
      </c>
      <c r="BY176" s="89" t="s">
        <v>646</v>
      </c>
      <c r="BZ176" s="89" t="s">
        <v>646</v>
      </c>
      <c r="CA176" s="89" t="s">
        <v>646</v>
      </c>
      <c r="CB176" s="89" t="s">
        <v>19055</v>
      </c>
      <c r="CC176" s="89" t="str">
        <f>HYPERLINK("https%3A%2F%2Fwww.webofscience.com%2Fwos%2Fwoscc%2Ffull-record%2FWOS:000314533500004","View Full Record in Web of Science")</f>
        <v>View Full Record in Web of Science</v>
      </c>
    </row>
    <row r="177" spans="1:81" ht="13.2" hidden="1" x14ac:dyDescent="0.25">
      <c r="A177" s="89" t="s">
        <v>19056</v>
      </c>
      <c r="B177" s="89" t="e">
        <f>+#REF!</f>
        <v>#REF!</v>
      </c>
      <c r="C177" s="89"/>
      <c r="D177" s="91" t="s">
        <v>717</v>
      </c>
      <c r="E177" s="90" t="e">
        <v>#REF!</v>
      </c>
      <c r="F177" s="89"/>
      <c r="G177" s="89"/>
      <c r="H177" s="89" t="s">
        <v>11053</v>
      </c>
      <c r="I177" s="89" t="s">
        <v>19057</v>
      </c>
      <c r="J177" s="89" t="s">
        <v>19060</v>
      </c>
      <c r="K177" s="89" t="s">
        <v>19059</v>
      </c>
      <c r="M177" s="89">
        <v>2016</v>
      </c>
      <c r="N177" s="89" t="s">
        <v>19058</v>
      </c>
      <c r="O177" s="89" t="s">
        <v>646</v>
      </c>
      <c r="P177" s="89" t="str">
        <f>HYPERLINK("http://dx.doi.org/10.1093/ofid/ofw112","http://dx.doi.org/10.1093/ofid/ofw112")</f>
        <v>http://dx.doi.org/10.1093/ofid/ofw112</v>
      </c>
      <c r="S177" s="89" t="s">
        <v>646</v>
      </c>
      <c r="U177" s="89" t="s">
        <v>17462</v>
      </c>
      <c r="W177" s="89" t="s">
        <v>646</v>
      </c>
      <c r="X177" s="89" t="s">
        <v>646</v>
      </c>
      <c r="Y177" s="89" t="s">
        <v>646</v>
      </c>
      <c r="Z177" s="89" t="s">
        <v>646</v>
      </c>
      <c r="AA177" s="89" t="s">
        <v>646</v>
      </c>
      <c r="AB177" s="89" t="s">
        <v>646</v>
      </c>
      <c r="AC177" s="89" t="s">
        <v>646</v>
      </c>
      <c r="AD177" s="89" t="s">
        <v>646</v>
      </c>
      <c r="AE177" s="89" t="s">
        <v>646</v>
      </c>
      <c r="AF177" s="89" t="s">
        <v>19059</v>
      </c>
      <c r="AG177" s="89" t="s">
        <v>646</v>
      </c>
      <c r="AH177" s="89" t="s">
        <v>646</v>
      </c>
      <c r="AI177" s="89" t="s">
        <v>646</v>
      </c>
      <c r="AJ177" s="89" t="s">
        <v>646</v>
      </c>
      <c r="AK177" s="89" t="s">
        <v>19060</v>
      </c>
      <c r="AL177" s="89" t="s">
        <v>19061</v>
      </c>
      <c r="AM177" s="89" t="s">
        <v>646</v>
      </c>
      <c r="AN177" s="89" t="s">
        <v>646</v>
      </c>
      <c r="AO177" s="89" t="s">
        <v>646</v>
      </c>
      <c r="AP177" s="89" t="s">
        <v>646</v>
      </c>
      <c r="AQ177" s="89" t="s">
        <v>646</v>
      </c>
      <c r="AR177" s="89" t="s">
        <v>646</v>
      </c>
      <c r="AS177" s="89" t="s">
        <v>646</v>
      </c>
      <c r="AT177" s="89" t="s">
        <v>646</v>
      </c>
      <c r="AU177" s="89" t="s">
        <v>646</v>
      </c>
      <c r="AV177" s="89" t="s">
        <v>646</v>
      </c>
      <c r="AW177" s="89" t="s">
        <v>646</v>
      </c>
      <c r="AX177" s="89" t="s">
        <v>646</v>
      </c>
      <c r="AY177" s="89" t="s">
        <v>19062</v>
      </c>
      <c r="AZ177" s="89" t="s">
        <v>646</v>
      </c>
      <c r="BA177" s="89" t="s">
        <v>646</v>
      </c>
      <c r="BB177" s="89" t="s">
        <v>646</v>
      </c>
      <c r="BC177" s="89" t="s">
        <v>646</v>
      </c>
      <c r="BD177" s="89" t="s">
        <v>19063</v>
      </c>
      <c r="BE177" s="89">
        <v>2016</v>
      </c>
      <c r="BF177" s="89">
        <v>3</v>
      </c>
      <c r="BG177" s="89">
        <v>3</v>
      </c>
      <c r="BH177" s="89" t="s">
        <v>646</v>
      </c>
      <c r="BI177" s="89" t="s">
        <v>646</v>
      </c>
      <c r="BJ177" s="89" t="s">
        <v>646</v>
      </c>
      <c r="BK177" s="89" t="s">
        <v>646</v>
      </c>
      <c r="BL177" s="89" t="s">
        <v>646</v>
      </c>
      <c r="BM177" s="89" t="s">
        <v>646</v>
      </c>
      <c r="BN177" s="89" t="s">
        <v>646</v>
      </c>
      <c r="BO177" s="89" t="str">
        <f>HYPERLINK("http://dx.doi.org/10.1093/ofid/ofw112","http://dx.doi.org/10.1093/ofid/ofw112")</f>
        <v>http://dx.doi.org/10.1093/ofid/ofw112</v>
      </c>
      <c r="BP177" s="89" t="s">
        <v>646</v>
      </c>
      <c r="BQ177" s="89" t="s">
        <v>646</v>
      </c>
      <c r="BR177" s="89" t="s">
        <v>646</v>
      </c>
      <c r="BS177" s="89" t="s">
        <v>646</v>
      </c>
      <c r="BT177" s="89" t="s">
        <v>646</v>
      </c>
      <c r="BU177" s="89" t="s">
        <v>646</v>
      </c>
      <c r="BV177" s="89" t="s">
        <v>646</v>
      </c>
      <c r="BW177" s="89">
        <v>27382598</v>
      </c>
      <c r="BX177" s="89" t="s">
        <v>646</v>
      </c>
      <c r="BY177" s="89" t="s">
        <v>646</v>
      </c>
      <c r="BZ177" s="89" t="s">
        <v>646</v>
      </c>
      <c r="CA177" s="89" t="s">
        <v>646</v>
      </c>
      <c r="CB177" s="89" t="s">
        <v>19064</v>
      </c>
      <c r="CC177" s="89" t="str">
        <f>HYPERLINK("https%3A%2F%2Fwww.webofscience.com%2Fwos%2Fwoscc%2Ffull-record%2FWOS:000388571700012","View Full Record in Web of Science")</f>
        <v>View Full Record in Web of Science</v>
      </c>
    </row>
    <row r="178" spans="1:81" ht="13.2" hidden="1" x14ac:dyDescent="0.25">
      <c r="A178" s="89" t="s">
        <v>11062</v>
      </c>
      <c r="B178" s="89" t="e">
        <f>+#REF!</f>
        <v>#REF!</v>
      </c>
      <c r="C178" s="89"/>
      <c r="D178" s="91" t="s">
        <v>717</v>
      </c>
      <c r="E178" s="90" t="e">
        <v>#REF!</v>
      </c>
      <c r="F178" s="89"/>
      <c r="G178" s="89"/>
      <c r="H178" s="89" t="s">
        <v>11063</v>
      </c>
      <c r="I178" s="89" t="s">
        <v>19065</v>
      </c>
      <c r="J178" s="89" t="s">
        <v>646</v>
      </c>
      <c r="K178" s="89" t="s">
        <v>19067</v>
      </c>
      <c r="M178" s="89">
        <v>2019</v>
      </c>
      <c r="N178" s="89" t="s">
        <v>19066</v>
      </c>
      <c r="O178" s="89" t="s">
        <v>646</v>
      </c>
      <c r="P178" s="89" t="str">
        <f>HYPERLINK("http://dx.doi.org/10.1016/j.jrp.2019.103862","http://dx.doi.org/10.1016/j.jrp.2019.103862")</f>
        <v>http://dx.doi.org/10.1016/j.jrp.2019.103862</v>
      </c>
      <c r="S178" s="89" t="s">
        <v>646</v>
      </c>
      <c r="U178" s="89" t="s">
        <v>17462</v>
      </c>
      <c r="W178" s="89" t="s">
        <v>646</v>
      </c>
      <c r="X178" s="89" t="s">
        <v>646</v>
      </c>
      <c r="Y178" s="89" t="s">
        <v>646</v>
      </c>
      <c r="Z178" s="89" t="s">
        <v>646</v>
      </c>
      <c r="AA178" s="89" t="s">
        <v>646</v>
      </c>
      <c r="AB178" s="89" t="s">
        <v>646</v>
      </c>
      <c r="AC178" s="89" t="s">
        <v>646</v>
      </c>
      <c r="AD178" s="89" t="s">
        <v>646</v>
      </c>
      <c r="AE178" s="89" t="s">
        <v>646</v>
      </c>
      <c r="AF178" s="89" t="s">
        <v>19067</v>
      </c>
      <c r="AG178" s="89" t="s">
        <v>646</v>
      </c>
      <c r="AH178" s="89" t="s">
        <v>646</v>
      </c>
      <c r="AI178" s="89" t="s">
        <v>646</v>
      </c>
      <c r="AJ178" s="89" t="s">
        <v>646</v>
      </c>
      <c r="AK178" s="89" t="s">
        <v>646</v>
      </c>
      <c r="AL178" s="89" t="s">
        <v>646</v>
      </c>
      <c r="AM178" s="89" t="s">
        <v>646</v>
      </c>
      <c r="AN178" s="89" t="s">
        <v>646</v>
      </c>
      <c r="AO178" s="89" t="s">
        <v>646</v>
      </c>
      <c r="AP178" s="89" t="s">
        <v>646</v>
      </c>
      <c r="AQ178" s="89" t="s">
        <v>646</v>
      </c>
      <c r="AR178" s="89" t="s">
        <v>646</v>
      </c>
      <c r="AS178" s="89" t="s">
        <v>646</v>
      </c>
      <c r="AT178" s="89" t="s">
        <v>646</v>
      </c>
      <c r="AU178" s="89" t="s">
        <v>646</v>
      </c>
      <c r="AV178" s="89" t="s">
        <v>646</v>
      </c>
      <c r="AW178" s="89" t="s">
        <v>646</v>
      </c>
      <c r="AX178" s="89" t="s">
        <v>646</v>
      </c>
      <c r="AY178" s="89" t="s">
        <v>19068</v>
      </c>
      <c r="AZ178" s="89" t="s">
        <v>19069</v>
      </c>
      <c r="BA178" s="89" t="s">
        <v>646</v>
      </c>
      <c r="BB178" s="89" t="s">
        <v>646</v>
      </c>
      <c r="BC178" s="89" t="s">
        <v>646</v>
      </c>
      <c r="BD178" s="89" t="s">
        <v>17687</v>
      </c>
      <c r="BE178" s="89">
        <v>2019</v>
      </c>
      <c r="BF178" s="89">
        <v>82</v>
      </c>
      <c r="BG178" s="89" t="s">
        <v>646</v>
      </c>
      <c r="BH178" s="89" t="s">
        <v>646</v>
      </c>
      <c r="BI178" s="89" t="s">
        <v>646</v>
      </c>
      <c r="BJ178" s="89" t="s">
        <v>646</v>
      </c>
      <c r="BK178" s="89" t="s">
        <v>646</v>
      </c>
      <c r="BL178" s="89" t="s">
        <v>646</v>
      </c>
      <c r="BM178" s="89" t="s">
        <v>646</v>
      </c>
      <c r="BN178" s="89">
        <v>103862</v>
      </c>
      <c r="BO178" s="89" t="str">
        <f>HYPERLINK("http://dx.doi.org/10.1016/j.jrp.2019.103862","http://dx.doi.org/10.1016/j.jrp.2019.103862")</f>
        <v>http://dx.doi.org/10.1016/j.jrp.2019.103862</v>
      </c>
      <c r="BP178" s="89" t="s">
        <v>646</v>
      </c>
      <c r="BQ178" s="89" t="s">
        <v>646</v>
      </c>
      <c r="BR178" s="89" t="s">
        <v>646</v>
      </c>
      <c r="BS178" s="89" t="s">
        <v>646</v>
      </c>
      <c r="BT178" s="89" t="s">
        <v>646</v>
      </c>
      <c r="BU178" s="89" t="s">
        <v>646</v>
      </c>
      <c r="BV178" s="89" t="s">
        <v>646</v>
      </c>
      <c r="BW178" s="89" t="s">
        <v>646</v>
      </c>
      <c r="BX178" s="89" t="s">
        <v>646</v>
      </c>
      <c r="BY178" s="89" t="s">
        <v>646</v>
      </c>
      <c r="BZ178" s="89" t="s">
        <v>646</v>
      </c>
      <c r="CA178" s="89" t="s">
        <v>646</v>
      </c>
      <c r="CB178" s="89" t="s">
        <v>19070</v>
      </c>
      <c r="CC178" s="89" t="str">
        <f>HYPERLINK("https%3A%2F%2Fwww.webofscience.com%2Fwos%2Fwoscc%2Ffull-record%2FWOS:000489195700021","View Full Record in Web of Science")</f>
        <v>View Full Record in Web of Science</v>
      </c>
    </row>
    <row r="179" spans="1:81" ht="13.2" hidden="1" x14ac:dyDescent="0.25">
      <c r="A179" s="89" t="s">
        <v>11072</v>
      </c>
      <c r="B179" s="89" t="e">
        <f>+#REF!</f>
        <v>#REF!</v>
      </c>
      <c r="C179" s="89"/>
      <c r="D179" s="91" t="s">
        <v>717</v>
      </c>
      <c r="E179" s="90" t="e">
        <v>#REF!</v>
      </c>
      <c r="F179" s="89"/>
      <c r="G179" s="89"/>
      <c r="H179" s="89" t="s">
        <v>11073</v>
      </c>
      <c r="I179" s="89" t="s">
        <v>19071</v>
      </c>
      <c r="J179" s="89" t="s">
        <v>19073</v>
      </c>
      <c r="K179" s="89" t="s">
        <v>19072</v>
      </c>
      <c r="M179" s="89">
        <v>2018</v>
      </c>
      <c r="N179" s="89" t="s">
        <v>18779</v>
      </c>
      <c r="O179" s="89" t="s">
        <v>646</v>
      </c>
      <c r="P179" s="89" t="str">
        <f>HYPERLINK("http://dx.doi.org/10.1016/j.infsof.2017.10.004","http://dx.doi.org/10.1016/j.infsof.2017.10.004")</f>
        <v>http://dx.doi.org/10.1016/j.infsof.2017.10.004</v>
      </c>
      <c r="S179" s="89" t="s">
        <v>646</v>
      </c>
      <c r="U179" s="89" t="s">
        <v>17462</v>
      </c>
      <c r="W179" s="89" t="s">
        <v>646</v>
      </c>
      <c r="X179" s="89" t="s">
        <v>646</v>
      </c>
      <c r="Y179" s="89" t="s">
        <v>646</v>
      </c>
      <c r="Z179" s="89" t="s">
        <v>646</v>
      </c>
      <c r="AA179" s="89" t="s">
        <v>646</v>
      </c>
      <c r="AB179" s="89" t="s">
        <v>646</v>
      </c>
      <c r="AC179" s="89" t="s">
        <v>646</v>
      </c>
      <c r="AD179" s="89" t="s">
        <v>646</v>
      </c>
      <c r="AE179" s="89" t="s">
        <v>646</v>
      </c>
      <c r="AF179" s="89" t="s">
        <v>19072</v>
      </c>
      <c r="AG179" s="89" t="s">
        <v>646</v>
      </c>
      <c r="AH179" s="89" t="s">
        <v>646</v>
      </c>
      <c r="AI179" s="89" t="s">
        <v>646</v>
      </c>
      <c r="AJ179" s="89" t="s">
        <v>646</v>
      </c>
      <c r="AK179" s="89" t="s">
        <v>19073</v>
      </c>
      <c r="AL179" s="89" t="s">
        <v>19074</v>
      </c>
      <c r="AM179" s="89" t="s">
        <v>646</v>
      </c>
      <c r="AN179" s="89" t="s">
        <v>646</v>
      </c>
      <c r="AO179" s="89" t="s">
        <v>646</v>
      </c>
      <c r="AP179" s="89" t="s">
        <v>646</v>
      </c>
      <c r="AQ179" s="89" t="s">
        <v>646</v>
      </c>
      <c r="AR179" s="89" t="s">
        <v>646</v>
      </c>
      <c r="AS179" s="89" t="s">
        <v>646</v>
      </c>
      <c r="AT179" s="89" t="s">
        <v>646</v>
      </c>
      <c r="AU179" s="89" t="s">
        <v>646</v>
      </c>
      <c r="AV179" s="89" t="s">
        <v>646</v>
      </c>
      <c r="AW179" s="89" t="s">
        <v>646</v>
      </c>
      <c r="AX179" s="89" t="s">
        <v>646</v>
      </c>
      <c r="AY179" s="89" t="s">
        <v>18782</v>
      </c>
      <c r="AZ179" s="89" t="s">
        <v>18783</v>
      </c>
      <c r="BA179" s="89" t="s">
        <v>646</v>
      </c>
      <c r="BB179" s="89" t="s">
        <v>646</v>
      </c>
      <c r="BC179" s="89" t="s">
        <v>646</v>
      </c>
      <c r="BD179" s="89" t="s">
        <v>17658</v>
      </c>
      <c r="BE179" s="89">
        <v>2018</v>
      </c>
      <c r="BF179" s="89">
        <v>94</v>
      </c>
      <c r="BG179" s="89" t="s">
        <v>646</v>
      </c>
      <c r="BH179" s="89" t="s">
        <v>646</v>
      </c>
      <c r="BI179" s="89" t="s">
        <v>646</v>
      </c>
      <c r="BJ179" s="89" t="s">
        <v>646</v>
      </c>
      <c r="BK179" s="89" t="s">
        <v>646</v>
      </c>
      <c r="BL179" s="89">
        <v>111</v>
      </c>
      <c r="BM179" s="89">
        <v>129</v>
      </c>
      <c r="BN179" s="89" t="s">
        <v>646</v>
      </c>
      <c r="BO179" s="89" t="str">
        <f>HYPERLINK("http://dx.doi.org/10.1016/j.infsof.2017.10.004","http://dx.doi.org/10.1016/j.infsof.2017.10.004")</f>
        <v>http://dx.doi.org/10.1016/j.infsof.2017.10.004</v>
      </c>
      <c r="BP179" s="89" t="s">
        <v>646</v>
      </c>
      <c r="BQ179" s="89" t="s">
        <v>646</v>
      </c>
      <c r="BR179" s="89" t="s">
        <v>646</v>
      </c>
      <c r="BS179" s="89" t="s">
        <v>646</v>
      </c>
      <c r="BT179" s="89" t="s">
        <v>646</v>
      </c>
      <c r="BU179" s="89" t="s">
        <v>646</v>
      </c>
      <c r="BV179" s="89" t="s">
        <v>646</v>
      </c>
      <c r="BW179" s="89" t="s">
        <v>646</v>
      </c>
      <c r="BX179" s="89" t="s">
        <v>646</v>
      </c>
      <c r="BY179" s="89" t="s">
        <v>646</v>
      </c>
      <c r="BZ179" s="89" t="s">
        <v>646</v>
      </c>
      <c r="CA179" s="89" t="s">
        <v>646</v>
      </c>
      <c r="CB179" s="89" t="s">
        <v>19075</v>
      </c>
      <c r="CC179" s="89" t="str">
        <f>HYPERLINK("https%3A%2F%2Fwww.webofscience.com%2Fwos%2Fwoscc%2Ffull-record%2FWOS:000417009000007","View Full Record in Web of Science")</f>
        <v>View Full Record in Web of Science</v>
      </c>
    </row>
    <row r="180" spans="1:81" ht="13.2" hidden="1" x14ac:dyDescent="0.25">
      <c r="A180" s="89" t="s">
        <v>11081</v>
      </c>
      <c r="B180" s="89" t="e">
        <f>+#REF!</f>
        <v>#REF!</v>
      </c>
      <c r="C180" s="89"/>
      <c r="D180" s="91" t="s">
        <v>717</v>
      </c>
      <c r="E180" s="90" t="e">
        <v>#REF!</v>
      </c>
      <c r="F180" s="89"/>
      <c r="G180" s="89"/>
      <c r="H180" s="89" t="s">
        <v>11082</v>
      </c>
      <c r="I180" s="89" t="s">
        <v>19076</v>
      </c>
      <c r="J180" s="89" t="s">
        <v>646</v>
      </c>
      <c r="K180" s="89" t="s">
        <v>19077</v>
      </c>
      <c r="M180" s="89">
        <v>2016</v>
      </c>
      <c r="N180" s="89" t="s">
        <v>18387</v>
      </c>
      <c r="O180" s="89" t="s">
        <v>646</v>
      </c>
      <c r="P180" s="89" t="str">
        <f>HYPERLINK("http://dx.doi.org/10.1016/j.ijinfomgt.2016.06.007","http://dx.doi.org/10.1016/j.ijinfomgt.2016.06.007")</f>
        <v>http://dx.doi.org/10.1016/j.ijinfomgt.2016.06.007</v>
      </c>
      <c r="S180" s="89" t="s">
        <v>646</v>
      </c>
      <c r="U180" s="89" t="s">
        <v>17462</v>
      </c>
      <c r="W180" s="89" t="s">
        <v>646</v>
      </c>
      <c r="X180" s="89" t="s">
        <v>646</v>
      </c>
      <c r="Y180" s="89" t="s">
        <v>646</v>
      </c>
      <c r="Z180" s="89" t="s">
        <v>646</v>
      </c>
      <c r="AA180" s="89" t="s">
        <v>646</v>
      </c>
      <c r="AB180" s="89" t="s">
        <v>646</v>
      </c>
      <c r="AC180" s="89" t="s">
        <v>646</v>
      </c>
      <c r="AD180" s="89" t="s">
        <v>646</v>
      </c>
      <c r="AE180" s="89" t="s">
        <v>646</v>
      </c>
      <c r="AF180" s="89" t="s">
        <v>19077</v>
      </c>
      <c r="AG180" s="89" t="s">
        <v>646</v>
      </c>
      <c r="AH180" s="89" t="s">
        <v>646</v>
      </c>
      <c r="AI180" s="89" t="s">
        <v>646</v>
      </c>
      <c r="AJ180" s="89" t="s">
        <v>646</v>
      </c>
      <c r="AK180" s="89" t="s">
        <v>646</v>
      </c>
      <c r="AL180" s="89" t="s">
        <v>646</v>
      </c>
      <c r="AM180" s="89" t="s">
        <v>646</v>
      </c>
      <c r="AN180" s="89" t="s">
        <v>646</v>
      </c>
      <c r="AO180" s="89" t="s">
        <v>646</v>
      </c>
      <c r="AP180" s="89" t="s">
        <v>646</v>
      </c>
      <c r="AQ180" s="89" t="s">
        <v>646</v>
      </c>
      <c r="AR180" s="89" t="s">
        <v>646</v>
      </c>
      <c r="AS180" s="89" t="s">
        <v>646</v>
      </c>
      <c r="AT180" s="89" t="s">
        <v>646</v>
      </c>
      <c r="AU180" s="89" t="s">
        <v>646</v>
      </c>
      <c r="AV180" s="89" t="s">
        <v>646</v>
      </c>
      <c r="AW180" s="89" t="s">
        <v>646</v>
      </c>
      <c r="AX180" s="89" t="s">
        <v>646</v>
      </c>
      <c r="AY180" s="89" t="s">
        <v>18391</v>
      </c>
      <c r="AZ180" s="89" t="s">
        <v>18392</v>
      </c>
      <c r="BA180" s="89" t="s">
        <v>646</v>
      </c>
      <c r="BB180" s="89" t="s">
        <v>646</v>
      </c>
      <c r="BC180" s="89" t="s">
        <v>646</v>
      </c>
      <c r="BD180" s="89" t="s">
        <v>17615</v>
      </c>
      <c r="BE180" s="89">
        <v>2016</v>
      </c>
      <c r="BF180" s="89">
        <v>36</v>
      </c>
      <c r="BG180" s="89">
        <v>6</v>
      </c>
      <c r="BH180" s="89" t="s">
        <v>19078</v>
      </c>
      <c r="BI180" s="89" t="s">
        <v>646</v>
      </c>
      <c r="BJ180" s="89" t="s">
        <v>646</v>
      </c>
      <c r="BK180" s="89" t="s">
        <v>646</v>
      </c>
      <c r="BL180" s="89">
        <v>995</v>
      </c>
      <c r="BM180" s="89">
        <v>1019</v>
      </c>
      <c r="BN180" s="89" t="s">
        <v>646</v>
      </c>
      <c r="BO180" s="89" t="str">
        <f>HYPERLINK("http://dx.doi.org/10.1016/j.ijinfomgt.2016.06.007","http://dx.doi.org/10.1016/j.ijinfomgt.2016.06.007")</f>
        <v>http://dx.doi.org/10.1016/j.ijinfomgt.2016.06.007</v>
      </c>
      <c r="BP180" s="89" t="s">
        <v>646</v>
      </c>
      <c r="BQ180" s="89" t="s">
        <v>646</v>
      </c>
      <c r="BR180" s="89" t="s">
        <v>646</v>
      </c>
      <c r="BS180" s="89" t="s">
        <v>646</v>
      </c>
      <c r="BT180" s="89" t="s">
        <v>646</v>
      </c>
      <c r="BU180" s="89" t="s">
        <v>646</v>
      </c>
      <c r="BV180" s="89" t="s">
        <v>646</v>
      </c>
      <c r="BW180" s="89" t="s">
        <v>646</v>
      </c>
      <c r="BX180" s="89" t="s">
        <v>646</v>
      </c>
      <c r="BY180" s="89" t="s">
        <v>646</v>
      </c>
      <c r="BZ180" s="89" t="s">
        <v>646</v>
      </c>
      <c r="CA180" s="89" t="s">
        <v>646</v>
      </c>
      <c r="CB180" s="89" t="s">
        <v>19079</v>
      </c>
      <c r="CC180" s="89" t="str">
        <f>HYPERLINK("https%3A%2F%2Fwww.webofscience.com%2Fwos%2Fwoscc%2Ffull-record%2FWOS:000388049900012","View Full Record in Web of Science")</f>
        <v>View Full Record in Web of Science</v>
      </c>
    </row>
    <row r="181" spans="1:81" ht="13.2" hidden="1" x14ac:dyDescent="0.25">
      <c r="A181" s="89" t="s">
        <v>11090</v>
      </c>
      <c r="B181" s="89" t="e">
        <f>+#REF!</f>
        <v>#REF!</v>
      </c>
      <c r="C181" s="89"/>
      <c r="D181" s="91" t="s">
        <v>717</v>
      </c>
      <c r="E181" s="90" t="e">
        <v>#REF!</v>
      </c>
      <c r="F181" s="89"/>
      <c r="G181" s="89"/>
      <c r="H181" s="89" t="s">
        <v>11091</v>
      </c>
      <c r="I181" s="89" t="s">
        <v>19080</v>
      </c>
      <c r="J181" s="89" t="s">
        <v>19083</v>
      </c>
      <c r="K181" s="89" t="s">
        <v>19082</v>
      </c>
      <c r="M181" s="89">
        <v>2016</v>
      </c>
      <c r="N181" s="89" t="s">
        <v>19081</v>
      </c>
      <c r="O181" s="89" t="s">
        <v>646</v>
      </c>
      <c r="P181" s="89" t="str">
        <f>HYPERLINK("http://dx.doi.org/10.1177/0002764216660139","http://dx.doi.org/10.1177/0002764216660139")</f>
        <v>http://dx.doi.org/10.1177/0002764216660139</v>
      </c>
      <c r="S181" s="89" t="s">
        <v>646</v>
      </c>
      <c r="U181" s="89" t="s">
        <v>17462</v>
      </c>
      <c r="W181" s="89" t="s">
        <v>646</v>
      </c>
      <c r="X181" s="89" t="s">
        <v>646</v>
      </c>
      <c r="Y181" s="89" t="s">
        <v>646</v>
      </c>
      <c r="Z181" s="89" t="s">
        <v>646</v>
      </c>
      <c r="AA181" s="89" t="s">
        <v>646</v>
      </c>
      <c r="AB181" s="89" t="s">
        <v>646</v>
      </c>
      <c r="AC181" s="89" t="s">
        <v>646</v>
      </c>
      <c r="AD181" s="89" t="s">
        <v>646</v>
      </c>
      <c r="AE181" s="89" t="s">
        <v>646</v>
      </c>
      <c r="AF181" s="89" t="s">
        <v>19082</v>
      </c>
      <c r="AG181" s="89" t="s">
        <v>646</v>
      </c>
      <c r="AH181" s="89" t="s">
        <v>646</v>
      </c>
      <c r="AI181" s="89" t="s">
        <v>646</v>
      </c>
      <c r="AJ181" s="89" t="s">
        <v>646</v>
      </c>
      <c r="AK181" s="89" t="s">
        <v>19083</v>
      </c>
      <c r="AL181" s="89" t="s">
        <v>646</v>
      </c>
      <c r="AM181" s="89" t="s">
        <v>646</v>
      </c>
      <c r="AN181" s="89" t="s">
        <v>646</v>
      </c>
      <c r="AO181" s="89" t="s">
        <v>646</v>
      </c>
      <c r="AP181" s="89" t="s">
        <v>646</v>
      </c>
      <c r="AQ181" s="89" t="s">
        <v>646</v>
      </c>
      <c r="AR181" s="89" t="s">
        <v>646</v>
      </c>
      <c r="AS181" s="89" t="s">
        <v>646</v>
      </c>
      <c r="AT181" s="89" t="s">
        <v>646</v>
      </c>
      <c r="AU181" s="89" t="s">
        <v>646</v>
      </c>
      <c r="AV181" s="89" t="s">
        <v>646</v>
      </c>
      <c r="AW181" s="89" t="s">
        <v>646</v>
      </c>
      <c r="AX181" s="89" t="s">
        <v>646</v>
      </c>
      <c r="AY181" s="89" t="s">
        <v>19084</v>
      </c>
      <c r="AZ181" s="89" t="s">
        <v>19085</v>
      </c>
      <c r="BA181" s="89" t="s">
        <v>646</v>
      </c>
      <c r="BB181" s="89" t="s">
        <v>646</v>
      </c>
      <c r="BC181" s="89" t="s">
        <v>646</v>
      </c>
      <c r="BD181" s="89" t="s">
        <v>18292</v>
      </c>
      <c r="BE181" s="89">
        <v>2016</v>
      </c>
      <c r="BF181" s="89">
        <v>60</v>
      </c>
      <c r="BG181" s="89">
        <v>12</v>
      </c>
      <c r="BH181" s="89" t="s">
        <v>646</v>
      </c>
      <c r="BI181" s="89" t="s">
        <v>646</v>
      </c>
      <c r="BJ181" s="89" t="s">
        <v>17555</v>
      </c>
      <c r="BK181" s="89" t="s">
        <v>646</v>
      </c>
      <c r="BL181" s="89">
        <v>1492</v>
      </c>
      <c r="BM181" s="89">
        <v>1509</v>
      </c>
      <c r="BN181" s="89" t="s">
        <v>646</v>
      </c>
      <c r="BO181" s="89" t="str">
        <f>HYPERLINK("http://dx.doi.org/10.1177/0002764216660139","http://dx.doi.org/10.1177/0002764216660139")</f>
        <v>http://dx.doi.org/10.1177/0002764216660139</v>
      </c>
      <c r="BP181" s="89" t="s">
        <v>646</v>
      </c>
      <c r="BQ181" s="89" t="s">
        <v>646</v>
      </c>
      <c r="BR181" s="89" t="s">
        <v>646</v>
      </c>
      <c r="BS181" s="89" t="s">
        <v>646</v>
      </c>
      <c r="BT181" s="89" t="s">
        <v>646</v>
      </c>
      <c r="BU181" s="89" t="s">
        <v>646</v>
      </c>
      <c r="BV181" s="89" t="s">
        <v>646</v>
      </c>
      <c r="BW181" s="89" t="s">
        <v>646</v>
      </c>
      <c r="BX181" s="89" t="s">
        <v>646</v>
      </c>
      <c r="BY181" s="89" t="s">
        <v>646</v>
      </c>
      <c r="BZ181" s="89" t="s">
        <v>646</v>
      </c>
      <c r="CA181" s="89" t="s">
        <v>646</v>
      </c>
      <c r="CB181" s="89" t="s">
        <v>19086</v>
      </c>
      <c r="CC181" s="89" t="str">
        <f>HYPERLINK("https%3A%2F%2Fwww.webofscience.com%2Fwos%2Fwoscc%2Ffull-record%2FWOS:000384830700007","View Full Record in Web of Science")</f>
        <v>View Full Record in Web of Science</v>
      </c>
    </row>
    <row r="182" spans="1:81" ht="13.2" hidden="1" x14ac:dyDescent="0.25">
      <c r="A182" s="89" t="s">
        <v>19087</v>
      </c>
      <c r="B182" s="89" t="e">
        <f>+#REF!</f>
        <v>#REF!</v>
      </c>
      <c r="C182" s="89"/>
      <c r="D182" s="91" t="s">
        <v>717</v>
      </c>
      <c r="E182" s="90" t="e">
        <v>#REF!</v>
      </c>
      <c r="F182" s="89"/>
      <c r="G182" s="89"/>
      <c r="H182" s="89" t="s">
        <v>11101</v>
      </c>
      <c r="I182" s="89" t="s">
        <v>19088</v>
      </c>
      <c r="J182" s="89" t="s">
        <v>19091</v>
      </c>
      <c r="K182" s="89" t="s">
        <v>19090</v>
      </c>
      <c r="M182" s="89">
        <v>2018</v>
      </c>
      <c r="N182" s="89" t="s">
        <v>19089</v>
      </c>
      <c r="O182" s="89" t="s">
        <v>646</v>
      </c>
      <c r="P182" s="89" t="str">
        <f>HYPERLINK("http://dx.doi.org/10.2308/bria-51977","http://dx.doi.org/10.2308/bria-51977")</f>
        <v>http://dx.doi.org/10.2308/bria-51977</v>
      </c>
      <c r="S182" s="89" t="s">
        <v>646</v>
      </c>
      <c r="U182" s="89" t="s">
        <v>17462</v>
      </c>
      <c r="W182" s="89" t="s">
        <v>646</v>
      </c>
      <c r="X182" s="89" t="s">
        <v>646</v>
      </c>
      <c r="Y182" s="89" t="s">
        <v>646</v>
      </c>
      <c r="Z182" s="89" t="s">
        <v>646</v>
      </c>
      <c r="AA182" s="89" t="s">
        <v>646</v>
      </c>
      <c r="AB182" s="89" t="s">
        <v>646</v>
      </c>
      <c r="AC182" s="89" t="s">
        <v>646</v>
      </c>
      <c r="AD182" s="89" t="s">
        <v>646</v>
      </c>
      <c r="AE182" s="89" t="s">
        <v>646</v>
      </c>
      <c r="AF182" s="89" t="s">
        <v>19090</v>
      </c>
      <c r="AG182" s="89" t="s">
        <v>646</v>
      </c>
      <c r="AH182" s="89" t="s">
        <v>646</v>
      </c>
      <c r="AI182" s="89" t="s">
        <v>646</v>
      </c>
      <c r="AJ182" s="89" t="s">
        <v>646</v>
      </c>
      <c r="AK182" s="89" t="s">
        <v>19091</v>
      </c>
      <c r="AL182" s="89" t="s">
        <v>19092</v>
      </c>
      <c r="AM182" s="89" t="s">
        <v>646</v>
      </c>
      <c r="AN182" s="89" t="s">
        <v>646</v>
      </c>
      <c r="AO182" s="89" t="s">
        <v>646</v>
      </c>
      <c r="AP182" s="89" t="s">
        <v>646</v>
      </c>
      <c r="AQ182" s="89" t="s">
        <v>646</v>
      </c>
      <c r="AR182" s="89" t="s">
        <v>646</v>
      </c>
      <c r="AS182" s="89" t="s">
        <v>646</v>
      </c>
      <c r="AT182" s="89" t="s">
        <v>646</v>
      </c>
      <c r="AU182" s="89" t="s">
        <v>646</v>
      </c>
      <c r="AV182" s="89" t="s">
        <v>646</v>
      </c>
      <c r="AW182" s="89" t="s">
        <v>646</v>
      </c>
      <c r="AX182" s="89" t="s">
        <v>646</v>
      </c>
      <c r="AY182" s="89" t="s">
        <v>19093</v>
      </c>
      <c r="AZ182" s="89" t="s">
        <v>19094</v>
      </c>
      <c r="BA182" s="89" t="s">
        <v>646</v>
      </c>
      <c r="BB182" s="89" t="s">
        <v>646</v>
      </c>
      <c r="BC182" s="89" t="s">
        <v>646</v>
      </c>
      <c r="BD182" s="89" t="s">
        <v>19095</v>
      </c>
      <c r="BE182" s="89">
        <v>2018</v>
      </c>
      <c r="BF182" s="89">
        <v>30</v>
      </c>
      <c r="BG182" s="89">
        <v>1</v>
      </c>
      <c r="BH182" s="89" t="s">
        <v>646</v>
      </c>
      <c r="BI182" s="89" t="s">
        <v>646</v>
      </c>
      <c r="BJ182" s="89" t="s">
        <v>646</v>
      </c>
      <c r="BK182" s="89" t="s">
        <v>646</v>
      </c>
      <c r="BL182" s="89">
        <v>111</v>
      </c>
      <c r="BM182" s="89">
        <v>122</v>
      </c>
      <c r="BN182" s="89" t="s">
        <v>646</v>
      </c>
      <c r="BO182" s="89" t="str">
        <f>HYPERLINK("http://dx.doi.org/10.2308/bria-51977","http://dx.doi.org/10.2308/bria-51977")</f>
        <v>http://dx.doi.org/10.2308/bria-51977</v>
      </c>
      <c r="BP182" s="89" t="s">
        <v>646</v>
      </c>
      <c r="BQ182" s="89" t="s">
        <v>646</v>
      </c>
      <c r="BR182" s="89" t="s">
        <v>646</v>
      </c>
      <c r="BS182" s="89" t="s">
        <v>646</v>
      </c>
      <c r="BT182" s="89" t="s">
        <v>646</v>
      </c>
      <c r="BU182" s="89" t="s">
        <v>646</v>
      </c>
      <c r="BV182" s="89" t="s">
        <v>646</v>
      </c>
      <c r="BW182" s="89" t="s">
        <v>646</v>
      </c>
      <c r="BX182" s="89" t="s">
        <v>646</v>
      </c>
      <c r="BY182" s="89" t="s">
        <v>646</v>
      </c>
      <c r="BZ182" s="89" t="s">
        <v>646</v>
      </c>
      <c r="CA182" s="89" t="s">
        <v>646</v>
      </c>
      <c r="CB182" s="89" t="s">
        <v>19096</v>
      </c>
      <c r="CC182" s="89" t="str">
        <f>HYPERLINK("https%3A%2F%2Fwww.webofscience.com%2Fwos%2Fwoscc%2Ffull-record%2FWOS:000428737900007","View Full Record in Web of Science")</f>
        <v>View Full Record in Web of Science</v>
      </c>
    </row>
    <row r="183" spans="1:81" ht="13.2" hidden="1" x14ac:dyDescent="0.25">
      <c r="A183" s="89" t="s">
        <v>16248</v>
      </c>
      <c r="B183" s="89" t="e">
        <f>+#REF!</f>
        <v>#REF!</v>
      </c>
      <c r="C183" s="89"/>
      <c r="D183" s="91" t="s">
        <v>717</v>
      </c>
      <c r="E183" s="90" t="e">
        <v>#REF!</v>
      </c>
      <c r="F183" s="89"/>
      <c r="G183" s="89"/>
      <c r="H183" s="89" t="s">
        <v>16249</v>
      </c>
      <c r="I183" s="89" t="s">
        <v>19097</v>
      </c>
      <c r="J183" s="89" t="s">
        <v>19100</v>
      </c>
      <c r="K183" s="89" t="s">
        <v>19099</v>
      </c>
      <c r="M183" s="89">
        <v>2020</v>
      </c>
      <c r="N183" s="89" t="s">
        <v>19098</v>
      </c>
      <c r="O183" s="89" t="s">
        <v>646</v>
      </c>
      <c r="P183" s="89" t="str">
        <f>HYPERLINK("http://dx.doi.org/10.1016/j.techfore.2020.120291","http://dx.doi.org/10.1016/j.techfore.2020.120291")</f>
        <v>http://dx.doi.org/10.1016/j.techfore.2020.120291</v>
      </c>
      <c r="S183" s="89" t="s">
        <v>646</v>
      </c>
      <c r="U183" s="89" t="s">
        <v>17462</v>
      </c>
      <c r="W183" s="89" t="s">
        <v>646</v>
      </c>
      <c r="X183" s="89" t="s">
        <v>646</v>
      </c>
      <c r="Y183" s="89" t="s">
        <v>646</v>
      </c>
      <c r="Z183" s="89" t="s">
        <v>646</v>
      </c>
      <c r="AA183" s="89" t="s">
        <v>646</v>
      </c>
      <c r="AB183" s="89" t="s">
        <v>646</v>
      </c>
      <c r="AC183" s="89" t="s">
        <v>646</v>
      </c>
      <c r="AD183" s="89" t="s">
        <v>646</v>
      </c>
      <c r="AE183" s="89" t="s">
        <v>646</v>
      </c>
      <c r="AF183" s="89" t="s">
        <v>19099</v>
      </c>
      <c r="AG183" s="89" t="s">
        <v>646</v>
      </c>
      <c r="AH183" s="89" t="s">
        <v>646</v>
      </c>
      <c r="AI183" s="89" t="s">
        <v>646</v>
      </c>
      <c r="AJ183" s="89" t="s">
        <v>646</v>
      </c>
      <c r="AK183" s="89" t="s">
        <v>19100</v>
      </c>
      <c r="AL183" s="89" t="s">
        <v>19101</v>
      </c>
      <c r="AM183" s="89" t="s">
        <v>646</v>
      </c>
      <c r="AN183" s="89" t="s">
        <v>646</v>
      </c>
      <c r="AO183" s="89" t="s">
        <v>646</v>
      </c>
      <c r="AP183" s="89" t="s">
        <v>646</v>
      </c>
      <c r="AQ183" s="89" t="s">
        <v>646</v>
      </c>
      <c r="AR183" s="89" t="s">
        <v>646</v>
      </c>
      <c r="AS183" s="89" t="s">
        <v>646</v>
      </c>
      <c r="AT183" s="89" t="s">
        <v>646</v>
      </c>
      <c r="AU183" s="89" t="s">
        <v>646</v>
      </c>
      <c r="AV183" s="89" t="s">
        <v>646</v>
      </c>
      <c r="AW183" s="89" t="s">
        <v>646</v>
      </c>
      <c r="AX183" s="89" t="s">
        <v>646</v>
      </c>
      <c r="AY183" s="89" t="s">
        <v>19102</v>
      </c>
      <c r="AZ183" s="89" t="s">
        <v>19103</v>
      </c>
      <c r="BA183" s="89" t="s">
        <v>646</v>
      </c>
      <c r="BB183" s="89" t="s">
        <v>646</v>
      </c>
      <c r="BC183" s="89" t="s">
        <v>646</v>
      </c>
      <c r="BD183" s="89" t="s">
        <v>17615</v>
      </c>
      <c r="BE183" s="89">
        <v>2020</v>
      </c>
      <c r="BF183" s="89">
        <v>161</v>
      </c>
      <c r="BG183" s="89" t="s">
        <v>646</v>
      </c>
      <c r="BH183" s="89" t="s">
        <v>646</v>
      </c>
      <c r="BI183" s="89" t="s">
        <v>646</v>
      </c>
      <c r="BJ183" s="89" t="s">
        <v>646</v>
      </c>
      <c r="BK183" s="89" t="s">
        <v>646</v>
      </c>
      <c r="BL183" s="89" t="s">
        <v>646</v>
      </c>
      <c r="BM183" s="89" t="s">
        <v>646</v>
      </c>
      <c r="BN183" s="89">
        <v>120291</v>
      </c>
      <c r="BO183" s="89" t="str">
        <f>HYPERLINK("http://dx.doi.org/10.1016/j.techfore.2020.120291","http://dx.doi.org/10.1016/j.techfore.2020.120291")</f>
        <v>http://dx.doi.org/10.1016/j.techfore.2020.120291</v>
      </c>
      <c r="BP183" s="89" t="s">
        <v>646</v>
      </c>
      <c r="BQ183" s="89" t="s">
        <v>646</v>
      </c>
      <c r="BR183" s="89" t="s">
        <v>646</v>
      </c>
      <c r="BS183" s="89" t="s">
        <v>646</v>
      </c>
      <c r="BT183" s="89" t="s">
        <v>646</v>
      </c>
      <c r="BU183" s="89" t="s">
        <v>646</v>
      </c>
      <c r="BV183" s="89" t="s">
        <v>646</v>
      </c>
      <c r="BW183" s="89" t="s">
        <v>646</v>
      </c>
      <c r="BX183" s="89" t="s">
        <v>646</v>
      </c>
      <c r="BY183" s="89" t="s">
        <v>646</v>
      </c>
      <c r="BZ183" s="89" t="s">
        <v>646</v>
      </c>
      <c r="CA183" s="89" t="s">
        <v>646</v>
      </c>
      <c r="CB183" s="89" t="s">
        <v>19104</v>
      </c>
      <c r="CC183" s="89" t="str">
        <f>HYPERLINK("https%3A%2F%2Fwww.webofscience.com%2Fwos%2Fwoscc%2Ffull-record%2FWOS:000597125800017","View Full Record in Web of Science")</f>
        <v>View Full Record in Web of Science</v>
      </c>
    </row>
    <row r="184" spans="1:81" ht="13.2" hidden="1" x14ac:dyDescent="0.25">
      <c r="A184" s="89" t="s">
        <v>999</v>
      </c>
      <c r="B184" s="89" t="e">
        <f>+#REF!</f>
        <v>#REF!</v>
      </c>
      <c r="C184" s="89"/>
      <c r="D184" s="91" t="s">
        <v>717</v>
      </c>
      <c r="E184" s="90" t="e">
        <v>#REF!</v>
      </c>
      <c r="F184" s="89"/>
      <c r="G184" s="89"/>
      <c r="H184" s="89" t="s">
        <v>1001</v>
      </c>
      <c r="I184" s="89" t="s">
        <v>19105</v>
      </c>
      <c r="J184" s="89" t="s">
        <v>19108</v>
      </c>
      <c r="K184" s="89" t="s">
        <v>19107</v>
      </c>
      <c r="M184" s="89">
        <v>2016</v>
      </c>
      <c r="N184" s="89" t="s">
        <v>19106</v>
      </c>
      <c r="O184" s="89" t="s">
        <v>646</v>
      </c>
      <c r="P184" s="89" t="str">
        <f>HYPERLINK("http://dx.doi.org/10.1016/j.csi.2016.02.004","http://dx.doi.org/10.1016/j.csi.2016.02.004")</f>
        <v>http://dx.doi.org/10.1016/j.csi.2016.02.004</v>
      </c>
      <c r="S184" s="89" t="s">
        <v>646</v>
      </c>
      <c r="U184" s="89" t="s">
        <v>17462</v>
      </c>
      <c r="W184" s="89" t="s">
        <v>646</v>
      </c>
      <c r="X184" s="89" t="s">
        <v>646</v>
      </c>
      <c r="Y184" s="89" t="s">
        <v>646</v>
      </c>
      <c r="Z184" s="89" t="s">
        <v>646</v>
      </c>
      <c r="AA184" s="89" t="s">
        <v>646</v>
      </c>
      <c r="AB184" s="89" t="s">
        <v>646</v>
      </c>
      <c r="AC184" s="89" t="s">
        <v>646</v>
      </c>
      <c r="AD184" s="89" t="s">
        <v>646</v>
      </c>
      <c r="AE184" s="89" t="s">
        <v>646</v>
      </c>
      <c r="AF184" s="89" t="s">
        <v>19107</v>
      </c>
      <c r="AG184" s="89" t="s">
        <v>646</v>
      </c>
      <c r="AH184" s="89" t="s">
        <v>646</v>
      </c>
      <c r="AI184" s="89" t="s">
        <v>646</v>
      </c>
      <c r="AJ184" s="89" t="s">
        <v>646</v>
      </c>
      <c r="AK184" s="89" t="s">
        <v>19108</v>
      </c>
      <c r="AL184" s="89" t="s">
        <v>19109</v>
      </c>
      <c r="AM184" s="89" t="s">
        <v>646</v>
      </c>
      <c r="AN184" s="89" t="s">
        <v>646</v>
      </c>
      <c r="AO184" s="89" t="s">
        <v>646</v>
      </c>
      <c r="AP184" s="89" t="s">
        <v>646</v>
      </c>
      <c r="AQ184" s="89" t="s">
        <v>646</v>
      </c>
      <c r="AR184" s="89" t="s">
        <v>646</v>
      </c>
      <c r="AS184" s="89" t="s">
        <v>646</v>
      </c>
      <c r="AT184" s="89" t="s">
        <v>646</v>
      </c>
      <c r="AU184" s="89" t="s">
        <v>646</v>
      </c>
      <c r="AV184" s="89" t="s">
        <v>646</v>
      </c>
      <c r="AW184" s="89" t="s">
        <v>646</v>
      </c>
      <c r="AX184" s="89" t="s">
        <v>646</v>
      </c>
      <c r="AY184" s="89" t="s">
        <v>19110</v>
      </c>
      <c r="AZ184" s="89" t="s">
        <v>19111</v>
      </c>
      <c r="BA184" s="89" t="s">
        <v>646</v>
      </c>
      <c r="BB184" s="89" t="s">
        <v>646</v>
      </c>
      <c r="BC184" s="89" t="s">
        <v>646</v>
      </c>
      <c r="BD184" s="89" t="s">
        <v>18436</v>
      </c>
      <c r="BE184" s="89">
        <v>2016</v>
      </c>
      <c r="BF184" s="89">
        <v>46</v>
      </c>
      <c r="BG184" s="89" t="s">
        <v>646</v>
      </c>
      <c r="BH184" s="89" t="s">
        <v>646</v>
      </c>
      <c r="BI184" s="89" t="s">
        <v>646</v>
      </c>
      <c r="BJ184" s="89" t="s">
        <v>646</v>
      </c>
      <c r="BK184" s="89" t="s">
        <v>646</v>
      </c>
      <c r="BL184" s="89">
        <v>66</v>
      </c>
      <c r="BM184" s="89">
        <v>78</v>
      </c>
      <c r="BN184" s="89" t="s">
        <v>646</v>
      </c>
      <c r="BO184" s="89" t="str">
        <f>HYPERLINK("http://dx.doi.org/10.1016/j.csi.2016.02.004","http://dx.doi.org/10.1016/j.csi.2016.02.004")</f>
        <v>http://dx.doi.org/10.1016/j.csi.2016.02.004</v>
      </c>
      <c r="BP184" s="89" t="s">
        <v>646</v>
      </c>
      <c r="BQ184" s="89" t="s">
        <v>646</v>
      </c>
      <c r="BR184" s="89" t="s">
        <v>646</v>
      </c>
      <c r="BS184" s="89" t="s">
        <v>646</v>
      </c>
      <c r="BT184" s="89" t="s">
        <v>646</v>
      </c>
      <c r="BU184" s="89" t="s">
        <v>646</v>
      </c>
      <c r="BV184" s="89" t="s">
        <v>646</v>
      </c>
      <c r="BW184" s="89" t="s">
        <v>646</v>
      </c>
      <c r="BX184" s="89" t="s">
        <v>646</v>
      </c>
      <c r="BY184" s="89" t="s">
        <v>646</v>
      </c>
      <c r="BZ184" s="89" t="s">
        <v>646</v>
      </c>
      <c r="CA184" s="89" t="s">
        <v>646</v>
      </c>
      <c r="CB184" s="89" t="s">
        <v>19112</v>
      </c>
      <c r="CC184" s="89" t="str">
        <f>HYPERLINK("https%3A%2F%2Fwww.webofscience.com%2Fwos%2Fwoscc%2Ffull-record%2FWOS:000372687000007","View Full Record in Web of Science")</f>
        <v>View Full Record in Web of Science</v>
      </c>
    </row>
    <row r="185" spans="1:81" ht="13.2" hidden="1" x14ac:dyDescent="0.25">
      <c r="A185" s="89" t="s">
        <v>8940</v>
      </c>
      <c r="B185" s="89" t="e">
        <f>+#REF!</f>
        <v>#REF!</v>
      </c>
      <c r="C185" s="89"/>
      <c r="D185" s="91" t="s">
        <v>717</v>
      </c>
      <c r="E185" s="90" t="e">
        <v>#REF!</v>
      </c>
      <c r="F185" s="89"/>
      <c r="G185" s="89"/>
      <c r="H185" s="89" t="s">
        <v>8941</v>
      </c>
      <c r="I185" s="89" t="s">
        <v>19114</v>
      </c>
      <c r="J185" s="89" t="s">
        <v>646</v>
      </c>
      <c r="K185" s="89" t="s">
        <v>19118</v>
      </c>
      <c r="M185" s="89">
        <v>2021</v>
      </c>
      <c r="N185" s="89" t="s">
        <v>19115</v>
      </c>
      <c r="O185" s="89" t="s">
        <v>19113</v>
      </c>
      <c r="P185" s="89" t="str">
        <f>HYPERLINK("http://dx.doi.org/10.1007/978-3-030-90963-5_42","http://dx.doi.org/10.1007/978-3-030-90963-5_42")</f>
        <v>http://dx.doi.org/10.1007/978-3-030-90963-5_42</v>
      </c>
      <c r="S185" s="89" t="s">
        <v>646</v>
      </c>
      <c r="U185" s="89" t="s">
        <v>17474</v>
      </c>
      <c r="W185" s="89" t="s">
        <v>646</v>
      </c>
      <c r="X185" s="89" t="s">
        <v>646</v>
      </c>
      <c r="Y185" s="89" t="s">
        <v>19116</v>
      </c>
      <c r="Z185" s="89" t="s">
        <v>19117</v>
      </c>
      <c r="AA185" s="89" t="s">
        <v>17494</v>
      </c>
      <c r="AB185" s="89" t="s">
        <v>646</v>
      </c>
      <c r="AC185" s="89" t="s">
        <v>646</v>
      </c>
      <c r="AD185" s="89" t="s">
        <v>646</v>
      </c>
      <c r="AE185" s="89" t="s">
        <v>646</v>
      </c>
      <c r="AF185" s="89" t="s">
        <v>19118</v>
      </c>
      <c r="AG185" s="89" t="s">
        <v>646</v>
      </c>
      <c r="AH185" s="89" t="s">
        <v>646</v>
      </c>
      <c r="AI185" s="89" t="s">
        <v>646</v>
      </c>
      <c r="AJ185" s="89" t="s">
        <v>646</v>
      </c>
      <c r="AK185" s="89" t="s">
        <v>646</v>
      </c>
      <c r="AL185" s="89" t="s">
        <v>646</v>
      </c>
      <c r="AM185" s="89" t="s">
        <v>646</v>
      </c>
      <c r="AN185" s="89" t="s">
        <v>646</v>
      </c>
      <c r="AO185" s="89" t="s">
        <v>646</v>
      </c>
      <c r="AP185" s="89" t="s">
        <v>646</v>
      </c>
      <c r="AQ185" s="89" t="s">
        <v>646</v>
      </c>
      <c r="AR185" s="89" t="s">
        <v>646</v>
      </c>
      <c r="AS185" s="89" t="s">
        <v>646</v>
      </c>
      <c r="AT185" s="89" t="s">
        <v>646</v>
      </c>
      <c r="AU185" s="89" t="s">
        <v>646</v>
      </c>
      <c r="AV185" s="89" t="s">
        <v>646</v>
      </c>
      <c r="AW185" s="89" t="s">
        <v>646</v>
      </c>
      <c r="AX185" s="89" t="s">
        <v>646</v>
      </c>
      <c r="AY185" s="89" t="s">
        <v>18367</v>
      </c>
      <c r="AZ185" s="89" t="s">
        <v>18884</v>
      </c>
      <c r="BA185" s="89" t="s">
        <v>19119</v>
      </c>
      <c r="BB185" s="89" t="s">
        <v>646</v>
      </c>
      <c r="BC185" s="89" t="s">
        <v>646</v>
      </c>
      <c r="BD185" s="89" t="s">
        <v>646</v>
      </c>
      <c r="BE185" s="89">
        <v>2021</v>
      </c>
      <c r="BF185" s="89">
        <v>13095</v>
      </c>
      <c r="BG185" s="89" t="s">
        <v>646</v>
      </c>
      <c r="BH185" s="89" t="s">
        <v>646</v>
      </c>
      <c r="BI185" s="89" t="s">
        <v>646</v>
      </c>
      <c r="BJ185" s="89" t="s">
        <v>646</v>
      </c>
      <c r="BK185" s="89" t="s">
        <v>646</v>
      </c>
      <c r="BL185" s="89">
        <v>556</v>
      </c>
      <c r="BM185" s="89">
        <v>573</v>
      </c>
      <c r="BN185" s="89" t="s">
        <v>646</v>
      </c>
      <c r="BO185" s="89" t="str">
        <f>HYPERLINK("http://dx.doi.org/10.1007/978-3-030-90963-5_42","http://dx.doi.org/10.1007/978-3-030-90963-5_42")</f>
        <v>http://dx.doi.org/10.1007/978-3-030-90963-5_42</v>
      </c>
      <c r="BP185" s="89" t="s">
        <v>646</v>
      </c>
      <c r="BQ185" s="89" t="s">
        <v>646</v>
      </c>
      <c r="BR185" s="89" t="s">
        <v>646</v>
      </c>
      <c r="BS185" s="89" t="s">
        <v>646</v>
      </c>
      <c r="BT185" s="89" t="s">
        <v>646</v>
      </c>
      <c r="BU185" s="89" t="s">
        <v>646</v>
      </c>
      <c r="BV185" s="89" t="s">
        <v>646</v>
      </c>
      <c r="BW185" s="89" t="s">
        <v>646</v>
      </c>
      <c r="BX185" s="89" t="s">
        <v>646</v>
      </c>
      <c r="BY185" s="89" t="s">
        <v>646</v>
      </c>
      <c r="BZ185" s="89" t="s">
        <v>646</v>
      </c>
      <c r="CA185" s="89" t="s">
        <v>646</v>
      </c>
      <c r="CB185" s="89" t="s">
        <v>19120</v>
      </c>
      <c r="CC185" s="89" t="str">
        <f>HYPERLINK("https%3A%2F%2Fwww.webofscience.com%2Fwos%2Fwoscc%2Ffull-record%2FWOS:000759200300042","View Full Record in Web of Science")</f>
        <v>View Full Record in Web of Science</v>
      </c>
    </row>
    <row r="186" spans="1:81" ht="13.2" hidden="1" x14ac:dyDescent="0.25">
      <c r="A186" s="89" t="s">
        <v>11110</v>
      </c>
      <c r="B186" s="89" t="e">
        <f>+#REF!</f>
        <v>#REF!</v>
      </c>
      <c r="C186" s="89"/>
      <c r="D186" s="91" t="s">
        <v>717</v>
      </c>
      <c r="E186" s="90" t="e">
        <v>#REF!</v>
      </c>
      <c r="F186" s="89"/>
      <c r="G186" s="89"/>
      <c r="H186" s="89" t="s">
        <v>11111</v>
      </c>
      <c r="I186" s="89" t="s">
        <v>19121</v>
      </c>
      <c r="J186" s="89" t="s">
        <v>646</v>
      </c>
      <c r="K186" s="89" t="s">
        <v>19123</v>
      </c>
      <c r="M186" s="89">
        <v>2011</v>
      </c>
      <c r="N186" s="89" t="s">
        <v>19122</v>
      </c>
      <c r="O186" s="89" t="s">
        <v>646</v>
      </c>
      <c r="P186" s="89" t="str">
        <f>HYPERLINK("http://dx.doi.org/10.1016/j.ssci.2010.11.004","http://dx.doi.org/10.1016/j.ssci.2010.11.004")</f>
        <v>http://dx.doi.org/10.1016/j.ssci.2010.11.004</v>
      </c>
      <c r="S186" s="89" t="s">
        <v>646</v>
      </c>
      <c r="U186" s="89" t="s">
        <v>17462</v>
      </c>
      <c r="W186" s="89" t="s">
        <v>646</v>
      </c>
      <c r="X186" s="89" t="s">
        <v>646</v>
      </c>
      <c r="Y186" s="89" t="s">
        <v>646</v>
      </c>
      <c r="Z186" s="89" t="s">
        <v>646</v>
      </c>
      <c r="AA186" s="89" t="s">
        <v>646</v>
      </c>
      <c r="AB186" s="89" t="s">
        <v>646</v>
      </c>
      <c r="AC186" s="89" t="s">
        <v>646</v>
      </c>
      <c r="AD186" s="89" t="s">
        <v>646</v>
      </c>
      <c r="AE186" s="89" t="s">
        <v>646</v>
      </c>
      <c r="AF186" s="89" t="s">
        <v>19123</v>
      </c>
      <c r="AG186" s="89" t="s">
        <v>646</v>
      </c>
      <c r="AH186" s="89" t="s">
        <v>646</v>
      </c>
      <c r="AI186" s="89" t="s">
        <v>646</v>
      </c>
      <c r="AJ186" s="89" t="s">
        <v>646</v>
      </c>
      <c r="AK186" s="89" t="s">
        <v>646</v>
      </c>
      <c r="AL186" s="89" t="s">
        <v>19124</v>
      </c>
      <c r="AM186" s="89" t="s">
        <v>646</v>
      </c>
      <c r="AN186" s="89" t="s">
        <v>646</v>
      </c>
      <c r="AO186" s="89" t="s">
        <v>646</v>
      </c>
      <c r="AP186" s="89" t="s">
        <v>646</v>
      </c>
      <c r="AQ186" s="89" t="s">
        <v>646</v>
      </c>
      <c r="AR186" s="89" t="s">
        <v>646</v>
      </c>
      <c r="AS186" s="89" t="s">
        <v>646</v>
      </c>
      <c r="AT186" s="89" t="s">
        <v>646</v>
      </c>
      <c r="AU186" s="89" t="s">
        <v>646</v>
      </c>
      <c r="AV186" s="89" t="s">
        <v>646</v>
      </c>
      <c r="AW186" s="89" t="s">
        <v>646</v>
      </c>
      <c r="AX186" s="89" t="s">
        <v>646</v>
      </c>
      <c r="AY186" s="89" t="s">
        <v>19125</v>
      </c>
      <c r="AZ186" s="89" t="s">
        <v>19126</v>
      </c>
      <c r="BA186" s="89" t="s">
        <v>646</v>
      </c>
      <c r="BB186" s="89" t="s">
        <v>646</v>
      </c>
      <c r="BC186" s="89" t="s">
        <v>646</v>
      </c>
      <c r="BD186" s="89" t="s">
        <v>17779</v>
      </c>
      <c r="BE186" s="89">
        <v>2011</v>
      </c>
      <c r="BF186" s="89">
        <v>49</v>
      </c>
      <c r="BG186" s="89">
        <v>3</v>
      </c>
      <c r="BH186" s="89" t="s">
        <v>646</v>
      </c>
      <c r="BI186" s="89" t="s">
        <v>646</v>
      </c>
      <c r="BJ186" s="89" t="s">
        <v>646</v>
      </c>
      <c r="BK186" s="89" t="s">
        <v>646</v>
      </c>
      <c r="BL186" s="89">
        <v>473</v>
      </c>
      <c r="BM186" s="89">
        <v>483</v>
      </c>
      <c r="BN186" s="89" t="s">
        <v>646</v>
      </c>
      <c r="BO186" s="89" t="str">
        <f>HYPERLINK("http://dx.doi.org/10.1016/j.ssci.2010.11.004","http://dx.doi.org/10.1016/j.ssci.2010.11.004")</f>
        <v>http://dx.doi.org/10.1016/j.ssci.2010.11.004</v>
      </c>
      <c r="BP186" s="89" t="s">
        <v>646</v>
      </c>
      <c r="BQ186" s="89" t="s">
        <v>646</v>
      </c>
      <c r="BR186" s="89" t="s">
        <v>646</v>
      </c>
      <c r="BS186" s="89" t="s">
        <v>646</v>
      </c>
      <c r="BT186" s="89" t="s">
        <v>646</v>
      </c>
      <c r="BU186" s="89" t="s">
        <v>646</v>
      </c>
      <c r="BV186" s="89" t="s">
        <v>646</v>
      </c>
      <c r="BW186" s="89" t="s">
        <v>646</v>
      </c>
      <c r="BX186" s="89" t="s">
        <v>646</v>
      </c>
      <c r="BY186" s="89" t="s">
        <v>646</v>
      </c>
      <c r="BZ186" s="89" t="s">
        <v>646</v>
      </c>
      <c r="CA186" s="89" t="s">
        <v>646</v>
      </c>
      <c r="CB186" s="89" t="s">
        <v>19127</v>
      </c>
      <c r="CC186" s="89" t="str">
        <f>HYPERLINK("https%3A%2F%2Fwww.webofscience.com%2Fwos%2Fwoscc%2Ffull-record%2FWOS:000287908100012","View Full Record in Web of Science")</f>
        <v>View Full Record in Web of Science</v>
      </c>
    </row>
    <row r="187" spans="1:81" ht="13.2" hidden="1" x14ac:dyDescent="0.25">
      <c r="A187" s="89" t="s">
        <v>11120</v>
      </c>
      <c r="B187" s="89" t="e">
        <f>+#REF!</f>
        <v>#REF!</v>
      </c>
      <c r="C187" s="89"/>
      <c r="D187" s="91" t="s">
        <v>717</v>
      </c>
      <c r="E187" s="90" t="e">
        <v>#REF!</v>
      </c>
      <c r="F187" s="89"/>
      <c r="G187" s="89"/>
      <c r="H187" s="89" t="s">
        <v>11121</v>
      </c>
      <c r="I187" s="89" t="s">
        <v>19128</v>
      </c>
      <c r="J187" s="89" t="s">
        <v>19131</v>
      </c>
      <c r="K187" s="89" t="s">
        <v>19130</v>
      </c>
      <c r="M187" s="89">
        <v>2020</v>
      </c>
      <c r="N187" s="89" t="s">
        <v>19129</v>
      </c>
      <c r="O187" s="89" t="s">
        <v>646</v>
      </c>
      <c r="P187" s="89" t="str">
        <f>HYPERLINK("http://dx.doi.org/10.1016/j.ijpe.2019.107575","http://dx.doi.org/10.1016/j.ijpe.2019.107575")</f>
        <v>http://dx.doi.org/10.1016/j.ijpe.2019.107575</v>
      </c>
      <c r="S187" s="89" t="s">
        <v>646</v>
      </c>
      <c r="U187" s="89" t="s">
        <v>17462</v>
      </c>
      <c r="W187" s="89" t="s">
        <v>646</v>
      </c>
      <c r="X187" s="89" t="s">
        <v>646</v>
      </c>
      <c r="Y187" s="89" t="s">
        <v>646</v>
      </c>
      <c r="Z187" s="89" t="s">
        <v>646</v>
      </c>
      <c r="AA187" s="89" t="s">
        <v>646</v>
      </c>
      <c r="AB187" s="89" t="s">
        <v>646</v>
      </c>
      <c r="AC187" s="89" t="s">
        <v>646</v>
      </c>
      <c r="AD187" s="89" t="s">
        <v>646</v>
      </c>
      <c r="AE187" s="89" t="s">
        <v>646</v>
      </c>
      <c r="AF187" s="89" t="s">
        <v>19130</v>
      </c>
      <c r="AG187" s="89" t="s">
        <v>646</v>
      </c>
      <c r="AH187" s="89" t="s">
        <v>646</v>
      </c>
      <c r="AI187" s="89" t="s">
        <v>646</v>
      </c>
      <c r="AJ187" s="89" t="s">
        <v>646</v>
      </c>
      <c r="AK187" s="89" t="s">
        <v>19131</v>
      </c>
      <c r="AL187" s="89" t="s">
        <v>19132</v>
      </c>
      <c r="AM187" s="89" t="s">
        <v>646</v>
      </c>
      <c r="AN187" s="89" t="s">
        <v>646</v>
      </c>
      <c r="AO187" s="89" t="s">
        <v>646</v>
      </c>
      <c r="AP187" s="89" t="s">
        <v>646</v>
      </c>
      <c r="AQ187" s="89" t="s">
        <v>646</v>
      </c>
      <c r="AR187" s="89" t="s">
        <v>646</v>
      </c>
      <c r="AS187" s="89" t="s">
        <v>646</v>
      </c>
      <c r="AT187" s="89" t="s">
        <v>646</v>
      </c>
      <c r="AU187" s="89" t="s">
        <v>646</v>
      </c>
      <c r="AV187" s="89" t="s">
        <v>646</v>
      </c>
      <c r="AW187" s="89" t="s">
        <v>646</v>
      </c>
      <c r="AX187" s="89" t="s">
        <v>646</v>
      </c>
      <c r="AY187" s="89" t="s">
        <v>19133</v>
      </c>
      <c r="AZ187" s="89" t="s">
        <v>19134</v>
      </c>
      <c r="BA187" s="89" t="s">
        <v>646</v>
      </c>
      <c r="BB187" s="89" t="s">
        <v>646</v>
      </c>
      <c r="BC187" s="89" t="s">
        <v>646</v>
      </c>
      <c r="BD187" s="89" t="s">
        <v>17739</v>
      </c>
      <c r="BE187" s="89">
        <v>2020</v>
      </c>
      <c r="BF187" s="89">
        <v>227</v>
      </c>
      <c r="BG187" s="89" t="s">
        <v>646</v>
      </c>
      <c r="BH187" s="89" t="s">
        <v>646</v>
      </c>
      <c r="BI187" s="89" t="s">
        <v>646</v>
      </c>
      <c r="BJ187" s="89" t="s">
        <v>646</v>
      </c>
      <c r="BK187" s="89" t="s">
        <v>646</v>
      </c>
      <c r="BL187" s="89" t="s">
        <v>646</v>
      </c>
      <c r="BM187" s="89" t="s">
        <v>646</v>
      </c>
      <c r="BN187" s="89">
        <v>107575</v>
      </c>
      <c r="BO187" s="89" t="str">
        <f>HYPERLINK("http://dx.doi.org/10.1016/j.ijpe.2019.107575","http://dx.doi.org/10.1016/j.ijpe.2019.107575")</f>
        <v>http://dx.doi.org/10.1016/j.ijpe.2019.107575</v>
      </c>
      <c r="BP187" s="89" t="s">
        <v>646</v>
      </c>
      <c r="BQ187" s="89" t="s">
        <v>646</v>
      </c>
      <c r="BR187" s="89" t="s">
        <v>646</v>
      </c>
      <c r="BS187" s="89" t="s">
        <v>646</v>
      </c>
      <c r="BT187" s="89" t="s">
        <v>646</v>
      </c>
      <c r="BU187" s="89" t="s">
        <v>646</v>
      </c>
      <c r="BV187" s="89" t="s">
        <v>646</v>
      </c>
      <c r="BW187" s="89" t="s">
        <v>646</v>
      </c>
      <c r="BX187" s="89" t="s">
        <v>646</v>
      </c>
      <c r="BY187" s="89" t="s">
        <v>646</v>
      </c>
      <c r="BZ187" s="89" t="s">
        <v>646</v>
      </c>
      <c r="CA187" s="89" t="s">
        <v>646</v>
      </c>
      <c r="CB187" s="89" t="s">
        <v>19135</v>
      </c>
      <c r="CC187" s="89" t="str">
        <f>HYPERLINK("https%3A%2F%2Fwww.webofscience.com%2Fwos%2Fwoscc%2Ffull-record%2FWOS:000540840400001","View Full Record in Web of Science")</f>
        <v>View Full Record in Web of Science</v>
      </c>
    </row>
    <row r="188" spans="1:81" ht="13.2" hidden="1" x14ac:dyDescent="0.25">
      <c r="A188" s="89" t="s">
        <v>8949</v>
      </c>
      <c r="B188" s="89" t="e">
        <f>+#REF!</f>
        <v>#REF!</v>
      </c>
      <c r="C188" s="89"/>
      <c r="D188" s="91" t="s">
        <v>717</v>
      </c>
      <c r="E188" s="90" t="e">
        <v>#REF!</v>
      </c>
      <c r="F188" s="89"/>
      <c r="G188" s="89"/>
      <c r="H188" s="89" t="s">
        <v>8950</v>
      </c>
      <c r="I188" s="89" t="s">
        <v>19136</v>
      </c>
      <c r="J188" s="89" t="s">
        <v>646</v>
      </c>
      <c r="K188" s="89" t="s">
        <v>19138</v>
      </c>
      <c r="M188" s="89">
        <v>2021</v>
      </c>
      <c r="N188" s="89" t="s">
        <v>19137</v>
      </c>
      <c r="O188" s="89" t="s">
        <v>646</v>
      </c>
      <c r="P188" s="89" t="str">
        <f>HYPERLINK("http://dx.doi.org/10.1177/0886260518782983","http://dx.doi.org/10.1177/0886260518782983")</f>
        <v>http://dx.doi.org/10.1177/0886260518782983</v>
      </c>
      <c r="S188" s="89" t="s">
        <v>646</v>
      </c>
      <c r="U188" s="89" t="s">
        <v>17462</v>
      </c>
      <c r="W188" s="89" t="s">
        <v>646</v>
      </c>
      <c r="X188" s="89" t="s">
        <v>646</v>
      </c>
      <c r="Y188" s="89" t="s">
        <v>646</v>
      </c>
      <c r="Z188" s="89" t="s">
        <v>646</v>
      </c>
      <c r="AA188" s="89" t="s">
        <v>646</v>
      </c>
      <c r="AB188" s="89" t="s">
        <v>646</v>
      </c>
      <c r="AC188" s="89" t="s">
        <v>646</v>
      </c>
      <c r="AD188" s="89" t="s">
        <v>646</v>
      </c>
      <c r="AE188" s="89" t="s">
        <v>646</v>
      </c>
      <c r="AF188" s="89" t="s">
        <v>19138</v>
      </c>
      <c r="AG188" s="89" t="s">
        <v>646</v>
      </c>
      <c r="AH188" s="89" t="s">
        <v>646</v>
      </c>
      <c r="AI188" s="89" t="s">
        <v>646</v>
      </c>
      <c r="AJ188" s="89" t="s">
        <v>646</v>
      </c>
      <c r="AK188" s="89" t="s">
        <v>646</v>
      </c>
      <c r="AL188" s="89" t="s">
        <v>19139</v>
      </c>
      <c r="AM188" s="89" t="s">
        <v>646</v>
      </c>
      <c r="AN188" s="89" t="s">
        <v>646</v>
      </c>
      <c r="AO188" s="89" t="s">
        <v>646</v>
      </c>
      <c r="AP188" s="89" t="s">
        <v>646</v>
      </c>
      <c r="AQ188" s="89" t="s">
        <v>646</v>
      </c>
      <c r="AR188" s="89" t="s">
        <v>646</v>
      </c>
      <c r="AS188" s="89" t="s">
        <v>646</v>
      </c>
      <c r="AT188" s="89" t="s">
        <v>646</v>
      </c>
      <c r="AU188" s="89" t="s">
        <v>646</v>
      </c>
      <c r="AV188" s="89" t="s">
        <v>646</v>
      </c>
      <c r="AW188" s="89" t="s">
        <v>646</v>
      </c>
      <c r="AX188" s="89" t="s">
        <v>646</v>
      </c>
      <c r="AY188" s="89" t="s">
        <v>19140</v>
      </c>
      <c r="AZ188" s="89" t="s">
        <v>19141</v>
      </c>
      <c r="BA188" s="89" t="s">
        <v>646</v>
      </c>
      <c r="BB188" s="89" t="s">
        <v>646</v>
      </c>
      <c r="BC188" s="89" t="s">
        <v>646</v>
      </c>
      <c r="BD188" s="89" t="s">
        <v>17823</v>
      </c>
      <c r="BE188" s="89">
        <v>2021</v>
      </c>
      <c r="BF188" s="89">
        <v>36</v>
      </c>
      <c r="BG188" s="89" t="s">
        <v>19142</v>
      </c>
      <c r="BH188" s="89" t="s">
        <v>646</v>
      </c>
      <c r="BI188" s="89" t="s">
        <v>646</v>
      </c>
      <c r="BJ188" s="89" t="s">
        <v>646</v>
      </c>
      <c r="BK188" s="89" t="s">
        <v>646</v>
      </c>
      <c r="BL188" s="89" t="s">
        <v>19143</v>
      </c>
      <c r="BM188" s="89" t="s">
        <v>19144</v>
      </c>
      <c r="BN188" s="89" t="s">
        <v>646</v>
      </c>
      <c r="BO188" s="89" t="str">
        <f>HYPERLINK("http://dx.doi.org/10.1177/0886260518782983","http://dx.doi.org/10.1177/0886260518782983")</f>
        <v>http://dx.doi.org/10.1177/0886260518782983</v>
      </c>
      <c r="BP188" s="89" t="s">
        <v>646</v>
      </c>
      <c r="BQ188" s="89" t="s">
        <v>646</v>
      </c>
      <c r="BR188" s="89" t="s">
        <v>646</v>
      </c>
      <c r="BS188" s="89" t="s">
        <v>646</v>
      </c>
      <c r="BT188" s="89" t="s">
        <v>646</v>
      </c>
      <c r="BU188" s="89" t="s">
        <v>646</v>
      </c>
      <c r="BV188" s="89" t="s">
        <v>646</v>
      </c>
      <c r="BW188" s="89">
        <v>29911456</v>
      </c>
      <c r="BX188" s="89" t="s">
        <v>646</v>
      </c>
      <c r="BY188" s="89" t="s">
        <v>646</v>
      </c>
      <c r="BZ188" s="89" t="s">
        <v>646</v>
      </c>
      <c r="CA188" s="89" t="s">
        <v>646</v>
      </c>
      <c r="CB188" s="89" t="s">
        <v>19145</v>
      </c>
      <c r="CC188" s="89" t="str">
        <f>HYPERLINK("https%3A%2F%2Fwww.webofscience.com%2Fwos%2Fwoscc%2Ffull-record%2FWOS:000630100900058","View Full Record in Web of Science")</f>
        <v>View Full Record in Web of Science</v>
      </c>
    </row>
    <row r="189" spans="1:81" ht="13.2" hidden="1" x14ac:dyDescent="0.25">
      <c r="A189" s="89" t="s">
        <v>19146</v>
      </c>
      <c r="B189" s="89" t="e">
        <f>+#REF!</f>
        <v>#REF!</v>
      </c>
      <c r="C189" s="89"/>
      <c r="D189" s="91" t="s">
        <v>717</v>
      </c>
      <c r="E189" s="90" t="e">
        <v>#REF!</v>
      </c>
      <c r="F189" s="89"/>
      <c r="G189" s="89"/>
      <c r="H189" s="89" t="s">
        <v>11131</v>
      </c>
      <c r="I189" s="89" t="s">
        <v>19147</v>
      </c>
      <c r="J189" s="89" t="s">
        <v>19150</v>
      </c>
      <c r="K189" s="89" t="s">
        <v>19149</v>
      </c>
      <c r="M189" s="89">
        <v>2015</v>
      </c>
      <c r="N189" s="89" t="s">
        <v>19148</v>
      </c>
      <c r="O189" s="89" t="s">
        <v>646</v>
      </c>
      <c r="P189" s="89" t="str">
        <f>HYPERLINK("http://dx.doi.org/10.1109/TCYB.2014.2344674","http://dx.doi.org/10.1109/TCYB.2014.2344674")</f>
        <v>http://dx.doi.org/10.1109/TCYB.2014.2344674</v>
      </c>
      <c r="S189" s="89" t="s">
        <v>646</v>
      </c>
      <c r="U189" s="89" t="s">
        <v>17462</v>
      </c>
      <c r="W189" s="89" t="s">
        <v>646</v>
      </c>
      <c r="X189" s="89" t="s">
        <v>646</v>
      </c>
      <c r="Y189" s="89" t="s">
        <v>646</v>
      </c>
      <c r="Z189" s="89" t="s">
        <v>646</v>
      </c>
      <c r="AA189" s="89" t="s">
        <v>646</v>
      </c>
      <c r="AB189" s="89" t="s">
        <v>646</v>
      </c>
      <c r="AC189" s="89" t="s">
        <v>646</v>
      </c>
      <c r="AD189" s="89" t="s">
        <v>646</v>
      </c>
      <c r="AE189" s="89" t="s">
        <v>646</v>
      </c>
      <c r="AF189" s="89" t="s">
        <v>19149</v>
      </c>
      <c r="AG189" s="89" t="s">
        <v>646</v>
      </c>
      <c r="AH189" s="89" t="s">
        <v>646</v>
      </c>
      <c r="AI189" s="89" t="s">
        <v>646</v>
      </c>
      <c r="AJ189" s="89" t="s">
        <v>646</v>
      </c>
      <c r="AK189" s="89" t="s">
        <v>19150</v>
      </c>
      <c r="AL189" s="89" t="s">
        <v>19151</v>
      </c>
      <c r="AM189" s="89" t="s">
        <v>646</v>
      </c>
      <c r="AN189" s="89" t="s">
        <v>646</v>
      </c>
      <c r="AO189" s="89" t="s">
        <v>646</v>
      </c>
      <c r="AP189" s="89" t="s">
        <v>646</v>
      </c>
      <c r="AQ189" s="89" t="s">
        <v>646</v>
      </c>
      <c r="AR189" s="89" t="s">
        <v>646</v>
      </c>
      <c r="AS189" s="89" t="s">
        <v>646</v>
      </c>
      <c r="AT189" s="89" t="s">
        <v>646</v>
      </c>
      <c r="AU189" s="89" t="s">
        <v>646</v>
      </c>
      <c r="AV189" s="89" t="s">
        <v>646</v>
      </c>
      <c r="AW189" s="89" t="s">
        <v>646</v>
      </c>
      <c r="AX189" s="89" t="s">
        <v>646</v>
      </c>
      <c r="AY189" s="89" t="s">
        <v>19152</v>
      </c>
      <c r="AZ189" s="89" t="s">
        <v>19153</v>
      </c>
      <c r="BA189" s="89" t="s">
        <v>646</v>
      </c>
      <c r="BB189" s="89" t="s">
        <v>646</v>
      </c>
      <c r="BC189" s="89" t="s">
        <v>646</v>
      </c>
      <c r="BD189" s="89" t="s">
        <v>18436</v>
      </c>
      <c r="BE189" s="89">
        <v>2015</v>
      </c>
      <c r="BF189" s="89">
        <v>45</v>
      </c>
      <c r="BG189" s="89">
        <v>5</v>
      </c>
      <c r="BH189" s="89" t="s">
        <v>646</v>
      </c>
      <c r="BI189" s="89" t="s">
        <v>646</v>
      </c>
      <c r="BJ189" s="89" t="s">
        <v>646</v>
      </c>
      <c r="BK189" s="89" t="s">
        <v>646</v>
      </c>
      <c r="BL189" s="89">
        <v>1081</v>
      </c>
      <c r="BM189" s="89">
        <v>1093</v>
      </c>
      <c r="BN189" s="89" t="s">
        <v>646</v>
      </c>
      <c r="BO189" s="89" t="str">
        <f>HYPERLINK("http://dx.doi.org/10.1109/TCYB.2014.2344674","http://dx.doi.org/10.1109/TCYB.2014.2344674")</f>
        <v>http://dx.doi.org/10.1109/TCYB.2014.2344674</v>
      </c>
      <c r="BP189" s="89" t="s">
        <v>646</v>
      </c>
      <c r="BQ189" s="89" t="s">
        <v>646</v>
      </c>
      <c r="BR189" s="89" t="s">
        <v>646</v>
      </c>
      <c r="BS189" s="89" t="s">
        <v>646</v>
      </c>
      <c r="BT189" s="89" t="s">
        <v>646</v>
      </c>
      <c r="BU189" s="89" t="s">
        <v>646</v>
      </c>
      <c r="BV189" s="89" t="s">
        <v>646</v>
      </c>
      <c r="BW189" s="89">
        <v>25137738</v>
      </c>
      <c r="BX189" s="89" t="s">
        <v>646</v>
      </c>
      <c r="BY189" s="89" t="s">
        <v>646</v>
      </c>
      <c r="BZ189" s="89" t="s">
        <v>646</v>
      </c>
      <c r="CA189" s="89" t="s">
        <v>646</v>
      </c>
      <c r="CB189" s="89" t="s">
        <v>19154</v>
      </c>
      <c r="CC189" s="89" t="str">
        <f>HYPERLINK("https%3A%2F%2Fwww.webofscience.com%2Fwos%2Fwoscc%2Ffull-record%2FWOS:000353152700018","View Full Record in Web of Science")</f>
        <v>View Full Record in Web of Science</v>
      </c>
    </row>
    <row r="190" spans="1:81" ht="13.2" hidden="1" x14ac:dyDescent="0.25">
      <c r="A190" s="89" t="s">
        <v>19155</v>
      </c>
      <c r="B190" s="89" t="e">
        <f>+#REF!</f>
        <v>#REF!</v>
      </c>
      <c r="C190" s="89"/>
      <c r="D190" s="91" t="s">
        <v>717</v>
      </c>
      <c r="E190" s="90" t="e">
        <v>#REF!</v>
      </c>
      <c r="F190" s="89"/>
      <c r="G190" s="89"/>
      <c r="H190" s="89" t="s">
        <v>11141</v>
      </c>
      <c r="I190" s="89" t="s">
        <v>18909</v>
      </c>
      <c r="J190" s="89" t="s">
        <v>646</v>
      </c>
      <c r="K190" s="89" t="s">
        <v>19161</v>
      </c>
      <c r="M190" s="89">
        <v>2013</v>
      </c>
      <c r="N190" s="89" t="s">
        <v>19156</v>
      </c>
      <c r="O190" s="89" t="s">
        <v>646</v>
      </c>
      <c r="P190" s="89" t="str">
        <f>HYPERLINK("http://dx.doi.org/10.1109/ICCV.2013.373","http://dx.doi.org/10.1109/ICCV.2013.373")</f>
        <v>http://dx.doi.org/10.1109/ICCV.2013.373</v>
      </c>
      <c r="S190" s="89" t="s">
        <v>17475</v>
      </c>
      <c r="U190" s="89" t="s">
        <v>17474</v>
      </c>
      <c r="W190" s="89" t="s">
        <v>646</v>
      </c>
      <c r="X190" s="89" t="s">
        <v>646</v>
      </c>
      <c r="Y190" s="89" t="s">
        <v>19157</v>
      </c>
      <c r="Z190" s="89" t="s">
        <v>19158</v>
      </c>
      <c r="AA190" s="89" t="s">
        <v>19159</v>
      </c>
      <c r="AB190" s="89" t="s">
        <v>19160</v>
      </c>
      <c r="AC190" s="89" t="s">
        <v>646</v>
      </c>
      <c r="AD190" s="89" t="s">
        <v>646</v>
      </c>
      <c r="AE190" s="89" t="s">
        <v>646</v>
      </c>
      <c r="AF190" s="89" t="s">
        <v>19161</v>
      </c>
      <c r="AG190" s="89" t="s">
        <v>646</v>
      </c>
      <c r="AH190" s="89" t="s">
        <v>646</v>
      </c>
      <c r="AI190" s="89" t="s">
        <v>646</v>
      </c>
      <c r="AJ190" s="89" t="s">
        <v>646</v>
      </c>
      <c r="AK190" s="89" t="s">
        <v>646</v>
      </c>
      <c r="AL190" s="89" t="s">
        <v>646</v>
      </c>
      <c r="AM190" s="89" t="s">
        <v>646</v>
      </c>
      <c r="AN190" s="89" t="s">
        <v>646</v>
      </c>
      <c r="AO190" s="89" t="s">
        <v>646</v>
      </c>
      <c r="AP190" s="89" t="s">
        <v>646</v>
      </c>
      <c r="AQ190" s="89" t="s">
        <v>646</v>
      </c>
      <c r="AR190" s="89" t="s">
        <v>646</v>
      </c>
      <c r="AS190" s="89" t="s">
        <v>646</v>
      </c>
      <c r="AT190" s="89" t="s">
        <v>646</v>
      </c>
      <c r="AU190" s="89" t="s">
        <v>646</v>
      </c>
      <c r="AV190" s="89" t="s">
        <v>646</v>
      </c>
      <c r="AW190" s="89" t="s">
        <v>646</v>
      </c>
      <c r="AX190" s="89" t="s">
        <v>646</v>
      </c>
      <c r="AY190" s="89" t="s">
        <v>19162</v>
      </c>
      <c r="AZ190" s="89" t="s">
        <v>646</v>
      </c>
      <c r="BA190" s="89" t="s">
        <v>19163</v>
      </c>
      <c r="BB190" s="89" t="s">
        <v>646</v>
      </c>
      <c r="BC190" s="89" t="s">
        <v>646</v>
      </c>
      <c r="BD190" s="89" t="s">
        <v>646</v>
      </c>
      <c r="BE190" s="89">
        <v>2013</v>
      </c>
      <c r="BF190" s="89" t="s">
        <v>646</v>
      </c>
      <c r="BG190" s="89" t="s">
        <v>646</v>
      </c>
      <c r="BH190" s="89" t="s">
        <v>646</v>
      </c>
      <c r="BI190" s="89" t="s">
        <v>646</v>
      </c>
      <c r="BJ190" s="89" t="s">
        <v>646</v>
      </c>
      <c r="BK190" s="89" t="s">
        <v>646</v>
      </c>
      <c r="BL190" s="89">
        <v>3000</v>
      </c>
      <c r="BM190" s="89">
        <v>3007</v>
      </c>
      <c r="BN190" s="89" t="s">
        <v>646</v>
      </c>
      <c r="BO190" s="89" t="str">
        <f>HYPERLINK("http://dx.doi.org/10.1109/ICCV.2013.373","http://dx.doi.org/10.1109/ICCV.2013.373")</f>
        <v>http://dx.doi.org/10.1109/ICCV.2013.373</v>
      </c>
      <c r="BP190" s="89" t="s">
        <v>646</v>
      </c>
      <c r="BQ190" s="89" t="s">
        <v>646</v>
      </c>
      <c r="BR190" s="89" t="s">
        <v>646</v>
      </c>
      <c r="BS190" s="89" t="s">
        <v>646</v>
      </c>
      <c r="BT190" s="89" t="s">
        <v>646</v>
      </c>
      <c r="BU190" s="89" t="s">
        <v>646</v>
      </c>
      <c r="BV190" s="89" t="s">
        <v>646</v>
      </c>
      <c r="BW190" s="89" t="s">
        <v>646</v>
      </c>
      <c r="BX190" s="89" t="s">
        <v>646</v>
      </c>
      <c r="BY190" s="89" t="s">
        <v>646</v>
      </c>
      <c r="BZ190" s="89" t="s">
        <v>646</v>
      </c>
      <c r="CA190" s="89" t="s">
        <v>646</v>
      </c>
      <c r="CB190" s="89" t="s">
        <v>19164</v>
      </c>
      <c r="CC190" s="89" t="str">
        <f>HYPERLINK("https%3A%2F%2Fwww.webofscience.com%2Fwos%2Fwoscc%2Ffull-record%2FWOS:000351830500375","View Full Record in Web of Science")</f>
        <v>View Full Record in Web of Science</v>
      </c>
    </row>
    <row r="191" spans="1:81" ht="13.2" hidden="1" x14ac:dyDescent="0.25">
      <c r="A191" s="89" t="s">
        <v>19165</v>
      </c>
      <c r="B191" s="89" t="e">
        <f>+#REF!</f>
        <v>#REF!</v>
      </c>
      <c r="C191" s="89"/>
      <c r="D191" s="91" t="s">
        <v>717</v>
      </c>
      <c r="E191" s="90" t="e">
        <v>#REF!</v>
      </c>
      <c r="F191" s="89"/>
      <c r="G191" s="89"/>
      <c r="H191" s="89" t="s">
        <v>646</v>
      </c>
      <c r="I191" s="89" t="s">
        <v>19166</v>
      </c>
      <c r="J191" s="89" t="s">
        <v>646</v>
      </c>
      <c r="K191" s="89" t="s">
        <v>19172</v>
      </c>
      <c r="M191" s="89">
        <v>2018</v>
      </c>
      <c r="N191" s="89" t="s">
        <v>19167</v>
      </c>
      <c r="O191" s="89" t="s">
        <v>646</v>
      </c>
      <c r="P191" s="89" t="s">
        <v>646</v>
      </c>
      <c r="S191" s="89" t="s">
        <v>17475</v>
      </c>
      <c r="U191" s="89" t="s">
        <v>17474</v>
      </c>
      <c r="W191" s="89" t="s">
        <v>646</v>
      </c>
      <c r="X191" s="89" t="s">
        <v>646</v>
      </c>
      <c r="Y191" s="89" t="s">
        <v>19168</v>
      </c>
      <c r="Z191" s="89" t="s">
        <v>19169</v>
      </c>
      <c r="AA191" s="89" t="s">
        <v>19170</v>
      </c>
      <c r="AB191" s="89" t="s">
        <v>17475</v>
      </c>
      <c r="AC191" s="89" t="s">
        <v>19171</v>
      </c>
      <c r="AD191" s="89" t="s">
        <v>646</v>
      </c>
      <c r="AE191" s="89" t="s">
        <v>646</v>
      </c>
      <c r="AF191" s="89" t="s">
        <v>19172</v>
      </c>
      <c r="AG191" s="89" t="s">
        <v>646</v>
      </c>
      <c r="AH191" s="89" t="s">
        <v>646</v>
      </c>
      <c r="AI191" s="89" t="s">
        <v>646</v>
      </c>
      <c r="AJ191" s="89" t="s">
        <v>646</v>
      </c>
      <c r="AK191" s="89" t="s">
        <v>646</v>
      </c>
      <c r="AL191" s="89" t="s">
        <v>646</v>
      </c>
      <c r="AM191" s="89" t="s">
        <v>646</v>
      </c>
      <c r="AN191" s="89" t="s">
        <v>646</v>
      </c>
      <c r="AO191" s="89" t="s">
        <v>646</v>
      </c>
      <c r="AP191" s="89" t="s">
        <v>646</v>
      </c>
      <c r="AQ191" s="89" t="s">
        <v>646</v>
      </c>
      <c r="AR191" s="89" t="s">
        <v>646</v>
      </c>
      <c r="AS191" s="89" t="s">
        <v>646</v>
      </c>
      <c r="AT191" s="89" t="s">
        <v>646</v>
      </c>
      <c r="AU191" s="89" t="s">
        <v>646</v>
      </c>
      <c r="AV191" s="89" t="s">
        <v>646</v>
      </c>
      <c r="AW191" s="89" t="s">
        <v>646</v>
      </c>
      <c r="AX191" s="89" t="s">
        <v>646</v>
      </c>
      <c r="AY191" s="89" t="s">
        <v>646</v>
      </c>
      <c r="AZ191" s="89" t="s">
        <v>646</v>
      </c>
      <c r="BA191" s="89" t="s">
        <v>19173</v>
      </c>
      <c r="BB191" s="89" t="s">
        <v>646</v>
      </c>
      <c r="BC191" s="89" t="s">
        <v>646</v>
      </c>
      <c r="BD191" s="89" t="s">
        <v>646</v>
      </c>
      <c r="BE191" s="89">
        <v>2018</v>
      </c>
      <c r="BF191" s="89" t="s">
        <v>646</v>
      </c>
      <c r="BG191" s="89" t="s">
        <v>646</v>
      </c>
      <c r="BH191" s="89" t="s">
        <v>646</v>
      </c>
      <c r="BI191" s="89" t="s">
        <v>646</v>
      </c>
      <c r="BJ191" s="89" t="s">
        <v>646</v>
      </c>
      <c r="BK191" s="89" t="s">
        <v>646</v>
      </c>
      <c r="BL191" s="89">
        <v>62</v>
      </c>
      <c r="BM191" s="89">
        <v>67</v>
      </c>
      <c r="BN191" s="89" t="s">
        <v>646</v>
      </c>
      <c r="BO191" s="89" t="s">
        <v>646</v>
      </c>
      <c r="BP191" s="89" t="s">
        <v>646</v>
      </c>
      <c r="BQ191" s="89" t="s">
        <v>646</v>
      </c>
      <c r="BR191" s="89" t="s">
        <v>646</v>
      </c>
      <c r="BS191" s="89" t="s">
        <v>646</v>
      </c>
      <c r="BT191" s="89" t="s">
        <v>646</v>
      </c>
      <c r="BU191" s="89" t="s">
        <v>646</v>
      </c>
      <c r="BV191" s="89" t="s">
        <v>646</v>
      </c>
      <c r="BW191" s="89" t="s">
        <v>646</v>
      </c>
      <c r="BX191" s="89" t="s">
        <v>646</v>
      </c>
      <c r="BY191" s="89" t="s">
        <v>646</v>
      </c>
      <c r="BZ191" s="89" t="s">
        <v>646</v>
      </c>
      <c r="CA191" s="89" t="s">
        <v>646</v>
      </c>
      <c r="CB191" s="89" t="s">
        <v>19174</v>
      </c>
      <c r="CC191" s="89" t="str">
        <f>HYPERLINK("https%3A%2F%2Fwww.webofscience.com%2Fwos%2Fwoscc%2Ffull-record%2FWOS:000454758300012","View Full Record in Web of Science")</f>
        <v>View Full Record in Web of Science</v>
      </c>
    </row>
    <row r="192" spans="1:81" ht="13.2" hidden="1" x14ac:dyDescent="0.25">
      <c r="A192" s="89" t="s">
        <v>16394</v>
      </c>
      <c r="B192" s="89" t="e">
        <f>+#REF!</f>
        <v>#REF!</v>
      </c>
      <c r="C192" s="89"/>
      <c r="D192" s="91" t="s">
        <v>717</v>
      </c>
      <c r="E192" s="90" t="e">
        <v>#REF!</v>
      </c>
      <c r="F192" s="89"/>
      <c r="G192" s="89"/>
      <c r="H192" s="89" t="s">
        <v>16395</v>
      </c>
      <c r="I192" s="89" t="s">
        <v>19175</v>
      </c>
      <c r="J192" s="89" t="s">
        <v>646</v>
      </c>
      <c r="K192" s="89" t="s">
        <v>19177</v>
      </c>
      <c r="M192" s="89">
        <v>2021</v>
      </c>
      <c r="N192" s="89" t="s">
        <v>19176</v>
      </c>
      <c r="O192" s="89" t="s">
        <v>646</v>
      </c>
      <c r="P192" s="89" t="str">
        <f>HYPERLINK("http://dx.doi.org/10.1002/pmh.1498","http://dx.doi.org/10.1002/pmh.1498")</f>
        <v>http://dx.doi.org/10.1002/pmh.1498</v>
      </c>
      <c r="S192" s="89" t="s">
        <v>646</v>
      </c>
      <c r="U192" s="89" t="s">
        <v>17462</v>
      </c>
      <c r="W192" s="89" t="s">
        <v>646</v>
      </c>
      <c r="X192" s="89" t="s">
        <v>646</v>
      </c>
      <c r="Y192" s="89" t="s">
        <v>646</v>
      </c>
      <c r="Z192" s="89" t="s">
        <v>646</v>
      </c>
      <c r="AA192" s="89" t="s">
        <v>646</v>
      </c>
      <c r="AB192" s="89" t="s">
        <v>646</v>
      </c>
      <c r="AC192" s="89" t="s">
        <v>646</v>
      </c>
      <c r="AD192" s="89" t="s">
        <v>646</v>
      </c>
      <c r="AE192" s="89" t="s">
        <v>646</v>
      </c>
      <c r="AF192" s="89" t="s">
        <v>19177</v>
      </c>
      <c r="AG192" s="89" t="s">
        <v>646</v>
      </c>
      <c r="AH192" s="89" t="s">
        <v>646</v>
      </c>
      <c r="AI192" s="89" t="s">
        <v>646</v>
      </c>
      <c r="AJ192" s="89" t="s">
        <v>646</v>
      </c>
      <c r="AK192" s="89" t="s">
        <v>646</v>
      </c>
      <c r="AL192" s="89" t="s">
        <v>646</v>
      </c>
      <c r="AM192" s="89" t="s">
        <v>646</v>
      </c>
      <c r="AN192" s="89" t="s">
        <v>646</v>
      </c>
      <c r="AO192" s="89" t="s">
        <v>646</v>
      </c>
      <c r="AP192" s="89" t="s">
        <v>646</v>
      </c>
      <c r="AQ192" s="89" t="s">
        <v>646</v>
      </c>
      <c r="AR192" s="89" t="s">
        <v>646</v>
      </c>
      <c r="AS192" s="89" t="s">
        <v>646</v>
      </c>
      <c r="AT192" s="89" t="s">
        <v>646</v>
      </c>
      <c r="AU192" s="89" t="s">
        <v>646</v>
      </c>
      <c r="AV192" s="89" t="s">
        <v>646</v>
      </c>
      <c r="AW192" s="89" t="s">
        <v>646</v>
      </c>
      <c r="AX192" s="89" t="s">
        <v>646</v>
      </c>
      <c r="AY192" s="89" t="s">
        <v>19178</v>
      </c>
      <c r="AZ192" s="89" t="s">
        <v>19179</v>
      </c>
      <c r="BA192" s="89" t="s">
        <v>646</v>
      </c>
      <c r="BB192" s="89" t="s">
        <v>646</v>
      </c>
      <c r="BC192" s="89" t="s">
        <v>646</v>
      </c>
      <c r="BD192" s="89" t="s">
        <v>18436</v>
      </c>
      <c r="BE192" s="89">
        <v>2021</v>
      </c>
      <c r="BF192" s="89">
        <v>15</v>
      </c>
      <c r="BG192" s="89">
        <v>2</v>
      </c>
      <c r="BH192" s="89" t="s">
        <v>646</v>
      </c>
      <c r="BI192" s="89" t="s">
        <v>646</v>
      </c>
      <c r="BJ192" s="89" t="s">
        <v>646</v>
      </c>
      <c r="BK192" s="89" t="s">
        <v>646</v>
      </c>
      <c r="BL192" s="89">
        <v>113</v>
      </c>
      <c r="BM192" s="89">
        <v>123</v>
      </c>
      <c r="BN192" s="89" t="s">
        <v>646</v>
      </c>
      <c r="BO192" s="89" t="str">
        <f>HYPERLINK("http://dx.doi.org/10.1002/pmh.1498","http://dx.doi.org/10.1002/pmh.1498")</f>
        <v>http://dx.doi.org/10.1002/pmh.1498</v>
      </c>
      <c r="BP192" s="89" t="s">
        <v>646</v>
      </c>
      <c r="BQ192" s="89" t="s">
        <v>19180</v>
      </c>
      <c r="BR192" s="89" t="s">
        <v>646</v>
      </c>
      <c r="BS192" s="89" t="s">
        <v>646</v>
      </c>
      <c r="BT192" s="89" t="s">
        <v>646</v>
      </c>
      <c r="BU192" s="89" t="s">
        <v>646</v>
      </c>
      <c r="BV192" s="89" t="s">
        <v>646</v>
      </c>
      <c r="BW192" s="89">
        <v>33225627</v>
      </c>
      <c r="BX192" s="89" t="s">
        <v>646</v>
      </c>
      <c r="BY192" s="89" t="s">
        <v>646</v>
      </c>
      <c r="BZ192" s="89" t="s">
        <v>646</v>
      </c>
      <c r="CA192" s="89" t="s">
        <v>646</v>
      </c>
      <c r="CB192" s="89" t="s">
        <v>19181</v>
      </c>
      <c r="CC192" s="89" t="str">
        <f>HYPERLINK("https%3A%2F%2Fwww.webofscience.com%2Fwos%2Fwoscc%2Ffull-record%2FWOS:000591247500001","View Full Record in Web of Science")</f>
        <v>View Full Record in Web of Science</v>
      </c>
    </row>
    <row r="193" spans="1:81" ht="13.2" hidden="1" x14ac:dyDescent="0.25">
      <c r="A193" s="89" t="s">
        <v>19182</v>
      </c>
      <c r="B193" s="89" t="e">
        <f>+#REF!</f>
        <v>#REF!</v>
      </c>
      <c r="C193" s="89"/>
      <c r="D193" s="91" t="s">
        <v>717</v>
      </c>
      <c r="E193" s="90" t="e">
        <v>#REF!</v>
      </c>
      <c r="F193" s="89"/>
      <c r="G193" s="89"/>
      <c r="H193" s="89" t="s">
        <v>11157</v>
      </c>
      <c r="I193" s="89" t="s">
        <v>19183</v>
      </c>
      <c r="J193" s="89" t="s">
        <v>646</v>
      </c>
      <c r="K193" s="89" t="s">
        <v>19185</v>
      </c>
      <c r="M193" s="89">
        <v>2018</v>
      </c>
      <c r="N193" s="89" t="s">
        <v>19184</v>
      </c>
      <c r="O193" s="89" t="s">
        <v>646</v>
      </c>
      <c r="P193" s="89" t="str">
        <f>HYPERLINK("http://dx.doi.org/10.1287/mnsc.2017.2902","http://dx.doi.org/10.1287/mnsc.2017.2902")</f>
        <v>http://dx.doi.org/10.1287/mnsc.2017.2902</v>
      </c>
      <c r="S193" s="89" t="s">
        <v>646</v>
      </c>
      <c r="U193" s="89" t="s">
        <v>17462</v>
      </c>
      <c r="W193" s="89" t="s">
        <v>646</v>
      </c>
      <c r="X193" s="89" t="s">
        <v>646</v>
      </c>
      <c r="Y193" s="89" t="s">
        <v>646</v>
      </c>
      <c r="Z193" s="89" t="s">
        <v>646</v>
      </c>
      <c r="AA193" s="89" t="s">
        <v>646</v>
      </c>
      <c r="AB193" s="89" t="s">
        <v>646</v>
      </c>
      <c r="AC193" s="89" t="s">
        <v>646</v>
      </c>
      <c r="AD193" s="89" t="s">
        <v>646</v>
      </c>
      <c r="AE193" s="89" t="s">
        <v>646</v>
      </c>
      <c r="AF193" s="89" t="s">
        <v>19185</v>
      </c>
      <c r="AG193" s="89" t="s">
        <v>646</v>
      </c>
      <c r="AH193" s="89" t="s">
        <v>646</v>
      </c>
      <c r="AI193" s="89" t="s">
        <v>646</v>
      </c>
      <c r="AJ193" s="89" t="s">
        <v>646</v>
      </c>
      <c r="AK193" s="89" t="s">
        <v>646</v>
      </c>
      <c r="AL193" s="89" t="s">
        <v>19186</v>
      </c>
      <c r="AM193" s="89" t="s">
        <v>646</v>
      </c>
      <c r="AN193" s="89" t="s">
        <v>646</v>
      </c>
      <c r="AO193" s="89" t="s">
        <v>646</v>
      </c>
      <c r="AP193" s="89" t="s">
        <v>646</v>
      </c>
      <c r="AQ193" s="89" t="s">
        <v>646</v>
      </c>
      <c r="AR193" s="89" t="s">
        <v>646</v>
      </c>
      <c r="AS193" s="89" t="s">
        <v>646</v>
      </c>
      <c r="AT193" s="89" t="s">
        <v>646</v>
      </c>
      <c r="AU193" s="89" t="s">
        <v>646</v>
      </c>
      <c r="AV193" s="89" t="s">
        <v>646</v>
      </c>
      <c r="AW193" s="89" t="s">
        <v>646</v>
      </c>
      <c r="AX193" s="89" t="s">
        <v>646</v>
      </c>
      <c r="AY193" s="89" t="s">
        <v>19187</v>
      </c>
      <c r="AZ193" s="89" t="s">
        <v>19188</v>
      </c>
      <c r="BA193" s="89" t="s">
        <v>646</v>
      </c>
      <c r="BB193" s="89" t="s">
        <v>646</v>
      </c>
      <c r="BC193" s="89" t="s">
        <v>646</v>
      </c>
      <c r="BD193" s="89" t="s">
        <v>18292</v>
      </c>
      <c r="BE193" s="89">
        <v>2018</v>
      </c>
      <c r="BF193" s="89">
        <v>64</v>
      </c>
      <c r="BG193" s="89">
        <v>11</v>
      </c>
      <c r="BH193" s="89" t="s">
        <v>646</v>
      </c>
      <c r="BI193" s="89" t="s">
        <v>646</v>
      </c>
      <c r="BJ193" s="89" t="s">
        <v>646</v>
      </c>
      <c r="BK193" s="89" t="s">
        <v>646</v>
      </c>
      <c r="BL193" s="89">
        <v>5105</v>
      </c>
      <c r="BM193" s="89">
        <v>5131</v>
      </c>
      <c r="BN193" s="89" t="s">
        <v>646</v>
      </c>
      <c r="BO193" s="89" t="str">
        <f>HYPERLINK("http://dx.doi.org/10.1287/mnsc.2017.2902","http://dx.doi.org/10.1287/mnsc.2017.2902")</f>
        <v>http://dx.doi.org/10.1287/mnsc.2017.2902</v>
      </c>
      <c r="BP193" s="89" t="s">
        <v>646</v>
      </c>
      <c r="BQ193" s="89" t="s">
        <v>646</v>
      </c>
      <c r="BR193" s="89" t="s">
        <v>646</v>
      </c>
      <c r="BS193" s="89" t="s">
        <v>646</v>
      </c>
      <c r="BT193" s="89" t="s">
        <v>646</v>
      </c>
      <c r="BU193" s="89" t="s">
        <v>646</v>
      </c>
      <c r="BV193" s="89" t="s">
        <v>646</v>
      </c>
      <c r="BW193" s="89" t="s">
        <v>646</v>
      </c>
      <c r="BX193" s="89" t="s">
        <v>646</v>
      </c>
      <c r="BY193" s="89" t="s">
        <v>646</v>
      </c>
      <c r="BZ193" s="89" t="s">
        <v>646</v>
      </c>
      <c r="CA193" s="89" t="s">
        <v>646</v>
      </c>
      <c r="CB193" s="89" t="s">
        <v>19189</v>
      </c>
      <c r="CC193" s="89" t="str">
        <f>HYPERLINK("https%3A%2F%2Fwww.webofscience.com%2Fwos%2Fwoscc%2Ffull-record%2FWOS:000449627200008","View Full Record in Web of Science")</f>
        <v>View Full Record in Web of Science</v>
      </c>
    </row>
    <row r="194" spans="1:81" ht="13.2" hidden="1" x14ac:dyDescent="0.25">
      <c r="A194" s="89" t="s">
        <v>11164</v>
      </c>
      <c r="B194" s="89" t="e">
        <f>+#REF!</f>
        <v>#REF!</v>
      </c>
      <c r="C194" s="89"/>
      <c r="D194" s="91" t="s">
        <v>717</v>
      </c>
      <c r="E194" s="90" t="e">
        <v>#REF!</v>
      </c>
      <c r="F194" s="89"/>
      <c r="G194" s="89"/>
      <c r="H194" s="89" t="s">
        <v>11165</v>
      </c>
      <c r="I194" s="89" t="s">
        <v>19190</v>
      </c>
      <c r="J194" s="89" t="s">
        <v>646</v>
      </c>
      <c r="K194" s="89" t="s">
        <v>19192</v>
      </c>
      <c r="M194" s="89">
        <v>2020</v>
      </c>
      <c r="N194" s="89" t="s">
        <v>19191</v>
      </c>
      <c r="O194" s="89" t="s">
        <v>646</v>
      </c>
      <c r="P194" s="89" t="str">
        <f>HYPERLINK("http://dx.doi.org/10.1177/0261927X20911991","http://dx.doi.org/10.1177/0261927X20911991")</f>
        <v>http://dx.doi.org/10.1177/0261927X20911991</v>
      </c>
      <c r="S194" s="89" t="s">
        <v>646</v>
      </c>
      <c r="U194" s="89" t="s">
        <v>17462</v>
      </c>
      <c r="W194" s="89" t="s">
        <v>646</v>
      </c>
      <c r="X194" s="89" t="s">
        <v>646</v>
      </c>
      <c r="Y194" s="89" t="s">
        <v>646</v>
      </c>
      <c r="Z194" s="89" t="s">
        <v>646</v>
      </c>
      <c r="AA194" s="89" t="s">
        <v>646</v>
      </c>
      <c r="AB194" s="89" t="s">
        <v>646</v>
      </c>
      <c r="AC194" s="89" t="s">
        <v>646</v>
      </c>
      <c r="AD194" s="89" t="s">
        <v>646</v>
      </c>
      <c r="AE194" s="89" t="s">
        <v>646</v>
      </c>
      <c r="AF194" s="89" t="s">
        <v>19192</v>
      </c>
      <c r="AG194" s="89" t="s">
        <v>646</v>
      </c>
      <c r="AH194" s="89" t="s">
        <v>646</v>
      </c>
      <c r="AI194" s="89" t="s">
        <v>646</v>
      </c>
      <c r="AJ194" s="89" t="s">
        <v>646</v>
      </c>
      <c r="AK194" s="89" t="s">
        <v>646</v>
      </c>
      <c r="AL194" s="89" t="s">
        <v>19193</v>
      </c>
      <c r="AM194" s="89" t="s">
        <v>646</v>
      </c>
      <c r="AN194" s="89" t="s">
        <v>646</v>
      </c>
      <c r="AO194" s="89" t="s">
        <v>646</v>
      </c>
      <c r="AP194" s="89" t="s">
        <v>646</v>
      </c>
      <c r="AQ194" s="89" t="s">
        <v>646</v>
      </c>
      <c r="AR194" s="89" t="s">
        <v>646</v>
      </c>
      <c r="AS194" s="89" t="s">
        <v>646</v>
      </c>
      <c r="AT194" s="89" t="s">
        <v>646</v>
      </c>
      <c r="AU194" s="89" t="s">
        <v>646</v>
      </c>
      <c r="AV194" s="89" t="s">
        <v>646</v>
      </c>
      <c r="AW194" s="89" t="s">
        <v>646</v>
      </c>
      <c r="AX194" s="89" t="s">
        <v>646</v>
      </c>
      <c r="AY194" s="89" t="s">
        <v>19194</v>
      </c>
      <c r="AZ194" s="89" t="s">
        <v>19195</v>
      </c>
      <c r="BA194" s="89" t="s">
        <v>646</v>
      </c>
      <c r="BB194" s="89" t="s">
        <v>646</v>
      </c>
      <c r="BC194" s="89" t="s">
        <v>646</v>
      </c>
      <c r="BD194" s="89" t="s">
        <v>17772</v>
      </c>
      <c r="BE194" s="89">
        <v>2020</v>
      </c>
      <c r="BF194" s="89">
        <v>39</v>
      </c>
      <c r="BG194" s="89">
        <v>3</v>
      </c>
      <c r="BH194" s="89" t="s">
        <v>646</v>
      </c>
      <c r="BI194" s="89" t="s">
        <v>646</v>
      </c>
      <c r="BJ194" s="89" t="s">
        <v>17555</v>
      </c>
      <c r="BK194" s="89" t="s">
        <v>646</v>
      </c>
      <c r="BL194" s="89">
        <v>334</v>
      </c>
      <c r="BM194" s="89">
        <v>348</v>
      </c>
      <c r="BN194" s="89" t="s">
        <v>646</v>
      </c>
      <c r="BO194" s="89" t="str">
        <f>HYPERLINK("http://dx.doi.org/10.1177/0261927X20911991","http://dx.doi.org/10.1177/0261927X20911991")</f>
        <v>http://dx.doi.org/10.1177/0261927X20911991</v>
      </c>
      <c r="BP194" s="89" t="s">
        <v>646</v>
      </c>
      <c r="BQ194" s="89" t="s">
        <v>646</v>
      </c>
      <c r="BR194" s="89" t="s">
        <v>646</v>
      </c>
      <c r="BS194" s="89" t="s">
        <v>646</v>
      </c>
      <c r="BT194" s="89" t="s">
        <v>646</v>
      </c>
      <c r="BU194" s="89" t="s">
        <v>646</v>
      </c>
      <c r="BV194" s="89" t="s">
        <v>646</v>
      </c>
      <c r="BW194" s="89" t="s">
        <v>646</v>
      </c>
      <c r="BX194" s="89" t="s">
        <v>646</v>
      </c>
      <c r="BY194" s="89" t="s">
        <v>646</v>
      </c>
      <c r="BZ194" s="89" t="s">
        <v>646</v>
      </c>
      <c r="CA194" s="89" t="s">
        <v>646</v>
      </c>
      <c r="CB194" s="89" t="s">
        <v>19196</v>
      </c>
      <c r="CC194" s="89" t="str">
        <f>HYPERLINK("https%3A%2F%2Fwww.webofscience.com%2Fwos%2Fwoscc%2Ffull-record%2FWOS:000532764600004","View Full Record in Web of Science")</f>
        <v>View Full Record in Web of Science</v>
      </c>
    </row>
    <row r="195" spans="1:81" ht="13.2" hidden="1" x14ac:dyDescent="0.25">
      <c r="A195" s="89" t="s">
        <v>11174</v>
      </c>
      <c r="B195" s="89" t="e">
        <f>+#REF!</f>
        <v>#REF!</v>
      </c>
      <c r="C195" s="89"/>
      <c r="D195" s="91" t="s">
        <v>717</v>
      </c>
      <c r="E195" s="90" t="e">
        <v>#REF!</v>
      </c>
      <c r="F195" s="89"/>
      <c r="G195" s="89"/>
      <c r="H195" s="89" t="s">
        <v>11175</v>
      </c>
      <c r="I195" s="89" t="s">
        <v>19197</v>
      </c>
      <c r="J195" s="89" t="s">
        <v>19200</v>
      </c>
      <c r="K195" s="89" t="s">
        <v>19199</v>
      </c>
      <c r="M195" s="89">
        <v>2017</v>
      </c>
      <c r="N195" s="89" t="s">
        <v>19198</v>
      </c>
      <c r="O195" s="89" t="s">
        <v>646</v>
      </c>
      <c r="P195" s="89" t="str">
        <f>HYPERLINK("http://dx.doi.org/10.1089/cyber.2017.0011","http://dx.doi.org/10.1089/cyber.2017.0011")</f>
        <v>http://dx.doi.org/10.1089/cyber.2017.0011</v>
      </c>
      <c r="S195" s="89" t="s">
        <v>646</v>
      </c>
      <c r="U195" s="89" t="s">
        <v>17462</v>
      </c>
      <c r="W195" s="89" t="s">
        <v>646</v>
      </c>
      <c r="X195" s="89" t="s">
        <v>646</v>
      </c>
      <c r="Y195" s="89" t="s">
        <v>646</v>
      </c>
      <c r="Z195" s="89" t="s">
        <v>646</v>
      </c>
      <c r="AA195" s="89" t="s">
        <v>646</v>
      </c>
      <c r="AB195" s="89" t="s">
        <v>646</v>
      </c>
      <c r="AC195" s="89" t="s">
        <v>646</v>
      </c>
      <c r="AD195" s="89" t="s">
        <v>646</v>
      </c>
      <c r="AE195" s="89" t="s">
        <v>646</v>
      </c>
      <c r="AF195" s="89" t="s">
        <v>19199</v>
      </c>
      <c r="AG195" s="89" t="s">
        <v>646</v>
      </c>
      <c r="AH195" s="89" t="s">
        <v>646</v>
      </c>
      <c r="AI195" s="89" t="s">
        <v>646</v>
      </c>
      <c r="AJ195" s="89" t="s">
        <v>646</v>
      </c>
      <c r="AK195" s="89" t="s">
        <v>19200</v>
      </c>
      <c r="AL195" s="89" t="s">
        <v>19201</v>
      </c>
      <c r="AM195" s="89" t="s">
        <v>646</v>
      </c>
      <c r="AN195" s="89" t="s">
        <v>646</v>
      </c>
      <c r="AO195" s="89" t="s">
        <v>646</v>
      </c>
      <c r="AP195" s="89" t="s">
        <v>646</v>
      </c>
      <c r="AQ195" s="89" t="s">
        <v>646</v>
      </c>
      <c r="AR195" s="89" t="s">
        <v>646</v>
      </c>
      <c r="AS195" s="89" t="s">
        <v>646</v>
      </c>
      <c r="AT195" s="89" t="s">
        <v>646</v>
      </c>
      <c r="AU195" s="89" t="s">
        <v>646</v>
      </c>
      <c r="AV195" s="89" t="s">
        <v>646</v>
      </c>
      <c r="AW195" s="89" t="s">
        <v>646</v>
      </c>
      <c r="AX195" s="89" t="s">
        <v>646</v>
      </c>
      <c r="AY195" s="89" t="s">
        <v>19202</v>
      </c>
      <c r="AZ195" s="89" t="s">
        <v>19203</v>
      </c>
      <c r="BA195" s="89" t="s">
        <v>646</v>
      </c>
      <c r="BB195" s="89" t="s">
        <v>646</v>
      </c>
      <c r="BC195" s="89" t="s">
        <v>646</v>
      </c>
      <c r="BD195" s="89" t="s">
        <v>17772</v>
      </c>
      <c r="BE195" s="89">
        <v>2017</v>
      </c>
      <c r="BF195" s="89">
        <v>20</v>
      </c>
      <c r="BG195" s="89">
        <v>6</v>
      </c>
      <c r="BH195" s="89" t="s">
        <v>646</v>
      </c>
      <c r="BI195" s="89" t="s">
        <v>646</v>
      </c>
      <c r="BJ195" s="89" t="s">
        <v>646</v>
      </c>
      <c r="BK195" s="89" t="s">
        <v>646</v>
      </c>
      <c r="BL195" s="89">
        <v>397</v>
      </c>
      <c r="BM195" s="89">
        <v>401</v>
      </c>
      <c r="BN195" s="89" t="s">
        <v>646</v>
      </c>
      <c r="BO195" s="89" t="str">
        <f>HYPERLINK("http://dx.doi.org/10.1089/cyber.2017.0011","http://dx.doi.org/10.1089/cyber.2017.0011")</f>
        <v>http://dx.doi.org/10.1089/cyber.2017.0011</v>
      </c>
      <c r="BP195" s="89" t="s">
        <v>646</v>
      </c>
      <c r="BQ195" s="89" t="s">
        <v>646</v>
      </c>
      <c r="BR195" s="89" t="s">
        <v>646</v>
      </c>
      <c r="BS195" s="89" t="s">
        <v>646</v>
      </c>
      <c r="BT195" s="89" t="s">
        <v>646</v>
      </c>
      <c r="BU195" s="89" t="s">
        <v>646</v>
      </c>
      <c r="BV195" s="89" t="s">
        <v>646</v>
      </c>
      <c r="BW195" s="89">
        <v>28622030</v>
      </c>
      <c r="BX195" s="89" t="s">
        <v>646</v>
      </c>
      <c r="BY195" s="89" t="s">
        <v>646</v>
      </c>
      <c r="BZ195" s="89" t="s">
        <v>646</v>
      </c>
      <c r="CA195" s="89" t="s">
        <v>646</v>
      </c>
      <c r="CB195" s="89" t="s">
        <v>19204</v>
      </c>
      <c r="CC195" s="89" t="str">
        <f>HYPERLINK("https%3A%2F%2Fwww.webofscience.com%2Fwos%2Fwoscc%2Ffull-record%2FWOS:000403557800009","View Full Record in Web of Science")</f>
        <v>View Full Record in Web of Science</v>
      </c>
    </row>
    <row r="196" spans="1:81" ht="13.2" hidden="1" x14ac:dyDescent="0.25">
      <c r="A196" s="89" t="s">
        <v>19205</v>
      </c>
      <c r="B196" s="89" t="e">
        <f>+#REF!</f>
        <v>#REF!</v>
      </c>
      <c r="C196" s="89"/>
      <c r="D196" s="91" t="s">
        <v>717</v>
      </c>
      <c r="E196" s="90" t="e">
        <v>#REF!</v>
      </c>
      <c r="F196" s="89"/>
      <c r="G196" s="89"/>
      <c r="H196" s="89" t="s">
        <v>1544</v>
      </c>
      <c r="I196" s="89" t="s">
        <v>19207</v>
      </c>
      <c r="J196" s="89" t="s">
        <v>646</v>
      </c>
      <c r="K196" s="89" t="s">
        <v>19212</v>
      </c>
      <c r="M196" s="89">
        <v>2016</v>
      </c>
      <c r="N196" s="89" t="s">
        <v>19208</v>
      </c>
      <c r="O196" s="89" t="s">
        <v>646</v>
      </c>
      <c r="P196" s="89" t="str">
        <f>HYPERLINK("http://dx.doi.org/10.1145/2962695.2962705","http://dx.doi.org/10.1145/2962695.2962705")</f>
        <v>http://dx.doi.org/10.1145/2962695.2962705</v>
      </c>
      <c r="S196" s="89" t="s">
        <v>19206</v>
      </c>
      <c r="U196" s="89" t="s">
        <v>17474</v>
      </c>
      <c r="W196" s="89" t="s">
        <v>646</v>
      </c>
      <c r="X196" s="89" t="s">
        <v>646</v>
      </c>
      <c r="Y196" s="89" t="s">
        <v>19209</v>
      </c>
      <c r="Z196" s="89" t="s">
        <v>19210</v>
      </c>
      <c r="AA196" s="89" t="s">
        <v>19211</v>
      </c>
      <c r="AB196" s="89" t="s">
        <v>646</v>
      </c>
      <c r="AC196" s="89" t="s">
        <v>646</v>
      </c>
      <c r="AD196" s="89" t="s">
        <v>646</v>
      </c>
      <c r="AE196" s="89" t="s">
        <v>646</v>
      </c>
      <c r="AF196" s="89" t="s">
        <v>19212</v>
      </c>
      <c r="AG196" s="89" t="s">
        <v>646</v>
      </c>
      <c r="AH196" s="89" t="s">
        <v>646</v>
      </c>
      <c r="AI196" s="89" t="s">
        <v>646</v>
      </c>
      <c r="AJ196" s="89" t="s">
        <v>646</v>
      </c>
      <c r="AK196" s="89" t="s">
        <v>646</v>
      </c>
      <c r="AL196" s="89" t="s">
        <v>19213</v>
      </c>
      <c r="AM196" s="89" t="s">
        <v>646</v>
      </c>
      <c r="AN196" s="89" t="s">
        <v>646</v>
      </c>
      <c r="AO196" s="89" t="s">
        <v>646</v>
      </c>
      <c r="AP196" s="89" t="s">
        <v>646</v>
      </c>
      <c r="AQ196" s="89" t="s">
        <v>646</v>
      </c>
      <c r="AR196" s="89" t="s">
        <v>646</v>
      </c>
      <c r="AS196" s="89" t="s">
        <v>646</v>
      </c>
      <c r="AT196" s="89" t="s">
        <v>646</v>
      </c>
      <c r="AU196" s="89" t="s">
        <v>646</v>
      </c>
      <c r="AV196" s="89" t="s">
        <v>646</v>
      </c>
      <c r="AW196" s="89" t="s">
        <v>646</v>
      </c>
      <c r="AX196" s="89" t="s">
        <v>646</v>
      </c>
      <c r="AY196" s="89" t="s">
        <v>646</v>
      </c>
      <c r="AZ196" s="89" t="s">
        <v>646</v>
      </c>
      <c r="BA196" s="89" t="s">
        <v>19214</v>
      </c>
      <c r="BB196" s="89" t="s">
        <v>646</v>
      </c>
      <c r="BC196" s="89" t="s">
        <v>646</v>
      </c>
      <c r="BD196" s="89" t="s">
        <v>646</v>
      </c>
      <c r="BE196" s="89">
        <v>2016</v>
      </c>
      <c r="BF196" s="89" t="s">
        <v>646</v>
      </c>
      <c r="BG196" s="89" t="s">
        <v>646</v>
      </c>
      <c r="BH196" s="89" t="s">
        <v>646</v>
      </c>
      <c r="BI196" s="89" t="s">
        <v>646</v>
      </c>
      <c r="BJ196" s="89" t="s">
        <v>646</v>
      </c>
      <c r="BK196" s="89" t="s">
        <v>646</v>
      </c>
      <c r="BL196" s="89" t="s">
        <v>646</v>
      </c>
      <c r="BM196" s="89" t="s">
        <v>646</v>
      </c>
      <c r="BN196" s="89" t="s">
        <v>646</v>
      </c>
      <c r="BO196" s="89" t="str">
        <f>HYPERLINK("http://dx.doi.org/10.1145/2962695.2962705","http://dx.doi.org/10.1145/2962695.2962705")</f>
        <v>http://dx.doi.org/10.1145/2962695.2962705</v>
      </c>
      <c r="BP196" s="89" t="s">
        <v>646</v>
      </c>
      <c r="BQ196" s="89" t="s">
        <v>646</v>
      </c>
      <c r="BR196" s="89" t="s">
        <v>646</v>
      </c>
      <c r="BS196" s="89" t="s">
        <v>646</v>
      </c>
      <c r="BT196" s="89" t="s">
        <v>646</v>
      </c>
      <c r="BU196" s="89" t="s">
        <v>646</v>
      </c>
      <c r="BV196" s="89" t="s">
        <v>646</v>
      </c>
      <c r="BW196" s="89" t="s">
        <v>646</v>
      </c>
      <c r="BX196" s="89" t="s">
        <v>646</v>
      </c>
      <c r="BY196" s="89" t="s">
        <v>646</v>
      </c>
      <c r="BZ196" s="89" t="s">
        <v>646</v>
      </c>
      <c r="CA196" s="89" t="s">
        <v>646</v>
      </c>
      <c r="CB196" s="89" t="s">
        <v>19215</v>
      </c>
      <c r="CC196" s="89" t="str">
        <f>HYPERLINK("https%3A%2F%2Fwww.webofscience.com%2Fwos%2Fwoscc%2Ffull-record%2FWOS:000577054200010","View Full Record in Web of Science")</f>
        <v>View Full Record in Web of Science</v>
      </c>
    </row>
    <row r="197" spans="1:81" ht="13.2" hidden="1" x14ac:dyDescent="0.25">
      <c r="A197" s="89" t="s">
        <v>19216</v>
      </c>
      <c r="B197" s="89" t="e">
        <f>+#REF!</f>
        <v>#REF!</v>
      </c>
      <c r="C197" s="89"/>
      <c r="D197" s="91" t="s">
        <v>717</v>
      </c>
      <c r="E197" s="90" t="e">
        <v>#REF!</v>
      </c>
      <c r="F197" s="89"/>
      <c r="G197" s="89"/>
      <c r="H197" s="89" t="s">
        <v>11185</v>
      </c>
      <c r="I197" s="89" t="s">
        <v>19217</v>
      </c>
      <c r="J197" s="89" t="s">
        <v>19220</v>
      </c>
      <c r="K197" s="89" t="s">
        <v>19219</v>
      </c>
      <c r="M197" s="89">
        <v>2019</v>
      </c>
      <c r="N197" s="89" t="s">
        <v>19218</v>
      </c>
      <c r="O197" s="89" t="s">
        <v>646</v>
      </c>
      <c r="P197" s="89" t="str">
        <f>HYPERLINK("http://dx.doi.org/10.3390/su11010074","http://dx.doi.org/10.3390/su11010074")</f>
        <v>http://dx.doi.org/10.3390/su11010074</v>
      </c>
      <c r="S197" s="89" t="s">
        <v>646</v>
      </c>
      <c r="U197" s="89" t="s">
        <v>17462</v>
      </c>
      <c r="W197" s="89" t="s">
        <v>646</v>
      </c>
      <c r="X197" s="89" t="s">
        <v>646</v>
      </c>
      <c r="Y197" s="89" t="s">
        <v>646</v>
      </c>
      <c r="Z197" s="89" t="s">
        <v>646</v>
      </c>
      <c r="AA197" s="89" t="s">
        <v>646</v>
      </c>
      <c r="AB197" s="89" t="s">
        <v>646</v>
      </c>
      <c r="AC197" s="89" t="s">
        <v>646</v>
      </c>
      <c r="AD197" s="89" t="s">
        <v>646</v>
      </c>
      <c r="AE197" s="89" t="s">
        <v>646</v>
      </c>
      <c r="AF197" s="89" t="s">
        <v>19219</v>
      </c>
      <c r="AG197" s="89" t="s">
        <v>646</v>
      </c>
      <c r="AH197" s="89" t="s">
        <v>646</v>
      </c>
      <c r="AI197" s="89" t="s">
        <v>646</v>
      </c>
      <c r="AJ197" s="89" t="s">
        <v>646</v>
      </c>
      <c r="AK197" s="89" t="s">
        <v>19220</v>
      </c>
      <c r="AL197" s="89" t="s">
        <v>19221</v>
      </c>
      <c r="AM197" s="89" t="s">
        <v>646</v>
      </c>
      <c r="AN197" s="89" t="s">
        <v>646</v>
      </c>
      <c r="AO197" s="89" t="s">
        <v>646</v>
      </c>
      <c r="AP197" s="89" t="s">
        <v>646</v>
      </c>
      <c r="AQ197" s="89" t="s">
        <v>646</v>
      </c>
      <c r="AR197" s="89" t="s">
        <v>646</v>
      </c>
      <c r="AS197" s="89" t="s">
        <v>646</v>
      </c>
      <c r="AT197" s="89" t="s">
        <v>646</v>
      </c>
      <c r="AU197" s="89" t="s">
        <v>646</v>
      </c>
      <c r="AV197" s="89" t="s">
        <v>646</v>
      </c>
      <c r="AW197" s="89" t="s">
        <v>646</v>
      </c>
      <c r="AX197" s="89" t="s">
        <v>646</v>
      </c>
      <c r="AY197" s="89" t="s">
        <v>646</v>
      </c>
      <c r="AZ197" s="89" t="s">
        <v>19222</v>
      </c>
      <c r="BA197" s="89" t="s">
        <v>646</v>
      </c>
      <c r="BB197" s="89" t="s">
        <v>646</v>
      </c>
      <c r="BC197" s="89" t="s">
        <v>646</v>
      </c>
      <c r="BD197" s="89" t="s">
        <v>19223</v>
      </c>
      <c r="BE197" s="89">
        <v>2019</v>
      </c>
      <c r="BF197" s="89">
        <v>11</v>
      </c>
      <c r="BG197" s="89">
        <v>1</v>
      </c>
      <c r="BH197" s="89" t="s">
        <v>646</v>
      </c>
      <c r="BI197" s="89" t="s">
        <v>646</v>
      </c>
      <c r="BJ197" s="89" t="s">
        <v>646</v>
      </c>
      <c r="BK197" s="89" t="s">
        <v>646</v>
      </c>
      <c r="BL197" s="89" t="s">
        <v>646</v>
      </c>
      <c r="BM197" s="89" t="s">
        <v>646</v>
      </c>
      <c r="BN197" s="89">
        <v>74</v>
      </c>
      <c r="BO197" s="89" t="str">
        <f>HYPERLINK("http://dx.doi.org/10.3390/su11010074","http://dx.doi.org/10.3390/su11010074")</f>
        <v>http://dx.doi.org/10.3390/su11010074</v>
      </c>
      <c r="BP197" s="89" t="s">
        <v>646</v>
      </c>
      <c r="BQ197" s="89" t="s">
        <v>646</v>
      </c>
      <c r="BR197" s="89" t="s">
        <v>646</v>
      </c>
      <c r="BS197" s="89" t="s">
        <v>646</v>
      </c>
      <c r="BT197" s="89" t="s">
        <v>646</v>
      </c>
      <c r="BU197" s="89" t="s">
        <v>646</v>
      </c>
      <c r="BV197" s="89" t="s">
        <v>646</v>
      </c>
      <c r="BW197" s="89" t="s">
        <v>646</v>
      </c>
      <c r="BX197" s="89" t="s">
        <v>646</v>
      </c>
      <c r="BY197" s="89" t="s">
        <v>646</v>
      </c>
      <c r="BZ197" s="89" t="s">
        <v>646</v>
      </c>
      <c r="CA197" s="89" t="s">
        <v>646</v>
      </c>
      <c r="CB197" s="89" t="s">
        <v>19224</v>
      </c>
      <c r="CC197" s="89" t="str">
        <f>HYPERLINK("https%3A%2F%2Fwww.webofscience.com%2Fwos%2Fwoscc%2Ffull-record%2FWOS:000457127300074","View Full Record in Web of Science")</f>
        <v>View Full Record in Web of Science</v>
      </c>
    </row>
    <row r="198" spans="1:81" ht="13.2" hidden="1" x14ac:dyDescent="0.25">
      <c r="A198" s="89" t="s">
        <v>11193</v>
      </c>
      <c r="B198" s="89" t="e">
        <f>+#REF!</f>
        <v>#REF!</v>
      </c>
      <c r="C198" s="89"/>
      <c r="D198" s="91" t="s">
        <v>717</v>
      </c>
      <c r="E198" s="90" t="e">
        <v>#REF!</v>
      </c>
      <c r="F198" s="89"/>
      <c r="G198" s="89"/>
      <c r="H198" s="89" t="s">
        <v>11194</v>
      </c>
      <c r="I198" s="89" t="s">
        <v>19225</v>
      </c>
      <c r="J198" s="89" t="s">
        <v>19228</v>
      </c>
      <c r="K198" s="89" t="s">
        <v>19227</v>
      </c>
      <c r="M198" s="89">
        <v>2020</v>
      </c>
      <c r="N198" s="89" t="s">
        <v>19226</v>
      </c>
      <c r="O198" s="89" t="s">
        <v>646</v>
      </c>
      <c r="P198" s="89" t="str">
        <f>HYPERLINK("http://dx.doi.org/10.1108/IJCTHR-06-2019-0113","http://dx.doi.org/10.1108/IJCTHR-06-2019-0113")</f>
        <v>http://dx.doi.org/10.1108/IJCTHR-06-2019-0113</v>
      </c>
      <c r="S198" s="89" t="s">
        <v>646</v>
      </c>
      <c r="U198" s="89" t="s">
        <v>17462</v>
      </c>
      <c r="W198" s="89" t="s">
        <v>646</v>
      </c>
      <c r="X198" s="89" t="s">
        <v>646</v>
      </c>
      <c r="Y198" s="89" t="s">
        <v>646</v>
      </c>
      <c r="Z198" s="89" t="s">
        <v>646</v>
      </c>
      <c r="AA198" s="89" t="s">
        <v>646</v>
      </c>
      <c r="AB198" s="89" t="s">
        <v>646</v>
      </c>
      <c r="AC198" s="89" t="s">
        <v>646</v>
      </c>
      <c r="AD198" s="89" t="s">
        <v>646</v>
      </c>
      <c r="AE198" s="89" t="s">
        <v>646</v>
      </c>
      <c r="AF198" s="89" t="s">
        <v>19227</v>
      </c>
      <c r="AG198" s="89" t="s">
        <v>646</v>
      </c>
      <c r="AH198" s="89" t="s">
        <v>646</v>
      </c>
      <c r="AI198" s="89" t="s">
        <v>646</v>
      </c>
      <c r="AJ198" s="89" t="s">
        <v>646</v>
      </c>
      <c r="AK198" s="89" t="s">
        <v>19228</v>
      </c>
      <c r="AL198" s="89" t="s">
        <v>19229</v>
      </c>
      <c r="AM198" s="89" t="s">
        <v>646</v>
      </c>
      <c r="AN198" s="89" t="s">
        <v>646</v>
      </c>
      <c r="AO198" s="89" t="s">
        <v>646</v>
      </c>
      <c r="AP198" s="89" t="s">
        <v>646</v>
      </c>
      <c r="AQ198" s="89" t="s">
        <v>646</v>
      </c>
      <c r="AR198" s="89" t="s">
        <v>646</v>
      </c>
      <c r="AS198" s="89" t="s">
        <v>646</v>
      </c>
      <c r="AT198" s="89" t="s">
        <v>646</v>
      </c>
      <c r="AU198" s="89" t="s">
        <v>646</v>
      </c>
      <c r="AV198" s="89" t="s">
        <v>646</v>
      </c>
      <c r="AW198" s="89" t="s">
        <v>646</v>
      </c>
      <c r="AX198" s="89" t="s">
        <v>646</v>
      </c>
      <c r="AY198" s="89" t="s">
        <v>19230</v>
      </c>
      <c r="AZ198" s="89" t="s">
        <v>19231</v>
      </c>
      <c r="BA198" s="89" t="s">
        <v>646</v>
      </c>
      <c r="BB198" s="89" t="s">
        <v>646</v>
      </c>
      <c r="BC198" s="89" t="s">
        <v>646</v>
      </c>
      <c r="BD198" s="89" t="s">
        <v>19232</v>
      </c>
      <c r="BE198" s="89">
        <v>2020</v>
      </c>
      <c r="BF198" s="89">
        <v>14</v>
      </c>
      <c r="BG198" s="89">
        <v>1</v>
      </c>
      <c r="BH198" s="89" t="s">
        <v>646</v>
      </c>
      <c r="BI198" s="89" t="s">
        <v>646</v>
      </c>
      <c r="BJ198" s="89" t="s">
        <v>646</v>
      </c>
      <c r="BK198" s="89" t="s">
        <v>646</v>
      </c>
      <c r="BL198" s="89">
        <v>2</v>
      </c>
      <c r="BM198" s="89">
        <v>20</v>
      </c>
      <c r="BN198" s="89" t="s">
        <v>646</v>
      </c>
      <c r="BO198" s="89" t="str">
        <f>HYPERLINK("http://dx.doi.org/10.1108/IJCTHR-06-2019-0113","http://dx.doi.org/10.1108/IJCTHR-06-2019-0113")</f>
        <v>http://dx.doi.org/10.1108/IJCTHR-06-2019-0113</v>
      </c>
      <c r="BP198" s="89" t="s">
        <v>646</v>
      </c>
      <c r="BQ198" s="89" t="s">
        <v>19233</v>
      </c>
      <c r="BR198" s="89" t="s">
        <v>646</v>
      </c>
      <c r="BS198" s="89" t="s">
        <v>646</v>
      </c>
      <c r="BT198" s="89" t="s">
        <v>646</v>
      </c>
      <c r="BU198" s="89" t="s">
        <v>646</v>
      </c>
      <c r="BV198" s="89" t="s">
        <v>646</v>
      </c>
      <c r="BW198" s="89" t="s">
        <v>646</v>
      </c>
      <c r="BX198" s="89" t="s">
        <v>646</v>
      </c>
      <c r="BY198" s="89" t="s">
        <v>646</v>
      </c>
      <c r="BZ198" s="89" t="s">
        <v>646</v>
      </c>
      <c r="CA198" s="89" t="s">
        <v>646</v>
      </c>
      <c r="CB198" s="89" t="s">
        <v>19234</v>
      </c>
      <c r="CC198" s="89" t="str">
        <f>HYPERLINK("https%3A%2F%2Fwww.webofscience.com%2Fwos%2Fwoscc%2Ffull-record%2FWOS:000512192400001","View Full Record in Web of Science")</f>
        <v>View Full Record in Web of Science</v>
      </c>
    </row>
    <row r="199" spans="1:81" ht="13.2" hidden="1" x14ac:dyDescent="0.25">
      <c r="A199" s="89" t="s">
        <v>11203</v>
      </c>
      <c r="B199" s="89" t="e">
        <f>+#REF!</f>
        <v>#REF!</v>
      </c>
      <c r="C199" s="89"/>
      <c r="D199" s="91" t="s">
        <v>717</v>
      </c>
      <c r="E199" s="90" t="e">
        <v>#REF!</v>
      </c>
      <c r="F199" s="89"/>
      <c r="G199" s="89"/>
      <c r="H199" s="89" t="s">
        <v>11204</v>
      </c>
      <c r="I199" s="89" t="s">
        <v>19235</v>
      </c>
      <c r="J199" s="89" t="s">
        <v>646</v>
      </c>
      <c r="K199" s="89" t="s">
        <v>19237</v>
      </c>
      <c r="M199" s="89">
        <v>2005</v>
      </c>
      <c r="N199" s="89" t="s">
        <v>19236</v>
      </c>
      <c r="O199" s="89" t="s">
        <v>646</v>
      </c>
      <c r="P199" s="89" t="str">
        <f>HYPERLINK("http://dx.doi.org/10.1007/s11199-005-2677-2","http://dx.doi.org/10.1007/s11199-005-2677-2")</f>
        <v>http://dx.doi.org/10.1007/s11199-005-2677-2</v>
      </c>
      <c r="S199" s="89" t="s">
        <v>646</v>
      </c>
      <c r="U199" s="89" t="s">
        <v>17462</v>
      </c>
      <c r="W199" s="89" t="s">
        <v>646</v>
      </c>
      <c r="X199" s="89" t="s">
        <v>646</v>
      </c>
      <c r="Y199" s="89" t="s">
        <v>646</v>
      </c>
      <c r="Z199" s="89" t="s">
        <v>646</v>
      </c>
      <c r="AA199" s="89" t="s">
        <v>646</v>
      </c>
      <c r="AB199" s="89" t="s">
        <v>646</v>
      </c>
      <c r="AC199" s="89" t="s">
        <v>646</v>
      </c>
      <c r="AD199" s="89" t="s">
        <v>646</v>
      </c>
      <c r="AE199" s="89" t="s">
        <v>646</v>
      </c>
      <c r="AF199" s="89" t="s">
        <v>19237</v>
      </c>
      <c r="AG199" s="89" t="s">
        <v>646</v>
      </c>
      <c r="AH199" s="89" t="s">
        <v>646</v>
      </c>
      <c r="AI199" s="89" t="s">
        <v>646</v>
      </c>
      <c r="AJ199" s="89" t="s">
        <v>646</v>
      </c>
      <c r="AK199" s="89" t="s">
        <v>646</v>
      </c>
      <c r="AL199" s="89" t="s">
        <v>646</v>
      </c>
      <c r="AM199" s="89" t="s">
        <v>646</v>
      </c>
      <c r="AN199" s="89" t="s">
        <v>646</v>
      </c>
      <c r="AO199" s="89" t="s">
        <v>646</v>
      </c>
      <c r="AP199" s="89" t="s">
        <v>646</v>
      </c>
      <c r="AQ199" s="89" t="s">
        <v>646</v>
      </c>
      <c r="AR199" s="89" t="s">
        <v>646</v>
      </c>
      <c r="AS199" s="89" t="s">
        <v>646</v>
      </c>
      <c r="AT199" s="89" t="s">
        <v>646</v>
      </c>
      <c r="AU199" s="89" t="s">
        <v>646</v>
      </c>
      <c r="AV199" s="89" t="s">
        <v>646</v>
      </c>
      <c r="AW199" s="89" t="s">
        <v>646</v>
      </c>
      <c r="AX199" s="89" t="s">
        <v>646</v>
      </c>
      <c r="AY199" s="89" t="s">
        <v>19238</v>
      </c>
      <c r="AZ199" s="89" t="s">
        <v>19239</v>
      </c>
      <c r="BA199" s="89" t="s">
        <v>646</v>
      </c>
      <c r="BB199" s="89" t="s">
        <v>646</v>
      </c>
      <c r="BC199" s="89" t="s">
        <v>646</v>
      </c>
      <c r="BD199" s="89" t="s">
        <v>17779</v>
      </c>
      <c r="BE199" s="89">
        <v>2005</v>
      </c>
      <c r="BF199" s="89">
        <v>52</v>
      </c>
      <c r="BG199" s="89" t="s">
        <v>19240</v>
      </c>
      <c r="BH199" s="89" t="s">
        <v>646</v>
      </c>
      <c r="BI199" s="89" t="s">
        <v>646</v>
      </c>
      <c r="BJ199" s="89" t="s">
        <v>646</v>
      </c>
      <c r="BK199" s="89" t="s">
        <v>646</v>
      </c>
      <c r="BL199" s="89">
        <v>337</v>
      </c>
      <c r="BM199" s="89">
        <v>349</v>
      </c>
      <c r="BN199" s="89" t="s">
        <v>646</v>
      </c>
      <c r="BO199" s="89" t="str">
        <f>HYPERLINK("http://dx.doi.org/10.1007/s11199-005-2677-2","http://dx.doi.org/10.1007/s11199-005-2677-2")</f>
        <v>http://dx.doi.org/10.1007/s11199-005-2677-2</v>
      </c>
      <c r="BP199" s="89" t="s">
        <v>646</v>
      </c>
      <c r="BQ199" s="89" t="s">
        <v>646</v>
      </c>
      <c r="BR199" s="89" t="s">
        <v>646</v>
      </c>
      <c r="BS199" s="89" t="s">
        <v>646</v>
      </c>
      <c r="BT199" s="89" t="s">
        <v>646</v>
      </c>
      <c r="BU199" s="89" t="s">
        <v>646</v>
      </c>
      <c r="BV199" s="89" t="s">
        <v>646</v>
      </c>
      <c r="BW199" s="89" t="s">
        <v>646</v>
      </c>
      <c r="BX199" s="89" t="s">
        <v>646</v>
      </c>
      <c r="BY199" s="89" t="s">
        <v>646</v>
      </c>
      <c r="BZ199" s="89" t="s">
        <v>646</v>
      </c>
      <c r="CA199" s="89" t="s">
        <v>646</v>
      </c>
      <c r="CB199" s="89" t="s">
        <v>19241</v>
      </c>
      <c r="CC199" s="89" t="str">
        <f>HYPERLINK("https%3A%2F%2Fwww.webofscience.com%2Fwos%2Fwoscc%2Ffull-record%2FWOS:000228533600007","View Full Record in Web of Science")</f>
        <v>View Full Record in Web of Science</v>
      </c>
    </row>
    <row r="200" spans="1:81" ht="13.2" hidden="1" x14ac:dyDescent="0.25">
      <c r="A200" s="89" t="s">
        <v>11212</v>
      </c>
      <c r="B200" s="89" t="e">
        <f>+#REF!</f>
        <v>#REF!</v>
      </c>
      <c r="C200" s="89"/>
      <c r="D200" s="91" t="s">
        <v>717</v>
      </c>
      <c r="E200" s="90" t="e">
        <v>#REF!</v>
      </c>
      <c r="F200" s="89"/>
      <c r="G200" s="89"/>
      <c r="H200" s="89" t="s">
        <v>11213</v>
      </c>
      <c r="I200" s="89" t="s">
        <v>19242</v>
      </c>
      <c r="J200" s="89" t="s">
        <v>646</v>
      </c>
      <c r="K200" s="89" t="s">
        <v>19244</v>
      </c>
      <c r="M200" s="89">
        <v>2020</v>
      </c>
      <c r="N200" s="89" t="s">
        <v>19243</v>
      </c>
      <c r="O200" s="89" t="s">
        <v>646</v>
      </c>
      <c r="P200" s="89" t="str">
        <f>HYPERLINK("http://dx.doi.org/10.1002/jgc4.1191","http://dx.doi.org/10.1002/jgc4.1191")</f>
        <v>http://dx.doi.org/10.1002/jgc4.1191</v>
      </c>
      <c r="S200" s="89" t="s">
        <v>646</v>
      </c>
      <c r="U200" s="89" t="s">
        <v>17462</v>
      </c>
      <c r="W200" s="89" t="s">
        <v>646</v>
      </c>
      <c r="X200" s="89" t="s">
        <v>646</v>
      </c>
      <c r="Y200" s="89" t="s">
        <v>646</v>
      </c>
      <c r="Z200" s="89" t="s">
        <v>646</v>
      </c>
      <c r="AA200" s="89" t="s">
        <v>646</v>
      </c>
      <c r="AB200" s="89" t="s">
        <v>646</v>
      </c>
      <c r="AC200" s="89" t="s">
        <v>646</v>
      </c>
      <c r="AD200" s="89" t="s">
        <v>646</v>
      </c>
      <c r="AE200" s="89" t="s">
        <v>646</v>
      </c>
      <c r="AF200" s="89" t="s">
        <v>19244</v>
      </c>
      <c r="AG200" s="89" t="s">
        <v>646</v>
      </c>
      <c r="AH200" s="89" t="s">
        <v>646</v>
      </c>
      <c r="AI200" s="89" t="s">
        <v>646</v>
      </c>
      <c r="AJ200" s="89" t="s">
        <v>646</v>
      </c>
      <c r="AK200" s="89" t="s">
        <v>646</v>
      </c>
      <c r="AL200" s="89" t="s">
        <v>19245</v>
      </c>
      <c r="AM200" s="89" t="s">
        <v>646</v>
      </c>
      <c r="AN200" s="89" t="s">
        <v>646</v>
      </c>
      <c r="AO200" s="89" t="s">
        <v>646</v>
      </c>
      <c r="AP200" s="89" t="s">
        <v>646</v>
      </c>
      <c r="AQ200" s="89" t="s">
        <v>646</v>
      </c>
      <c r="AR200" s="89" t="s">
        <v>646</v>
      </c>
      <c r="AS200" s="89" t="s">
        <v>646</v>
      </c>
      <c r="AT200" s="89" t="s">
        <v>646</v>
      </c>
      <c r="AU200" s="89" t="s">
        <v>646</v>
      </c>
      <c r="AV200" s="89" t="s">
        <v>646</v>
      </c>
      <c r="AW200" s="89" t="s">
        <v>646</v>
      </c>
      <c r="AX200" s="89" t="s">
        <v>646</v>
      </c>
      <c r="AY200" s="89" t="s">
        <v>19246</v>
      </c>
      <c r="AZ200" s="89" t="s">
        <v>19247</v>
      </c>
      <c r="BA200" s="89" t="s">
        <v>646</v>
      </c>
      <c r="BB200" s="89" t="s">
        <v>646</v>
      </c>
      <c r="BC200" s="89" t="s">
        <v>646</v>
      </c>
      <c r="BD200" s="89" t="s">
        <v>17615</v>
      </c>
      <c r="BE200" s="89">
        <v>2020</v>
      </c>
      <c r="BF200" s="89">
        <v>29</v>
      </c>
      <c r="BG200" s="89">
        <v>6</v>
      </c>
      <c r="BH200" s="89" t="s">
        <v>646</v>
      </c>
      <c r="BI200" s="89" t="s">
        <v>646</v>
      </c>
      <c r="BJ200" s="89" t="s">
        <v>646</v>
      </c>
      <c r="BK200" s="89" t="s">
        <v>646</v>
      </c>
      <c r="BL200" s="89">
        <v>910</v>
      </c>
      <c r="BM200" s="89">
        <v>918</v>
      </c>
      <c r="BN200" s="89" t="s">
        <v>646</v>
      </c>
      <c r="BO200" s="89" t="str">
        <f>HYPERLINK("http://dx.doi.org/10.1002/jgc4.1191","http://dx.doi.org/10.1002/jgc4.1191")</f>
        <v>http://dx.doi.org/10.1002/jgc4.1191</v>
      </c>
      <c r="BP200" s="89" t="s">
        <v>646</v>
      </c>
      <c r="BQ200" s="89" t="s">
        <v>646</v>
      </c>
      <c r="BR200" s="89" t="s">
        <v>646</v>
      </c>
      <c r="BS200" s="89" t="s">
        <v>646</v>
      </c>
      <c r="BT200" s="89" t="s">
        <v>646</v>
      </c>
      <c r="BU200" s="89" t="s">
        <v>646</v>
      </c>
      <c r="BV200" s="89" t="s">
        <v>646</v>
      </c>
      <c r="BW200" s="89">
        <v>31793699</v>
      </c>
      <c r="BX200" s="89" t="s">
        <v>646</v>
      </c>
      <c r="BY200" s="89" t="s">
        <v>646</v>
      </c>
      <c r="BZ200" s="89" t="s">
        <v>646</v>
      </c>
      <c r="CA200" s="89" t="s">
        <v>646</v>
      </c>
      <c r="CB200" s="89" t="s">
        <v>19248</v>
      </c>
      <c r="CC200" s="89" t="str">
        <f>HYPERLINK("https%3A%2F%2Fwww.webofscience.com%2Fwos%2Fwoscc%2Ffull-record%2FWOS:000607610700002","View Full Record in Web of Science")</f>
        <v>View Full Record in Web of Science</v>
      </c>
    </row>
    <row r="201" spans="1:81" ht="13.2" hidden="1" x14ac:dyDescent="0.25">
      <c r="A201" s="89" t="s">
        <v>11222</v>
      </c>
      <c r="B201" s="89" t="e">
        <f>+#REF!</f>
        <v>#REF!</v>
      </c>
      <c r="C201" s="89"/>
      <c r="D201" s="91" t="s">
        <v>717</v>
      </c>
      <c r="E201" s="90" t="e">
        <v>#REF!</v>
      </c>
      <c r="F201" s="89"/>
      <c r="G201" s="89"/>
      <c r="H201" s="89" t="s">
        <v>11223</v>
      </c>
      <c r="I201" s="89" t="s">
        <v>19249</v>
      </c>
      <c r="J201" s="89" t="s">
        <v>646</v>
      </c>
      <c r="K201" s="89" t="s">
        <v>19251</v>
      </c>
      <c r="M201" s="89">
        <v>2017</v>
      </c>
      <c r="N201" s="89" t="s">
        <v>19250</v>
      </c>
      <c r="O201" s="89" t="s">
        <v>646</v>
      </c>
      <c r="P201" s="89" t="str">
        <f>HYPERLINK("http://dx.doi.org/10.1007/s10869-016-9458-5","http://dx.doi.org/10.1007/s10869-016-9458-5")</f>
        <v>http://dx.doi.org/10.1007/s10869-016-9458-5</v>
      </c>
      <c r="S201" s="89" t="s">
        <v>646</v>
      </c>
      <c r="U201" s="89" t="s">
        <v>17462</v>
      </c>
      <c r="W201" s="89" t="s">
        <v>646</v>
      </c>
      <c r="X201" s="89" t="s">
        <v>646</v>
      </c>
      <c r="Y201" s="89" t="s">
        <v>646</v>
      </c>
      <c r="Z201" s="89" t="s">
        <v>646</v>
      </c>
      <c r="AA201" s="89" t="s">
        <v>646</v>
      </c>
      <c r="AB201" s="89" t="s">
        <v>646</v>
      </c>
      <c r="AC201" s="89" t="s">
        <v>646</v>
      </c>
      <c r="AD201" s="89" t="s">
        <v>646</v>
      </c>
      <c r="AE201" s="89" t="s">
        <v>646</v>
      </c>
      <c r="AF201" s="89" t="s">
        <v>19251</v>
      </c>
      <c r="AG201" s="89" t="s">
        <v>646</v>
      </c>
      <c r="AH201" s="89" t="s">
        <v>646</v>
      </c>
      <c r="AI201" s="89" t="s">
        <v>646</v>
      </c>
      <c r="AJ201" s="89" t="s">
        <v>646</v>
      </c>
      <c r="AK201" s="89" t="s">
        <v>646</v>
      </c>
      <c r="AL201" s="89" t="s">
        <v>646</v>
      </c>
      <c r="AM201" s="89" t="s">
        <v>646</v>
      </c>
      <c r="AN201" s="89" t="s">
        <v>646</v>
      </c>
      <c r="AO201" s="89" t="s">
        <v>646</v>
      </c>
      <c r="AP201" s="89" t="s">
        <v>646</v>
      </c>
      <c r="AQ201" s="89" t="s">
        <v>646</v>
      </c>
      <c r="AR201" s="89" t="s">
        <v>646</v>
      </c>
      <c r="AS201" s="89" t="s">
        <v>646</v>
      </c>
      <c r="AT201" s="89" t="s">
        <v>646</v>
      </c>
      <c r="AU201" s="89" t="s">
        <v>646</v>
      </c>
      <c r="AV201" s="89" t="s">
        <v>646</v>
      </c>
      <c r="AW201" s="89" t="s">
        <v>646</v>
      </c>
      <c r="AX201" s="89" t="s">
        <v>646</v>
      </c>
      <c r="AY201" s="89" t="s">
        <v>19252</v>
      </c>
      <c r="AZ201" s="89" t="s">
        <v>19253</v>
      </c>
      <c r="BA201" s="89" t="s">
        <v>646</v>
      </c>
      <c r="BB201" s="89" t="s">
        <v>646</v>
      </c>
      <c r="BC201" s="89" t="s">
        <v>646</v>
      </c>
      <c r="BD201" s="89" t="s">
        <v>18655</v>
      </c>
      <c r="BE201" s="89">
        <v>2017</v>
      </c>
      <c r="BF201" s="89">
        <v>32</v>
      </c>
      <c r="BG201" s="89">
        <v>4</v>
      </c>
      <c r="BH201" s="89" t="s">
        <v>646</v>
      </c>
      <c r="BI201" s="89" t="s">
        <v>646</v>
      </c>
      <c r="BJ201" s="89" t="s">
        <v>646</v>
      </c>
      <c r="BK201" s="89" t="s">
        <v>646</v>
      </c>
      <c r="BL201" s="89">
        <v>347</v>
      </c>
      <c r="BM201" s="89">
        <v>361</v>
      </c>
      <c r="BN201" s="89" t="s">
        <v>646</v>
      </c>
      <c r="BO201" s="89" t="str">
        <f>HYPERLINK("http://dx.doi.org/10.1007/s10869-016-9458-5","http://dx.doi.org/10.1007/s10869-016-9458-5")</f>
        <v>http://dx.doi.org/10.1007/s10869-016-9458-5</v>
      </c>
      <c r="BP201" s="89" t="s">
        <v>646</v>
      </c>
      <c r="BQ201" s="89" t="s">
        <v>646</v>
      </c>
      <c r="BR201" s="89" t="s">
        <v>646</v>
      </c>
      <c r="BS201" s="89" t="s">
        <v>646</v>
      </c>
      <c r="BT201" s="89" t="s">
        <v>646</v>
      </c>
      <c r="BU201" s="89" t="s">
        <v>646</v>
      </c>
      <c r="BV201" s="89" t="s">
        <v>646</v>
      </c>
      <c r="BW201" s="89" t="s">
        <v>646</v>
      </c>
      <c r="BX201" s="89" t="s">
        <v>646</v>
      </c>
      <c r="BY201" s="89" t="s">
        <v>646</v>
      </c>
      <c r="BZ201" s="89" t="s">
        <v>646</v>
      </c>
      <c r="CA201" s="89" t="s">
        <v>646</v>
      </c>
      <c r="CB201" s="89" t="s">
        <v>19254</v>
      </c>
      <c r="CC201" s="89" t="str">
        <f>HYPERLINK("https%3A%2F%2Fwww.webofscience.com%2Fwos%2Fwoscc%2Ffull-record%2FWOS:000404234200001","View Full Record in Web of Science")</f>
        <v>View Full Record in Web of Science</v>
      </c>
    </row>
    <row r="202" spans="1:81" ht="13.2" hidden="1" x14ac:dyDescent="0.25">
      <c r="A202" s="89" t="s">
        <v>11231</v>
      </c>
      <c r="B202" s="89" t="e">
        <f>+#REF!</f>
        <v>#REF!</v>
      </c>
      <c r="C202" s="89"/>
      <c r="D202" s="91" t="s">
        <v>717</v>
      </c>
      <c r="E202" s="90" t="e">
        <v>#REF!</v>
      </c>
      <c r="F202" s="89"/>
      <c r="G202" s="89"/>
      <c r="H202" s="89" t="s">
        <v>11232</v>
      </c>
      <c r="I202" s="89" t="s">
        <v>19255</v>
      </c>
      <c r="J202" s="89" t="s">
        <v>646</v>
      </c>
      <c r="K202" s="89" t="s">
        <v>19257</v>
      </c>
      <c r="M202" s="89">
        <v>2020</v>
      </c>
      <c r="N202" s="89" t="s">
        <v>19256</v>
      </c>
      <c r="O202" s="89" t="s">
        <v>646</v>
      </c>
      <c r="P202" s="89" t="str">
        <f>HYPERLINK("http://dx.doi.org/10.1002/soej.12451","http://dx.doi.org/10.1002/soej.12451")</f>
        <v>http://dx.doi.org/10.1002/soej.12451</v>
      </c>
      <c r="S202" s="89" t="s">
        <v>646</v>
      </c>
      <c r="U202" s="89" t="s">
        <v>17462</v>
      </c>
      <c r="W202" s="89" t="s">
        <v>646</v>
      </c>
      <c r="X202" s="89" t="s">
        <v>646</v>
      </c>
      <c r="Y202" s="89" t="s">
        <v>646</v>
      </c>
      <c r="Z202" s="89" t="s">
        <v>646</v>
      </c>
      <c r="AA202" s="89" t="s">
        <v>646</v>
      </c>
      <c r="AB202" s="89" t="s">
        <v>646</v>
      </c>
      <c r="AC202" s="89" t="s">
        <v>646</v>
      </c>
      <c r="AD202" s="89" t="s">
        <v>646</v>
      </c>
      <c r="AE202" s="89" t="s">
        <v>646</v>
      </c>
      <c r="AF202" s="89" t="s">
        <v>19257</v>
      </c>
      <c r="AG202" s="89" t="s">
        <v>646</v>
      </c>
      <c r="AH202" s="89" t="s">
        <v>646</v>
      </c>
      <c r="AI202" s="89" t="s">
        <v>646</v>
      </c>
      <c r="AJ202" s="89" t="s">
        <v>646</v>
      </c>
      <c r="AK202" s="89" t="s">
        <v>646</v>
      </c>
      <c r="AL202" s="89" t="s">
        <v>646</v>
      </c>
      <c r="AM202" s="89" t="s">
        <v>646</v>
      </c>
      <c r="AN202" s="89" t="s">
        <v>646</v>
      </c>
      <c r="AO202" s="89" t="s">
        <v>646</v>
      </c>
      <c r="AP202" s="89" t="s">
        <v>646</v>
      </c>
      <c r="AQ202" s="89" t="s">
        <v>646</v>
      </c>
      <c r="AR202" s="89" t="s">
        <v>646</v>
      </c>
      <c r="AS202" s="89" t="s">
        <v>646</v>
      </c>
      <c r="AT202" s="89" t="s">
        <v>646</v>
      </c>
      <c r="AU202" s="89" t="s">
        <v>646</v>
      </c>
      <c r="AV202" s="89" t="s">
        <v>646</v>
      </c>
      <c r="AW202" s="89" t="s">
        <v>646</v>
      </c>
      <c r="AX202" s="89" t="s">
        <v>646</v>
      </c>
      <c r="AY202" s="89" t="s">
        <v>19258</v>
      </c>
      <c r="AZ202" s="89" t="s">
        <v>19259</v>
      </c>
      <c r="BA202" s="89" t="s">
        <v>646</v>
      </c>
      <c r="BB202" s="89" t="s">
        <v>646</v>
      </c>
      <c r="BC202" s="89" t="s">
        <v>646</v>
      </c>
      <c r="BD202" s="89" t="s">
        <v>17676</v>
      </c>
      <c r="BE202" s="89">
        <v>2020</v>
      </c>
      <c r="BF202" s="89">
        <v>87</v>
      </c>
      <c r="BG202" s="89">
        <v>1</v>
      </c>
      <c r="BH202" s="89" t="s">
        <v>646</v>
      </c>
      <c r="BI202" s="89" t="s">
        <v>646</v>
      </c>
      <c r="BJ202" s="89" t="s">
        <v>646</v>
      </c>
      <c r="BK202" s="89" t="s">
        <v>646</v>
      </c>
      <c r="BL202" s="89">
        <v>369</v>
      </c>
      <c r="BM202" s="89">
        <v>385</v>
      </c>
      <c r="BN202" s="89" t="s">
        <v>646</v>
      </c>
      <c r="BO202" s="89" t="str">
        <f>HYPERLINK("http://dx.doi.org/10.1002/soej.12451","http://dx.doi.org/10.1002/soej.12451")</f>
        <v>http://dx.doi.org/10.1002/soej.12451</v>
      </c>
      <c r="BP202" s="89" t="s">
        <v>646</v>
      </c>
      <c r="BQ202" s="89" t="s">
        <v>18873</v>
      </c>
      <c r="BR202" s="89" t="s">
        <v>646</v>
      </c>
      <c r="BS202" s="89" t="s">
        <v>646</v>
      </c>
      <c r="BT202" s="89" t="s">
        <v>646</v>
      </c>
      <c r="BU202" s="89" t="s">
        <v>646</v>
      </c>
      <c r="BV202" s="89" t="s">
        <v>646</v>
      </c>
      <c r="BW202" s="89" t="s">
        <v>646</v>
      </c>
      <c r="BX202" s="89" t="s">
        <v>646</v>
      </c>
      <c r="BY202" s="89" t="s">
        <v>646</v>
      </c>
      <c r="BZ202" s="89" t="s">
        <v>646</v>
      </c>
      <c r="CA202" s="89" t="s">
        <v>646</v>
      </c>
      <c r="CB202" s="89" t="s">
        <v>19260</v>
      </c>
      <c r="CC202" s="89" t="str">
        <f>HYPERLINK("https%3A%2F%2Fwww.webofscience.com%2Fwos%2Fwoscc%2Ffull-record%2FWOS:000544596800001","View Full Record in Web of Science")</f>
        <v>View Full Record in Web of Science</v>
      </c>
    </row>
    <row r="203" spans="1:81" ht="13.2" hidden="1" x14ac:dyDescent="0.25">
      <c r="A203" s="89" t="s">
        <v>19261</v>
      </c>
      <c r="B203" s="89" t="e">
        <f>+#REF!</f>
        <v>#REF!</v>
      </c>
      <c r="C203" s="89"/>
      <c r="D203" s="91" t="s">
        <v>717</v>
      </c>
      <c r="E203" s="90" t="e">
        <v>#REF!</v>
      </c>
      <c r="F203" s="89"/>
      <c r="G203" s="89"/>
      <c r="H203" s="89" t="s">
        <v>8959</v>
      </c>
      <c r="I203" s="89" t="s">
        <v>19262</v>
      </c>
      <c r="J203" s="89" t="s">
        <v>646</v>
      </c>
      <c r="K203" s="89" t="s">
        <v>19264</v>
      </c>
      <c r="M203" s="89">
        <v>2021</v>
      </c>
      <c r="N203" s="89" t="s">
        <v>19263</v>
      </c>
      <c r="O203" s="89" t="s">
        <v>646</v>
      </c>
      <c r="P203" s="89" t="str">
        <f>HYPERLINK("http://dx.doi.org/10.1007/s12119-021-09872-3","http://dx.doi.org/10.1007/s12119-021-09872-3")</f>
        <v>http://dx.doi.org/10.1007/s12119-021-09872-3</v>
      </c>
      <c r="S203" s="89" t="s">
        <v>646</v>
      </c>
      <c r="U203" s="89" t="s">
        <v>17462</v>
      </c>
      <c r="W203" s="89" t="s">
        <v>646</v>
      </c>
      <c r="X203" s="89" t="s">
        <v>646</v>
      </c>
      <c r="Y203" s="89" t="s">
        <v>646</v>
      </c>
      <c r="Z203" s="89" t="s">
        <v>646</v>
      </c>
      <c r="AA203" s="89" t="s">
        <v>646</v>
      </c>
      <c r="AB203" s="89" t="s">
        <v>646</v>
      </c>
      <c r="AC203" s="89" t="s">
        <v>646</v>
      </c>
      <c r="AD203" s="89" t="s">
        <v>646</v>
      </c>
      <c r="AE203" s="89" t="s">
        <v>646</v>
      </c>
      <c r="AF203" s="89" t="s">
        <v>19264</v>
      </c>
      <c r="AG203" s="89" t="s">
        <v>646</v>
      </c>
      <c r="AH203" s="89" t="s">
        <v>646</v>
      </c>
      <c r="AI203" s="89" t="s">
        <v>646</v>
      </c>
      <c r="AJ203" s="89" t="s">
        <v>646</v>
      </c>
      <c r="AK203" s="89" t="s">
        <v>646</v>
      </c>
      <c r="AL203" s="89" t="s">
        <v>646</v>
      </c>
      <c r="AM203" s="89" t="s">
        <v>646</v>
      </c>
      <c r="AN203" s="89" t="s">
        <v>646</v>
      </c>
      <c r="AO203" s="89" t="s">
        <v>646</v>
      </c>
      <c r="AP203" s="89" t="s">
        <v>646</v>
      </c>
      <c r="AQ203" s="89" t="s">
        <v>646</v>
      </c>
      <c r="AR203" s="89" t="s">
        <v>646</v>
      </c>
      <c r="AS203" s="89" t="s">
        <v>646</v>
      </c>
      <c r="AT203" s="89" t="s">
        <v>646</v>
      </c>
      <c r="AU203" s="89" t="s">
        <v>646</v>
      </c>
      <c r="AV203" s="89" t="s">
        <v>646</v>
      </c>
      <c r="AW203" s="89" t="s">
        <v>646</v>
      </c>
      <c r="AX203" s="89" t="s">
        <v>646</v>
      </c>
      <c r="AY203" s="89" t="s">
        <v>19265</v>
      </c>
      <c r="AZ203" s="89" t="s">
        <v>19266</v>
      </c>
      <c r="BA203" s="89" t="s">
        <v>646</v>
      </c>
      <c r="BB203" s="89" t="s">
        <v>646</v>
      </c>
      <c r="BC203" s="89" t="s">
        <v>646</v>
      </c>
      <c r="BD203" s="89" t="s">
        <v>17615</v>
      </c>
      <c r="BE203" s="89">
        <v>2021</v>
      </c>
      <c r="BF203" s="89">
        <v>25</v>
      </c>
      <c r="BG203" s="89">
        <v>6</v>
      </c>
      <c r="BH203" s="89" t="s">
        <v>646</v>
      </c>
      <c r="BI203" s="89" t="s">
        <v>646</v>
      </c>
      <c r="BJ203" s="89" t="s">
        <v>646</v>
      </c>
      <c r="BK203" s="89" t="s">
        <v>646</v>
      </c>
      <c r="BL203" s="89">
        <v>2176</v>
      </c>
      <c r="BM203" s="89">
        <v>2207</v>
      </c>
      <c r="BN203" s="89" t="s">
        <v>646</v>
      </c>
      <c r="BO203" s="89" t="str">
        <f>HYPERLINK("http://dx.doi.org/10.1007/s12119-021-09872-3","http://dx.doi.org/10.1007/s12119-021-09872-3")</f>
        <v>http://dx.doi.org/10.1007/s12119-021-09872-3</v>
      </c>
      <c r="BP203" s="89" t="s">
        <v>646</v>
      </c>
      <c r="BQ203" s="89" t="s">
        <v>19267</v>
      </c>
      <c r="BR203" s="89" t="s">
        <v>646</v>
      </c>
      <c r="BS203" s="89" t="s">
        <v>646</v>
      </c>
      <c r="BT203" s="89" t="s">
        <v>646</v>
      </c>
      <c r="BU203" s="89" t="s">
        <v>646</v>
      </c>
      <c r="BV203" s="89" t="s">
        <v>646</v>
      </c>
      <c r="BW203" s="89" t="s">
        <v>646</v>
      </c>
      <c r="BX203" s="89" t="s">
        <v>646</v>
      </c>
      <c r="BY203" s="89" t="s">
        <v>646</v>
      </c>
      <c r="BZ203" s="89" t="s">
        <v>646</v>
      </c>
      <c r="CA203" s="89" t="s">
        <v>646</v>
      </c>
      <c r="CB203" s="89" t="s">
        <v>19268</v>
      </c>
      <c r="CC203" s="89" t="str">
        <f>HYPERLINK("https%3A%2F%2Fwww.webofscience.com%2Fwos%2Fwoscc%2Ffull-record%2FWOS:000650545500001","View Full Record in Web of Science")</f>
        <v>View Full Record in Web of Science</v>
      </c>
    </row>
    <row r="204" spans="1:81" ht="13.2" hidden="1" x14ac:dyDescent="0.25">
      <c r="A204" s="89" t="s">
        <v>11241</v>
      </c>
      <c r="B204" s="89" t="e">
        <f>+#REF!</f>
        <v>#REF!</v>
      </c>
      <c r="C204" s="89"/>
      <c r="D204" s="91" t="s">
        <v>717</v>
      </c>
      <c r="E204" s="90" t="e">
        <v>#REF!</v>
      </c>
      <c r="F204" s="89"/>
      <c r="G204" s="89"/>
      <c r="H204" s="89" t="s">
        <v>11242</v>
      </c>
      <c r="I204" s="89" t="s">
        <v>19269</v>
      </c>
      <c r="J204" s="89" t="s">
        <v>19271</v>
      </c>
      <c r="K204" s="89" t="s">
        <v>19270</v>
      </c>
      <c r="M204" s="89">
        <v>2014</v>
      </c>
      <c r="N204" s="89" t="s">
        <v>18728</v>
      </c>
      <c r="O204" s="89" t="s">
        <v>646</v>
      </c>
      <c r="P204" s="89" t="str">
        <f>HYPERLINK("http://dx.doi.org/10.1007/s00521-013-1521-9","http://dx.doi.org/10.1007/s00521-013-1521-9")</f>
        <v>http://dx.doi.org/10.1007/s00521-013-1521-9</v>
      </c>
      <c r="S204" s="89" t="s">
        <v>646</v>
      </c>
      <c r="U204" s="89" t="s">
        <v>17462</v>
      </c>
      <c r="W204" s="89" t="s">
        <v>646</v>
      </c>
      <c r="X204" s="89" t="s">
        <v>646</v>
      </c>
      <c r="Y204" s="89" t="s">
        <v>646</v>
      </c>
      <c r="Z204" s="89" t="s">
        <v>646</v>
      </c>
      <c r="AA204" s="89" t="s">
        <v>646</v>
      </c>
      <c r="AB204" s="89" t="s">
        <v>646</v>
      </c>
      <c r="AC204" s="89" t="s">
        <v>646</v>
      </c>
      <c r="AD204" s="89" t="s">
        <v>646</v>
      </c>
      <c r="AE204" s="89" t="s">
        <v>646</v>
      </c>
      <c r="AF204" s="89" t="s">
        <v>19270</v>
      </c>
      <c r="AG204" s="89" t="s">
        <v>646</v>
      </c>
      <c r="AH204" s="89" t="s">
        <v>646</v>
      </c>
      <c r="AI204" s="89" t="s">
        <v>646</v>
      </c>
      <c r="AJ204" s="89" t="s">
        <v>646</v>
      </c>
      <c r="AK204" s="89" t="s">
        <v>19271</v>
      </c>
      <c r="AL204" s="89" t="s">
        <v>19272</v>
      </c>
      <c r="AM204" s="89" t="s">
        <v>646</v>
      </c>
      <c r="AN204" s="89" t="s">
        <v>646</v>
      </c>
      <c r="AO204" s="89" t="s">
        <v>646</v>
      </c>
      <c r="AP204" s="89" t="s">
        <v>646</v>
      </c>
      <c r="AQ204" s="89" t="s">
        <v>646</v>
      </c>
      <c r="AR204" s="89" t="s">
        <v>646</v>
      </c>
      <c r="AS204" s="89" t="s">
        <v>646</v>
      </c>
      <c r="AT204" s="89" t="s">
        <v>646</v>
      </c>
      <c r="AU204" s="89" t="s">
        <v>646</v>
      </c>
      <c r="AV204" s="89" t="s">
        <v>646</v>
      </c>
      <c r="AW204" s="89" t="s">
        <v>646</v>
      </c>
      <c r="AX204" s="89" t="s">
        <v>646</v>
      </c>
      <c r="AY204" s="89" t="s">
        <v>18732</v>
      </c>
      <c r="AZ204" s="89" t="s">
        <v>18733</v>
      </c>
      <c r="BA204" s="89" t="s">
        <v>646</v>
      </c>
      <c r="BB204" s="89" t="s">
        <v>646</v>
      </c>
      <c r="BC204" s="89" t="s">
        <v>646</v>
      </c>
      <c r="BD204" s="89" t="s">
        <v>17739</v>
      </c>
      <c r="BE204" s="89">
        <v>2014</v>
      </c>
      <c r="BF204" s="89">
        <v>25</v>
      </c>
      <c r="BG204" s="89" t="s">
        <v>19273</v>
      </c>
      <c r="BH204" s="89" t="s">
        <v>646</v>
      </c>
      <c r="BI204" s="89" t="s">
        <v>646</v>
      </c>
      <c r="BJ204" s="89" t="s">
        <v>646</v>
      </c>
      <c r="BK204" s="89" t="s">
        <v>646</v>
      </c>
      <c r="BL204" s="89">
        <v>573</v>
      </c>
      <c r="BM204" s="89">
        <v>583</v>
      </c>
      <c r="BN204" s="89" t="s">
        <v>646</v>
      </c>
      <c r="BO204" s="89" t="str">
        <f>HYPERLINK("http://dx.doi.org/10.1007/s00521-013-1521-9","http://dx.doi.org/10.1007/s00521-013-1521-9")</f>
        <v>http://dx.doi.org/10.1007/s00521-013-1521-9</v>
      </c>
      <c r="BP204" s="89" t="s">
        <v>646</v>
      </c>
      <c r="BQ204" s="89" t="s">
        <v>646</v>
      </c>
      <c r="BR204" s="89" t="s">
        <v>646</v>
      </c>
      <c r="BS204" s="89" t="s">
        <v>646</v>
      </c>
      <c r="BT204" s="89" t="s">
        <v>646</v>
      </c>
      <c r="BU204" s="89" t="s">
        <v>646</v>
      </c>
      <c r="BV204" s="89" t="s">
        <v>646</v>
      </c>
      <c r="BW204" s="89" t="s">
        <v>646</v>
      </c>
      <c r="BX204" s="89" t="s">
        <v>646</v>
      </c>
      <c r="BY204" s="89" t="s">
        <v>646</v>
      </c>
      <c r="BZ204" s="89" t="s">
        <v>646</v>
      </c>
      <c r="CA204" s="89" t="s">
        <v>646</v>
      </c>
      <c r="CB204" s="89" t="s">
        <v>19274</v>
      </c>
      <c r="CC204" s="89" t="str">
        <f>HYPERLINK("https%3A%2F%2Fwww.webofscience.com%2Fwos%2Fwoscc%2Ffull-record%2FWOS:000340584700007","View Full Record in Web of Science")</f>
        <v>View Full Record in Web of Science</v>
      </c>
    </row>
    <row r="205" spans="1:81" ht="13.2" hidden="1" x14ac:dyDescent="0.25">
      <c r="A205" s="89" t="s">
        <v>8968</v>
      </c>
      <c r="B205" s="89" t="e">
        <f>+#REF!</f>
        <v>#REF!</v>
      </c>
      <c r="C205" s="89"/>
      <c r="D205" s="91" t="s">
        <v>717</v>
      </c>
      <c r="E205" s="90" t="e">
        <v>#REF!</v>
      </c>
      <c r="F205" s="89"/>
      <c r="G205" s="89"/>
      <c r="H205" s="89" t="s">
        <v>8969</v>
      </c>
      <c r="I205" s="89" t="s">
        <v>19275</v>
      </c>
      <c r="J205" s="89" t="s">
        <v>19278</v>
      </c>
      <c r="K205" s="89" t="s">
        <v>19277</v>
      </c>
      <c r="M205" s="89">
        <v>2021</v>
      </c>
      <c r="N205" s="89" t="s">
        <v>19276</v>
      </c>
      <c r="O205" s="89" t="s">
        <v>646</v>
      </c>
      <c r="P205" s="89" t="str">
        <f>HYPERLINK("http://dx.doi.org/10.1108/WJEMSD-06-2020-0054","http://dx.doi.org/10.1108/WJEMSD-06-2020-0054")</f>
        <v>http://dx.doi.org/10.1108/WJEMSD-06-2020-0054</v>
      </c>
      <c r="S205" s="89" t="s">
        <v>646</v>
      </c>
      <c r="U205" s="89" t="s">
        <v>17462</v>
      </c>
      <c r="W205" s="89" t="s">
        <v>646</v>
      </c>
      <c r="X205" s="89" t="s">
        <v>646</v>
      </c>
      <c r="Y205" s="89" t="s">
        <v>646</v>
      </c>
      <c r="Z205" s="89" t="s">
        <v>646</v>
      </c>
      <c r="AA205" s="89" t="s">
        <v>646</v>
      </c>
      <c r="AB205" s="89" t="s">
        <v>646</v>
      </c>
      <c r="AC205" s="89" t="s">
        <v>646</v>
      </c>
      <c r="AD205" s="89" t="s">
        <v>646</v>
      </c>
      <c r="AE205" s="89" t="s">
        <v>646</v>
      </c>
      <c r="AF205" s="89" t="s">
        <v>19277</v>
      </c>
      <c r="AG205" s="89" t="s">
        <v>646</v>
      </c>
      <c r="AH205" s="89" t="s">
        <v>646</v>
      </c>
      <c r="AI205" s="89" t="s">
        <v>646</v>
      </c>
      <c r="AJ205" s="89" t="s">
        <v>646</v>
      </c>
      <c r="AK205" s="89" t="s">
        <v>19278</v>
      </c>
      <c r="AL205" s="89" t="s">
        <v>19279</v>
      </c>
      <c r="AM205" s="89" t="s">
        <v>646</v>
      </c>
      <c r="AN205" s="89" t="s">
        <v>646</v>
      </c>
      <c r="AO205" s="89" t="s">
        <v>646</v>
      </c>
      <c r="AP205" s="89" t="s">
        <v>646</v>
      </c>
      <c r="AQ205" s="89" t="s">
        <v>646</v>
      </c>
      <c r="AR205" s="89" t="s">
        <v>646</v>
      </c>
      <c r="AS205" s="89" t="s">
        <v>646</v>
      </c>
      <c r="AT205" s="89" t="s">
        <v>646</v>
      </c>
      <c r="AU205" s="89" t="s">
        <v>646</v>
      </c>
      <c r="AV205" s="89" t="s">
        <v>646</v>
      </c>
      <c r="AW205" s="89" t="s">
        <v>646</v>
      </c>
      <c r="AX205" s="89" t="s">
        <v>646</v>
      </c>
      <c r="AY205" s="89" t="s">
        <v>19280</v>
      </c>
      <c r="AZ205" s="89" t="s">
        <v>19281</v>
      </c>
      <c r="BA205" s="89" t="s">
        <v>646</v>
      </c>
      <c r="BB205" s="89" t="s">
        <v>646</v>
      </c>
      <c r="BC205" s="89" t="s">
        <v>646</v>
      </c>
      <c r="BD205" s="89" t="s">
        <v>19282</v>
      </c>
      <c r="BE205" s="89">
        <v>2021</v>
      </c>
      <c r="BF205" s="89">
        <v>17</v>
      </c>
      <c r="BG205" s="89">
        <v>3</v>
      </c>
      <c r="BH205" s="89" t="s">
        <v>646</v>
      </c>
      <c r="BI205" s="89" t="s">
        <v>646</v>
      </c>
      <c r="BJ205" s="89" t="s">
        <v>646</v>
      </c>
      <c r="BK205" s="89" t="s">
        <v>646</v>
      </c>
      <c r="BL205" s="89">
        <v>582</v>
      </c>
      <c r="BM205" s="89">
        <v>600</v>
      </c>
      <c r="BN205" s="89" t="s">
        <v>646</v>
      </c>
      <c r="BO205" s="89" t="str">
        <f>HYPERLINK("http://dx.doi.org/10.1108/WJEMSD-06-2020-0054","http://dx.doi.org/10.1108/WJEMSD-06-2020-0054")</f>
        <v>http://dx.doi.org/10.1108/WJEMSD-06-2020-0054</v>
      </c>
      <c r="BP205" s="89" t="s">
        <v>646</v>
      </c>
      <c r="BQ205" s="89" t="s">
        <v>19283</v>
      </c>
      <c r="BR205" s="89" t="s">
        <v>646</v>
      </c>
      <c r="BS205" s="89" t="s">
        <v>646</v>
      </c>
      <c r="BT205" s="89" t="s">
        <v>646</v>
      </c>
      <c r="BU205" s="89" t="s">
        <v>646</v>
      </c>
      <c r="BV205" s="89" t="s">
        <v>646</v>
      </c>
      <c r="BW205" s="89" t="s">
        <v>646</v>
      </c>
      <c r="BX205" s="89" t="s">
        <v>646</v>
      </c>
      <c r="BY205" s="89" t="s">
        <v>646</v>
      </c>
      <c r="BZ205" s="89" t="s">
        <v>646</v>
      </c>
      <c r="CA205" s="89" t="s">
        <v>646</v>
      </c>
      <c r="CB205" s="89" t="s">
        <v>19284</v>
      </c>
      <c r="CC205" s="89" t="str">
        <f>HYPERLINK("https%3A%2F%2Fwww.webofscience.com%2Fwos%2Fwoscc%2Ffull-record%2FWOS:000637878800001","View Full Record in Web of Science")</f>
        <v>View Full Record in Web of Science</v>
      </c>
    </row>
    <row r="206" spans="1:81" ht="13.2" hidden="1" x14ac:dyDescent="0.25">
      <c r="A206" s="89" t="s">
        <v>8978</v>
      </c>
      <c r="B206" s="89" t="e">
        <f>+#REF!</f>
        <v>#REF!</v>
      </c>
      <c r="C206" s="89"/>
      <c r="D206" s="91" t="s">
        <v>717</v>
      </c>
      <c r="E206" s="90" t="e">
        <v>#REF!</v>
      </c>
      <c r="F206" s="89"/>
      <c r="G206" s="89"/>
      <c r="H206" s="89" t="s">
        <v>8979</v>
      </c>
      <c r="I206" s="89" t="s">
        <v>19286</v>
      </c>
      <c r="J206" s="89" t="s">
        <v>646</v>
      </c>
      <c r="K206" s="89" t="s">
        <v>19291</v>
      </c>
      <c r="M206" s="89">
        <v>2021</v>
      </c>
      <c r="N206" s="89" t="s">
        <v>19287</v>
      </c>
      <c r="O206" s="89" t="s">
        <v>646</v>
      </c>
      <c r="P206" s="89" t="str">
        <f>HYPERLINK("http://dx.doi.org/10.1145/3406522.3446044","http://dx.doi.org/10.1145/3406522.3446044")</f>
        <v>http://dx.doi.org/10.1145/3406522.3446044</v>
      </c>
      <c r="S206" s="89" t="s">
        <v>19285</v>
      </c>
      <c r="U206" s="89" t="s">
        <v>17474</v>
      </c>
      <c r="W206" s="89" t="s">
        <v>646</v>
      </c>
      <c r="X206" s="89" t="s">
        <v>646</v>
      </c>
      <c r="Y206" s="89" t="s">
        <v>19288</v>
      </c>
      <c r="Z206" s="89" t="s">
        <v>19289</v>
      </c>
      <c r="AA206" s="89" t="s">
        <v>17494</v>
      </c>
      <c r="AB206" s="89" t="s">
        <v>19290</v>
      </c>
      <c r="AC206" s="89" t="s">
        <v>646</v>
      </c>
      <c r="AD206" s="89" t="s">
        <v>646</v>
      </c>
      <c r="AE206" s="89" t="s">
        <v>646</v>
      </c>
      <c r="AF206" s="89" t="s">
        <v>19291</v>
      </c>
      <c r="AG206" s="89" t="s">
        <v>646</v>
      </c>
      <c r="AH206" s="89" t="s">
        <v>646</v>
      </c>
      <c r="AI206" s="89" t="s">
        <v>646</v>
      </c>
      <c r="AJ206" s="89" t="s">
        <v>646</v>
      </c>
      <c r="AK206" s="89" t="s">
        <v>646</v>
      </c>
      <c r="AL206" s="89" t="s">
        <v>19292</v>
      </c>
      <c r="AM206" s="89" t="s">
        <v>646</v>
      </c>
      <c r="AN206" s="89" t="s">
        <v>646</v>
      </c>
      <c r="AO206" s="89" t="s">
        <v>646</v>
      </c>
      <c r="AP206" s="89" t="s">
        <v>646</v>
      </c>
      <c r="AQ206" s="89" t="s">
        <v>646</v>
      </c>
      <c r="AR206" s="89" t="s">
        <v>646</v>
      </c>
      <c r="AS206" s="89" t="s">
        <v>646</v>
      </c>
      <c r="AT206" s="89" t="s">
        <v>646</v>
      </c>
      <c r="AU206" s="89" t="s">
        <v>646</v>
      </c>
      <c r="AV206" s="89" t="s">
        <v>646</v>
      </c>
      <c r="AW206" s="89" t="s">
        <v>646</v>
      </c>
      <c r="AX206" s="89" t="s">
        <v>646</v>
      </c>
      <c r="AY206" s="89" t="s">
        <v>646</v>
      </c>
      <c r="AZ206" s="89" t="s">
        <v>646</v>
      </c>
      <c r="BA206" s="89" t="s">
        <v>19293</v>
      </c>
      <c r="BB206" s="89" t="s">
        <v>646</v>
      </c>
      <c r="BC206" s="89" t="s">
        <v>646</v>
      </c>
      <c r="BD206" s="89" t="s">
        <v>646</v>
      </c>
      <c r="BE206" s="89">
        <v>2021</v>
      </c>
      <c r="BF206" s="89" t="s">
        <v>646</v>
      </c>
      <c r="BG206" s="89" t="s">
        <v>646</v>
      </c>
      <c r="BH206" s="89" t="s">
        <v>646</v>
      </c>
      <c r="BI206" s="89" t="s">
        <v>646</v>
      </c>
      <c r="BJ206" s="89" t="s">
        <v>646</v>
      </c>
      <c r="BK206" s="89" t="s">
        <v>646</v>
      </c>
      <c r="BL206" s="89">
        <v>313</v>
      </c>
      <c r="BM206" s="89">
        <v>317</v>
      </c>
      <c r="BN206" s="89" t="s">
        <v>646</v>
      </c>
      <c r="BO206" s="89" t="str">
        <f>HYPERLINK("http://dx.doi.org/10.1145/3406522.3446044","http://dx.doi.org/10.1145/3406522.3446044")</f>
        <v>http://dx.doi.org/10.1145/3406522.3446044</v>
      </c>
      <c r="BP206" s="89" t="s">
        <v>646</v>
      </c>
      <c r="BQ206" s="89" t="s">
        <v>646</v>
      </c>
      <c r="BR206" s="89" t="s">
        <v>646</v>
      </c>
      <c r="BS206" s="89" t="s">
        <v>646</v>
      </c>
      <c r="BT206" s="89" t="s">
        <v>646</v>
      </c>
      <c r="BU206" s="89" t="s">
        <v>646</v>
      </c>
      <c r="BV206" s="89" t="s">
        <v>646</v>
      </c>
      <c r="BW206" s="89" t="s">
        <v>646</v>
      </c>
      <c r="BX206" s="89" t="s">
        <v>646</v>
      </c>
      <c r="BY206" s="89" t="s">
        <v>646</v>
      </c>
      <c r="BZ206" s="89" t="s">
        <v>646</v>
      </c>
      <c r="CA206" s="89" t="s">
        <v>646</v>
      </c>
      <c r="CB206" s="89" t="s">
        <v>19294</v>
      </c>
      <c r="CC206" s="89" t="str">
        <f>HYPERLINK("https%3A%2F%2Fwww.webofscience.com%2Fwos%2Fwoscc%2Ffull-record%2FWOS:000765264800036","View Full Record in Web of Science")</f>
        <v>View Full Record in Web of Science</v>
      </c>
    </row>
    <row r="207" spans="1:81" ht="13.2" hidden="1" x14ac:dyDescent="0.25">
      <c r="A207" s="89" t="s">
        <v>749</v>
      </c>
      <c r="B207" s="89" t="e">
        <f>+#REF!</f>
        <v>#REF!</v>
      </c>
      <c r="C207" s="89"/>
      <c r="D207" s="91" t="s">
        <v>717</v>
      </c>
      <c r="E207" s="90" t="e">
        <v>#REF!</v>
      </c>
      <c r="F207" s="89"/>
      <c r="G207" s="89"/>
      <c r="H207" s="89" t="s">
        <v>751</v>
      </c>
      <c r="I207" s="89" t="s">
        <v>19295</v>
      </c>
      <c r="J207" s="89" t="s">
        <v>19301</v>
      </c>
      <c r="K207" s="89" t="s">
        <v>19300</v>
      </c>
      <c r="M207" s="89">
        <v>2017</v>
      </c>
      <c r="N207" s="89" t="s">
        <v>19296</v>
      </c>
      <c r="O207" s="89" t="s">
        <v>646</v>
      </c>
      <c r="P207" s="89" t="str">
        <f>HYPERLINK("http://dx.doi.org/10.1007/s10606-017-9283-z","http://dx.doi.org/10.1007/s10606-017-9283-z")</f>
        <v>http://dx.doi.org/10.1007/s10606-017-9283-z</v>
      </c>
      <c r="S207" s="89" t="s">
        <v>646</v>
      </c>
      <c r="U207" s="89" t="s">
        <v>17462</v>
      </c>
      <c r="W207" s="89" t="s">
        <v>646</v>
      </c>
      <c r="X207" s="89" t="s">
        <v>646</v>
      </c>
      <c r="Y207" s="89" t="s">
        <v>19297</v>
      </c>
      <c r="Z207" s="89" t="s">
        <v>19298</v>
      </c>
      <c r="AA207" s="89" t="s">
        <v>19299</v>
      </c>
      <c r="AB207" s="89" t="s">
        <v>646</v>
      </c>
      <c r="AC207" s="89" t="s">
        <v>646</v>
      </c>
      <c r="AD207" s="89" t="s">
        <v>646</v>
      </c>
      <c r="AE207" s="89" t="s">
        <v>646</v>
      </c>
      <c r="AF207" s="89" t="s">
        <v>19300</v>
      </c>
      <c r="AG207" s="89" t="s">
        <v>646</v>
      </c>
      <c r="AH207" s="89" t="s">
        <v>646</v>
      </c>
      <c r="AI207" s="89" t="s">
        <v>646</v>
      </c>
      <c r="AJ207" s="89" t="s">
        <v>646</v>
      </c>
      <c r="AK207" s="89" t="s">
        <v>19301</v>
      </c>
      <c r="AL207" s="89" t="s">
        <v>19302</v>
      </c>
      <c r="AM207" s="89" t="s">
        <v>646</v>
      </c>
      <c r="AN207" s="89" t="s">
        <v>646</v>
      </c>
      <c r="AO207" s="89" t="s">
        <v>646</v>
      </c>
      <c r="AP207" s="89" t="s">
        <v>646</v>
      </c>
      <c r="AQ207" s="89" t="s">
        <v>646</v>
      </c>
      <c r="AR207" s="89" t="s">
        <v>646</v>
      </c>
      <c r="AS207" s="89" t="s">
        <v>646</v>
      </c>
      <c r="AT207" s="89" t="s">
        <v>646</v>
      </c>
      <c r="AU207" s="89" t="s">
        <v>646</v>
      </c>
      <c r="AV207" s="89" t="s">
        <v>646</v>
      </c>
      <c r="AW207" s="89" t="s">
        <v>646</v>
      </c>
      <c r="AX207" s="89" t="s">
        <v>646</v>
      </c>
      <c r="AY207" s="89" t="s">
        <v>19303</v>
      </c>
      <c r="AZ207" s="89" t="s">
        <v>19304</v>
      </c>
      <c r="BA207" s="89" t="s">
        <v>646</v>
      </c>
      <c r="BB207" s="89" t="s">
        <v>646</v>
      </c>
      <c r="BC207" s="89" t="s">
        <v>646</v>
      </c>
      <c r="BD207" s="89" t="s">
        <v>17615</v>
      </c>
      <c r="BE207" s="89">
        <v>2017</v>
      </c>
      <c r="BF207" s="89">
        <v>26</v>
      </c>
      <c r="BG207" s="89" t="s">
        <v>19305</v>
      </c>
      <c r="BH207" s="89" t="s">
        <v>646</v>
      </c>
      <c r="BI207" s="89" t="s">
        <v>646</v>
      </c>
      <c r="BJ207" s="89" t="s">
        <v>17555</v>
      </c>
      <c r="BK207" s="89" t="s">
        <v>646</v>
      </c>
      <c r="BL207" s="89">
        <v>837</v>
      </c>
      <c r="BM207" s="89">
        <v>872</v>
      </c>
      <c r="BN207" s="89" t="s">
        <v>646</v>
      </c>
      <c r="BO207" s="89" t="str">
        <f>HYPERLINK("http://dx.doi.org/10.1007/s10606-017-9283-z","http://dx.doi.org/10.1007/s10606-017-9283-z")</f>
        <v>http://dx.doi.org/10.1007/s10606-017-9283-z</v>
      </c>
      <c r="BP207" s="89" t="s">
        <v>646</v>
      </c>
      <c r="BQ207" s="89" t="s">
        <v>646</v>
      </c>
      <c r="BR207" s="89" t="s">
        <v>646</v>
      </c>
      <c r="BS207" s="89" t="s">
        <v>646</v>
      </c>
      <c r="BT207" s="89" t="s">
        <v>646</v>
      </c>
      <c r="BU207" s="89" t="s">
        <v>646</v>
      </c>
      <c r="BV207" s="89" t="s">
        <v>646</v>
      </c>
      <c r="BW207" s="89" t="s">
        <v>646</v>
      </c>
      <c r="BX207" s="89" t="s">
        <v>646</v>
      </c>
      <c r="BY207" s="89" t="s">
        <v>646</v>
      </c>
      <c r="BZ207" s="89" t="s">
        <v>646</v>
      </c>
      <c r="CA207" s="89" t="s">
        <v>646</v>
      </c>
      <c r="CB207" s="89" t="s">
        <v>19306</v>
      </c>
      <c r="CC207" s="89" t="str">
        <f>HYPERLINK("https%3A%2F%2Fwww.webofscience.com%2Fwos%2Fwoscc%2Ffull-record%2FWOS:000407564300015","View Full Record in Web of Science")</f>
        <v>View Full Record in Web of Science</v>
      </c>
    </row>
    <row r="208" spans="1:81" ht="13.2" hidden="1" x14ac:dyDescent="0.25">
      <c r="A208" s="89" t="s">
        <v>11249</v>
      </c>
      <c r="B208" s="89" t="e">
        <f>+#REF!</f>
        <v>#REF!</v>
      </c>
      <c r="C208" s="89"/>
      <c r="D208" s="91" t="s">
        <v>717</v>
      </c>
      <c r="E208" s="90" t="e">
        <v>#REF!</v>
      </c>
      <c r="F208" s="89"/>
      <c r="G208" s="89"/>
      <c r="H208" s="89" t="s">
        <v>11250</v>
      </c>
      <c r="I208" s="89" t="s">
        <v>19307</v>
      </c>
      <c r="J208" s="89" t="s">
        <v>19309</v>
      </c>
      <c r="K208" s="89" t="s">
        <v>19308</v>
      </c>
      <c r="M208" s="89">
        <v>2015</v>
      </c>
      <c r="N208" s="89" t="s">
        <v>18556</v>
      </c>
      <c r="O208" s="89" t="s">
        <v>646</v>
      </c>
      <c r="P208" s="89" t="str">
        <f>HYPERLINK("http://dx.doi.org/10.1016/j.asoc.2015.02.019","http://dx.doi.org/10.1016/j.asoc.2015.02.019")</f>
        <v>http://dx.doi.org/10.1016/j.asoc.2015.02.019</v>
      </c>
      <c r="S208" s="89" t="s">
        <v>646</v>
      </c>
      <c r="U208" s="89" t="s">
        <v>17462</v>
      </c>
      <c r="W208" s="89" t="s">
        <v>646</v>
      </c>
      <c r="X208" s="89" t="s">
        <v>646</v>
      </c>
      <c r="Y208" s="89" t="s">
        <v>646</v>
      </c>
      <c r="Z208" s="89" t="s">
        <v>646</v>
      </c>
      <c r="AA208" s="89" t="s">
        <v>646</v>
      </c>
      <c r="AB208" s="89" t="s">
        <v>646</v>
      </c>
      <c r="AC208" s="89" t="s">
        <v>646</v>
      </c>
      <c r="AD208" s="89" t="s">
        <v>646</v>
      </c>
      <c r="AE208" s="89" t="s">
        <v>646</v>
      </c>
      <c r="AF208" s="89" t="s">
        <v>19308</v>
      </c>
      <c r="AG208" s="89" t="s">
        <v>646</v>
      </c>
      <c r="AH208" s="89" t="s">
        <v>646</v>
      </c>
      <c r="AI208" s="89" t="s">
        <v>646</v>
      </c>
      <c r="AJ208" s="89" t="s">
        <v>646</v>
      </c>
      <c r="AK208" s="89" t="s">
        <v>19309</v>
      </c>
      <c r="AL208" s="89" t="s">
        <v>19310</v>
      </c>
      <c r="AM208" s="89" t="s">
        <v>646</v>
      </c>
      <c r="AN208" s="89" t="s">
        <v>646</v>
      </c>
      <c r="AO208" s="89" t="s">
        <v>646</v>
      </c>
      <c r="AP208" s="89" t="s">
        <v>646</v>
      </c>
      <c r="AQ208" s="89" t="s">
        <v>646</v>
      </c>
      <c r="AR208" s="89" t="s">
        <v>646</v>
      </c>
      <c r="AS208" s="89" t="s">
        <v>646</v>
      </c>
      <c r="AT208" s="89" t="s">
        <v>646</v>
      </c>
      <c r="AU208" s="89" t="s">
        <v>646</v>
      </c>
      <c r="AV208" s="89" t="s">
        <v>646</v>
      </c>
      <c r="AW208" s="89" t="s">
        <v>646</v>
      </c>
      <c r="AX208" s="89" t="s">
        <v>646</v>
      </c>
      <c r="AY208" s="89" t="s">
        <v>18560</v>
      </c>
      <c r="AZ208" s="89" t="s">
        <v>18561</v>
      </c>
      <c r="BA208" s="89" t="s">
        <v>646</v>
      </c>
      <c r="BB208" s="89" t="s">
        <v>646</v>
      </c>
      <c r="BC208" s="89" t="s">
        <v>646</v>
      </c>
      <c r="BD208" s="89" t="s">
        <v>18436</v>
      </c>
      <c r="BE208" s="89">
        <v>2015</v>
      </c>
      <c r="BF208" s="89">
        <v>30</v>
      </c>
      <c r="BG208" s="89" t="s">
        <v>646</v>
      </c>
      <c r="BH208" s="89" t="s">
        <v>646</v>
      </c>
      <c r="BI208" s="89" t="s">
        <v>646</v>
      </c>
      <c r="BJ208" s="89" t="s">
        <v>646</v>
      </c>
      <c r="BK208" s="89" t="s">
        <v>646</v>
      </c>
      <c r="BL208" s="89">
        <v>628</v>
      </c>
      <c r="BM208" s="89">
        <v>635</v>
      </c>
      <c r="BN208" s="89" t="s">
        <v>646</v>
      </c>
      <c r="BO208" s="89" t="str">
        <f>HYPERLINK("http://dx.doi.org/10.1016/j.asoc.2015.02.019","http://dx.doi.org/10.1016/j.asoc.2015.02.019")</f>
        <v>http://dx.doi.org/10.1016/j.asoc.2015.02.019</v>
      </c>
      <c r="BP208" s="89" t="s">
        <v>646</v>
      </c>
      <c r="BQ208" s="89" t="s">
        <v>646</v>
      </c>
      <c r="BR208" s="89" t="s">
        <v>646</v>
      </c>
      <c r="BS208" s="89" t="s">
        <v>646</v>
      </c>
      <c r="BT208" s="89" t="s">
        <v>646</v>
      </c>
      <c r="BU208" s="89" t="s">
        <v>646</v>
      </c>
      <c r="BV208" s="89" t="s">
        <v>646</v>
      </c>
      <c r="BW208" s="89" t="s">
        <v>646</v>
      </c>
      <c r="BX208" s="89" t="s">
        <v>646</v>
      </c>
      <c r="BY208" s="89" t="s">
        <v>646</v>
      </c>
      <c r="BZ208" s="89" t="s">
        <v>646</v>
      </c>
      <c r="CA208" s="89" t="s">
        <v>646</v>
      </c>
      <c r="CB208" s="89" t="s">
        <v>19311</v>
      </c>
      <c r="CC208" s="89" t="str">
        <f>HYPERLINK("https%3A%2F%2Fwww.webofscience.com%2Fwos%2Fwoscc%2Ffull-record%2FWOS:000351296200054","View Full Record in Web of Science")</f>
        <v>View Full Record in Web of Science</v>
      </c>
    </row>
    <row r="209" spans="1:81" ht="13.2" hidden="1" x14ac:dyDescent="0.25">
      <c r="A209" s="89" t="s">
        <v>11257</v>
      </c>
      <c r="B209" s="89" t="e">
        <f>+#REF!</f>
        <v>#REF!</v>
      </c>
      <c r="C209" s="89"/>
      <c r="D209" s="91" t="s">
        <v>717</v>
      </c>
      <c r="E209" s="90" t="e">
        <v>#REF!</v>
      </c>
      <c r="F209" s="89"/>
      <c r="G209" s="89"/>
      <c r="H209" s="89" t="s">
        <v>11258</v>
      </c>
      <c r="I209" s="89" t="s">
        <v>19312</v>
      </c>
      <c r="J209" s="89" t="s">
        <v>19315</v>
      </c>
      <c r="K209" s="89" t="s">
        <v>19314</v>
      </c>
      <c r="M209" s="89">
        <v>2020</v>
      </c>
      <c r="N209" s="89" t="s">
        <v>19313</v>
      </c>
      <c r="O209" s="89" t="s">
        <v>646</v>
      </c>
      <c r="P209" s="89" t="str">
        <f>HYPERLINK("http://dx.doi.org/10.1016/j.chb.2018.11.004","http://dx.doi.org/10.1016/j.chb.2018.11.004")</f>
        <v>http://dx.doi.org/10.1016/j.chb.2018.11.004</v>
      </c>
      <c r="S209" s="89" t="s">
        <v>646</v>
      </c>
      <c r="U209" s="89" t="s">
        <v>17462</v>
      </c>
      <c r="W209" s="89" t="s">
        <v>646</v>
      </c>
      <c r="X209" s="89" t="s">
        <v>646</v>
      </c>
      <c r="Y209" s="89" t="s">
        <v>646</v>
      </c>
      <c r="Z209" s="89" t="s">
        <v>646</v>
      </c>
      <c r="AA209" s="89" t="s">
        <v>646</v>
      </c>
      <c r="AB209" s="89" t="s">
        <v>646</v>
      </c>
      <c r="AC209" s="89" t="s">
        <v>646</v>
      </c>
      <c r="AD209" s="89" t="s">
        <v>646</v>
      </c>
      <c r="AE209" s="89" t="s">
        <v>646</v>
      </c>
      <c r="AF209" s="89" t="s">
        <v>19314</v>
      </c>
      <c r="AG209" s="89" t="s">
        <v>646</v>
      </c>
      <c r="AH209" s="89" t="s">
        <v>646</v>
      </c>
      <c r="AI209" s="89" t="s">
        <v>646</v>
      </c>
      <c r="AJ209" s="89" t="s">
        <v>646</v>
      </c>
      <c r="AK209" s="89" t="s">
        <v>19315</v>
      </c>
      <c r="AL209" s="89" t="s">
        <v>19316</v>
      </c>
      <c r="AM209" s="89" t="s">
        <v>646</v>
      </c>
      <c r="AN209" s="89" t="s">
        <v>646</v>
      </c>
      <c r="AO209" s="89" t="s">
        <v>646</v>
      </c>
      <c r="AP209" s="89" t="s">
        <v>646</v>
      </c>
      <c r="AQ209" s="89" t="s">
        <v>646</v>
      </c>
      <c r="AR209" s="89" t="s">
        <v>646</v>
      </c>
      <c r="AS209" s="89" t="s">
        <v>646</v>
      </c>
      <c r="AT209" s="89" t="s">
        <v>646</v>
      </c>
      <c r="AU209" s="89" t="s">
        <v>646</v>
      </c>
      <c r="AV209" s="89" t="s">
        <v>646</v>
      </c>
      <c r="AW209" s="89" t="s">
        <v>646</v>
      </c>
      <c r="AX209" s="89" t="s">
        <v>646</v>
      </c>
      <c r="AY209" s="89" t="s">
        <v>19317</v>
      </c>
      <c r="AZ209" s="89" t="s">
        <v>19318</v>
      </c>
      <c r="BA209" s="89" t="s">
        <v>646</v>
      </c>
      <c r="BB209" s="89" t="s">
        <v>646</v>
      </c>
      <c r="BC209" s="89" t="s">
        <v>646</v>
      </c>
      <c r="BD209" s="89" t="s">
        <v>17772</v>
      </c>
      <c r="BE209" s="89">
        <v>2020</v>
      </c>
      <c r="BF209" s="89">
        <v>107</v>
      </c>
      <c r="BG209" s="89" t="s">
        <v>646</v>
      </c>
      <c r="BH209" s="89" t="s">
        <v>646</v>
      </c>
      <c r="BI209" s="89" t="s">
        <v>646</v>
      </c>
      <c r="BJ209" s="89" t="s">
        <v>646</v>
      </c>
      <c r="BK209" s="89" t="s">
        <v>646</v>
      </c>
      <c r="BL209" s="89" t="s">
        <v>646</v>
      </c>
      <c r="BM209" s="89" t="s">
        <v>646</v>
      </c>
      <c r="BN209" s="89">
        <v>105775</v>
      </c>
      <c r="BO209" s="89" t="str">
        <f>HYPERLINK("http://dx.doi.org/10.1016/j.chb.2018.11.004","http://dx.doi.org/10.1016/j.chb.2018.11.004")</f>
        <v>http://dx.doi.org/10.1016/j.chb.2018.11.004</v>
      </c>
      <c r="BP209" s="89" t="s">
        <v>646</v>
      </c>
      <c r="BQ209" s="89" t="s">
        <v>646</v>
      </c>
      <c r="BR209" s="89" t="s">
        <v>646</v>
      </c>
      <c r="BS209" s="89" t="s">
        <v>646</v>
      </c>
      <c r="BT209" s="89" t="s">
        <v>646</v>
      </c>
      <c r="BU209" s="89" t="s">
        <v>646</v>
      </c>
      <c r="BV209" s="89" t="s">
        <v>646</v>
      </c>
      <c r="BW209" s="89" t="s">
        <v>646</v>
      </c>
      <c r="BX209" s="89" t="s">
        <v>646</v>
      </c>
      <c r="BY209" s="89" t="s">
        <v>646</v>
      </c>
      <c r="BZ209" s="89" t="s">
        <v>646</v>
      </c>
      <c r="CA209" s="89" t="s">
        <v>646</v>
      </c>
      <c r="CB209" s="89" t="s">
        <v>19319</v>
      </c>
      <c r="CC209" s="89" t="str">
        <f>HYPERLINK("https%3A%2F%2Fwww.webofscience.com%2Fwos%2Fwoscc%2Ffull-record%2FWOS:000523598100006","View Full Record in Web of Science")</f>
        <v>View Full Record in Web of Science</v>
      </c>
    </row>
    <row r="210" spans="1:81" ht="13.2" hidden="1" x14ac:dyDescent="0.25">
      <c r="A210" s="89" t="s">
        <v>11266</v>
      </c>
      <c r="B210" s="89" t="e">
        <f>+#REF!</f>
        <v>#REF!</v>
      </c>
      <c r="C210" s="89"/>
      <c r="D210" s="91" t="s">
        <v>717</v>
      </c>
      <c r="E210" s="90" t="e">
        <v>#REF!</v>
      </c>
      <c r="F210" s="89"/>
      <c r="G210" s="89"/>
      <c r="H210" s="89" t="s">
        <v>11267</v>
      </c>
      <c r="I210" s="89" t="s">
        <v>19320</v>
      </c>
      <c r="J210" s="89" t="s">
        <v>646</v>
      </c>
      <c r="K210" s="89" t="s">
        <v>19321</v>
      </c>
      <c r="M210" s="89">
        <v>2008</v>
      </c>
      <c r="N210" s="89" t="s">
        <v>18779</v>
      </c>
      <c r="O210" s="89" t="s">
        <v>646</v>
      </c>
      <c r="P210" s="89" t="str">
        <f>HYPERLINK("http://dx.doi.org/10.1016/j.infsof.2007.08.006","http://dx.doi.org/10.1016/j.infsof.2007.08.006")</f>
        <v>http://dx.doi.org/10.1016/j.infsof.2007.08.006</v>
      </c>
      <c r="S210" s="89" t="s">
        <v>646</v>
      </c>
      <c r="U210" s="89" t="s">
        <v>17462</v>
      </c>
      <c r="W210" s="89" t="s">
        <v>646</v>
      </c>
      <c r="X210" s="89" t="s">
        <v>646</v>
      </c>
      <c r="Y210" s="89" t="s">
        <v>646</v>
      </c>
      <c r="Z210" s="89" t="s">
        <v>646</v>
      </c>
      <c r="AA210" s="89" t="s">
        <v>646</v>
      </c>
      <c r="AB210" s="89" t="s">
        <v>646</v>
      </c>
      <c r="AC210" s="89" t="s">
        <v>646</v>
      </c>
      <c r="AD210" s="89" t="s">
        <v>646</v>
      </c>
      <c r="AE210" s="89" t="s">
        <v>646</v>
      </c>
      <c r="AF210" s="89" t="s">
        <v>19321</v>
      </c>
      <c r="AG210" s="89" t="s">
        <v>646</v>
      </c>
      <c r="AH210" s="89" t="s">
        <v>646</v>
      </c>
      <c r="AI210" s="89" t="s">
        <v>646</v>
      </c>
      <c r="AJ210" s="89" t="s">
        <v>646</v>
      </c>
      <c r="AK210" s="89" t="s">
        <v>646</v>
      </c>
      <c r="AL210" s="89" t="s">
        <v>646</v>
      </c>
      <c r="AM210" s="89" t="s">
        <v>646</v>
      </c>
      <c r="AN210" s="89" t="s">
        <v>646</v>
      </c>
      <c r="AO210" s="89" t="s">
        <v>646</v>
      </c>
      <c r="AP210" s="89" t="s">
        <v>646</v>
      </c>
      <c r="AQ210" s="89" t="s">
        <v>646</v>
      </c>
      <c r="AR210" s="89" t="s">
        <v>646</v>
      </c>
      <c r="AS210" s="89" t="s">
        <v>646</v>
      </c>
      <c r="AT210" s="89" t="s">
        <v>646</v>
      </c>
      <c r="AU210" s="89" t="s">
        <v>646</v>
      </c>
      <c r="AV210" s="89" t="s">
        <v>646</v>
      </c>
      <c r="AW210" s="89" t="s">
        <v>646</v>
      </c>
      <c r="AX210" s="89" t="s">
        <v>646</v>
      </c>
      <c r="AY210" s="89" t="s">
        <v>18782</v>
      </c>
      <c r="AZ210" s="89" t="s">
        <v>18783</v>
      </c>
      <c r="BA210" s="89" t="s">
        <v>646</v>
      </c>
      <c r="BB210" s="89" t="s">
        <v>646</v>
      </c>
      <c r="BC210" s="89" t="s">
        <v>646</v>
      </c>
      <c r="BD210" s="89" t="s">
        <v>18436</v>
      </c>
      <c r="BE210" s="89">
        <v>2008</v>
      </c>
      <c r="BF210" s="89">
        <v>50</v>
      </c>
      <c r="BG210" s="89">
        <v>6</v>
      </c>
      <c r="BH210" s="89" t="s">
        <v>646</v>
      </c>
      <c r="BI210" s="89" t="s">
        <v>646</v>
      </c>
      <c r="BJ210" s="89" t="s">
        <v>646</v>
      </c>
      <c r="BK210" s="89" t="s">
        <v>646</v>
      </c>
      <c r="BL210" s="89">
        <v>499</v>
      </c>
      <c r="BM210" s="89">
        <v>510</v>
      </c>
      <c r="BN210" s="89" t="s">
        <v>646</v>
      </c>
      <c r="BO210" s="89" t="str">
        <f>HYPERLINK("http://dx.doi.org/10.1016/j.infsof.2007.08.006","http://dx.doi.org/10.1016/j.infsof.2007.08.006")</f>
        <v>http://dx.doi.org/10.1016/j.infsof.2007.08.006</v>
      </c>
      <c r="BP210" s="89" t="s">
        <v>646</v>
      </c>
      <c r="BQ210" s="89" t="s">
        <v>646</v>
      </c>
      <c r="BR210" s="89" t="s">
        <v>646</v>
      </c>
      <c r="BS210" s="89" t="s">
        <v>646</v>
      </c>
      <c r="BT210" s="89" t="s">
        <v>646</v>
      </c>
      <c r="BU210" s="89" t="s">
        <v>646</v>
      </c>
      <c r="BV210" s="89" t="s">
        <v>646</v>
      </c>
      <c r="BW210" s="89" t="s">
        <v>646</v>
      </c>
      <c r="BX210" s="89" t="s">
        <v>646</v>
      </c>
      <c r="BY210" s="89" t="s">
        <v>646</v>
      </c>
      <c r="BZ210" s="89" t="s">
        <v>646</v>
      </c>
      <c r="CA210" s="89" t="s">
        <v>646</v>
      </c>
      <c r="CB210" s="89" t="s">
        <v>19322</v>
      </c>
      <c r="CC210" s="89" t="str">
        <f>HYPERLINK("https%3A%2F%2Fwww.webofscience.com%2Fwos%2Fwoscc%2Ffull-record%2FWOS:000255506100002","View Full Record in Web of Science")</f>
        <v>View Full Record in Web of Science</v>
      </c>
    </row>
    <row r="211" spans="1:81" ht="13.2" hidden="1" x14ac:dyDescent="0.25">
      <c r="A211" s="89" t="s">
        <v>11275</v>
      </c>
      <c r="B211" s="89" t="e">
        <f>+#REF!</f>
        <v>#REF!</v>
      </c>
      <c r="C211" s="89"/>
      <c r="D211" s="91" t="s">
        <v>717</v>
      </c>
      <c r="E211" s="90" t="e">
        <v>#REF!</v>
      </c>
      <c r="F211" s="89"/>
      <c r="G211" s="89"/>
      <c r="H211" s="89" t="s">
        <v>11276</v>
      </c>
      <c r="I211" s="89" t="s">
        <v>19323</v>
      </c>
      <c r="J211" s="89" t="s">
        <v>19331</v>
      </c>
      <c r="K211" s="89" t="s">
        <v>19330</v>
      </c>
      <c r="M211" s="89">
        <v>2001</v>
      </c>
      <c r="N211" s="89" t="s">
        <v>19325</v>
      </c>
      <c r="O211" s="89" t="s">
        <v>646</v>
      </c>
      <c r="P211" s="89" t="str">
        <f>HYPERLINK("http://dx.doi.org/10.1109/ICSE.2001.919083","http://dx.doi.org/10.1109/ICSE.2001.919083")</f>
        <v>http://dx.doi.org/10.1109/ICSE.2001.919083</v>
      </c>
      <c r="S211" s="89" t="s">
        <v>19324</v>
      </c>
      <c r="U211" s="89" t="s">
        <v>17474</v>
      </c>
      <c r="W211" s="89" t="s">
        <v>646</v>
      </c>
      <c r="X211" s="89" t="s">
        <v>646</v>
      </c>
      <c r="Y211" s="89" t="s">
        <v>19326</v>
      </c>
      <c r="Z211" s="89" t="s">
        <v>19327</v>
      </c>
      <c r="AA211" s="89" t="s">
        <v>19328</v>
      </c>
      <c r="AB211" s="89" t="s">
        <v>19329</v>
      </c>
      <c r="AC211" s="89" t="s">
        <v>646</v>
      </c>
      <c r="AD211" s="89" t="s">
        <v>646</v>
      </c>
      <c r="AE211" s="89" t="s">
        <v>646</v>
      </c>
      <c r="AF211" s="89" t="s">
        <v>19330</v>
      </c>
      <c r="AG211" s="89" t="s">
        <v>646</v>
      </c>
      <c r="AH211" s="89" t="s">
        <v>646</v>
      </c>
      <c r="AI211" s="89" t="s">
        <v>646</v>
      </c>
      <c r="AJ211" s="89" t="s">
        <v>646</v>
      </c>
      <c r="AK211" s="89" t="s">
        <v>19331</v>
      </c>
      <c r="AL211" s="89" t="s">
        <v>19332</v>
      </c>
      <c r="AM211" s="89" t="s">
        <v>646</v>
      </c>
      <c r="AN211" s="89" t="s">
        <v>646</v>
      </c>
      <c r="AO211" s="89" t="s">
        <v>646</v>
      </c>
      <c r="AP211" s="89" t="s">
        <v>646</v>
      </c>
      <c r="AQ211" s="89" t="s">
        <v>646</v>
      </c>
      <c r="AR211" s="89" t="s">
        <v>646</v>
      </c>
      <c r="AS211" s="89" t="s">
        <v>646</v>
      </c>
      <c r="AT211" s="89" t="s">
        <v>646</v>
      </c>
      <c r="AU211" s="89" t="s">
        <v>646</v>
      </c>
      <c r="AV211" s="89" t="s">
        <v>646</v>
      </c>
      <c r="AW211" s="89" t="s">
        <v>646</v>
      </c>
      <c r="AX211" s="89" t="s">
        <v>646</v>
      </c>
      <c r="AY211" s="89" t="s">
        <v>19333</v>
      </c>
      <c r="AZ211" s="89" t="s">
        <v>646</v>
      </c>
      <c r="BA211" s="89" t="s">
        <v>19334</v>
      </c>
      <c r="BB211" s="89" t="s">
        <v>646</v>
      </c>
      <c r="BC211" s="89" t="s">
        <v>646</v>
      </c>
      <c r="BD211" s="89" t="s">
        <v>646</v>
      </c>
      <c r="BE211" s="89">
        <v>2001</v>
      </c>
      <c r="BF211" s="89" t="s">
        <v>646</v>
      </c>
      <c r="BG211" s="89" t="s">
        <v>646</v>
      </c>
      <c r="BH211" s="89" t="s">
        <v>646</v>
      </c>
      <c r="BI211" s="89" t="s">
        <v>646</v>
      </c>
      <c r="BJ211" s="89" t="s">
        <v>646</v>
      </c>
      <c r="BK211" s="89" t="s">
        <v>646</v>
      </c>
      <c r="BL211" s="89">
        <v>81</v>
      </c>
      <c r="BM211" s="89">
        <v>90</v>
      </c>
      <c r="BN211" s="89" t="s">
        <v>646</v>
      </c>
      <c r="BO211" s="89" t="str">
        <f>HYPERLINK("http://dx.doi.org/10.1109/ICSE.2001.919083","http://dx.doi.org/10.1109/ICSE.2001.919083")</f>
        <v>http://dx.doi.org/10.1109/ICSE.2001.919083</v>
      </c>
      <c r="BP211" s="89" t="s">
        <v>646</v>
      </c>
      <c r="BQ211" s="89" t="s">
        <v>646</v>
      </c>
      <c r="BR211" s="89" t="s">
        <v>646</v>
      </c>
      <c r="BS211" s="89" t="s">
        <v>646</v>
      </c>
      <c r="BT211" s="89" t="s">
        <v>646</v>
      </c>
      <c r="BU211" s="89" t="s">
        <v>646</v>
      </c>
      <c r="BV211" s="89" t="s">
        <v>646</v>
      </c>
      <c r="BW211" s="89" t="s">
        <v>646</v>
      </c>
      <c r="BX211" s="89" t="s">
        <v>646</v>
      </c>
      <c r="BY211" s="89" t="s">
        <v>646</v>
      </c>
      <c r="BZ211" s="89" t="s">
        <v>646</v>
      </c>
      <c r="CA211" s="89" t="s">
        <v>646</v>
      </c>
      <c r="CB211" s="89" t="s">
        <v>19335</v>
      </c>
      <c r="CC211" s="89" t="str">
        <f>HYPERLINK("https%3A%2F%2Fwww.webofscience.com%2Fwos%2Fwoscc%2Ffull-record%2FWOS:000169430600008","View Full Record in Web of Science")</f>
        <v>View Full Record in Web of Science</v>
      </c>
    </row>
    <row r="212" spans="1:81" ht="13.2" hidden="1" x14ac:dyDescent="0.25">
      <c r="A212" s="89" t="s">
        <v>19336</v>
      </c>
      <c r="B212" s="89" t="e">
        <f>+#REF!</f>
        <v>#REF!</v>
      </c>
      <c r="C212" s="89"/>
      <c r="D212" s="91" t="s">
        <v>717</v>
      </c>
      <c r="E212" s="90" t="e">
        <v>#REF!</v>
      </c>
      <c r="F212" s="89"/>
      <c r="G212" s="89"/>
      <c r="H212" s="89" t="s">
        <v>11284</v>
      </c>
      <c r="I212" s="89" t="s">
        <v>19337</v>
      </c>
      <c r="J212" s="89" t="s">
        <v>646</v>
      </c>
      <c r="K212" s="89" t="s">
        <v>19341</v>
      </c>
      <c r="M212" s="89">
        <v>2017</v>
      </c>
      <c r="N212" s="89" t="s">
        <v>19338</v>
      </c>
      <c r="O212" s="89" t="s">
        <v>646</v>
      </c>
      <c r="P212" s="89" t="str">
        <f>HYPERLINK("http://dx.doi.org/10.1109/ICSE-SEIP.2017.30","http://dx.doi.org/10.1109/ICSE-SEIP.2017.30")</f>
        <v>http://dx.doi.org/10.1109/ICSE-SEIP.2017.30</v>
      </c>
      <c r="S212" s="89" t="s">
        <v>17475</v>
      </c>
      <c r="U212" s="89" t="s">
        <v>17474</v>
      </c>
      <c r="W212" s="89" t="s">
        <v>646</v>
      </c>
      <c r="X212" s="89" t="s">
        <v>646</v>
      </c>
      <c r="Y212" s="89" t="s">
        <v>19339</v>
      </c>
      <c r="Z212" s="89" t="s">
        <v>18860</v>
      </c>
      <c r="AA212" s="89" t="s">
        <v>18861</v>
      </c>
      <c r="AB212" s="89" t="s">
        <v>19340</v>
      </c>
      <c r="AC212" s="89" t="s">
        <v>646</v>
      </c>
      <c r="AD212" s="89" t="s">
        <v>646</v>
      </c>
      <c r="AE212" s="89" t="s">
        <v>646</v>
      </c>
      <c r="AF212" s="89" t="s">
        <v>19341</v>
      </c>
      <c r="AG212" s="89" t="s">
        <v>646</v>
      </c>
      <c r="AH212" s="89" t="s">
        <v>646</v>
      </c>
      <c r="AI212" s="89" t="s">
        <v>646</v>
      </c>
      <c r="AJ212" s="89" t="s">
        <v>646</v>
      </c>
      <c r="AK212" s="89" t="s">
        <v>646</v>
      </c>
      <c r="AL212" s="89" t="s">
        <v>19342</v>
      </c>
      <c r="AM212" s="89" t="s">
        <v>646</v>
      </c>
      <c r="AN212" s="89" t="s">
        <v>646</v>
      </c>
      <c r="AO212" s="89" t="s">
        <v>646</v>
      </c>
      <c r="AP212" s="89" t="s">
        <v>646</v>
      </c>
      <c r="AQ212" s="89" t="s">
        <v>646</v>
      </c>
      <c r="AR212" s="89" t="s">
        <v>646</v>
      </c>
      <c r="AS212" s="89" t="s">
        <v>646</v>
      </c>
      <c r="AT212" s="89" t="s">
        <v>646</v>
      </c>
      <c r="AU212" s="89" t="s">
        <v>646</v>
      </c>
      <c r="AV212" s="89" t="s">
        <v>646</v>
      </c>
      <c r="AW212" s="89" t="s">
        <v>646</v>
      </c>
      <c r="AX212" s="89" t="s">
        <v>646</v>
      </c>
      <c r="AY212" s="89" t="s">
        <v>646</v>
      </c>
      <c r="AZ212" s="89" t="s">
        <v>646</v>
      </c>
      <c r="BA212" s="89" t="s">
        <v>19343</v>
      </c>
      <c r="BB212" s="89" t="s">
        <v>646</v>
      </c>
      <c r="BC212" s="89" t="s">
        <v>646</v>
      </c>
      <c r="BD212" s="89" t="s">
        <v>646</v>
      </c>
      <c r="BE212" s="89">
        <v>2017</v>
      </c>
      <c r="BF212" s="89" t="s">
        <v>646</v>
      </c>
      <c r="BG212" s="89" t="s">
        <v>646</v>
      </c>
      <c r="BH212" s="89" t="s">
        <v>646</v>
      </c>
      <c r="BI212" s="89" t="s">
        <v>646</v>
      </c>
      <c r="BJ212" s="89" t="s">
        <v>646</v>
      </c>
      <c r="BK212" s="89" t="s">
        <v>646</v>
      </c>
      <c r="BL212" s="89">
        <v>183</v>
      </c>
      <c r="BM212" s="89">
        <v>192</v>
      </c>
      <c r="BN212" s="89" t="s">
        <v>646</v>
      </c>
      <c r="BO212" s="89" t="str">
        <f>HYPERLINK("http://dx.doi.org/10.1109/ICSE-SEIP.2017.30","http://dx.doi.org/10.1109/ICSE-SEIP.2017.30")</f>
        <v>http://dx.doi.org/10.1109/ICSE-SEIP.2017.30</v>
      </c>
      <c r="BP212" s="89" t="s">
        <v>646</v>
      </c>
      <c r="BQ212" s="89" t="s">
        <v>646</v>
      </c>
      <c r="BR212" s="89" t="s">
        <v>646</v>
      </c>
      <c r="BS212" s="89" t="s">
        <v>646</v>
      </c>
      <c r="BT212" s="89" t="s">
        <v>646</v>
      </c>
      <c r="BU212" s="89" t="s">
        <v>646</v>
      </c>
      <c r="BV212" s="89" t="s">
        <v>646</v>
      </c>
      <c r="BW212" s="89" t="s">
        <v>646</v>
      </c>
      <c r="BX212" s="89" t="s">
        <v>646</v>
      </c>
      <c r="BY212" s="89" t="s">
        <v>646</v>
      </c>
      <c r="BZ212" s="89" t="s">
        <v>646</v>
      </c>
      <c r="CA212" s="89" t="s">
        <v>646</v>
      </c>
      <c r="CB212" s="89" t="s">
        <v>19344</v>
      </c>
      <c r="CC212" s="89" t="str">
        <f>HYPERLINK("https%3A%2F%2Fwww.webofscience.com%2Fwos%2Fwoscc%2Ffull-record%2FWOS:000463708700019","View Full Record in Web of Science")</f>
        <v>View Full Record in Web of Science</v>
      </c>
    </row>
    <row r="213" spans="1:81" ht="13.2" hidden="1" x14ac:dyDescent="0.25">
      <c r="A213" s="89" t="s">
        <v>19345</v>
      </c>
      <c r="B213" s="89" t="e">
        <f>+#REF!</f>
        <v>#REF!</v>
      </c>
      <c r="C213" s="89"/>
      <c r="D213" s="91" t="s">
        <v>717</v>
      </c>
      <c r="E213" s="90" t="e">
        <v>#REF!</v>
      </c>
      <c r="F213" s="89"/>
      <c r="G213" s="89"/>
      <c r="H213" s="89" t="s">
        <v>8988</v>
      </c>
      <c r="I213" s="89" t="s">
        <v>19347</v>
      </c>
      <c r="J213" s="89" t="s">
        <v>19352</v>
      </c>
      <c r="K213" s="89" t="s">
        <v>19351</v>
      </c>
      <c r="M213" s="89">
        <v>2021</v>
      </c>
      <c r="N213" s="89" t="s">
        <v>19348</v>
      </c>
      <c r="O213" s="89" t="s">
        <v>19346</v>
      </c>
      <c r="P213" s="89" t="str">
        <f>HYPERLINK("http://dx.doi.org/10.1016/j.procs.2021.01.285","http://dx.doi.org/10.1016/j.procs.2021.01.285")</f>
        <v>http://dx.doi.org/10.1016/j.procs.2021.01.285</v>
      </c>
      <c r="S213" s="89" t="s">
        <v>646</v>
      </c>
      <c r="U213" s="89" t="s">
        <v>17474</v>
      </c>
      <c r="W213" s="89" t="s">
        <v>646</v>
      </c>
      <c r="X213" s="89" t="s">
        <v>646</v>
      </c>
      <c r="Y213" s="89" t="s">
        <v>19349</v>
      </c>
      <c r="Z213" s="89" t="s">
        <v>19350</v>
      </c>
      <c r="AA213" s="89" t="s">
        <v>17494</v>
      </c>
      <c r="AB213" s="89" t="s">
        <v>646</v>
      </c>
      <c r="AC213" s="89" t="s">
        <v>646</v>
      </c>
      <c r="AD213" s="89" t="s">
        <v>646</v>
      </c>
      <c r="AE213" s="89" t="s">
        <v>646</v>
      </c>
      <c r="AF213" s="89" t="s">
        <v>19351</v>
      </c>
      <c r="AG213" s="89" t="s">
        <v>646</v>
      </c>
      <c r="AH213" s="89" t="s">
        <v>646</v>
      </c>
      <c r="AI213" s="89" t="s">
        <v>646</v>
      </c>
      <c r="AJ213" s="89" t="s">
        <v>646</v>
      </c>
      <c r="AK213" s="89" t="s">
        <v>19352</v>
      </c>
      <c r="AL213" s="89" t="s">
        <v>19353</v>
      </c>
      <c r="AM213" s="89" t="s">
        <v>646</v>
      </c>
      <c r="AN213" s="89" t="s">
        <v>646</v>
      </c>
      <c r="AO213" s="89" t="s">
        <v>646</v>
      </c>
      <c r="AP213" s="89" t="s">
        <v>646</v>
      </c>
      <c r="AQ213" s="89" t="s">
        <v>646</v>
      </c>
      <c r="AR213" s="89" t="s">
        <v>646</v>
      </c>
      <c r="AS213" s="89" t="s">
        <v>646</v>
      </c>
      <c r="AT213" s="89" t="s">
        <v>646</v>
      </c>
      <c r="AU213" s="89" t="s">
        <v>646</v>
      </c>
      <c r="AV213" s="89" t="s">
        <v>646</v>
      </c>
      <c r="AW213" s="89" t="s">
        <v>646</v>
      </c>
      <c r="AX213" s="89" t="s">
        <v>646</v>
      </c>
      <c r="AY213" s="89" t="s">
        <v>19354</v>
      </c>
      <c r="AZ213" s="89" t="s">
        <v>646</v>
      </c>
      <c r="BA213" s="89" t="s">
        <v>646</v>
      </c>
      <c r="BB213" s="89" t="s">
        <v>646</v>
      </c>
      <c r="BC213" s="89" t="s">
        <v>646</v>
      </c>
      <c r="BD213" s="89" t="s">
        <v>646</v>
      </c>
      <c r="BE213" s="89">
        <v>2021</v>
      </c>
      <c r="BF213" s="89">
        <v>180</v>
      </c>
      <c r="BG213" s="89" t="s">
        <v>646</v>
      </c>
      <c r="BH213" s="89" t="s">
        <v>646</v>
      </c>
      <c r="BI213" s="89" t="s">
        <v>646</v>
      </c>
      <c r="BJ213" s="89" t="s">
        <v>646</v>
      </c>
      <c r="BK213" s="89" t="s">
        <v>646</v>
      </c>
      <c r="BL213" s="89">
        <v>628</v>
      </c>
      <c r="BM213" s="89">
        <v>638</v>
      </c>
      <c r="BN213" s="89" t="s">
        <v>646</v>
      </c>
      <c r="BO213" s="89" t="str">
        <f>HYPERLINK("http://dx.doi.org/10.1016/j.procs.2021.01.285","http://dx.doi.org/10.1016/j.procs.2021.01.285")</f>
        <v>http://dx.doi.org/10.1016/j.procs.2021.01.285</v>
      </c>
      <c r="BP213" s="89" t="s">
        <v>646</v>
      </c>
      <c r="BQ213" s="89" t="s">
        <v>646</v>
      </c>
      <c r="BR213" s="89" t="s">
        <v>646</v>
      </c>
      <c r="BS213" s="89" t="s">
        <v>646</v>
      </c>
      <c r="BT213" s="89" t="s">
        <v>646</v>
      </c>
      <c r="BU213" s="89" t="s">
        <v>646</v>
      </c>
      <c r="BV213" s="89" t="s">
        <v>646</v>
      </c>
      <c r="BW213" s="89" t="s">
        <v>646</v>
      </c>
      <c r="BX213" s="89" t="s">
        <v>646</v>
      </c>
      <c r="BY213" s="89" t="s">
        <v>646</v>
      </c>
      <c r="BZ213" s="89" t="s">
        <v>646</v>
      </c>
      <c r="CA213" s="89" t="s">
        <v>646</v>
      </c>
      <c r="CB213" s="89" t="s">
        <v>19355</v>
      </c>
      <c r="CC213" s="89" t="str">
        <f>HYPERLINK("https%3A%2F%2Fwww.webofscience.com%2Fwos%2Fwoscc%2Ffull-record%2FWOS:000655006800069","View Full Record in Web of Science")</f>
        <v>View Full Record in Web of Science</v>
      </c>
    </row>
    <row r="214" spans="1:81" ht="13.2" hidden="1" x14ac:dyDescent="0.25">
      <c r="A214" s="89" t="s">
        <v>19356</v>
      </c>
      <c r="B214" s="89" t="e">
        <f>+#REF!</f>
        <v>#REF!</v>
      </c>
      <c r="C214" s="89"/>
      <c r="D214" s="91" t="s">
        <v>717</v>
      </c>
      <c r="E214" s="90" t="e">
        <v>#REF!</v>
      </c>
      <c r="F214" s="89"/>
      <c r="G214" s="89"/>
      <c r="H214" s="89" t="s">
        <v>646</v>
      </c>
      <c r="I214" s="89" t="s">
        <v>19357</v>
      </c>
      <c r="J214" s="89" t="s">
        <v>19365</v>
      </c>
      <c r="K214" s="89" t="s">
        <v>19364</v>
      </c>
      <c r="M214" s="89">
        <v>2018</v>
      </c>
      <c r="N214" s="89" t="s">
        <v>19358</v>
      </c>
      <c r="O214" s="89" t="s">
        <v>646</v>
      </c>
      <c r="P214" s="89" t="s">
        <v>646</v>
      </c>
      <c r="S214" s="89" t="s">
        <v>17475</v>
      </c>
      <c r="U214" s="89" t="s">
        <v>17474</v>
      </c>
      <c r="W214" s="89" t="s">
        <v>646</v>
      </c>
      <c r="X214" s="89" t="s">
        <v>646</v>
      </c>
      <c r="Y214" s="89" t="s">
        <v>19359</v>
      </c>
      <c r="Z214" s="89" t="s">
        <v>19360</v>
      </c>
      <c r="AA214" s="89" t="s">
        <v>19361</v>
      </c>
      <c r="AB214" s="89" t="s">
        <v>19362</v>
      </c>
      <c r="AC214" s="89" t="s">
        <v>19363</v>
      </c>
      <c r="AD214" s="89" t="s">
        <v>646</v>
      </c>
      <c r="AE214" s="89" t="s">
        <v>646</v>
      </c>
      <c r="AF214" s="89" t="s">
        <v>19364</v>
      </c>
      <c r="AG214" s="89" t="s">
        <v>646</v>
      </c>
      <c r="AH214" s="89" t="s">
        <v>646</v>
      </c>
      <c r="AI214" s="89" t="s">
        <v>646</v>
      </c>
      <c r="AJ214" s="89" t="s">
        <v>646</v>
      </c>
      <c r="AK214" s="89" t="s">
        <v>19365</v>
      </c>
      <c r="AL214" s="89" t="s">
        <v>19366</v>
      </c>
      <c r="AM214" s="89" t="s">
        <v>646</v>
      </c>
      <c r="AN214" s="89" t="s">
        <v>646</v>
      </c>
      <c r="AO214" s="89" t="s">
        <v>646</v>
      </c>
      <c r="AP214" s="89" t="s">
        <v>646</v>
      </c>
      <c r="AQ214" s="89" t="s">
        <v>646</v>
      </c>
      <c r="AR214" s="89" t="s">
        <v>646</v>
      </c>
      <c r="AS214" s="89" t="s">
        <v>646</v>
      </c>
      <c r="AT214" s="89" t="s">
        <v>646</v>
      </c>
      <c r="AU214" s="89" t="s">
        <v>646</v>
      </c>
      <c r="AV214" s="89" t="s">
        <v>646</v>
      </c>
      <c r="AW214" s="89" t="s">
        <v>646</v>
      </c>
      <c r="AX214" s="89" t="s">
        <v>646</v>
      </c>
      <c r="AY214" s="89" t="s">
        <v>19367</v>
      </c>
      <c r="AZ214" s="89" t="s">
        <v>646</v>
      </c>
      <c r="BA214" s="89" t="s">
        <v>19368</v>
      </c>
      <c r="BB214" s="89" t="s">
        <v>646</v>
      </c>
      <c r="BC214" s="89" t="s">
        <v>646</v>
      </c>
      <c r="BD214" s="89" t="s">
        <v>646</v>
      </c>
      <c r="BE214" s="89">
        <v>2018</v>
      </c>
      <c r="BF214" s="89" t="s">
        <v>646</v>
      </c>
      <c r="BG214" s="89" t="s">
        <v>646</v>
      </c>
      <c r="BH214" s="89" t="s">
        <v>646</v>
      </c>
      <c r="BI214" s="89" t="s">
        <v>646</v>
      </c>
      <c r="BJ214" s="89" t="s">
        <v>646</v>
      </c>
      <c r="BK214" s="89" t="s">
        <v>646</v>
      </c>
      <c r="BL214" s="89">
        <v>150</v>
      </c>
      <c r="BM214" s="89">
        <v>156</v>
      </c>
      <c r="BN214" s="89" t="s">
        <v>646</v>
      </c>
      <c r="BO214" s="89" t="s">
        <v>646</v>
      </c>
      <c r="BP214" s="89" t="s">
        <v>646</v>
      </c>
      <c r="BQ214" s="89" t="s">
        <v>646</v>
      </c>
      <c r="BR214" s="89" t="s">
        <v>646</v>
      </c>
      <c r="BS214" s="89" t="s">
        <v>646</v>
      </c>
      <c r="BT214" s="89" t="s">
        <v>646</v>
      </c>
      <c r="BU214" s="89" t="s">
        <v>646</v>
      </c>
      <c r="BV214" s="89" t="s">
        <v>646</v>
      </c>
      <c r="BW214" s="89" t="s">
        <v>646</v>
      </c>
      <c r="BX214" s="89" t="s">
        <v>646</v>
      </c>
      <c r="BY214" s="89" t="s">
        <v>646</v>
      </c>
      <c r="BZ214" s="89" t="s">
        <v>646</v>
      </c>
      <c r="CA214" s="89" t="s">
        <v>646</v>
      </c>
      <c r="CB214" s="89" t="s">
        <v>19369</v>
      </c>
      <c r="CC214" s="89" t="str">
        <f>HYPERLINK("https%3A%2F%2Fwww.webofscience.com%2Fwos%2Fwoscc%2Ffull-record%2FWOS:000459882500021","View Full Record in Web of Science")</f>
        <v>View Full Record in Web of Science</v>
      </c>
    </row>
    <row r="215" spans="1:81" ht="13.2" hidden="1" x14ac:dyDescent="0.25">
      <c r="A215" s="89" t="s">
        <v>1488</v>
      </c>
      <c r="B215" s="89" t="e">
        <f>+#REF!</f>
        <v>#REF!</v>
      </c>
      <c r="C215" s="89"/>
      <c r="D215" s="91" t="s">
        <v>717</v>
      </c>
      <c r="E215" s="90" t="e">
        <v>#REF!</v>
      </c>
      <c r="F215" s="89"/>
      <c r="G215" s="89"/>
      <c r="H215" s="89" t="s">
        <v>1490</v>
      </c>
      <c r="I215" s="89" t="s">
        <v>19370</v>
      </c>
      <c r="J215" s="89" t="s">
        <v>19372</v>
      </c>
      <c r="K215" s="89" t="s">
        <v>19371</v>
      </c>
      <c r="M215" s="89">
        <v>2019</v>
      </c>
      <c r="N215" s="89" t="s">
        <v>18423</v>
      </c>
      <c r="O215" s="89" t="s">
        <v>646</v>
      </c>
      <c r="P215" s="89" t="str">
        <f>HYPERLINK("http://dx.doi.org/10.1109/ACCESS.2019.2953008","http://dx.doi.org/10.1109/ACCESS.2019.2953008")</f>
        <v>http://dx.doi.org/10.1109/ACCESS.2019.2953008</v>
      </c>
      <c r="S215" s="89" t="s">
        <v>646</v>
      </c>
      <c r="U215" s="89" t="s">
        <v>17462</v>
      </c>
      <c r="W215" s="89" t="s">
        <v>646</v>
      </c>
      <c r="X215" s="89" t="s">
        <v>646</v>
      </c>
      <c r="Y215" s="89" t="s">
        <v>646</v>
      </c>
      <c r="Z215" s="89" t="s">
        <v>646</v>
      </c>
      <c r="AA215" s="89" t="s">
        <v>646</v>
      </c>
      <c r="AB215" s="89" t="s">
        <v>646</v>
      </c>
      <c r="AC215" s="89" t="s">
        <v>646</v>
      </c>
      <c r="AD215" s="89" t="s">
        <v>646</v>
      </c>
      <c r="AE215" s="89" t="s">
        <v>646</v>
      </c>
      <c r="AF215" s="89" t="s">
        <v>19371</v>
      </c>
      <c r="AG215" s="89" t="s">
        <v>646</v>
      </c>
      <c r="AH215" s="89" t="s">
        <v>646</v>
      </c>
      <c r="AI215" s="89" t="s">
        <v>646</v>
      </c>
      <c r="AJ215" s="89" t="s">
        <v>646</v>
      </c>
      <c r="AK215" s="89" t="s">
        <v>19372</v>
      </c>
      <c r="AL215" s="89" t="s">
        <v>19373</v>
      </c>
      <c r="AM215" s="89" t="s">
        <v>646</v>
      </c>
      <c r="AN215" s="89" t="s">
        <v>646</v>
      </c>
      <c r="AO215" s="89" t="s">
        <v>646</v>
      </c>
      <c r="AP215" s="89" t="s">
        <v>646</v>
      </c>
      <c r="AQ215" s="89" t="s">
        <v>646</v>
      </c>
      <c r="AR215" s="89" t="s">
        <v>646</v>
      </c>
      <c r="AS215" s="89" t="s">
        <v>646</v>
      </c>
      <c r="AT215" s="89" t="s">
        <v>646</v>
      </c>
      <c r="AU215" s="89" t="s">
        <v>646</v>
      </c>
      <c r="AV215" s="89" t="s">
        <v>646</v>
      </c>
      <c r="AW215" s="89" t="s">
        <v>646</v>
      </c>
      <c r="AX215" s="89" t="s">
        <v>646</v>
      </c>
      <c r="AY215" s="89" t="s">
        <v>18427</v>
      </c>
      <c r="AZ215" s="89" t="s">
        <v>646</v>
      </c>
      <c r="BA215" s="89" t="s">
        <v>646</v>
      </c>
      <c r="BB215" s="89" t="s">
        <v>646</v>
      </c>
      <c r="BC215" s="89" t="s">
        <v>646</v>
      </c>
      <c r="BD215" s="89" t="s">
        <v>646</v>
      </c>
      <c r="BE215" s="89">
        <v>2019</v>
      </c>
      <c r="BF215" s="89">
        <v>7</v>
      </c>
      <c r="BG215" s="89" t="s">
        <v>646</v>
      </c>
      <c r="BH215" s="89" t="s">
        <v>646</v>
      </c>
      <c r="BI215" s="89" t="s">
        <v>646</v>
      </c>
      <c r="BJ215" s="89" t="s">
        <v>646</v>
      </c>
      <c r="BK215" s="89" t="s">
        <v>646</v>
      </c>
      <c r="BL215" s="89">
        <v>171648</v>
      </c>
      <c r="BM215" s="89">
        <v>171672</v>
      </c>
      <c r="BN215" s="89" t="s">
        <v>646</v>
      </c>
      <c r="BO215" s="89" t="str">
        <f>HYPERLINK("http://dx.doi.org/10.1109/ACCESS.2019.2953008","http://dx.doi.org/10.1109/ACCESS.2019.2953008")</f>
        <v>http://dx.doi.org/10.1109/ACCESS.2019.2953008</v>
      </c>
      <c r="BP215" s="89" t="s">
        <v>646</v>
      </c>
      <c r="BQ215" s="89" t="s">
        <v>646</v>
      </c>
      <c r="BR215" s="89" t="s">
        <v>646</v>
      </c>
      <c r="BS215" s="89" t="s">
        <v>646</v>
      </c>
      <c r="BT215" s="89" t="s">
        <v>646</v>
      </c>
      <c r="BU215" s="89" t="s">
        <v>646</v>
      </c>
      <c r="BV215" s="89" t="s">
        <v>646</v>
      </c>
      <c r="BW215" s="89" t="s">
        <v>646</v>
      </c>
      <c r="BX215" s="89" t="s">
        <v>646</v>
      </c>
      <c r="BY215" s="89" t="s">
        <v>646</v>
      </c>
      <c r="BZ215" s="89" t="s">
        <v>646</v>
      </c>
      <c r="CA215" s="89" t="s">
        <v>646</v>
      </c>
      <c r="CB215" s="89" t="s">
        <v>19374</v>
      </c>
      <c r="CC215" s="89" t="str">
        <f>HYPERLINK("https%3A%2F%2Fwww.webofscience.com%2Fwos%2Fwoscc%2Ffull-record%2FWOS:000509374200024","View Full Record in Web of Science")</f>
        <v>View Full Record in Web of Science</v>
      </c>
    </row>
    <row r="216" spans="1:81" ht="13.2" hidden="1" x14ac:dyDescent="0.25">
      <c r="A216" s="89" t="s">
        <v>1623</v>
      </c>
      <c r="B216" s="89" t="e">
        <f>+#REF!</f>
        <v>#REF!</v>
      </c>
      <c r="C216" s="89"/>
      <c r="D216" s="91" t="s">
        <v>717</v>
      </c>
      <c r="E216" s="90" t="e">
        <v>#REF!</v>
      </c>
      <c r="F216" s="89"/>
      <c r="G216" s="89"/>
      <c r="H216" s="89" t="s">
        <v>1625</v>
      </c>
      <c r="I216" s="89" t="s">
        <v>19375</v>
      </c>
      <c r="J216" s="89" t="s">
        <v>19377</v>
      </c>
      <c r="K216" s="89" t="s">
        <v>19376</v>
      </c>
      <c r="M216" s="89">
        <v>2019</v>
      </c>
      <c r="N216" s="89" t="s">
        <v>18423</v>
      </c>
      <c r="O216" s="89" t="s">
        <v>646</v>
      </c>
      <c r="P216" s="89" t="str">
        <f>HYPERLINK("http://dx.doi.org/10.1109/ACCESS.2019.2924404","http://dx.doi.org/10.1109/ACCESS.2019.2924404")</f>
        <v>http://dx.doi.org/10.1109/ACCESS.2019.2924404</v>
      </c>
      <c r="S216" s="89" t="s">
        <v>646</v>
      </c>
      <c r="U216" s="89" t="s">
        <v>17462</v>
      </c>
      <c r="W216" s="89" t="s">
        <v>646</v>
      </c>
      <c r="X216" s="89" t="s">
        <v>646</v>
      </c>
      <c r="Y216" s="89" t="s">
        <v>646</v>
      </c>
      <c r="Z216" s="89" t="s">
        <v>646</v>
      </c>
      <c r="AA216" s="89" t="s">
        <v>646</v>
      </c>
      <c r="AB216" s="89" t="s">
        <v>646</v>
      </c>
      <c r="AC216" s="89" t="s">
        <v>646</v>
      </c>
      <c r="AD216" s="89" t="s">
        <v>646</v>
      </c>
      <c r="AE216" s="89" t="s">
        <v>646</v>
      </c>
      <c r="AF216" s="89" t="s">
        <v>19376</v>
      </c>
      <c r="AG216" s="89" t="s">
        <v>646</v>
      </c>
      <c r="AH216" s="89" t="s">
        <v>646</v>
      </c>
      <c r="AI216" s="89" t="s">
        <v>646</v>
      </c>
      <c r="AJ216" s="89" t="s">
        <v>646</v>
      </c>
      <c r="AK216" s="89" t="s">
        <v>19377</v>
      </c>
      <c r="AL216" s="89" t="s">
        <v>19378</v>
      </c>
      <c r="AM216" s="89" t="s">
        <v>646</v>
      </c>
      <c r="AN216" s="89" t="s">
        <v>646</v>
      </c>
      <c r="AO216" s="89" t="s">
        <v>646</v>
      </c>
      <c r="AP216" s="89" t="s">
        <v>646</v>
      </c>
      <c r="AQ216" s="89" t="s">
        <v>646</v>
      </c>
      <c r="AR216" s="89" t="s">
        <v>646</v>
      </c>
      <c r="AS216" s="89" t="s">
        <v>646</v>
      </c>
      <c r="AT216" s="89" t="s">
        <v>646</v>
      </c>
      <c r="AU216" s="89" t="s">
        <v>646</v>
      </c>
      <c r="AV216" s="89" t="s">
        <v>646</v>
      </c>
      <c r="AW216" s="89" t="s">
        <v>646</v>
      </c>
      <c r="AX216" s="89" t="s">
        <v>646</v>
      </c>
      <c r="AY216" s="89" t="s">
        <v>18427</v>
      </c>
      <c r="AZ216" s="89" t="s">
        <v>646</v>
      </c>
      <c r="BA216" s="89" t="s">
        <v>646</v>
      </c>
      <c r="BB216" s="89" t="s">
        <v>646</v>
      </c>
      <c r="BC216" s="89" t="s">
        <v>646</v>
      </c>
      <c r="BD216" s="89" t="s">
        <v>646</v>
      </c>
      <c r="BE216" s="89">
        <v>2019</v>
      </c>
      <c r="BF216" s="89">
        <v>7</v>
      </c>
      <c r="BG216" s="89" t="s">
        <v>646</v>
      </c>
      <c r="BH216" s="89" t="s">
        <v>646</v>
      </c>
      <c r="BI216" s="89" t="s">
        <v>646</v>
      </c>
      <c r="BJ216" s="89" t="s">
        <v>646</v>
      </c>
      <c r="BK216" s="89" t="s">
        <v>646</v>
      </c>
      <c r="BL216" s="89">
        <v>112879</v>
      </c>
      <c r="BM216" s="89">
        <v>112906</v>
      </c>
      <c r="BN216" s="89" t="s">
        <v>646</v>
      </c>
      <c r="BO216" s="89" t="str">
        <f>HYPERLINK("http://dx.doi.org/10.1109/ACCESS.2019.2924404","http://dx.doi.org/10.1109/ACCESS.2019.2924404")</f>
        <v>http://dx.doi.org/10.1109/ACCESS.2019.2924404</v>
      </c>
      <c r="BP216" s="89" t="s">
        <v>646</v>
      </c>
      <c r="BQ216" s="89" t="s">
        <v>646</v>
      </c>
      <c r="BR216" s="89" t="s">
        <v>646</v>
      </c>
      <c r="BS216" s="89" t="s">
        <v>646</v>
      </c>
      <c r="BT216" s="89" t="s">
        <v>646</v>
      </c>
      <c r="BU216" s="89" t="s">
        <v>646</v>
      </c>
      <c r="BV216" s="89" t="s">
        <v>646</v>
      </c>
      <c r="BW216" s="89" t="s">
        <v>646</v>
      </c>
      <c r="BX216" s="89" t="s">
        <v>646</v>
      </c>
      <c r="BY216" s="89" t="s">
        <v>646</v>
      </c>
      <c r="BZ216" s="89" t="s">
        <v>646</v>
      </c>
      <c r="CA216" s="89" t="s">
        <v>646</v>
      </c>
      <c r="CB216" s="89" t="s">
        <v>19379</v>
      </c>
      <c r="CC216" s="89" t="str">
        <f>HYPERLINK("https%3A%2F%2Fwww.webofscience.com%2Fwos%2Fwoscc%2Ffull-record%2FWOS:000484307300002","View Full Record in Web of Science")</f>
        <v>View Full Record in Web of Science</v>
      </c>
    </row>
    <row r="217" spans="1:81" ht="13.2" hidden="1" x14ac:dyDescent="0.25">
      <c r="A217" s="89" t="s">
        <v>19380</v>
      </c>
      <c r="B217" s="89" t="e">
        <f>+#REF!</f>
        <v>#REF!</v>
      </c>
      <c r="C217" s="89"/>
      <c r="D217" s="91" t="s">
        <v>717</v>
      </c>
      <c r="E217" s="90" t="e">
        <v>#REF!</v>
      </c>
      <c r="F217" s="89"/>
      <c r="G217" s="89"/>
      <c r="H217" s="89" t="s">
        <v>11305</v>
      </c>
      <c r="I217" s="89" t="s">
        <v>19381</v>
      </c>
      <c r="J217" s="89" t="s">
        <v>646</v>
      </c>
      <c r="K217" s="89" t="s">
        <v>19387</v>
      </c>
      <c r="M217" s="89">
        <v>2019</v>
      </c>
      <c r="N217" s="89" t="s">
        <v>19382</v>
      </c>
      <c r="O217" s="89" t="s">
        <v>646</v>
      </c>
      <c r="P217" s="89" t="str">
        <f>HYPERLINK("http://dx.doi.org/10.1145/3291279.3339420","http://dx.doi.org/10.1145/3291279.3339420")</f>
        <v>http://dx.doi.org/10.1145/3291279.3339420</v>
      </c>
      <c r="S217" s="89" t="s">
        <v>17804</v>
      </c>
      <c r="U217" s="89" t="s">
        <v>17474</v>
      </c>
      <c r="W217" s="89" t="s">
        <v>646</v>
      </c>
      <c r="X217" s="89" t="s">
        <v>646</v>
      </c>
      <c r="Y217" s="89" t="s">
        <v>19383</v>
      </c>
      <c r="Z217" s="89" t="s">
        <v>19384</v>
      </c>
      <c r="AA217" s="89" t="s">
        <v>19385</v>
      </c>
      <c r="AB217" s="89" t="s">
        <v>19386</v>
      </c>
      <c r="AC217" s="89" t="s">
        <v>646</v>
      </c>
      <c r="AD217" s="89" t="s">
        <v>646</v>
      </c>
      <c r="AE217" s="89" t="s">
        <v>646</v>
      </c>
      <c r="AF217" s="89" t="s">
        <v>19387</v>
      </c>
      <c r="AG217" s="89" t="s">
        <v>646</v>
      </c>
      <c r="AH217" s="89" t="s">
        <v>646</v>
      </c>
      <c r="AI217" s="89" t="s">
        <v>646</v>
      </c>
      <c r="AJ217" s="89" t="s">
        <v>646</v>
      </c>
      <c r="AK217" s="89" t="s">
        <v>646</v>
      </c>
      <c r="AL217" s="89" t="s">
        <v>19388</v>
      </c>
      <c r="AM217" s="89" t="s">
        <v>646</v>
      </c>
      <c r="AN217" s="89" t="s">
        <v>646</v>
      </c>
      <c r="AO217" s="89" t="s">
        <v>646</v>
      </c>
      <c r="AP217" s="89" t="s">
        <v>646</v>
      </c>
      <c r="AQ217" s="89" t="s">
        <v>646</v>
      </c>
      <c r="AR217" s="89" t="s">
        <v>646</v>
      </c>
      <c r="AS217" s="89" t="s">
        <v>646</v>
      </c>
      <c r="AT217" s="89" t="s">
        <v>646</v>
      </c>
      <c r="AU217" s="89" t="s">
        <v>646</v>
      </c>
      <c r="AV217" s="89" t="s">
        <v>646</v>
      </c>
      <c r="AW217" s="89" t="s">
        <v>646</v>
      </c>
      <c r="AX217" s="89" t="s">
        <v>646</v>
      </c>
      <c r="AY217" s="89" t="s">
        <v>646</v>
      </c>
      <c r="AZ217" s="89" t="s">
        <v>646</v>
      </c>
      <c r="BA217" s="89" t="s">
        <v>19389</v>
      </c>
      <c r="BB217" s="89" t="s">
        <v>646</v>
      </c>
      <c r="BC217" s="89" t="s">
        <v>646</v>
      </c>
      <c r="BD217" s="89" t="s">
        <v>646</v>
      </c>
      <c r="BE217" s="89">
        <v>2019</v>
      </c>
      <c r="BF217" s="89" t="s">
        <v>646</v>
      </c>
      <c r="BG217" s="89" t="s">
        <v>646</v>
      </c>
      <c r="BH217" s="89" t="s">
        <v>646</v>
      </c>
      <c r="BI217" s="89" t="s">
        <v>646</v>
      </c>
      <c r="BJ217" s="89" t="s">
        <v>646</v>
      </c>
      <c r="BK217" s="89" t="s">
        <v>646</v>
      </c>
      <c r="BL217" s="89">
        <v>61</v>
      </c>
      <c r="BM217" s="89">
        <v>70</v>
      </c>
      <c r="BN217" s="89" t="s">
        <v>646</v>
      </c>
      <c r="BO217" s="89" t="str">
        <f>HYPERLINK("http://dx.doi.org/10.1145/3291279.3339420","http://dx.doi.org/10.1145/3291279.3339420")</f>
        <v>http://dx.doi.org/10.1145/3291279.3339420</v>
      </c>
      <c r="BP217" s="89" t="s">
        <v>646</v>
      </c>
      <c r="BQ217" s="89" t="s">
        <v>646</v>
      </c>
      <c r="BR217" s="89" t="s">
        <v>646</v>
      </c>
      <c r="BS217" s="89" t="s">
        <v>646</v>
      </c>
      <c r="BT217" s="89" t="s">
        <v>646</v>
      </c>
      <c r="BU217" s="89" t="s">
        <v>646</v>
      </c>
      <c r="BV217" s="89" t="s">
        <v>646</v>
      </c>
      <c r="BW217" s="89" t="s">
        <v>646</v>
      </c>
      <c r="BX217" s="89" t="s">
        <v>646</v>
      </c>
      <c r="BY217" s="89" t="s">
        <v>646</v>
      </c>
      <c r="BZ217" s="89" t="s">
        <v>646</v>
      </c>
      <c r="CA217" s="89" t="s">
        <v>646</v>
      </c>
      <c r="CB217" s="89" t="s">
        <v>19390</v>
      </c>
      <c r="CC217" s="89" t="str">
        <f>HYPERLINK("https%3A%2F%2Fwww.webofscience.com%2Fwos%2Fwoscc%2Ffull-record%2FWOS:000520117800007","View Full Record in Web of Science")</f>
        <v>View Full Record in Web of Science</v>
      </c>
    </row>
    <row r="218" spans="1:81" ht="13.2" hidden="1" x14ac:dyDescent="0.25">
      <c r="A218" s="89" t="s">
        <v>19391</v>
      </c>
      <c r="B218" s="89" t="e">
        <f>+#REF!</f>
        <v>#REF!</v>
      </c>
      <c r="C218" s="89"/>
      <c r="D218" s="91" t="s">
        <v>717</v>
      </c>
      <c r="E218" s="90" t="e">
        <v>#REF!</v>
      </c>
      <c r="F218" s="89"/>
      <c r="G218" s="89"/>
      <c r="H218" s="89" t="s">
        <v>11314</v>
      </c>
      <c r="I218" s="89" t="s">
        <v>19392</v>
      </c>
      <c r="J218" s="89" t="s">
        <v>19395</v>
      </c>
      <c r="K218" s="89" t="s">
        <v>19394</v>
      </c>
      <c r="M218" s="89">
        <v>2012</v>
      </c>
      <c r="N218" s="89" t="s">
        <v>19393</v>
      </c>
      <c r="O218" s="89" t="s">
        <v>646</v>
      </c>
      <c r="P218" s="89" t="str">
        <f>HYPERLINK("http://dx.doi.org/10.1109/MIC.2012.67","http://dx.doi.org/10.1109/MIC.2012.67")</f>
        <v>http://dx.doi.org/10.1109/MIC.2012.67</v>
      </c>
      <c r="S218" s="89" t="s">
        <v>646</v>
      </c>
      <c r="U218" s="89" t="s">
        <v>17462</v>
      </c>
      <c r="W218" s="89" t="s">
        <v>646</v>
      </c>
      <c r="X218" s="89" t="s">
        <v>646</v>
      </c>
      <c r="Y218" s="89" t="s">
        <v>646</v>
      </c>
      <c r="Z218" s="89" t="s">
        <v>646</v>
      </c>
      <c r="AA218" s="89" t="s">
        <v>646</v>
      </c>
      <c r="AB218" s="89" t="s">
        <v>646</v>
      </c>
      <c r="AC218" s="89" t="s">
        <v>646</v>
      </c>
      <c r="AD218" s="89" t="s">
        <v>646</v>
      </c>
      <c r="AE218" s="89" t="s">
        <v>646</v>
      </c>
      <c r="AF218" s="89" t="s">
        <v>19394</v>
      </c>
      <c r="AG218" s="89" t="s">
        <v>646</v>
      </c>
      <c r="AH218" s="89" t="s">
        <v>646</v>
      </c>
      <c r="AI218" s="89" t="s">
        <v>646</v>
      </c>
      <c r="AJ218" s="89" t="s">
        <v>646</v>
      </c>
      <c r="AK218" s="89" t="s">
        <v>19395</v>
      </c>
      <c r="AL218" s="89" t="s">
        <v>19396</v>
      </c>
      <c r="AM218" s="89" t="s">
        <v>646</v>
      </c>
      <c r="AN218" s="89" t="s">
        <v>646</v>
      </c>
      <c r="AO218" s="89" t="s">
        <v>646</v>
      </c>
      <c r="AP218" s="89" t="s">
        <v>646</v>
      </c>
      <c r="AQ218" s="89" t="s">
        <v>646</v>
      </c>
      <c r="AR218" s="89" t="s">
        <v>646</v>
      </c>
      <c r="AS218" s="89" t="s">
        <v>646</v>
      </c>
      <c r="AT218" s="89" t="s">
        <v>646</v>
      </c>
      <c r="AU218" s="89" t="s">
        <v>646</v>
      </c>
      <c r="AV218" s="89" t="s">
        <v>646</v>
      </c>
      <c r="AW218" s="89" t="s">
        <v>646</v>
      </c>
      <c r="AX218" s="89" t="s">
        <v>646</v>
      </c>
      <c r="AY218" s="89" t="s">
        <v>19397</v>
      </c>
      <c r="AZ218" s="89" t="s">
        <v>19398</v>
      </c>
      <c r="BA218" s="89" t="s">
        <v>646</v>
      </c>
      <c r="BB218" s="89" t="s">
        <v>646</v>
      </c>
      <c r="BC218" s="89" t="s">
        <v>646</v>
      </c>
      <c r="BD218" s="89" t="s">
        <v>19399</v>
      </c>
      <c r="BE218" s="89">
        <v>2012</v>
      </c>
      <c r="BF218" s="89">
        <v>16</v>
      </c>
      <c r="BG218" s="89">
        <v>5</v>
      </c>
      <c r="BH218" s="89" t="s">
        <v>646</v>
      </c>
      <c r="BI218" s="89" t="s">
        <v>646</v>
      </c>
      <c r="BJ218" s="89" t="s">
        <v>646</v>
      </c>
      <c r="BK218" s="89" t="s">
        <v>646</v>
      </c>
      <c r="BL218" s="89">
        <v>52</v>
      </c>
      <c r="BM218" s="89">
        <v>58</v>
      </c>
      <c r="BN218" s="89" t="s">
        <v>646</v>
      </c>
      <c r="BO218" s="89" t="str">
        <f>HYPERLINK("http://dx.doi.org/10.1109/MIC.2012.67","http://dx.doi.org/10.1109/MIC.2012.67")</f>
        <v>http://dx.doi.org/10.1109/MIC.2012.67</v>
      </c>
      <c r="BP218" s="89" t="s">
        <v>646</v>
      </c>
      <c r="BQ218" s="89" t="s">
        <v>646</v>
      </c>
      <c r="BR218" s="89" t="s">
        <v>646</v>
      </c>
      <c r="BS218" s="89" t="s">
        <v>646</v>
      </c>
      <c r="BT218" s="89" t="s">
        <v>646</v>
      </c>
      <c r="BU218" s="89" t="s">
        <v>646</v>
      </c>
      <c r="BV218" s="89" t="s">
        <v>646</v>
      </c>
      <c r="BW218" s="89" t="s">
        <v>646</v>
      </c>
      <c r="BX218" s="89" t="s">
        <v>646</v>
      </c>
      <c r="BY218" s="89" t="s">
        <v>646</v>
      </c>
      <c r="BZ218" s="89" t="s">
        <v>646</v>
      </c>
      <c r="CA218" s="89" t="s">
        <v>646</v>
      </c>
      <c r="CB218" s="89" t="s">
        <v>19400</v>
      </c>
      <c r="CC218" s="89" t="str">
        <f>HYPERLINK("https%3A%2F%2Fwww.webofscience.com%2Fwos%2Fwoscc%2Ffull-record%2FWOS:000308123100009","View Full Record in Web of Science")</f>
        <v>View Full Record in Web of Science</v>
      </c>
    </row>
    <row r="219" spans="1:81" ht="13.2" hidden="1" x14ac:dyDescent="0.25">
      <c r="A219" s="89" t="s">
        <v>19401</v>
      </c>
      <c r="B219" s="89" t="e">
        <f>+#REF!</f>
        <v>#REF!</v>
      </c>
      <c r="C219" s="89"/>
      <c r="D219" s="91" t="s">
        <v>717</v>
      </c>
      <c r="E219" s="90" t="e">
        <v>#REF!</v>
      </c>
      <c r="F219" s="89"/>
      <c r="G219" s="89"/>
      <c r="H219" s="89" t="s">
        <v>8997</v>
      </c>
      <c r="I219" s="89" t="s">
        <v>19402</v>
      </c>
      <c r="J219" s="89" t="s">
        <v>646</v>
      </c>
      <c r="K219" s="89" t="s">
        <v>19404</v>
      </c>
      <c r="M219" s="89">
        <v>2021</v>
      </c>
      <c r="N219" s="89" t="s">
        <v>19403</v>
      </c>
      <c r="O219" s="89" t="s">
        <v>646</v>
      </c>
      <c r="P219" s="89" t="str">
        <f>HYPERLINK("http://dx.doi.org/10.1177/00110000211001368","http://dx.doi.org/10.1177/00110000211001368")</f>
        <v>http://dx.doi.org/10.1177/00110000211001368</v>
      </c>
      <c r="S219" s="89" t="s">
        <v>646</v>
      </c>
      <c r="U219" s="89" t="s">
        <v>17462</v>
      </c>
      <c r="W219" s="89" t="s">
        <v>646</v>
      </c>
      <c r="X219" s="89" t="s">
        <v>646</v>
      </c>
      <c r="Y219" s="89" t="s">
        <v>646</v>
      </c>
      <c r="Z219" s="89" t="s">
        <v>646</v>
      </c>
      <c r="AA219" s="89" t="s">
        <v>646</v>
      </c>
      <c r="AB219" s="89" t="s">
        <v>646</v>
      </c>
      <c r="AC219" s="89" t="s">
        <v>646</v>
      </c>
      <c r="AD219" s="89" t="s">
        <v>646</v>
      </c>
      <c r="AE219" s="89" t="s">
        <v>646</v>
      </c>
      <c r="AF219" s="89" t="s">
        <v>19404</v>
      </c>
      <c r="AG219" s="89" t="s">
        <v>646</v>
      </c>
      <c r="AH219" s="89" t="s">
        <v>646</v>
      </c>
      <c r="AI219" s="89" t="s">
        <v>646</v>
      </c>
      <c r="AJ219" s="89" t="s">
        <v>646</v>
      </c>
      <c r="AK219" s="89" t="s">
        <v>646</v>
      </c>
      <c r="AL219" s="89" t="s">
        <v>19405</v>
      </c>
      <c r="AM219" s="89" t="s">
        <v>646</v>
      </c>
      <c r="AN219" s="89" t="s">
        <v>646</v>
      </c>
      <c r="AO219" s="89" t="s">
        <v>646</v>
      </c>
      <c r="AP219" s="89" t="s">
        <v>646</v>
      </c>
      <c r="AQ219" s="89" t="s">
        <v>646</v>
      </c>
      <c r="AR219" s="89" t="s">
        <v>646</v>
      </c>
      <c r="AS219" s="89" t="s">
        <v>646</v>
      </c>
      <c r="AT219" s="89" t="s">
        <v>646</v>
      </c>
      <c r="AU219" s="89" t="s">
        <v>646</v>
      </c>
      <c r="AV219" s="89" t="s">
        <v>646</v>
      </c>
      <c r="AW219" s="89" t="s">
        <v>646</v>
      </c>
      <c r="AX219" s="89" t="s">
        <v>646</v>
      </c>
      <c r="AY219" s="89" t="s">
        <v>19406</v>
      </c>
      <c r="AZ219" s="89" t="s">
        <v>19407</v>
      </c>
      <c r="BA219" s="89" t="s">
        <v>646</v>
      </c>
      <c r="BB219" s="89" t="s">
        <v>646</v>
      </c>
      <c r="BC219" s="89" t="s">
        <v>646</v>
      </c>
      <c r="BD219" s="89" t="s">
        <v>17676</v>
      </c>
      <c r="BE219" s="89">
        <v>2021</v>
      </c>
      <c r="BF219" s="89">
        <v>49</v>
      </c>
      <c r="BG219" s="89">
        <v>5</v>
      </c>
      <c r="BH219" s="89" t="s">
        <v>646</v>
      </c>
      <c r="BI219" s="89" t="s">
        <v>646</v>
      </c>
      <c r="BJ219" s="89" t="s">
        <v>646</v>
      </c>
      <c r="BK219" s="89" t="s">
        <v>646</v>
      </c>
      <c r="BL219" s="89">
        <v>754</v>
      </c>
      <c r="BM219" s="89">
        <v>780</v>
      </c>
      <c r="BN219" s="89">
        <v>110000211001368</v>
      </c>
      <c r="BO219" s="89" t="str">
        <f>HYPERLINK("http://dx.doi.org/10.1177/00110000211001368","http://dx.doi.org/10.1177/00110000211001368")</f>
        <v>http://dx.doi.org/10.1177/00110000211001368</v>
      </c>
      <c r="BP219" s="89" t="s">
        <v>646</v>
      </c>
      <c r="BQ219" s="89" t="s">
        <v>19267</v>
      </c>
      <c r="BR219" s="89" t="s">
        <v>646</v>
      </c>
      <c r="BS219" s="89" t="s">
        <v>646</v>
      </c>
      <c r="BT219" s="89" t="s">
        <v>646</v>
      </c>
      <c r="BU219" s="89" t="s">
        <v>646</v>
      </c>
      <c r="BV219" s="89" t="s">
        <v>646</v>
      </c>
      <c r="BW219" s="89" t="s">
        <v>646</v>
      </c>
      <c r="BX219" s="89" t="s">
        <v>646</v>
      </c>
      <c r="BY219" s="89" t="s">
        <v>646</v>
      </c>
      <c r="BZ219" s="89" t="s">
        <v>646</v>
      </c>
      <c r="CA219" s="89" t="s">
        <v>646</v>
      </c>
      <c r="CB219" s="89" t="s">
        <v>19408</v>
      </c>
      <c r="CC219" s="89" t="str">
        <f>HYPERLINK("https%3A%2F%2Fwww.webofscience.com%2Fwos%2Fwoscc%2Ffull-record%2FWOS:000652219800001","View Full Record in Web of Science")</f>
        <v>View Full Record in Web of Science</v>
      </c>
    </row>
    <row r="220" spans="1:81" ht="13.2" hidden="1" x14ac:dyDescent="0.25">
      <c r="A220" s="89" t="s">
        <v>11323</v>
      </c>
      <c r="B220" s="89" t="e">
        <f>+#REF!</f>
        <v>#REF!</v>
      </c>
      <c r="C220" s="89"/>
      <c r="D220" s="91" t="s">
        <v>717</v>
      </c>
      <c r="E220" s="90" t="e">
        <v>#REF!</v>
      </c>
      <c r="F220" s="89"/>
      <c r="G220" s="89"/>
      <c r="H220" s="89" t="s">
        <v>11324</v>
      </c>
      <c r="I220" s="89" t="s">
        <v>19409</v>
      </c>
      <c r="J220" s="89" t="s">
        <v>646</v>
      </c>
      <c r="K220" s="89" t="s">
        <v>19411</v>
      </c>
      <c r="M220" s="89">
        <v>2017</v>
      </c>
      <c r="N220" s="89" t="s">
        <v>19410</v>
      </c>
      <c r="O220" s="89" t="s">
        <v>646</v>
      </c>
      <c r="P220" s="89" t="str">
        <f>HYPERLINK("http://dx.doi.org/10.1002/jrsm.1252","http://dx.doi.org/10.1002/jrsm.1252")</f>
        <v>http://dx.doi.org/10.1002/jrsm.1252</v>
      </c>
      <c r="S220" s="89" t="s">
        <v>646</v>
      </c>
      <c r="U220" s="89" t="s">
        <v>17462</v>
      </c>
      <c r="W220" s="89" t="s">
        <v>646</v>
      </c>
      <c r="X220" s="89" t="s">
        <v>646</v>
      </c>
      <c r="Y220" s="89" t="s">
        <v>646</v>
      </c>
      <c r="Z220" s="89" t="s">
        <v>646</v>
      </c>
      <c r="AA220" s="89" t="s">
        <v>646</v>
      </c>
      <c r="AB220" s="89" t="s">
        <v>646</v>
      </c>
      <c r="AC220" s="89" t="s">
        <v>646</v>
      </c>
      <c r="AD220" s="89" t="s">
        <v>646</v>
      </c>
      <c r="AE220" s="89" t="s">
        <v>646</v>
      </c>
      <c r="AF220" s="89" t="s">
        <v>19411</v>
      </c>
      <c r="AG220" s="89" t="s">
        <v>646</v>
      </c>
      <c r="AH220" s="89" t="s">
        <v>646</v>
      </c>
      <c r="AI220" s="89" t="s">
        <v>646</v>
      </c>
      <c r="AJ220" s="89" t="s">
        <v>646</v>
      </c>
      <c r="AK220" s="89" t="s">
        <v>646</v>
      </c>
      <c r="AL220" s="89" t="s">
        <v>646</v>
      </c>
      <c r="AM220" s="89" t="s">
        <v>646</v>
      </c>
      <c r="AN220" s="89" t="s">
        <v>646</v>
      </c>
      <c r="AO220" s="89" t="s">
        <v>646</v>
      </c>
      <c r="AP220" s="89" t="s">
        <v>646</v>
      </c>
      <c r="AQ220" s="89" t="s">
        <v>646</v>
      </c>
      <c r="AR220" s="89" t="s">
        <v>646</v>
      </c>
      <c r="AS220" s="89" t="s">
        <v>646</v>
      </c>
      <c r="AT220" s="89" t="s">
        <v>646</v>
      </c>
      <c r="AU220" s="89" t="s">
        <v>646</v>
      </c>
      <c r="AV220" s="89" t="s">
        <v>646</v>
      </c>
      <c r="AW220" s="89" t="s">
        <v>646</v>
      </c>
      <c r="AX220" s="89" t="s">
        <v>646</v>
      </c>
      <c r="AY220" s="89" t="s">
        <v>19412</v>
      </c>
      <c r="AZ220" s="89" t="s">
        <v>19413</v>
      </c>
      <c r="BA220" s="89" t="s">
        <v>646</v>
      </c>
      <c r="BB220" s="89" t="s">
        <v>646</v>
      </c>
      <c r="BC220" s="89" t="s">
        <v>646</v>
      </c>
      <c r="BD220" s="89" t="s">
        <v>17739</v>
      </c>
      <c r="BE220" s="89">
        <v>2017</v>
      </c>
      <c r="BF220" s="89">
        <v>8</v>
      </c>
      <c r="BG220" s="89">
        <v>3</v>
      </c>
      <c r="BH220" s="89" t="s">
        <v>646</v>
      </c>
      <c r="BI220" s="89" t="s">
        <v>646</v>
      </c>
      <c r="BJ220" s="89" t="s">
        <v>646</v>
      </c>
      <c r="BK220" s="89" t="s">
        <v>646</v>
      </c>
      <c r="BL220" s="89">
        <v>366</v>
      </c>
      <c r="BM220" s="89">
        <v>386</v>
      </c>
      <c r="BN220" s="89" t="s">
        <v>646</v>
      </c>
      <c r="BO220" s="89" t="str">
        <f>HYPERLINK("http://dx.doi.org/10.1002/jrsm.1252","http://dx.doi.org/10.1002/jrsm.1252")</f>
        <v>http://dx.doi.org/10.1002/jrsm.1252</v>
      </c>
      <c r="BP220" s="89" t="s">
        <v>646</v>
      </c>
      <c r="BQ220" s="89" t="s">
        <v>646</v>
      </c>
      <c r="BR220" s="89" t="s">
        <v>646</v>
      </c>
      <c r="BS220" s="89" t="s">
        <v>646</v>
      </c>
      <c r="BT220" s="89" t="s">
        <v>646</v>
      </c>
      <c r="BU220" s="89" t="s">
        <v>646</v>
      </c>
      <c r="BV220" s="89" t="s">
        <v>646</v>
      </c>
      <c r="BW220" s="89">
        <v>28677322</v>
      </c>
      <c r="BX220" s="89" t="s">
        <v>646</v>
      </c>
      <c r="BY220" s="89" t="s">
        <v>646</v>
      </c>
      <c r="BZ220" s="89" t="s">
        <v>646</v>
      </c>
      <c r="CA220" s="89" t="s">
        <v>646</v>
      </c>
      <c r="CB220" s="89" t="s">
        <v>19414</v>
      </c>
      <c r="CC220" s="89" t="str">
        <f>HYPERLINK("https%3A%2F%2Fwww.webofscience.com%2Fwos%2Fwoscc%2Ffull-record%2FWOS:000417268600015","View Full Record in Web of Science")</f>
        <v>View Full Record in Web of Science</v>
      </c>
    </row>
    <row r="221" spans="1:81" ht="13.2" hidden="1" x14ac:dyDescent="0.25">
      <c r="A221" s="89" t="s">
        <v>11333</v>
      </c>
      <c r="B221" s="89" t="e">
        <f>+#REF!</f>
        <v>#REF!</v>
      </c>
      <c r="C221" s="89"/>
      <c r="D221" s="91" t="s">
        <v>717</v>
      </c>
      <c r="E221" s="90" t="e">
        <v>#REF!</v>
      </c>
      <c r="F221" s="89"/>
      <c r="G221" s="89"/>
      <c r="H221" s="89" t="s">
        <v>11334</v>
      </c>
      <c r="I221" s="89" t="s">
        <v>19415</v>
      </c>
      <c r="J221" s="89" t="s">
        <v>19417</v>
      </c>
      <c r="K221" s="89" t="s">
        <v>19416</v>
      </c>
      <c r="M221" s="89">
        <v>2016</v>
      </c>
      <c r="N221" s="89" t="s">
        <v>19106</v>
      </c>
      <c r="O221" s="89" t="s">
        <v>646</v>
      </c>
      <c r="P221" s="89" t="str">
        <f>HYPERLINK("http://dx.doi.org/10.1016/j.csi.2016.06.002","http://dx.doi.org/10.1016/j.csi.2016.06.002")</f>
        <v>http://dx.doi.org/10.1016/j.csi.2016.06.002</v>
      </c>
      <c r="S221" s="89" t="s">
        <v>646</v>
      </c>
      <c r="U221" s="89" t="s">
        <v>17462</v>
      </c>
      <c r="W221" s="89" t="s">
        <v>646</v>
      </c>
      <c r="X221" s="89" t="s">
        <v>646</v>
      </c>
      <c r="Y221" s="89" t="s">
        <v>646</v>
      </c>
      <c r="Z221" s="89" t="s">
        <v>646</v>
      </c>
      <c r="AA221" s="89" t="s">
        <v>646</v>
      </c>
      <c r="AB221" s="89" t="s">
        <v>646</v>
      </c>
      <c r="AC221" s="89" t="s">
        <v>646</v>
      </c>
      <c r="AD221" s="89" t="s">
        <v>646</v>
      </c>
      <c r="AE221" s="89" t="s">
        <v>646</v>
      </c>
      <c r="AF221" s="89" t="s">
        <v>19416</v>
      </c>
      <c r="AG221" s="89" t="s">
        <v>646</v>
      </c>
      <c r="AH221" s="89" t="s">
        <v>646</v>
      </c>
      <c r="AI221" s="89" t="s">
        <v>646</v>
      </c>
      <c r="AJ221" s="89" t="s">
        <v>646</v>
      </c>
      <c r="AK221" s="89" t="s">
        <v>19417</v>
      </c>
      <c r="AL221" s="89" t="s">
        <v>19418</v>
      </c>
      <c r="AM221" s="89" t="s">
        <v>646</v>
      </c>
      <c r="AN221" s="89" t="s">
        <v>646</v>
      </c>
      <c r="AO221" s="89" t="s">
        <v>646</v>
      </c>
      <c r="AP221" s="89" t="s">
        <v>646</v>
      </c>
      <c r="AQ221" s="89" t="s">
        <v>646</v>
      </c>
      <c r="AR221" s="89" t="s">
        <v>646</v>
      </c>
      <c r="AS221" s="89" t="s">
        <v>646</v>
      </c>
      <c r="AT221" s="89" t="s">
        <v>646</v>
      </c>
      <c r="AU221" s="89" t="s">
        <v>646</v>
      </c>
      <c r="AV221" s="89" t="s">
        <v>646</v>
      </c>
      <c r="AW221" s="89" t="s">
        <v>646</v>
      </c>
      <c r="AX221" s="89" t="s">
        <v>646</v>
      </c>
      <c r="AY221" s="89" t="s">
        <v>19110</v>
      </c>
      <c r="AZ221" s="89" t="s">
        <v>19111</v>
      </c>
      <c r="BA221" s="89" t="s">
        <v>646</v>
      </c>
      <c r="BB221" s="89" t="s">
        <v>646</v>
      </c>
      <c r="BC221" s="89" t="s">
        <v>646</v>
      </c>
      <c r="BD221" s="89" t="s">
        <v>18292</v>
      </c>
      <c r="BE221" s="89">
        <v>2016</v>
      </c>
      <c r="BF221" s="89">
        <v>48</v>
      </c>
      <c r="BG221" s="89" t="s">
        <v>646</v>
      </c>
      <c r="BH221" s="89" t="s">
        <v>646</v>
      </c>
      <c r="BI221" s="89" t="s">
        <v>646</v>
      </c>
      <c r="BJ221" s="89" t="s">
        <v>17555</v>
      </c>
      <c r="BK221" s="89" t="s">
        <v>646</v>
      </c>
      <c r="BL221" s="89">
        <v>184</v>
      </c>
      <c r="BM221" s="89">
        <v>197</v>
      </c>
      <c r="BN221" s="89" t="s">
        <v>646</v>
      </c>
      <c r="BO221" s="89" t="str">
        <f>HYPERLINK("http://dx.doi.org/10.1016/j.csi.2016.06.002","http://dx.doi.org/10.1016/j.csi.2016.06.002")</f>
        <v>http://dx.doi.org/10.1016/j.csi.2016.06.002</v>
      </c>
      <c r="BP221" s="89" t="s">
        <v>646</v>
      </c>
      <c r="BQ221" s="89" t="s">
        <v>646</v>
      </c>
      <c r="BR221" s="89" t="s">
        <v>646</v>
      </c>
      <c r="BS221" s="89" t="s">
        <v>646</v>
      </c>
      <c r="BT221" s="89" t="s">
        <v>646</v>
      </c>
      <c r="BU221" s="89" t="s">
        <v>646</v>
      </c>
      <c r="BV221" s="89" t="s">
        <v>646</v>
      </c>
      <c r="BW221" s="89" t="s">
        <v>646</v>
      </c>
      <c r="BX221" s="89" t="s">
        <v>646</v>
      </c>
      <c r="BY221" s="89" t="s">
        <v>646</v>
      </c>
      <c r="BZ221" s="89" t="s">
        <v>646</v>
      </c>
      <c r="CA221" s="89" t="s">
        <v>646</v>
      </c>
      <c r="CB221" s="89" t="s">
        <v>19419</v>
      </c>
      <c r="CC221" s="89" t="str">
        <f>HYPERLINK("https%3A%2F%2Fwww.webofscience.com%2Fwos%2Fwoscc%2Ffull-record%2FWOS:000382599300015","View Full Record in Web of Science")</f>
        <v>View Full Record in Web of Science</v>
      </c>
    </row>
    <row r="222" spans="1:81" ht="13.2" hidden="1" x14ac:dyDescent="0.25">
      <c r="A222" s="89" t="s">
        <v>19420</v>
      </c>
      <c r="B222" s="89" t="e">
        <f>+#REF!</f>
        <v>#REF!</v>
      </c>
      <c r="C222" s="89"/>
      <c r="D222" s="91" t="s">
        <v>717</v>
      </c>
      <c r="E222" s="90" t="e">
        <v>#REF!</v>
      </c>
      <c r="F222" s="89"/>
      <c r="G222" s="89"/>
      <c r="H222" s="89" t="s">
        <v>11343</v>
      </c>
      <c r="I222" s="89" t="s">
        <v>19421</v>
      </c>
      <c r="J222" s="89" t="s">
        <v>19424</v>
      </c>
      <c r="K222" s="89" t="s">
        <v>19423</v>
      </c>
      <c r="M222" s="89">
        <v>2016</v>
      </c>
      <c r="N222" s="89" t="s">
        <v>19422</v>
      </c>
      <c r="O222" s="89" t="s">
        <v>646</v>
      </c>
      <c r="P222" s="89" t="str">
        <f>HYPERLINK("http://dx.doi.org/10.1108/PR-11-2014-0250","http://dx.doi.org/10.1108/PR-11-2014-0250")</f>
        <v>http://dx.doi.org/10.1108/PR-11-2014-0250</v>
      </c>
      <c r="S222" s="89" t="s">
        <v>646</v>
      </c>
      <c r="U222" s="89" t="s">
        <v>17462</v>
      </c>
      <c r="W222" s="89" t="s">
        <v>646</v>
      </c>
      <c r="X222" s="89" t="s">
        <v>646</v>
      </c>
      <c r="Y222" s="89" t="s">
        <v>646</v>
      </c>
      <c r="Z222" s="89" t="s">
        <v>646</v>
      </c>
      <c r="AA222" s="89" t="s">
        <v>646</v>
      </c>
      <c r="AB222" s="89" t="s">
        <v>646</v>
      </c>
      <c r="AC222" s="89" t="s">
        <v>646</v>
      </c>
      <c r="AD222" s="89" t="s">
        <v>646</v>
      </c>
      <c r="AE222" s="89" t="s">
        <v>646</v>
      </c>
      <c r="AF222" s="89" t="s">
        <v>19423</v>
      </c>
      <c r="AG222" s="89" t="s">
        <v>646</v>
      </c>
      <c r="AH222" s="89" t="s">
        <v>646</v>
      </c>
      <c r="AI222" s="89" t="s">
        <v>646</v>
      </c>
      <c r="AJ222" s="89" t="s">
        <v>646</v>
      </c>
      <c r="AK222" s="89" t="s">
        <v>19424</v>
      </c>
      <c r="AL222" s="89" t="s">
        <v>19425</v>
      </c>
      <c r="AM222" s="89" t="s">
        <v>646</v>
      </c>
      <c r="AN222" s="89" t="s">
        <v>646</v>
      </c>
      <c r="AO222" s="89" t="s">
        <v>646</v>
      </c>
      <c r="AP222" s="89" t="s">
        <v>646</v>
      </c>
      <c r="AQ222" s="89" t="s">
        <v>646</v>
      </c>
      <c r="AR222" s="89" t="s">
        <v>646</v>
      </c>
      <c r="AS222" s="89" t="s">
        <v>646</v>
      </c>
      <c r="AT222" s="89" t="s">
        <v>646</v>
      </c>
      <c r="AU222" s="89" t="s">
        <v>646</v>
      </c>
      <c r="AV222" s="89" t="s">
        <v>646</v>
      </c>
      <c r="AW222" s="89" t="s">
        <v>646</v>
      </c>
      <c r="AX222" s="89" t="s">
        <v>646</v>
      </c>
      <c r="AY222" s="89" t="s">
        <v>19426</v>
      </c>
      <c r="AZ222" s="89" t="s">
        <v>19427</v>
      </c>
      <c r="BA222" s="89" t="s">
        <v>646</v>
      </c>
      <c r="BB222" s="89" t="s">
        <v>646</v>
      </c>
      <c r="BC222" s="89" t="s">
        <v>646</v>
      </c>
      <c r="BD222" s="89" t="s">
        <v>646</v>
      </c>
      <c r="BE222" s="89">
        <v>2016</v>
      </c>
      <c r="BF222" s="89">
        <v>45</v>
      </c>
      <c r="BG222" s="89">
        <v>6</v>
      </c>
      <c r="BH222" s="89" t="s">
        <v>646</v>
      </c>
      <c r="BI222" s="89" t="s">
        <v>646</v>
      </c>
      <c r="BJ222" s="89" t="s">
        <v>646</v>
      </c>
      <c r="BK222" s="89" t="s">
        <v>646</v>
      </c>
      <c r="BL222" s="89">
        <v>1403</v>
      </c>
      <c r="BM222" s="89">
        <v>1427</v>
      </c>
      <c r="BN222" s="89" t="s">
        <v>646</v>
      </c>
      <c r="BO222" s="89" t="str">
        <f>HYPERLINK("http://dx.doi.org/10.1108/PR-11-2014-0250","http://dx.doi.org/10.1108/PR-11-2014-0250")</f>
        <v>http://dx.doi.org/10.1108/PR-11-2014-0250</v>
      </c>
      <c r="BP222" s="89" t="s">
        <v>646</v>
      </c>
      <c r="BQ222" s="89" t="s">
        <v>646</v>
      </c>
      <c r="BR222" s="89" t="s">
        <v>646</v>
      </c>
      <c r="BS222" s="89" t="s">
        <v>646</v>
      </c>
      <c r="BT222" s="89" t="s">
        <v>646</v>
      </c>
      <c r="BU222" s="89" t="s">
        <v>646</v>
      </c>
      <c r="BV222" s="89" t="s">
        <v>646</v>
      </c>
      <c r="BW222" s="89" t="s">
        <v>646</v>
      </c>
      <c r="BX222" s="89" t="s">
        <v>646</v>
      </c>
      <c r="BY222" s="89" t="s">
        <v>646</v>
      </c>
      <c r="BZ222" s="89" t="s">
        <v>646</v>
      </c>
      <c r="CA222" s="89" t="s">
        <v>646</v>
      </c>
      <c r="CB222" s="89" t="s">
        <v>19428</v>
      </c>
      <c r="CC222" s="89" t="str">
        <f>HYPERLINK("https%3A%2F%2Fwww.webofscience.com%2Fwos%2Fwoscc%2Ffull-record%2FWOS:000386218600015","View Full Record in Web of Science")</f>
        <v>View Full Record in Web of Science</v>
      </c>
    </row>
    <row r="223" spans="1:81" ht="13.2" hidden="1" x14ac:dyDescent="0.25">
      <c r="A223" s="89" t="s">
        <v>9006</v>
      </c>
      <c r="B223" s="89" t="e">
        <f>+#REF!</f>
        <v>#REF!</v>
      </c>
      <c r="C223" s="89"/>
      <c r="D223" s="91" t="s">
        <v>717</v>
      </c>
      <c r="E223" s="90" t="e">
        <v>#REF!</v>
      </c>
      <c r="F223" s="89"/>
      <c r="G223" s="89"/>
      <c r="H223" s="89" t="s">
        <v>9007</v>
      </c>
      <c r="I223" s="89" t="s">
        <v>19429</v>
      </c>
      <c r="J223" s="89" t="s">
        <v>646</v>
      </c>
      <c r="K223" s="89" t="s">
        <v>19431</v>
      </c>
      <c r="M223" s="89">
        <v>2022</v>
      </c>
      <c r="N223" s="89" t="s">
        <v>19430</v>
      </c>
      <c r="O223" s="89" t="s">
        <v>646</v>
      </c>
      <c r="P223" s="89" t="str">
        <f>HYPERLINK("http://dx.doi.org/10.1186/s12887-021-03101-4","http://dx.doi.org/10.1186/s12887-021-03101-4")</f>
        <v>http://dx.doi.org/10.1186/s12887-021-03101-4</v>
      </c>
      <c r="S223" s="89" t="s">
        <v>646</v>
      </c>
      <c r="U223" s="89" t="s">
        <v>17462</v>
      </c>
      <c r="W223" s="89" t="s">
        <v>646</v>
      </c>
      <c r="X223" s="89" t="s">
        <v>646</v>
      </c>
      <c r="Y223" s="89" t="s">
        <v>646</v>
      </c>
      <c r="Z223" s="89" t="s">
        <v>646</v>
      </c>
      <c r="AA223" s="89" t="s">
        <v>646</v>
      </c>
      <c r="AB223" s="89" t="s">
        <v>646</v>
      </c>
      <c r="AC223" s="89" t="s">
        <v>646</v>
      </c>
      <c r="AD223" s="89" t="s">
        <v>646</v>
      </c>
      <c r="AE223" s="89" t="s">
        <v>646</v>
      </c>
      <c r="AF223" s="89" t="s">
        <v>19431</v>
      </c>
      <c r="AG223" s="89" t="s">
        <v>646</v>
      </c>
      <c r="AH223" s="89" t="s">
        <v>646</v>
      </c>
      <c r="AI223" s="89" t="s">
        <v>646</v>
      </c>
      <c r="AJ223" s="89" t="s">
        <v>646</v>
      </c>
      <c r="AK223" s="89" t="s">
        <v>646</v>
      </c>
      <c r="AL223" s="89" t="s">
        <v>646</v>
      </c>
      <c r="AM223" s="89" t="s">
        <v>646</v>
      </c>
      <c r="AN223" s="89" t="s">
        <v>646</v>
      </c>
      <c r="AO223" s="89" t="s">
        <v>646</v>
      </c>
      <c r="AP223" s="89" t="s">
        <v>646</v>
      </c>
      <c r="AQ223" s="89" t="s">
        <v>646</v>
      </c>
      <c r="AR223" s="89" t="s">
        <v>646</v>
      </c>
      <c r="AS223" s="89" t="s">
        <v>646</v>
      </c>
      <c r="AT223" s="89" t="s">
        <v>646</v>
      </c>
      <c r="AU223" s="89" t="s">
        <v>646</v>
      </c>
      <c r="AV223" s="89" t="s">
        <v>646</v>
      </c>
      <c r="AW223" s="89" t="s">
        <v>646</v>
      </c>
      <c r="AX223" s="89" t="s">
        <v>646</v>
      </c>
      <c r="AY223" s="89" t="s">
        <v>646</v>
      </c>
      <c r="AZ223" s="89" t="s">
        <v>19432</v>
      </c>
      <c r="BA223" s="89" t="s">
        <v>646</v>
      </c>
      <c r="BB223" s="89" t="s">
        <v>646</v>
      </c>
      <c r="BC223" s="89" t="s">
        <v>646</v>
      </c>
      <c r="BD223" s="89" t="s">
        <v>19433</v>
      </c>
      <c r="BE223" s="89">
        <v>2022</v>
      </c>
      <c r="BF223" s="89">
        <v>22</v>
      </c>
      <c r="BG223" s="89">
        <v>1</v>
      </c>
      <c r="BH223" s="89" t="s">
        <v>646</v>
      </c>
      <c r="BI223" s="89" t="s">
        <v>646</v>
      </c>
      <c r="BJ223" s="89" t="s">
        <v>646</v>
      </c>
      <c r="BK223" s="89" t="s">
        <v>646</v>
      </c>
      <c r="BL223" s="89" t="s">
        <v>646</v>
      </c>
      <c r="BM223" s="89" t="s">
        <v>646</v>
      </c>
      <c r="BN223" s="89">
        <v>26</v>
      </c>
      <c r="BO223" s="89" t="str">
        <f>HYPERLINK("http://dx.doi.org/10.1186/s12887-021-03101-4","http://dx.doi.org/10.1186/s12887-021-03101-4")</f>
        <v>http://dx.doi.org/10.1186/s12887-021-03101-4</v>
      </c>
      <c r="BP223" s="89" t="s">
        <v>646</v>
      </c>
      <c r="BQ223" s="89" t="s">
        <v>646</v>
      </c>
      <c r="BR223" s="89" t="s">
        <v>646</v>
      </c>
      <c r="BS223" s="89" t="s">
        <v>646</v>
      </c>
      <c r="BT223" s="89" t="s">
        <v>646</v>
      </c>
      <c r="BU223" s="89" t="s">
        <v>646</v>
      </c>
      <c r="BV223" s="89" t="s">
        <v>646</v>
      </c>
      <c r="BW223" s="89">
        <v>34996397</v>
      </c>
      <c r="BX223" s="89" t="s">
        <v>646</v>
      </c>
      <c r="BY223" s="89" t="s">
        <v>646</v>
      </c>
      <c r="BZ223" s="89" t="s">
        <v>646</v>
      </c>
      <c r="CA223" s="89" t="s">
        <v>646</v>
      </c>
      <c r="CB223" s="89" t="s">
        <v>19434</v>
      </c>
      <c r="CC223" s="89" t="str">
        <f>HYPERLINK("https%3A%2F%2Fwww.webofscience.com%2Fwos%2Fwoscc%2Ffull-record%2FWOS:000740243300003","View Full Record in Web of Science")</f>
        <v>View Full Record in Web of Science</v>
      </c>
    </row>
    <row r="224" spans="1:81" ht="13.2" hidden="1" x14ac:dyDescent="0.25">
      <c r="A224" s="89" t="s">
        <v>19435</v>
      </c>
      <c r="B224" s="89" t="e">
        <f>+#REF!</f>
        <v>#REF!</v>
      </c>
      <c r="C224" s="89"/>
      <c r="D224" s="91" t="s">
        <v>717</v>
      </c>
      <c r="E224" s="90" t="e">
        <v>#REF!</v>
      </c>
      <c r="F224" s="89"/>
      <c r="G224" s="89"/>
      <c r="H224" s="89" t="s">
        <v>11352</v>
      </c>
      <c r="I224" s="89" t="s">
        <v>19436</v>
      </c>
      <c r="J224" s="89" t="s">
        <v>646</v>
      </c>
      <c r="K224" s="89" t="s">
        <v>19441</v>
      </c>
      <c r="M224" s="89">
        <v>2018</v>
      </c>
      <c r="N224" s="89" t="s">
        <v>19437</v>
      </c>
      <c r="O224" s="89" t="s">
        <v>646</v>
      </c>
      <c r="P224" s="89" t="str">
        <f>HYPERLINK("http://dx.doi.org/10.1145/3170427.3188649","http://dx.doi.org/10.1145/3170427.3188649")</f>
        <v>http://dx.doi.org/10.1145/3170427.3188649</v>
      </c>
      <c r="S224" s="89" t="s">
        <v>19206</v>
      </c>
      <c r="U224" s="89" t="s">
        <v>17474</v>
      </c>
      <c r="W224" s="89" t="s">
        <v>646</v>
      </c>
      <c r="X224" s="89" t="s">
        <v>646</v>
      </c>
      <c r="Y224" s="89" t="s">
        <v>19438</v>
      </c>
      <c r="Z224" s="89" t="s">
        <v>19439</v>
      </c>
      <c r="AA224" s="89" t="s">
        <v>18300</v>
      </c>
      <c r="AB224" s="89" t="s">
        <v>19440</v>
      </c>
      <c r="AC224" s="89" t="s">
        <v>646</v>
      </c>
      <c r="AD224" s="89" t="s">
        <v>646</v>
      </c>
      <c r="AE224" s="89" t="s">
        <v>646</v>
      </c>
      <c r="AF224" s="89" t="s">
        <v>19441</v>
      </c>
      <c r="AG224" s="89" t="s">
        <v>646</v>
      </c>
      <c r="AH224" s="89" t="s">
        <v>646</v>
      </c>
      <c r="AI224" s="89" t="s">
        <v>646</v>
      </c>
      <c r="AJ224" s="89" t="s">
        <v>646</v>
      </c>
      <c r="AK224" s="89" t="s">
        <v>646</v>
      </c>
      <c r="AL224" s="89" t="s">
        <v>646</v>
      </c>
      <c r="AM224" s="89" t="s">
        <v>646</v>
      </c>
      <c r="AN224" s="89" t="s">
        <v>646</v>
      </c>
      <c r="AO224" s="89" t="s">
        <v>646</v>
      </c>
      <c r="AP224" s="89" t="s">
        <v>646</v>
      </c>
      <c r="AQ224" s="89" t="s">
        <v>646</v>
      </c>
      <c r="AR224" s="89" t="s">
        <v>646</v>
      </c>
      <c r="AS224" s="89" t="s">
        <v>646</v>
      </c>
      <c r="AT224" s="89" t="s">
        <v>646</v>
      </c>
      <c r="AU224" s="89" t="s">
        <v>646</v>
      </c>
      <c r="AV224" s="89" t="s">
        <v>646</v>
      </c>
      <c r="AW224" s="89" t="s">
        <v>646</v>
      </c>
      <c r="AX224" s="89" t="s">
        <v>646</v>
      </c>
      <c r="AY224" s="89" t="s">
        <v>646</v>
      </c>
      <c r="AZ224" s="89" t="s">
        <v>646</v>
      </c>
      <c r="BA224" s="89" t="s">
        <v>19442</v>
      </c>
      <c r="BB224" s="89" t="s">
        <v>646</v>
      </c>
      <c r="BC224" s="89" t="s">
        <v>646</v>
      </c>
      <c r="BD224" s="89" t="s">
        <v>646</v>
      </c>
      <c r="BE224" s="89">
        <v>2018</v>
      </c>
      <c r="BF224" s="89" t="s">
        <v>646</v>
      </c>
      <c r="BG224" s="89" t="s">
        <v>646</v>
      </c>
      <c r="BH224" s="89" t="s">
        <v>646</v>
      </c>
      <c r="BI224" s="89" t="s">
        <v>646</v>
      </c>
      <c r="BJ224" s="89" t="s">
        <v>646</v>
      </c>
      <c r="BK224" s="89" t="s">
        <v>646</v>
      </c>
      <c r="BL224" s="89" t="s">
        <v>646</v>
      </c>
      <c r="BM224" s="89" t="s">
        <v>646</v>
      </c>
      <c r="BN224" s="89" t="s">
        <v>19443</v>
      </c>
      <c r="BO224" s="89" t="str">
        <f>HYPERLINK("http://dx.doi.org/10.1145/3170427.3188649","http://dx.doi.org/10.1145/3170427.3188649")</f>
        <v>http://dx.doi.org/10.1145/3170427.3188649</v>
      </c>
      <c r="BP224" s="89" t="s">
        <v>646</v>
      </c>
      <c r="BQ224" s="89" t="s">
        <v>646</v>
      </c>
      <c r="BR224" s="89" t="s">
        <v>646</v>
      </c>
      <c r="BS224" s="89" t="s">
        <v>646</v>
      </c>
      <c r="BT224" s="89" t="s">
        <v>646</v>
      </c>
      <c r="BU224" s="89" t="s">
        <v>646</v>
      </c>
      <c r="BV224" s="89" t="s">
        <v>646</v>
      </c>
      <c r="BW224" s="89" t="s">
        <v>646</v>
      </c>
      <c r="BX224" s="89" t="s">
        <v>646</v>
      </c>
      <c r="BY224" s="89" t="s">
        <v>646</v>
      </c>
      <c r="BZ224" s="89" t="s">
        <v>646</v>
      </c>
      <c r="CA224" s="89" t="s">
        <v>646</v>
      </c>
      <c r="CB224" s="89" t="s">
        <v>19444</v>
      </c>
      <c r="CC224" s="89" t="str">
        <f>HYPERLINK("https%3A%2F%2Fwww.webofscience.com%2Fwos%2Fwoscc%2Ffull-record%2FWOS:000671090000179","View Full Record in Web of Science")</f>
        <v>View Full Record in Web of Science</v>
      </c>
    </row>
    <row r="225" spans="1:81" ht="13.2" hidden="1" x14ac:dyDescent="0.25">
      <c r="A225" s="89" t="s">
        <v>770</v>
      </c>
      <c r="B225" s="89" t="e">
        <f>+#REF!</f>
        <v>#REF!</v>
      </c>
      <c r="C225" s="89"/>
      <c r="D225" s="91" t="s">
        <v>717</v>
      </c>
      <c r="E225" s="90" t="e">
        <v>#REF!</v>
      </c>
      <c r="F225" s="89"/>
      <c r="G225" s="89"/>
      <c r="H225" s="89" t="s">
        <v>772</v>
      </c>
      <c r="I225" s="89" t="s">
        <v>19445</v>
      </c>
      <c r="J225" s="89" t="s">
        <v>19447</v>
      </c>
      <c r="K225" s="89" t="s">
        <v>19446</v>
      </c>
      <c r="M225" s="89">
        <v>2017</v>
      </c>
      <c r="N225" s="89" t="s">
        <v>18728</v>
      </c>
      <c r="O225" s="89" t="s">
        <v>646</v>
      </c>
      <c r="P225" s="89" t="str">
        <f>HYPERLINK("http://dx.doi.org/10.1007/s00521-015-2040-7","http://dx.doi.org/10.1007/s00521-015-2040-7")</f>
        <v>http://dx.doi.org/10.1007/s00521-015-2040-7</v>
      </c>
      <c r="S225" s="89" t="s">
        <v>646</v>
      </c>
      <c r="U225" s="89" t="s">
        <v>17462</v>
      </c>
      <c r="W225" s="89" t="s">
        <v>646</v>
      </c>
      <c r="X225" s="89" t="s">
        <v>646</v>
      </c>
      <c r="Y225" s="89" t="s">
        <v>646</v>
      </c>
      <c r="Z225" s="89" t="s">
        <v>646</v>
      </c>
      <c r="AA225" s="89" t="s">
        <v>646</v>
      </c>
      <c r="AB225" s="89" t="s">
        <v>646</v>
      </c>
      <c r="AC225" s="89" t="s">
        <v>646</v>
      </c>
      <c r="AD225" s="89" t="s">
        <v>646</v>
      </c>
      <c r="AE225" s="89" t="s">
        <v>646</v>
      </c>
      <c r="AF225" s="89" t="s">
        <v>19446</v>
      </c>
      <c r="AG225" s="89" t="s">
        <v>646</v>
      </c>
      <c r="AH225" s="89" t="s">
        <v>646</v>
      </c>
      <c r="AI225" s="89" t="s">
        <v>646</v>
      </c>
      <c r="AJ225" s="89" t="s">
        <v>646</v>
      </c>
      <c r="AK225" s="89" t="s">
        <v>19447</v>
      </c>
      <c r="AL225" s="89" t="s">
        <v>19448</v>
      </c>
      <c r="AM225" s="89" t="s">
        <v>646</v>
      </c>
      <c r="AN225" s="89" t="s">
        <v>646</v>
      </c>
      <c r="AO225" s="89" t="s">
        <v>646</v>
      </c>
      <c r="AP225" s="89" t="s">
        <v>646</v>
      </c>
      <c r="AQ225" s="89" t="s">
        <v>646</v>
      </c>
      <c r="AR225" s="89" t="s">
        <v>646</v>
      </c>
      <c r="AS225" s="89" t="s">
        <v>646</v>
      </c>
      <c r="AT225" s="89" t="s">
        <v>646</v>
      </c>
      <c r="AU225" s="89" t="s">
        <v>646</v>
      </c>
      <c r="AV225" s="89" t="s">
        <v>646</v>
      </c>
      <c r="AW225" s="89" t="s">
        <v>646</v>
      </c>
      <c r="AX225" s="89" t="s">
        <v>646</v>
      </c>
      <c r="AY225" s="89" t="s">
        <v>18732</v>
      </c>
      <c r="AZ225" s="89" t="s">
        <v>18733</v>
      </c>
      <c r="BA225" s="89" t="s">
        <v>646</v>
      </c>
      <c r="BB225" s="89" t="s">
        <v>646</v>
      </c>
      <c r="BC225" s="89" t="s">
        <v>646</v>
      </c>
      <c r="BD225" s="89" t="s">
        <v>17513</v>
      </c>
      <c r="BE225" s="89">
        <v>2017</v>
      </c>
      <c r="BF225" s="89">
        <v>28</v>
      </c>
      <c r="BG225" s="89">
        <v>1</v>
      </c>
      <c r="BH225" s="89" t="s">
        <v>646</v>
      </c>
      <c r="BI225" s="89" t="s">
        <v>646</v>
      </c>
      <c r="BJ225" s="89" t="s">
        <v>646</v>
      </c>
      <c r="BK225" s="89" t="s">
        <v>646</v>
      </c>
      <c r="BL225" s="89">
        <v>111</v>
      </c>
      <c r="BM225" s="89">
        <v>123</v>
      </c>
      <c r="BN225" s="89" t="s">
        <v>646</v>
      </c>
      <c r="BO225" s="89" t="str">
        <f>HYPERLINK("http://dx.doi.org/10.1007/s00521-015-2040-7","http://dx.doi.org/10.1007/s00521-015-2040-7")</f>
        <v>http://dx.doi.org/10.1007/s00521-015-2040-7</v>
      </c>
      <c r="BP225" s="89" t="s">
        <v>646</v>
      </c>
      <c r="BQ225" s="89" t="s">
        <v>646</v>
      </c>
      <c r="BR225" s="89" t="s">
        <v>646</v>
      </c>
      <c r="BS225" s="89" t="s">
        <v>646</v>
      </c>
      <c r="BT225" s="89" t="s">
        <v>646</v>
      </c>
      <c r="BU225" s="89" t="s">
        <v>646</v>
      </c>
      <c r="BV225" s="89" t="s">
        <v>646</v>
      </c>
      <c r="BW225" s="89" t="s">
        <v>646</v>
      </c>
      <c r="BX225" s="89" t="s">
        <v>646</v>
      </c>
      <c r="BY225" s="89" t="s">
        <v>646</v>
      </c>
      <c r="BZ225" s="89" t="s">
        <v>646</v>
      </c>
      <c r="CA225" s="89" t="s">
        <v>646</v>
      </c>
      <c r="CB225" s="89" t="s">
        <v>19449</v>
      </c>
      <c r="CC225" s="89" t="str">
        <f>HYPERLINK("https%3A%2F%2Fwww.webofscience.com%2Fwos%2Fwoscc%2Ffull-record%2FWOS:000392419100009","View Full Record in Web of Science")</f>
        <v>View Full Record in Web of Science</v>
      </c>
    </row>
    <row r="226" spans="1:81" ht="13.2" hidden="1" x14ac:dyDescent="0.25">
      <c r="A226" s="89" t="s">
        <v>19450</v>
      </c>
      <c r="B226" s="89" t="e">
        <f>+#REF!</f>
        <v>#REF!</v>
      </c>
      <c r="C226" s="89"/>
      <c r="D226" s="91" t="s">
        <v>717</v>
      </c>
      <c r="E226" s="90" t="e">
        <v>#REF!</v>
      </c>
      <c r="F226" s="89"/>
      <c r="G226" s="89"/>
      <c r="H226" s="89" t="s">
        <v>646</v>
      </c>
      <c r="I226" s="89" t="s">
        <v>19452</v>
      </c>
      <c r="J226" s="89" t="s">
        <v>19458</v>
      </c>
      <c r="K226" s="89" t="s">
        <v>19457</v>
      </c>
      <c r="M226" s="89">
        <v>2019</v>
      </c>
      <c r="N226" s="89" t="s">
        <v>19453</v>
      </c>
      <c r="O226" s="89" t="s">
        <v>19451</v>
      </c>
      <c r="P226" s="89" t="s">
        <v>646</v>
      </c>
      <c r="S226" s="89" t="s">
        <v>17475</v>
      </c>
      <c r="U226" s="89" t="s">
        <v>17474</v>
      </c>
      <c r="W226" s="89" t="s">
        <v>646</v>
      </c>
      <c r="X226" s="89" t="s">
        <v>646</v>
      </c>
      <c r="Y226" s="89" t="s">
        <v>19454</v>
      </c>
      <c r="Z226" s="89" t="s">
        <v>19455</v>
      </c>
      <c r="AA226" s="89" t="s">
        <v>18300</v>
      </c>
      <c r="AB226" s="89" t="s">
        <v>19456</v>
      </c>
      <c r="AC226" s="89" t="s">
        <v>646</v>
      </c>
      <c r="AD226" s="89" t="s">
        <v>646</v>
      </c>
      <c r="AE226" s="89" t="s">
        <v>646</v>
      </c>
      <c r="AF226" s="89" t="s">
        <v>19457</v>
      </c>
      <c r="AG226" s="89" t="s">
        <v>646</v>
      </c>
      <c r="AH226" s="89" t="s">
        <v>646</v>
      </c>
      <c r="AI226" s="89" t="s">
        <v>646</v>
      </c>
      <c r="AJ226" s="89" t="s">
        <v>646</v>
      </c>
      <c r="AK226" s="89" t="s">
        <v>19458</v>
      </c>
      <c r="AL226" s="89" t="s">
        <v>19459</v>
      </c>
      <c r="AM226" s="89" t="s">
        <v>646</v>
      </c>
      <c r="AN226" s="89" t="s">
        <v>646</v>
      </c>
      <c r="AO226" s="89" t="s">
        <v>646</v>
      </c>
      <c r="AP226" s="89" t="s">
        <v>646</v>
      </c>
      <c r="AQ226" s="89" t="s">
        <v>646</v>
      </c>
      <c r="AR226" s="89" t="s">
        <v>646</v>
      </c>
      <c r="AS226" s="89" t="s">
        <v>646</v>
      </c>
      <c r="AT226" s="89" t="s">
        <v>646</v>
      </c>
      <c r="AU226" s="89" t="s">
        <v>646</v>
      </c>
      <c r="AV226" s="89" t="s">
        <v>646</v>
      </c>
      <c r="AW226" s="89" t="s">
        <v>646</v>
      </c>
      <c r="AX226" s="89" t="s">
        <v>646</v>
      </c>
      <c r="AY226" s="89" t="s">
        <v>19460</v>
      </c>
      <c r="AZ226" s="89" t="s">
        <v>19461</v>
      </c>
      <c r="BA226" s="89" t="s">
        <v>19462</v>
      </c>
      <c r="BB226" s="89" t="s">
        <v>646</v>
      </c>
      <c r="BC226" s="89" t="s">
        <v>646</v>
      </c>
      <c r="BD226" s="89" t="s">
        <v>646</v>
      </c>
      <c r="BE226" s="89">
        <v>2019</v>
      </c>
      <c r="BF226" s="89" t="s">
        <v>646</v>
      </c>
      <c r="BG226" s="89" t="s">
        <v>646</v>
      </c>
      <c r="BH226" s="89" t="s">
        <v>646</v>
      </c>
      <c r="BI226" s="89" t="s">
        <v>646</v>
      </c>
      <c r="BJ226" s="89" t="s">
        <v>646</v>
      </c>
      <c r="BK226" s="89" t="s">
        <v>646</v>
      </c>
      <c r="BL226" s="89">
        <v>6957</v>
      </c>
      <c r="BM226" s="89">
        <v>6963</v>
      </c>
      <c r="BN226" s="89" t="s">
        <v>646</v>
      </c>
      <c r="BO226" s="89" t="s">
        <v>646</v>
      </c>
      <c r="BP226" s="89" t="s">
        <v>646</v>
      </c>
      <c r="BQ226" s="89" t="s">
        <v>646</v>
      </c>
      <c r="BR226" s="89" t="s">
        <v>646</v>
      </c>
      <c r="BS226" s="89" t="s">
        <v>646</v>
      </c>
      <c r="BT226" s="89" t="s">
        <v>646</v>
      </c>
      <c r="BU226" s="89" t="s">
        <v>646</v>
      </c>
      <c r="BV226" s="89" t="s">
        <v>646</v>
      </c>
      <c r="BW226" s="89" t="s">
        <v>646</v>
      </c>
      <c r="BX226" s="89" t="s">
        <v>646</v>
      </c>
      <c r="BY226" s="89" t="s">
        <v>646</v>
      </c>
      <c r="BZ226" s="89" t="s">
        <v>646</v>
      </c>
      <c r="CA226" s="89" t="s">
        <v>646</v>
      </c>
      <c r="CB226" s="89" t="s">
        <v>19463</v>
      </c>
      <c r="CC226" s="89" t="str">
        <f>HYPERLINK("https%3A%2F%2Fwww.webofscience.com%2Fwos%2Fwoscc%2Ffull-record%2FWOS:000494942305017","View Full Record in Web of Science")</f>
        <v>View Full Record in Web of Science</v>
      </c>
    </row>
    <row r="227" spans="1:81" ht="13.2" hidden="1" x14ac:dyDescent="0.25">
      <c r="A227" s="89" t="s">
        <v>11369</v>
      </c>
      <c r="B227" s="89" t="e">
        <f>+#REF!</f>
        <v>#REF!</v>
      </c>
      <c r="C227" s="89"/>
      <c r="D227" s="91" t="s">
        <v>717</v>
      </c>
      <c r="E227" s="90" t="e">
        <v>#REF!</v>
      </c>
      <c r="F227" s="89"/>
      <c r="G227" s="89"/>
      <c r="H227" s="89" t="s">
        <v>11370</v>
      </c>
      <c r="I227" s="89" t="s">
        <v>19464</v>
      </c>
      <c r="J227" s="89" t="s">
        <v>19467</v>
      </c>
      <c r="K227" s="89" t="s">
        <v>19466</v>
      </c>
      <c r="M227" s="89">
        <v>2019</v>
      </c>
      <c r="N227" s="89" t="s">
        <v>19465</v>
      </c>
      <c r="O227" s="89" t="s">
        <v>646</v>
      </c>
      <c r="P227" s="89" t="str">
        <f>HYPERLINK("http://dx.doi.org/10.1007/s10515-019-00261-7","http://dx.doi.org/10.1007/s10515-019-00261-7")</f>
        <v>http://dx.doi.org/10.1007/s10515-019-00261-7</v>
      </c>
      <c r="S227" s="89" t="s">
        <v>646</v>
      </c>
      <c r="U227" s="89" t="s">
        <v>17462</v>
      </c>
      <c r="W227" s="89" t="s">
        <v>646</v>
      </c>
      <c r="X227" s="89" t="s">
        <v>646</v>
      </c>
      <c r="Y227" s="89" t="s">
        <v>646</v>
      </c>
      <c r="Z227" s="89" t="s">
        <v>646</v>
      </c>
      <c r="AA227" s="89" t="s">
        <v>646</v>
      </c>
      <c r="AB227" s="89" t="s">
        <v>646</v>
      </c>
      <c r="AC227" s="89" t="s">
        <v>646</v>
      </c>
      <c r="AD227" s="89" t="s">
        <v>646</v>
      </c>
      <c r="AE227" s="89" t="s">
        <v>646</v>
      </c>
      <c r="AF227" s="89" t="s">
        <v>19466</v>
      </c>
      <c r="AG227" s="89" t="s">
        <v>646</v>
      </c>
      <c r="AH227" s="89" t="s">
        <v>646</v>
      </c>
      <c r="AI227" s="89" t="s">
        <v>646</v>
      </c>
      <c r="AJ227" s="89" t="s">
        <v>646</v>
      </c>
      <c r="AK227" s="89" t="s">
        <v>19467</v>
      </c>
      <c r="AL227" s="89" t="s">
        <v>19468</v>
      </c>
      <c r="AM227" s="89" t="s">
        <v>646</v>
      </c>
      <c r="AN227" s="89" t="s">
        <v>646</v>
      </c>
      <c r="AO227" s="89" t="s">
        <v>646</v>
      </c>
      <c r="AP227" s="89" t="s">
        <v>646</v>
      </c>
      <c r="AQ227" s="89" t="s">
        <v>646</v>
      </c>
      <c r="AR227" s="89" t="s">
        <v>646</v>
      </c>
      <c r="AS227" s="89" t="s">
        <v>646</v>
      </c>
      <c r="AT227" s="89" t="s">
        <v>646</v>
      </c>
      <c r="AU227" s="89" t="s">
        <v>646</v>
      </c>
      <c r="AV227" s="89" t="s">
        <v>646</v>
      </c>
      <c r="AW227" s="89" t="s">
        <v>646</v>
      </c>
      <c r="AX227" s="89" t="s">
        <v>646</v>
      </c>
      <c r="AY227" s="89" t="s">
        <v>19469</v>
      </c>
      <c r="AZ227" s="89" t="s">
        <v>19470</v>
      </c>
      <c r="BA227" s="89" t="s">
        <v>646</v>
      </c>
      <c r="BB227" s="89" t="s">
        <v>646</v>
      </c>
      <c r="BC227" s="89" t="s">
        <v>646</v>
      </c>
      <c r="BD227" s="89" t="s">
        <v>17739</v>
      </c>
      <c r="BE227" s="89">
        <v>2019</v>
      </c>
      <c r="BF227" s="89">
        <v>26</v>
      </c>
      <c r="BG227" s="89">
        <v>3</v>
      </c>
      <c r="BH227" s="89" t="s">
        <v>646</v>
      </c>
      <c r="BI227" s="89" t="s">
        <v>646</v>
      </c>
      <c r="BJ227" s="89" t="s">
        <v>17555</v>
      </c>
      <c r="BK227" s="89" t="s">
        <v>646</v>
      </c>
      <c r="BL227" s="89">
        <v>559</v>
      </c>
      <c r="BM227" s="89">
        <v>598</v>
      </c>
      <c r="BN227" s="89" t="s">
        <v>646</v>
      </c>
      <c r="BO227" s="89" t="str">
        <f>HYPERLINK("http://dx.doi.org/10.1007/s10515-019-00261-7","http://dx.doi.org/10.1007/s10515-019-00261-7")</f>
        <v>http://dx.doi.org/10.1007/s10515-019-00261-7</v>
      </c>
      <c r="BP227" s="89" t="s">
        <v>646</v>
      </c>
      <c r="BQ227" s="89" t="s">
        <v>646</v>
      </c>
      <c r="BR227" s="89" t="s">
        <v>646</v>
      </c>
      <c r="BS227" s="89" t="s">
        <v>646</v>
      </c>
      <c r="BT227" s="89" t="s">
        <v>646</v>
      </c>
      <c r="BU227" s="89" t="s">
        <v>646</v>
      </c>
      <c r="BV227" s="89" t="s">
        <v>646</v>
      </c>
      <c r="BW227" s="89" t="s">
        <v>646</v>
      </c>
      <c r="BX227" s="89" t="s">
        <v>646</v>
      </c>
      <c r="BY227" s="89" t="s">
        <v>646</v>
      </c>
      <c r="BZ227" s="89" t="s">
        <v>646</v>
      </c>
      <c r="CA227" s="89" t="s">
        <v>646</v>
      </c>
      <c r="CB227" s="89" t="s">
        <v>19471</v>
      </c>
      <c r="CC227" s="89" t="str">
        <f>HYPERLINK("https%3A%2F%2Fwww.webofscience.com%2Fwos%2Fwoscc%2Ffull-record%2FWOS:000482229800003","View Full Record in Web of Science")</f>
        <v>View Full Record in Web of Science</v>
      </c>
    </row>
    <row r="228" spans="1:81" ht="13.2" hidden="1" x14ac:dyDescent="0.25">
      <c r="A228" s="89" t="s">
        <v>19472</v>
      </c>
      <c r="B228" s="89" t="e">
        <f>+#REF!</f>
        <v>#REF!</v>
      </c>
      <c r="C228" s="89"/>
      <c r="D228" s="91" t="s">
        <v>717</v>
      </c>
      <c r="E228" s="90" t="e">
        <v>#REF!</v>
      </c>
      <c r="F228" s="89"/>
      <c r="G228" s="89"/>
      <c r="H228" s="89" t="s">
        <v>11380</v>
      </c>
      <c r="I228" s="89" t="s">
        <v>19473</v>
      </c>
      <c r="J228" s="89" t="s">
        <v>646</v>
      </c>
      <c r="K228" s="89" t="s">
        <v>19475</v>
      </c>
      <c r="M228" s="89">
        <v>2020</v>
      </c>
      <c r="N228" s="89" t="s">
        <v>19474</v>
      </c>
      <c r="O228" s="89" t="s">
        <v>646</v>
      </c>
      <c r="P228" s="89" t="str">
        <f>HYPERLINK("http://dx.doi.org/10.1037/fam0000614","http://dx.doi.org/10.1037/fam0000614")</f>
        <v>http://dx.doi.org/10.1037/fam0000614</v>
      </c>
      <c r="S228" s="89" t="s">
        <v>646</v>
      </c>
      <c r="U228" s="89" t="s">
        <v>17462</v>
      </c>
      <c r="W228" s="89" t="s">
        <v>646</v>
      </c>
      <c r="X228" s="89" t="s">
        <v>646</v>
      </c>
      <c r="Y228" s="89" t="s">
        <v>646</v>
      </c>
      <c r="Z228" s="89" t="s">
        <v>646</v>
      </c>
      <c r="AA228" s="89" t="s">
        <v>646</v>
      </c>
      <c r="AB228" s="89" t="s">
        <v>646</v>
      </c>
      <c r="AC228" s="89" t="s">
        <v>646</v>
      </c>
      <c r="AD228" s="89" t="s">
        <v>646</v>
      </c>
      <c r="AE228" s="89" t="s">
        <v>646</v>
      </c>
      <c r="AF228" s="89" t="s">
        <v>19475</v>
      </c>
      <c r="AG228" s="89" t="s">
        <v>646</v>
      </c>
      <c r="AH228" s="89" t="s">
        <v>646</v>
      </c>
      <c r="AI228" s="89" t="s">
        <v>646</v>
      </c>
      <c r="AJ228" s="89" t="s">
        <v>646</v>
      </c>
      <c r="AK228" s="89" t="s">
        <v>646</v>
      </c>
      <c r="AL228" s="89" t="s">
        <v>19476</v>
      </c>
      <c r="AM228" s="89" t="s">
        <v>646</v>
      </c>
      <c r="AN228" s="89" t="s">
        <v>646</v>
      </c>
      <c r="AO228" s="89" t="s">
        <v>646</v>
      </c>
      <c r="AP228" s="89" t="s">
        <v>646</v>
      </c>
      <c r="AQ228" s="89" t="s">
        <v>646</v>
      </c>
      <c r="AR228" s="89" t="s">
        <v>646</v>
      </c>
      <c r="AS228" s="89" t="s">
        <v>646</v>
      </c>
      <c r="AT228" s="89" t="s">
        <v>646</v>
      </c>
      <c r="AU228" s="89" t="s">
        <v>646</v>
      </c>
      <c r="AV228" s="89" t="s">
        <v>646</v>
      </c>
      <c r="AW228" s="89" t="s">
        <v>646</v>
      </c>
      <c r="AX228" s="89" t="s">
        <v>646</v>
      </c>
      <c r="AY228" s="89" t="s">
        <v>19477</v>
      </c>
      <c r="AZ228" s="89" t="s">
        <v>19478</v>
      </c>
      <c r="BA228" s="89" t="s">
        <v>646</v>
      </c>
      <c r="BB228" s="89" t="s">
        <v>646</v>
      </c>
      <c r="BC228" s="89" t="s">
        <v>646</v>
      </c>
      <c r="BD228" s="89" t="s">
        <v>17658</v>
      </c>
      <c r="BE228" s="89">
        <v>2020</v>
      </c>
      <c r="BF228" s="89">
        <v>34</v>
      </c>
      <c r="BG228" s="89">
        <v>1</v>
      </c>
      <c r="BH228" s="89" t="s">
        <v>646</v>
      </c>
      <c r="BI228" s="89" t="s">
        <v>646</v>
      </c>
      <c r="BJ228" s="89" t="s">
        <v>646</v>
      </c>
      <c r="BK228" s="89" t="s">
        <v>646</v>
      </c>
      <c r="BL228" s="89">
        <v>90</v>
      </c>
      <c r="BM228" s="89">
        <v>100</v>
      </c>
      <c r="BN228" s="89" t="s">
        <v>646</v>
      </c>
      <c r="BO228" s="89" t="str">
        <f>HYPERLINK("http://dx.doi.org/10.1037/fam0000614","http://dx.doi.org/10.1037/fam0000614")</f>
        <v>http://dx.doi.org/10.1037/fam0000614</v>
      </c>
      <c r="BP228" s="89" t="s">
        <v>646</v>
      </c>
      <c r="BQ228" s="89" t="s">
        <v>646</v>
      </c>
      <c r="BR228" s="89" t="s">
        <v>646</v>
      </c>
      <c r="BS228" s="89" t="s">
        <v>646</v>
      </c>
      <c r="BT228" s="89" t="s">
        <v>646</v>
      </c>
      <c r="BU228" s="89" t="s">
        <v>646</v>
      </c>
      <c r="BV228" s="89" t="s">
        <v>646</v>
      </c>
      <c r="BW228" s="89">
        <v>31789531</v>
      </c>
      <c r="BX228" s="89" t="s">
        <v>646</v>
      </c>
      <c r="BY228" s="89" t="s">
        <v>646</v>
      </c>
      <c r="BZ228" s="89" t="s">
        <v>646</v>
      </c>
      <c r="CA228" s="89" t="s">
        <v>646</v>
      </c>
      <c r="CB228" s="89" t="s">
        <v>19479</v>
      </c>
      <c r="CC228" s="89" t="str">
        <f>HYPERLINK("https%3A%2F%2Fwww.webofscience.com%2Fwos%2Fwoscc%2Ffull-record%2FWOS:000510388700009","View Full Record in Web of Science")</f>
        <v>View Full Record in Web of Science</v>
      </c>
    </row>
    <row r="229" spans="1:81" ht="13.2" hidden="1" x14ac:dyDescent="0.25">
      <c r="A229" s="89" t="s">
        <v>11388</v>
      </c>
      <c r="B229" s="89" t="e">
        <f>+#REF!</f>
        <v>#REF!</v>
      </c>
      <c r="C229" s="89"/>
      <c r="D229" s="91" t="s">
        <v>717</v>
      </c>
      <c r="E229" s="90" t="e">
        <v>#REF!</v>
      </c>
      <c r="F229" s="89"/>
      <c r="G229" s="89"/>
      <c r="H229" s="89" t="s">
        <v>11389</v>
      </c>
      <c r="I229" s="89" t="s">
        <v>19480</v>
      </c>
      <c r="J229" s="89" t="s">
        <v>19488</v>
      </c>
      <c r="K229" s="89" t="s">
        <v>19487</v>
      </c>
      <c r="M229" s="89">
        <v>2015</v>
      </c>
      <c r="N229" s="89" t="s">
        <v>19481</v>
      </c>
      <c r="O229" s="89" t="s">
        <v>646</v>
      </c>
      <c r="P229" s="89" t="str">
        <f>HYPERLINK("http://dx.doi.org/10.1109/ICGSEW.2015.19","http://dx.doi.org/10.1109/ICGSEW.2015.19")</f>
        <v>http://dx.doi.org/10.1109/ICGSEW.2015.19</v>
      </c>
      <c r="S229" s="89" t="s">
        <v>17475</v>
      </c>
      <c r="U229" s="89" t="s">
        <v>17474</v>
      </c>
      <c r="W229" s="89" t="s">
        <v>646</v>
      </c>
      <c r="X229" s="89" t="s">
        <v>646</v>
      </c>
      <c r="Y229" s="89" t="s">
        <v>19482</v>
      </c>
      <c r="Z229" s="89" t="s">
        <v>19483</v>
      </c>
      <c r="AA229" s="89" t="s">
        <v>19484</v>
      </c>
      <c r="AB229" s="89" t="s">
        <v>19485</v>
      </c>
      <c r="AC229" s="89" t="s">
        <v>19486</v>
      </c>
      <c r="AD229" s="89" t="s">
        <v>646</v>
      </c>
      <c r="AE229" s="89" t="s">
        <v>646</v>
      </c>
      <c r="AF229" s="89" t="s">
        <v>19487</v>
      </c>
      <c r="AG229" s="89" t="s">
        <v>646</v>
      </c>
      <c r="AH229" s="89" t="s">
        <v>646</v>
      </c>
      <c r="AI229" s="89" t="s">
        <v>646</v>
      </c>
      <c r="AJ229" s="89" t="s">
        <v>646</v>
      </c>
      <c r="AK229" s="89" t="s">
        <v>19488</v>
      </c>
      <c r="AL229" s="89" t="s">
        <v>19489</v>
      </c>
      <c r="AM229" s="89" t="s">
        <v>646</v>
      </c>
      <c r="AN229" s="89" t="s">
        <v>646</v>
      </c>
      <c r="AO229" s="89" t="s">
        <v>646</v>
      </c>
      <c r="AP229" s="89" t="s">
        <v>646</v>
      </c>
      <c r="AQ229" s="89" t="s">
        <v>646</v>
      </c>
      <c r="AR229" s="89" t="s">
        <v>646</v>
      </c>
      <c r="AS229" s="89" t="s">
        <v>646</v>
      </c>
      <c r="AT229" s="89" t="s">
        <v>646</v>
      </c>
      <c r="AU229" s="89" t="s">
        <v>646</v>
      </c>
      <c r="AV229" s="89" t="s">
        <v>646</v>
      </c>
      <c r="AW229" s="89" t="s">
        <v>646</v>
      </c>
      <c r="AX229" s="89" t="s">
        <v>646</v>
      </c>
      <c r="AY229" s="89" t="s">
        <v>646</v>
      </c>
      <c r="AZ229" s="89" t="s">
        <v>646</v>
      </c>
      <c r="BA229" s="89" t="s">
        <v>19490</v>
      </c>
      <c r="BB229" s="89" t="s">
        <v>646</v>
      </c>
      <c r="BC229" s="89" t="s">
        <v>646</v>
      </c>
      <c r="BD229" s="89" t="s">
        <v>646</v>
      </c>
      <c r="BE229" s="89">
        <v>2015</v>
      </c>
      <c r="BF229" s="89" t="s">
        <v>646</v>
      </c>
      <c r="BG229" s="89" t="s">
        <v>646</v>
      </c>
      <c r="BH229" s="89" t="s">
        <v>646</v>
      </c>
      <c r="BI229" s="89" t="s">
        <v>646</v>
      </c>
      <c r="BJ229" s="89" t="s">
        <v>646</v>
      </c>
      <c r="BK229" s="89" t="s">
        <v>646</v>
      </c>
      <c r="BL229" s="89">
        <v>51</v>
      </c>
      <c r="BM229" s="89">
        <v>54</v>
      </c>
      <c r="BN229" s="89" t="s">
        <v>646</v>
      </c>
      <c r="BO229" s="89" t="str">
        <f>HYPERLINK("http://dx.doi.org/10.1109/ICGSEW.2015.19","http://dx.doi.org/10.1109/ICGSEW.2015.19")</f>
        <v>http://dx.doi.org/10.1109/ICGSEW.2015.19</v>
      </c>
      <c r="BP229" s="89" t="s">
        <v>646</v>
      </c>
      <c r="BQ229" s="89" t="s">
        <v>646</v>
      </c>
      <c r="BR229" s="89" t="s">
        <v>646</v>
      </c>
      <c r="BS229" s="89" t="s">
        <v>646</v>
      </c>
      <c r="BT229" s="89" t="s">
        <v>646</v>
      </c>
      <c r="BU229" s="89" t="s">
        <v>646</v>
      </c>
      <c r="BV229" s="89" t="s">
        <v>646</v>
      </c>
      <c r="BW229" s="89" t="s">
        <v>646</v>
      </c>
      <c r="BX229" s="89" t="s">
        <v>646</v>
      </c>
      <c r="BY229" s="89" t="s">
        <v>646</v>
      </c>
      <c r="BZ229" s="89" t="s">
        <v>646</v>
      </c>
      <c r="CA229" s="89" t="s">
        <v>646</v>
      </c>
      <c r="CB229" s="89" t="s">
        <v>19491</v>
      </c>
      <c r="CC229" s="89" t="str">
        <f>HYPERLINK("https%3A%2F%2Fwww.webofscience.com%2Fwos%2Fwoscc%2Ffull-record%2FWOS:000380398800010","View Full Record in Web of Science")</f>
        <v>View Full Record in Web of Science</v>
      </c>
    </row>
    <row r="230" spans="1:81" ht="13.2" hidden="1" x14ac:dyDescent="0.25">
      <c r="A230" s="89" t="s">
        <v>19492</v>
      </c>
      <c r="B230" s="89" t="e">
        <f>+#REF!</f>
        <v>#REF!</v>
      </c>
      <c r="C230" s="89"/>
      <c r="D230" s="91" t="s">
        <v>717</v>
      </c>
      <c r="E230" s="90" t="e">
        <v>#REF!</v>
      </c>
      <c r="F230" s="89"/>
      <c r="G230" s="89"/>
      <c r="H230" s="89" t="s">
        <v>11399</v>
      </c>
      <c r="I230" s="89" t="s">
        <v>19494</v>
      </c>
      <c r="J230" s="89" t="s">
        <v>646</v>
      </c>
      <c r="K230" s="89" t="s">
        <v>19501</v>
      </c>
      <c r="M230" s="89">
        <v>2018</v>
      </c>
      <c r="N230" s="89" t="s">
        <v>19495</v>
      </c>
      <c r="O230" s="89" t="s">
        <v>19493</v>
      </c>
      <c r="P230" s="89" t="str">
        <f>HYPERLINK("http://dx.doi.org/10.1007/978-981-10-7629-9_52","http://dx.doi.org/10.1007/978-981-10-7629-9_52")</f>
        <v>http://dx.doi.org/10.1007/978-981-10-7629-9_52</v>
      </c>
      <c r="S230" s="89" t="s">
        <v>646</v>
      </c>
      <c r="U230" s="89" t="s">
        <v>17474</v>
      </c>
      <c r="W230" s="89" t="s">
        <v>646</v>
      </c>
      <c r="X230" s="89" t="s">
        <v>646</v>
      </c>
      <c r="Y230" s="89" t="s">
        <v>19496</v>
      </c>
      <c r="Z230" s="89" t="s">
        <v>19497</v>
      </c>
      <c r="AA230" s="89" t="s">
        <v>19498</v>
      </c>
      <c r="AB230" s="89" t="s">
        <v>19499</v>
      </c>
      <c r="AC230" s="89" t="s">
        <v>19500</v>
      </c>
      <c r="AD230" s="89" t="s">
        <v>646</v>
      </c>
      <c r="AE230" s="89" t="s">
        <v>646</v>
      </c>
      <c r="AF230" s="89" t="s">
        <v>19501</v>
      </c>
      <c r="AG230" s="89" t="s">
        <v>646</v>
      </c>
      <c r="AH230" s="89" t="s">
        <v>646</v>
      </c>
      <c r="AI230" s="89" t="s">
        <v>646</v>
      </c>
      <c r="AJ230" s="89" t="s">
        <v>646</v>
      </c>
      <c r="AK230" s="89" t="s">
        <v>646</v>
      </c>
      <c r="AL230" s="89" t="s">
        <v>646</v>
      </c>
      <c r="AM230" s="89" t="s">
        <v>646</v>
      </c>
      <c r="AN230" s="89" t="s">
        <v>646</v>
      </c>
      <c r="AO230" s="89" t="s">
        <v>646</v>
      </c>
      <c r="AP230" s="89" t="s">
        <v>646</v>
      </c>
      <c r="AQ230" s="89" t="s">
        <v>646</v>
      </c>
      <c r="AR230" s="89" t="s">
        <v>646</v>
      </c>
      <c r="AS230" s="89" t="s">
        <v>646</v>
      </c>
      <c r="AT230" s="89" t="s">
        <v>646</v>
      </c>
      <c r="AU230" s="89" t="s">
        <v>646</v>
      </c>
      <c r="AV230" s="89" t="s">
        <v>646</v>
      </c>
      <c r="AW230" s="89" t="s">
        <v>646</v>
      </c>
      <c r="AX230" s="89" t="s">
        <v>646</v>
      </c>
      <c r="AY230" s="89" t="s">
        <v>19502</v>
      </c>
      <c r="AZ230" s="89" t="s">
        <v>19503</v>
      </c>
      <c r="BA230" s="89" t="s">
        <v>19504</v>
      </c>
      <c r="BB230" s="89" t="s">
        <v>646</v>
      </c>
      <c r="BC230" s="89" t="s">
        <v>646</v>
      </c>
      <c r="BD230" s="89" t="s">
        <v>646</v>
      </c>
      <c r="BE230" s="89">
        <v>2018</v>
      </c>
      <c r="BF230" s="89">
        <v>477</v>
      </c>
      <c r="BG230" s="89" t="s">
        <v>646</v>
      </c>
      <c r="BH230" s="89" t="s">
        <v>646</v>
      </c>
      <c r="BI230" s="89" t="s">
        <v>646</v>
      </c>
      <c r="BJ230" s="89" t="s">
        <v>646</v>
      </c>
      <c r="BK230" s="89" t="s">
        <v>646</v>
      </c>
      <c r="BL230" s="89">
        <v>423</v>
      </c>
      <c r="BM230" s="89">
        <v>428</v>
      </c>
      <c r="BN230" s="89" t="s">
        <v>646</v>
      </c>
      <c r="BO230" s="89" t="str">
        <f>HYPERLINK("http://dx.doi.org/10.1007/978-981-10-7629-9_52","http://dx.doi.org/10.1007/978-981-10-7629-9_52")</f>
        <v>http://dx.doi.org/10.1007/978-981-10-7629-9_52</v>
      </c>
      <c r="BP230" s="89" t="s">
        <v>646</v>
      </c>
      <c r="BQ230" s="89" t="s">
        <v>646</v>
      </c>
      <c r="BR230" s="89" t="s">
        <v>646</v>
      </c>
      <c r="BS230" s="89" t="s">
        <v>646</v>
      </c>
      <c r="BT230" s="89" t="s">
        <v>646</v>
      </c>
      <c r="BU230" s="89" t="s">
        <v>646</v>
      </c>
      <c r="BV230" s="89" t="s">
        <v>646</v>
      </c>
      <c r="BW230" s="89" t="s">
        <v>646</v>
      </c>
      <c r="BX230" s="89" t="s">
        <v>646</v>
      </c>
      <c r="BY230" s="89" t="s">
        <v>646</v>
      </c>
      <c r="BZ230" s="89" t="s">
        <v>646</v>
      </c>
      <c r="CA230" s="89" t="s">
        <v>646</v>
      </c>
      <c r="CB230" s="89" t="s">
        <v>19505</v>
      </c>
      <c r="CC230" s="89" t="str">
        <f>HYPERLINK("https%3A%2F%2Fwww.webofscience.com%2Fwos%2Fwoscc%2Ffull-record%2FWOS:000433976800052","View Full Record in Web of Science")</f>
        <v>View Full Record in Web of Science</v>
      </c>
    </row>
    <row r="231" spans="1:81" ht="13.2" hidden="1" x14ac:dyDescent="0.25">
      <c r="A231" s="89" t="s">
        <v>11408</v>
      </c>
      <c r="B231" s="89" t="e">
        <f>+#REF!</f>
        <v>#REF!</v>
      </c>
      <c r="C231" s="89"/>
      <c r="D231" s="91" t="s">
        <v>717</v>
      </c>
      <c r="E231" s="90" t="e">
        <v>#REF!</v>
      </c>
      <c r="F231" s="89"/>
      <c r="G231" s="89"/>
      <c r="H231" s="89" t="s">
        <v>11409</v>
      </c>
      <c r="I231" s="89" t="s">
        <v>19506</v>
      </c>
      <c r="J231" s="89" t="s">
        <v>19509</v>
      </c>
      <c r="K231" s="89" t="s">
        <v>19508</v>
      </c>
      <c r="M231" s="89">
        <v>2012</v>
      </c>
      <c r="N231" s="89" t="s">
        <v>19507</v>
      </c>
      <c r="O231" s="89" t="s">
        <v>646</v>
      </c>
      <c r="P231" s="89" t="str">
        <f>HYPERLINK("http://dx.doi.org/10.1049/iet-sen.2011.0070","http://dx.doi.org/10.1049/iet-sen.2011.0070")</f>
        <v>http://dx.doi.org/10.1049/iet-sen.2011.0070</v>
      </c>
      <c r="S231" s="89" t="s">
        <v>646</v>
      </c>
      <c r="U231" s="89" t="s">
        <v>17462</v>
      </c>
      <c r="W231" s="89" t="s">
        <v>646</v>
      </c>
      <c r="X231" s="89" t="s">
        <v>646</v>
      </c>
      <c r="Y231" s="89" t="s">
        <v>646</v>
      </c>
      <c r="Z231" s="89" t="s">
        <v>646</v>
      </c>
      <c r="AA231" s="89" t="s">
        <v>646</v>
      </c>
      <c r="AB231" s="89" t="s">
        <v>646</v>
      </c>
      <c r="AC231" s="89" t="s">
        <v>646</v>
      </c>
      <c r="AD231" s="89" t="s">
        <v>646</v>
      </c>
      <c r="AE231" s="89" t="s">
        <v>646</v>
      </c>
      <c r="AF231" s="89" t="s">
        <v>19508</v>
      </c>
      <c r="AG231" s="89" t="s">
        <v>646</v>
      </c>
      <c r="AH231" s="89" t="s">
        <v>646</v>
      </c>
      <c r="AI231" s="89" t="s">
        <v>646</v>
      </c>
      <c r="AJ231" s="89" t="s">
        <v>646</v>
      </c>
      <c r="AK231" s="89" t="s">
        <v>19509</v>
      </c>
      <c r="AL231" s="89" t="s">
        <v>19510</v>
      </c>
      <c r="AM231" s="89" t="s">
        <v>646</v>
      </c>
      <c r="AN231" s="89" t="s">
        <v>646</v>
      </c>
      <c r="AO231" s="89" t="s">
        <v>646</v>
      </c>
      <c r="AP231" s="89" t="s">
        <v>646</v>
      </c>
      <c r="AQ231" s="89" t="s">
        <v>646</v>
      </c>
      <c r="AR231" s="89" t="s">
        <v>646</v>
      </c>
      <c r="AS231" s="89" t="s">
        <v>646</v>
      </c>
      <c r="AT231" s="89" t="s">
        <v>646</v>
      </c>
      <c r="AU231" s="89" t="s">
        <v>646</v>
      </c>
      <c r="AV231" s="89" t="s">
        <v>646</v>
      </c>
      <c r="AW231" s="89" t="s">
        <v>646</v>
      </c>
      <c r="AX231" s="89" t="s">
        <v>646</v>
      </c>
      <c r="AY231" s="89" t="s">
        <v>19511</v>
      </c>
      <c r="AZ231" s="89" t="s">
        <v>19512</v>
      </c>
      <c r="BA231" s="89" t="s">
        <v>646</v>
      </c>
      <c r="BB231" s="89" t="s">
        <v>646</v>
      </c>
      <c r="BC231" s="89" t="s">
        <v>646</v>
      </c>
      <c r="BD231" s="89" t="s">
        <v>17772</v>
      </c>
      <c r="BE231" s="89">
        <v>2012</v>
      </c>
      <c r="BF231" s="89">
        <v>6</v>
      </c>
      <c r="BG231" s="89">
        <v>3</v>
      </c>
      <c r="BH231" s="89" t="s">
        <v>646</v>
      </c>
      <c r="BI231" s="89" t="s">
        <v>646</v>
      </c>
      <c r="BJ231" s="89" t="s">
        <v>646</v>
      </c>
      <c r="BK231" s="89" t="s">
        <v>646</v>
      </c>
      <c r="BL231" s="89">
        <v>167</v>
      </c>
      <c r="BM231" s="89">
        <v>175</v>
      </c>
      <c r="BN231" s="89" t="s">
        <v>646</v>
      </c>
      <c r="BO231" s="89" t="str">
        <f>HYPERLINK("http://dx.doi.org/10.1049/iet-sen.2011.0070","http://dx.doi.org/10.1049/iet-sen.2011.0070")</f>
        <v>http://dx.doi.org/10.1049/iet-sen.2011.0070</v>
      </c>
      <c r="BP231" s="89" t="s">
        <v>646</v>
      </c>
      <c r="BQ231" s="89" t="s">
        <v>646</v>
      </c>
      <c r="BR231" s="89" t="s">
        <v>646</v>
      </c>
      <c r="BS231" s="89" t="s">
        <v>646</v>
      </c>
      <c r="BT231" s="89" t="s">
        <v>646</v>
      </c>
      <c r="BU231" s="89" t="s">
        <v>646</v>
      </c>
      <c r="BV231" s="89" t="s">
        <v>646</v>
      </c>
      <c r="BW231" s="89" t="s">
        <v>646</v>
      </c>
      <c r="BX231" s="89" t="s">
        <v>646</v>
      </c>
      <c r="BY231" s="89" t="s">
        <v>646</v>
      </c>
      <c r="BZ231" s="89" t="s">
        <v>646</v>
      </c>
      <c r="CA231" s="89" t="s">
        <v>646</v>
      </c>
      <c r="CB231" s="89" t="s">
        <v>19513</v>
      </c>
      <c r="CC231" s="89" t="str">
        <f>HYPERLINK("https%3A%2F%2Fwww.webofscience.com%2Fwos%2Fwoscc%2Ffull-record%2FWOS:000305999700002","View Full Record in Web of Science")</f>
        <v>View Full Record in Web of Science</v>
      </c>
    </row>
    <row r="232" spans="1:81" ht="13.2" hidden="1" x14ac:dyDescent="0.25">
      <c r="A232" s="89" t="s">
        <v>19514</v>
      </c>
      <c r="B232" s="89" t="e">
        <f>+#REF!</f>
        <v>#REF!</v>
      </c>
      <c r="C232" s="89"/>
      <c r="D232" s="91" t="s">
        <v>717</v>
      </c>
      <c r="E232" s="90" t="e">
        <v>#REF!</v>
      </c>
      <c r="F232" s="89"/>
      <c r="G232" s="89"/>
      <c r="H232" s="89" t="s">
        <v>646</v>
      </c>
      <c r="I232" s="89" t="s">
        <v>19516</v>
      </c>
      <c r="J232" s="89" t="s">
        <v>19522</v>
      </c>
      <c r="K232" s="89" t="s">
        <v>19521</v>
      </c>
      <c r="M232" s="89">
        <v>2014</v>
      </c>
      <c r="N232" s="89" t="s">
        <v>19517</v>
      </c>
      <c r="O232" s="89" t="s">
        <v>19515</v>
      </c>
      <c r="P232" s="89" t="s">
        <v>646</v>
      </c>
      <c r="S232" s="89" t="s">
        <v>646</v>
      </c>
      <c r="U232" s="89" t="s">
        <v>17474</v>
      </c>
      <c r="W232" s="89" t="s">
        <v>646</v>
      </c>
      <c r="X232" s="89" t="s">
        <v>646</v>
      </c>
      <c r="Y232" s="89" t="s">
        <v>19518</v>
      </c>
      <c r="Z232" s="89" t="s">
        <v>19519</v>
      </c>
      <c r="AA232" s="89" t="s">
        <v>19520</v>
      </c>
      <c r="AB232" s="89" t="s">
        <v>646</v>
      </c>
      <c r="AC232" s="89" t="s">
        <v>646</v>
      </c>
      <c r="AD232" s="89" t="s">
        <v>646</v>
      </c>
      <c r="AE232" s="89" t="s">
        <v>646</v>
      </c>
      <c r="AF232" s="89" t="s">
        <v>19521</v>
      </c>
      <c r="AG232" s="89" t="s">
        <v>646</v>
      </c>
      <c r="AH232" s="89" t="s">
        <v>646</v>
      </c>
      <c r="AI232" s="89" t="s">
        <v>646</v>
      </c>
      <c r="AJ232" s="89" t="s">
        <v>646</v>
      </c>
      <c r="AK232" s="89" t="s">
        <v>19522</v>
      </c>
      <c r="AL232" s="89" t="s">
        <v>19523</v>
      </c>
      <c r="AM232" s="89" t="s">
        <v>646</v>
      </c>
      <c r="AN232" s="89" t="s">
        <v>646</v>
      </c>
      <c r="AO232" s="89" t="s">
        <v>646</v>
      </c>
      <c r="AP232" s="89" t="s">
        <v>646</v>
      </c>
      <c r="AQ232" s="89" t="s">
        <v>646</v>
      </c>
      <c r="AR232" s="89" t="s">
        <v>646</v>
      </c>
      <c r="AS232" s="89" t="s">
        <v>646</v>
      </c>
      <c r="AT232" s="89" t="s">
        <v>646</v>
      </c>
      <c r="AU232" s="89" t="s">
        <v>646</v>
      </c>
      <c r="AV232" s="89" t="s">
        <v>646</v>
      </c>
      <c r="AW232" s="89" t="s">
        <v>646</v>
      </c>
      <c r="AX232" s="89" t="s">
        <v>646</v>
      </c>
      <c r="AY232" s="89" t="s">
        <v>18367</v>
      </c>
      <c r="AZ232" s="89" t="s">
        <v>18884</v>
      </c>
      <c r="BA232" s="89" t="s">
        <v>19524</v>
      </c>
      <c r="BB232" s="89" t="s">
        <v>646</v>
      </c>
      <c r="BC232" s="89" t="s">
        <v>646</v>
      </c>
      <c r="BD232" s="89" t="s">
        <v>646</v>
      </c>
      <c r="BE232" s="89">
        <v>2014</v>
      </c>
      <c r="BF232" s="89">
        <v>8512</v>
      </c>
      <c r="BG232" s="89" t="s">
        <v>646</v>
      </c>
      <c r="BH232" s="89" t="s">
        <v>646</v>
      </c>
      <c r="BI232" s="89" t="s">
        <v>646</v>
      </c>
      <c r="BJ232" s="89" t="s">
        <v>646</v>
      </c>
      <c r="BK232" s="89" t="s">
        <v>646</v>
      </c>
      <c r="BL232" s="89">
        <v>57</v>
      </c>
      <c r="BM232" s="89">
        <v>68</v>
      </c>
      <c r="BN232" s="89" t="s">
        <v>646</v>
      </c>
      <c r="BO232" s="89" t="s">
        <v>646</v>
      </c>
      <c r="BP232" s="89" t="s">
        <v>646</v>
      </c>
      <c r="BQ232" s="89" t="s">
        <v>646</v>
      </c>
      <c r="BR232" s="89" t="s">
        <v>646</v>
      </c>
      <c r="BS232" s="89" t="s">
        <v>646</v>
      </c>
      <c r="BT232" s="89" t="s">
        <v>646</v>
      </c>
      <c r="BU232" s="89" t="s">
        <v>646</v>
      </c>
      <c r="BV232" s="89" t="s">
        <v>646</v>
      </c>
      <c r="BW232" s="89" t="s">
        <v>646</v>
      </c>
      <c r="BX232" s="89" t="s">
        <v>646</v>
      </c>
      <c r="BY232" s="89" t="s">
        <v>646</v>
      </c>
      <c r="BZ232" s="89" t="s">
        <v>646</v>
      </c>
      <c r="CA232" s="89" t="s">
        <v>646</v>
      </c>
      <c r="CB232" s="89" t="s">
        <v>19525</v>
      </c>
      <c r="CC232" s="89" t="str">
        <f>HYPERLINK("https%3A%2F%2Fwww.webofscience.com%2Fwos%2Fwoscc%2Ffull-record%2FWOS:000342750300007","View Full Record in Web of Science")</f>
        <v>View Full Record in Web of Science</v>
      </c>
    </row>
    <row r="233" spans="1:81" ht="13.2" hidden="1" x14ac:dyDescent="0.25">
      <c r="A233" s="89" t="s">
        <v>9016</v>
      </c>
      <c r="B233" s="89" t="e">
        <f>+#REF!</f>
        <v>#REF!</v>
      </c>
      <c r="C233" s="89"/>
      <c r="D233" s="91" t="s">
        <v>717</v>
      </c>
      <c r="E233" s="90" t="e">
        <v>#REF!</v>
      </c>
      <c r="F233" s="89"/>
      <c r="G233" s="89"/>
      <c r="H233" s="89" t="s">
        <v>9017</v>
      </c>
      <c r="I233" s="89" t="s">
        <v>19526</v>
      </c>
      <c r="J233" s="89" t="s">
        <v>646</v>
      </c>
      <c r="K233" s="89" t="s">
        <v>19528</v>
      </c>
      <c r="M233" s="89">
        <v>2021</v>
      </c>
      <c r="N233" s="89" t="s">
        <v>19527</v>
      </c>
      <c r="O233" s="89" t="s">
        <v>646</v>
      </c>
      <c r="P233" s="89" t="str">
        <f>HYPERLINK("http://dx.doi.org/10.1108/SBM-09-2020-0093","http://dx.doi.org/10.1108/SBM-09-2020-0093")</f>
        <v>http://dx.doi.org/10.1108/SBM-09-2020-0093</v>
      </c>
      <c r="S233" s="89" t="s">
        <v>646</v>
      </c>
      <c r="U233" s="89" t="s">
        <v>17462</v>
      </c>
      <c r="W233" s="89" t="s">
        <v>646</v>
      </c>
      <c r="X233" s="89" t="s">
        <v>646</v>
      </c>
      <c r="Y233" s="89" t="s">
        <v>646</v>
      </c>
      <c r="Z233" s="89" t="s">
        <v>646</v>
      </c>
      <c r="AA233" s="89" t="s">
        <v>646</v>
      </c>
      <c r="AB233" s="89" t="s">
        <v>646</v>
      </c>
      <c r="AC233" s="89" t="s">
        <v>646</v>
      </c>
      <c r="AD233" s="89" t="s">
        <v>646</v>
      </c>
      <c r="AE233" s="89" t="s">
        <v>646</v>
      </c>
      <c r="AF233" s="89" t="s">
        <v>19528</v>
      </c>
      <c r="AG233" s="89" t="s">
        <v>646</v>
      </c>
      <c r="AH233" s="89" t="s">
        <v>646</v>
      </c>
      <c r="AI233" s="89" t="s">
        <v>646</v>
      </c>
      <c r="AJ233" s="89" t="s">
        <v>646</v>
      </c>
      <c r="AK233" s="89" t="s">
        <v>646</v>
      </c>
      <c r="AL233" s="89" t="s">
        <v>19529</v>
      </c>
      <c r="AM233" s="89" t="s">
        <v>646</v>
      </c>
      <c r="AN233" s="89" t="s">
        <v>646</v>
      </c>
      <c r="AO233" s="89" t="s">
        <v>646</v>
      </c>
      <c r="AP233" s="89" t="s">
        <v>646</v>
      </c>
      <c r="AQ233" s="89" t="s">
        <v>646</v>
      </c>
      <c r="AR233" s="89" t="s">
        <v>646</v>
      </c>
      <c r="AS233" s="89" t="s">
        <v>646</v>
      </c>
      <c r="AT233" s="89" t="s">
        <v>646</v>
      </c>
      <c r="AU233" s="89" t="s">
        <v>646</v>
      </c>
      <c r="AV233" s="89" t="s">
        <v>646</v>
      </c>
      <c r="AW233" s="89" t="s">
        <v>646</v>
      </c>
      <c r="AX233" s="89" t="s">
        <v>646</v>
      </c>
      <c r="AY233" s="89" t="s">
        <v>19530</v>
      </c>
      <c r="AZ233" s="89" t="s">
        <v>19531</v>
      </c>
      <c r="BA233" s="89" t="s">
        <v>646</v>
      </c>
      <c r="BB233" s="89" t="s">
        <v>646</v>
      </c>
      <c r="BC233" s="89" t="s">
        <v>646</v>
      </c>
      <c r="BD233" s="89" t="s">
        <v>19532</v>
      </c>
      <c r="BE233" s="89">
        <v>2021</v>
      </c>
      <c r="BF233" s="89">
        <v>11</v>
      </c>
      <c r="BG233" s="89">
        <v>5</v>
      </c>
      <c r="BH233" s="89" t="s">
        <v>646</v>
      </c>
      <c r="BI233" s="89" t="s">
        <v>646</v>
      </c>
      <c r="BJ233" s="89" t="s">
        <v>646</v>
      </c>
      <c r="BK233" s="89" t="s">
        <v>646</v>
      </c>
      <c r="BL233" s="89">
        <v>493</v>
      </c>
      <c r="BM233" s="89">
        <v>514</v>
      </c>
      <c r="BN233" s="89" t="s">
        <v>646</v>
      </c>
      <c r="BO233" s="89" t="str">
        <f>HYPERLINK("http://dx.doi.org/10.1108/SBM-09-2020-0093","http://dx.doi.org/10.1108/SBM-09-2020-0093")</f>
        <v>http://dx.doi.org/10.1108/SBM-09-2020-0093</v>
      </c>
      <c r="BP233" s="89" t="s">
        <v>646</v>
      </c>
      <c r="BQ233" s="89" t="s">
        <v>17906</v>
      </c>
      <c r="BR233" s="89" t="s">
        <v>646</v>
      </c>
      <c r="BS233" s="89" t="s">
        <v>646</v>
      </c>
      <c r="BT233" s="89" t="s">
        <v>646</v>
      </c>
      <c r="BU233" s="89" t="s">
        <v>646</v>
      </c>
      <c r="BV233" s="89" t="s">
        <v>646</v>
      </c>
      <c r="BW233" s="89" t="s">
        <v>646</v>
      </c>
      <c r="BX233" s="89" t="s">
        <v>646</v>
      </c>
      <c r="BY233" s="89" t="s">
        <v>646</v>
      </c>
      <c r="BZ233" s="89" t="s">
        <v>646</v>
      </c>
      <c r="CA233" s="89" t="s">
        <v>646</v>
      </c>
      <c r="CB233" s="89" t="s">
        <v>19533</v>
      </c>
      <c r="CC233" s="89" t="str">
        <f>HYPERLINK("https%3A%2F%2Fwww.webofscience.com%2Fwos%2Fwoscc%2Ffull-record%2FWOS:000674326200001","View Full Record in Web of Science")</f>
        <v>View Full Record in Web of Science</v>
      </c>
    </row>
    <row r="234" spans="1:81" ht="13.2" hidden="1" x14ac:dyDescent="0.25">
      <c r="A234" s="89" t="s">
        <v>11425</v>
      </c>
      <c r="B234" s="89" t="e">
        <f>+#REF!</f>
        <v>#REF!</v>
      </c>
      <c r="C234" s="89"/>
      <c r="D234" s="91" t="s">
        <v>717</v>
      </c>
      <c r="E234" s="90" t="e">
        <v>#REF!</v>
      </c>
      <c r="F234" s="89"/>
      <c r="G234" s="89"/>
      <c r="H234" s="89" t="s">
        <v>11426</v>
      </c>
      <c r="I234" s="89" t="s">
        <v>19534</v>
      </c>
      <c r="J234" s="89" t="s">
        <v>19537</v>
      </c>
      <c r="K234" s="89" t="s">
        <v>19536</v>
      </c>
      <c r="M234" s="89">
        <v>2013</v>
      </c>
      <c r="N234" s="89" t="s">
        <v>19535</v>
      </c>
      <c r="O234" s="89" t="s">
        <v>646</v>
      </c>
      <c r="P234" s="89" t="str">
        <f>HYPERLINK("http://dx.doi.org/10.1016/j.mcm.2012.01.006","http://dx.doi.org/10.1016/j.mcm.2012.01.006")</f>
        <v>http://dx.doi.org/10.1016/j.mcm.2012.01.006</v>
      </c>
      <c r="S234" s="89" t="s">
        <v>646</v>
      </c>
      <c r="U234" s="89" t="s">
        <v>17462</v>
      </c>
      <c r="W234" s="89" t="s">
        <v>646</v>
      </c>
      <c r="X234" s="89" t="s">
        <v>646</v>
      </c>
      <c r="Y234" s="89" t="s">
        <v>646</v>
      </c>
      <c r="Z234" s="89" t="s">
        <v>646</v>
      </c>
      <c r="AA234" s="89" t="s">
        <v>646</v>
      </c>
      <c r="AB234" s="89" t="s">
        <v>646</v>
      </c>
      <c r="AC234" s="89" t="s">
        <v>646</v>
      </c>
      <c r="AD234" s="89" t="s">
        <v>646</v>
      </c>
      <c r="AE234" s="89" t="s">
        <v>646</v>
      </c>
      <c r="AF234" s="89" t="s">
        <v>19536</v>
      </c>
      <c r="AG234" s="89" t="s">
        <v>646</v>
      </c>
      <c r="AH234" s="89" t="s">
        <v>646</v>
      </c>
      <c r="AI234" s="89" t="s">
        <v>646</v>
      </c>
      <c r="AJ234" s="89" t="s">
        <v>646</v>
      </c>
      <c r="AK234" s="89" t="s">
        <v>19537</v>
      </c>
      <c r="AL234" s="89" t="s">
        <v>19538</v>
      </c>
      <c r="AM234" s="89" t="s">
        <v>646</v>
      </c>
      <c r="AN234" s="89" t="s">
        <v>646</v>
      </c>
      <c r="AO234" s="89" t="s">
        <v>646</v>
      </c>
      <c r="AP234" s="89" t="s">
        <v>646</v>
      </c>
      <c r="AQ234" s="89" t="s">
        <v>646</v>
      </c>
      <c r="AR234" s="89" t="s">
        <v>646</v>
      </c>
      <c r="AS234" s="89" t="s">
        <v>646</v>
      </c>
      <c r="AT234" s="89" t="s">
        <v>646</v>
      </c>
      <c r="AU234" s="89" t="s">
        <v>646</v>
      </c>
      <c r="AV234" s="89" t="s">
        <v>646</v>
      </c>
      <c r="AW234" s="89" t="s">
        <v>646</v>
      </c>
      <c r="AX234" s="89" t="s">
        <v>646</v>
      </c>
      <c r="AY234" s="89" t="s">
        <v>19539</v>
      </c>
      <c r="AZ234" s="89" t="s">
        <v>19540</v>
      </c>
      <c r="BA234" s="89" t="s">
        <v>646</v>
      </c>
      <c r="BB234" s="89" t="s">
        <v>646</v>
      </c>
      <c r="BC234" s="89" t="s">
        <v>646</v>
      </c>
      <c r="BD234" s="89" t="s">
        <v>17772</v>
      </c>
      <c r="BE234" s="89">
        <v>2013</v>
      </c>
      <c r="BF234" s="89">
        <v>57</v>
      </c>
      <c r="BG234" s="89" t="s">
        <v>19541</v>
      </c>
      <c r="BH234" s="89" t="s">
        <v>646</v>
      </c>
      <c r="BI234" s="89" t="s">
        <v>646</v>
      </c>
      <c r="BJ234" s="89" t="s">
        <v>646</v>
      </c>
      <c r="BK234" s="89" t="s">
        <v>646</v>
      </c>
      <c r="BL234" s="89">
        <v>2918</v>
      </c>
      <c r="BM234" s="89">
        <v>2932</v>
      </c>
      <c r="BN234" s="89" t="s">
        <v>646</v>
      </c>
      <c r="BO234" s="89" t="str">
        <f>HYPERLINK("http://dx.doi.org/10.1016/j.mcm.2012.01.006","http://dx.doi.org/10.1016/j.mcm.2012.01.006")</f>
        <v>http://dx.doi.org/10.1016/j.mcm.2012.01.006</v>
      </c>
      <c r="BP234" s="89" t="s">
        <v>646</v>
      </c>
      <c r="BQ234" s="89" t="s">
        <v>646</v>
      </c>
      <c r="BR234" s="89" t="s">
        <v>646</v>
      </c>
      <c r="BS234" s="89" t="s">
        <v>646</v>
      </c>
      <c r="BT234" s="89" t="s">
        <v>646</v>
      </c>
      <c r="BU234" s="89" t="s">
        <v>646</v>
      </c>
      <c r="BV234" s="89" t="s">
        <v>646</v>
      </c>
      <c r="BW234" s="89" t="s">
        <v>646</v>
      </c>
      <c r="BX234" s="89" t="s">
        <v>646</v>
      </c>
      <c r="BY234" s="89" t="s">
        <v>646</v>
      </c>
      <c r="BZ234" s="89" t="s">
        <v>646</v>
      </c>
      <c r="CA234" s="89" t="s">
        <v>646</v>
      </c>
      <c r="CB234" s="89" t="s">
        <v>19542</v>
      </c>
      <c r="CC234" s="89" t="str">
        <f>HYPERLINK("https%3A%2F%2Fwww.webofscience.com%2Fwos%2Fwoscc%2Ffull-record%2FWOS:000318915800031","View Full Record in Web of Science")</f>
        <v>View Full Record in Web of Science</v>
      </c>
    </row>
    <row r="235" spans="1:81" ht="13.2" hidden="1" x14ac:dyDescent="0.25">
      <c r="A235" s="89" t="s">
        <v>19543</v>
      </c>
      <c r="B235" s="89" t="e">
        <f>+#REF!</f>
        <v>#REF!</v>
      </c>
      <c r="C235" s="89"/>
      <c r="D235" s="91" t="s">
        <v>717</v>
      </c>
      <c r="E235" s="90" t="e">
        <v>#REF!</v>
      </c>
      <c r="F235" s="89"/>
      <c r="G235" s="89"/>
      <c r="H235" s="89" t="s">
        <v>11436</v>
      </c>
      <c r="I235" s="89" t="s">
        <v>19544</v>
      </c>
      <c r="J235" s="89" t="s">
        <v>19547</v>
      </c>
      <c r="K235" s="89" t="s">
        <v>19546</v>
      </c>
      <c r="M235" s="89">
        <v>2012</v>
      </c>
      <c r="N235" s="89" t="s">
        <v>19545</v>
      </c>
      <c r="O235" s="89" t="s">
        <v>646</v>
      </c>
      <c r="P235" s="89" t="str">
        <f>HYPERLINK("http://dx.doi.org/10.1080/1097198X.2012.10845617","http://dx.doi.org/10.1080/1097198X.2012.10845617")</f>
        <v>http://dx.doi.org/10.1080/1097198X.2012.10845617</v>
      </c>
      <c r="S235" s="89" t="s">
        <v>646</v>
      </c>
      <c r="U235" s="89" t="s">
        <v>17462</v>
      </c>
      <c r="W235" s="89" t="s">
        <v>646</v>
      </c>
      <c r="X235" s="89" t="s">
        <v>646</v>
      </c>
      <c r="Y235" s="89" t="s">
        <v>646</v>
      </c>
      <c r="Z235" s="89" t="s">
        <v>646</v>
      </c>
      <c r="AA235" s="89" t="s">
        <v>646</v>
      </c>
      <c r="AB235" s="89" t="s">
        <v>646</v>
      </c>
      <c r="AC235" s="89" t="s">
        <v>646</v>
      </c>
      <c r="AD235" s="89" t="s">
        <v>646</v>
      </c>
      <c r="AE235" s="89" t="s">
        <v>646</v>
      </c>
      <c r="AF235" s="89" t="s">
        <v>19546</v>
      </c>
      <c r="AG235" s="89" t="s">
        <v>646</v>
      </c>
      <c r="AH235" s="89" t="s">
        <v>646</v>
      </c>
      <c r="AI235" s="89" t="s">
        <v>646</v>
      </c>
      <c r="AJ235" s="89" t="s">
        <v>646</v>
      </c>
      <c r="AK235" s="89" t="s">
        <v>19547</v>
      </c>
      <c r="AL235" s="89" t="s">
        <v>19548</v>
      </c>
      <c r="AM235" s="89" t="s">
        <v>646</v>
      </c>
      <c r="AN235" s="89" t="s">
        <v>646</v>
      </c>
      <c r="AO235" s="89" t="s">
        <v>646</v>
      </c>
      <c r="AP235" s="89" t="s">
        <v>646</v>
      </c>
      <c r="AQ235" s="89" t="s">
        <v>646</v>
      </c>
      <c r="AR235" s="89" t="s">
        <v>646</v>
      </c>
      <c r="AS235" s="89" t="s">
        <v>646</v>
      </c>
      <c r="AT235" s="89" t="s">
        <v>646</v>
      </c>
      <c r="AU235" s="89" t="s">
        <v>646</v>
      </c>
      <c r="AV235" s="89" t="s">
        <v>646</v>
      </c>
      <c r="AW235" s="89" t="s">
        <v>646</v>
      </c>
      <c r="AX235" s="89" t="s">
        <v>646</v>
      </c>
      <c r="AY235" s="89" t="s">
        <v>19549</v>
      </c>
      <c r="AZ235" s="89" t="s">
        <v>19550</v>
      </c>
      <c r="BA235" s="89" t="s">
        <v>646</v>
      </c>
      <c r="BB235" s="89" t="s">
        <v>646</v>
      </c>
      <c r="BC235" s="89" t="s">
        <v>646</v>
      </c>
      <c r="BD235" s="89" t="s">
        <v>646</v>
      </c>
      <c r="BE235" s="89">
        <v>2012</v>
      </c>
      <c r="BF235" s="89">
        <v>15</v>
      </c>
      <c r="BG235" s="89">
        <v>3</v>
      </c>
      <c r="BH235" s="89" t="s">
        <v>646</v>
      </c>
      <c r="BI235" s="89" t="s">
        <v>646</v>
      </c>
      <c r="BJ235" s="89" t="s">
        <v>646</v>
      </c>
      <c r="BK235" s="89" t="s">
        <v>646</v>
      </c>
      <c r="BL235" s="89">
        <v>30</v>
      </c>
      <c r="BM235" s="89">
        <v>54</v>
      </c>
      <c r="BN235" s="89" t="s">
        <v>646</v>
      </c>
      <c r="BO235" s="89" t="str">
        <f>HYPERLINK("http://dx.doi.org/10.1080/1097198X.2012.10845617","http://dx.doi.org/10.1080/1097198X.2012.10845617")</f>
        <v>http://dx.doi.org/10.1080/1097198X.2012.10845617</v>
      </c>
      <c r="BP235" s="89" t="s">
        <v>646</v>
      </c>
      <c r="BQ235" s="89" t="s">
        <v>646</v>
      </c>
      <c r="BR235" s="89" t="s">
        <v>646</v>
      </c>
      <c r="BS235" s="89" t="s">
        <v>646</v>
      </c>
      <c r="BT235" s="89" t="s">
        <v>646</v>
      </c>
      <c r="BU235" s="89" t="s">
        <v>646</v>
      </c>
      <c r="BV235" s="89" t="s">
        <v>646</v>
      </c>
      <c r="BW235" s="89" t="s">
        <v>646</v>
      </c>
      <c r="BX235" s="89" t="s">
        <v>646</v>
      </c>
      <c r="BY235" s="89" t="s">
        <v>646</v>
      </c>
      <c r="BZ235" s="89" t="s">
        <v>646</v>
      </c>
      <c r="CA235" s="89" t="s">
        <v>646</v>
      </c>
      <c r="CB235" s="89" t="s">
        <v>19551</v>
      </c>
      <c r="CC235" s="89" t="str">
        <f>HYPERLINK("https%3A%2F%2Fwww.webofscience.com%2Fwos%2Fwoscc%2Ffull-record%2FWOS:000306543800003","View Full Record in Web of Science")</f>
        <v>View Full Record in Web of Science</v>
      </c>
    </row>
    <row r="236" spans="1:81" ht="13.2" hidden="1" x14ac:dyDescent="0.25">
      <c r="A236" s="89" t="s">
        <v>19552</v>
      </c>
      <c r="B236" s="89" t="e">
        <f>+#REF!</f>
        <v>#REF!</v>
      </c>
      <c r="C236" s="89"/>
      <c r="D236" s="91" t="s">
        <v>717</v>
      </c>
      <c r="E236" s="90" t="e">
        <v>#REF!</v>
      </c>
      <c r="F236" s="89"/>
      <c r="G236" s="89"/>
      <c r="H236" s="89" t="s">
        <v>646</v>
      </c>
      <c r="I236" s="89" t="s">
        <v>19554</v>
      </c>
      <c r="J236" s="89" t="s">
        <v>19560</v>
      </c>
      <c r="K236" s="89" t="s">
        <v>19559</v>
      </c>
      <c r="M236" s="89">
        <v>2009</v>
      </c>
      <c r="N236" s="89" t="s">
        <v>19555</v>
      </c>
      <c r="O236" s="89" t="s">
        <v>19553</v>
      </c>
      <c r="P236" s="89" t="s">
        <v>646</v>
      </c>
      <c r="S236" s="89" t="s">
        <v>646</v>
      </c>
      <c r="U236" s="89" t="s">
        <v>17474</v>
      </c>
      <c r="W236" s="89" t="s">
        <v>646</v>
      </c>
      <c r="X236" s="89" t="s">
        <v>646</v>
      </c>
      <c r="Y236" s="89" t="s">
        <v>19556</v>
      </c>
      <c r="Z236" s="89" t="s">
        <v>19557</v>
      </c>
      <c r="AA236" s="89" t="s">
        <v>19558</v>
      </c>
      <c r="AB236" s="89" t="s">
        <v>646</v>
      </c>
      <c r="AC236" s="89" t="s">
        <v>646</v>
      </c>
      <c r="AD236" s="89" t="s">
        <v>646</v>
      </c>
      <c r="AE236" s="89" t="s">
        <v>646</v>
      </c>
      <c r="AF236" s="89" t="s">
        <v>19559</v>
      </c>
      <c r="AG236" s="89" t="s">
        <v>646</v>
      </c>
      <c r="AH236" s="89" t="s">
        <v>646</v>
      </c>
      <c r="AI236" s="89" t="s">
        <v>646</v>
      </c>
      <c r="AJ236" s="89" t="s">
        <v>646</v>
      </c>
      <c r="AK236" s="89" t="s">
        <v>19560</v>
      </c>
      <c r="AL236" s="89" t="s">
        <v>19561</v>
      </c>
      <c r="AM236" s="89" t="s">
        <v>646</v>
      </c>
      <c r="AN236" s="89" t="s">
        <v>646</v>
      </c>
      <c r="AO236" s="89" t="s">
        <v>646</v>
      </c>
      <c r="AP236" s="89" t="s">
        <v>646</v>
      </c>
      <c r="AQ236" s="89" t="s">
        <v>646</v>
      </c>
      <c r="AR236" s="89" t="s">
        <v>646</v>
      </c>
      <c r="AS236" s="89" t="s">
        <v>646</v>
      </c>
      <c r="AT236" s="89" t="s">
        <v>646</v>
      </c>
      <c r="AU236" s="89" t="s">
        <v>646</v>
      </c>
      <c r="AV236" s="89" t="s">
        <v>646</v>
      </c>
      <c r="AW236" s="89" t="s">
        <v>646</v>
      </c>
      <c r="AX236" s="89" t="s">
        <v>646</v>
      </c>
      <c r="AY236" s="89" t="s">
        <v>18367</v>
      </c>
      <c r="AZ236" s="89" t="s">
        <v>18884</v>
      </c>
      <c r="BA236" s="89" t="s">
        <v>19562</v>
      </c>
      <c r="BB236" s="89" t="s">
        <v>646</v>
      </c>
      <c r="BC236" s="89" t="s">
        <v>646</v>
      </c>
      <c r="BD236" s="89" t="s">
        <v>646</v>
      </c>
      <c r="BE236" s="89">
        <v>2009</v>
      </c>
      <c r="BF236" s="89">
        <v>5784</v>
      </c>
      <c r="BG236" s="89" t="s">
        <v>646</v>
      </c>
      <c r="BH236" s="89" t="s">
        <v>646</v>
      </c>
      <c r="BI236" s="89" t="s">
        <v>646</v>
      </c>
      <c r="BJ236" s="89" t="s">
        <v>646</v>
      </c>
      <c r="BK236" s="89" t="s">
        <v>646</v>
      </c>
      <c r="BL236" s="89">
        <v>222</v>
      </c>
      <c r="BM236" s="89" t="s">
        <v>18405</v>
      </c>
      <c r="BN236" s="89" t="s">
        <v>646</v>
      </c>
      <c r="BO236" s="89" t="s">
        <v>646</v>
      </c>
      <c r="BP236" s="89" t="s">
        <v>646</v>
      </c>
      <c r="BQ236" s="89" t="s">
        <v>646</v>
      </c>
      <c r="BR236" s="89" t="s">
        <v>646</v>
      </c>
      <c r="BS236" s="89" t="s">
        <v>646</v>
      </c>
      <c r="BT236" s="89" t="s">
        <v>646</v>
      </c>
      <c r="BU236" s="89" t="s">
        <v>646</v>
      </c>
      <c r="BV236" s="89" t="s">
        <v>646</v>
      </c>
      <c r="BW236" s="89" t="s">
        <v>646</v>
      </c>
      <c r="BX236" s="89" t="s">
        <v>646</v>
      </c>
      <c r="BY236" s="89" t="s">
        <v>646</v>
      </c>
      <c r="BZ236" s="89" t="s">
        <v>646</v>
      </c>
      <c r="CA236" s="89" t="s">
        <v>646</v>
      </c>
      <c r="CB236" s="89" t="s">
        <v>19563</v>
      </c>
      <c r="CC236" s="89" t="str">
        <f>HYPERLINK("https%3A%2F%2Fwww.webofscience.com%2Fwos%2Fwoscc%2Ffull-record%2FWOS:000278804300018","View Full Record in Web of Science")</f>
        <v>View Full Record in Web of Science</v>
      </c>
    </row>
    <row r="237" spans="1:81" ht="13.2" hidden="1" x14ac:dyDescent="0.25">
      <c r="A237" s="89" t="s">
        <v>19564</v>
      </c>
      <c r="B237" s="89" t="e">
        <f>+#REF!</f>
        <v>#REF!</v>
      </c>
      <c r="C237" s="89"/>
      <c r="D237" s="91" t="s">
        <v>717</v>
      </c>
      <c r="E237" s="90" t="e">
        <v>#REF!</v>
      </c>
      <c r="F237" s="89"/>
      <c r="G237" s="89"/>
      <c r="H237" s="89" t="s">
        <v>646</v>
      </c>
      <c r="I237" s="89" t="s">
        <v>19566</v>
      </c>
      <c r="J237" s="89" t="s">
        <v>646</v>
      </c>
      <c r="K237" s="89" t="s">
        <v>19572</v>
      </c>
      <c r="M237" s="89">
        <v>2018</v>
      </c>
      <c r="N237" s="89" t="s">
        <v>19567</v>
      </c>
      <c r="O237" s="89" t="s">
        <v>19565</v>
      </c>
      <c r="P237" s="89" t="s">
        <v>646</v>
      </c>
      <c r="S237" s="89" t="s">
        <v>646</v>
      </c>
      <c r="U237" s="89" t="s">
        <v>17474</v>
      </c>
      <c r="W237" s="89" t="s">
        <v>646</v>
      </c>
      <c r="X237" s="89" t="s">
        <v>646</v>
      </c>
      <c r="Y237" s="89" t="s">
        <v>19568</v>
      </c>
      <c r="Z237" s="89" t="s">
        <v>19569</v>
      </c>
      <c r="AA237" s="89" t="s">
        <v>19570</v>
      </c>
      <c r="AB237" s="89" t="s">
        <v>19571</v>
      </c>
      <c r="AC237" s="89" t="s">
        <v>646</v>
      </c>
      <c r="AD237" s="89" t="s">
        <v>646</v>
      </c>
      <c r="AE237" s="89" t="s">
        <v>646</v>
      </c>
      <c r="AF237" s="89" t="s">
        <v>19572</v>
      </c>
      <c r="AG237" s="89" t="s">
        <v>646</v>
      </c>
      <c r="AH237" s="89" t="s">
        <v>646</v>
      </c>
      <c r="AI237" s="89" t="s">
        <v>646</v>
      </c>
      <c r="AJ237" s="89" t="s">
        <v>646</v>
      </c>
      <c r="AK237" s="89" t="s">
        <v>646</v>
      </c>
      <c r="AL237" s="89" t="s">
        <v>646</v>
      </c>
      <c r="AM237" s="89" t="s">
        <v>646</v>
      </c>
      <c r="AN237" s="89" t="s">
        <v>646</v>
      </c>
      <c r="AO237" s="89" t="s">
        <v>646</v>
      </c>
      <c r="AP237" s="89" t="s">
        <v>646</v>
      </c>
      <c r="AQ237" s="89" t="s">
        <v>646</v>
      </c>
      <c r="AR237" s="89" t="s">
        <v>646</v>
      </c>
      <c r="AS237" s="89" t="s">
        <v>646</v>
      </c>
      <c r="AT237" s="89" t="s">
        <v>646</v>
      </c>
      <c r="AU237" s="89" t="s">
        <v>646</v>
      </c>
      <c r="AV237" s="89" t="s">
        <v>646</v>
      </c>
      <c r="AW237" s="89" t="s">
        <v>646</v>
      </c>
      <c r="AX237" s="89" t="s">
        <v>646</v>
      </c>
      <c r="AY237" s="89" t="s">
        <v>19573</v>
      </c>
      <c r="AZ237" s="89" t="s">
        <v>646</v>
      </c>
      <c r="BA237" s="89" t="s">
        <v>19574</v>
      </c>
      <c r="BB237" s="89" t="s">
        <v>646</v>
      </c>
      <c r="BC237" s="89" t="s">
        <v>646</v>
      </c>
      <c r="BD237" s="89" t="s">
        <v>646</v>
      </c>
      <c r="BE237" s="89">
        <v>2018</v>
      </c>
      <c r="BF237" s="89" t="s">
        <v>646</v>
      </c>
      <c r="BG237" s="89" t="s">
        <v>646</v>
      </c>
      <c r="BH237" s="89" t="s">
        <v>646</v>
      </c>
      <c r="BI237" s="89" t="s">
        <v>646</v>
      </c>
      <c r="BJ237" s="89" t="s">
        <v>646</v>
      </c>
      <c r="BK237" s="89" t="s">
        <v>646</v>
      </c>
      <c r="BL237" s="89">
        <v>1699</v>
      </c>
      <c r="BM237" s="89">
        <v>1708</v>
      </c>
      <c r="BN237" s="89" t="s">
        <v>646</v>
      </c>
      <c r="BO237" s="89" t="s">
        <v>646</v>
      </c>
      <c r="BP237" s="89" t="s">
        <v>646</v>
      </c>
      <c r="BQ237" s="89" t="s">
        <v>646</v>
      </c>
      <c r="BR237" s="89" t="s">
        <v>646</v>
      </c>
      <c r="BS237" s="89" t="s">
        <v>646</v>
      </c>
      <c r="BT237" s="89" t="s">
        <v>646</v>
      </c>
      <c r="BU237" s="89" t="s">
        <v>646</v>
      </c>
      <c r="BV237" s="89" t="s">
        <v>646</v>
      </c>
      <c r="BW237" s="89" t="s">
        <v>646</v>
      </c>
      <c r="BX237" s="89" t="s">
        <v>646</v>
      </c>
      <c r="BY237" s="89" t="s">
        <v>646</v>
      </c>
      <c r="BZ237" s="89" t="s">
        <v>646</v>
      </c>
      <c r="CA237" s="89" t="s">
        <v>646</v>
      </c>
      <c r="CB237" s="89" t="s">
        <v>19575</v>
      </c>
      <c r="CC237" s="89" t="str">
        <f>HYPERLINK("https%3A%2F%2Fwww.webofscience.com%2Fwos%2Fwoscc%2Ffull-record%2FWOS:000468499301096","View Full Record in Web of Science")</f>
        <v>View Full Record in Web of Science</v>
      </c>
    </row>
    <row r="238" spans="1:81" ht="13.2" hidden="1" x14ac:dyDescent="0.25">
      <c r="A238" s="89" t="s">
        <v>19576</v>
      </c>
      <c r="B238" s="89" t="e">
        <f>+#REF!</f>
        <v>#REF!</v>
      </c>
      <c r="C238" s="89"/>
      <c r="D238" s="91" t="s">
        <v>717</v>
      </c>
      <c r="E238" s="90" t="e">
        <v>#REF!</v>
      </c>
      <c r="F238" s="89"/>
      <c r="G238" s="89"/>
      <c r="H238" s="89" t="s">
        <v>11463</v>
      </c>
      <c r="I238" s="89" t="s">
        <v>19577</v>
      </c>
      <c r="J238" s="89" t="s">
        <v>19580</v>
      </c>
      <c r="K238" s="89" t="s">
        <v>19579</v>
      </c>
      <c r="M238" s="89">
        <v>2012</v>
      </c>
      <c r="N238" s="89" t="s">
        <v>19578</v>
      </c>
      <c r="O238" s="89" t="s">
        <v>646</v>
      </c>
      <c r="P238" s="89" t="str">
        <f>HYPERLINK("http://dx.doi.org/10.1109/TKDE.2010.187","http://dx.doi.org/10.1109/TKDE.2010.187")</f>
        <v>http://dx.doi.org/10.1109/TKDE.2010.187</v>
      </c>
      <c r="S238" s="89" t="s">
        <v>646</v>
      </c>
      <c r="U238" s="89" t="s">
        <v>17462</v>
      </c>
      <c r="W238" s="89" t="s">
        <v>646</v>
      </c>
      <c r="X238" s="89" t="s">
        <v>646</v>
      </c>
      <c r="Y238" s="89" t="s">
        <v>646</v>
      </c>
      <c r="Z238" s="89" t="s">
        <v>646</v>
      </c>
      <c r="AA238" s="89" t="s">
        <v>646</v>
      </c>
      <c r="AB238" s="89" t="s">
        <v>646</v>
      </c>
      <c r="AC238" s="89" t="s">
        <v>646</v>
      </c>
      <c r="AD238" s="89" t="s">
        <v>646</v>
      </c>
      <c r="AE238" s="89" t="s">
        <v>646</v>
      </c>
      <c r="AF238" s="89" t="s">
        <v>19579</v>
      </c>
      <c r="AG238" s="89" t="s">
        <v>646</v>
      </c>
      <c r="AH238" s="89" t="s">
        <v>646</v>
      </c>
      <c r="AI238" s="89" t="s">
        <v>646</v>
      </c>
      <c r="AJ238" s="89" t="s">
        <v>646</v>
      </c>
      <c r="AK238" s="89" t="s">
        <v>19580</v>
      </c>
      <c r="AL238" s="89" t="s">
        <v>19581</v>
      </c>
      <c r="AM238" s="89" t="s">
        <v>646</v>
      </c>
      <c r="AN238" s="89" t="s">
        <v>646</v>
      </c>
      <c r="AO238" s="89" t="s">
        <v>646</v>
      </c>
      <c r="AP238" s="89" t="s">
        <v>646</v>
      </c>
      <c r="AQ238" s="89" t="s">
        <v>646</v>
      </c>
      <c r="AR238" s="89" t="s">
        <v>646</v>
      </c>
      <c r="AS238" s="89" t="s">
        <v>646</v>
      </c>
      <c r="AT238" s="89" t="s">
        <v>646</v>
      </c>
      <c r="AU238" s="89" t="s">
        <v>646</v>
      </c>
      <c r="AV238" s="89" t="s">
        <v>646</v>
      </c>
      <c r="AW238" s="89" t="s">
        <v>646</v>
      </c>
      <c r="AX238" s="89" t="s">
        <v>646</v>
      </c>
      <c r="AY238" s="89" t="s">
        <v>19582</v>
      </c>
      <c r="AZ238" s="89" t="s">
        <v>19583</v>
      </c>
      <c r="BA238" s="89" t="s">
        <v>646</v>
      </c>
      <c r="BB238" s="89" t="s">
        <v>646</v>
      </c>
      <c r="BC238" s="89" t="s">
        <v>646</v>
      </c>
      <c r="BD238" s="89" t="s">
        <v>17658</v>
      </c>
      <c r="BE238" s="89">
        <v>2012</v>
      </c>
      <c r="BF238" s="89">
        <v>24</v>
      </c>
      <c r="BG238" s="89">
        <v>2</v>
      </c>
      <c r="BH238" s="89" t="s">
        <v>646</v>
      </c>
      <c r="BI238" s="89" t="s">
        <v>646</v>
      </c>
      <c r="BJ238" s="89" t="s">
        <v>646</v>
      </c>
      <c r="BK238" s="89" t="s">
        <v>646</v>
      </c>
      <c r="BL238" s="89">
        <v>220</v>
      </c>
      <c r="BM238" s="89">
        <v>235</v>
      </c>
      <c r="BN238" s="89" t="s">
        <v>646</v>
      </c>
      <c r="BO238" s="89" t="str">
        <f>HYPERLINK("http://dx.doi.org/10.1109/TKDE.2010.187","http://dx.doi.org/10.1109/TKDE.2010.187")</f>
        <v>http://dx.doi.org/10.1109/TKDE.2010.187</v>
      </c>
      <c r="BP238" s="89" t="s">
        <v>646</v>
      </c>
      <c r="BQ238" s="89" t="s">
        <v>646</v>
      </c>
      <c r="BR238" s="89" t="s">
        <v>646</v>
      </c>
      <c r="BS238" s="89" t="s">
        <v>646</v>
      </c>
      <c r="BT238" s="89" t="s">
        <v>646</v>
      </c>
      <c r="BU238" s="89" t="s">
        <v>646</v>
      </c>
      <c r="BV238" s="89" t="s">
        <v>646</v>
      </c>
      <c r="BW238" s="89" t="s">
        <v>646</v>
      </c>
      <c r="BX238" s="89" t="s">
        <v>646</v>
      </c>
      <c r="BY238" s="89" t="s">
        <v>646</v>
      </c>
      <c r="BZ238" s="89" t="s">
        <v>646</v>
      </c>
      <c r="CA238" s="89" t="s">
        <v>646</v>
      </c>
      <c r="CB238" s="89" t="s">
        <v>19584</v>
      </c>
      <c r="CC238" s="89" t="str">
        <f>HYPERLINK("https%3A%2F%2Fwww.webofscience.com%2Fwos%2Fwoscc%2Ffull-record%2FWOS:000298381000004","View Full Record in Web of Science")</f>
        <v>View Full Record in Web of Science</v>
      </c>
    </row>
    <row r="239" spans="1:81" ht="13.2" hidden="1" x14ac:dyDescent="0.25">
      <c r="A239" s="89" t="s">
        <v>9026</v>
      </c>
      <c r="B239" s="89" t="e">
        <f>+#REF!</f>
        <v>#REF!</v>
      </c>
      <c r="C239" s="89"/>
      <c r="D239" s="91" t="s">
        <v>717</v>
      </c>
      <c r="E239" s="90" t="e">
        <v>#REF!</v>
      </c>
      <c r="F239" s="89"/>
      <c r="G239" s="89"/>
      <c r="H239" s="89" t="s">
        <v>9027</v>
      </c>
      <c r="I239" s="89" t="s">
        <v>19585</v>
      </c>
      <c r="J239" s="89" t="s">
        <v>19588</v>
      </c>
      <c r="K239" s="89" t="s">
        <v>19587</v>
      </c>
      <c r="M239" s="89">
        <v>2021</v>
      </c>
      <c r="N239" s="89" t="s">
        <v>19586</v>
      </c>
      <c r="O239" s="89" t="s">
        <v>646</v>
      </c>
      <c r="P239" s="89" t="str">
        <f>HYPERLINK("http://dx.doi.org/10.1108/JHTT-09-2020-0221","http://dx.doi.org/10.1108/JHTT-09-2020-0221")</f>
        <v>http://dx.doi.org/10.1108/JHTT-09-2020-0221</v>
      </c>
      <c r="S239" s="89" t="s">
        <v>646</v>
      </c>
      <c r="U239" s="89" t="s">
        <v>17462</v>
      </c>
      <c r="W239" s="89" t="s">
        <v>646</v>
      </c>
      <c r="X239" s="89" t="s">
        <v>646</v>
      </c>
      <c r="Y239" s="89" t="s">
        <v>646</v>
      </c>
      <c r="Z239" s="89" t="s">
        <v>646</v>
      </c>
      <c r="AA239" s="89" t="s">
        <v>646</v>
      </c>
      <c r="AB239" s="89" t="s">
        <v>646</v>
      </c>
      <c r="AC239" s="89" t="s">
        <v>646</v>
      </c>
      <c r="AD239" s="89" t="s">
        <v>646</v>
      </c>
      <c r="AE239" s="89" t="s">
        <v>646</v>
      </c>
      <c r="AF239" s="89" t="s">
        <v>19587</v>
      </c>
      <c r="AG239" s="89" t="s">
        <v>646</v>
      </c>
      <c r="AH239" s="89" t="s">
        <v>646</v>
      </c>
      <c r="AI239" s="89" t="s">
        <v>646</v>
      </c>
      <c r="AJ239" s="89" t="s">
        <v>646</v>
      </c>
      <c r="AK239" s="89" t="s">
        <v>19588</v>
      </c>
      <c r="AL239" s="89" t="s">
        <v>19589</v>
      </c>
      <c r="AM239" s="89" t="s">
        <v>646</v>
      </c>
      <c r="AN239" s="89" t="s">
        <v>646</v>
      </c>
      <c r="AO239" s="89" t="s">
        <v>646</v>
      </c>
      <c r="AP239" s="89" t="s">
        <v>646</v>
      </c>
      <c r="AQ239" s="89" t="s">
        <v>646</v>
      </c>
      <c r="AR239" s="89" t="s">
        <v>646</v>
      </c>
      <c r="AS239" s="89" t="s">
        <v>646</v>
      </c>
      <c r="AT239" s="89" t="s">
        <v>646</v>
      </c>
      <c r="AU239" s="89" t="s">
        <v>646</v>
      </c>
      <c r="AV239" s="89" t="s">
        <v>646</v>
      </c>
      <c r="AW239" s="89" t="s">
        <v>646</v>
      </c>
      <c r="AX239" s="89" t="s">
        <v>646</v>
      </c>
      <c r="AY239" s="89" t="s">
        <v>19590</v>
      </c>
      <c r="AZ239" s="89" t="s">
        <v>19591</v>
      </c>
      <c r="BA239" s="89" t="s">
        <v>646</v>
      </c>
      <c r="BB239" s="89" t="s">
        <v>646</v>
      </c>
      <c r="BC239" s="89" t="s">
        <v>646</v>
      </c>
      <c r="BD239" s="89" t="s">
        <v>19592</v>
      </c>
      <c r="BE239" s="89">
        <v>2021</v>
      </c>
      <c r="BF239" s="89">
        <v>12</v>
      </c>
      <c r="BG239" s="89">
        <v>2</v>
      </c>
      <c r="BH239" s="89" t="s">
        <v>646</v>
      </c>
      <c r="BI239" s="89" t="s">
        <v>646</v>
      </c>
      <c r="BJ239" s="89" t="s">
        <v>646</v>
      </c>
      <c r="BK239" s="89" t="s">
        <v>646</v>
      </c>
      <c r="BL239" s="89">
        <v>355</v>
      </c>
      <c r="BM239" s="89">
        <v>371</v>
      </c>
      <c r="BN239" s="89" t="s">
        <v>646</v>
      </c>
      <c r="BO239" s="89" t="str">
        <f>HYPERLINK("http://dx.doi.org/10.1108/JHTT-09-2020-0221","http://dx.doi.org/10.1108/JHTT-09-2020-0221")</f>
        <v>http://dx.doi.org/10.1108/JHTT-09-2020-0221</v>
      </c>
      <c r="BP239" s="89" t="s">
        <v>646</v>
      </c>
      <c r="BQ239" s="89" t="s">
        <v>19593</v>
      </c>
      <c r="BR239" s="89" t="s">
        <v>646</v>
      </c>
      <c r="BS239" s="89" t="s">
        <v>646</v>
      </c>
      <c r="BT239" s="89" t="s">
        <v>646</v>
      </c>
      <c r="BU239" s="89" t="s">
        <v>646</v>
      </c>
      <c r="BV239" s="89" t="s">
        <v>646</v>
      </c>
      <c r="BW239" s="89" t="s">
        <v>646</v>
      </c>
      <c r="BX239" s="89" t="s">
        <v>646</v>
      </c>
      <c r="BY239" s="89" t="s">
        <v>646</v>
      </c>
      <c r="BZ239" s="89" t="s">
        <v>646</v>
      </c>
      <c r="CA239" s="89" t="s">
        <v>646</v>
      </c>
      <c r="CB239" s="89" t="s">
        <v>19594</v>
      </c>
      <c r="CC239" s="89" t="str">
        <f>HYPERLINK("https%3A%2F%2Fwww.webofscience.com%2Fwos%2Fwoscc%2Ffull-record%2FWOS:000618391100001","View Full Record in Web of Science")</f>
        <v>View Full Record in Web of Science</v>
      </c>
    </row>
    <row r="240" spans="1:81" ht="13.2" hidden="1" x14ac:dyDescent="0.25">
      <c r="A240" s="89" t="s">
        <v>9036</v>
      </c>
      <c r="B240" s="89" t="e">
        <f>+#REF!</f>
        <v>#REF!</v>
      </c>
      <c r="C240" s="89"/>
      <c r="D240" s="91" t="s">
        <v>717</v>
      </c>
      <c r="E240" s="90" t="e">
        <v>#REF!</v>
      </c>
      <c r="F240" s="89"/>
      <c r="G240" s="89"/>
      <c r="H240" s="89" t="s">
        <v>9037</v>
      </c>
      <c r="I240" s="89" t="s">
        <v>19595</v>
      </c>
      <c r="J240" s="89" t="s">
        <v>19597</v>
      </c>
      <c r="K240" s="89" t="s">
        <v>19596</v>
      </c>
      <c r="M240" s="89">
        <v>2022</v>
      </c>
      <c r="N240" s="89" t="s">
        <v>19586</v>
      </c>
      <c r="O240" s="89" t="s">
        <v>646</v>
      </c>
      <c r="P240" s="89" t="str">
        <f>HYPERLINK("http://dx.doi.org/10.1108/JHTT-09-2021-0267","http://dx.doi.org/10.1108/JHTT-09-2021-0267")</f>
        <v>http://dx.doi.org/10.1108/JHTT-09-2021-0267</v>
      </c>
      <c r="S240" s="89" t="s">
        <v>646</v>
      </c>
      <c r="U240" s="89" t="s">
        <v>17462</v>
      </c>
      <c r="W240" s="89" t="s">
        <v>646</v>
      </c>
      <c r="X240" s="89" t="s">
        <v>646</v>
      </c>
      <c r="Y240" s="89" t="s">
        <v>646</v>
      </c>
      <c r="Z240" s="89" t="s">
        <v>646</v>
      </c>
      <c r="AA240" s="89" t="s">
        <v>646</v>
      </c>
      <c r="AB240" s="89" t="s">
        <v>646</v>
      </c>
      <c r="AC240" s="89" t="s">
        <v>646</v>
      </c>
      <c r="AD240" s="89" t="s">
        <v>646</v>
      </c>
      <c r="AE240" s="89" t="s">
        <v>646</v>
      </c>
      <c r="AF240" s="89" t="s">
        <v>19596</v>
      </c>
      <c r="AG240" s="89" t="s">
        <v>646</v>
      </c>
      <c r="AH240" s="89" t="s">
        <v>646</v>
      </c>
      <c r="AI240" s="89" t="s">
        <v>646</v>
      </c>
      <c r="AJ240" s="89" t="s">
        <v>646</v>
      </c>
      <c r="AK240" s="89" t="s">
        <v>19597</v>
      </c>
      <c r="AL240" s="89" t="s">
        <v>19598</v>
      </c>
      <c r="AM240" s="89" t="s">
        <v>646</v>
      </c>
      <c r="AN240" s="89" t="s">
        <v>646</v>
      </c>
      <c r="AO240" s="89" t="s">
        <v>646</v>
      </c>
      <c r="AP240" s="89" t="s">
        <v>646</v>
      </c>
      <c r="AQ240" s="89" t="s">
        <v>646</v>
      </c>
      <c r="AR240" s="89" t="s">
        <v>646</v>
      </c>
      <c r="AS240" s="89" t="s">
        <v>646</v>
      </c>
      <c r="AT240" s="89" t="s">
        <v>646</v>
      </c>
      <c r="AU240" s="89" t="s">
        <v>646</v>
      </c>
      <c r="AV240" s="89" t="s">
        <v>646</v>
      </c>
      <c r="AW240" s="89" t="s">
        <v>646</v>
      </c>
      <c r="AX240" s="89" t="s">
        <v>646</v>
      </c>
      <c r="AY240" s="89" t="s">
        <v>19590</v>
      </c>
      <c r="AZ240" s="89" t="s">
        <v>19591</v>
      </c>
      <c r="BA240" s="89" t="s">
        <v>646</v>
      </c>
      <c r="BB240" s="89" t="s">
        <v>646</v>
      </c>
      <c r="BC240" s="89" t="s">
        <v>646</v>
      </c>
      <c r="BD240" s="89" t="s">
        <v>19599</v>
      </c>
      <c r="BE240" s="89">
        <v>2022</v>
      </c>
      <c r="BF240" s="89">
        <v>13</v>
      </c>
      <c r="BG240" s="89">
        <v>2</v>
      </c>
      <c r="BH240" s="89" t="s">
        <v>646</v>
      </c>
      <c r="BI240" s="89" t="s">
        <v>646</v>
      </c>
      <c r="BJ240" s="89" t="s">
        <v>646</v>
      </c>
      <c r="BK240" s="89" t="s">
        <v>646</v>
      </c>
      <c r="BL240" s="89">
        <v>240</v>
      </c>
      <c r="BM240" s="89">
        <v>263</v>
      </c>
      <c r="BN240" s="89" t="s">
        <v>646</v>
      </c>
      <c r="BO240" s="89" t="str">
        <f>HYPERLINK("http://dx.doi.org/10.1108/JHTT-09-2021-0267","http://dx.doi.org/10.1108/JHTT-09-2021-0267")</f>
        <v>http://dx.doi.org/10.1108/JHTT-09-2021-0267</v>
      </c>
      <c r="BP240" s="89" t="s">
        <v>646</v>
      </c>
      <c r="BQ240" s="89" t="s">
        <v>17878</v>
      </c>
      <c r="BR240" s="89" t="s">
        <v>646</v>
      </c>
      <c r="BS240" s="89" t="s">
        <v>646</v>
      </c>
      <c r="BT240" s="89" t="s">
        <v>646</v>
      </c>
      <c r="BU240" s="89" t="s">
        <v>646</v>
      </c>
      <c r="BV240" s="89" t="s">
        <v>646</v>
      </c>
      <c r="BW240" s="89" t="s">
        <v>646</v>
      </c>
      <c r="BX240" s="89" t="s">
        <v>646</v>
      </c>
      <c r="BY240" s="89" t="s">
        <v>646</v>
      </c>
      <c r="BZ240" s="89" t="s">
        <v>646</v>
      </c>
      <c r="CA240" s="89" t="s">
        <v>646</v>
      </c>
      <c r="CB240" s="89" t="s">
        <v>19600</v>
      </c>
      <c r="CC240" s="89" t="str">
        <f>HYPERLINK("https%3A%2F%2Fwww.webofscience.com%2Fwos%2Fwoscc%2Ffull-record%2FWOS:000749868300001","View Full Record in Web of Science")</f>
        <v>View Full Record in Web of Science</v>
      </c>
    </row>
    <row r="241" spans="1:81" ht="13.2" hidden="1" x14ac:dyDescent="0.25">
      <c r="A241" s="89" t="s">
        <v>9045</v>
      </c>
      <c r="B241" s="89" t="e">
        <f>+#REF!</f>
        <v>#REF!</v>
      </c>
      <c r="C241" s="89"/>
      <c r="D241" s="91" t="s">
        <v>717</v>
      </c>
      <c r="E241" s="90" t="e">
        <v>#REF!</v>
      </c>
      <c r="F241" s="89"/>
      <c r="G241" s="89"/>
      <c r="H241" s="89" t="s">
        <v>9046</v>
      </c>
      <c r="I241" s="89" t="s">
        <v>19601</v>
      </c>
      <c r="J241" s="89" t="s">
        <v>19603</v>
      </c>
      <c r="K241" s="89" t="s">
        <v>19602</v>
      </c>
      <c r="M241" s="89">
        <v>2022</v>
      </c>
      <c r="N241" s="89" t="s">
        <v>18576</v>
      </c>
      <c r="O241" s="89" t="s">
        <v>646</v>
      </c>
      <c r="P241" s="89" t="str">
        <f>HYPERLINK("http://dx.doi.org/10.1002/jeab.735","http://dx.doi.org/10.1002/jeab.735")</f>
        <v>http://dx.doi.org/10.1002/jeab.735</v>
      </c>
      <c r="S241" s="89" t="s">
        <v>646</v>
      </c>
      <c r="U241" s="89" t="s">
        <v>17462</v>
      </c>
      <c r="W241" s="89" t="s">
        <v>646</v>
      </c>
      <c r="X241" s="89" t="s">
        <v>646</v>
      </c>
      <c r="Y241" s="89" t="s">
        <v>646</v>
      </c>
      <c r="Z241" s="89" t="s">
        <v>646</v>
      </c>
      <c r="AA241" s="89" t="s">
        <v>646</v>
      </c>
      <c r="AB241" s="89" t="s">
        <v>646</v>
      </c>
      <c r="AC241" s="89" t="s">
        <v>646</v>
      </c>
      <c r="AD241" s="89" t="s">
        <v>646</v>
      </c>
      <c r="AE241" s="89" t="s">
        <v>646</v>
      </c>
      <c r="AF241" s="89" t="s">
        <v>19602</v>
      </c>
      <c r="AG241" s="89" t="s">
        <v>646</v>
      </c>
      <c r="AH241" s="89" t="s">
        <v>646</v>
      </c>
      <c r="AI241" s="89" t="s">
        <v>646</v>
      </c>
      <c r="AJ241" s="89" t="s">
        <v>646</v>
      </c>
      <c r="AK241" s="89" t="s">
        <v>19603</v>
      </c>
      <c r="AL241" s="89" t="s">
        <v>19604</v>
      </c>
      <c r="AM241" s="89" t="s">
        <v>646</v>
      </c>
      <c r="AN241" s="89" t="s">
        <v>646</v>
      </c>
      <c r="AO241" s="89" t="s">
        <v>646</v>
      </c>
      <c r="AP241" s="89" t="s">
        <v>646</v>
      </c>
      <c r="AQ241" s="89" t="s">
        <v>646</v>
      </c>
      <c r="AR241" s="89" t="s">
        <v>646</v>
      </c>
      <c r="AS241" s="89" t="s">
        <v>646</v>
      </c>
      <c r="AT241" s="89" t="s">
        <v>646</v>
      </c>
      <c r="AU241" s="89" t="s">
        <v>646</v>
      </c>
      <c r="AV241" s="89" t="s">
        <v>646</v>
      </c>
      <c r="AW241" s="89" t="s">
        <v>646</v>
      </c>
      <c r="AX241" s="89" t="s">
        <v>646</v>
      </c>
      <c r="AY241" s="89" t="s">
        <v>18579</v>
      </c>
      <c r="AZ241" s="89" t="s">
        <v>18580</v>
      </c>
      <c r="BA241" s="89" t="s">
        <v>646</v>
      </c>
      <c r="BB241" s="89" t="s">
        <v>646</v>
      </c>
      <c r="BC241" s="89" t="s">
        <v>646</v>
      </c>
      <c r="BD241" s="89" t="s">
        <v>17779</v>
      </c>
      <c r="BE241" s="89">
        <v>2022</v>
      </c>
      <c r="BF241" s="89">
        <v>117</v>
      </c>
      <c r="BG241" s="89">
        <v>2</v>
      </c>
      <c r="BH241" s="89" t="s">
        <v>646</v>
      </c>
      <c r="BI241" s="89" t="s">
        <v>646</v>
      </c>
      <c r="BJ241" s="89" t="s">
        <v>646</v>
      </c>
      <c r="BK241" s="89" t="s">
        <v>646</v>
      </c>
      <c r="BL241" s="89">
        <v>167</v>
      </c>
      <c r="BM241" s="89">
        <v>179</v>
      </c>
      <c r="BN241" s="89" t="s">
        <v>646</v>
      </c>
      <c r="BO241" s="89" t="str">
        <f>HYPERLINK("http://dx.doi.org/10.1002/jeab.735","http://dx.doi.org/10.1002/jeab.735")</f>
        <v>http://dx.doi.org/10.1002/jeab.735</v>
      </c>
      <c r="BP241" s="89" t="s">
        <v>646</v>
      </c>
      <c r="BQ241" s="89" t="s">
        <v>17878</v>
      </c>
      <c r="BR241" s="89" t="s">
        <v>646</v>
      </c>
      <c r="BS241" s="89" t="s">
        <v>646</v>
      </c>
      <c r="BT241" s="89" t="s">
        <v>646</v>
      </c>
      <c r="BU241" s="89" t="s">
        <v>646</v>
      </c>
      <c r="BV241" s="89" t="s">
        <v>646</v>
      </c>
      <c r="BW241" s="89">
        <v>35029842</v>
      </c>
      <c r="BX241" s="89" t="s">
        <v>646</v>
      </c>
      <c r="BY241" s="89" t="s">
        <v>646</v>
      </c>
      <c r="BZ241" s="89" t="s">
        <v>646</v>
      </c>
      <c r="CA241" s="89" t="s">
        <v>646</v>
      </c>
      <c r="CB241" s="89" t="s">
        <v>19605</v>
      </c>
      <c r="CC241" s="89" t="str">
        <f>HYPERLINK("https%3A%2F%2Fwww.webofscience.com%2Fwos%2Fwoscc%2Ffull-record%2FWOS:000742393900001","View Full Record in Web of Science")</f>
        <v>View Full Record in Web of Science</v>
      </c>
    </row>
    <row r="242" spans="1:81" ht="13.2" hidden="1" x14ac:dyDescent="0.25">
      <c r="A242" s="89" t="s">
        <v>9055</v>
      </c>
      <c r="B242" s="89" t="e">
        <f>+#REF!</f>
        <v>#REF!</v>
      </c>
      <c r="C242" s="89"/>
      <c r="D242" s="91" t="s">
        <v>717</v>
      </c>
      <c r="E242" s="90" t="e">
        <v>#REF!</v>
      </c>
      <c r="F242" s="89"/>
      <c r="G242" s="89"/>
      <c r="H242" s="89" t="s">
        <v>9056</v>
      </c>
      <c r="I242" s="89" t="s">
        <v>19606</v>
      </c>
      <c r="J242" s="89" t="s">
        <v>646</v>
      </c>
      <c r="K242" s="89" t="s">
        <v>19607</v>
      </c>
      <c r="M242" s="89">
        <v>2022</v>
      </c>
      <c r="N242" s="89" t="s">
        <v>18576</v>
      </c>
      <c r="O242" s="89" t="s">
        <v>646</v>
      </c>
      <c r="P242" s="89" t="str">
        <f>HYPERLINK("http://dx.doi.org/10.1002/jeab.758","http://dx.doi.org/10.1002/jeab.758")</f>
        <v>http://dx.doi.org/10.1002/jeab.758</v>
      </c>
      <c r="S242" s="89" t="s">
        <v>646</v>
      </c>
      <c r="U242" s="89" t="s">
        <v>17462</v>
      </c>
      <c r="W242" s="89" t="s">
        <v>646</v>
      </c>
      <c r="X242" s="89" t="s">
        <v>646</v>
      </c>
      <c r="Y242" s="89" t="s">
        <v>646</v>
      </c>
      <c r="Z242" s="89" t="s">
        <v>646</v>
      </c>
      <c r="AA242" s="89" t="s">
        <v>646</v>
      </c>
      <c r="AB242" s="89" t="s">
        <v>646</v>
      </c>
      <c r="AC242" s="89" t="s">
        <v>646</v>
      </c>
      <c r="AD242" s="89" t="s">
        <v>646</v>
      </c>
      <c r="AE242" s="89" t="s">
        <v>646</v>
      </c>
      <c r="AF242" s="89" t="s">
        <v>19607</v>
      </c>
      <c r="AG242" s="89" t="s">
        <v>646</v>
      </c>
      <c r="AH242" s="89" t="s">
        <v>646</v>
      </c>
      <c r="AI242" s="89" t="s">
        <v>646</v>
      </c>
      <c r="AJ242" s="89" t="s">
        <v>646</v>
      </c>
      <c r="AK242" s="89" t="s">
        <v>646</v>
      </c>
      <c r="AL242" s="89" t="s">
        <v>19608</v>
      </c>
      <c r="AM242" s="89" t="s">
        <v>646</v>
      </c>
      <c r="AN242" s="89" t="s">
        <v>646</v>
      </c>
      <c r="AO242" s="89" t="s">
        <v>646</v>
      </c>
      <c r="AP242" s="89" t="s">
        <v>646</v>
      </c>
      <c r="AQ242" s="89" t="s">
        <v>646</v>
      </c>
      <c r="AR242" s="89" t="s">
        <v>646</v>
      </c>
      <c r="AS242" s="89" t="s">
        <v>646</v>
      </c>
      <c r="AT242" s="89" t="s">
        <v>646</v>
      </c>
      <c r="AU242" s="89" t="s">
        <v>646</v>
      </c>
      <c r="AV242" s="89" t="s">
        <v>646</v>
      </c>
      <c r="AW242" s="89" t="s">
        <v>646</v>
      </c>
      <c r="AX242" s="89" t="s">
        <v>646</v>
      </c>
      <c r="AY242" s="89" t="s">
        <v>18579</v>
      </c>
      <c r="AZ242" s="89" t="s">
        <v>18580</v>
      </c>
      <c r="BA242" s="89" t="s">
        <v>646</v>
      </c>
      <c r="BB242" s="89" t="s">
        <v>646</v>
      </c>
      <c r="BC242" s="89" t="s">
        <v>646</v>
      </c>
      <c r="BD242" s="89" t="s">
        <v>17676</v>
      </c>
      <c r="BE242" s="89">
        <v>2022</v>
      </c>
      <c r="BF242" s="89">
        <v>118</v>
      </c>
      <c r="BG242" s="89">
        <v>1</v>
      </c>
      <c r="BH242" s="89" t="s">
        <v>646</v>
      </c>
      <c r="BI242" s="89" t="s">
        <v>646</v>
      </c>
      <c r="BJ242" s="89" t="s">
        <v>646</v>
      </c>
      <c r="BK242" s="89" t="s">
        <v>646</v>
      </c>
      <c r="BL242" s="89">
        <v>46</v>
      </c>
      <c r="BM242" s="89">
        <v>58</v>
      </c>
      <c r="BN242" s="89" t="s">
        <v>646</v>
      </c>
      <c r="BO242" s="89" t="str">
        <f>HYPERLINK("http://dx.doi.org/10.1002/jeab.758","http://dx.doi.org/10.1002/jeab.758")</f>
        <v>http://dx.doi.org/10.1002/jeab.758</v>
      </c>
      <c r="BP242" s="89" t="s">
        <v>646</v>
      </c>
      <c r="BQ242" s="89" t="s">
        <v>19609</v>
      </c>
      <c r="BR242" s="89" t="s">
        <v>646</v>
      </c>
      <c r="BS242" s="89" t="s">
        <v>646</v>
      </c>
      <c r="BT242" s="89" t="s">
        <v>646</v>
      </c>
      <c r="BU242" s="89" t="s">
        <v>646</v>
      </c>
      <c r="BV242" s="89" t="s">
        <v>646</v>
      </c>
      <c r="BW242" s="89">
        <v>35416300</v>
      </c>
      <c r="BX242" s="89" t="s">
        <v>646</v>
      </c>
      <c r="BY242" s="89" t="s">
        <v>646</v>
      </c>
      <c r="BZ242" s="89" t="s">
        <v>646</v>
      </c>
      <c r="CA242" s="89" t="s">
        <v>646</v>
      </c>
      <c r="CB242" s="89" t="s">
        <v>19610</v>
      </c>
      <c r="CC242" s="89" t="str">
        <f>HYPERLINK("https%3A%2F%2Fwww.webofscience.com%2Fwos%2Fwoscc%2Ffull-record%2FWOS:000781834300001","View Full Record in Web of Science")</f>
        <v>View Full Record in Web of Science</v>
      </c>
    </row>
    <row r="243" spans="1:81" ht="13.2" hidden="1" x14ac:dyDescent="0.25">
      <c r="A243" s="89" t="s">
        <v>11472</v>
      </c>
      <c r="B243" s="89" t="e">
        <f>+#REF!</f>
        <v>#REF!</v>
      </c>
      <c r="C243" s="89"/>
      <c r="D243" s="91" t="s">
        <v>717</v>
      </c>
      <c r="E243" s="90" t="e">
        <v>#REF!</v>
      </c>
      <c r="F243" s="89"/>
      <c r="G243" s="89"/>
      <c r="H243" s="89" t="s">
        <v>11473</v>
      </c>
      <c r="I243" s="89" t="s">
        <v>19611</v>
      </c>
      <c r="J243" s="89" t="s">
        <v>19613</v>
      </c>
      <c r="K243" s="89" t="s">
        <v>19612</v>
      </c>
      <c r="M243" s="89">
        <v>2013</v>
      </c>
      <c r="N243" s="89" t="s">
        <v>18779</v>
      </c>
      <c r="O243" s="89" t="s">
        <v>646</v>
      </c>
      <c r="P243" s="89" t="str">
        <f>HYPERLINK("http://dx.doi.org/10.1016/j.infsof.2013.01.003","http://dx.doi.org/10.1016/j.infsof.2013.01.003")</f>
        <v>http://dx.doi.org/10.1016/j.infsof.2013.01.003</v>
      </c>
      <c r="S243" s="89" t="s">
        <v>646</v>
      </c>
      <c r="U243" s="89" t="s">
        <v>17462</v>
      </c>
      <c r="W243" s="89" t="s">
        <v>646</v>
      </c>
      <c r="X243" s="89" t="s">
        <v>646</v>
      </c>
      <c r="Y243" s="89" t="s">
        <v>646</v>
      </c>
      <c r="Z243" s="89" t="s">
        <v>646</v>
      </c>
      <c r="AA243" s="89" t="s">
        <v>646</v>
      </c>
      <c r="AB243" s="89" t="s">
        <v>646</v>
      </c>
      <c r="AC243" s="89" t="s">
        <v>646</v>
      </c>
      <c r="AD243" s="89" t="s">
        <v>646</v>
      </c>
      <c r="AE243" s="89" t="s">
        <v>646</v>
      </c>
      <c r="AF243" s="89" t="s">
        <v>19612</v>
      </c>
      <c r="AG243" s="89" t="s">
        <v>646</v>
      </c>
      <c r="AH243" s="89" t="s">
        <v>646</v>
      </c>
      <c r="AI243" s="89" t="s">
        <v>646</v>
      </c>
      <c r="AJ243" s="89" t="s">
        <v>646</v>
      </c>
      <c r="AK243" s="89" t="s">
        <v>19613</v>
      </c>
      <c r="AL243" s="89" t="s">
        <v>19614</v>
      </c>
      <c r="AM243" s="89" t="s">
        <v>646</v>
      </c>
      <c r="AN243" s="89" t="s">
        <v>646</v>
      </c>
      <c r="AO243" s="89" t="s">
        <v>646</v>
      </c>
      <c r="AP243" s="89" t="s">
        <v>646</v>
      </c>
      <c r="AQ243" s="89" t="s">
        <v>646</v>
      </c>
      <c r="AR243" s="89" t="s">
        <v>646</v>
      </c>
      <c r="AS243" s="89" t="s">
        <v>646</v>
      </c>
      <c r="AT243" s="89" t="s">
        <v>646</v>
      </c>
      <c r="AU243" s="89" t="s">
        <v>646</v>
      </c>
      <c r="AV243" s="89" t="s">
        <v>646</v>
      </c>
      <c r="AW243" s="89" t="s">
        <v>646</v>
      </c>
      <c r="AX243" s="89" t="s">
        <v>646</v>
      </c>
      <c r="AY243" s="89" t="s">
        <v>18782</v>
      </c>
      <c r="AZ243" s="89" t="s">
        <v>18783</v>
      </c>
      <c r="BA243" s="89" t="s">
        <v>646</v>
      </c>
      <c r="BB243" s="89" t="s">
        <v>646</v>
      </c>
      <c r="BC243" s="89" t="s">
        <v>646</v>
      </c>
      <c r="BD243" s="89" t="s">
        <v>17676</v>
      </c>
      <c r="BE243" s="89">
        <v>2013</v>
      </c>
      <c r="BF243" s="89">
        <v>55</v>
      </c>
      <c r="BG243" s="89">
        <v>7</v>
      </c>
      <c r="BH243" s="89" t="s">
        <v>646</v>
      </c>
      <c r="BI243" s="89" t="s">
        <v>646</v>
      </c>
      <c r="BJ243" s="89" t="s">
        <v>646</v>
      </c>
      <c r="BK243" s="89" t="s">
        <v>646</v>
      </c>
      <c r="BL243" s="89">
        <v>1200</v>
      </c>
      <c r="BM243" s="89">
        <v>1211</v>
      </c>
      <c r="BN243" s="89" t="s">
        <v>646</v>
      </c>
      <c r="BO243" s="89" t="str">
        <f>HYPERLINK("http://dx.doi.org/10.1016/j.infsof.2013.01.003","http://dx.doi.org/10.1016/j.infsof.2013.01.003")</f>
        <v>http://dx.doi.org/10.1016/j.infsof.2013.01.003</v>
      </c>
      <c r="BP243" s="89" t="s">
        <v>646</v>
      </c>
      <c r="BQ243" s="89" t="s">
        <v>646</v>
      </c>
      <c r="BR243" s="89" t="s">
        <v>646</v>
      </c>
      <c r="BS243" s="89" t="s">
        <v>646</v>
      </c>
      <c r="BT243" s="89" t="s">
        <v>646</v>
      </c>
      <c r="BU243" s="89" t="s">
        <v>646</v>
      </c>
      <c r="BV243" s="89" t="s">
        <v>646</v>
      </c>
      <c r="BW243" s="89" t="s">
        <v>646</v>
      </c>
      <c r="BX243" s="89" t="s">
        <v>646</v>
      </c>
      <c r="BY243" s="89" t="s">
        <v>646</v>
      </c>
      <c r="BZ243" s="89" t="s">
        <v>646</v>
      </c>
      <c r="CA243" s="89" t="s">
        <v>646</v>
      </c>
      <c r="CB243" s="89" t="s">
        <v>19615</v>
      </c>
      <c r="CC243" s="89" t="str">
        <f>HYPERLINK("https%3A%2F%2Fwww.webofscience.com%2Fwos%2Fwoscc%2Ffull-record%2FWOS:000320217900004","View Full Record in Web of Science")</f>
        <v>View Full Record in Web of Science</v>
      </c>
    </row>
    <row r="244" spans="1:81" ht="13.2" hidden="1" x14ac:dyDescent="0.25">
      <c r="A244" s="89" t="s">
        <v>19616</v>
      </c>
      <c r="B244" s="89" t="e">
        <f>+#REF!</f>
        <v>#REF!</v>
      </c>
      <c r="C244" s="89"/>
      <c r="D244" s="91" t="s">
        <v>717</v>
      </c>
      <c r="E244" s="90" t="e">
        <v>#REF!</v>
      </c>
      <c r="F244" s="89"/>
      <c r="G244" s="89"/>
      <c r="H244" s="89" t="s">
        <v>646</v>
      </c>
      <c r="I244" s="89" t="s">
        <v>19554</v>
      </c>
      <c r="J244" s="89" t="s">
        <v>19625</v>
      </c>
      <c r="K244" s="89" t="s">
        <v>19624</v>
      </c>
      <c r="M244" s="89">
        <v>2010</v>
      </c>
      <c r="N244" s="89" t="s">
        <v>19618</v>
      </c>
      <c r="O244" s="89" t="s">
        <v>19617</v>
      </c>
      <c r="P244" s="89" t="s">
        <v>646</v>
      </c>
      <c r="S244" s="89" t="s">
        <v>646</v>
      </c>
      <c r="U244" s="89" t="s">
        <v>17474</v>
      </c>
      <c r="W244" s="89" t="s">
        <v>646</v>
      </c>
      <c r="X244" s="89" t="s">
        <v>646</v>
      </c>
      <c r="Y244" s="89" t="s">
        <v>19619</v>
      </c>
      <c r="Z244" s="89" t="s">
        <v>19620</v>
      </c>
      <c r="AA244" s="89" t="s">
        <v>19621</v>
      </c>
      <c r="AB244" s="89" t="s">
        <v>19622</v>
      </c>
      <c r="AC244" s="89" t="s">
        <v>19623</v>
      </c>
      <c r="AD244" s="89" t="s">
        <v>646</v>
      </c>
      <c r="AE244" s="89" t="s">
        <v>646</v>
      </c>
      <c r="AF244" s="89" t="s">
        <v>19624</v>
      </c>
      <c r="AG244" s="89" t="s">
        <v>646</v>
      </c>
      <c r="AH244" s="89" t="s">
        <v>646</v>
      </c>
      <c r="AI244" s="89" t="s">
        <v>646</v>
      </c>
      <c r="AJ244" s="89" t="s">
        <v>646</v>
      </c>
      <c r="AK244" s="89" t="s">
        <v>19625</v>
      </c>
      <c r="AL244" s="89" t="s">
        <v>19626</v>
      </c>
      <c r="AM244" s="89" t="s">
        <v>646</v>
      </c>
      <c r="AN244" s="89" t="s">
        <v>646</v>
      </c>
      <c r="AO244" s="89" t="s">
        <v>646</v>
      </c>
      <c r="AP244" s="89" t="s">
        <v>646</v>
      </c>
      <c r="AQ244" s="89" t="s">
        <v>646</v>
      </c>
      <c r="AR244" s="89" t="s">
        <v>646</v>
      </c>
      <c r="AS244" s="89" t="s">
        <v>646</v>
      </c>
      <c r="AT244" s="89" t="s">
        <v>646</v>
      </c>
      <c r="AU244" s="89" t="s">
        <v>646</v>
      </c>
      <c r="AV244" s="89" t="s">
        <v>646</v>
      </c>
      <c r="AW244" s="89" t="s">
        <v>646</v>
      </c>
      <c r="AX244" s="89" t="s">
        <v>646</v>
      </c>
      <c r="AY244" s="89" t="s">
        <v>19627</v>
      </c>
      <c r="AZ244" s="89" t="s">
        <v>19628</v>
      </c>
      <c r="BA244" s="89" t="s">
        <v>19629</v>
      </c>
      <c r="BB244" s="89" t="s">
        <v>646</v>
      </c>
      <c r="BC244" s="89" t="s">
        <v>646</v>
      </c>
      <c r="BD244" s="89" t="s">
        <v>646</v>
      </c>
      <c r="BE244" s="89">
        <v>2010</v>
      </c>
      <c r="BF244" s="89">
        <v>323</v>
      </c>
      <c r="BG244" s="89" t="s">
        <v>646</v>
      </c>
      <c r="BH244" s="89" t="s">
        <v>646</v>
      </c>
      <c r="BI244" s="89" t="s">
        <v>646</v>
      </c>
      <c r="BJ244" s="89" t="s">
        <v>646</v>
      </c>
      <c r="BK244" s="89" t="s">
        <v>646</v>
      </c>
      <c r="BL244" s="89">
        <v>105</v>
      </c>
      <c r="BM244" s="89" t="s">
        <v>18405</v>
      </c>
      <c r="BN244" s="89" t="s">
        <v>646</v>
      </c>
      <c r="BO244" s="89" t="s">
        <v>646</v>
      </c>
      <c r="BP244" s="89" t="s">
        <v>646</v>
      </c>
      <c r="BQ244" s="89" t="s">
        <v>646</v>
      </c>
      <c r="BR244" s="89" t="s">
        <v>646</v>
      </c>
      <c r="BS244" s="89" t="s">
        <v>646</v>
      </c>
      <c r="BT244" s="89" t="s">
        <v>646</v>
      </c>
      <c r="BU244" s="89" t="s">
        <v>646</v>
      </c>
      <c r="BV244" s="89" t="s">
        <v>646</v>
      </c>
      <c r="BW244" s="89" t="s">
        <v>646</v>
      </c>
      <c r="BX244" s="89" t="s">
        <v>646</v>
      </c>
      <c r="BY244" s="89" t="s">
        <v>646</v>
      </c>
      <c r="BZ244" s="89" t="s">
        <v>646</v>
      </c>
      <c r="CA244" s="89" t="s">
        <v>646</v>
      </c>
      <c r="CB244" s="89" t="s">
        <v>19630</v>
      </c>
      <c r="CC244" s="89" t="str">
        <f>HYPERLINK("https%3A%2F%2Fwww.webofscience.com%2Fwos%2Fwoscc%2Ffull-record%2FWOS:000287824900006","View Full Record in Web of Science")</f>
        <v>View Full Record in Web of Science</v>
      </c>
    </row>
    <row r="245" spans="1:81" ht="13.2" hidden="1" x14ac:dyDescent="0.25">
      <c r="A245" s="89" t="s">
        <v>9062</v>
      </c>
      <c r="B245" s="89" t="e">
        <f>+#REF!</f>
        <v>#REF!</v>
      </c>
      <c r="C245" s="89"/>
      <c r="D245" s="91" t="s">
        <v>717</v>
      </c>
      <c r="E245" s="90" t="e">
        <v>#REF!</v>
      </c>
      <c r="F245" s="89"/>
      <c r="G245" s="89"/>
      <c r="H245" s="89" t="s">
        <v>646</v>
      </c>
      <c r="I245" s="89" t="s">
        <v>17767</v>
      </c>
      <c r="J245" s="89" t="s">
        <v>646</v>
      </c>
      <c r="K245" s="89" t="s">
        <v>19632</v>
      </c>
      <c r="M245" s="89">
        <v>2020</v>
      </c>
      <c r="N245" s="89" t="s">
        <v>19631</v>
      </c>
      <c r="O245" s="89" t="s">
        <v>646</v>
      </c>
      <c r="P245" s="89" t="s">
        <v>646</v>
      </c>
      <c r="S245" s="89" t="s">
        <v>646</v>
      </c>
      <c r="U245" s="89" t="s">
        <v>17462</v>
      </c>
      <c r="W245" s="89" t="s">
        <v>646</v>
      </c>
      <c r="X245" s="89" t="s">
        <v>646</v>
      </c>
      <c r="Y245" s="89" t="s">
        <v>646</v>
      </c>
      <c r="Z245" s="89" t="s">
        <v>646</v>
      </c>
      <c r="AA245" s="89" t="s">
        <v>646</v>
      </c>
      <c r="AB245" s="89" t="s">
        <v>646</v>
      </c>
      <c r="AC245" s="89" t="s">
        <v>646</v>
      </c>
      <c r="AD245" s="89" t="s">
        <v>646</v>
      </c>
      <c r="AE245" s="89" t="s">
        <v>646</v>
      </c>
      <c r="AF245" s="89" t="s">
        <v>19632</v>
      </c>
      <c r="AG245" s="89" t="s">
        <v>646</v>
      </c>
      <c r="AH245" s="89" t="s">
        <v>646</v>
      </c>
      <c r="AI245" s="89" t="s">
        <v>646</v>
      </c>
      <c r="AJ245" s="89" t="s">
        <v>646</v>
      </c>
      <c r="AK245" s="89" t="s">
        <v>646</v>
      </c>
      <c r="AL245" s="89" t="s">
        <v>646</v>
      </c>
      <c r="AM245" s="89" t="s">
        <v>646</v>
      </c>
      <c r="AN245" s="89" t="s">
        <v>646</v>
      </c>
      <c r="AO245" s="89" t="s">
        <v>646</v>
      </c>
      <c r="AP245" s="89" t="s">
        <v>646</v>
      </c>
      <c r="AQ245" s="89" t="s">
        <v>646</v>
      </c>
      <c r="AR245" s="89" t="s">
        <v>646</v>
      </c>
      <c r="AS245" s="89" t="s">
        <v>646</v>
      </c>
      <c r="AT245" s="89" t="s">
        <v>646</v>
      </c>
      <c r="AU245" s="89" t="s">
        <v>646</v>
      </c>
      <c r="AV245" s="89" t="s">
        <v>646</v>
      </c>
      <c r="AW245" s="89" t="s">
        <v>646</v>
      </c>
      <c r="AX245" s="89" t="s">
        <v>646</v>
      </c>
      <c r="AY245" s="89" t="s">
        <v>19633</v>
      </c>
      <c r="AZ245" s="89" t="s">
        <v>19634</v>
      </c>
      <c r="BA245" s="89" t="s">
        <v>646</v>
      </c>
      <c r="BB245" s="89" t="s">
        <v>646</v>
      </c>
      <c r="BC245" s="89" t="s">
        <v>646</v>
      </c>
      <c r="BD245" s="89" t="s">
        <v>17772</v>
      </c>
      <c r="BE245" s="89">
        <v>2020</v>
      </c>
      <c r="BF245" s="89">
        <v>36</v>
      </c>
      <c r="BG245" s="89">
        <v>2</v>
      </c>
      <c r="BH245" s="89" t="s">
        <v>646</v>
      </c>
      <c r="BI245" s="89" t="s">
        <v>646</v>
      </c>
      <c r="BJ245" s="89" t="s">
        <v>646</v>
      </c>
      <c r="BK245" s="89" t="s">
        <v>646</v>
      </c>
      <c r="BL245" s="89">
        <v>141</v>
      </c>
      <c r="BM245" s="89">
        <v>167</v>
      </c>
      <c r="BN245" s="89" t="s">
        <v>646</v>
      </c>
      <c r="BO245" s="89" t="s">
        <v>646</v>
      </c>
      <c r="BP245" s="89" t="s">
        <v>646</v>
      </c>
      <c r="BQ245" s="89" t="s">
        <v>646</v>
      </c>
      <c r="BR245" s="89" t="s">
        <v>646</v>
      </c>
      <c r="BS245" s="89" t="s">
        <v>646</v>
      </c>
      <c r="BT245" s="89" t="s">
        <v>646</v>
      </c>
      <c r="BU245" s="89" t="s">
        <v>646</v>
      </c>
      <c r="BV245" s="89" t="s">
        <v>646</v>
      </c>
      <c r="BW245" s="89" t="s">
        <v>646</v>
      </c>
      <c r="BX245" s="89" t="s">
        <v>646</v>
      </c>
      <c r="BY245" s="89" t="s">
        <v>646</v>
      </c>
      <c r="BZ245" s="89" t="s">
        <v>646</v>
      </c>
      <c r="CA245" s="89" t="s">
        <v>646</v>
      </c>
      <c r="CB245" s="89" t="s">
        <v>19635</v>
      </c>
      <c r="CC245" s="89" t="str">
        <f>HYPERLINK("https%3A%2F%2Fwww.webofscience.com%2Fwos%2Fwoscc%2Ffull-record%2FWOS:000562493800002","View Full Record in Web of Science")</f>
        <v>View Full Record in Web of Science</v>
      </c>
    </row>
    <row r="246" spans="1:81" ht="13.2" hidden="1" x14ac:dyDescent="0.25">
      <c r="A246" s="89" t="s">
        <v>19636</v>
      </c>
      <c r="B246" s="89" t="e">
        <f>+#REF!</f>
        <v>#REF!</v>
      </c>
      <c r="C246" s="89"/>
      <c r="D246" s="91" t="s">
        <v>717</v>
      </c>
      <c r="E246" s="90" t="e">
        <v>#REF!</v>
      </c>
      <c r="F246" s="89"/>
      <c r="G246" s="89"/>
      <c r="H246" s="89" t="s">
        <v>646</v>
      </c>
      <c r="I246" s="89" t="s">
        <v>19637</v>
      </c>
      <c r="J246" s="89" t="s">
        <v>646</v>
      </c>
      <c r="K246" s="89" t="s">
        <v>19643</v>
      </c>
      <c r="M246" s="89">
        <v>2017</v>
      </c>
      <c r="N246" s="89" t="s">
        <v>19638</v>
      </c>
      <c r="O246" s="89" t="s">
        <v>646</v>
      </c>
      <c r="P246" s="89" t="s">
        <v>646</v>
      </c>
      <c r="S246" s="89" t="s">
        <v>17475</v>
      </c>
      <c r="U246" s="89" t="s">
        <v>17474</v>
      </c>
      <c r="W246" s="89" t="s">
        <v>646</v>
      </c>
      <c r="X246" s="89" t="s">
        <v>646</v>
      </c>
      <c r="Y246" s="89" t="s">
        <v>19639</v>
      </c>
      <c r="Z246" s="89" t="s">
        <v>19640</v>
      </c>
      <c r="AA246" s="89" t="s">
        <v>19641</v>
      </c>
      <c r="AB246" s="89" t="s">
        <v>19642</v>
      </c>
      <c r="AC246" s="89" t="s">
        <v>646</v>
      </c>
      <c r="AD246" s="89" t="s">
        <v>646</v>
      </c>
      <c r="AE246" s="89" t="s">
        <v>646</v>
      </c>
      <c r="AF246" s="89" t="s">
        <v>19643</v>
      </c>
      <c r="AG246" s="89" t="s">
        <v>646</v>
      </c>
      <c r="AH246" s="89" t="s">
        <v>646</v>
      </c>
      <c r="AI246" s="89" t="s">
        <v>646</v>
      </c>
      <c r="AJ246" s="89" t="s">
        <v>646</v>
      </c>
      <c r="AK246" s="89" t="s">
        <v>646</v>
      </c>
      <c r="AL246" s="89" t="s">
        <v>646</v>
      </c>
      <c r="AM246" s="89" t="s">
        <v>646</v>
      </c>
      <c r="AN246" s="89" t="s">
        <v>646</v>
      </c>
      <c r="AO246" s="89" t="s">
        <v>646</v>
      </c>
      <c r="AP246" s="89" t="s">
        <v>646</v>
      </c>
      <c r="AQ246" s="89" t="s">
        <v>646</v>
      </c>
      <c r="AR246" s="89" t="s">
        <v>646</v>
      </c>
      <c r="AS246" s="89" t="s">
        <v>646</v>
      </c>
      <c r="AT246" s="89" t="s">
        <v>646</v>
      </c>
      <c r="AU246" s="89" t="s">
        <v>646</v>
      </c>
      <c r="AV246" s="89" t="s">
        <v>646</v>
      </c>
      <c r="AW246" s="89" t="s">
        <v>646</v>
      </c>
      <c r="AX246" s="89" t="s">
        <v>646</v>
      </c>
      <c r="AY246" s="89" t="s">
        <v>19644</v>
      </c>
      <c r="AZ246" s="89" t="s">
        <v>646</v>
      </c>
      <c r="BA246" s="89" t="s">
        <v>19645</v>
      </c>
      <c r="BB246" s="89" t="s">
        <v>646</v>
      </c>
      <c r="BC246" s="89" t="s">
        <v>646</v>
      </c>
      <c r="BD246" s="89" t="s">
        <v>646</v>
      </c>
      <c r="BE246" s="89">
        <v>2017</v>
      </c>
      <c r="BF246" s="89" t="s">
        <v>646</v>
      </c>
      <c r="BG246" s="89" t="s">
        <v>646</v>
      </c>
      <c r="BH246" s="89" t="s">
        <v>646</v>
      </c>
      <c r="BI246" s="89" t="s">
        <v>646</v>
      </c>
      <c r="BJ246" s="89" t="s">
        <v>646</v>
      </c>
      <c r="BK246" s="89" t="s">
        <v>646</v>
      </c>
      <c r="BL246" s="89" t="s">
        <v>646</v>
      </c>
      <c r="BM246" s="89" t="s">
        <v>646</v>
      </c>
      <c r="BN246" s="89" t="s">
        <v>646</v>
      </c>
      <c r="BO246" s="89" t="s">
        <v>646</v>
      </c>
      <c r="BP246" s="89" t="s">
        <v>646</v>
      </c>
      <c r="BQ246" s="89" t="s">
        <v>646</v>
      </c>
      <c r="BR246" s="89" t="s">
        <v>646</v>
      </c>
      <c r="BS246" s="89" t="s">
        <v>646</v>
      </c>
      <c r="BT246" s="89" t="s">
        <v>646</v>
      </c>
      <c r="BU246" s="89" t="s">
        <v>646</v>
      </c>
      <c r="BV246" s="89" t="s">
        <v>646</v>
      </c>
      <c r="BW246" s="89" t="s">
        <v>646</v>
      </c>
      <c r="BX246" s="89" t="s">
        <v>646</v>
      </c>
      <c r="BY246" s="89" t="s">
        <v>646</v>
      </c>
      <c r="BZ246" s="89" t="s">
        <v>646</v>
      </c>
      <c r="CA246" s="89" t="s">
        <v>646</v>
      </c>
      <c r="CB246" s="89" t="s">
        <v>19646</v>
      </c>
      <c r="CC246" s="89" t="str">
        <f>HYPERLINK("https%3A%2F%2Fwww.webofscience.com%2Fwos%2Fwoscc%2Ffull-record%2FWOS:000426455800035","View Full Record in Web of Science")</f>
        <v>View Full Record in Web of Science</v>
      </c>
    </row>
    <row r="247" spans="1:81" ht="13.2" hidden="1" x14ac:dyDescent="0.25">
      <c r="A247" s="89" t="s">
        <v>19647</v>
      </c>
      <c r="B247" s="89" t="e">
        <f>+#REF!</f>
        <v>#REF!</v>
      </c>
      <c r="C247" s="89"/>
      <c r="D247" s="91" t="s">
        <v>717</v>
      </c>
      <c r="E247" s="90" t="e">
        <v>#REF!</v>
      </c>
      <c r="F247" s="89"/>
      <c r="G247" s="89"/>
      <c r="H247" s="89" t="s">
        <v>11498</v>
      </c>
      <c r="I247" s="89" t="s">
        <v>19648</v>
      </c>
      <c r="J247" s="89" t="s">
        <v>19650</v>
      </c>
      <c r="K247" s="89" t="s">
        <v>19649</v>
      </c>
      <c r="M247" s="89">
        <v>2018</v>
      </c>
      <c r="N247" s="89" t="s">
        <v>19437</v>
      </c>
      <c r="O247" s="89" t="s">
        <v>646</v>
      </c>
      <c r="P247" s="89" t="str">
        <f>HYPERLINK("http://dx.doi.org/10.1145/3170427.3188657","http://dx.doi.org/10.1145/3170427.3188657")</f>
        <v>http://dx.doi.org/10.1145/3170427.3188657</v>
      </c>
      <c r="S247" s="89" t="s">
        <v>19206</v>
      </c>
      <c r="U247" s="89" t="s">
        <v>17474</v>
      </c>
      <c r="W247" s="89" t="s">
        <v>646</v>
      </c>
      <c r="X247" s="89" t="s">
        <v>646</v>
      </c>
      <c r="Y247" s="89" t="s">
        <v>19438</v>
      </c>
      <c r="Z247" s="89" t="s">
        <v>19439</v>
      </c>
      <c r="AA247" s="89" t="s">
        <v>18300</v>
      </c>
      <c r="AB247" s="89" t="s">
        <v>19440</v>
      </c>
      <c r="AC247" s="89" t="s">
        <v>646</v>
      </c>
      <c r="AD247" s="89" t="s">
        <v>646</v>
      </c>
      <c r="AE247" s="89" t="s">
        <v>646</v>
      </c>
      <c r="AF247" s="89" t="s">
        <v>19649</v>
      </c>
      <c r="AG247" s="89" t="s">
        <v>646</v>
      </c>
      <c r="AH247" s="89" t="s">
        <v>646</v>
      </c>
      <c r="AI247" s="89" t="s">
        <v>646</v>
      </c>
      <c r="AJ247" s="89" t="s">
        <v>646</v>
      </c>
      <c r="AK247" s="89" t="s">
        <v>19650</v>
      </c>
      <c r="AL247" s="89" t="s">
        <v>19651</v>
      </c>
      <c r="AM247" s="89" t="s">
        <v>646</v>
      </c>
      <c r="AN247" s="89" t="s">
        <v>646</v>
      </c>
      <c r="AO247" s="89" t="s">
        <v>646</v>
      </c>
      <c r="AP247" s="89" t="s">
        <v>646</v>
      </c>
      <c r="AQ247" s="89" t="s">
        <v>646</v>
      </c>
      <c r="AR247" s="89" t="s">
        <v>646</v>
      </c>
      <c r="AS247" s="89" t="s">
        <v>646</v>
      </c>
      <c r="AT247" s="89" t="s">
        <v>646</v>
      </c>
      <c r="AU247" s="89" t="s">
        <v>646</v>
      </c>
      <c r="AV247" s="89" t="s">
        <v>646</v>
      </c>
      <c r="AW247" s="89" t="s">
        <v>646</v>
      </c>
      <c r="AX247" s="89" t="s">
        <v>646</v>
      </c>
      <c r="AY247" s="89" t="s">
        <v>646</v>
      </c>
      <c r="AZ247" s="89" t="s">
        <v>646</v>
      </c>
      <c r="BA247" s="89" t="s">
        <v>19442</v>
      </c>
      <c r="BB247" s="89" t="s">
        <v>646</v>
      </c>
      <c r="BC247" s="89" t="s">
        <v>646</v>
      </c>
      <c r="BD247" s="89" t="s">
        <v>646</v>
      </c>
      <c r="BE247" s="89">
        <v>2018</v>
      </c>
      <c r="BF247" s="89" t="s">
        <v>646</v>
      </c>
      <c r="BG247" s="89" t="s">
        <v>646</v>
      </c>
      <c r="BH247" s="89" t="s">
        <v>646</v>
      </c>
      <c r="BI247" s="89" t="s">
        <v>646</v>
      </c>
      <c r="BJ247" s="89" t="s">
        <v>646</v>
      </c>
      <c r="BK247" s="89" t="s">
        <v>646</v>
      </c>
      <c r="BL247" s="89" t="s">
        <v>646</v>
      </c>
      <c r="BM247" s="89" t="s">
        <v>646</v>
      </c>
      <c r="BN247" s="89" t="s">
        <v>19652</v>
      </c>
      <c r="BO247" s="89" t="str">
        <f>HYPERLINK("http://dx.doi.org/10.1145/3170427.3188657","http://dx.doi.org/10.1145/3170427.3188657")</f>
        <v>http://dx.doi.org/10.1145/3170427.3188657</v>
      </c>
      <c r="BP247" s="89" t="s">
        <v>646</v>
      </c>
      <c r="BQ247" s="89" t="s">
        <v>646</v>
      </c>
      <c r="BR247" s="89" t="s">
        <v>646</v>
      </c>
      <c r="BS247" s="89" t="s">
        <v>646</v>
      </c>
      <c r="BT247" s="89" t="s">
        <v>646</v>
      </c>
      <c r="BU247" s="89" t="s">
        <v>646</v>
      </c>
      <c r="BV247" s="89" t="s">
        <v>646</v>
      </c>
      <c r="BW247" s="89" t="s">
        <v>646</v>
      </c>
      <c r="BX247" s="89" t="s">
        <v>646</v>
      </c>
      <c r="BY247" s="89" t="s">
        <v>646</v>
      </c>
      <c r="BZ247" s="89" t="s">
        <v>646</v>
      </c>
      <c r="CA247" s="89" t="s">
        <v>646</v>
      </c>
      <c r="CB247" s="89" t="s">
        <v>19653</v>
      </c>
      <c r="CC247" s="89" t="str">
        <f>HYPERLINK("https%3A%2F%2Fwww.webofscience.com%2Fwos%2Fwoscc%2Ffull-record%2FWOS:000671090001147","View Full Record in Web of Science")</f>
        <v>View Full Record in Web of Science</v>
      </c>
    </row>
    <row r="248" spans="1:81" ht="13.2" hidden="1" x14ac:dyDescent="0.25">
      <c r="A248" s="89" t="s">
        <v>11505</v>
      </c>
      <c r="B248" s="89" t="e">
        <f>+#REF!</f>
        <v>#REF!</v>
      </c>
      <c r="C248" s="89"/>
      <c r="D248" s="91" t="s">
        <v>717</v>
      </c>
      <c r="E248" s="90" t="e">
        <v>#REF!</v>
      </c>
      <c r="F248" s="89"/>
      <c r="G248" s="89"/>
      <c r="H248" s="89" t="s">
        <v>11506</v>
      </c>
      <c r="I248" s="89" t="s">
        <v>19654</v>
      </c>
      <c r="J248" s="89" t="s">
        <v>646</v>
      </c>
      <c r="K248" s="89" t="s">
        <v>19655</v>
      </c>
      <c r="M248" s="89">
        <v>2006</v>
      </c>
      <c r="N248" s="89" t="s">
        <v>19008</v>
      </c>
      <c r="O248" s="89" t="s">
        <v>646</v>
      </c>
      <c r="P248" s="89" t="str">
        <f>HYPERLINK("http://dx.doi.org/10.1109/ICGSE.2006.261240","http://dx.doi.org/10.1109/ICGSE.2006.261240")</f>
        <v>http://dx.doi.org/10.1109/ICGSE.2006.261240</v>
      </c>
      <c r="S248" s="89" t="s">
        <v>19006</v>
      </c>
      <c r="U248" s="89" t="s">
        <v>17474</v>
      </c>
      <c r="W248" s="89" t="s">
        <v>646</v>
      </c>
      <c r="X248" s="89" t="s">
        <v>646</v>
      </c>
      <c r="Y248" s="89" t="s">
        <v>19009</v>
      </c>
      <c r="Z248" s="89" t="s">
        <v>19010</v>
      </c>
      <c r="AA248" s="89" t="s">
        <v>19011</v>
      </c>
      <c r="AB248" s="89" t="s">
        <v>19012</v>
      </c>
      <c r="AC248" s="89" t="s">
        <v>646</v>
      </c>
      <c r="AD248" s="89" t="s">
        <v>646</v>
      </c>
      <c r="AE248" s="89" t="s">
        <v>646</v>
      </c>
      <c r="AF248" s="89" t="s">
        <v>19655</v>
      </c>
      <c r="AG248" s="89" t="s">
        <v>646</v>
      </c>
      <c r="AH248" s="89" t="s">
        <v>646</v>
      </c>
      <c r="AI248" s="89" t="s">
        <v>646</v>
      </c>
      <c r="AJ248" s="89" t="s">
        <v>646</v>
      </c>
      <c r="AK248" s="89" t="s">
        <v>646</v>
      </c>
      <c r="AL248" s="89" t="s">
        <v>646</v>
      </c>
      <c r="AM248" s="89" t="s">
        <v>646</v>
      </c>
      <c r="AN248" s="89" t="s">
        <v>646</v>
      </c>
      <c r="AO248" s="89" t="s">
        <v>646</v>
      </c>
      <c r="AP248" s="89" t="s">
        <v>646</v>
      </c>
      <c r="AQ248" s="89" t="s">
        <v>646</v>
      </c>
      <c r="AR248" s="89" t="s">
        <v>646</v>
      </c>
      <c r="AS248" s="89" t="s">
        <v>646</v>
      </c>
      <c r="AT248" s="89" t="s">
        <v>646</v>
      </c>
      <c r="AU248" s="89" t="s">
        <v>646</v>
      </c>
      <c r="AV248" s="89" t="s">
        <v>646</v>
      </c>
      <c r="AW248" s="89" t="s">
        <v>646</v>
      </c>
      <c r="AX248" s="89" t="s">
        <v>646</v>
      </c>
      <c r="AY248" s="89" t="s">
        <v>646</v>
      </c>
      <c r="AZ248" s="89" t="s">
        <v>646</v>
      </c>
      <c r="BA248" s="89" t="s">
        <v>19014</v>
      </c>
      <c r="BB248" s="89" t="s">
        <v>646</v>
      </c>
      <c r="BC248" s="89" t="s">
        <v>646</v>
      </c>
      <c r="BD248" s="89" t="s">
        <v>646</v>
      </c>
      <c r="BE248" s="89">
        <v>2006</v>
      </c>
      <c r="BF248" s="89" t="s">
        <v>646</v>
      </c>
      <c r="BG248" s="89" t="s">
        <v>646</v>
      </c>
      <c r="BH248" s="89" t="s">
        <v>646</v>
      </c>
      <c r="BI248" s="89" t="s">
        <v>646</v>
      </c>
      <c r="BJ248" s="89" t="s">
        <v>646</v>
      </c>
      <c r="BK248" s="89" t="s">
        <v>646</v>
      </c>
      <c r="BL248" s="89">
        <v>241</v>
      </c>
      <c r="BM248" s="89" t="s">
        <v>18405</v>
      </c>
      <c r="BN248" s="89" t="s">
        <v>646</v>
      </c>
      <c r="BO248" s="89" t="str">
        <f>HYPERLINK("http://dx.doi.org/10.1109/ICGSE.2006.261240","http://dx.doi.org/10.1109/ICGSE.2006.261240")</f>
        <v>http://dx.doi.org/10.1109/ICGSE.2006.261240</v>
      </c>
      <c r="BP248" s="89" t="s">
        <v>646</v>
      </c>
      <c r="BQ248" s="89" t="s">
        <v>646</v>
      </c>
      <c r="BR248" s="89" t="s">
        <v>646</v>
      </c>
      <c r="BS248" s="89" t="s">
        <v>646</v>
      </c>
      <c r="BT248" s="89" t="s">
        <v>646</v>
      </c>
      <c r="BU248" s="89" t="s">
        <v>646</v>
      </c>
      <c r="BV248" s="89" t="s">
        <v>646</v>
      </c>
      <c r="BW248" s="89" t="s">
        <v>646</v>
      </c>
      <c r="BX248" s="89" t="s">
        <v>646</v>
      </c>
      <c r="BY248" s="89" t="s">
        <v>646</v>
      </c>
      <c r="BZ248" s="89" t="s">
        <v>646</v>
      </c>
      <c r="CA248" s="89" t="s">
        <v>646</v>
      </c>
      <c r="CB248" s="89" t="s">
        <v>19656</v>
      </c>
      <c r="CC248" s="89" t="str">
        <f>HYPERLINK("https%3A%2F%2Fwww.webofscience.com%2Fwos%2Fwoscc%2Ffull-record%2FWOS:000242500600028","View Full Record in Web of Science")</f>
        <v>View Full Record in Web of Science</v>
      </c>
    </row>
    <row r="249" spans="1:81" ht="13.2" hidden="1" x14ac:dyDescent="0.25">
      <c r="A249" s="89" t="s">
        <v>11514</v>
      </c>
      <c r="B249" s="89" t="e">
        <f>+#REF!</f>
        <v>#REF!</v>
      </c>
      <c r="C249" s="89"/>
      <c r="D249" s="91" t="s">
        <v>717</v>
      </c>
      <c r="E249" s="90" t="e">
        <v>#REF!</v>
      </c>
      <c r="F249" s="89"/>
      <c r="G249" s="89"/>
      <c r="H249" s="89" t="s">
        <v>11515</v>
      </c>
      <c r="I249" s="89" t="s">
        <v>19657</v>
      </c>
      <c r="J249" s="89" t="s">
        <v>646</v>
      </c>
      <c r="K249" s="89" t="s">
        <v>19659</v>
      </c>
      <c r="M249" s="89">
        <v>2021</v>
      </c>
      <c r="N249" s="89" t="s">
        <v>19658</v>
      </c>
      <c r="O249" s="89" t="s">
        <v>646</v>
      </c>
      <c r="P249" s="89" t="str">
        <f>HYPERLINK("http://dx.doi.org/10.1111/deci.12471","http://dx.doi.org/10.1111/deci.12471")</f>
        <v>http://dx.doi.org/10.1111/deci.12471</v>
      </c>
      <c r="S249" s="89" t="s">
        <v>646</v>
      </c>
      <c r="U249" s="89" t="s">
        <v>17462</v>
      </c>
      <c r="W249" s="89" t="s">
        <v>646</v>
      </c>
      <c r="X249" s="89" t="s">
        <v>646</v>
      </c>
      <c r="Y249" s="89" t="s">
        <v>646</v>
      </c>
      <c r="Z249" s="89" t="s">
        <v>646</v>
      </c>
      <c r="AA249" s="89" t="s">
        <v>646</v>
      </c>
      <c r="AB249" s="89" t="s">
        <v>646</v>
      </c>
      <c r="AC249" s="89" t="s">
        <v>646</v>
      </c>
      <c r="AD249" s="89" t="s">
        <v>646</v>
      </c>
      <c r="AE249" s="89" t="s">
        <v>646</v>
      </c>
      <c r="AF249" s="89" t="s">
        <v>19659</v>
      </c>
      <c r="AG249" s="89" t="s">
        <v>646</v>
      </c>
      <c r="AH249" s="89" t="s">
        <v>646</v>
      </c>
      <c r="AI249" s="89" t="s">
        <v>646</v>
      </c>
      <c r="AJ249" s="89" t="s">
        <v>646</v>
      </c>
      <c r="AK249" s="89" t="s">
        <v>646</v>
      </c>
      <c r="AL249" s="89" t="s">
        <v>19660</v>
      </c>
      <c r="AM249" s="89" t="s">
        <v>646</v>
      </c>
      <c r="AN249" s="89" t="s">
        <v>646</v>
      </c>
      <c r="AO249" s="89" t="s">
        <v>646</v>
      </c>
      <c r="AP249" s="89" t="s">
        <v>646</v>
      </c>
      <c r="AQ249" s="89" t="s">
        <v>646</v>
      </c>
      <c r="AR249" s="89" t="s">
        <v>646</v>
      </c>
      <c r="AS249" s="89" t="s">
        <v>646</v>
      </c>
      <c r="AT249" s="89" t="s">
        <v>646</v>
      </c>
      <c r="AU249" s="89" t="s">
        <v>646</v>
      </c>
      <c r="AV249" s="89" t="s">
        <v>646</v>
      </c>
      <c r="AW249" s="89" t="s">
        <v>646</v>
      </c>
      <c r="AX249" s="89" t="s">
        <v>646</v>
      </c>
      <c r="AY249" s="89" t="s">
        <v>19661</v>
      </c>
      <c r="AZ249" s="89" t="s">
        <v>19662</v>
      </c>
      <c r="BA249" s="89" t="s">
        <v>646</v>
      </c>
      <c r="BB249" s="89" t="s">
        <v>646</v>
      </c>
      <c r="BC249" s="89" t="s">
        <v>646</v>
      </c>
      <c r="BD249" s="89" t="s">
        <v>17615</v>
      </c>
      <c r="BE249" s="89">
        <v>2021</v>
      </c>
      <c r="BF249" s="89">
        <v>52</v>
      </c>
      <c r="BG249" s="89">
        <v>6</v>
      </c>
      <c r="BH249" s="89" t="s">
        <v>646</v>
      </c>
      <c r="BI249" s="89" t="s">
        <v>646</v>
      </c>
      <c r="BJ249" s="89" t="s">
        <v>646</v>
      </c>
      <c r="BK249" s="89" t="s">
        <v>646</v>
      </c>
      <c r="BL249" s="89">
        <v>1282</v>
      </c>
      <c r="BM249" s="89">
        <v>1325</v>
      </c>
      <c r="BN249" s="89" t="s">
        <v>646</v>
      </c>
      <c r="BO249" s="89" t="str">
        <f>HYPERLINK("http://dx.doi.org/10.1111/deci.12471","http://dx.doi.org/10.1111/deci.12471")</f>
        <v>http://dx.doi.org/10.1111/deci.12471</v>
      </c>
      <c r="BP249" s="89" t="s">
        <v>646</v>
      </c>
      <c r="BQ249" s="89" t="s">
        <v>18873</v>
      </c>
      <c r="BR249" s="89" t="s">
        <v>646</v>
      </c>
      <c r="BS249" s="89" t="s">
        <v>646</v>
      </c>
      <c r="BT249" s="89" t="s">
        <v>646</v>
      </c>
      <c r="BU249" s="89" t="s">
        <v>646</v>
      </c>
      <c r="BV249" s="89" t="s">
        <v>646</v>
      </c>
      <c r="BW249" s="89" t="s">
        <v>646</v>
      </c>
      <c r="BX249" s="89" t="s">
        <v>646</v>
      </c>
      <c r="BY249" s="89" t="s">
        <v>646</v>
      </c>
      <c r="BZ249" s="89" t="s">
        <v>646</v>
      </c>
      <c r="CA249" s="89" t="s">
        <v>646</v>
      </c>
      <c r="CB249" s="89" t="s">
        <v>19663</v>
      </c>
      <c r="CC249" s="89" t="str">
        <f>HYPERLINK("https%3A%2F%2Fwww.webofscience.com%2Fwos%2Fwoscc%2Ffull-record%2FWOS:000545466600001","View Full Record in Web of Science")</f>
        <v>View Full Record in Web of Science</v>
      </c>
    </row>
    <row r="250" spans="1:81" ht="13.2" hidden="1" x14ac:dyDescent="0.25">
      <c r="A250" s="89" t="s">
        <v>11524</v>
      </c>
      <c r="B250" s="89" t="e">
        <f>+#REF!</f>
        <v>#REF!</v>
      </c>
      <c r="C250" s="89"/>
      <c r="D250" s="91" t="s">
        <v>717</v>
      </c>
      <c r="E250" s="90" t="e">
        <v>#REF!</v>
      </c>
      <c r="F250" s="89"/>
      <c r="G250" s="89"/>
      <c r="H250" s="89" t="s">
        <v>11525</v>
      </c>
      <c r="I250" s="89" t="s">
        <v>19664</v>
      </c>
      <c r="J250" s="89" t="s">
        <v>646</v>
      </c>
      <c r="K250" s="89" t="s">
        <v>19666</v>
      </c>
      <c r="M250" s="89">
        <v>2020</v>
      </c>
      <c r="N250" s="89" t="s">
        <v>19665</v>
      </c>
      <c r="O250" s="89" t="s">
        <v>646</v>
      </c>
      <c r="P250" s="89" t="str">
        <f>HYPERLINK("http://dx.doi.org/10.1007/s10940-019-09436-7","http://dx.doi.org/10.1007/s10940-019-09436-7")</f>
        <v>http://dx.doi.org/10.1007/s10940-019-09436-7</v>
      </c>
      <c r="S250" s="89" t="s">
        <v>646</v>
      </c>
      <c r="U250" s="89" t="s">
        <v>17462</v>
      </c>
      <c r="W250" s="89" t="s">
        <v>646</v>
      </c>
      <c r="X250" s="89" t="s">
        <v>646</v>
      </c>
      <c r="Y250" s="89" t="s">
        <v>646</v>
      </c>
      <c r="Z250" s="89" t="s">
        <v>646</v>
      </c>
      <c r="AA250" s="89" t="s">
        <v>646</v>
      </c>
      <c r="AB250" s="89" t="s">
        <v>646</v>
      </c>
      <c r="AC250" s="89" t="s">
        <v>646</v>
      </c>
      <c r="AD250" s="89" t="s">
        <v>646</v>
      </c>
      <c r="AE250" s="89" t="s">
        <v>646</v>
      </c>
      <c r="AF250" s="89" t="s">
        <v>19666</v>
      </c>
      <c r="AG250" s="89" t="s">
        <v>646</v>
      </c>
      <c r="AH250" s="89" t="s">
        <v>646</v>
      </c>
      <c r="AI250" s="89" t="s">
        <v>646</v>
      </c>
      <c r="AJ250" s="89" t="s">
        <v>646</v>
      </c>
      <c r="AK250" s="89" t="s">
        <v>646</v>
      </c>
      <c r="AL250" s="89" t="s">
        <v>19667</v>
      </c>
      <c r="AM250" s="89" t="s">
        <v>646</v>
      </c>
      <c r="AN250" s="89" t="s">
        <v>646</v>
      </c>
      <c r="AO250" s="89" t="s">
        <v>646</v>
      </c>
      <c r="AP250" s="89" t="s">
        <v>646</v>
      </c>
      <c r="AQ250" s="89" t="s">
        <v>646</v>
      </c>
      <c r="AR250" s="89" t="s">
        <v>646</v>
      </c>
      <c r="AS250" s="89" t="s">
        <v>646</v>
      </c>
      <c r="AT250" s="89" t="s">
        <v>646</v>
      </c>
      <c r="AU250" s="89" t="s">
        <v>646</v>
      </c>
      <c r="AV250" s="89" t="s">
        <v>646</v>
      </c>
      <c r="AW250" s="89" t="s">
        <v>646</v>
      </c>
      <c r="AX250" s="89" t="s">
        <v>646</v>
      </c>
      <c r="AY250" s="89" t="s">
        <v>19668</v>
      </c>
      <c r="AZ250" s="89" t="s">
        <v>19669</v>
      </c>
      <c r="BA250" s="89" t="s">
        <v>646</v>
      </c>
      <c r="BB250" s="89" t="s">
        <v>646</v>
      </c>
      <c r="BC250" s="89" t="s">
        <v>646</v>
      </c>
      <c r="BD250" s="89" t="s">
        <v>17615</v>
      </c>
      <c r="BE250" s="89">
        <v>2020</v>
      </c>
      <c r="BF250" s="89">
        <v>36</v>
      </c>
      <c r="BG250" s="89">
        <v>4</v>
      </c>
      <c r="BH250" s="89" t="s">
        <v>646</v>
      </c>
      <c r="BI250" s="89" t="s">
        <v>646</v>
      </c>
      <c r="BJ250" s="89" t="s">
        <v>646</v>
      </c>
      <c r="BK250" s="89" t="s">
        <v>646</v>
      </c>
      <c r="BL250" s="89">
        <v>907</v>
      </c>
      <c r="BM250" s="89">
        <v>932</v>
      </c>
      <c r="BN250" s="89" t="s">
        <v>646</v>
      </c>
      <c r="BO250" s="89" t="str">
        <f>HYPERLINK("http://dx.doi.org/10.1007/s10940-019-09436-7","http://dx.doi.org/10.1007/s10940-019-09436-7")</f>
        <v>http://dx.doi.org/10.1007/s10940-019-09436-7</v>
      </c>
      <c r="BP250" s="89" t="s">
        <v>646</v>
      </c>
      <c r="BQ250" s="89" t="s">
        <v>19670</v>
      </c>
      <c r="BR250" s="89" t="s">
        <v>646</v>
      </c>
      <c r="BS250" s="89" t="s">
        <v>646</v>
      </c>
      <c r="BT250" s="89" t="s">
        <v>646</v>
      </c>
      <c r="BU250" s="89" t="s">
        <v>646</v>
      </c>
      <c r="BV250" s="89" t="s">
        <v>646</v>
      </c>
      <c r="BW250" s="89" t="s">
        <v>646</v>
      </c>
      <c r="BX250" s="89" t="s">
        <v>646</v>
      </c>
      <c r="BY250" s="89" t="s">
        <v>646</v>
      </c>
      <c r="BZ250" s="89" t="s">
        <v>646</v>
      </c>
      <c r="CA250" s="89" t="s">
        <v>646</v>
      </c>
      <c r="CB250" s="89" t="s">
        <v>19671</v>
      </c>
      <c r="CC250" s="89" t="str">
        <f>HYPERLINK("https%3A%2F%2Fwww.webofscience.com%2Fwos%2Fwoscc%2Ffull-record%2FWOS:000496242600001","View Full Record in Web of Science")</f>
        <v>View Full Record in Web of Science</v>
      </c>
    </row>
    <row r="251" spans="1:81" ht="13.2" hidden="1" x14ac:dyDescent="0.25">
      <c r="A251" s="89" t="s">
        <v>988</v>
      </c>
      <c r="B251" s="89" t="e">
        <f>+#REF!</f>
        <v>#REF!</v>
      </c>
      <c r="C251" s="89"/>
      <c r="D251" s="91" t="s">
        <v>717</v>
      </c>
      <c r="E251" s="90" t="e">
        <v>#REF!</v>
      </c>
      <c r="F251" s="89"/>
      <c r="G251" s="89"/>
      <c r="H251" s="89" t="s">
        <v>990</v>
      </c>
      <c r="I251" s="89" t="s">
        <v>19672</v>
      </c>
      <c r="J251" s="89" t="s">
        <v>19675</v>
      </c>
      <c r="K251" s="89" t="s">
        <v>19674</v>
      </c>
      <c r="M251" s="89">
        <v>2016</v>
      </c>
      <c r="N251" s="89" t="s">
        <v>19673</v>
      </c>
      <c r="O251" s="89" t="s">
        <v>646</v>
      </c>
      <c r="P251" s="89" t="str">
        <f>HYPERLINK("http://dx.doi.org/10.1186/s40064-016-3782-0","http://dx.doi.org/10.1186/s40064-016-3782-0")</f>
        <v>http://dx.doi.org/10.1186/s40064-016-3782-0</v>
      </c>
      <c r="S251" s="89" t="s">
        <v>646</v>
      </c>
      <c r="U251" s="89" t="s">
        <v>17462</v>
      </c>
      <c r="W251" s="89" t="s">
        <v>646</v>
      </c>
      <c r="X251" s="89" t="s">
        <v>646</v>
      </c>
      <c r="Y251" s="89" t="s">
        <v>646</v>
      </c>
      <c r="Z251" s="89" t="s">
        <v>646</v>
      </c>
      <c r="AA251" s="89" t="s">
        <v>646</v>
      </c>
      <c r="AB251" s="89" t="s">
        <v>646</v>
      </c>
      <c r="AC251" s="89" t="s">
        <v>646</v>
      </c>
      <c r="AD251" s="89" t="s">
        <v>646</v>
      </c>
      <c r="AE251" s="89" t="s">
        <v>646</v>
      </c>
      <c r="AF251" s="89" t="s">
        <v>19674</v>
      </c>
      <c r="AG251" s="89" t="s">
        <v>646</v>
      </c>
      <c r="AH251" s="89" t="s">
        <v>646</v>
      </c>
      <c r="AI251" s="89" t="s">
        <v>646</v>
      </c>
      <c r="AJ251" s="89" t="s">
        <v>646</v>
      </c>
      <c r="AK251" s="89" t="s">
        <v>19675</v>
      </c>
      <c r="AL251" s="89" t="s">
        <v>19676</v>
      </c>
      <c r="AM251" s="89" t="s">
        <v>646</v>
      </c>
      <c r="AN251" s="89" t="s">
        <v>646</v>
      </c>
      <c r="AO251" s="89" t="s">
        <v>646</v>
      </c>
      <c r="AP251" s="89" t="s">
        <v>646</v>
      </c>
      <c r="AQ251" s="89" t="s">
        <v>646</v>
      </c>
      <c r="AR251" s="89" t="s">
        <v>646</v>
      </c>
      <c r="AS251" s="89" t="s">
        <v>646</v>
      </c>
      <c r="AT251" s="89" t="s">
        <v>646</v>
      </c>
      <c r="AU251" s="89" t="s">
        <v>646</v>
      </c>
      <c r="AV251" s="89" t="s">
        <v>646</v>
      </c>
      <c r="AW251" s="89" t="s">
        <v>646</v>
      </c>
      <c r="AX251" s="89" t="s">
        <v>646</v>
      </c>
      <c r="AY251" s="89" t="s">
        <v>19677</v>
      </c>
      <c r="AZ251" s="89" t="s">
        <v>646</v>
      </c>
      <c r="BA251" s="89" t="s">
        <v>646</v>
      </c>
      <c r="BB251" s="89" t="s">
        <v>646</v>
      </c>
      <c r="BC251" s="89" t="s">
        <v>646</v>
      </c>
      <c r="BD251" s="89" t="s">
        <v>18174</v>
      </c>
      <c r="BE251" s="89">
        <v>2016</v>
      </c>
      <c r="BF251" s="89">
        <v>5</v>
      </c>
      <c r="BG251" s="89" t="s">
        <v>646</v>
      </c>
      <c r="BH251" s="89" t="s">
        <v>646</v>
      </c>
      <c r="BI251" s="89" t="s">
        <v>646</v>
      </c>
      <c r="BJ251" s="89" t="s">
        <v>646</v>
      </c>
      <c r="BK251" s="89" t="s">
        <v>646</v>
      </c>
      <c r="BL251" s="89" t="s">
        <v>646</v>
      </c>
      <c r="BM251" s="89" t="s">
        <v>646</v>
      </c>
      <c r="BN251" s="89">
        <v>2097</v>
      </c>
      <c r="BO251" s="89" t="str">
        <f>HYPERLINK("http://dx.doi.org/10.1186/s40064-016-3782-0","http://dx.doi.org/10.1186/s40064-016-3782-0")</f>
        <v>http://dx.doi.org/10.1186/s40064-016-3782-0</v>
      </c>
      <c r="BP251" s="89" t="s">
        <v>646</v>
      </c>
      <c r="BQ251" s="89" t="s">
        <v>646</v>
      </c>
      <c r="BR251" s="89" t="s">
        <v>646</v>
      </c>
      <c r="BS251" s="89" t="s">
        <v>646</v>
      </c>
      <c r="BT251" s="89" t="s">
        <v>646</v>
      </c>
      <c r="BU251" s="89" t="s">
        <v>646</v>
      </c>
      <c r="BV251" s="89" t="s">
        <v>646</v>
      </c>
      <c r="BW251" s="89">
        <v>28053827</v>
      </c>
      <c r="BX251" s="89" t="s">
        <v>646</v>
      </c>
      <c r="BY251" s="89" t="s">
        <v>646</v>
      </c>
      <c r="BZ251" s="89" t="s">
        <v>646</v>
      </c>
      <c r="CA251" s="89" t="s">
        <v>646</v>
      </c>
      <c r="CB251" s="89" t="s">
        <v>19678</v>
      </c>
      <c r="CC251" s="89" t="str">
        <f>HYPERLINK("https%3A%2F%2Fwww.webofscience.com%2Fwos%2Fwoscc%2Ffull-record%2FWOS:000391839700001","View Full Record in Web of Science")</f>
        <v>View Full Record in Web of Science</v>
      </c>
    </row>
    <row r="252" spans="1:81" ht="13.2" hidden="1" x14ac:dyDescent="0.25">
      <c r="A252" s="89" t="s">
        <v>11535</v>
      </c>
      <c r="B252" s="89" t="e">
        <f>+#REF!</f>
        <v>#REF!</v>
      </c>
      <c r="C252" s="89"/>
      <c r="D252" s="91" t="s">
        <v>717</v>
      </c>
      <c r="E252" s="90" t="e">
        <v>#REF!</v>
      </c>
      <c r="F252" s="89"/>
      <c r="G252" s="89"/>
      <c r="H252" s="89" t="s">
        <v>11536</v>
      </c>
      <c r="I252" s="89" t="s">
        <v>19679</v>
      </c>
      <c r="J252" s="89" t="s">
        <v>19682</v>
      </c>
      <c r="K252" s="89" t="s">
        <v>19681</v>
      </c>
      <c r="M252" s="89">
        <v>2019</v>
      </c>
      <c r="N252" s="89" t="s">
        <v>19680</v>
      </c>
      <c r="O252" s="89" t="s">
        <v>646</v>
      </c>
      <c r="P252" s="89" t="str">
        <f>HYPERLINK("http://dx.doi.org/10.1093/asj/sjy238","http://dx.doi.org/10.1093/asj/sjy238")</f>
        <v>http://dx.doi.org/10.1093/asj/sjy238</v>
      </c>
      <c r="S252" s="89" t="s">
        <v>646</v>
      </c>
      <c r="U252" s="89" t="s">
        <v>17462</v>
      </c>
      <c r="W252" s="89" t="s">
        <v>646</v>
      </c>
      <c r="X252" s="89" t="s">
        <v>646</v>
      </c>
      <c r="Y252" s="89" t="s">
        <v>646</v>
      </c>
      <c r="Z252" s="89" t="s">
        <v>646</v>
      </c>
      <c r="AA252" s="89" t="s">
        <v>646</v>
      </c>
      <c r="AB252" s="89" t="s">
        <v>646</v>
      </c>
      <c r="AC252" s="89" t="s">
        <v>646</v>
      </c>
      <c r="AD252" s="89" t="s">
        <v>646</v>
      </c>
      <c r="AE252" s="89" t="s">
        <v>646</v>
      </c>
      <c r="AF252" s="89" t="s">
        <v>19681</v>
      </c>
      <c r="AG252" s="89" t="s">
        <v>646</v>
      </c>
      <c r="AH252" s="89" t="s">
        <v>646</v>
      </c>
      <c r="AI252" s="89" t="s">
        <v>646</v>
      </c>
      <c r="AJ252" s="89" t="s">
        <v>646</v>
      </c>
      <c r="AK252" s="89" t="s">
        <v>19682</v>
      </c>
      <c r="AL252" s="89" t="s">
        <v>19683</v>
      </c>
      <c r="AM252" s="89" t="s">
        <v>646</v>
      </c>
      <c r="AN252" s="89" t="s">
        <v>646</v>
      </c>
      <c r="AO252" s="89" t="s">
        <v>646</v>
      </c>
      <c r="AP252" s="89" t="s">
        <v>646</v>
      </c>
      <c r="AQ252" s="89" t="s">
        <v>646</v>
      </c>
      <c r="AR252" s="89" t="s">
        <v>646</v>
      </c>
      <c r="AS252" s="89" t="s">
        <v>646</v>
      </c>
      <c r="AT252" s="89" t="s">
        <v>646</v>
      </c>
      <c r="AU252" s="89" t="s">
        <v>646</v>
      </c>
      <c r="AV252" s="89" t="s">
        <v>646</v>
      </c>
      <c r="AW252" s="89" t="s">
        <v>646</v>
      </c>
      <c r="AX252" s="89" t="s">
        <v>646</v>
      </c>
      <c r="AY252" s="89" t="s">
        <v>19684</v>
      </c>
      <c r="AZ252" s="89" t="s">
        <v>19685</v>
      </c>
      <c r="BA252" s="89" t="s">
        <v>646</v>
      </c>
      <c r="BB252" s="89" t="s">
        <v>646</v>
      </c>
      <c r="BC252" s="89" t="s">
        <v>646</v>
      </c>
      <c r="BD252" s="89" t="s">
        <v>17739</v>
      </c>
      <c r="BE252" s="89">
        <v>2019</v>
      </c>
      <c r="BF252" s="89">
        <v>39</v>
      </c>
      <c r="BG252" s="89">
        <v>9</v>
      </c>
      <c r="BH252" s="89" t="s">
        <v>646</v>
      </c>
      <c r="BI252" s="89" t="s">
        <v>646</v>
      </c>
      <c r="BJ252" s="89" t="s">
        <v>646</v>
      </c>
      <c r="BK252" s="89" t="s">
        <v>646</v>
      </c>
      <c r="BL252" s="89">
        <v>1019</v>
      </c>
      <c r="BM252" s="89">
        <v>1032</v>
      </c>
      <c r="BN252" s="89" t="s">
        <v>646</v>
      </c>
      <c r="BO252" s="89" t="str">
        <f>HYPERLINK("http://dx.doi.org/10.1093/asj/sjy238","http://dx.doi.org/10.1093/asj/sjy238")</f>
        <v>http://dx.doi.org/10.1093/asj/sjy238</v>
      </c>
      <c r="BP252" s="89" t="s">
        <v>646</v>
      </c>
      <c r="BQ252" s="89" t="s">
        <v>646</v>
      </c>
      <c r="BR252" s="89" t="s">
        <v>646</v>
      </c>
      <c r="BS252" s="89" t="s">
        <v>646</v>
      </c>
      <c r="BT252" s="89" t="s">
        <v>646</v>
      </c>
      <c r="BU252" s="89" t="s">
        <v>646</v>
      </c>
      <c r="BV252" s="89" t="s">
        <v>646</v>
      </c>
      <c r="BW252" s="89">
        <v>30239573</v>
      </c>
      <c r="BX252" s="89" t="s">
        <v>646</v>
      </c>
      <c r="BY252" s="89" t="s">
        <v>646</v>
      </c>
      <c r="BZ252" s="89" t="s">
        <v>646</v>
      </c>
      <c r="CA252" s="89" t="s">
        <v>646</v>
      </c>
      <c r="CB252" s="89" t="s">
        <v>19686</v>
      </c>
      <c r="CC252" s="89" t="str">
        <f>HYPERLINK("https%3A%2F%2Fwww.webofscience.com%2Fwos%2Fwoscc%2Ffull-record%2FWOS:000491247600024","View Full Record in Web of Science")</f>
        <v>View Full Record in Web of Science</v>
      </c>
    </row>
    <row r="253" spans="1:81" ht="13.2" hidden="1" x14ac:dyDescent="0.25">
      <c r="A253" s="89" t="s">
        <v>11544</v>
      </c>
      <c r="B253" s="89" t="e">
        <f>+#REF!</f>
        <v>#REF!</v>
      </c>
      <c r="C253" s="89"/>
      <c r="D253" s="91" t="s">
        <v>717</v>
      </c>
      <c r="E253" s="90" t="e">
        <v>#REF!</v>
      </c>
      <c r="F253" s="89"/>
      <c r="G253" s="89"/>
      <c r="H253" s="89" t="s">
        <v>11545</v>
      </c>
      <c r="I253" s="89" t="s">
        <v>19687</v>
      </c>
      <c r="J253" s="89" t="s">
        <v>646</v>
      </c>
      <c r="K253" s="89" t="s">
        <v>19689</v>
      </c>
      <c r="M253" s="89">
        <v>2017</v>
      </c>
      <c r="N253" s="89" t="s">
        <v>19688</v>
      </c>
      <c r="O253" s="89" t="s">
        <v>646</v>
      </c>
      <c r="P253" s="89" t="str">
        <f>HYPERLINK("http://dx.doi.org/10.1177/1065912916674273","http://dx.doi.org/10.1177/1065912916674273")</f>
        <v>http://dx.doi.org/10.1177/1065912916674273</v>
      </c>
      <c r="S253" s="89" t="s">
        <v>646</v>
      </c>
      <c r="U253" s="89" t="s">
        <v>17462</v>
      </c>
      <c r="W253" s="89" t="s">
        <v>646</v>
      </c>
      <c r="X253" s="89" t="s">
        <v>646</v>
      </c>
      <c r="Y253" s="89" t="s">
        <v>646</v>
      </c>
      <c r="Z253" s="89" t="s">
        <v>646</v>
      </c>
      <c r="AA253" s="89" t="s">
        <v>646</v>
      </c>
      <c r="AB253" s="89" t="s">
        <v>646</v>
      </c>
      <c r="AC253" s="89" t="s">
        <v>646</v>
      </c>
      <c r="AD253" s="89" t="s">
        <v>646</v>
      </c>
      <c r="AE253" s="89" t="s">
        <v>646</v>
      </c>
      <c r="AF253" s="89" t="s">
        <v>19689</v>
      </c>
      <c r="AG253" s="89" t="s">
        <v>646</v>
      </c>
      <c r="AH253" s="89" t="s">
        <v>646</v>
      </c>
      <c r="AI253" s="89" t="s">
        <v>646</v>
      </c>
      <c r="AJ253" s="89" t="s">
        <v>646</v>
      </c>
      <c r="AK253" s="89" t="s">
        <v>646</v>
      </c>
      <c r="AL253" s="89" t="s">
        <v>19690</v>
      </c>
      <c r="AM253" s="89" t="s">
        <v>646</v>
      </c>
      <c r="AN253" s="89" t="s">
        <v>646</v>
      </c>
      <c r="AO253" s="89" t="s">
        <v>646</v>
      </c>
      <c r="AP253" s="89" t="s">
        <v>646</v>
      </c>
      <c r="AQ253" s="89" t="s">
        <v>646</v>
      </c>
      <c r="AR253" s="89" t="s">
        <v>646</v>
      </c>
      <c r="AS253" s="89" t="s">
        <v>646</v>
      </c>
      <c r="AT253" s="89" t="s">
        <v>646</v>
      </c>
      <c r="AU253" s="89" t="s">
        <v>646</v>
      </c>
      <c r="AV253" s="89" t="s">
        <v>646</v>
      </c>
      <c r="AW253" s="89" t="s">
        <v>646</v>
      </c>
      <c r="AX253" s="89" t="s">
        <v>646</v>
      </c>
      <c r="AY253" s="89" t="s">
        <v>19691</v>
      </c>
      <c r="AZ253" s="89" t="s">
        <v>19692</v>
      </c>
      <c r="BA253" s="89" t="s">
        <v>646</v>
      </c>
      <c r="BB253" s="89" t="s">
        <v>646</v>
      </c>
      <c r="BC253" s="89" t="s">
        <v>646</v>
      </c>
      <c r="BD253" s="89" t="s">
        <v>17779</v>
      </c>
      <c r="BE253" s="89">
        <v>2017</v>
      </c>
      <c r="BF253" s="89">
        <v>70</v>
      </c>
      <c r="BG253" s="89">
        <v>1</v>
      </c>
      <c r="BH253" s="89" t="s">
        <v>646</v>
      </c>
      <c r="BI253" s="89" t="s">
        <v>646</v>
      </c>
      <c r="BJ253" s="89" t="s">
        <v>646</v>
      </c>
      <c r="BK253" s="89" t="s">
        <v>646</v>
      </c>
      <c r="BL253" s="89">
        <v>68</v>
      </c>
      <c r="BM253" s="89">
        <v>81</v>
      </c>
      <c r="BN253" s="89" t="s">
        <v>646</v>
      </c>
      <c r="BO253" s="89" t="str">
        <f>HYPERLINK("http://dx.doi.org/10.1177/1065912916674273","http://dx.doi.org/10.1177/1065912916674273")</f>
        <v>http://dx.doi.org/10.1177/1065912916674273</v>
      </c>
      <c r="BP253" s="89" t="s">
        <v>646</v>
      </c>
      <c r="BQ253" s="89" t="s">
        <v>646</v>
      </c>
      <c r="BR253" s="89" t="s">
        <v>646</v>
      </c>
      <c r="BS253" s="89" t="s">
        <v>646</v>
      </c>
      <c r="BT253" s="89" t="s">
        <v>646</v>
      </c>
      <c r="BU253" s="89" t="s">
        <v>646</v>
      </c>
      <c r="BV253" s="89" t="s">
        <v>646</v>
      </c>
      <c r="BW253" s="89" t="s">
        <v>646</v>
      </c>
      <c r="BX253" s="89" t="s">
        <v>646</v>
      </c>
      <c r="BY253" s="89" t="s">
        <v>646</v>
      </c>
      <c r="BZ253" s="89" t="s">
        <v>646</v>
      </c>
      <c r="CA253" s="89" t="s">
        <v>646</v>
      </c>
      <c r="CB253" s="89" t="s">
        <v>19693</v>
      </c>
      <c r="CC253" s="89" t="str">
        <f>HYPERLINK("https%3A%2F%2Fwww.webofscience.com%2Fwos%2Fwoscc%2Ffull-record%2FWOS:000394649500006","View Full Record in Web of Science")</f>
        <v>View Full Record in Web of Science</v>
      </c>
    </row>
    <row r="254" spans="1:81" ht="13.2" hidden="1" x14ac:dyDescent="0.25">
      <c r="A254" s="89" t="s">
        <v>19694</v>
      </c>
      <c r="B254" s="89" t="e">
        <f>+#REF!</f>
        <v>#REF!</v>
      </c>
      <c r="C254" s="89"/>
      <c r="D254" s="91" t="s">
        <v>717</v>
      </c>
      <c r="E254" s="90" t="e">
        <v>#REF!</v>
      </c>
      <c r="F254" s="89"/>
      <c r="G254" s="89"/>
      <c r="H254" s="89" t="s">
        <v>11555</v>
      </c>
      <c r="I254" s="89" t="s">
        <v>19695</v>
      </c>
      <c r="J254" s="89" t="s">
        <v>19698</v>
      </c>
      <c r="K254" s="89" t="s">
        <v>19697</v>
      </c>
      <c r="M254" s="89">
        <v>2016</v>
      </c>
      <c r="N254" s="89" t="s">
        <v>19696</v>
      </c>
      <c r="O254" s="89" t="s">
        <v>646</v>
      </c>
      <c r="P254" s="89" t="str">
        <f>HYPERLINK("http://dx.doi.org/10.1002/asi.23625","http://dx.doi.org/10.1002/asi.23625")</f>
        <v>http://dx.doi.org/10.1002/asi.23625</v>
      </c>
      <c r="S254" s="89" t="s">
        <v>646</v>
      </c>
      <c r="U254" s="89" t="s">
        <v>17462</v>
      </c>
      <c r="W254" s="89" t="s">
        <v>646</v>
      </c>
      <c r="X254" s="89" t="s">
        <v>646</v>
      </c>
      <c r="Y254" s="89" t="s">
        <v>646</v>
      </c>
      <c r="Z254" s="89" t="s">
        <v>646</v>
      </c>
      <c r="AA254" s="89" t="s">
        <v>646</v>
      </c>
      <c r="AB254" s="89" t="s">
        <v>646</v>
      </c>
      <c r="AC254" s="89" t="s">
        <v>646</v>
      </c>
      <c r="AD254" s="89" t="s">
        <v>646</v>
      </c>
      <c r="AE254" s="89" t="s">
        <v>646</v>
      </c>
      <c r="AF254" s="89" t="s">
        <v>19697</v>
      </c>
      <c r="AG254" s="89" t="s">
        <v>646</v>
      </c>
      <c r="AH254" s="89" t="s">
        <v>646</v>
      </c>
      <c r="AI254" s="89" t="s">
        <v>646</v>
      </c>
      <c r="AJ254" s="89" t="s">
        <v>646</v>
      </c>
      <c r="AK254" s="89" t="s">
        <v>19698</v>
      </c>
      <c r="AL254" s="89" t="s">
        <v>19699</v>
      </c>
      <c r="AM254" s="89" t="s">
        <v>646</v>
      </c>
      <c r="AN254" s="89" t="s">
        <v>646</v>
      </c>
      <c r="AO254" s="89" t="s">
        <v>646</v>
      </c>
      <c r="AP254" s="89" t="s">
        <v>646</v>
      </c>
      <c r="AQ254" s="89" t="s">
        <v>646</v>
      </c>
      <c r="AR254" s="89" t="s">
        <v>646</v>
      </c>
      <c r="AS254" s="89" t="s">
        <v>646</v>
      </c>
      <c r="AT254" s="89" t="s">
        <v>646</v>
      </c>
      <c r="AU254" s="89" t="s">
        <v>646</v>
      </c>
      <c r="AV254" s="89" t="s">
        <v>646</v>
      </c>
      <c r="AW254" s="89" t="s">
        <v>646</v>
      </c>
      <c r="AX254" s="89" t="s">
        <v>646</v>
      </c>
      <c r="AY254" s="89" t="s">
        <v>19700</v>
      </c>
      <c r="AZ254" s="89" t="s">
        <v>19701</v>
      </c>
      <c r="BA254" s="89" t="s">
        <v>646</v>
      </c>
      <c r="BB254" s="89" t="s">
        <v>646</v>
      </c>
      <c r="BC254" s="89" t="s">
        <v>646</v>
      </c>
      <c r="BD254" s="89" t="s">
        <v>18292</v>
      </c>
      <c r="BE254" s="89">
        <v>2016</v>
      </c>
      <c r="BF254" s="89">
        <v>67</v>
      </c>
      <c r="BG254" s="89">
        <v>11</v>
      </c>
      <c r="BH254" s="89" t="s">
        <v>646</v>
      </c>
      <c r="BI254" s="89" t="s">
        <v>646</v>
      </c>
      <c r="BJ254" s="89" t="s">
        <v>646</v>
      </c>
      <c r="BK254" s="89" t="s">
        <v>646</v>
      </c>
      <c r="BL254" s="89">
        <v>2620</v>
      </c>
      <c r="BM254" s="89">
        <v>2634</v>
      </c>
      <c r="BN254" s="89" t="s">
        <v>646</v>
      </c>
      <c r="BO254" s="89" t="str">
        <f>HYPERLINK("http://dx.doi.org/10.1002/asi.23625","http://dx.doi.org/10.1002/asi.23625")</f>
        <v>http://dx.doi.org/10.1002/asi.23625</v>
      </c>
      <c r="BP254" s="89" t="s">
        <v>646</v>
      </c>
      <c r="BQ254" s="89" t="s">
        <v>646</v>
      </c>
      <c r="BR254" s="89" t="s">
        <v>646</v>
      </c>
      <c r="BS254" s="89" t="s">
        <v>646</v>
      </c>
      <c r="BT254" s="89" t="s">
        <v>646</v>
      </c>
      <c r="BU254" s="89" t="s">
        <v>646</v>
      </c>
      <c r="BV254" s="89" t="s">
        <v>646</v>
      </c>
      <c r="BW254" s="89" t="s">
        <v>646</v>
      </c>
      <c r="BX254" s="89" t="s">
        <v>646</v>
      </c>
      <c r="BY254" s="89" t="s">
        <v>646</v>
      </c>
      <c r="BZ254" s="89" t="s">
        <v>646</v>
      </c>
      <c r="CA254" s="89" t="s">
        <v>646</v>
      </c>
      <c r="CB254" s="89" t="s">
        <v>19702</v>
      </c>
      <c r="CC254" s="89" t="str">
        <f>HYPERLINK("https%3A%2F%2Fwww.webofscience.com%2Fwos%2Fwoscc%2Ffull-record%2FWOS:000385777500004","View Full Record in Web of Science")</f>
        <v>View Full Record in Web of Science</v>
      </c>
    </row>
    <row r="255" spans="1:81" ht="13.2" hidden="1" x14ac:dyDescent="0.25">
      <c r="A255" s="89" t="s">
        <v>19703</v>
      </c>
      <c r="B255" s="89" t="e">
        <f>+#REF!</f>
        <v>#REF!</v>
      </c>
      <c r="C255" s="89"/>
      <c r="D255" s="91" t="s">
        <v>717</v>
      </c>
      <c r="E255" s="90" t="e">
        <v>#REF!</v>
      </c>
      <c r="F255" s="89"/>
      <c r="G255" s="89"/>
      <c r="H255" s="89" t="s">
        <v>11564</v>
      </c>
      <c r="I255" s="89" t="s">
        <v>19704</v>
      </c>
      <c r="J255" s="89" t="s">
        <v>646</v>
      </c>
      <c r="K255" s="89" t="s">
        <v>19705</v>
      </c>
      <c r="M255" s="89">
        <v>2015</v>
      </c>
      <c r="N255" s="89" t="s">
        <v>19023</v>
      </c>
      <c r="O255" s="89" t="s">
        <v>646</v>
      </c>
      <c r="P255" s="89" t="str">
        <f>HYPERLINK("http://dx.doi.org/10.2196/jmir.4582","http://dx.doi.org/10.2196/jmir.4582")</f>
        <v>http://dx.doi.org/10.2196/jmir.4582</v>
      </c>
      <c r="S255" s="89" t="s">
        <v>646</v>
      </c>
      <c r="U255" s="89" t="s">
        <v>17462</v>
      </c>
      <c r="W255" s="89" t="s">
        <v>646</v>
      </c>
      <c r="X255" s="89" t="s">
        <v>646</v>
      </c>
      <c r="Y255" s="89" t="s">
        <v>646</v>
      </c>
      <c r="Z255" s="89" t="s">
        <v>646</v>
      </c>
      <c r="AA255" s="89" t="s">
        <v>646</v>
      </c>
      <c r="AB255" s="89" t="s">
        <v>646</v>
      </c>
      <c r="AC255" s="89" t="s">
        <v>646</v>
      </c>
      <c r="AD255" s="89" t="s">
        <v>646</v>
      </c>
      <c r="AE255" s="89" t="s">
        <v>646</v>
      </c>
      <c r="AF255" s="89" t="s">
        <v>19705</v>
      </c>
      <c r="AG255" s="89" t="s">
        <v>646</v>
      </c>
      <c r="AH255" s="89" t="s">
        <v>646</v>
      </c>
      <c r="AI255" s="89" t="s">
        <v>646</v>
      </c>
      <c r="AJ255" s="89" t="s">
        <v>646</v>
      </c>
      <c r="AK255" s="89" t="s">
        <v>646</v>
      </c>
      <c r="AL255" s="89" t="s">
        <v>19706</v>
      </c>
      <c r="AM255" s="89" t="s">
        <v>646</v>
      </c>
      <c r="AN255" s="89" t="s">
        <v>646</v>
      </c>
      <c r="AO255" s="89" t="s">
        <v>646</v>
      </c>
      <c r="AP255" s="89" t="s">
        <v>646</v>
      </c>
      <c r="AQ255" s="89" t="s">
        <v>646</v>
      </c>
      <c r="AR255" s="89" t="s">
        <v>646</v>
      </c>
      <c r="AS255" s="89" t="s">
        <v>646</v>
      </c>
      <c r="AT255" s="89" t="s">
        <v>646</v>
      </c>
      <c r="AU255" s="89" t="s">
        <v>646</v>
      </c>
      <c r="AV255" s="89" t="s">
        <v>646</v>
      </c>
      <c r="AW255" s="89" t="s">
        <v>646</v>
      </c>
      <c r="AX255" s="89" t="s">
        <v>646</v>
      </c>
      <c r="AY255" s="89" t="s">
        <v>19026</v>
      </c>
      <c r="AZ255" s="89" t="s">
        <v>646</v>
      </c>
      <c r="BA255" s="89" t="s">
        <v>646</v>
      </c>
      <c r="BB255" s="89" t="s">
        <v>646</v>
      </c>
      <c r="BC255" s="89" t="s">
        <v>646</v>
      </c>
      <c r="BD255" s="89" t="s">
        <v>17615</v>
      </c>
      <c r="BE255" s="89">
        <v>2015</v>
      </c>
      <c r="BF255" s="89">
        <v>17</v>
      </c>
      <c r="BG255" s="89">
        <v>12</v>
      </c>
      <c r="BH255" s="89" t="s">
        <v>646</v>
      </c>
      <c r="BI255" s="89" t="s">
        <v>646</v>
      </c>
      <c r="BJ255" s="89" t="s">
        <v>646</v>
      </c>
      <c r="BK255" s="89" t="s">
        <v>646</v>
      </c>
      <c r="BL255" s="89" t="s">
        <v>646</v>
      </c>
      <c r="BM255" s="89" t="s">
        <v>646</v>
      </c>
      <c r="BN255" s="89" t="s">
        <v>19707</v>
      </c>
      <c r="BO255" s="89" t="str">
        <f>HYPERLINK("http://dx.doi.org/10.2196/jmir.4582","http://dx.doi.org/10.2196/jmir.4582")</f>
        <v>http://dx.doi.org/10.2196/jmir.4582</v>
      </c>
      <c r="BP255" s="89" t="s">
        <v>646</v>
      </c>
      <c r="BQ255" s="89" t="s">
        <v>646</v>
      </c>
      <c r="BR255" s="89" t="s">
        <v>646</v>
      </c>
      <c r="BS255" s="89" t="s">
        <v>646</v>
      </c>
      <c r="BT255" s="89" t="s">
        <v>646</v>
      </c>
      <c r="BU255" s="89" t="s">
        <v>646</v>
      </c>
      <c r="BV255" s="89" t="s">
        <v>646</v>
      </c>
      <c r="BW255" s="89">
        <v>26678085</v>
      </c>
      <c r="BX255" s="89" t="s">
        <v>646</v>
      </c>
      <c r="BY255" s="89" t="s">
        <v>646</v>
      </c>
      <c r="BZ255" s="89" t="s">
        <v>646</v>
      </c>
      <c r="CA255" s="89" t="s">
        <v>646</v>
      </c>
      <c r="CB255" s="89" t="s">
        <v>19708</v>
      </c>
      <c r="CC255" s="89" t="str">
        <f>HYPERLINK("https%3A%2F%2Fwww.webofscience.com%2Fwos%2Fwoscc%2Ffull-record%2FWOS:000366558800002","View Full Record in Web of Science")</f>
        <v>View Full Record in Web of Science</v>
      </c>
    </row>
    <row r="256" spans="1:81" ht="13.2" hidden="1" x14ac:dyDescent="0.25">
      <c r="A256" s="89" t="s">
        <v>9071</v>
      </c>
      <c r="B256" s="89" t="e">
        <f>+#REF!</f>
        <v>#REF!</v>
      </c>
      <c r="C256" s="89"/>
      <c r="D256" s="91" t="s">
        <v>717</v>
      </c>
      <c r="E256" s="90" t="e">
        <v>#REF!</v>
      </c>
      <c r="F256" s="89"/>
      <c r="G256" s="89"/>
      <c r="H256" s="89" t="s">
        <v>9072</v>
      </c>
      <c r="I256" s="89" t="s">
        <v>19709</v>
      </c>
      <c r="J256" s="89" t="s">
        <v>19712</v>
      </c>
      <c r="K256" s="89" t="s">
        <v>19711</v>
      </c>
      <c r="M256" s="89">
        <v>2021</v>
      </c>
      <c r="N256" s="89" t="s">
        <v>19710</v>
      </c>
      <c r="O256" s="89" t="s">
        <v>646</v>
      </c>
      <c r="P256" s="89" t="str">
        <f>HYPERLINK("http://dx.doi.org/10.1186/s12913-021-06231-8","http://dx.doi.org/10.1186/s12913-021-06231-8")</f>
        <v>http://dx.doi.org/10.1186/s12913-021-06231-8</v>
      </c>
      <c r="S256" s="89" t="s">
        <v>646</v>
      </c>
      <c r="U256" s="89" t="s">
        <v>17462</v>
      </c>
      <c r="W256" s="89" t="s">
        <v>646</v>
      </c>
      <c r="X256" s="89" t="s">
        <v>646</v>
      </c>
      <c r="Y256" s="89" t="s">
        <v>646</v>
      </c>
      <c r="Z256" s="89" t="s">
        <v>646</v>
      </c>
      <c r="AA256" s="89" t="s">
        <v>646</v>
      </c>
      <c r="AB256" s="89" t="s">
        <v>646</v>
      </c>
      <c r="AC256" s="89" t="s">
        <v>646</v>
      </c>
      <c r="AD256" s="89" t="s">
        <v>646</v>
      </c>
      <c r="AE256" s="89" t="s">
        <v>646</v>
      </c>
      <c r="AF256" s="89" t="s">
        <v>19711</v>
      </c>
      <c r="AG256" s="89" t="s">
        <v>646</v>
      </c>
      <c r="AH256" s="89" t="s">
        <v>646</v>
      </c>
      <c r="AI256" s="89" t="s">
        <v>646</v>
      </c>
      <c r="AJ256" s="89" t="s">
        <v>646</v>
      </c>
      <c r="AK256" s="89" t="s">
        <v>19712</v>
      </c>
      <c r="AL256" s="89" t="s">
        <v>19713</v>
      </c>
      <c r="AM256" s="89" t="s">
        <v>646</v>
      </c>
      <c r="AN256" s="89" t="s">
        <v>646</v>
      </c>
      <c r="AO256" s="89" t="s">
        <v>646</v>
      </c>
      <c r="AP256" s="89" t="s">
        <v>646</v>
      </c>
      <c r="AQ256" s="89" t="s">
        <v>646</v>
      </c>
      <c r="AR256" s="89" t="s">
        <v>646</v>
      </c>
      <c r="AS256" s="89" t="s">
        <v>646</v>
      </c>
      <c r="AT256" s="89" t="s">
        <v>646</v>
      </c>
      <c r="AU256" s="89" t="s">
        <v>646</v>
      </c>
      <c r="AV256" s="89" t="s">
        <v>646</v>
      </c>
      <c r="AW256" s="89" t="s">
        <v>646</v>
      </c>
      <c r="AX256" s="89" t="s">
        <v>646</v>
      </c>
      <c r="AY256" s="89" t="s">
        <v>646</v>
      </c>
      <c r="AZ256" s="89" t="s">
        <v>19714</v>
      </c>
      <c r="BA256" s="89" t="s">
        <v>646</v>
      </c>
      <c r="BB256" s="89" t="s">
        <v>646</v>
      </c>
      <c r="BC256" s="89" t="s">
        <v>646</v>
      </c>
      <c r="BD256" s="89" t="s">
        <v>19715</v>
      </c>
      <c r="BE256" s="89">
        <v>2021</v>
      </c>
      <c r="BF256" s="89">
        <v>21</v>
      </c>
      <c r="BG256" s="89">
        <v>1</v>
      </c>
      <c r="BH256" s="89" t="s">
        <v>646</v>
      </c>
      <c r="BI256" s="89" t="s">
        <v>646</v>
      </c>
      <c r="BJ256" s="89" t="s">
        <v>646</v>
      </c>
      <c r="BK256" s="89" t="s">
        <v>646</v>
      </c>
      <c r="BL256" s="89" t="s">
        <v>646</v>
      </c>
      <c r="BM256" s="89" t="s">
        <v>646</v>
      </c>
      <c r="BN256" s="89">
        <v>234</v>
      </c>
      <c r="BO256" s="89" t="str">
        <f>HYPERLINK("http://dx.doi.org/10.1186/s12913-021-06231-8","http://dx.doi.org/10.1186/s12913-021-06231-8")</f>
        <v>http://dx.doi.org/10.1186/s12913-021-06231-8</v>
      </c>
      <c r="BP256" s="89" t="s">
        <v>646</v>
      </c>
      <c r="BQ256" s="89" t="s">
        <v>646</v>
      </c>
      <c r="BR256" s="89" t="s">
        <v>646</v>
      </c>
      <c r="BS256" s="89" t="s">
        <v>646</v>
      </c>
      <c r="BT256" s="89" t="s">
        <v>646</v>
      </c>
      <c r="BU256" s="89" t="s">
        <v>646</v>
      </c>
      <c r="BV256" s="89" t="s">
        <v>646</v>
      </c>
      <c r="BW256" s="89">
        <v>33726735</v>
      </c>
      <c r="BX256" s="89" t="s">
        <v>646</v>
      </c>
      <c r="BY256" s="89" t="s">
        <v>646</v>
      </c>
      <c r="BZ256" s="89" t="s">
        <v>646</v>
      </c>
      <c r="CA256" s="89" t="s">
        <v>646</v>
      </c>
      <c r="CB256" s="89" t="s">
        <v>19716</v>
      </c>
      <c r="CC256" s="89" t="str">
        <f>HYPERLINK("https%3A%2F%2Fwww.webofscience.com%2Fwos%2Fwoscc%2Ffull-record%2FWOS:000629845800003","View Full Record in Web of Science")</f>
        <v>View Full Record in Web of Science</v>
      </c>
    </row>
    <row r="257" spans="1:81" ht="13.2" hidden="1" x14ac:dyDescent="0.25">
      <c r="A257" s="89" t="s">
        <v>19717</v>
      </c>
      <c r="B257" s="89" t="e">
        <f>+#REF!</f>
        <v>#REF!</v>
      </c>
      <c r="C257" s="89"/>
      <c r="D257" s="91" t="s">
        <v>717</v>
      </c>
      <c r="E257" s="90" t="e">
        <v>#REF!</v>
      </c>
      <c r="F257" s="89"/>
      <c r="G257" s="89"/>
      <c r="H257" s="89" t="s">
        <v>11573</v>
      </c>
      <c r="I257" s="89" t="s">
        <v>19719</v>
      </c>
      <c r="J257" s="89" t="s">
        <v>19726</v>
      </c>
      <c r="K257" s="89" t="s">
        <v>19725</v>
      </c>
      <c r="M257" s="89">
        <v>2014</v>
      </c>
      <c r="N257" s="89" t="s">
        <v>19720</v>
      </c>
      <c r="O257" s="89" t="s">
        <v>19718</v>
      </c>
      <c r="P257" s="89" t="str">
        <f>HYPERLINK("http://dx.doi.org/10.1117/12.2039418","http://dx.doi.org/10.1117/12.2039418")</f>
        <v>http://dx.doi.org/10.1117/12.2039418</v>
      </c>
      <c r="S257" s="89" t="s">
        <v>646</v>
      </c>
      <c r="U257" s="89" t="s">
        <v>17474</v>
      </c>
      <c r="W257" s="89" t="s">
        <v>646</v>
      </c>
      <c r="X257" s="89" t="s">
        <v>646</v>
      </c>
      <c r="Y257" s="89" t="s">
        <v>19721</v>
      </c>
      <c r="Z257" s="89" t="s">
        <v>19722</v>
      </c>
      <c r="AA257" s="89" t="s">
        <v>19723</v>
      </c>
      <c r="AB257" s="89" t="s">
        <v>19724</v>
      </c>
      <c r="AC257" s="89" t="s">
        <v>646</v>
      </c>
      <c r="AD257" s="89" t="s">
        <v>646</v>
      </c>
      <c r="AE257" s="89" t="s">
        <v>646</v>
      </c>
      <c r="AF257" s="89" t="s">
        <v>19725</v>
      </c>
      <c r="AG257" s="89" t="s">
        <v>646</v>
      </c>
      <c r="AH257" s="89" t="s">
        <v>646</v>
      </c>
      <c r="AI257" s="89" t="s">
        <v>646</v>
      </c>
      <c r="AJ257" s="89" t="s">
        <v>646</v>
      </c>
      <c r="AK257" s="89" t="s">
        <v>19726</v>
      </c>
      <c r="AL257" s="89" t="s">
        <v>19727</v>
      </c>
      <c r="AM257" s="89" t="s">
        <v>646</v>
      </c>
      <c r="AN257" s="89" t="s">
        <v>646</v>
      </c>
      <c r="AO257" s="89" t="s">
        <v>646</v>
      </c>
      <c r="AP257" s="89" t="s">
        <v>646</v>
      </c>
      <c r="AQ257" s="89" t="s">
        <v>646</v>
      </c>
      <c r="AR257" s="89" t="s">
        <v>646</v>
      </c>
      <c r="AS257" s="89" t="s">
        <v>646</v>
      </c>
      <c r="AT257" s="89" t="s">
        <v>646</v>
      </c>
      <c r="AU257" s="89" t="s">
        <v>646</v>
      </c>
      <c r="AV257" s="89" t="s">
        <v>646</v>
      </c>
      <c r="AW257" s="89" t="s">
        <v>646</v>
      </c>
      <c r="AX257" s="89" t="s">
        <v>646</v>
      </c>
      <c r="AY257" s="89" t="s">
        <v>19728</v>
      </c>
      <c r="AZ257" s="89" t="s">
        <v>19729</v>
      </c>
      <c r="BA257" s="89" t="s">
        <v>19730</v>
      </c>
      <c r="BB257" s="89" t="s">
        <v>646</v>
      </c>
      <c r="BC257" s="89" t="s">
        <v>646</v>
      </c>
      <c r="BD257" s="89" t="s">
        <v>646</v>
      </c>
      <c r="BE257" s="89">
        <v>2014</v>
      </c>
      <c r="BF257" s="89">
        <v>9014</v>
      </c>
      <c r="BG257" s="89" t="s">
        <v>646</v>
      </c>
      <c r="BH257" s="89" t="s">
        <v>646</v>
      </c>
      <c r="BI257" s="89" t="s">
        <v>646</v>
      </c>
      <c r="BJ257" s="89" t="s">
        <v>646</v>
      </c>
      <c r="BK257" s="89" t="s">
        <v>646</v>
      </c>
      <c r="BL257" s="89" t="s">
        <v>646</v>
      </c>
      <c r="BM257" s="89" t="s">
        <v>646</v>
      </c>
      <c r="BN257" s="89" t="s">
        <v>19731</v>
      </c>
      <c r="BO257" s="89" t="str">
        <f>HYPERLINK("http://dx.doi.org/10.1117/12.2039418","http://dx.doi.org/10.1117/12.2039418")</f>
        <v>http://dx.doi.org/10.1117/12.2039418</v>
      </c>
      <c r="BP257" s="89" t="s">
        <v>646</v>
      </c>
      <c r="BQ257" s="89" t="s">
        <v>646</v>
      </c>
      <c r="BR257" s="89" t="s">
        <v>646</v>
      </c>
      <c r="BS257" s="89" t="s">
        <v>646</v>
      </c>
      <c r="BT257" s="89" t="s">
        <v>646</v>
      </c>
      <c r="BU257" s="89" t="s">
        <v>646</v>
      </c>
      <c r="BV257" s="89" t="s">
        <v>646</v>
      </c>
      <c r="BW257" s="89" t="s">
        <v>646</v>
      </c>
      <c r="BX257" s="89" t="s">
        <v>646</v>
      </c>
      <c r="BY257" s="89" t="s">
        <v>646</v>
      </c>
      <c r="BZ257" s="89" t="s">
        <v>646</v>
      </c>
      <c r="CA257" s="89" t="s">
        <v>646</v>
      </c>
      <c r="CB257" s="89" t="s">
        <v>19732</v>
      </c>
      <c r="CC257" s="89" t="str">
        <f>HYPERLINK("https%3A%2F%2Fwww.webofscience.com%2Fwos%2Fwoscc%2Ffull-record%2FWOS:000334350600026","View Full Record in Web of Science")</f>
        <v>View Full Record in Web of Science</v>
      </c>
    </row>
    <row r="258" spans="1:81" ht="13.2" hidden="1" x14ac:dyDescent="0.25">
      <c r="A258" s="89" t="s">
        <v>19733</v>
      </c>
      <c r="B258" s="89" t="e">
        <f>+#REF!</f>
        <v>#REF!</v>
      </c>
      <c r="C258" s="89"/>
      <c r="D258" s="91" t="s">
        <v>717</v>
      </c>
      <c r="E258" s="90" t="e">
        <v>#REF!</v>
      </c>
      <c r="F258" s="89"/>
      <c r="G258" s="89"/>
      <c r="H258" s="89" t="s">
        <v>9082</v>
      </c>
      <c r="I258" s="89" t="s">
        <v>19734</v>
      </c>
      <c r="J258" s="89" t="s">
        <v>19737</v>
      </c>
      <c r="K258" s="89" t="s">
        <v>19736</v>
      </c>
      <c r="M258" s="89">
        <v>2021</v>
      </c>
      <c r="N258" s="89" t="s">
        <v>19735</v>
      </c>
      <c r="O258" s="89" t="s">
        <v>646</v>
      </c>
      <c r="P258" s="89" t="str">
        <f>HYPERLINK("http://dx.doi.org/10.2174/1871530321666210720123336","http://dx.doi.org/10.2174/1871530321666210720123336")</f>
        <v>http://dx.doi.org/10.2174/1871530321666210720123336</v>
      </c>
      <c r="S258" s="89" t="s">
        <v>646</v>
      </c>
      <c r="U258" s="89" t="s">
        <v>17462</v>
      </c>
      <c r="W258" s="89" t="s">
        <v>646</v>
      </c>
      <c r="X258" s="89" t="s">
        <v>646</v>
      </c>
      <c r="Y258" s="89" t="s">
        <v>646</v>
      </c>
      <c r="Z258" s="89" t="s">
        <v>646</v>
      </c>
      <c r="AA258" s="89" t="s">
        <v>646</v>
      </c>
      <c r="AB258" s="89" t="s">
        <v>646</v>
      </c>
      <c r="AC258" s="89" t="s">
        <v>646</v>
      </c>
      <c r="AD258" s="89" t="s">
        <v>646</v>
      </c>
      <c r="AE258" s="89" t="s">
        <v>646</v>
      </c>
      <c r="AF258" s="89" t="s">
        <v>19736</v>
      </c>
      <c r="AG258" s="89" t="s">
        <v>646</v>
      </c>
      <c r="AH258" s="89" t="s">
        <v>646</v>
      </c>
      <c r="AI258" s="89" t="s">
        <v>646</v>
      </c>
      <c r="AJ258" s="89" t="s">
        <v>646</v>
      </c>
      <c r="AK258" s="89" t="s">
        <v>19737</v>
      </c>
      <c r="AL258" s="89" t="s">
        <v>19738</v>
      </c>
      <c r="AM258" s="89" t="s">
        <v>646</v>
      </c>
      <c r="AN258" s="89" t="s">
        <v>646</v>
      </c>
      <c r="AO258" s="89" t="s">
        <v>646</v>
      </c>
      <c r="AP258" s="89" t="s">
        <v>646</v>
      </c>
      <c r="AQ258" s="89" t="s">
        <v>646</v>
      </c>
      <c r="AR258" s="89" t="s">
        <v>646</v>
      </c>
      <c r="AS258" s="89" t="s">
        <v>646</v>
      </c>
      <c r="AT258" s="89" t="s">
        <v>646</v>
      </c>
      <c r="AU258" s="89" t="s">
        <v>646</v>
      </c>
      <c r="AV258" s="89" t="s">
        <v>646</v>
      </c>
      <c r="AW258" s="89" t="s">
        <v>646</v>
      </c>
      <c r="AX258" s="89" t="s">
        <v>646</v>
      </c>
      <c r="AY258" s="89" t="s">
        <v>19739</v>
      </c>
      <c r="AZ258" s="89" t="s">
        <v>19740</v>
      </c>
      <c r="BA258" s="89" t="s">
        <v>646</v>
      </c>
      <c r="BB258" s="89" t="s">
        <v>646</v>
      </c>
      <c r="BC258" s="89" t="s">
        <v>646</v>
      </c>
      <c r="BD258" s="89" t="s">
        <v>646</v>
      </c>
      <c r="BE258" s="89">
        <v>2021</v>
      </c>
      <c r="BF258" s="89">
        <v>21</v>
      </c>
      <c r="BG258" s="89">
        <v>12</v>
      </c>
      <c r="BH258" s="89" t="s">
        <v>646</v>
      </c>
      <c r="BI258" s="89" t="s">
        <v>646</v>
      </c>
      <c r="BJ258" s="89" t="s">
        <v>646</v>
      </c>
      <c r="BK258" s="89" t="s">
        <v>646</v>
      </c>
      <c r="BL258" s="89">
        <v>2238</v>
      </c>
      <c r="BM258" s="89">
        <v>2252</v>
      </c>
      <c r="BN258" s="89" t="s">
        <v>646</v>
      </c>
      <c r="BO258" s="89" t="str">
        <f>HYPERLINK("http://dx.doi.org/10.2174/1871530321666210720123336","http://dx.doi.org/10.2174/1871530321666210720123336")</f>
        <v>http://dx.doi.org/10.2174/1871530321666210720123336</v>
      </c>
      <c r="BP258" s="89" t="s">
        <v>646</v>
      </c>
      <c r="BQ258" s="89" t="s">
        <v>646</v>
      </c>
      <c r="BR258" s="89" t="s">
        <v>646</v>
      </c>
      <c r="BS258" s="89" t="s">
        <v>646</v>
      </c>
      <c r="BT258" s="89" t="s">
        <v>646</v>
      </c>
      <c r="BU258" s="89" t="s">
        <v>646</v>
      </c>
      <c r="BV258" s="89" t="s">
        <v>646</v>
      </c>
      <c r="BW258" s="89">
        <v>34303333</v>
      </c>
      <c r="BX258" s="89" t="s">
        <v>646</v>
      </c>
      <c r="BY258" s="89" t="s">
        <v>646</v>
      </c>
      <c r="BZ258" s="89" t="s">
        <v>646</v>
      </c>
      <c r="CA258" s="89" t="s">
        <v>646</v>
      </c>
      <c r="CB258" s="89" t="s">
        <v>19741</v>
      </c>
      <c r="CC258" s="89" t="str">
        <f>HYPERLINK("https%3A%2F%2Fwww.webofscience.com%2Fwos%2Fwoscc%2Ffull-record%2FWOS:000753187300013","View Full Record in Web of Science")</f>
        <v>View Full Record in Web of Science</v>
      </c>
    </row>
    <row r="259" spans="1:81" ht="13.2" hidden="1" x14ac:dyDescent="0.25">
      <c r="A259" s="89" t="s">
        <v>11580</v>
      </c>
      <c r="B259" s="89" t="e">
        <f>+#REF!</f>
        <v>#REF!</v>
      </c>
      <c r="C259" s="89"/>
      <c r="D259" s="91" t="s">
        <v>717</v>
      </c>
      <c r="E259" s="90" t="e">
        <v>#REF!</v>
      </c>
      <c r="F259" s="89"/>
      <c r="G259" s="89"/>
      <c r="H259" s="89" t="s">
        <v>11581</v>
      </c>
      <c r="I259" s="89" t="s">
        <v>19742</v>
      </c>
      <c r="J259" s="89" t="s">
        <v>646</v>
      </c>
      <c r="K259" s="89" t="s">
        <v>19744</v>
      </c>
      <c r="M259" s="89">
        <v>2020</v>
      </c>
      <c r="N259" s="89" t="s">
        <v>19743</v>
      </c>
      <c r="O259" s="89" t="s">
        <v>646</v>
      </c>
      <c r="P259" s="89" t="str">
        <f>HYPERLINK("http://dx.doi.org/10.1080/21645515.2019.1698243","http://dx.doi.org/10.1080/21645515.2019.1698243")</f>
        <v>http://dx.doi.org/10.1080/21645515.2019.1698243</v>
      </c>
      <c r="S259" s="89" t="s">
        <v>646</v>
      </c>
      <c r="U259" s="89" t="s">
        <v>17462</v>
      </c>
      <c r="W259" s="89" t="s">
        <v>646</v>
      </c>
      <c r="X259" s="89" t="s">
        <v>646</v>
      </c>
      <c r="Y259" s="89" t="s">
        <v>646</v>
      </c>
      <c r="Z259" s="89" t="s">
        <v>646</v>
      </c>
      <c r="AA259" s="89" t="s">
        <v>646</v>
      </c>
      <c r="AB259" s="89" t="s">
        <v>646</v>
      </c>
      <c r="AC259" s="89" t="s">
        <v>646</v>
      </c>
      <c r="AD259" s="89" t="s">
        <v>646</v>
      </c>
      <c r="AE259" s="89" t="s">
        <v>646</v>
      </c>
      <c r="AF259" s="89" t="s">
        <v>19744</v>
      </c>
      <c r="AG259" s="89" t="s">
        <v>646</v>
      </c>
      <c r="AH259" s="89" t="s">
        <v>646</v>
      </c>
      <c r="AI259" s="89" t="s">
        <v>646</v>
      </c>
      <c r="AJ259" s="89" t="s">
        <v>646</v>
      </c>
      <c r="AK259" s="89" t="s">
        <v>646</v>
      </c>
      <c r="AL259" s="89" t="s">
        <v>19745</v>
      </c>
      <c r="AM259" s="89" t="s">
        <v>646</v>
      </c>
      <c r="AN259" s="89" t="s">
        <v>646</v>
      </c>
      <c r="AO259" s="89" t="s">
        <v>646</v>
      </c>
      <c r="AP259" s="89" t="s">
        <v>646</v>
      </c>
      <c r="AQ259" s="89" t="s">
        <v>646</v>
      </c>
      <c r="AR259" s="89" t="s">
        <v>646</v>
      </c>
      <c r="AS259" s="89" t="s">
        <v>646</v>
      </c>
      <c r="AT259" s="89" t="s">
        <v>646</v>
      </c>
      <c r="AU259" s="89" t="s">
        <v>646</v>
      </c>
      <c r="AV259" s="89" t="s">
        <v>646</v>
      </c>
      <c r="AW259" s="89" t="s">
        <v>646</v>
      </c>
      <c r="AX259" s="89" t="s">
        <v>646</v>
      </c>
      <c r="AY259" s="89" t="s">
        <v>19746</v>
      </c>
      <c r="AZ259" s="89" t="s">
        <v>19747</v>
      </c>
      <c r="BA259" s="89" t="s">
        <v>646</v>
      </c>
      <c r="BB259" s="89" t="s">
        <v>646</v>
      </c>
      <c r="BC259" s="89" t="s">
        <v>646</v>
      </c>
      <c r="BD259" s="89" t="s">
        <v>19748</v>
      </c>
      <c r="BE259" s="89">
        <v>2020</v>
      </c>
      <c r="BF259" s="89">
        <v>16</v>
      </c>
      <c r="BG259" s="89">
        <v>5</v>
      </c>
      <c r="BH259" s="89" t="s">
        <v>646</v>
      </c>
      <c r="BI259" s="89" t="s">
        <v>646</v>
      </c>
      <c r="BJ259" s="89" t="s">
        <v>17555</v>
      </c>
      <c r="BK259" s="89" t="s">
        <v>646</v>
      </c>
      <c r="BL259" s="89">
        <v>1018</v>
      </c>
      <c r="BM259" s="89">
        <v>1023</v>
      </c>
      <c r="BN259" s="89" t="s">
        <v>646</v>
      </c>
      <c r="BO259" s="89" t="str">
        <f>HYPERLINK("http://dx.doi.org/10.1080/21645515.2019.1698243","http://dx.doi.org/10.1080/21645515.2019.1698243")</f>
        <v>http://dx.doi.org/10.1080/21645515.2019.1698243</v>
      </c>
      <c r="BP259" s="89" t="s">
        <v>646</v>
      </c>
      <c r="BQ259" s="89" t="s">
        <v>19749</v>
      </c>
      <c r="BR259" s="89" t="s">
        <v>646</v>
      </c>
      <c r="BS259" s="89" t="s">
        <v>646</v>
      </c>
      <c r="BT259" s="89" t="s">
        <v>646</v>
      </c>
      <c r="BU259" s="89" t="s">
        <v>646</v>
      </c>
      <c r="BV259" s="89" t="s">
        <v>646</v>
      </c>
      <c r="BW259" s="89">
        <v>31859593</v>
      </c>
      <c r="BX259" s="89" t="s">
        <v>646</v>
      </c>
      <c r="BY259" s="89" t="s">
        <v>646</v>
      </c>
      <c r="BZ259" s="89" t="s">
        <v>646</v>
      </c>
      <c r="CA259" s="89" t="s">
        <v>646</v>
      </c>
      <c r="CB259" s="89" t="s">
        <v>19750</v>
      </c>
      <c r="CC259" s="89" t="str">
        <f>HYPERLINK("https%3A%2F%2Fwww.webofscience.com%2Fwos%2Fwoscc%2Ffull-record%2FWOS:000503636000001","View Full Record in Web of Science")</f>
        <v>View Full Record in Web of Science</v>
      </c>
    </row>
    <row r="260" spans="1:81" ht="13.2" hidden="1" x14ac:dyDescent="0.25">
      <c r="A260" s="89" t="s">
        <v>9091</v>
      </c>
      <c r="B260" s="89" t="e">
        <f>+#REF!</f>
        <v>#REF!</v>
      </c>
      <c r="C260" s="89"/>
      <c r="D260" s="91" t="s">
        <v>717</v>
      </c>
      <c r="E260" s="90" t="e">
        <v>#REF!</v>
      </c>
      <c r="F260" s="89"/>
      <c r="G260" s="89"/>
      <c r="H260" s="89" t="s">
        <v>9092</v>
      </c>
      <c r="I260" s="89" t="s">
        <v>19751</v>
      </c>
      <c r="J260" s="89" t="s">
        <v>19754</v>
      </c>
      <c r="K260" s="89" t="s">
        <v>19753</v>
      </c>
      <c r="M260" s="89">
        <v>2022</v>
      </c>
      <c r="N260" s="89" t="s">
        <v>19752</v>
      </c>
      <c r="O260" s="89" t="s">
        <v>646</v>
      </c>
      <c r="P260" s="89" t="str">
        <f>HYPERLINK("http://dx.doi.org/10.1002/smi.3099","http://dx.doi.org/10.1002/smi.3099")</f>
        <v>http://dx.doi.org/10.1002/smi.3099</v>
      </c>
      <c r="S260" s="89" t="s">
        <v>646</v>
      </c>
      <c r="U260" s="89" t="s">
        <v>17462</v>
      </c>
      <c r="W260" s="89" t="s">
        <v>646</v>
      </c>
      <c r="X260" s="89" t="s">
        <v>646</v>
      </c>
      <c r="Y260" s="89" t="s">
        <v>646</v>
      </c>
      <c r="Z260" s="89" t="s">
        <v>646</v>
      </c>
      <c r="AA260" s="89" t="s">
        <v>646</v>
      </c>
      <c r="AB260" s="89" t="s">
        <v>646</v>
      </c>
      <c r="AC260" s="89" t="s">
        <v>646</v>
      </c>
      <c r="AD260" s="89" t="s">
        <v>646</v>
      </c>
      <c r="AE260" s="89" t="s">
        <v>646</v>
      </c>
      <c r="AF260" s="89" t="s">
        <v>19753</v>
      </c>
      <c r="AG260" s="89" t="s">
        <v>646</v>
      </c>
      <c r="AH260" s="89" t="s">
        <v>646</v>
      </c>
      <c r="AI260" s="89" t="s">
        <v>646</v>
      </c>
      <c r="AJ260" s="89" t="s">
        <v>646</v>
      </c>
      <c r="AK260" s="89" t="s">
        <v>19754</v>
      </c>
      <c r="AL260" s="89" t="s">
        <v>19755</v>
      </c>
      <c r="AM260" s="89" t="s">
        <v>646</v>
      </c>
      <c r="AN260" s="89" t="s">
        <v>646</v>
      </c>
      <c r="AO260" s="89" t="s">
        <v>646</v>
      </c>
      <c r="AP260" s="89" t="s">
        <v>646</v>
      </c>
      <c r="AQ260" s="89" t="s">
        <v>646</v>
      </c>
      <c r="AR260" s="89" t="s">
        <v>646</v>
      </c>
      <c r="AS260" s="89" t="s">
        <v>646</v>
      </c>
      <c r="AT260" s="89" t="s">
        <v>646</v>
      </c>
      <c r="AU260" s="89" t="s">
        <v>646</v>
      </c>
      <c r="AV260" s="89" t="s">
        <v>646</v>
      </c>
      <c r="AW260" s="89" t="s">
        <v>646</v>
      </c>
      <c r="AX260" s="89" t="s">
        <v>646</v>
      </c>
      <c r="AY260" s="89" t="s">
        <v>19756</v>
      </c>
      <c r="AZ260" s="89" t="s">
        <v>19757</v>
      </c>
      <c r="BA260" s="89" t="s">
        <v>646</v>
      </c>
      <c r="BB260" s="89" t="s">
        <v>646</v>
      </c>
      <c r="BC260" s="89" t="s">
        <v>646</v>
      </c>
      <c r="BD260" s="89" t="s">
        <v>17823</v>
      </c>
      <c r="BE260" s="89">
        <v>2022</v>
      </c>
      <c r="BF260" s="89">
        <v>38</v>
      </c>
      <c r="BG260" s="89">
        <v>2</v>
      </c>
      <c r="BH260" s="89" t="s">
        <v>646</v>
      </c>
      <c r="BI260" s="89" t="s">
        <v>646</v>
      </c>
      <c r="BJ260" s="89" t="s">
        <v>646</v>
      </c>
      <c r="BK260" s="89" t="s">
        <v>646</v>
      </c>
      <c r="BL260" s="89">
        <v>410</v>
      </c>
      <c r="BM260" s="89">
        <v>416</v>
      </c>
      <c r="BN260" s="89" t="s">
        <v>646</v>
      </c>
      <c r="BO260" s="89" t="str">
        <f>HYPERLINK("http://dx.doi.org/10.1002/smi.3099","http://dx.doi.org/10.1002/smi.3099")</f>
        <v>http://dx.doi.org/10.1002/smi.3099</v>
      </c>
      <c r="BP260" s="89" t="s">
        <v>646</v>
      </c>
      <c r="BQ260" s="89" t="s">
        <v>17598</v>
      </c>
      <c r="BR260" s="89" t="s">
        <v>646</v>
      </c>
      <c r="BS260" s="89" t="s">
        <v>646</v>
      </c>
      <c r="BT260" s="89" t="s">
        <v>646</v>
      </c>
      <c r="BU260" s="89" t="s">
        <v>646</v>
      </c>
      <c r="BV260" s="89" t="s">
        <v>646</v>
      </c>
      <c r="BW260" s="89">
        <v>34541784</v>
      </c>
      <c r="BX260" s="89" t="s">
        <v>646</v>
      </c>
      <c r="BY260" s="89" t="s">
        <v>646</v>
      </c>
      <c r="BZ260" s="89" t="s">
        <v>646</v>
      </c>
      <c r="CA260" s="89" t="s">
        <v>646</v>
      </c>
      <c r="CB260" s="89" t="s">
        <v>19758</v>
      </c>
      <c r="CC260" s="89" t="str">
        <f>HYPERLINK("https%3A%2F%2Fwww.webofscience.com%2Fwos%2Fwoscc%2Ffull-record%2FWOS:000698423000001","View Full Record in Web of Science")</f>
        <v>View Full Record in Web of Science</v>
      </c>
    </row>
    <row r="261" spans="1:81" ht="13.2" hidden="1" x14ac:dyDescent="0.25">
      <c r="A261" s="89" t="s">
        <v>19759</v>
      </c>
      <c r="B261" s="89" t="e">
        <f>+#REF!</f>
        <v>#REF!</v>
      </c>
      <c r="C261" s="89"/>
      <c r="D261" s="91" t="s">
        <v>717</v>
      </c>
      <c r="E261" s="90" t="e">
        <v>#REF!</v>
      </c>
      <c r="F261" s="89"/>
      <c r="G261" s="89"/>
      <c r="H261" s="89" t="s">
        <v>9102</v>
      </c>
      <c r="I261" s="89" t="s">
        <v>19760</v>
      </c>
      <c r="J261" s="89" t="s">
        <v>646</v>
      </c>
      <c r="K261" s="89" t="s">
        <v>19762</v>
      </c>
      <c r="M261" s="89">
        <v>2022</v>
      </c>
      <c r="N261" s="89" t="s">
        <v>19761</v>
      </c>
      <c r="O261" s="89" t="s">
        <v>646</v>
      </c>
      <c r="P261" s="89" t="str">
        <f>HYPERLINK("http://dx.doi.org/10.1177/0950017020952661","http://dx.doi.org/10.1177/0950017020952661")</f>
        <v>http://dx.doi.org/10.1177/0950017020952661</v>
      </c>
      <c r="S261" s="89" t="s">
        <v>646</v>
      </c>
      <c r="U261" s="89" t="s">
        <v>17462</v>
      </c>
      <c r="W261" s="89" t="s">
        <v>646</v>
      </c>
      <c r="X261" s="89" t="s">
        <v>646</v>
      </c>
      <c r="Y261" s="89" t="s">
        <v>646</v>
      </c>
      <c r="Z261" s="89" t="s">
        <v>646</v>
      </c>
      <c r="AA261" s="89" t="s">
        <v>646</v>
      </c>
      <c r="AB261" s="89" t="s">
        <v>646</v>
      </c>
      <c r="AC261" s="89" t="s">
        <v>646</v>
      </c>
      <c r="AD261" s="89" t="s">
        <v>646</v>
      </c>
      <c r="AE261" s="89" t="s">
        <v>646</v>
      </c>
      <c r="AF261" s="89" t="s">
        <v>19762</v>
      </c>
      <c r="AG261" s="89" t="s">
        <v>646</v>
      </c>
      <c r="AH261" s="89" t="s">
        <v>646</v>
      </c>
      <c r="AI261" s="89" t="s">
        <v>646</v>
      </c>
      <c r="AJ261" s="89" t="s">
        <v>646</v>
      </c>
      <c r="AK261" s="89" t="s">
        <v>646</v>
      </c>
      <c r="AL261" s="89" t="s">
        <v>19763</v>
      </c>
      <c r="AM261" s="89" t="s">
        <v>646</v>
      </c>
      <c r="AN261" s="89" t="s">
        <v>646</v>
      </c>
      <c r="AO261" s="89" t="s">
        <v>646</v>
      </c>
      <c r="AP261" s="89" t="s">
        <v>646</v>
      </c>
      <c r="AQ261" s="89" t="s">
        <v>646</v>
      </c>
      <c r="AR261" s="89" t="s">
        <v>646</v>
      </c>
      <c r="AS261" s="89" t="s">
        <v>646</v>
      </c>
      <c r="AT261" s="89" t="s">
        <v>646</v>
      </c>
      <c r="AU261" s="89" t="s">
        <v>646</v>
      </c>
      <c r="AV261" s="89" t="s">
        <v>646</v>
      </c>
      <c r="AW261" s="89" t="s">
        <v>646</v>
      </c>
      <c r="AX261" s="89" t="s">
        <v>646</v>
      </c>
      <c r="AY261" s="89" t="s">
        <v>19764</v>
      </c>
      <c r="AZ261" s="89" t="s">
        <v>19765</v>
      </c>
      <c r="BA261" s="89" t="s">
        <v>646</v>
      </c>
      <c r="BB261" s="89" t="s">
        <v>646</v>
      </c>
      <c r="BC261" s="89" t="s">
        <v>646</v>
      </c>
      <c r="BD261" s="89" t="s">
        <v>17772</v>
      </c>
      <c r="BE261" s="89">
        <v>2022</v>
      </c>
      <c r="BF261" s="89">
        <v>36</v>
      </c>
      <c r="BG261" s="89">
        <v>3</v>
      </c>
      <c r="BH261" s="89" t="s">
        <v>646</v>
      </c>
      <c r="BI261" s="89" t="s">
        <v>646</v>
      </c>
      <c r="BJ261" s="89" t="s">
        <v>646</v>
      </c>
      <c r="BK261" s="89" t="s">
        <v>646</v>
      </c>
      <c r="BL261" s="89">
        <v>391</v>
      </c>
      <c r="BM261" s="89">
        <v>406</v>
      </c>
      <c r="BN261" s="89">
        <v>950017020952661</v>
      </c>
      <c r="BO261" s="89" t="str">
        <f>HYPERLINK("http://dx.doi.org/10.1177/0950017020952661","http://dx.doi.org/10.1177/0950017020952661")</f>
        <v>http://dx.doi.org/10.1177/0950017020952661</v>
      </c>
      <c r="BP261" s="89" t="s">
        <v>646</v>
      </c>
      <c r="BQ261" s="89" t="s">
        <v>19180</v>
      </c>
      <c r="BR261" s="89" t="s">
        <v>646</v>
      </c>
      <c r="BS261" s="89" t="s">
        <v>646</v>
      </c>
      <c r="BT261" s="89" t="s">
        <v>646</v>
      </c>
      <c r="BU261" s="89" t="s">
        <v>646</v>
      </c>
      <c r="BV261" s="89" t="s">
        <v>646</v>
      </c>
      <c r="BW261" s="89" t="s">
        <v>646</v>
      </c>
      <c r="BX261" s="89" t="s">
        <v>646</v>
      </c>
      <c r="BY261" s="89" t="s">
        <v>646</v>
      </c>
      <c r="BZ261" s="89" t="s">
        <v>646</v>
      </c>
      <c r="CA261" s="89" t="s">
        <v>646</v>
      </c>
      <c r="CB261" s="89" t="s">
        <v>19766</v>
      </c>
      <c r="CC261" s="89" t="str">
        <f>HYPERLINK("https%3A%2F%2Fwww.webofscience.com%2Fwos%2Fwoscc%2Ffull-record%2FWOS:000608767400001","View Full Record in Web of Science")</f>
        <v>View Full Record in Web of Science</v>
      </c>
    </row>
    <row r="262" spans="1:81" ht="13.2" hidden="1" x14ac:dyDescent="0.25">
      <c r="A262" s="89" t="s">
        <v>19767</v>
      </c>
      <c r="B262" s="89" t="e">
        <f>+#REF!</f>
        <v>#REF!</v>
      </c>
      <c r="C262" s="89"/>
      <c r="D262" s="91" t="s">
        <v>717</v>
      </c>
      <c r="E262" s="90" t="e">
        <v>#REF!</v>
      </c>
      <c r="F262" s="89"/>
      <c r="G262" s="89"/>
      <c r="H262" s="89" t="s">
        <v>11591</v>
      </c>
      <c r="I262" s="89" t="s">
        <v>19768</v>
      </c>
      <c r="J262" s="89" t="s">
        <v>646</v>
      </c>
      <c r="K262" s="89" t="s">
        <v>19774</v>
      </c>
      <c r="M262" s="89">
        <v>2017</v>
      </c>
      <c r="N262" s="89" t="s">
        <v>19769</v>
      </c>
      <c r="O262" s="89" t="s">
        <v>646</v>
      </c>
      <c r="P262" s="89" t="str">
        <f>HYPERLINK("http://dx.doi.org/10.1109/CVPR.2017.681","http://dx.doi.org/10.1109/CVPR.2017.681")</f>
        <v>http://dx.doi.org/10.1109/CVPR.2017.681</v>
      </c>
      <c r="S262" s="89" t="s">
        <v>17475</v>
      </c>
      <c r="U262" s="89" t="s">
        <v>17474</v>
      </c>
      <c r="W262" s="89" t="s">
        <v>646</v>
      </c>
      <c r="X262" s="89" t="s">
        <v>646</v>
      </c>
      <c r="Y262" s="89" t="s">
        <v>19770</v>
      </c>
      <c r="Z262" s="89" t="s">
        <v>19771</v>
      </c>
      <c r="AA262" s="89" t="s">
        <v>19772</v>
      </c>
      <c r="AB262" s="89" t="s">
        <v>19773</v>
      </c>
      <c r="AC262" s="89" t="s">
        <v>646</v>
      </c>
      <c r="AD262" s="89" t="s">
        <v>646</v>
      </c>
      <c r="AE262" s="89" t="s">
        <v>646</v>
      </c>
      <c r="AF262" s="89" t="s">
        <v>19774</v>
      </c>
      <c r="AG262" s="89" t="s">
        <v>646</v>
      </c>
      <c r="AH262" s="89" t="s">
        <v>646</v>
      </c>
      <c r="AI262" s="89" t="s">
        <v>646</v>
      </c>
      <c r="AJ262" s="89" t="s">
        <v>646</v>
      </c>
      <c r="AK262" s="89" t="s">
        <v>646</v>
      </c>
      <c r="AL262" s="89" t="s">
        <v>646</v>
      </c>
      <c r="AM262" s="89" t="s">
        <v>646</v>
      </c>
      <c r="AN262" s="89" t="s">
        <v>646</v>
      </c>
      <c r="AO262" s="89" t="s">
        <v>646</v>
      </c>
      <c r="AP262" s="89" t="s">
        <v>646</v>
      </c>
      <c r="AQ262" s="89" t="s">
        <v>646</v>
      </c>
      <c r="AR262" s="89" t="s">
        <v>646</v>
      </c>
      <c r="AS262" s="89" t="s">
        <v>646</v>
      </c>
      <c r="AT262" s="89" t="s">
        <v>646</v>
      </c>
      <c r="AU262" s="89" t="s">
        <v>646</v>
      </c>
      <c r="AV262" s="89" t="s">
        <v>646</v>
      </c>
      <c r="AW262" s="89" t="s">
        <v>646</v>
      </c>
      <c r="AX262" s="89" t="s">
        <v>646</v>
      </c>
      <c r="AY262" s="89" t="s">
        <v>19775</v>
      </c>
      <c r="AZ262" s="89" t="s">
        <v>646</v>
      </c>
      <c r="BA262" s="89" t="s">
        <v>19776</v>
      </c>
      <c r="BB262" s="89" t="s">
        <v>646</v>
      </c>
      <c r="BC262" s="89" t="s">
        <v>646</v>
      </c>
      <c r="BD262" s="89" t="s">
        <v>646</v>
      </c>
      <c r="BE262" s="89">
        <v>2017</v>
      </c>
      <c r="BF262" s="89" t="s">
        <v>646</v>
      </c>
      <c r="BG262" s="89" t="s">
        <v>646</v>
      </c>
      <c r="BH262" s="89" t="s">
        <v>646</v>
      </c>
      <c r="BI262" s="89" t="s">
        <v>646</v>
      </c>
      <c r="BJ262" s="89" t="s">
        <v>646</v>
      </c>
      <c r="BK262" s="89" t="s">
        <v>646</v>
      </c>
      <c r="BL262" s="89">
        <v>6432</v>
      </c>
      <c r="BM262" s="89">
        <v>6440</v>
      </c>
      <c r="BN262" s="89" t="s">
        <v>646</v>
      </c>
      <c r="BO262" s="89" t="str">
        <f>HYPERLINK("http://dx.doi.org/10.1109/CVPR.2017.681","http://dx.doi.org/10.1109/CVPR.2017.681")</f>
        <v>http://dx.doi.org/10.1109/CVPR.2017.681</v>
      </c>
      <c r="BP262" s="89" t="s">
        <v>646</v>
      </c>
      <c r="BQ262" s="89" t="s">
        <v>646</v>
      </c>
      <c r="BR262" s="89" t="s">
        <v>646</v>
      </c>
      <c r="BS262" s="89" t="s">
        <v>646</v>
      </c>
      <c r="BT262" s="89" t="s">
        <v>646</v>
      </c>
      <c r="BU262" s="89" t="s">
        <v>646</v>
      </c>
      <c r="BV262" s="89" t="s">
        <v>646</v>
      </c>
      <c r="BW262" s="89" t="s">
        <v>646</v>
      </c>
      <c r="BX262" s="89" t="s">
        <v>646</v>
      </c>
      <c r="BY262" s="89" t="s">
        <v>646</v>
      </c>
      <c r="BZ262" s="89" t="s">
        <v>646</v>
      </c>
      <c r="CA262" s="89" t="s">
        <v>646</v>
      </c>
      <c r="CB262" s="89" t="s">
        <v>19777</v>
      </c>
      <c r="CC262" s="89" t="str">
        <f>HYPERLINK("https%3A%2F%2Fwww.webofscience.com%2Fwos%2Fwoscc%2Ffull-record%2FWOS:000418371406056","View Full Record in Web of Science")</f>
        <v>View Full Record in Web of Science</v>
      </c>
    </row>
    <row r="263" spans="1:81" ht="13.2" hidden="1" x14ac:dyDescent="0.25">
      <c r="A263" s="89" t="s">
        <v>19778</v>
      </c>
      <c r="B263" s="89" t="e">
        <f>+#REF!</f>
        <v>#REF!</v>
      </c>
      <c r="C263" s="89"/>
      <c r="D263" s="91" t="s">
        <v>717</v>
      </c>
      <c r="E263" s="90" t="e">
        <v>#REF!</v>
      </c>
      <c r="F263" s="89"/>
      <c r="G263" s="89"/>
      <c r="H263" s="89" t="s">
        <v>11601</v>
      </c>
      <c r="I263" s="89" t="s">
        <v>19779</v>
      </c>
      <c r="J263" s="89" t="s">
        <v>646</v>
      </c>
      <c r="K263" s="89" t="s">
        <v>19781</v>
      </c>
      <c r="M263" s="89">
        <v>2020</v>
      </c>
      <c r="N263" s="89" t="s">
        <v>19780</v>
      </c>
      <c r="O263" s="89" t="s">
        <v>646</v>
      </c>
      <c r="P263" s="89" t="str">
        <f>HYPERLINK("http://dx.doi.org/10.1080/13218719.2020.1719376","http://dx.doi.org/10.1080/13218719.2020.1719376")</f>
        <v>http://dx.doi.org/10.1080/13218719.2020.1719376</v>
      </c>
      <c r="S263" s="89" t="s">
        <v>646</v>
      </c>
      <c r="U263" s="89" t="s">
        <v>17462</v>
      </c>
      <c r="W263" s="89" t="s">
        <v>646</v>
      </c>
      <c r="X263" s="89" t="s">
        <v>646</v>
      </c>
      <c r="Y263" s="89" t="s">
        <v>646</v>
      </c>
      <c r="Z263" s="89" t="s">
        <v>646</v>
      </c>
      <c r="AA263" s="89" t="s">
        <v>646</v>
      </c>
      <c r="AB263" s="89" t="s">
        <v>646</v>
      </c>
      <c r="AC263" s="89" t="s">
        <v>646</v>
      </c>
      <c r="AD263" s="89" t="s">
        <v>646</v>
      </c>
      <c r="AE263" s="89" t="s">
        <v>646</v>
      </c>
      <c r="AF263" s="89" t="s">
        <v>19781</v>
      </c>
      <c r="AG263" s="89" t="s">
        <v>646</v>
      </c>
      <c r="AH263" s="89" t="s">
        <v>646</v>
      </c>
      <c r="AI263" s="89" t="s">
        <v>646</v>
      </c>
      <c r="AJ263" s="89" t="s">
        <v>646</v>
      </c>
      <c r="AK263" s="89" t="s">
        <v>646</v>
      </c>
      <c r="AL263" s="89" t="s">
        <v>19782</v>
      </c>
      <c r="AM263" s="89" t="s">
        <v>646</v>
      </c>
      <c r="AN263" s="89" t="s">
        <v>646</v>
      </c>
      <c r="AO263" s="89" t="s">
        <v>646</v>
      </c>
      <c r="AP263" s="89" t="s">
        <v>646</v>
      </c>
      <c r="AQ263" s="89" t="s">
        <v>646</v>
      </c>
      <c r="AR263" s="89" t="s">
        <v>646</v>
      </c>
      <c r="AS263" s="89" t="s">
        <v>646</v>
      </c>
      <c r="AT263" s="89" t="s">
        <v>646</v>
      </c>
      <c r="AU263" s="89" t="s">
        <v>646</v>
      </c>
      <c r="AV263" s="89" t="s">
        <v>646</v>
      </c>
      <c r="AW263" s="89" t="s">
        <v>646</v>
      </c>
      <c r="AX263" s="89" t="s">
        <v>646</v>
      </c>
      <c r="AY263" s="89" t="s">
        <v>19783</v>
      </c>
      <c r="AZ263" s="89" t="s">
        <v>19784</v>
      </c>
      <c r="BA263" s="89" t="s">
        <v>646</v>
      </c>
      <c r="BB263" s="89" t="s">
        <v>646</v>
      </c>
      <c r="BC263" s="89" t="s">
        <v>646</v>
      </c>
      <c r="BD263" s="89" t="s">
        <v>19785</v>
      </c>
      <c r="BE263" s="89">
        <v>2020</v>
      </c>
      <c r="BF263" s="89">
        <v>27</v>
      </c>
      <c r="BG263" s="89">
        <v>2</v>
      </c>
      <c r="BH263" s="89" t="s">
        <v>646</v>
      </c>
      <c r="BI263" s="89" t="s">
        <v>646</v>
      </c>
      <c r="BJ263" s="89" t="s">
        <v>646</v>
      </c>
      <c r="BK263" s="89" t="s">
        <v>646</v>
      </c>
      <c r="BL263" s="89">
        <v>246</v>
      </c>
      <c r="BM263" s="89">
        <v>264</v>
      </c>
      <c r="BN263" s="89" t="s">
        <v>646</v>
      </c>
      <c r="BO263" s="89" t="str">
        <f>HYPERLINK("http://dx.doi.org/10.1080/13218719.2020.1719376","http://dx.doi.org/10.1080/13218719.2020.1719376")</f>
        <v>http://dx.doi.org/10.1080/13218719.2020.1719376</v>
      </c>
      <c r="BP263" s="89" t="s">
        <v>646</v>
      </c>
      <c r="BQ263" s="89" t="s">
        <v>18581</v>
      </c>
      <c r="BR263" s="89" t="s">
        <v>646</v>
      </c>
      <c r="BS263" s="89" t="s">
        <v>646</v>
      </c>
      <c r="BT263" s="89" t="s">
        <v>646</v>
      </c>
      <c r="BU263" s="89" t="s">
        <v>646</v>
      </c>
      <c r="BV263" s="89" t="s">
        <v>646</v>
      </c>
      <c r="BW263" s="89">
        <v>32944125</v>
      </c>
      <c r="BX263" s="89" t="s">
        <v>646</v>
      </c>
      <c r="BY263" s="89" t="s">
        <v>646</v>
      </c>
      <c r="BZ263" s="89" t="s">
        <v>646</v>
      </c>
      <c r="CA263" s="89" t="s">
        <v>646</v>
      </c>
      <c r="CB263" s="89" t="s">
        <v>19786</v>
      </c>
      <c r="CC263" s="89" t="str">
        <f>HYPERLINK("https%3A%2F%2Fwww.webofscience.com%2Fwos%2Fwoscc%2Ffull-record%2FWOS:000513795000001","View Full Record in Web of Science")</f>
        <v>View Full Record in Web of Science</v>
      </c>
    </row>
    <row r="264" spans="1:81" ht="13.2" hidden="1" x14ac:dyDescent="0.25">
      <c r="A264" s="89" t="s">
        <v>9110</v>
      </c>
      <c r="B264" s="89" t="e">
        <f>+#REF!</f>
        <v>#REF!</v>
      </c>
      <c r="C264" s="89"/>
      <c r="D264" s="91" t="s">
        <v>717</v>
      </c>
      <c r="E264" s="90" t="e">
        <v>#REF!</v>
      </c>
      <c r="F264" s="89"/>
      <c r="G264" s="89"/>
      <c r="H264" s="89" t="s">
        <v>9111</v>
      </c>
      <c r="I264" s="89" t="s">
        <v>19787</v>
      </c>
      <c r="J264" s="89" t="s">
        <v>646</v>
      </c>
      <c r="K264" s="89" t="s">
        <v>19789</v>
      </c>
      <c r="M264" s="89">
        <v>2021</v>
      </c>
      <c r="N264" s="89" t="s">
        <v>19788</v>
      </c>
      <c r="O264" s="89" t="s">
        <v>646</v>
      </c>
      <c r="P264" s="89" t="str">
        <f>HYPERLINK("http://dx.doi.org/10.3389/fpsyt.2021.698645","http://dx.doi.org/10.3389/fpsyt.2021.698645")</f>
        <v>http://dx.doi.org/10.3389/fpsyt.2021.698645</v>
      </c>
      <c r="S264" s="89" t="s">
        <v>646</v>
      </c>
      <c r="U264" s="89" t="s">
        <v>17462</v>
      </c>
      <c r="W264" s="89" t="s">
        <v>646</v>
      </c>
      <c r="X264" s="89" t="s">
        <v>646</v>
      </c>
      <c r="Y264" s="89" t="s">
        <v>646</v>
      </c>
      <c r="Z264" s="89" t="s">
        <v>646</v>
      </c>
      <c r="AA264" s="89" t="s">
        <v>646</v>
      </c>
      <c r="AB264" s="89" t="s">
        <v>646</v>
      </c>
      <c r="AC264" s="89" t="s">
        <v>646</v>
      </c>
      <c r="AD264" s="89" t="s">
        <v>646</v>
      </c>
      <c r="AE264" s="89" t="s">
        <v>646</v>
      </c>
      <c r="AF264" s="89" t="s">
        <v>19789</v>
      </c>
      <c r="AG264" s="89" t="s">
        <v>646</v>
      </c>
      <c r="AH264" s="89" t="s">
        <v>646</v>
      </c>
      <c r="AI264" s="89" t="s">
        <v>646</v>
      </c>
      <c r="AJ264" s="89" t="s">
        <v>646</v>
      </c>
      <c r="AK264" s="89" t="s">
        <v>646</v>
      </c>
      <c r="AL264" s="89" t="s">
        <v>19790</v>
      </c>
      <c r="AM264" s="89" t="s">
        <v>646</v>
      </c>
      <c r="AN264" s="89" t="s">
        <v>646</v>
      </c>
      <c r="AO264" s="89" t="s">
        <v>646</v>
      </c>
      <c r="AP264" s="89" t="s">
        <v>646</v>
      </c>
      <c r="AQ264" s="89" t="s">
        <v>646</v>
      </c>
      <c r="AR264" s="89" t="s">
        <v>646</v>
      </c>
      <c r="AS264" s="89" t="s">
        <v>646</v>
      </c>
      <c r="AT264" s="89" t="s">
        <v>646</v>
      </c>
      <c r="AU264" s="89" t="s">
        <v>646</v>
      </c>
      <c r="AV264" s="89" t="s">
        <v>646</v>
      </c>
      <c r="AW264" s="89" t="s">
        <v>646</v>
      </c>
      <c r="AX264" s="89" t="s">
        <v>646</v>
      </c>
      <c r="AY264" s="89" t="s">
        <v>19791</v>
      </c>
      <c r="AZ264" s="89" t="s">
        <v>646</v>
      </c>
      <c r="BA264" s="89" t="s">
        <v>646</v>
      </c>
      <c r="BB264" s="89" t="s">
        <v>646</v>
      </c>
      <c r="BC264" s="89" t="s">
        <v>646</v>
      </c>
      <c r="BD264" s="89" t="s">
        <v>19792</v>
      </c>
      <c r="BE264" s="89">
        <v>2021</v>
      </c>
      <c r="BF264" s="89">
        <v>12</v>
      </c>
      <c r="BG264" s="89" t="s">
        <v>646</v>
      </c>
      <c r="BH264" s="89" t="s">
        <v>646</v>
      </c>
      <c r="BI264" s="89" t="s">
        <v>646</v>
      </c>
      <c r="BJ264" s="89" t="s">
        <v>646</v>
      </c>
      <c r="BK264" s="89" t="s">
        <v>646</v>
      </c>
      <c r="BL264" s="89" t="s">
        <v>646</v>
      </c>
      <c r="BM264" s="89" t="s">
        <v>646</v>
      </c>
      <c r="BN264" s="89">
        <v>698645</v>
      </c>
      <c r="BO264" s="89" t="str">
        <f>HYPERLINK("http://dx.doi.org/10.3389/fpsyt.2021.698645","http://dx.doi.org/10.3389/fpsyt.2021.698645")</f>
        <v>http://dx.doi.org/10.3389/fpsyt.2021.698645</v>
      </c>
      <c r="BP264" s="89" t="s">
        <v>646</v>
      </c>
      <c r="BQ264" s="89" t="s">
        <v>646</v>
      </c>
      <c r="BR264" s="89" t="s">
        <v>646</v>
      </c>
      <c r="BS264" s="89" t="s">
        <v>646</v>
      </c>
      <c r="BT264" s="89" t="s">
        <v>646</v>
      </c>
      <c r="BU264" s="89" t="s">
        <v>646</v>
      </c>
      <c r="BV264" s="89" t="s">
        <v>646</v>
      </c>
      <c r="BW264" s="89">
        <v>34867506</v>
      </c>
      <c r="BX264" s="89" t="s">
        <v>646</v>
      </c>
      <c r="BY264" s="89" t="s">
        <v>646</v>
      </c>
      <c r="BZ264" s="89" t="s">
        <v>646</v>
      </c>
      <c r="CA264" s="89" t="s">
        <v>646</v>
      </c>
      <c r="CB264" s="89" t="s">
        <v>19793</v>
      </c>
      <c r="CC264" s="89" t="str">
        <f>HYPERLINK("https%3A%2F%2Fwww.webofscience.com%2Fwos%2Fwoscc%2Ffull-record%2FWOS:000741389200001","View Full Record in Web of Science")</f>
        <v>View Full Record in Web of Science</v>
      </c>
    </row>
    <row r="265" spans="1:81" ht="13.2" hidden="1" x14ac:dyDescent="0.25">
      <c r="A265" s="89" t="s">
        <v>11610</v>
      </c>
      <c r="B265" s="89" t="e">
        <f>+#REF!</f>
        <v>#REF!</v>
      </c>
      <c r="C265" s="89"/>
      <c r="D265" s="91" t="s">
        <v>717</v>
      </c>
      <c r="E265" s="90" t="e">
        <v>#REF!</v>
      </c>
      <c r="F265" s="89"/>
      <c r="G265" s="89"/>
      <c r="H265" s="89" t="s">
        <v>11611</v>
      </c>
      <c r="I265" s="89" t="s">
        <v>19794</v>
      </c>
      <c r="J265" s="89" t="s">
        <v>19797</v>
      </c>
      <c r="K265" s="89" t="s">
        <v>19796</v>
      </c>
      <c r="M265" s="89">
        <v>2018</v>
      </c>
      <c r="N265" s="89" t="s">
        <v>19795</v>
      </c>
      <c r="O265" s="89" t="s">
        <v>646</v>
      </c>
      <c r="P265" s="89" t="str">
        <f>HYPERLINK("http://dx.doi.org/10.1155/2018/6920679","http://dx.doi.org/10.1155/2018/6920679")</f>
        <v>http://dx.doi.org/10.1155/2018/6920679</v>
      </c>
      <c r="S265" s="89" t="s">
        <v>646</v>
      </c>
      <c r="U265" s="89" t="s">
        <v>17462</v>
      </c>
      <c r="W265" s="89" t="s">
        <v>646</v>
      </c>
      <c r="X265" s="89" t="s">
        <v>646</v>
      </c>
      <c r="Y265" s="89" t="s">
        <v>646</v>
      </c>
      <c r="Z265" s="89" t="s">
        <v>646</v>
      </c>
      <c r="AA265" s="89" t="s">
        <v>646</v>
      </c>
      <c r="AB265" s="89" t="s">
        <v>646</v>
      </c>
      <c r="AC265" s="89" t="s">
        <v>646</v>
      </c>
      <c r="AD265" s="89" t="s">
        <v>646</v>
      </c>
      <c r="AE265" s="89" t="s">
        <v>646</v>
      </c>
      <c r="AF265" s="89" t="s">
        <v>19796</v>
      </c>
      <c r="AG265" s="89" t="s">
        <v>646</v>
      </c>
      <c r="AH265" s="89" t="s">
        <v>646</v>
      </c>
      <c r="AI265" s="89" t="s">
        <v>646</v>
      </c>
      <c r="AJ265" s="89" t="s">
        <v>646</v>
      </c>
      <c r="AK265" s="89" t="s">
        <v>19797</v>
      </c>
      <c r="AL265" s="89" t="s">
        <v>19798</v>
      </c>
      <c r="AM265" s="89" t="s">
        <v>646</v>
      </c>
      <c r="AN265" s="89" t="s">
        <v>646</v>
      </c>
      <c r="AO265" s="89" t="s">
        <v>646</v>
      </c>
      <c r="AP265" s="89" t="s">
        <v>646</v>
      </c>
      <c r="AQ265" s="89" t="s">
        <v>646</v>
      </c>
      <c r="AR265" s="89" t="s">
        <v>646</v>
      </c>
      <c r="AS265" s="89" t="s">
        <v>646</v>
      </c>
      <c r="AT265" s="89" t="s">
        <v>646</v>
      </c>
      <c r="AU265" s="89" t="s">
        <v>646</v>
      </c>
      <c r="AV265" s="89" t="s">
        <v>646</v>
      </c>
      <c r="AW265" s="89" t="s">
        <v>646</v>
      </c>
      <c r="AX265" s="89" t="s">
        <v>646</v>
      </c>
      <c r="AY265" s="89" t="s">
        <v>19799</v>
      </c>
      <c r="AZ265" s="89" t="s">
        <v>19800</v>
      </c>
      <c r="BA265" s="89" t="s">
        <v>646</v>
      </c>
      <c r="BB265" s="89" t="s">
        <v>646</v>
      </c>
      <c r="BC265" s="89" t="s">
        <v>646</v>
      </c>
      <c r="BD265" s="89" t="s">
        <v>646</v>
      </c>
      <c r="BE265" s="89">
        <v>2018</v>
      </c>
      <c r="BF265" s="89">
        <v>2018</v>
      </c>
      <c r="BG265" s="89" t="s">
        <v>646</v>
      </c>
      <c r="BH265" s="89" t="s">
        <v>646</v>
      </c>
      <c r="BI265" s="89" t="s">
        <v>646</v>
      </c>
      <c r="BJ265" s="89" t="s">
        <v>646</v>
      </c>
      <c r="BK265" s="89" t="s">
        <v>646</v>
      </c>
      <c r="BL265" s="89" t="s">
        <v>646</v>
      </c>
      <c r="BM265" s="89" t="s">
        <v>646</v>
      </c>
      <c r="BN265" s="89">
        <v>6920679</v>
      </c>
      <c r="BO265" s="89" t="str">
        <f>HYPERLINK("http://dx.doi.org/10.1155/2018/6920679","http://dx.doi.org/10.1155/2018/6920679")</f>
        <v>http://dx.doi.org/10.1155/2018/6920679</v>
      </c>
      <c r="BP265" s="89" t="s">
        <v>646</v>
      </c>
      <c r="BQ265" s="89" t="s">
        <v>646</v>
      </c>
      <c r="BR265" s="89" t="s">
        <v>646</v>
      </c>
      <c r="BS265" s="89" t="s">
        <v>646</v>
      </c>
      <c r="BT265" s="89" t="s">
        <v>646</v>
      </c>
      <c r="BU265" s="89" t="s">
        <v>646</v>
      </c>
      <c r="BV265" s="89" t="s">
        <v>646</v>
      </c>
      <c r="BW265" s="89" t="s">
        <v>646</v>
      </c>
      <c r="BX265" s="89" t="s">
        <v>646</v>
      </c>
      <c r="BY265" s="89" t="s">
        <v>646</v>
      </c>
      <c r="BZ265" s="89" t="s">
        <v>646</v>
      </c>
      <c r="CA265" s="89" t="s">
        <v>646</v>
      </c>
      <c r="CB265" s="89" t="s">
        <v>19801</v>
      </c>
      <c r="CC265" s="89" t="str">
        <f>HYPERLINK("https%3A%2F%2Fwww.webofscience.com%2Fwos%2Fwoscc%2Ffull-record%2FWOS:000432012900001","View Full Record in Web of Science")</f>
        <v>View Full Record in Web of Science</v>
      </c>
    </row>
    <row r="266" spans="1:81" ht="13.2" hidden="1" x14ac:dyDescent="0.25">
      <c r="A266" s="89" t="s">
        <v>19802</v>
      </c>
      <c r="B266" s="89" t="e">
        <f>+#REF!</f>
        <v>#REF!</v>
      </c>
      <c r="C266" s="89"/>
      <c r="D266" s="91" t="s">
        <v>717</v>
      </c>
      <c r="E266" s="90" t="e">
        <v>#REF!</v>
      </c>
      <c r="F266" s="89"/>
      <c r="G266" s="89"/>
      <c r="H266" s="89" t="s">
        <v>11621</v>
      </c>
      <c r="I266" s="89" t="s">
        <v>19804</v>
      </c>
      <c r="J266" s="89" t="s">
        <v>19811</v>
      </c>
      <c r="K266" s="89" t="s">
        <v>19810</v>
      </c>
      <c r="M266" s="89">
        <v>2018</v>
      </c>
      <c r="N266" s="89" t="s">
        <v>19805</v>
      </c>
      <c r="O266" s="89" t="s">
        <v>19803</v>
      </c>
      <c r="P266" s="89" t="str">
        <f>HYPERLINK("http://dx.doi.org/10.1007/978-3-319-76270-8_54","http://dx.doi.org/10.1007/978-3-319-76270-8_54")</f>
        <v>http://dx.doi.org/10.1007/978-3-319-76270-8_54</v>
      </c>
      <c r="S266" s="89" t="s">
        <v>646</v>
      </c>
      <c r="U266" s="89" t="s">
        <v>17474</v>
      </c>
      <c r="W266" s="89" t="s">
        <v>646</v>
      </c>
      <c r="X266" s="89" t="s">
        <v>646</v>
      </c>
      <c r="Y266" s="89" t="s">
        <v>19806</v>
      </c>
      <c r="Z266" s="89" t="s">
        <v>19807</v>
      </c>
      <c r="AA266" s="89" t="s">
        <v>19808</v>
      </c>
      <c r="AB266" s="89" t="s">
        <v>19809</v>
      </c>
      <c r="AC266" s="89" t="s">
        <v>646</v>
      </c>
      <c r="AD266" s="89" t="s">
        <v>646</v>
      </c>
      <c r="AE266" s="89" t="s">
        <v>646</v>
      </c>
      <c r="AF266" s="89" t="s">
        <v>19810</v>
      </c>
      <c r="AG266" s="89" t="s">
        <v>646</v>
      </c>
      <c r="AH266" s="89" t="s">
        <v>646</v>
      </c>
      <c r="AI266" s="89" t="s">
        <v>646</v>
      </c>
      <c r="AJ266" s="89" t="s">
        <v>646</v>
      </c>
      <c r="AK266" s="89" t="s">
        <v>19811</v>
      </c>
      <c r="AL266" s="89" t="s">
        <v>19812</v>
      </c>
      <c r="AM266" s="89" t="s">
        <v>646</v>
      </c>
      <c r="AN266" s="89" t="s">
        <v>646</v>
      </c>
      <c r="AO266" s="89" t="s">
        <v>646</v>
      </c>
      <c r="AP266" s="89" t="s">
        <v>646</v>
      </c>
      <c r="AQ266" s="89" t="s">
        <v>646</v>
      </c>
      <c r="AR266" s="89" t="s">
        <v>646</v>
      </c>
      <c r="AS266" s="89" t="s">
        <v>646</v>
      </c>
      <c r="AT266" s="89" t="s">
        <v>646</v>
      </c>
      <c r="AU266" s="89" t="s">
        <v>646</v>
      </c>
      <c r="AV266" s="89" t="s">
        <v>646</v>
      </c>
      <c r="AW266" s="89" t="s">
        <v>646</v>
      </c>
      <c r="AX266" s="89" t="s">
        <v>646</v>
      </c>
      <c r="AY266" s="89" t="s">
        <v>18367</v>
      </c>
      <c r="AZ266" s="89" t="s">
        <v>18884</v>
      </c>
      <c r="BA266" s="89" t="s">
        <v>19813</v>
      </c>
      <c r="BB266" s="89" t="s">
        <v>646</v>
      </c>
      <c r="BC266" s="89" t="s">
        <v>646</v>
      </c>
      <c r="BD266" s="89" t="s">
        <v>646</v>
      </c>
      <c r="BE266" s="89">
        <v>2018</v>
      </c>
      <c r="BF266" s="89">
        <v>10714</v>
      </c>
      <c r="BG266" s="89" t="s">
        <v>646</v>
      </c>
      <c r="BH266" s="89" t="s">
        <v>646</v>
      </c>
      <c r="BI266" s="89" t="s">
        <v>646</v>
      </c>
      <c r="BJ266" s="89" t="s">
        <v>646</v>
      </c>
      <c r="BK266" s="89" t="s">
        <v>646</v>
      </c>
      <c r="BL266" s="89">
        <v>795</v>
      </c>
      <c r="BM266" s="89">
        <v>808</v>
      </c>
      <c r="BN266" s="89" t="s">
        <v>646</v>
      </c>
      <c r="BO266" s="89" t="str">
        <f>HYPERLINK("http://dx.doi.org/10.1007/978-3-319-76270-8_54","http://dx.doi.org/10.1007/978-3-319-76270-8_54")</f>
        <v>http://dx.doi.org/10.1007/978-3-319-76270-8_54</v>
      </c>
      <c r="BP266" s="89" t="s">
        <v>646</v>
      </c>
      <c r="BQ266" s="89" t="s">
        <v>646</v>
      </c>
      <c r="BR266" s="89" t="s">
        <v>646</v>
      </c>
      <c r="BS266" s="89" t="s">
        <v>646</v>
      </c>
      <c r="BT266" s="89" t="s">
        <v>646</v>
      </c>
      <c r="BU266" s="89" t="s">
        <v>646</v>
      </c>
      <c r="BV266" s="89" t="s">
        <v>646</v>
      </c>
      <c r="BW266" s="89" t="s">
        <v>646</v>
      </c>
      <c r="BX266" s="89" t="s">
        <v>646</v>
      </c>
      <c r="BY266" s="89" t="s">
        <v>646</v>
      </c>
      <c r="BZ266" s="89" t="s">
        <v>646</v>
      </c>
      <c r="CA266" s="89" t="s">
        <v>646</v>
      </c>
      <c r="CB266" s="89" t="s">
        <v>19814</v>
      </c>
      <c r="CC266" s="89" t="str">
        <f>HYPERLINK("https%3A%2F%2Fwww.webofscience.com%2Fwos%2Fwoscc%2Ffull-record%2FWOS:000432607700054","View Full Record in Web of Science")</f>
        <v>View Full Record in Web of Science</v>
      </c>
    </row>
    <row r="267" spans="1:81" ht="13.2" hidden="1" x14ac:dyDescent="0.25">
      <c r="A267" s="89" t="s">
        <v>9120</v>
      </c>
      <c r="B267" s="89" t="e">
        <f>+#REF!</f>
        <v>#REF!</v>
      </c>
      <c r="C267" s="89"/>
      <c r="D267" s="91" t="s">
        <v>717</v>
      </c>
      <c r="E267" s="90" t="e">
        <v>#REF!</v>
      </c>
      <c r="F267" s="89"/>
      <c r="G267" s="89"/>
      <c r="H267" s="89" t="s">
        <v>9121</v>
      </c>
      <c r="I267" s="89" t="s">
        <v>19815</v>
      </c>
      <c r="J267" s="89" t="s">
        <v>646</v>
      </c>
      <c r="K267" s="89" t="s">
        <v>19817</v>
      </c>
      <c r="M267" s="89">
        <v>2022</v>
      </c>
      <c r="N267" s="89" t="s">
        <v>19816</v>
      </c>
      <c r="O267" s="89" t="s">
        <v>646</v>
      </c>
      <c r="P267" s="89" t="str">
        <f>HYPERLINK("http://dx.doi.org/10.1587/transinf.2021MPP0002","http://dx.doi.org/10.1587/transinf.2021MPP0002")</f>
        <v>http://dx.doi.org/10.1587/transinf.2021MPP0002</v>
      </c>
      <c r="S267" s="89" t="s">
        <v>646</v>
      </c>
      <c r="U267" s="89" t="s">
        <v>17462</v>
      </c>
      <c r="W267" s="89" t="s">
        <v>646</v>
      </c>
      <c r="X267" s="89" t="s">
        <v>646</v>
      </c>
      <c r="Y267" s="89" t="s">
        <v>646</v>
      </c>
      <c r="Z267" s="89" t="s">
        <v>646</v>
      </c>
      <c r="AA267" s="89" t="s">
        <v>646</v>
      </c>
      <c r="AB267" s="89" t="s">
        <v>646</v>
      </c>
      <c r="AC267" s="89" t="s">
        <v>646</v>
      </c>
      <c r="AD267" s="89" t="s">
        <v>646</v>
      </c>
      <c r="AE267" s="89" t="s">
        <v>646</v>
      </c>
      <c r="AF267" s="89" t="s">
        <v>19817</v>
      </c>
      <c r="AG267" s="89" t="s">
        <v>646</v>
      </c>
      <c r="AH267" s="89" t="s">
        <v>646</v>
      </c>
      <c r="AI267" s="89" t="s">
        <v>646</v>
      </c>
      <c r="AJ267" s="89" t="s">
        <v>646</v>
      </c>
      <c r="AK267" s="89" t="s">
        <v>646</v>
      </c>
      <c r="AL267" s="89" t="s">
        <v>646</v>
      </c>
      <c r="AM267" s="89" t="s">
        <v>646</v>
      </c>
      <c r="AN267" s="89" t="s">
        <v>646</v>
      </c>
      <c r="AO267" s="89" t="s">
        <v>646</v>
      </c>
      <c r="AP267" s="89" t="s">
        <v>646</v>
      </c>
      <c r="AQ267" s="89" t="s">
        <v>646</v>
      </c>
      <c r="AR267" s="89" t="s">
        <v>646</v>
      </c>
      <c r="AS267" s="89" t="s">
        <v>646</v>
      </c>
      <c r="AT267" s="89" t="s">
        <v>646</v>
      </c>
      <c r="AU267" s="89" t="s">
        <v>646</v>
      </c>
      <c r="AV267" s="89" t="s">
        <v>646</v>
      </c>
      <c r="AW267" s="89" t="s">
        <v>646</v>
      </c>
      <c r="AX267" s="89" t="s">
        <v>646</v>
      </c>
      <c r="AY267" s="89" t="s">
        <v>19818</v>
      </c>
      <c r="AZ267" s="89" t="s">
        <v>646</v>
      </c>
      <c r="BA267" s="89" t="s">
        <v>646</v>
      </c>
      <c r="BB267" s="89" t="s">
        <v>646</v>
      </c>
      <c r="BC267" s="89" t="s">
        <v>646</v>
      </c>
      <c r="BD267" s="89" t="s">
        <v>17513</v>
      </c>
      <c r="BE267" s="89">
        <v>2022</v>
      </c>
      <c r="BF267" s="89" t="s">
        <v>19819</v>
      </c>
      <c r="BG267" s="89">
        <v>1</v>
      </c>
      <c r="BH267" s="89" t="s">
        <v>646</v>
      </c>
      <c r="BI267" s="89" t="s">
        <v>646</v>
      </c>
      <c r="BJ267" s="89" t="s">
        <v>646</v>
      </c>
      <c r="BK267" s="89" t="s">
        <v>646</v>
      </c>
      <c r="BL267" s="89">
        <v>2</v>
      </c>
      <c r="BM267" s="89">
        <v>10</v>
      </c>
      <c r="BN267" s="89" t="s">
        <v>646</v>
      </c>
      <c r="BO267" s="89" t="str">
        <f>HYPERLINK("http://dx.doi.org/10.1587/transinf.2021MPP0002","http://dx.doi.org/10.1587/transinf.2021MPP0002")</f>
        <v>http://dx.doi.org/10.1587/transinf.2021MPP0002</v>
      </c>
      <c r="BP267" s="89" t="s">
        <v>646</v>
      </c>
      <c r="BQ267" s="89" t="s">
        <v>646</v>
      </c>
      <c r="BR267" s="89" t="s">
        <v>646</v>
      </c>
      <c r="BS267" s="89" t="s">
        <v>646</v>
      </c>
      <c r="BT267" s="89" t="s">
        <v>646</v>
      </c>
      <c r="BU267" s="89" t="s">
        <v>646</v>
      </c>
      <c r="BV267" s="89" t="s">
        <v>646</v>
      </c>
      <c r="BW267" s="89" t="s">
        <v>646</v>
      </c>
      <c r="BX267" s="89" t="s">
        <v>646</v>
      </c>
      <c r="BY267" s="89" t="s">
        <v>646</v>
      </c>
      <c r="BZ267" s="89" t="s">
        <v>646</v>
      </c>
      <c r="CA267" s="89" t="s">
        <v>646</v>
      </c>
      <c r="CB267" s="89" t="s">
        <v>19820</v>
      </c>
      <c r="CC267" s="89" t="str">
        <f>HYPERLINK("https%3A%2F%2Fwww.webofscience.com%2Fwos%2Fwoscc%2Ffull-record%2FWOS:000748955500002","View Full Record in Web of Science")</f>
        <v>View Full Record in Web of Science</v>
      </c>
    </row>
    <row r="268" spans="1:81" ht="13.2" hidden="1" x14ac:dyDescent="0.25">
      <c r="A268" s="89" t="s">
        <v>11629</v>
      </c>
      <c r="B268" s="89" t="e">
        <f>+#REF!</f>
        <v>#REF!</v>
      </c>
      <c r="C268" s="89"/>
      <c r="D268" s="91" t="s">
        <v>717</v>
      </c>
      <c r="E268" s="90" t="e">
        <v>#REF!</v>
      </c>
      <c r="F268" s="89"/>
      <c r="G268" s="89"/>
      <c r="H268" s="89" t="s">
        <v>11630</v>
      </c>
      <c r="I268" s="89" t="s">
        <v>19821</v>
      </c>
      <c r="J268" s="89" t="s">
        <v>19824</v>
      </c>
      <c r="K268" s="89" t="s">
        <v>19823</v>
      </c>
      <c r="M268" s="89">
        <v>2019</v>
      </c>
      <c r="N268" s="89" t="s">
        <v>19822</v>
      </c>
      <c r="O268" s="89" t="s">
        <v>646</v>
      </c>
      <c r="P268" s="89" t="str">
        <f>HYPERLINK("http://dx.doi.org/10.1109/TCSS.2019.2902490","http://dx.doi.org/10.1109/TCSS.2019.2902490")</f>
        <v>http://dx.doi.org/10.1109/TCSS.2019.2902490</v>
      </c>
      <c r="S268" s="89" t="s">
        <v>646</v>
      </c>
      <c r="U268" s="89" t="s">
        <v>17462</v>
      </c>
      <c r="W268" s="89" t="s">
        <v>646</v>
      </c>
      <c r="X268" s="89" t="s">
        <v>646</v>
      </c>
      <c r="Y268" s="89" t="s">
        <v>646</v>
      </c>
      <c r="Z268" s="89" t="s">
        <v>646</v>
      </c>
      <c r="AA268" s="89" t="s">
        <v>646</v>
      </c>
      <c r="AB268" s="89" t="s">
        <v>646</v>
      </c>
      <c r="AC268" s="89" t="s">
        <v>646</v>
      </c>
      <c r="AD268" s="89" t="s">
        <v>646</v>
      </c>
      <c r="AE268" s="89" t="s">
        <v>646</v>
      </c>
      <c r="AF268" s="89" t="s">
        <v>19823</v>
      </c>
      <c r="AG268" s="89" t="s">
        <v>646</v>
      </c>
      <c r="AH268" s="89" t="s">
        <v>646</v>
      </c>
      <c r="AI268" s="89" t="s">
        <v>646</v>
      </c>
      <c r="AJ268" s="89" t="s">
        <v>646</v>
      </c>
      <c r="AK268" s="89" t="s">
        <v>19824</v>
      </c>
      <c r="AL268" s="89" t="s">
        <v>19825</v>
      </c>
      <c r="AM268" s="89" t="s">
        <v>646</v>
      </c>
      <c r="AN268" s="89" t="s">
        <v>646</v>
      </c>
      <c r="AO268" s="89" t="s">
        <v>646</v>
      </c>
      <c r="AP268" s="89" t="s">
        <v>646</v>
      </c>
      <c r="AQ268" s="89" t="s">
        <v>646</v>
      </c>
      <c r="AR268" s="89" t="s">
        <v>646</v>
      </c>
      <c r="AS268" s="89" t="s">
        <v>646</v>
      </c>
      <c r="AT268" s="89" t="s">
        <v>646</v>
      </c>
      <c r="AU268" s="89" t="s">
        <v>646</v>
      </c>
      <c r="AV268" s="89" t="s">
        <v>646</v>
      </c>
      <c r="AW268" s="89" t="s">
        <v>646</v>
      </c>
      <c r="AX268" s="89" t="s">
        <v>646</v>
      </c>
      <c r="AY268" s="89" t="s">
        <v>19826</v>
      </c>
      <c r="AZ268" s="89" t="s">
        <v>646</v>
      </c>
      <c r="BA268" s="89" t="s">
        <v>646</v>
      </c>
      <c r="BB268" s="89" t="s">
        <v>646</v>
      </c>
      <c r="BC268" s="89" t="s">
        <v>646</v>
      </c>
      <c r="BD268" s="89" t="s">
        <v>17823</v>
      </c>
      <c r="BE268" s="89">
        <v>2019</v>
      </c>
      <c r="BF268" s="89">
        <v>6</v>
      </c>
      <c r="BG268" s="89">
        <v>2</v>
      </c>
      <c r="BH268" s="89" t="s">
        <v>646</v>
      </c>
      <c r="BI268" s="89" t="s">
        <v>646</v>
      </c>
      <c r="BJ268" s="89" t="s">
        <v>646</v>
      </c>
      <c r="BK268" s="89" t="s">
        <v>646</v>
      </c>
      <c r="BL268" s="89">
        <v>350</v>
      </c>
      <c r="BM268" s="89">
        <v>364</v>
      </c>
      <c r="BN268" s="89" t="s">
        <v>646</v>
      </c>
      <c r="BO268" s="89" t="str">
        <f>HYPERLINK("http://dx.doi.org/10.1109/TCSS.2019.2902490","http://dx.doi.org/10.1109/TCSS.2019.2902490")</f>
        <v>http://dx.doi.org/10.1109/TCSS.2019.2902490</v>
      </c>
      <c r="BP268" s="89" t="s">
        <v>646</v>
      </c>
      <c r="BQ268" s="89" t="s">
        <v>646</v>
      </c>
      <c r="BR268" s="89" t="s">
        <v>646</v>
      </c>
      <c r="BS268" s="89" t="s">
        <v>646</v>
      </c>
      <c r="BT268" s="89" t="s">
        <v>646</v>
      </c>
      <c r="BU268" s="89" t="s">
        <v>646</v>
      </c>
      <c r="BV268" s="89" t="s">
        <v>646</v>
      </c>
      <c r="BW268" s="89" t="s">
        <v>646</v>
      </c>
      <c r="BX268" s="89" t="s">
        <v>646</v>
      </c>
      <c r="BY268" s="89" t="s">
        <v>646</v>
      </c>
      <c r="BZ268" s="89" t="s">
        <v>646</v>
      </c>
      <c r="CA268" s="89" t="s">
        <v>646</v>
      </c>
      <c r="CB268" s="89" t="s">
        <v>19827</v>
      </c>
      <c r="CC268" s="89" t="str">
        <f>HYPERLINK("https%3A%2F%2Fwww.webofscience.com%2Fwos%2Fwoscc%2Ffull-record%2FWOS:000463475000015","View Full Record in Web of Science")</f>
        <v>View Full Record in Web of Science</v>
      </c>
    </row>
    <row r="269" spans="1:81" ht="13.2" hidden="1" x14ac:dyDescent="0.25">
      <c r="A269" s="89" t="s">
        <v>11639</v>
      </c>
      <c r="B269" s="89" t="e">
        <f>+#REF!</f>
        <v>#REF!</v>
      </c>
      <c r="C269" s="89"/>
      <c r="D269" s="91" t="s">
        <v>717</v>
      </c>
      <c r="E269" s="90" t="e">
        <v>#REF!</v>
      </c>
      <c r="F269" s="89"/>
      <c r="G269" s="89"/>
      <c r="H269" s="89" t="s">
        <v>646</v>
      </c>
      <c r="I269" s="89" t="s">
        <v>19829</v>
      </c>
      <c r="J269" s="89" t="s">
        <v>646</v>
      </c>
      <c r="K269" s="89" t="s">
        <v>19835</v>
      </c>
      <c r="M269" s="89">
        <v>2018</v>
      </c>
      <c r="N269" s="89" t="s">
        <v>19830</v>
      </c>
      <c r="O269" s="89" t="s">
        <v>19828</v>
      </c>
      <c r="P269" s="89" t="s">
        <v>646</v>
      </c>
      <c r="S269" s="89" t="s">
        <v>646</v>
      </c>
      <c r="U269" s="89" t="s">
        <v>17474</v>
      </c>
      <c r="W269" s="89" t="s">
        <v>646</v>
      </c>
      <c r="X269" s="89" t="s">
        <v>646</v>
      </c>
      <c r="Y269" s="89" t="s">
        <v>19831</v>
      </c>
      <c r="Z269" s="89" t="s">
        <v>19832</v>
      </c>
      <c r="AA269" s="89" t="s">
        <v>19833</v>
      </c>
      <c r="AB269" s="89" t="s">
        <v>19834</v>
      </c>
      <c r="AC269" s="89" t="s">
        <v>646</v>
      </c>
      <c r="AD269" s="89" t="s">
        <v>646</v>
      </c>
      <c r="AE269" s="89" t="s">
        <v>646</v>
      </c>
      <c r="AF269" s="89" t="s">
        <v>19835</v>
      </c>
      <c r="AG269" s="89" t="s">
        <v>646</v>
      </c>
      <c r="AH269" s="89" t="s">
        <v>646</v>
      </c>
      <c r="AI269" s="89" t="s">
        <v>646</v>
      </c>
      <c r="AJ269" s="89" t="s">
        <v>646</v>
      </c>
      <c r="AK269" s="89" t="s">
        <v>646</v>
      </c>
      <c r="AL269" s="89" t="s">
        <v>646</v>
      </c>
      <c r="AM269" s="89" t="s">
        <v>646</v>
      </c>
      <c r="AN269" s="89" t="s">
        <v>646</v>
      </c>
      <c r="AO269" s="89" t="s">
        <v>646</v>
      </c>
      <c r="AP269" s="89" t="s">
        <v>646</v>
      </c>
      <c r="AQ269" s="89" t="s">
        <v>646</v>
      </c>
      <c r="AR269" s="89" t="s">
        <v>646</v>
      </c>
      <c r="AS269" s="89" t="s">
        <v>646</v>
      </c>
      <c r="AT269" s="89" t="s">
        <v>646</v>
      </c>
      <c r="AU269" s="89" t="s">
        <v>646</v>
      </c>
      <c r="AV269" s="89" t="s">
        <v>646</v>
      </c>
      <c r="AW269" s="89" t="s">
        <v>646</v>
      </c>
      <c r="AX269" s="89" t="s">
        <v>646</v>
      </c>
      <c r="AY269" s="89" t="s">
        <v>19836</v>
      </c>
      <c r="AZ269" s="89" t="s">
        <v>646</v>
      </c>
      <c r="BA269" s="89" t="s">
        <v>19837</v>
      </c>
      <c r="BB269" s="89" t="s">
        <v>646</v>
      </c>
      <c r="BC269" s="89" t="s">
        <v>646</v>
      </c>
      <c r="BD269" s="89" t="s">
        <v>646</v>
      </c>
      <c r="BE269" s="89">
        <v>2018</v>
      </c>
      <c r="BF269" s="89" t="s">
        <v>646</v>
      </c>
      <c r="BG269" s="89" t="s">
        <v>646</v>
      </c>
      <c r="BH269" s="89" t="s">
        <v>646</v>
      </c>
      <c r="BI269" s="89" t="s">
        <v>646</v>
      </c>
      <c r="BJ269" s="89" t="s">
        <v>646</v>
      </c>
      <c r="BK269" s="89" t="s">
        <v>646</v>
      </c>
      <c r="BL269" s="89">
        <v>1005</v>
      </c>
      <c r="BM269" s="89">
        <v>1011</v>
      </c>
      <c r="BN269" s="89" t="s">
        <v>646</v>
      </c>
      <c r="BO269" s="89" t="s">
        <v>646</v>
      </c>
      <c r="BP269" s="89" t="s">
        <v>646</v>
      </c>
      <c r="BQ269" s="89" t="s">
        <v>646</v>
      </c>
      <c r="BR269" s="89" t="s">
        <v>646</v>
      </c>
      <c r="BS269" s="89" t="s">
        <v>646</v>
      </c>
      <c r="BT269" s="89" t="s">
        <v>646</v>
      </c>
      <c r="BU269" s="89" t="s">
        <v>646</v>
      </c>
      <c r="BV269" s="89" t="s">
        <v>646</v>
      </c>
      <c r="BW269" s="89" t="s">
        <v>646</v>
      </c>
      <c r="BX269" s="89" t="s">
        <v>646</v>
      </c>
      <c r="BY269" s="89" t="s">
        <v>646</v>
      </c>
      <c r="BZ269" s="89" t="s">
        <v>646</v>
      </c>
      <c r="CA269" s="89" t="s">
        <v>646</v>
      </c>
      <c r="CB269" s="89" t="s">
        <v>19838</v>
      </c>
      <c r="CC269" s="89" t="str">
        <f>HYPERLINK("https%3A%2F%2Fwww.webofscience.com%2Fwos%2Fwoscc%2Ffull-record%2FWOS:000494315600158","View Full Record in Web of Science")</f>
        <v>View Full Record in Web of Science</v>
      </c>
    </row>
    <row r="270" spans="1:81" ht="13.2" hidden="1" x14ac:dyDescent="0.25">
      <c r="A270" s="89" t="s">
        <v>19839</v>
      </c>
      <c r="B270" s="89" t="e">
        <f>+#REF!</f>
        <v>#REF!</v>
      </c>
      <c r="C270" s="89"/>
      <c r="D270" s="91" t="s">
        <v>717</v>
      </c>
      <c r="E270" s="90" t="e">
        <v>#REF!</v>
      </c>
      <c r="F270" s="89"/>
      <c r="G270" s="89"/>
      <c r="H270" s="89" t="s">
        <v>646</v>
      </c>
      <c r="I270" s="89" t="s">
        <v>19840</v>
      </c>
      <c r="J270" s="89" t="s">
        <v>646</v>
      </c>
      <c r="K270" s="89" t="s">
        <v>19841</v>
      </c>
      <c r="M270" s="89">
        <v>2018</v>
      </c>
      <c r="N270" s="89" t="s">
        <v>17992</v>
      </c>
      <c r="O270" s="89" t="s">
        <v>646</v>
      </c>
      <c r="P270" s="89" t="s">
        <v>646</v>
      </c>
      <c r="S270" s="89" t="s">
        <v>17990</v>
      </c>
      <c r="U270" s="89" t="s">
        <v>17474</v>
      </c>
      <c r="W270" s="89" t="s">
        <v>646</v>
      </c>
      <c r="X270" s="89" t="s">
        <v>646</v>
      </c>
      <c r="Y270" s="89" t="s">
        <v>17993</v>
      </c>
      <c r="Z270" s="89" t="s">
        <v>17994</v>
      </c>
      <c r="AA270" s="89" t="s">
        <v>17995</v>
      </c>
      <c r="AB270" s="89" t="s">
        <v>17990</v>
      </c>
      <c r="AC270" s="89" t="s">
        <v>646</v>
      </c>
      <c r="AD270" s="89" t="s">
        <v>646</v>
      </c>
      <c r="AE270" s="89" t="s">
        <v>646</v>
      </c>
      <c r="AF270" s="89" t="s">
        <v>19841</v>
      </c>
      <c r="AG270" s="89" t="s">
        <v>646</v>
      </c>
      <c r="AH270" s="89" t="s">
        <v>646</v>
      </c>
      <c r="AI270" s="89" t="s">
        <v>646</v>
      </c>
      <c r="AJ270" s="89" t="s">
        <v>646</v>
      </c>
      <c r="AK270" s="89" t="s">
        <v>646</v>
      </c>
      <c r="AL270" s="89" t="s">
        <v>646</v>
      </c>
      <c r="AM270" s="89" t="s">
        <v>646</v>
      </c>
      <c r="AN270" s="89" t="s">
        <v>646</v>
      </c>
      <c r="AO270" s="89" t="s">
        <v>646</v>
      </c>
      <c r="AP270" s="89" t="s">
        <v>646</v>
      </c>
      <c r="AQ270" s="89" t="s">
        <v>646</v>
      </c>
      <c r="AR270" s="89" t="s">
        <v>646</v>
      </c>
      <c r="AS270" s="89" t="s">
        <v>646</v>
      </c>
      <c r="AT270" s="89" t="s">
        <v>646</v>
      </c>
      <c r="AU270" s="89" t="s">
        <v>646</v>
      </c>
      <c r="AV270" s="89" t="s">
        <v>646</v>
      </c>
      <c r="AW270" s="89" t="s">
        <v>646</v>
      </c>
      <c r="AX270" s="89" t="s">
        <v>646</v>
      </c>
      <c r="AY270" s="89" t="s">
        <v>17997</v>
      </c>
      <c r="AZ270" s="89" t="s">
        <v>17998</v>
      </c>
      <c r="BA270" s="89" t="s">
        <v>17999</v>
      </c>
      <c r="BB270" s="89" t="s">
        <v>646</v>
      </c>
      <c r="BC270" s="89" t="s">
        <v>646</v>
      </c>
      <c r="BD270" s="89" t="s">
        <v>646</v>
      </c>
      <c r="BE270" s="89">
        <v>2018</v>
      </c>
      <c r="BF270" s="89" t="s">
        <v>646</v>
      </c>
      <c r="BG270" s="89" t="s">
        <v>646</v>
      </c>
      <c r="BH270" s="89" t="s">
        <v>646</v>
      </c>
      <c r="BI270" s="89" t="s">
        <v>646</v>
      </c>
      <c r="BJ270" s="89" t="s">
        <v>646</v>
      </c>
      <c r="BK270" s="89" t="s">
        <v>646</v>
      </c>
      <c r="BL270" s="89">
        <v>51</v>
      </c>
      <c r="BM270" s="89">
        <v>60</v>
      </c>
      <c r="BN270" s="89" t="s">
        <v>646</v>
      </c>
      <c r="BO270" s="89" t="s">
        <v>646</v>
      </c>
      <c r="BP270" s="89" t="s">
        <v>646</v>
      </c>
      <c r="BQ270" s="89" t="s">
        <v>646</v>
      </c>
      <c r="BR270" s="89" t="s">
        <v>646</v>
      </c>
      <c r="BS270" s="89" t="s">
        <v>646</v>
      </c>
      <c r="BT270" s="89" t="s">
        <v>646</v>
      </c>
      <c r="BU270" s="89" t="s">
        <v>646</v>
      </c>
      <c r="BV270" s="89" t="s">
        <v>646</v>
      </c>
      <c r="BW270" s="89" t="s">
        <v>646</v>
      </c>
      <c r="BX270" s="89" t="s">
        <v>646</v>
      </c>
      <c r="BY270" s="89" t="s">
        <v>646</v>
      </c>
      <c r="BZ270" s="89" t="s">
        <v>646</v>
      </c>
      <c r="CA270" s="89" t="s">
        <v>646</v>
      </c>
      <c r="CB270" s="89" t="s">
        <v>19842</v>
      </c>
      <c r="CC270" s="89" t="str">
        <f>HYPERLINK("https%3A%2F%2Fwww.webofscience.com%2Fwos%2Fwoscc%2Ffull-record%2FWOS:000485488900007","View Full Record in Web of Science")</f>
        <v>View Full Record in Web of Science</v>
      </c>
    </row>
    <row r="271" spans="1:81" ht="13.2" hidden="1" x14ac:dyDescent="0.25">
      <c r="A271" s="89" t="s">
        <v>11655</v>
      </c>
      <c r="B271" s="89" t="e">
        <f>+#REF!</f>
        <v>#REF!</v>
      </c>
      <c r="C271" s="89"/>
      <c r="D271" s="91" t="s">
        <v>717</v>
      </c>
      <c r="E271" s="90" t="e">
        <v>#REF!</v>
      </c>
      <c r="F271" s="89"/>
      <c r="G271" s="89"/>
      <c r="H271" s="89" t="s">
        <v>11656</v>
      </c>
      <c r="I271" s="89" t="s">
        <v>19843</v>
      </c>
      <c r="J271" s="89" t="s">
        <v>646</v>
      </c>
      <c r="K271" s="89" t="s">
        <v>19845</v>
      </c>
      <c r="M271" s="89">
        <v>2019</v>
      </c>
      <c r="N271" s="89" t="s">
        <v>19844</v>
      </c>
      <c r="O271" s="89" t="s">
        <v>646</v>
      </c>
      <c r="P271" s="89" t="str">
        <f>HYPERLINK("http://dx.doi.org/10.1080/10810730.2019.1643954","http://dx.doi.org/10.1080/10810730.2019.1643954")</f>
        <v>http://dx.doi.org/10.1080/10810730.2019.1643954</v>
      </c>
      <c r="S271" s="89" t="s">
        <v>646</v>
      </c>
      <c r="U271" s="89" t="s">
        <v>17462</v>
      </c>
      <c r="W271" s="89" t="s">
        <v>646</v>
      </c>
      <c r="X271" s="89" t="s">
        <v>646</v>
      </c>
      <c r="Y271" s="89" t="s">
        <v>646</v>
      </c>
      <c r="Z271" s="89" t="s">
        <v>646</v>
      </c>
      <c r="AA271" s="89" t="s">
        <v>646</v>
      </c>
      <c r="AB271" s="89" t="s">
        <v>646</v>
      </c>
      <c r="AC271" s="89" t="s">
        <v>646</v>
      </c>
      <c r="AD271" s="89" t="s">
        <v>646</v>
      </c>
      <c r="AE271" s="89" t="s">
        <v>646</v>
      </c>
      <c r="AF271" s="89" t="s">
        <v>19845</v>
      </c>
      <c r="AG271" s="89" t="s">
        <v>646</v>
      </c>
      <c r="AH271" s="89" t="s">
        <v>646</v>
      </c>
      <c r="AI271" s="89" t="s">
        <v>646</v>
      </c>
      <c r="AJ271" s="89" t="s">
        <v>646</v>
      </c>
      <c r="AK271" s="89" t="s">
        <v>646</v>
      </c>
      <c r="AL271" s="89" t="s">
        <v>646</v>
      </c>
      <c r="AM271" s="89" t="s">
        <v>646</v>
      </c>
      <c r="AN271" s="89" t="s">
        <v>646</v>
      </c>
      <c r="AO271" s="89" t="s">
        <v>646</v>
      </c>
      <c r="AP271" s="89" t="s">
        <v>646</v>
      </c>
      <c r="AQ271" s="89" t="s">
        <v>646</v>
      </c>
      <c r="AR271" s="89" t="s">
        <v>646</v>
      </c>
      <c r="AS271" s="89" t="s">
        <v>646</v>
      </c>
      <c r="AT271" s="89" t="s">
        <v>646</v>
      </c>
      <c r="AU271" s="89" t="s">
        <v>646</v>
      </c>
      <c r="AV271" s="89" t="s">
        <v>646</v>
      </c>
      <c r="AW271" s="89" t="s">
        <v>646</v>
      </c>
      <c r="AX271" s="89" t="s">
        <v>646</v>
      </c>
      <c r="AY271" s="89" t="s">
        <v>19846</v>
      </c>
      <c r="AZ271" s="89" t="s">
        <v>19847</v>
      </c>
      <c r="BA271" s="89" t="s">
        <v>646</v>
      </c>
      <c r="BB271" s="89" t="s">
        <v>646</v>
      </c>
      <c r="BC271" s="89" t="s">
        <v>646</v>
      </c>
      <c r="BD271" s="89" t="s">
        <v>19848</v>
      </c>
      <c r="BE271" s="89">
        <v>2019</v>
      </c>
      <c r="BF271" s="89">
        <v>24</v>
      </c>
      <c r="BG271" s="89">
        <v>6</v>
      </c>
      <c r="BH271" s="89" t="s">
        <v>646</v>
      </c>
      <c r="BI271" s="89" t="s">
        <v>646</v>
      </c>
      <c r="BJ271" s="89" t="s">
        <v>646</v>
      </c>
      <c r="BK271" s="89" t="s">
        <v>646</v>
      </c>
      <c r="BL271" s="89">
        <v>603</v>
      </c>
      <c r="BM271" s="89">
        <v>614</v>
      </c>
      <c r="BN271" s="89" t="s">
        <v>646</v>
      </c>
      <c r="BO271" s="89" t="str">
        <f>HYPERLINK("http://dx.doi.org/10.1080/10810730.2019.1643954","http://dx.doi.org/10.1080/10810730.2019.1643954")</f>
        <v>http://dx.doi.org/10.1080/10810730.2019.1643954</v>
      </c>
      <c r="BP271" s="89" t="s">
        <v>646</v>
      </c>
      <c r="BQ271" s="89" t="s">
        <v>18510</v>
      </c>
      <c r="BR271" s="89" t="s">
        <v>646</v>
      </c>
      <c r="BS271" s="89" t="s">
        <v>646</v>
      </c>
      <c r="BT271" s="89" t="s">
        <v>646</v>
      </c>
      <c r="BU271" s="89" t="s">
        <v>646</v>
      </c>
      <c r="BV271" s="89" t="s">
        <v>646</v>
      </c>
      <c r="BW271" s="89">
        <v>31335267</v>
      </c>
      <c r="BX271" s="89" t="s">
        <v>646</v>
      </c>
      <c r="BY271" s="89" t="s">
        <v>646</v>
      </c>
      <c r="BZ271" s="89" t="s">
        <v>646</v>
      </c>
      <c r="CA271" s="89" t="s">
        <v>646</v>
      </c>
      <c r="CB271" s="89" t="s">
        <v>19849</v>
      </c>
      <c r="CC271" s="89" t="str">
        <f>HYPERLINK("https%3A%2F%2Fwww.webofscience.com%2Fwos%2Fwoscc%2Ffull-record%2FWOS:000478662400001","View Full Record in Web of Science")</f>
        <v>View Full Record in Web of Science</v>
      </c>
    </row>
    <row r="272" spans="1:81" ht="13.2" hidden="1" x14ac:dyDescent="0.25">
      <c r="A272" s="89" t="s">
        <v>19850</v>
      </c>
      <c r="B272" s="89" t="e">
        <f>+#REF!</f>
        <v>#REF!</v>
      </c>
      <c r="C272" s="89"/>
      <c r="D272" s="91" t="s">
        <v>717</v>
      </c>
      <c r="E272" s="90" t="e">
        <v>#REF!</v>
      </c>
      <c r="F272" s="89"/>
      <c r="G272" s="89"/>
      <c r="H272" s="89" t="s">
        <v>11666</v>
      </c>
      <c r="I272" s="89" t="s">
        <v>19851</v>
      </c>
      <c r="J272" s="89" t="s">
        <v>19858</v>
      </c>
      <c r="K272" s="89" t="s">
        <v>19857</v>
      </c>
      <c r="M272" s="89">
        <v>2017</v>
      </c>
      <c r="N272" s="89" t="s">
        <v>19852</v>
      </c>
      <c r="O272" s="89" t="s">
        <v>646</v>
      </c>
      <c r="P272" s="89" t="str">
        <f>HYPERLINK("http://dx.doi.org/10.1145/2998181.2998327","http://dx.doi.org/10.1145/2998181.2998327")</f>
        <v>http://dx.doi.org/10.1145/2998181.2998327</v>
      </c>
      <c r="S272" s="89" t="s">
        <v>17804</v>
      </c>
      <c r="U272" s="89" t="s">
        <v>17474</v>
      </c>
      <c r="W272" s="89" t="s">
        <v>646</v>
      </c>
      <c r="X272" s="89" t="s">
        <v>646</v>
      </c>
      <c r="Y272" s="89" t="s">
        <v>19853</v>
      </c>
      <c r="Z272" s="89" t="s">
        <v>19854</v>
      </c>
      <c r="AA272" s="89" t="s">
        <v>19855</v>
      </c>
      <c r="AB272" s="89" t="s">
        <v>19856</v>
      </c>
      <c r="AC272" s="89" t="s">
        <v>646</v>
      </c>
      <c r="AD272" s="89" t="s">
        <v>646</v>
      </c>
      <c r="AE272" s="89" t="s">
        <v>646</v>
      </c>
      <c r="AF272" s="89" t="s">
        <v>19857</v>
      </c>
      <c r="AG272" s="89" t="s">
        <v>646</v>
      </c>
      <c r="AH272" s="89" t="s">
        <v>646</v>
      </c>
      <c r="AI272" s="89" t="s">
        <v>646</v>
      </c>
      <c r="AJ272" s="89" t="s">
        <v>646</v>
      </c>
      <c r="AK272" s="89" t="s">
        <v>19858</v>
      </c>
      <c r="AL272" s="89" t="s">
        <v>19859</v>
      </c>
      <c r="AM272" s="89" t="s">
        <v>646</v>
      </c>
      <c r="AN272" s="89" t="s">
        <v>646</v>
      </c>
      <c r="AO272" s="89" t="s">
        <v>646</v>
      </c>
      <c r="AP272" s="89" t="s">
        <v>646</v>
      </c>
      <c r="AQ272" s="89" t="s">
        <v>646</v>
      </c>
      <c r="AR272" s="89" t="s">
        <v>646</v>
      </c>
      <c r="AS272" s="89" t="s">
        <v>646</v>
      </c>
      <c r="AT272" s="89" t="s">
        <v>646</v>
      </c>
      <c r="AU272" s="89" t="s">
        <v>646</v>
      </c>
      <c r="AV272" s="89" t="s">
        <v>646</v>
      </c>
      <c r="AW272" s="89" t="s">
        <v>646</v>
      </c>
      <c r="AX272" s="89" t="s">
        <v>646</v>
      </c>
      <c r="AY272" s="89" t="s">
        <v>646</v>
      </c>
      <c r="AZ272" s="89" t="s">
        <v>646</v>
      </c>
      <c r="BA272" s="89" t="s">
        <v>19860</v>
      </c>
      <c r="BB272" s="89" t="s">
        <v>646</v>
      </c>
      <c r="BC272" s="89" t="s">
        <v>646</v>
      </c>
      <c r="BD272" s="89" t="s">
        <v>646</v>
      </c>
      <c r="BE272" s="89">
        <v>2017</v>
      </c>
      <c r="BF272" s="89" t="s">
        <v>646</v>
      </c>
      <c r="BG272" s="89" t="s">
        <v>646</v>
      </c>
      <c r="BH272" s="89" t="s">
        <v>646</v>
      </c>
      <c r="BI272" s="89" t="s">
        <v>646</v>
      </c>
      <c r="BJ272" s="89" t="s">
        <v>646</v>
      </c>
      <c r="BK272" s="89" t="s">
        <v>646</v>
      </c>
      <c r="BL272" s="89">
        <v>1914</v>
      </c>
      <c r="BM272" s="89">
        <v>1933</v>
      </c>
      <c r="BN272" s="89" t="s">
        <v>646</v>
      </c>
      <c r="BO272" s="89" t="str">
        <f>HYPERLINK("http://dx.doi.org/10.1145/2998181.2998327","http://dx.doi.org/10.1145/2998181.2998327")</f>
        <v>http://dx.doi.org/10.1145/2998181.2998327</v>
      </c>
      <c r="BP272" s="89" t="s">
        <v>646</v>
      </c>
      <c r="BQ272" s="89" t="s">
        <v>646</v>
      </c>
      <c r="BR272" s="89" t="s">
        <v>646</v>
      </c>
      <c r="BS272" s="89" t="s">
        <v>646</v>
      </c>
      <c r="BT272" s="89" t="s">
        <v>646</v>
      </c>
      <c r="BU272" s="89" t="s">
        <v>646</v>
      </c>
      <c r="BV272" s="89" t="s">
        <v>646</v>
      </c>
      <c r="BW272" s="89" t="s">
        <v>646</v>
      </c>
      <c r="BX272" s="89" t="s">
        <v>646</v>
      </c>
      <c r="BY272" s="89" t="s">
        <v>646</v>
      </c>
      <c r="BZ272" s="89" t="s">
        <v>646</v>
      </c>
      <c r="CA272" s="89" t="s">
        <v>646</v>
      </c>
      <c r="CB272" s="89" t="s">
        <v>19861</v>
      </c>
      <c r="CC272" s="89" t="str">
        <f>HYPERLINK("https%3A%2F%2Fwww.webofscience.com%2Fwos%2Fwoscc%2Ffull-record%2FWOS:000455087800140","View Full Record in Web of Science")</f>
        <v>View Full Record in Web of Science</v>
      </c>
    </row>
    <row r="273" spans="1:81" ht="13.2" hidden="1" x14ac:dyDescent="0.25">
      <c r="A273" s="89" t="s">
        <v>9129</v>
      </c>
      <c r="B273" s="89" t="e">
        <f>+#REF!</f>
        <v>#REF!</v>
      </c>
      <c r="C273" s="89"/>
      <c r="D273" s="91" t="s">
        <v>717</v>
      </c>
      <c r="E273" s="90" t="e">
        <v>#REF!</v>
      </c>
      <c r="F273" s="89"/>
      <c r="G273" s="89"/>
      <c r="H273" s="89" t="s">
        <v>9130</v>
      </c>
      <c r="I273" s="89" t="s">
        <v>19862</v>
      </c>
      <c r="J273" s="89" t="s">
        <v>19865</v>
      </c>
      <c r="K273" s="89" t="s">
        <v>19864</v>
      </c>
      <c r="M273" s="89">
        <v>2022</v>
      </c>
      <c r="N273" s="89" t="s">
        <v>19863</v>
      </c>
      <c r="O273" s="89" t="s">
        <v>646</v>
      </c>
      <c r="P273" s="89" t="str">
        <f>HYPERLINK("http://dx.doi.org/10.3390/admsci12020051","http://dx.doi.org/10.3390/admsci12020051")</f>
        <v>http://dx.doi.org/10.3390/admsci12020051</v>
      </c>
      <c r="S273" s="89" t="s">
        <v>646</v>
      </c>
      <c r="U273" s="89" t="s">
        <v>17462</v>
      </c>
      <c r="W273" s="89" t="s">
        <v>646</v>
      </c>
      <c r="X273" s="89" t="s">
        <v>646</v>
      </c>
      <c r="Y273" s="89" t="s">
        <v>646</v>
      </c>
      <c r="Z273" s="89" t="s">
        <v>646</v>
      </c>
      <c r="AA273" s="89" t="s">
        <v>646</v>
      </c>
      <c r="AB273" s="89" t="s">
        <v>646</v>
      </c>
      <c r="AC273" s="89" t="s">
        <v>646</v>
      </c>
      <c r="AD273" s="89" t="s">
        <v>646</v>
      </c>
      <c r="AE273" s="89" t="s">
        <v>646</v>
      </c>
      <c r="AF273" s="89" t="s">
        <v>19864</v>
      </c>
      <c r="AG273" s="89" t="s">
        <v>646</v>
      </c>
      <c r="AH273" s="89" t="s">
        <v>646</v>
      </c>
      <c r="AI273" s="89" t="s">
        <v>646</v>
      </c>
      <c r="AJ273" s="89" t="s">
        <v>646</v>
      </c>
      <c r="AK273" s="89" t="s">
        <v>19865</v>
      </c>
      <c r="AL273" s="89" t="s">
        <v>19866</v>
      </c>
      <c r="AM273" s="89" t="s">
        <v>646</v>
      </c>
      <c r="AN273" s="89" t="s">
        <v>646</v>
      </c>
      <c r="AO273" s="89" t="s">
        <v>646</v>
      </c>
      <c r="AP273" s="89" t="s">
        <v>646</v>
      </c>
      <c r="AQ273" s="89" t="s">
        <v>646</v>
      </c>
      <c r="AR273" s="89" t="s">
        <v>646</v>
      </c>
      <c r="AS273" s="89" t="s">
        <v>646</v>
      </c>
      <c r="AT273" s="89" t="s">
        <v>646</v>
      </c>
      <c r="AU273" s="89" t="s">
        <v>646</v>
      </c>
      <c r="AV273" s="89" t="s">
        <v>646</v>
      </c>
      <c r="AW273" s="89" t="s">
        <v>646</v>
      </c>
      <c r="AX273" s="89" t="s">
        <v>646</v>
      </c>
      <c r="AY273" s="89" t="s">
        <v>646</v>
      </c>
      <c r="AZ273" s="89" t="s">
        <v>19867</v>
      </c>
      <c r="BA273" s="89" t="s">
        <v>646</v>
      </c>
      <c r="BB273" s="89" t="s">
        <v>646</v>
      </c>
      <c r="BC273" s="89" t="s">
        <v>646</v>
      </c>
      <c r="BD273" s="89" t="s">
        <v>17772</v>
      </c>
      <c r="BE273" s="89">
        <v>2022</v>
      </c>
      <c r="BF273" s="89">
        <v>12</v>
      </c>
      <c r="BG273" s="89">
        <v>2</v>
      </c>
      <c r="BH273" s="89" t="s">
        <v>646</v>
      </c>
      <c r="BI273" s="89" t="s">
        <v>646</v>
      </c>
      <c r="BJ273" s="89" t="s">
        <v>646</v>
      </c>
      <c r="BK273" s="89" t="s">
        <v>646</v>
      </c>
      <c r="BL273" s="89" t="s">
        <v>646</v>
      </c>
      <c r="BM273" s="89" t="s">
        <v>646</v>
      </c>
      <c r="BN273" s="89">
        <v>51</v>
      </c>
      <c r="BO273" s="89" t="str">
        <f>HYPERLINK("http://dx.doi.org/10.3390/admsci12020051","http://dx.doi.org/10.3390/admsci12020051")</f>
        <v>http://dx.doi.org/10.3390/admsci12020051</v>
      </c>
      <c r="BP273" s="89" t="s">
        <v>646</v>
      </c>
      <c r="BQ273" s="89" t="s">
        <v>646</v>
      </c>
      <c r="BR273" s="89" t="s">
        <v>646</v>
      </c>
      <c r="BS273" s="89" t="s">
        <v>646</v>
      </c>
      <c r="BT273" s="89" t="s">
        <v>646</v>
      </c>
      <c r="BU273" s="89" t="s">
        <v>646</v>
      </c>
      <c r="BV273" s="89" t="s">
        <v>646</v>
      </c>
      <c r="BW273" s="89" t="s">
        <v>646</v>
      </c>
      <c r="BX273" s="89" t="s">
        <v>646</v>
      </c>
      <c r="BY273" s="89" t="s">
        <v>646</v>
      </c>
      <c r="BZ273" s="89" t="s">
        <v>646</v>
      </c>
      <c r="CA273" s="89" t="s">
        <v>646</v>
      </c>
      <c r="CB273" s="89" t="s">
        <v>19868</v>
      </c>
      <c r="CC273" s="89" t="str">
        <f>HYPERLINK("https%3A%2F%2Fwww.webofscience.com%2Fwos%2Fwoscc%2Ffull-record%2FWOS:000815989500001","View Full Record in Web of Science")</f>
        <v>View Full Record in Web of Science</v>
      </c>
    </row>
    <row r="274" spans="1:81" ht="13.2" hidden="1" x14ac:dyDescent="0.25">
      <c r="A274" s="89" t="s">
        <v>16404</v>
      </c>
      <c r="B274" s="89" t="e">
        <f>+#REF!</f>
        <v>#REF!</v>
      </c>
      <c r="C274" s="89"/>
      <c r="D274" s="91" t="s">
        <v>717</v>
      </c>
      <c r="E274" s="90" t="e">
        <v>#REF!</v>
      </c>
      <c r="F274" s="89"/>
      <c r="G274" s="89"/>
      <c r="H274" s="89" t="s">
        <v>16405</v>
      </c>
      <c r="I274" s="89" t="s">
        <v>19869</v>
      </c>
      <c r="J274" s="89" t="s">
        <v>646</v>
      </c>
      <c r="K274" s="89" t="s">
        <v>19871</v>
      </c>
      <c r="M274" s="89">
        <v>2020</v>
      </c>
      <c r="N274" s="89" t="s">
        <v>19870</v>
      </c>
      <c r="O274" s="89" t="s">
        <v>646</v>
      </c>
      <c r="P274" s="89" t="str">
        <f>HYPERLINK("http://dx.doi.org/10.1007/s11548-020-02269-x","http://dx.doi.org/10.1007/s11548-020-02269-x")</f>
        <v>http://dx.doi.org/10.1007/s11548-020-02269-x</v>
      </c>
      <c r="S274" s="89" t="s">
        <v>646</v>
      </c>
      <c r="U274" s="89" t="s">
        <v>17462</v>
      </c>
      <c r="W274" s="89" t="s">
        <v>646</v>
      </c>
      <c r="X274" s="89" t="s">
        <v>646</v>
      </c>
      <c r="Y274" s="89" t="s">
        <v>646</v>
      </c>
      <c r="Z274" s="89" t="s">
        <v>646</v>
      </c>
      <c r="AA274" s="89" t="s">
        <v>646</v>
      </c>
      <c r="AB274" s="89" t="s">
        <v>646</v>
      </c>
      <c r="AC274" s="89" t="s">
        <v>646</v>
      </c>
      <c r="AD274" s="89" t="s">
        <v>646</v>
      </c>
      <c r="AE274" s="89" t="s">
        <v>646</v>
      </c>
      <c r="AF274" s="89" t="s">
        <v>19871</v>
      </c>
      <c r="AG274" s="89" t="s">
        <v>646</v>
      </c>
      <c r="AH274" s="89" t="s">
        <v>646</v>
      </c>
      <c r="AI274" s="89" t="s">
        <v>646</v>
      </c>
      <c r="AJ274" s="89" t="s">
        <v>646</v>
      </c>
      <c r="AK274" s="89" t="s">
        <v>646</v>
      </c>
      <c r="AL274" s="89" t="s">
        <v>646</v>
      </c>
      <c r="AM274" s="89" t="s">
        <v>646</v>
      </c>
      <c r="AN274" s="89" t="s">
        <v>646</v>
      </c>
      <c r="AO274" s="89" t="s">
        <v>646</v>
      </c>
      <c r="AP274" s="89" t="s">
        <v>646</v>
      </c>
      <c r="AQ274" s="89" t="s">
        <v>646</v>
      </c>
      <c r="AR274" s="89" t="s">
        <v>646</v>
      </c>
      <c r="AS274" s="89" t="s">
        <v>646</v>
      </c>
      <c r="AT274" s="89" t="s">
        <v>646</v>
      </c>
      <c r="AU274" s="89" t="s">
        <v>646</v>
      </c>
      <c r="AV274" s="89" t="s">
        <v>646</v>
      </c>
      <c r="AW274" s="89" t="s">
        <v>646</v>
      </c>
      <c r="AX274" s="89" t="s">
        <v>646</v>
      </c>
      <c r="AY274" s="89" t="s">
        <v>19872</v>
      </c>
      <c r="AZ274" s="89" t="s">
        <v>19873</v>
      </c>
      <c r="BA274" s="89" t="s">
        <v>646</v>
      </c>
      <c r="BB274" s="89" t="s">
        <v>646</v>
      </c>
      <c r="BC274" s="89" t="s">
        <v>646</v>
      </c>
      <c r="BD274" s="89" t="s">
        <v>17615</v>
      </c>
      <c r="BE274" s="89">
        <v>2020</v>
      </c>
      <c r="BF274" s="89">
        <v>15</v>
      </c>
      <c r="BG274" s="89">
        <v>12</v>
      </c>
      <c r="BH274" s="89" t="s">
        <v>646</v>
      </c>
      <c r="BI274" s="89" t="s">
        <v>646</v>
      </c>
      <c r="BJ274" s="89" t="s">
        <v>646</v>
      </c>
      <c r="BK274" s="89" t="s">
        <v>646</v>
      </c>
      <c r="BL274" s="89">
        <v>2079</v>
      </c>
      <c r="BM274" s="89">
        <v>2088</v>
      </c>
      <c r="BN274" s="89" t="s">
        <v>646</v>
      </c>
      <c r="BO274" s="89" t="str">
        <f>HYPERLINK("http://dx.doi.org/10.1007/s11548-020-02269-x","http://dx.doi.org/10.1007/s11548-020-02269-x")</f>
        <v>http://dx.doi.org/10.1007/s11548-020-02269-x</v>
      </c>
      <c r="BP274" s="89" t="s">
        <v>646</v>
      </c>
      <c r="BQ274" s="89" t="s">
        <v>19874</v>
      </c>
      <c r="BR274" s="89" t="s">
        <v>646</v>
      </c>
      <c r="BS274" s="89" t="s">
        <v>646</v>
      </c>
      <c r="BT274" s="89" t="s">
        <v>646</v>
      </c>
      <c r="BU274" s="89" t="s">
        <v>646</v>
      </c>
      <c r="BV274" s="89" t="s">
        <v>646</v>
      </c>
      <c r="BW274" s="89">
        <v>33000365</v>
      </c>
      <c r="BX274" s="89" t="s">
        <v>646</v>
      </c>
      <c r="BY274" s="89" t="s">
        <v>646</v>
      </c>
      <c r="BZ274" s="89" t="s">
        <v>646</v>
      </c>
      <c r="CA274" s="89" t="s">
        <v>646</v>
      </c>
      <c r="CB274" s="89" t="s">
        <v>19875</v>
      </c>
      <c r="CC274" s="89" t="str">
        <f>HYPERLINK("https%3A%2F%2Fwww.webofscience.com%2Fwos%2Fwoscc%2Ffull-record%2FWOS:000574055900001","View Full Record in Web of Science")</f>
        <v>View Full Record in Web of Science</v>
      </c>
    </row>
    <row r="275" spans="1:81" ht="13.2" hidden="1" x14ac:dyDescent="0.25">
      <c r="A275" s="89" t="s">
        <v>19876</v>
      </c>
      <c r="B275" s="89" t="e">
        <f>+#REF!</f>
        <v>#REF!</v>
      </c>
      <c r="C275" s="89"/>
      <c r="D275" s="91" t="s">
        <v>717</v>
      </c>
      <c r="E275" s="90" t="e">
        <v>#REF!</v>
      </c>
      <c r="F275" s="89"/>
      <c r="G275" s="89"/>
      <c r="H275" s="89" t="s">
        <v>646</v>
      </c>
      <c r="I275" s="89" t="s">
        <v>19878</v>
      </c>
      <c r="J275" s="89" t="s">
        <v>646</v>
      </c>
      <c r="K275" s="89" t="s">
        <v>19883</v>
      </c>
      <c r="M275" s="89">
        <v>2017</v>
      </c>
      <c r="N275" s="89" t="s">
        <v>19879</v>
      </c>
      <c r="O275" s="89" t="s">
        <v>19877</v>
      </c>
      <c r="P275" s="89" t="s">
        <v>646</v>
      </c>
      <c r="S275" s="89" t="s">
        <v>646</v>
      </c>
      <c r="U275" s="89" t="s">
        <v>17474</v>
      </c>
      <c r="W275" s="89" t="s">
        <v>646</v>
      </c>
      <c r="X275" s="89" t="s">
        <v>646</v>
      </c>
      <c r="Y275" s="89" t="s">
        <v>19880</v>
      </c>
      <c r="Z275" s="89" t="s">
        <v>19881</v>
      </c>
      <c r="AA275" s="89" t="s">
        <v>19882</v>
      </c>
      <c r="AB275" s="89" t="s">
        <v>17475</v>
      </c>
      <c r="AC275" s="89" t="s">
        <v>646</v>
      </c>
      <c r="AD275" s="89" t="s">
        <v>646</v>
      </c>
      <c r="AE275" s="89" t="s">
        <v>646</v>
      </c>
      <c r="AF275" s="89" t="s">
        <v>19883</v>
      </c>
      <c r="AG275" s="89" t="s">
        <v>646</v>
      </c>
      <c r="AH275" s="89" t="s">
        <v>646</v>
      </c>
      <c r="AI275" s="89" t="s">
        <v>646</v>
      </c>
      <c r="AJ275" s="89" t="s">
        <v>646</v>
      </c>
      <c r="AK275" s="89" t="s">
        <v>646</v>
      </c>
      <c r="AL275" s="89" t="s">
        <v>646</v>
      </c>
      <c r="AM275" s="89" t="s">
        <v>646</v>
      </c>
      <c r="AN275" s="89" t="s">
        <v>646</v>
      </c>
      <c r="AO275" s="89" t="s">
        <v>646</v>
      </c>
      <c r="AP275" s="89" t="s">
        <v>646</v>
      </c>
      <c r="AQ275" s="89" t="s">
        <v>646</v>
      </c>
      <c r="AR275" s="89" t="s">
        <v>646</v>
      </c>
      <c r="AS275" s="89" t="s">
        <v>646</v>
      </c>
      <c r="AT275" s="89" t="s">
        <v>646</v>
      </c>
      <c r="AU275" s="89" t="s">
        <v>646</v>
      </c>
      <c r="AV275" s="89" t="s">
        <v>646</v>
      </c>
      <c r="AW275" s="89" t="s">
        <v>646</v>
      </c>
      <c r="AX275" s="89" t="s">
        <v>646</v>
      </c>
      <c r="AY275" s="89" t="s">
        <v>646</v>
      </c>
      <c r="AZ275" s="89" t="s">
        <v>646</v>
      </c>
      <c r="BA275" s="89" t="s">
        <v>19884</v>
      </c>
      <c r="BB275" s="89" t="s">
        <v>646</v>
      </c>
      <c r="BC275" s="89" t="s">
        <v>646</v>
      </c>
      <c r="BD275" s="89" t="s">
        <v>646</v>
      </c>
      <c r="BE275" s="89">
        <v>2017</v>
      </c>
      <c r="BF275" s="89" t="s">
        <v>646</v>
      </c>
      <c r="BG275" s="89" t="s">
        <v>646</v>
      </c>
      <c r="BH275" s="89" t="s">
        <v>646</v>
      </c>
      <c r="BI275" s="89" t="s">
        <v>646</v>
      </c>
      <c r="BJ275" s="89" t="s">
        <v>646</v>
      </c>
      <c r="BK275" s="89" t="s">
        <v>646</v>
      </c>
      <c r="BL275" s="89">
        <v>25</v>
      </c>
      <c r="BM275" s="89">
        <v>28</v>
      </c>
      <c r="BN275" s="89" t="s">
        <v>646</v>
      </c>
      <c r="BO275" s="89" t="s">
        <v>646</v>
      </c>
      <c r="BP275" s="89" t="s">
        <v>646</v>
      </c>
      <c r="BQ275" s="89" t="s">
        <v>646</v>
      </c>
      <c r="BR275" s="89" t="s">
        <v>646</v>
      </c>
      <c r="BS275" s="89" t="s">
        <v>646</v>
      </c>
      <c r="BT275" s="89" t="s">
        <v>646</v>
      </c>
      <c r="BU275" s="89" t="s">
        <v>646</v>
      </c>
      <c r="BV275" s="89" t="s">
        <v>646</v>
      </c>
      <c r="BW275" s="89" t="s">
        <v>646</v>
      </c>
      <c r="BX275" s="89" t="s">
        <v>646</v>
      </c>
      <c r="BY275" s="89" t="s">
        <v>646</v>
      </c>
      <c r="BZ275" s="89" t="s">
        <v>646</v>
      </c>
      <c r="CA275" s="89" t="s">
        <v>646</v>
      </c>
      <c r="CB275" s="89" t="s">
        <v>19885</v>
      </c>
      <c r="CC275" s="89" t="str">
        <f>HYPERLINK("https%3A%2F%2Fwww.webofscience.com%2Fwos%2Fwoscc%2Ffull-record%2FWOS:000425946800005","View Full Record in Web of Science")</f>
        <v>View Full Record in Web of Science</v>
      </c>
    </row>
    <row r="276" spans="1:81" ht="13.2" hidden="1" x14ac:dyDescent="0.25">
      <c r="A276" s="89" t="s">
        <v>11682</v>
      </c>
      <c r="B276" s="89" t="e">
        <f>+#REF!</f>
        <v>#REF!</v>
      </c>
      <c r="C276" s="89"/>
      <c r="D276" s="91" t="s">
        <v>717</v>
      </c>
      <c r="E276" s="90" t="e">
        <v>#REF!</v>
      </c>
      <c r="F276" s="89"/>
      <c r="G276" s="89"/>
      <c r="H276" s="89" t="s">
        <v>11683</v>
      </c>
      <c r="I276" s="89" t="s">
        <v>19886</v>
      </c>
      <c r="J276" s="89" t="s">
        <v>646</v>
      </c>
      <c r="K276" s="89" t="s">
        <v>19887</v>
      </c>
      <c r="M276" s="89">
        <v>2019</v>
      </c>
      <c r="N276" s="89" t="s">
        <v>17922</v>
      </c>
      <c r="O276" s="89" t="s">
        <v>646</v>
      </c>
      <c r="P276" s="89" t="str">
        <f>HYPERLINK("http://dx.doi.org/10.1097/PRS.0000000000005523","http://dx.doi.org/10.1097/PRS.0000000000005523")</f>
        <v>http://dx.doi.org/10.1097/PRS.0000000000005523</v>
      </c>
      <c r="S276" s="89" t="s">
        <v>646</v>
      </c>
      <c r="U276" s="89" t="s">
        <v>17462</v>
      </c>
      <c r="W276" s="89" t="s">
        <v>646</v>
      </c>
      <c r="X276" s="89" t="s">
        <v>646</v>
      </c>
      <c r="Y276" s="89" t="s">
        <v>646</v>
      </c>
      <c r="Z276" s="89" t="s">
        <v>646</v>
      </c>
      <c r="AA276" s="89" t="s">
        <v>646</v>
      </c>
      <c r="AB276" s="89" t="s">
        <v>646</v>
      </c>
      <c r="AC276" s="89" t="s">
        <v>646</v>
      </c>
      <c r="AD276" s="89" t="s">
        <v>646</v>
      </c>
      <c r="AE276" s="89" t="s">
        <v>646</v>
      </c>
      <c r="AF276" s="89" t="s">
        <v>19887</v>
      </c>
      <c r="AG276" s="89" t="s">
        <v>646</v>
      </c>
      <c r="AH276" s="89" t="s">
        <v>646</v>
      </c>
      <c r="AI276" s="89" t="s">
        <v>646</v>
      </c>
      <c r="AJ276" s="89" t="s">
        <v>646</v>
      </c>
      <c r="AK276" s="89" t="s">
        <v>646</v>
      </c>
      <c r="AL276" s="89" t="s">
        <v>19888</v>
      </c>
      <c r="AM276" s="89" t="s">
        <v>646</v>
      </c>
      <c r="AN276" s="89" t="s">
        <v>646</v>
      </c>
      <c r="AO276" s="89" t="s">
        <v>646</v>
      </c>
      <c r="AP276" s="89" t="s">
        <v>646</v>
      </c>
      <c r="AQ276" s="89" t="s">
        <v>646</v>
      </c>
      <c r="AR276" s="89" t="s">
        <v>646</v>
      </c>
      <c r="AS276" s="89" t="s">
        <v>646</v>
      </c>
      <c r="AT276" s="89" t="s">
        <v>646</v>
      </c>
      <c r="AU276" s="89" t="s">
        <v>646</v>
      </c>
      <c r="AV276" s="89" t="s">
        <v>646</v>
      </c>
      <c r="AW276" s="89" t="s">
        <v>646</v>
      </c>
      <c r="AX276" s="89" t="s">
        <v>646</v>
      </c>
      <c r="AY276" s="89" t="s">
        <v>17930</v>
      </c>
      <c r="AZ276" s="89" t="s">
        <v>17931</v>
      </c>
      <c r="BA276" s="89" t="s">
        <v>646</v>
      </c>
      <c r="BB276" s="89" t="s">
        <v>646</v>
      </c>
      <c r="BC276" s="89" t="s">
        <v>646</v>
      </c>
      <c r="BD276" s="89" t="s">
        <v>18436</v>
      </c>
      <c r="BE276" s="89">
        <v>2019</v>
      </c>
      <c r="BF276" s="89">
        <v>143</v>
      </c>
      <c r="BG276" s="89">
        <v>5</v>
      </c>
      <c r="BH276" s="89" t="s">
        <v>646</v>
      </c>
      <c r="BI276" s="89" t="s">
        <v>646</v>
      </c>
      <c r="BJ276" s="89" t="s">
        <v>646</v>
      </c>
      <c r="BK276" s="89" t="s">
        <v>646</v>
      </c>
      <c r="BL276" s="89" t="s">
        <v>19889</v>
      </c>
      <c r="BM276" s="89" t="s">
        <v>19890</v>
      </c>
      <c r="BN276" s="89" t="s">
        <v>646</v>
      </c>
      <c r="BO276" s="89" t="str">
        <f>HYPERLINK("http://dx.doi.org/10.1097/PRS.0000000000005523","http://dx.doi.org/10.1097/PRS.0000000000005523")</f>
        <v>http://dx.doi.org/10.1097/PRS.0000000000005523</v>
      </c>
      <c r="BP276" s="89" t="s">
        <v>646</v>
      </c>
      <c r="BQ276" s="89" t="s">
        <v>646</v>
      </c>
      <c r="BR276" s="89" t="s">
        <v>646</v>
      </c>
      <c r="BS276" s="89" t="s">
        <v>646</v>
      </c>
      <c r="BT276" s="89" t="s">
        <v>646</v>
      </c>
      <c r="BU276" s="89" t="s">
        <v>646</v>
      </c>
      <c r="BV276" s="89" t="s">
        <v>646</v>
      </c>
      <c r="BW276" s="89">
        <v>31033815</v>
      </c>
      <c r="BX276" s="89" t="s">
        <v>646</v>
      </c>
      <c r="BY276" s="89" t="s">
        <v>646</v>
      </c>
      <c r="BZ276" s="89" t="s">
        <v>646</v>
      </c>
      <c r="CA276" s="89" t="s">
        <v>646</v>
      </c>
      <c r="CB276" s="89" t="s">
        <v>19891</v>
      </c>
      <c r="CC276" s="89" t="str">
        <f>HYPERLINK("https%3A%2F%2Fwww.webofscience.com%2Fwos%2Fwoscc%2Ffull-record%2FWOS:000466117600004","View Full Record in Web of Science")</f>
        <v>View Full Record in Web of Science</v>
      </c>
    </row>
    <row r="277" spans="1:81" ht="13.2" hidden="1" x14ac:dyDescent="0.25">
      <c r="A277" s="89" t="s">
        <v>9139</v>
      </c>
      <c r="B277" s="89" t="e">
        <f>+#REF!</f>
        <v>#REF!</v>
      </c>
      <c r="C277" s="89"/>
      <c r="D277" s="91" t="s">
        <v>717</v>
      </c>
      <c r="E277" s="90" t="e">
        <v>#REF!</v>
      </c>
      <c r="F277" s="89"/>
      <c r="G277" s="89"/>
      <c r="H277" s="89" t="s">
        <v>9140</v>
      </c>
      <c r="I277" s="89" t="s">
        <v>19893</v>
      </c>
      <c r="J277" s="89" t="s">
        <v>646</v>
      </c>
      <c r="K277" s="89" t="s">
        <v>19899</v>
      </c>
      <c r="M277" s="89">
        <v>2021</v>
      </c>
      <c r="N277" s="89" t="s">
        <v>19894</v>
      </c>
      <c r="O277" s="89" t="s">
        <v>19892</v>
      </c>
      <c r="P277" s="89" t="str">
        <f>HYPERLINK("http://dx.doi.org/10.1007/978-3-030-79725-6_26","http://dx.doi.org/10.1007/978-3-030-79725-6_26")</f>
        <v>http://dx.doi.org/10.1007/978-3-030-79725-6_26</v>
      </c>
      <c r="S277" s="89" t="s">
        <v>646</v>
      </c>
      <c r="U277" s="89" t="s">
        <v>17474</v>
      </c>
      <c r="W277" s="89" t="s">
        <v>646</v>
      </c>
      <c r="X277" s="89" t="s">
        <v>646</v>
      </c>
      <c r="Y277" s="89" t="s">
        <v>19895</v>
      </c>
      <c r="Z277" s="89" t="s">
        <v>19896</v>
      </c>
      <c r="AA277" s="89" t="s">
        <v>19897</v>
      </c>
      <c r="AB277" s="89" t="s">
        <v>646</v>
      </c>
      <c r="AC277" s="89" t="s">
        <v>19898</v>
      </c>
      <c r="AD277" s="89" t="s">
        <v>646</v>
      </c>
      <c r="AE277" s="89" t="s">
        <v>646</v>
      </c>
      <c r="AF277" s="89" t="s">
        <v>19899</v>
      </c>
      <c r="AG277" s="89" t="s">
        <v>646</v>
      </c>
      <c r="AH277" s="89" t="s">
        <v>646</v>
      </c>
      <c r="AI277" s="89" t="s">
        <v>646</v>
      </c>
      <c r="AJ277" s="89" t="s">
        <v>646</v>
      </c>
      <c r="AK277" s="89" t="s">
        <v>646</v>
      </c>
      <c r="AL277" s="89" t="s">
        <v>646</v>
      </c>
      <c r="AM277" s="89" t="s">
        <v>646</v>
      </c>
      <c r="AN277" s="89" t="s">
        <v>646</v>
      </c>
      <c r="AO277" s="89" t="s">
        <v>646</v>
      </c>
      <c r="AP277" s="89" t="s">
        <v>646</v>
      </c>
      <c r="AQ277" s="89" t="s">
        <v>646</v>
      </c>
      <c r="AR277" s="89" t="s">
        <v>646</v>
      </c>
      <c r="AS277" s="89" t="s">
        <v>646</v>
      </c>
      <c r="AT277" s="89" t="s">
        <v>646</v>
      </c>
      <c r="AU277" s="89" t="s">
        <v>646</v>
      </c>
      <c r="AV277" s="89" t="s">
        <v>646</v>
      </c>
      <c r="AW277" s="89" t="s">
        <v>646</v>
      </c>
      <c r="AX277" s="89" t="s">
        <v>646</v>
      </c>
      <c r="AY277" s="89" t="s">
        <v>19900</v>
      </c>
      <c r="AZ277" s="89" t="s">
        <v>19901</v>
      </c>
      <c r="BA277" s="89" t="s">
        <v>19902</v>
      </c>
      <c r="BB277" s="89" t="s">
        <v>646</v>
      </c>
      <c r="BC277" s="89" t="s">
        <v>646</v>
      </c>
      <c r="BD277" s="89" t="s">
        <v>646</v>
      </c>
      <c r="BE277" s="89">
        <v>2021</v>
      </c>
      <c r="BF277" s="89">
        <v>278</v>
      </c>
      <c r="BG277" s="89" t="s">
        <v>646</v>
      </c>
      <c r="BH277" s="89" t="s">
        <v>646</v>
      </c>
      <c r="BI277" s="89" t="s">
        <v>646</v>
      </c>
      <c r="BJ277" s="89" t="s">
        <v>646</v>
      </c>
      <c r="BK277" s="89" t="s">
        <v>646</v>
      </c>
      <c r="BL277" s="89">
        <v>271</v>
      </c>
      <c r="BM277" s="89">
        <v>278</v>
      </c>
      <c r="BN277" s="89" t="s">
        <v>646</v>
      </c>
      <c r="BO277" s="89" t="str">
        <f>HYPERLINK("http://dx.doi.org/10.1007/978-3-030-79725-6_26","http://dx.doi.org/10.1007/978-3-030-79725-6_26")</f>
        <v>http://dx.doi.org/10.1007/978-3-030-79725-6_26</v>
      </c>
      <c r="BP277" s="89" t="s">
        <v>646</v>
      </c>
      <c r="BQ277" s="89" t="s">
        <v>646</v>
      </c>
      <c r="BR277" s="89" t="s">
        <v>646</v>
      </c>
      <c r="BS277" s="89" t="s">
        <v>646</v>
      </c>
      <c r="BT277" s="89" t="s">
        <v>646</v>
      </c>
      <c r="BU277" s="89" t="s">
        <v>646</v>
      </c>
      <c r="BV277" s="89" t="s">
        <v>646</v>
      </c>
      <c r="BW277" s="89" t="s">
        <v>646</v>
      </c>
      <c r="BX277" s="89" t="s">
        <v>646</v>
      </c>
      <c r="BY277" s="89" t="s">
        <v>646</v>
      </c>
      <c r="BZ277" s="89" t="s">
        <v>646</v>
      </c>
      <c r="CA277" s="89" t="s">
        <v>646</v>
      </c>
      <c r="CB277" s="89" t="s">
        <v>19903</v>
      </c>
      <c r="CC277" s="89" t="str">
        <f>HYPERLINK("https%3A%2F%2Fwww.webofscience.com%2Fwos%2Fwoscc%2Ffull-record%2FWOS:000709101300026","View Full Record in Web of Science")</f>
        <v>View Full Record in Web of Science</v>
      </c>
    </row>
    <row r="278" spans="1:81" ht="13.2" hidden="1" x14ac:dyDescent="0.25">
      <c r="A278" s="89" t="s">
        <v>19904</v>
      </c>
      <c r="B278" s="89" t="e">
        <f>+#REF!</f>
        <v>#REF!</v>
      </c>
      <c r="C278" s="89"/>
      <c r="D278" s="91" t="s">
        <v>717</v>
      </c>
      <c r="E278" s="90" t="e">
        <v>#REF!</v>
      </c>
      <c r="F278" s="89"/>
      <c r="G278" s="89"/>
      <c r="H278" s="89" t="s">
        <v>9149</v>
      </c>
      <c r="I278" s="89" t="s">
        <v>19905</v>
      </c>
      <c r="J278" s="89" t="s">
        <v>19908</v>
      </c>
      <c r="K278" s="89" t="s">
        <v>19907</v>
      </c>
      <c r="M278" s="89">
        <v>2021</v>
      </c>
      <c r="N278" s="89" t="s">
        <v>19906</v>
      </c>
      <c r="O278" s="89" t="s">
        <v>646</v>
      </c>
      <c r="P278" s="89" t="str">
        <f>HYPERLINK("http://dx.doi.org/10.1037/vio0000370","http://dx.doi.org/10.1037/vio0000370")</f>
        <v>http://dx.doi.org/10.1037/vio0000370</v>
      </c>
      <c r="S278" s="89" t="s">
        <v>646</v>
      </c>
      <c r="U278" s="89" t="s">
        <v>17462</v>
      </c>
      <c r="W278" s="89" t="s">
        <v>646</v>
      </c>
      <c r="X278" s="89" t="s">
        <v>646</v>
      </c>
      <c r="Y278" s="89" t="s">
        <v>646</v>
      </c>
      <c r="Z278" s="89" t="s">
        <v>646</v>
      </c>
      <c r="AA278" s="89" t="s">
        <v>646</v>
      </c>
      <c r="AB278" s="89" t="s">
        <v>646</v>
      </c>
      <c r="AC278" s="89" t="s">
        <v>646</v>
      </c>
      <c r="AD278" s="89" t="s">
        <v>646</v>
      </c>
      <c r="AE278" s="89" t="s">
        <v>646</v>
      </c>
      <c r="AF278" s="89" t="s">
        <v>19907</v>
      </c>
      <c r="AG278" s="89" t="s">
        <v>646</v>
      </c>
      <c r="AH278" s="89" t="s">
        <v>646</v>
      </c>
      <c r="AI278" s="89" t="s">
        <v>646</v>
      </c>
      <c r="AJ278" s="89" t="s">
        <v>646</v>
      </c>
      <c r="AK278" s="89" t="s">
        <v>19908</v>
      </c>
      <c r="AL278" s="89" t="s">
        <v>19909</v>
      </c>
      <c r="AM278" s="89" t="s">
        <v>646</v>
      </c>
      <c r="AN278" s="89" t="s">
        <v>646</v>
      </c>
      <c r="AO278" s="89" t="s">
        <v>646</v>
      </c>
      <c r="AP278" s="89" t="s">
        <v>646</v>
      </c>
      <c r="AQ278" s="89" t="s">
        <v>646</v>
      </c>
      <c r="AR278" s="89" t="s">
        <v>646</v>
      </c>
      <c r="AS278" s="89" t="s">
        <v>646</v>
      </c>
      <c r="AT278" s="89" t="s">
        <v>646</v>
      </c>
      <c r="AU278" s="89" t="s">
        <v>646</v>
      </c>
      <c r="AV278" s="89" t="s">
        <v>646</v>
      </c>
      <c r="AW278" s="89" t="s">
        <v>646</v>
      </c>
      <c r="AX278" s="89" t="s">
        <v>646</v>
      </c>
      <c r="AY278" s="89" t="s">
        <v>19910</v>
      </c>
      <c r="AZ278" s="89" t="s">
        <v>19911</v>
      </c>
      <c r="BA278" s="89" t="s">
        <v>646</v>
      </c>
      <c r="BB278" s="89" t="s">
        <v>646</v>
      </c>
      <c r="BC278" s="89" t="s">
        <v>646</v>
      </c>
      <c r="BD278" s="89" t="s">
        <v>17676</v>
      </c>
      <c r="BE278" s="89">
        <v>2021</v>
      </c>
      <c r="BF278" s="89">
        <v>11</v>
      </c>
      <c r="BG278" s="89">
        <v>4</v>
      </c>
      <c r="BH278" s="89" t="s">
        <v>646</v>
      </c>
      <c r="BI278" s="89" t="s">
        <v>646</v>
      </c>
      <c r="BJ278" s="89" t="s">
        <v>17555</v>
      </c>
      <c r="BK278" s="89" t="s">
        <v>646</v>
      </c>
      <c r="BL278" s="89">
        <v>395</v>
      </c>
      <c r="BM278" s="89">
        <v>404</v>
      </c>
      <c r="BN278" s="89" t="s">
        <v>646</v>
      </c>
      <c r="BO278" s="89" t="str">
        <f>HYPERLINK("http://dx.doi.org/10.1037/vio0000370","http://dx.doi.org/10.1037/vio0000370")</f>
        <v>http://dx.doi.org/10.1037/vio0000370</v>
      </c>
      <c r="BP278" s="89" t="s">
        <v>646</v>
      </c>
      <c r="BQ278" s="89" t="s">
        <v>646</v>
      </c>
      <c r="BR278" s="89" t="s">
        <v>646</v>
      </c>
      <c r="BS278" s="89" t="s">
        <v>646</v>
      </c>
      <c r="BT278" s="89" t="s">
        <v>646</v>
      </c>
      <c r="BU278" s="89" t="s">
        <v>646</v>
      </c>
      <c r="BV278" s="89" t="s">
        <v>646</v>
      </c>
      <c r="BW278" s="89" t="s">
        <v>646</v>
      </c>
      <c r="BX278" s="89" t="s">
        <v>646</v>
      </c>
      <c r="BY278" s="89" t="s">
        <v>646</v>
      </c>
      <c r="BZ278" s="89" t="s">
        <v>646</v>
      </c>
      <c r="CA278" s="89" t="s">
        <v>646</v>
      </c>
      <c r="CB278" s="89" t="s">
        <v>19912</v>
      </c>
      <c r="CC278" s="89" t="str">
        <f>HYPERLINK("https%3A%2F%2Fwww.webofscience.com%2Fwos%2Fwoscc%2Ffull-record%2FWOS:000717410500006","View Full Record in Web of Science")</f>
        <v>View Full Record in Web of Science</v>
      </c>
    </row>
    <row r="279" spans="1:81" ht="13.2" hidden="1" x14ac:dyDescent="0.25">
      <c r="A279" s="89" t="s">
        <v>9157</v>
      </c>
      <c r="B279" s="89" t="e">
        <f>+#REF!</f>
        <v>#REF!</v>
      </c>
      <c r="C279" s="89"/>
      <c r="D279" s="91" t="s">
        <v>717</v>
      </c>
      <c r="E279" s="90" t="e">
        <v>#REF!</v>
      </c>
      <c r="F279" s="89"/>
      <c r="G279" s="89"/>
      <c r="H279" s="89" t="s">
        <v>9158</v>
      </c>
      <c r="I279" s="89" t="s">
        <v>19913</v>
      </c>
      <c r="J279" s="89" t="s">
        <v>19916</v>
      </c>
      <c r="K279" s="89" t="s">
        <v>19915</v>
      </c>
      <c r="M279" s="89">
        <v>2022</v>
      </c>
      <c r="N279" s="89" t="s">
        <v>19914</v>
      </c>
      <c r="O279" s="89" t="s">
        <v>646</v>
      </c>
      <c r="P279" s="89" t="str">
        <f>HYPERLINK("http://dx.doi.org/10.1002/cae.22482","http://dx.doi.org/10.1002/cae.22482")</f>
        <v>http://dx.doi.org/10.1002/cae.22482</v>
      </c>
      <c r="S279" s="89" t="s">
        <v>646</v>
      </c>
      <c r="U279" s="89" t="s">
        <v>17462</v>
      </c>
      <c r="W279" s="89" t="s">
        <v>646</v>
      </c>
      <c r="X279" s="89" t="s">
        <v>646</v>
      </c>
      <c r="Y279" s="89" t="s">
        <v>646</v>
      </c>
      <c r="Z279" s="89" t="s">
        <v>646</v>
      </c>
      <c r="AA279" s="89" t="s">
        <v>646</v>
      </c>
      <c r="AB279" s="89" t="s">
        <v>646</v>
      </c>
      <c r="AC279" s="89" t="s">
        <v>646</v>
      </c>
      <c r="AD279" s="89" t="s">
        <v>646</v>
      </c>
      <c r="AE279" s="89" t="s">
        <v>646</v>
      </c>
      <c r="AF279" s="89" t="s">
        <v>19915</v>
      </c>
      <c r="AG279" s="89" t="s">
        <v>646</v>
      </c>
      <c r="AH279" s="89" t="s">
        <v>646</v>
      </c>
      <c r="AI279" s="89" t="s">
        <v>646</v>
      </c>
      <c r="AJ279" s="89" t="s">
        <v>646</v>
      </c>
      <c r="AK279" s="89" t="s">
        <v>19916</v>
      </c>
      <c r="AL279" s="89" t="s">
        <v>19917</v>
      </c>
      <c r="AM279" s="89" t="s">
        <v>646</v>
      </c>
      <c r="AN279" s="89" t="s">
        <v>646</v>
      </c>
      <c r="AO279" s="89" t="s">
        <v>646</v>
      </c>
      <c r="AP279" s="89" t="s">
        <v>646</v>
      </c>
      <c r="AQ279" s="89" t="s">
        <v>646</v>
      </c>
      <c r="AR279" s="89" t="s">
        <v>646</v>
      </c>
      <c r="AS279" s="89" t="s">
        <v>646</v>
      </c>
      <c r="AT279" s="89" t="s">
        <v>646</v>
      </c>
      <c r="AU279" s="89" t="s">
        <v>646</v>
      </c>
      <c r="AV279" s="89" t="s">
        <v>646</v>
      </c>
      <c r="AW279" s="89" t="s">
        <v>646</v>
      </c>
      <c r="AX279" s="89" t="s">
        <v>646</v>
      </c>
      <c r="AY279" s="89" t="s">
        <v>19918</v>
      </c>
      <c r="AZ279" s="89" t="s">
        <v>19919</v>
      </c>
      <c r="BA279" s="89" t="s">
        <v>646</v>
      </c>
      <c r="BB279" s="89" t="s">
        <v>646</v>
      </c>
      <c r="BC279" s="89" t="s">
        <v>646</v>
      </c>
      <c r="BD279" s="89" t="s">
        <v>18436</v>
      </c>
      <c r="BE279" s="89">
        <v>2022</v>
      </c>
      <c r="BF279" s="89">
        <v>30</v>
      </c>
      <c r="BG279" s="89">
        <v>3</v>
      </c>
      <c r="BH279" s="89" t="s">
        <v>646</v>
      </c>
      <c r="BI279" s="89" t="s">
        <v>646</v>
      </c>
      <c r="BJ279" s="89" t="s">
        <v>646</v>
      </c>
      <c r="BK279" s="89" t="s">
        <v>646</v>
      </c>
      <c r="BL279" s="89">
        <v>708</v>
      </c>
      <c r="BM279" s="89">
        <v>729</v>
      </c>
      <c r="BN279" s="89" t="s">
        <v>646</v>
      </c>
      <c r="BO279" s="89" t="str">
        <f>HYPERLINK("http://dx.doi.org/10.1002/cae.22482","http://dx.doi.org/10.1002/cae.22482")</f>
        <v>http://dx.doi.org/10.1002/cae.22482</v>
      </c>
      <c r="BP279" s="89" t="s">
        <v>646</v>
      </c>
      <c r="BQ279" s="89" t="s">
        <v>19920</v>
      </c>
      <c r="BR279" s="89" t="s">
        <v>646</v>
      </c>
      <c r="BS279" s="89" t="s">
        <v>646</v>
      </c>
      <c r="BT279" s="89" t="s">
        <v>646</v>
      </c>
      <c r="BU279" s="89" t="s">
        <v>646</v>
      </c>
      <c r="BV279" s="89" t="s">
        <v>646</v>
      </c>
      <c r="BW279" s="89" t="s">
        <v>646</v>
      </c>
      <c r="BX279" s="89" t="s">
        <v>646</v>
      </c>
      <c r="BY279" s="89" t="s">
        <v>646</v>
      </c>
      <c r="BZ279" s="89" t="s">
        <v>646</v>
      </c>
      <c r="CA279" s="89" t="s">
        <v>646</v>
      </c>
      <c r="CB279" s="89" t="s">
        <v>19921</v>
      </c>
      <c r="CC279" s="89" t="str">
        <f>HYPERLINK("https%3A%2F%2Fwww.webofscience.com%2Fwos%2Fwoscc%2Ffull-record%2FWOS:000729482000001","View Full Record in Web of Science")</f>
        <v>View Full Record in Web of Science</v>
      </c>
    </row>
    <row r="280" spans="1:81" ht="13.2" hidden="1" x14ac:dyDescent="0.25">
      <c r="A280" s="89" t="s">
        <v>19922</v>
      </c>
      <c r="B280" s="89" t="e">
        <f>+#REF!</f>
        <v>#REF!</v>
      </c>
      <c r="C280" s="89"/>
      <c r="D280" s="91" t="s">
        <v>717</v>
      </c>
      <c r="E280" s="90" t="e">
        <v>#REF!</v>
      </c>
      <c r="F280" s="89"/>
      <c r="G280" s="89"/>
      <c r="H280" s="89" t="s">
        <v>11691</v>
      </c>
      <c r="I280" s="89" t="s">
        <v>19923</v>
      </c>
      <c r="J280" s="89" t="s">
        <v>646</v>
      </c>
      <c r="K280" s="89" t="s">
        <v>19928</v>
      </c>
      <c r="M280" s="89">
        <v>2019</v>
      </c>
      <c r="N280" s="89" t="s">
        <v>19924</v>
      </c>
      <c r="O280" s="89" t="s">
        <v>646</v>
      </c>
      <c r="P280" s="89" t="str">
        <f>HYPERLINK("http://dx.doi.org/10.1109/WETSEB.2019.00011","http://dx.doi.org/10.1109/WETSEB.2019.00011")</f>
        <v>http://dx.doi.org/10.1109/WETSEB.2019.00011</v>
      </c>
      <c r="S280" s="89" t="s">
        <v>19206</v>
      </c>
      <c r="U280" s="89" t="s">
        <v>17474</v>
      </c>
      <c r="W280" s="89" t="s">
        <v>646</v>
      </c>
      <c r="X280" s="89" t="s">
        <v>646</v>
      </c>
      <c r="Y280" s="89" t="s">
        <v>19925</v>
      </c>
      <c r="Z280" s="89" t="s">
        <v>19926</v>
      </c>
      <c r="AA280" s="89" t="s">
        <v>18300</v>
      </c>
      <c r="AB280" s="89" t="s">
        <v>19927</v>
      </c>
      <c r="AC280" s="89" t="s">
        <v>646</v>
      </c>
      <c r="AD280" s="89" t="s">
        <v>646</v>
      </c>
      <c r="AE280" s="89" t="s">
        <v>646</v>
      </c>
      <c r="AF280" s="89" t="s">
        <v>19928</v>
      </c>
      <c r="AG280" s="89" t="s">
        <v>646</v>
      </c>
      <c r="AH280" s="89" t="s">
        <v>646</v>
      </c>
      <c r="AI280" s="89" t="s">
        <v>646</v>
      </c>
      <c r="AJ280" s="89" t="s">
        <v>646</v>
      </c>
      <c r="AK280" s="89" t="s">
        <v>646</v>
      </c>
      <c r="AL280" s="89" t="s">
        <v>646</v>
      </c>
      <c r="AM280" s="89" t="s">
        <v>646</v>
      </c>
      <c r="AN280" s="89" t="s">
        <v>646</v>
      </c>
      <c r="AO280" s="89" t="s">
        <v>646</v>
      </c>
      <c r="AP280" s="89" t="s">
        <v>646</v>
      </c>
      <c r="AQ280" s="89" t="s">
        <v>646</v>
      </c>
      <c r="AR280" s="89" t="s">
        <v>646</v>
      </c>
      <c r="AS280" s="89" t="s">
        <v>646</v>
      </c>
      <c r="AT280" s="89" t="s">
        <v>646</v>
      </c>
      <c r="AU280" s="89" t="s">
        <v>646</v>
      </c>
      <c r="AV280" s="89" t="s">
        <v>646</v>
      </c>
      <c r="AW280" s="89" t="s">
        <v>646</v>
      </c>
      <c r="AX280" s="89" t="s">
        <v>646</v>
      </c>
      <c r="AY280" s="89" t="s">
        <v>646</v>
      </c>
      <c r="AZ280" s="89" t="s">
        <v>646</v>
      </c>
      <c r="BA280" s="89" t="s">
        <v>19929</v>
      </c>
      <c r="BB280" s="89" t="s">
        <v>646</v>
      </c>
      <c r="BC280" s="89" t="s">
        <v>646</v>
      </c>
      <c r="BD280" s="89" t="s">
        <v>646</v>
      </c>
      <c r="BE280" s="89">
        <v>2019</v>
      </c>
      <c r="BF280" s="89" t="s">
        <v>646</v>
      </c>
      <c r="BG280" s="89" t="s">
        <v>646</v>
      </c>
      <c r="BH280" s="89" t="s">
        <v>646</v>
      </c>
      <c r="BI280" s="89" t="s">
        <v>646</v>
      </c>
      <c r="BJ280" s="89" t="s">
        <v>646</v>
      </c>
      <c r="BK280" s="89" t="s">
        <v>646</v>
      </c>
      <c r="BL280" s="89">
        <v>32</v>
      </c>
      <c r="BM280" s="89">
        <v>39</v>
      </c>
      <c r="BN280" s="89" t="s">
        <v>646</v>
      </c>
      <c r="BO280" s="89" t="str">
        <f>HYPERLINK("http://dx.doi.org/10.1109/WETSEB.2019.00011","http://dx.doi.org/10.1109/WETSEB.2019.00011")</f>
        <v>http://dx.doi.org/10.1109/WETSEB.2019.00011</v>
      </c>
      <c r="BP280" s="89" t="s">
        <v>646</v>
      </c>
      <c r="BQ280" s="89" t="s">
        <v>646</v>
      </c>
      <c r="BR280" s="89" t="s">
        <v>646</v>
      </c>
      <c r="BS280" s="89" t="s">
        <v>646</v>
      </c>
      <c r="BT280" s="89" t="s">
        <v>646</v>
      </c>
      <c r="BU280" s="89" t="s">
        <v>646</v>
      </c>
      <c r="BV280" s="89" t="s">
        <v>646</v>
      </c>
      <c r="BW280" s="89" t="s">
        <v>646</v>
      </c>
      <c r="BX280" s="89" t="s">
        <v>646</v>
      </c>
      <c r="BY280" s="89" t="s">
        <v>646</v>
      </c>
      <c r="BZ280" s="89" t="s">
        <v>646</v>
      </c>
      <c r="CA280" s="89" t="s">
        <v>646</v>
      </c>
      <c r="CB280" s="89" t="s">
        <v>19930</v>
      </c>
      <c r="CC280" s="89" t="str">
        <f>HYPERLINK("https%3A%2F%2Fwww.webofscience.com%2Fwos%2Fwoscc%2Ffull-record%2FWOS:000505681100005","View Full Record in Web of Science")</f>
        <v>View Full Record in Web of Science</v>
      </c>
    </row>
    <row r="281" spans="1:81" ht="13.2" hidden="1" x14ac:dyDescent="0.25">
      <c r="A281" s="89" t="s">
        <v>19931</v>
      </c>
      <c r="B281" s="89" t="e">
        <f>+#REF!</f>
        <v>#REF!</v>
      </c>
      <c r="C281" s="89"/>
      <c r="D281" s="91" t="s">
        <v>717</v>
      </c>
      <c r="E281" s="90" t="e">
        <v>#REF!</v>
      </c>
      <c r="F281" s="89"/>
      <c r="G281" s="89"/>
      <c r="H281" s="89" t="s">
        <v>11699</v>
      </c>
      <c r="I281" s="89" t="s">
        <v>19933</v>
      </c>
      <c r="J281" s="89" t="s">
        <v>646</v>
      </c>
      <c r="K281" s="89" t="s">
        <v>11701</v>
      </c>
      <c r="M281" s="89">
        <v>2014</v>
      </c>
      <c r="N281" s="89" t="s">
        <v>19934</v>
      </c>
      <c r="O281" s="89" t="s">
        <v>19932</v>
      </c>
      <c r="P281" s="89" t="str">
        <f>HYPERLINK("http://dx.doi.org/10.5194/isprsarchives-XL-3-W1-7-2014","http://dx.doi.org/10.5194/isprsarchives-XL-3-W1-7-2014")</f>
        <v>http://dx.doi.org/10.5194/isprsarchives-XL-3-W1-7-2014</v>
      </c>
      <c r="S281" s="89" t="s">
        <v>646</v>
      </c>
      <c r="U281" s="89" t="s">
        <v>17474</v>
      </c>
      <c r="W281" s="89" t="s">
        <v>646</v>
      </c>
      <c r="X281" s="89" t="s">
        <v>646</v>
      </c>
      <c r="Y281" s="89" t="s">
        <v>19935</v>
      </c>
      <c r="Z281" s="89" t="s">
        <v>19936</v>
      </c>
      <c r="AA281" s="89" t="s">
        <v>19937</v>
      </c>
      <c r="AB281" s="89" t="s">
        <v>19938</v>
      </c>
      <c r="AC281" s="89" t="s">
        <v>646</v>
      </c>
      <c r="AD281" s="89" t="s">
        <v>646</v>
      </c>
      <c r="AE281" s="89" t="s">
        <v>646</v>
      </c>
      <c r="AF281" s="89" t="s">
        <v>11701</v>
      </c>
      <c r="AG281" s="89" t="s">
        <v>646</v>
      </c>
      <c r="AH281" s="89" t="s">
        <v>646</v>
      </c>
      <c r="AI281" s="89" t="s">
        <v>646</v>
      </c>
      <c r="AJ281" s="89" t="s">
        <v>646</v>
      </c>
      <c r="AK281" s="89" t="s">
        <v>646</v>
      </c>
      <c r="AL281" s="89" t="s">
        <v>646</v>
      </c>
      <c r="AM281" s="89" t="s">
        <v>646</v>
      </c>
      <c r="AN281" s="89" t="s">
        <v>646</v>
      </c>
      <c r="AO281" s="89" t="s">
        <v>646</v>
      </c>
      <c r="AP281" s="89" t="s">
        <v>646</v>
      </c>
      <c r="AQ281" s="89" t="s">
        <v>646</v>
      </c>
      <c r="AR281" s="89" t="s">
        <v>646</v>
      </c>
      <c r="AS281" s="89" t="s">
        <v>646</v>
      </c>
      <c r="AT281" s="89" t="s">
        <v>646</v>
      </c>
      <c r="AU281" s="89" t="s">
        <v>646</v>
      </c>
      <c r="AV281" s="89" t="s">
        <v>646</v>
      </c>
      <c r="AW281" s="89" t="s">
        <v>646</v>
      </c>
      <c r="AX281" s="89" t="s">
        <v>646</v>
      </c>
      <c r="AY281" s="89" t="s">
        <v>19939</v>
      </c>
      <c r="AZ281" s="89" t="s">
        <v>646</v>
      </c>
      <c r="BA281" s="89" t="s">
        <v>646</v>
      </c>
      <c r="BB281" s="89" t="s">
        <v>646</v>
      </c>
      <c r="BC281" s="89" t="s">
        <v>646</v>
      </c>
      <c r="BD281" s="89" t="s">
        <v>646</v>
      </c>
      <c r="BE281" s="89">
        <v>2014</v>
      </c>
      <c r="BF281" s="89" t="s">
        <v>646</v>
      </c>
      <c r="BG281" s="89" t="s">
        <v>646</v>
      </c>
      <c r="BH281" s="89" t="s">
        <v>646</v>
      </c>
      <c r="BI281" s="89" t="s">
        <v>646</v>
      </c>
      <c r="BJ281" s="89" t="s">
        <v>646</v>
      </c>
      <c r="BK281" s="89" t="s">
        <v>646</v>
      </c>
      <c r="BL281" s="89">
        <v>7</v>
      </c>
      <c r="BM281" s="89">
        <v>14</v>
      </c>
      <c r="BN281" s="89" t="s">
        <v>646</v>
      </c>
      <c r="BO281" s="89" t="str">
        <f>HYPERLINK("http://dx.doi.org/10.5194/isprsarchives-XL-3-W1-7-2014","http://dx.doi.org/10.5194/isprsarchives-XL-3-W1-7-2014")</f>
        <v>http://dx.doi.org/10.5194/isprsarchives-XL-3-W1-7-2014</v>
      </c>
      <c r="BP281" s="89" t="s">
        <v>646</v>
      </c>
      <c r="BQ281" s="89" t="s">
        <v>646</v>
      </c>
      <c r="BR281" s="89" t="s">
        <v>646</v>
      </c>
      <c r="BS281" s="89" t="s">
        <v>646</v>
      </c>
      <c r="BT281" s="89" t="s">
        <v>646</v>
      </c>
      <c r="BU281" s="89" t="s">
        <v>646</v>
      </c>
      <c r="BV281" s="89" t="s">
        <v>646</v>
      </c>
      <c r="BW281" s="89" t="s">
        <v>646</v>
      </c>
      <c r="BX281" s="89" t="s">
        <v>646</v>
      </c>
      <c r="BY281" s="89" t="s">
        <v>646</v>
      </c>
      <c r="BZ281" s="89" t="s">
        <v>646</v>
      </c>
      <c r="CA281" s="89" t="s">
        <v>646</v>
      </c>
      <c r="CB281" s="89" t="s">
        <v>19940</v>
      </c>
      <c r="CC281" s="89" t="str">
        <f>HYPERLINK("https%3A%2F%2Fwww.webofscience.com%2Fwos%2Fwoscc%2Ffull-record%2FWOS:000358292500002","View Full Record in Web of Science")</f>
        <v>View Full Record in Web of Science</v>
      </c>
    </row>
    <row r="282" spans="1:81" ht="13.2" hidden="1" x14ac:dyDescent="0.25">
      <c r="A282" s="89" t="s">
        <v>19941</v>
      </c>
      <c r="B282" s="89" t="e">
        <f>+#REF!</f>
        <v>#REF!</v>
      </c>
      <c r="C282" s="89"/>
      <c r="D282" s="91" t="s">
        <v>717</v>
      </c>
      <c r="E282" s="90" t="e">
        <v>#REF!</v>
      </c>
      <c r="F282" s="89"/>
      <c r="G282" s="89"/>
      <c r="H282" s="89" t="s">
        <v>11709</v>
      </c>
      <c r="I282" s="89" t="s">
        <v>19942</v>
      </c>
      <c r="J282" s="89" t="s">
        <v>646</v>
      </c>
      <c r="K282" s="89" t="s">
        <v>19944</v>
      </c>
      <c r="M282" s="89">
        <v>2019</v>
      </c>
      <c r="N282" s="89" t="s">
        <v>19943</v>
      </c>
      <c r="O282" s="89" t="s">
        <v>646</v>
      </c>
      <c r="P282" s="89" t="str">
        <f>HYPERLINK("http://dx.doi.org/10.1017/pan.2018.55","http://dx.doi.org/10.1017/pan.2018.55")</f>
        <v>http://dx.doi.org/10.1017/pan.2018.55</v>
      </c>
      <c r="S282" s="89" t="s">
        <v>646</v>
      </c>
      <c r="U282" s="89" t="s">
        <v>17462</v>
      </c>
      <c r="W282" s="89" t="s">
        <v>646</v>
      </c>
      <c r="X282" s="89" t="s">
        <v>646</v>
      </c>
      <c r="Y282" s="89" t="s">
        <v>646</v>
      </c>
      <c r="Z282" s="89" t="s">
        <v>646</v>
      </c>
      <c r="AA282" s="89" t="s">
        <v>646</v>
      </c>
      <c r="AB282" s="89" t="s">
        <v>646</v>
      </c>
      <c r="AC282" s="89" t="s">
        <v>646</v>
      </c>
      <c r="AD282" s="89" t="s">
        <v>646</v>
      </c>
      <c r="AE282" s="89" t="s">
        <v>646</v>
      </c>
      <c r="AF282" s="89" t="s">
        <v>19944</v>
      </c>
      <c r="AG282" s="89" t="s">
        <v>646</v>
      </c>
      <c r="AH282" s="89" t="s">
        <v>646</v>
      </c>
      <c r="AI282" s="89" t="s">
        <v>646</v>
      </c>
      <c r="AJ282" s="89" t="s">
        <v>646</v>
      </c>
      <c r="AK282" s="89" t="s">
        <v>646</v>
      </c>
      <c r="AL282" s="89" t="s">
        <v>646</v>
      </c>
      <c r="AM282" s="89" t="s">
        <v>646</v>
      </c>
      <c r="AN282" s="89" t="s">
        <v>646</v>
      </c>
      <c r="AO282" s="89" t="s">
        <v>646</v>
      </c>
      <c r="AP282" s="89" t="s">
        <v>646</v>
      </c>
      <c r="AQ282" s="89" t="s">
        <v>646</v>
      </c>
      <c r="AR282" s="89" t="s">
        <v>646</v>
      </c>
      <c r="AS282" s="89" t="s">
        <v>646</v>
      </c>
      <c r="AT282" s="89" t="s">
        <v>646</v>
      </c>
      <c r="AU282" s="89" t="s">
        <v>646</v>
      </c>
      <c r="AV282" s="89" t="s">
        <v>646</v>
      </c>
      <c r="AW282" s="89" t="s">
        <v>646</v>
      </c>
      <c r="AX282" s="89" t="s">
        <v>646</v>
      </c>
      <c r="AY282" s="89" t="s">
        <v>19945</v>
      </c>
      <c r="AZ282" s="89" t="s">
        <v>19946</v>
      </c>
      <c r="BA282" s="89" t="s">
        <v>646</v>
      </c>
      <c r="BB282" s="89" t="s">
        <v>646</v>
      </c>
      <c r="BC282" s="89" t="s">
        <v>646</v>
      </c>
      <c r="BD282" s="89" t="s">
        <v>17676</v>
      </c>
      <c r="BE282" s="89">
        <v>2019</v>
      </c>
      <c r="BF282" s="89">
        <v>27</v>
      </c>
      <c r="BG282" s="89">
        <v>3</v>
      </c>
      <c r="BH282" s="89" t="s">
        <v>646</v>
      </c>
      <c r="BI282" s="89" t="s">
        <v>646</v>
      </c>
      <c r="BJ282" s="89" t="s">
        <v>646</v>
      </c>
      <c r="BK282" s="89" t="s">
        <v>646</v>
      </c>
      <c r="BL282" s="89">
        <v>370</v>
      </c>
      <c r="BM282" s="89">
        <v>380</v>
      </c>
      <c r="BN282" s="89" t="s">
        <v>646</v>
      </c>
      <c r="BO282" s="89" t="str">
        <f>HYPERLINK("http://dx.doi.org/10.1017/pan.2018.55","http://dx.doi.org/10.1017/pan.2018.55")</f>
        <v>http://dx.doi.org/10.1017/pan.2018.55</v>
      </c>
      <c r="BP282" s="89" t="s">
        <v>646</v>
      </c>
      <c r="BQ282" s="89" t="s">
        <v>646</v>
      </c>
      <c r="BR282" s="89" t="s">
        <v>646</v>
      </c>
      <c r="BS282" s="89" t="s">
        <v>646</v>
      </c>
      <c r="BT282" s="89" t="s">
        <v>646</v>
      </c>
      <c r="BU282" s="89" t="s">
        <v>646</v>
      </c>
      <c r="BV282" s="89" t="s">
        <v>646</v>
      </c>
      <c r="BW282" s="89" t="s">
        <v>646</v>
      </c>
      <c r="BX282" s="89" t="s">
        <v>646</v>
      </c>
      <c r="BY282" s="89" t="s">
        <v>646</v>
      </c>
      <c r="BZ282" s="89" t="s">
        <v>646</v>
      </c>
      <c r="CA282" s="89" t="s">
        <v>646</v>
      </c>
      <c r="CB282" s="89" t="s">
        <v>19947</v>
      </c>
      <c r="CC282" s="89" t="str">
        <f>HYPERLINK("https%3A%2F%2Fwww.webofscience.com%2Fwos%2Fwoscc%2Ffull-record%2FWOS:000475687800007","View Full Record in Web of Science")</f>
        <v>View Full Record in Web of Science</v>
      </c>
    </row>
    <row r="283" spans="1:81" ht="13.2" hidden="1" x14ac:dyDescent="0.25">
      <c r="A283" s="89" t="s">
        <v>11718</v>
      </c>
      <c r="B283" s="89" t="e">
        <f>+#REF!</f>
        <v>#REF!</v>
      </c>
      <c r="C283" s="89"/>
      <c r="D283" s="91" t="s">
        <v>717</v>
      </c>
      <c r="E283" s="90" t="e">
        <v>#REF!</v>
      </c>
      <c r="F283" s="89"/>
      <c r="G283" s="89"/>
      <c r="H283" s="89" t="s">
        <v>11719</v>
      </c>
      <c r="I283" s="89" t="s">
        <v>19948</v>
      </c>
      <c r="J283" s="89" t="s">
        <v>646</v>
      </c>
      <c r="K283" s="89" t="s">
        <v>19954</v>
      </c>
      <c r="M283" s="89">
        <v>2013</v>
      </c>
      <c r="N283" s="89" t="s">
        <v>19949</v>
      </c>
      <c r="O283" s="89" t="s">
        <v>19718</v>
      </c>
      <c r="P283" s="89" t="str">
        <f>HYPERLINK("http://dx.doi.org/10.1117/12.2008065","http://dx.doi.org/10.1117/12.2008065")</f>
        <v>http://dx.doi.org/10.1117/12.2008065</v>
      </c>
      <c r="S283" s="89" t="s">
        <v>646</v>
      </c>
      <c r="U283" s="89" t="s">
        <v>17474</v>
      </c>
      <c r="W283" s="89" t="s">
        <v>646</v>
      </c>
      <c r="X283" s="89" t="s">
        <v>646</v>
      </c>
      <c r="Y283" s="89" t="s">
        <v>19950</v>
      </c>
      <c r="Z283" s="89" t="s">
        <v>19951</v>
      </c>
      <c r="AA283" s="89" t="s">
        <v>19952</v>
      </c>
      <c r="AB283" s="89" t="s">
        <v>19953</v>
      </c>
      <c r="AC283" s="89" t="s">
        <v>646</v>
      </c>
      <c r="AD283" s="89" t="s">
        <v>646</v>
      </c>
      <c r="AE283" s="89" t="s">
        <v>646</v>
      </c>
      <c r="AF283" s="89" t="s">
        <v>19954</v>
      </c>
      <c r="AG283" s="89" t="s">
        <v>646</v>
      </c>
      <c r="AH283" s="89" t="s">
        <v>646</v>
      </c>
      <c r="AI283" s="89" t="s">
        <v>646</v>
      </c>
      <c r="AJ283" s="89" t="s">
        <v>646</v>
      </c>
      <c r="AK283" s="89" t="s">
        <v>646</v>
      </c>
      <c r="AL283" s="89" t="s">
        <v>646</v>
      </c>
      <c r="AM283" s="89" t="s">
        <v>646</v>
      </c>
      <c r="AN283" s="89" t="s">
        <v>646</v>
      </c>
      <c r="AO283" s="89" t="s">
        <v>646</v>
      </c>
      <c r="AP283" s="89" t="s">
        <v>646</v>
      </c>
      <c r="AQ283" s="89" t="s">
        <v>646</v>
      </c>
      <c r="AR283" s="89" t="s">
        <v>646</v>
      </c>
      <c r="AS283" s="89" t="s">
        <v>646</v>
      </c>
      <c r="AT283" s="89" t="s">
        <v>646</v>
      </c>
      <c r="AU283" s="89" t="s">
        <v>646</v>
      </c>
      <c r="AV283" s="89" t="s">
        <v>646</v>
      </c>
      <c r="AW283" s="89" t="s">
        <v>646</v>
      </c>
      <c r="AX283" s="89" t="s">
        <v>646</v>
      </c>
      <c r="AY283" s="89" t="s">
        <v>19728</v>
      </c>
      <c r="AZ283" s="89" t="s">
        <v>19729</v>
      </c>
      <c r="BA283" s="89" t="s">
        <v>19955</v>
      </c>
      <c r="BB283" s="89" t="s">
        <v>646</v>
      </c>
      <c r="BC283" s="89" t="s">
        <v>646</v>
      </c>
      <c r="BD283" s="89" t="s">
        <v>646</v>
      </c>
      <c r="BE283" s="89">
        <v>2013</v>
      </c>
      <c r="BF283" s="89">
        <v>8651</v>
      </c>
      <c r="BG283" s="89" t="s">
        <v>646</v>
      </c>
      <c r="BH283" s="89" t="s">
        <v>646</v>
      </c>
      <c r="BI283" s="89" t="s">
        <v>646</v>
      </c>
      <c r="BJ283" s="89" t="s">
        <v>646</v>
      </c>
      <c r="BK283" s="89" t="s">
        <v>646</v>
      </c>
      <c r="BL283" s="89" t="s">
        <v>646</v>
      </c>
      <c r="BM283" s="89" t="s">
        <v>646</v>
      </c>
      <c r="BN283" s="89" t="s">
        <v>19956</v>
      </c>
      <c r="BO283" s="89" t="str">
        <f>HYPERLINK("http://dx.doi.org/10.1117/12.2008065","http://dx.doi.org/10.1117/12.2008065")</f>
        <v>http://dx.doi.org/10.1117/12.2008065</v>
      </c>
      <c r="BP283" s="89" t="s">
        <v>646</v>
      </c>
      <c r="BQ283" s="89" t="s">
        <v>646</v>
      </c>
      <c r="BR283" s="89" t="s">
        <v>646</v>
      </c>
      <c r="BS283" s="89" t="s">
        <v>646</v>
      </c>
      <c r="BT283" s="89" t="s">
        <v>646</v>
      </c>
      <c r="BU283" s="89" t="s">
        <v>646</v>
      </c>
      <c r="BV283" s="89" t="s">
        <v>646</v>
      </c>
      <c r="BW283" s="89" t="s">
        <v>646</v>
      </c>
      <c r="BX283" s="89" t="s">
        <v>646</v>
      </c>
      <c r="BY283" s="89" t="s">
        <v>646</v>
      </c>
      <c r="BZ283" s="89" t="s">
        <v>646</v>
      </c>
      <c r="CA283" s="89" t="s">
        <v>646</v>
      </c>
      <c r="CB283" s="89" t="s">
        <v>19957</v>
      </c>
      <c r="CC283" s="89" t="str">
        <f>HYPERLINK("https%3A%2F%2Fwww.webofscience.com%2Fwos%2Fwoscc%2Ffull-record%2FWOS:000321825100028","View Full Record in Web of Science")</f>
        <v>View Full Record in Web of Science</v>
      </c>
    </row>
    <row r="284" spans="1:81" ht="13.2" hidden="1" x14ac:dyDescent="0.25">
      <c r="A284" s="89" t="s">
        <v>11727</v>
      </c>
      <c r="B284" s="89" t="e">
        <f>+#REF!</f>
        <v>#REF!</v>
      </c>
      <c r="C284" s="89"/>
      <c r="D284" s="91" t="s">
        <v>717</v>
      </c>
      <c r="E284" s="90" t="e">
        <v>#REF!</v>
      </c>
      <c r="F284" s="89"/>
      <c r="G284" s="89"/>
      <c r="H284" s="89" t="s">
        <v>11728</v>
      </c>
      <c r="I284" s="89" t="s">
        <v>19959</v>
      </c>
      <c r="J284" s="89" t="s">
        <v>646</v>
      </c>
      <c r="K284" s="89" t="s">
        <v>19965</v>
      </c>
      <c r="M284" s="89">
        <v>2019</v>
      </c>
      <c r="N284" s="89" t="s">
        <v>19960</v>
      </c>
      <c r="O284" s="89" t="s">
        <v>19958</v>
      </c>
      <c r="P284" s="89" t="str">
        <f>HYPERLINK("http://dx.doi.org/10.1145/3341161.3343688","http://dx.doi.org/10.1145/3341161.3343688")</f>
        <v>http://dx.doi.org/10.1145/3341161.3343688</v>
      </c>
      <c r="S284" s="89" t="s">
        <v>646</v>
      </c>
      <c r="U284" s="89" t="s">
        <v>17474</v>
      </c>
      <c r="W284" s="89" t="s">
        <v>646</v>
      </c>
      <c r="X284" s="89" t="s">
        <v>646</v>
      </c>
      <c r="Y284" s="89" t="s">
        <v>19961</v>
      </c>
      <c r="Z284" s="89" t="s">
        <v>19962</v>
      </c>
      <c r="AA284" s="89" t="s">
        <v>19963</v>
      </c>
      <c r="AB284" s="89" t="s">
        <v>19964</v>
      </c>
      <c r="AC284" s="89" t="s">
        <v>646</v>
      </c>
      <c r="AD284" s="89" t="s">
        <v>646</v>
      </c>
      <c r="AE284" s="89" t="s">
        <v>646</v>
      </c>
      <c r="AF284" s="89" t="s">
        <v>19965</v>
      </c>
      <c r="AG284" s="89" t="s">
        <v>646</v>
      </c>
      <c r="AH284" s="89" t="s">
        <v>646</v>
      </c>
      <c r="AI284" s="89" t="s">
        <v>646</v>
      </c>
      <c r="AJ284" s="89" t="s">
        <v>646</v>
      </c>
      <c r="AK284" s="89" t="s">
        <v>646</v>
      </c>
      <c r="AL284" s="89" t="s">
        <v>646</v>
      </c>
      <c r="AM284" s="89" t="s">
        <v>646</v>
      </c>
      <c r="AN284" s="89" t="s">
        <v>646</v>
      </c>
      <c r="AO284" s="89" t="s">
        <v>646</v>
      </c>
      <c r="AP284" s="89" t="s">
        <v>646</v>
      </c>
      <c r="AQ284" s="89" t="s">
        <v>646</v>
      </c>
      <c r="AR284" s="89" t="s">
        <v>646</v>
      </c>
      <c r="AS284" s="89" t="s">
        <v>646</v>
      </c>
      <c r="AT284" s="89" t="s">
        <v>646</v>
      </c>
      <c r="AU284" s="89" t="s">
        <v>646</v>
      </c>
      <c r="AV284" s="89" t="s">
        <v>646</v>
      </c>
      <c r="AW284" s="89" t="s">
        <v>646</v>
      </c>
      <c r="AX284" s="89" t="s">
        <v>646</v>
      </c>
      <c r="AY284" s="89" t="s">
        <v>646</v>
      </c>
      <c r="AZ284" s="89" t="s">
        <v>646</v>
      </c>
      <c r="BA284" s="89" t="s">
        <v>19966</v>
      </c>
      <c r="BB284" s="89" t="s">
        <v>646</v>
      </c>
      <c r="BC284" s="89" t="s">
        <v>646</v>
      </c>
      <c r="BD284" s="89" t="s">
        <v>646</v>
      </c>
      <c r="BE284" s="89">
        <v>2019</v>
      </c>
      <c r="BF284" s="89" t="s">
        <v>646</v>
      </c>
      <c r="BG284" s="89" t="s">
        <v>646</v>
      </c>
      <c r="BH284" s="89" t="s">
        <v>646</v>
      </c>
      <c r="BI284" s="89" t="s">
        <v>646</v>
      </c>
      <c r="BJ284" s="89" t="s">
        <v>646</v>
      </c>
      <c r="BK284" s="89" t="s">
        <v>646</v>
      </c>
      <c r="BL284" s="89">
        <v>593</v>
      </c>
      <c r="BM284" s="89">
        <v>596</v>
      </c>
      <c r="BN284" s="89" t="s">
        <v>646</v>
      </c>
      <c r="BO284" s="89" t="str">
        <f>HYPERLINK("http://dx.doi.org/10.1145/3341161.3343688","http://dx.doi.org/10.1145/3341161.3343688")</f>
        <v>http://dx.doi.org/10.1145/3341161.3343688</v>
      </c>
      <c r="BP284" s="89" t="s">
        <v>646</v>
      </c>
      <c r="BQ284" s="89" t="s">
        <v>646</v>
      </c>
      <c r="BR284" s="89" t="s">
        <v>646</v>
      </c>
      <c r="BS284" s="89" t="s">
        <v>646</v>
      </c>
      <c r="BT284" s="89" t="s">
        <v>646</v>
      </c>
      <c r="BU284" s="89" t="s">
        <v>646</v>
      </c>
      <c r="BV284" s="89" t="s">
        <v>646</v>
      </c>
      <c r="BW284" s="89" t="s">
        <v>646</v>
      </c>
      <c r="BX284" s="89" t="s">
        <v>646</v>
      </c>
      <c r="BY284" s="89" t="s">
        <v>646</v>
      </c>
      <c r="BZ284" s="89" t="s">
        <v>646</v>
      </c>
      <c r="CA284" s="89" t="s">
        <v>646</v>
      </c>
      <c r="CB284" s="89" t="s">
        <v>19967</v>
      </c>
      <c r="CC284" s="89" t="str">
        <f>HYPERLINK("https%3A%2F%2Fwww.webofscience.com%2Fwos%2Fwoscc%2Ffull-record%2FWOS:000555683800101","View Full Record in Web of Science")</f>
        <v>View Full Record in Web of Science</v>
      </c>
    </row>
    <row r="285" spans="1:81" ht="13.2" hidden="1" x14ac:dyDescent="0.25">
      <c r="A285" s="89" t="s">
        <v>19968</v>
      </c>
      <c r="B285" s="89" t="e">
        <f>+#REF!</f>
        <v>#REF!</v>
      </c>
      <c r="C285" s="89"/>
      <c r="D285" s="91" t="s">
        <v>717</v>
      </c>
      <c r="E285" s="90" t="e">
        <v>#REF!</v>
      </c>
      <c r="F285" s="89"/>
      <c r="G285" s="89"/>
      <c r="H285" s="89" t="s">
        <v>16259</v>
      </c>
      <c r="I285" s="89" t="s">
        <v>19969</v>
      </c>
      <c r="J285" s="89" t="s">
        <v>646</v>
      </c>
      <c r="K285" s="89" t="s">
        <v>19973</v>
      </c>
      <c r="M285" s="89">
        <v>2020</v>
      </c>
      <c r="N285" s="89" t="s">
        <v>19970</v>
      </c>
      <c r="O285" s="89" t="s">
        <v>646</v>
      </c>
      <c r="P285" s="89" t="str">
        <f>HYPERLINK("http://dx.doi.org/10.1145/3383652.3423860","http://dx.doi.org/10.1145/3383652.3423860")</f>
        <v>http://dx.doi.org/10.1145/3383652.3423860</v>
      </c>
      <c r="S285" s="89" t="s">
        <v>19285</v>
      </c>
      <c r="U285" s="89" t="s">
        <v>17474</v>
      </c>
      <c r="W285" s="89" t="s">
        <v>646</v>
      </c>
      <c r="X285" s="89" t="s">
        <v>646</v>
      </c>
      <c r="Y285" s="89" t="s">
        <v>19971</v>
      </c>
      <c r="Z285" s="89" t="s">
        <v>19972</v>
      </c>
      <c r="AA285" s="89" t="s">
        <v>17494</v>
      </c>
      <c r="AB285" s="89" t="s">
        <v>17804</v>
      </c>
      <c r="AC285" s="89" t="s">
        <v>646</v>
      </c>
      <c r="AD285" s="89" t="s">
        <v>646</v>
      </c>
      <c r="AE285" s="89" t="s">
        <v>646</v>
      </c>
      <c r="AF285" s="89" t="s">
        <v>19973</v>
      </c>
      <c r="AG285" s="89" t="s">
        <v>646</v>
      </c>
      <c r="AH285" s="89" t="s">
        <v>646</v>
      </c>
      <c r="AI285" s="89" t="s">
        <v>646</v>
      </c>
      <c r="AJ285" s="89" t="s">
        <v>646</v>
      </c>
      <c r="AK285" s="89" t="s">
        <v>646</v>
      </c>
      <c r="AL285" s="89" t="s">
        <v>19974</v>
      </c>
      <c r="AM285" s="89" t="s">
        <v>646</v>
      </c>
      <c r="AN285" s="89" t="s">
        <v>646</v>
      </c>
      <c r="AO285" s="89" t="s">
        <v>646</v>
      </c>
      <c r="AP285" s="89" t="s">
        <v>646</v>
      </c>
      <c r="AQ285" s="89" t="s">
        <v>646</v>
      </c>
      <c r="AR285" s="89" t="s">
        <v>646</v>
      </c>
      <c r="AS285" s="89" t="s">
        <v>646</v>
      </c>
      <c r="AT285" s="89" t="s">
        <v>646</v>
      </c>
      <c r="AU285" s="89" t="s">
        <v>646</v>
      </c>
      <c r="AV285" s="89" t="s">
        <v>646</v>
      </c>
      <c r="AW285" s="89" t="s">
        <v>646</v>
      </c>
      <c r="AX285" s="89" t="s">
        <v>646</v>
      </c>
      <c r="AY285" s="89" t="s">
        <v>646</v>
      </c>
      <c r="AZ285" s="89" t="s">
        <v>646</v>
      </c>
      <c r="BA285" s="89" t="s">
        <v>19975</v>
      </c>
      <c r="BB285" s="89" t="s">
        <v>646</v>
      </c>
      <c r="BC285" s="89" t="s">
        <v>646</v>
      </c>
      <c r="BD285" s="89" t="s">
        <v>646</v>
      </c>
      <c r="BE285" s="89">
        <v>2020</v>
      </c>
      <c r="BF285" s="89" t="s">
        <v>646</v>
      </c>
      <c r="BG285" s="89" t="s">
        <v>646</v>
      </c>
      <c r="BH285" s="89" t="s">
        <v>646</v>
      </c>
      <c r="BI285" s="89" t="s">
        <v>646</v>
      </c>
      <c r="BJ285" s="89" t="s">
        <v>646</v>
      </c>
      <c r="BK285" s="89" t="s">
        <v>646</v>
      </c>
      <c r="BL285" s="89" t="s">
        <v>646</v>
      </c>
      <c r="BM285" s="89" t="s">
        <v>646</v>
      </c>
      <c r="BN285" s="89">
        <v>30</v>
      </c>
      <c r="BO285" s="89" t="str">
        <f>HYPERLINK("http://dx.doi.org/10.1145/3383652.3423860","http://dx.doi.org/10.1145/3383652.3423860")</f>
        <v>http://dx.doi.org/10.1145/3383652.3423860</v>
      </c>
      <c r="BP285" s="89" t="s">
        <v>646</v>
      </c>
      <c r="BQ285" s="89" t="s">
        <v>646</v>
      </c>
      <c r="BR285" s="89" t="s">
        <v>646</v>
      </c>
      <c r="BS285" s="89" t="s">
        <v>646</v>
      </c>
      <c r="BT285" s="89" t="s">
        <v>646</v>
      </c>
      <c r="BU285" s="89" t="s">
        <v>646</v>
      </c>
      <c r="BV285" s="89" t="s">
        <v>646</v>
      </c>
      <c r="BW285" s="89" t="s">
        <v>646</v>
      </c>
      <c r="BX285" s="89" t="s">
        <v>646</v>
      </c>
      <c r="BY285" s="89" t="s">
        <v>646</v>
      </c>
      <c r="BZ285" s="89" t="s">
        <v>646</v>
      </c>
      <c r="CA285" s="89" t="s">
        <v>646</v>
      </c>
      <c r="CB285" s="89" t="s">
        <v>19976</v>
      </c>
      <c r="CC285" s="89" t="str">
        <f>HYPERLINK("https%3A%2F%2Fwww.webofscience.com%2Fwos%2Fwoscc%2Ffull-record%2FWOS:000728153600002","View Full Record in Web of Science")</f>
        <v>View Full Record in Web of Science</v>
      </c>
    </row>
    <row r="286" spans="1:81" ht="13.2" hidden="1" x14ac:dyDescent="0.25">
      <c r="A286" s="89" t="s">
        <v>11736</v>
      </c>
      <c r="B286" s="89" t="e">
        <f>+#REF!</f>
        <v>#REF!</v>
      </c>
      <c r="C286" s="89"/>
      <c r="D286" s="91" t="s">
        <v>717</v>
      </c>
      <c r="E286" s="90" t="e">
        <v>#REF!</v>
      </c>
      <c r="F286" s="89"/>
      <c r="G286" s="89"/>
      <c r="H286" s="89" t="s">
        <v>11737</v>
      </c>
      <c r="I286" s="89" t="s">
        <v>19977</v>
      </c>
      <c r="J286" s="89" t="s">
        <v>646</v>
      </c>
      <c r="K286" s="89" t="s">
        <v>19979</v>
      </c>
      <c r="M286" s="89">
        <v>2018</v>
      </c>
      <c r="N286" s="89" t="s">
        <v>19978</v>
      </c>
      <c r="O286" s="89" t="s">
        <v>646</v>
      </c>
      <c r="P286" s="89" t="str">
        <f>HYPERLINK("http://dx.doi.org/10.1017/S147895151700075X","http://dx.doi.org/10.1017/S147895151700075X")</f>
        <v>http://dx.doi.org/10.1017/S147895151700075X</v>
      </c>
      <c r="S286" s="89" t="s">
        <v>646</v>
      </c>
      <c r="U286" s="89" t="s">
        <v>17462</v>
      </c>
      <c r="W286" s="89" t="s">
        <v>646</v>
      </c>
      <c r="X286" s="89" t="s">
        <v>646</v>
      </c>
      <c r="Y286" s="89" t="s">
        <v>646</v>
      </c>
      <c r="Z286" s="89" t="s">
        <v>646</v>
      </c>
      <c r="AA286" s="89" t="s">
        <v>646</v>
      </c>
      <c r="AB286" s="89" t="s">
        <v>646</v>
      </c>
      <c r="AC286" s="89" t="s">
        <v>646</v>
      </c>
      <c r="AD286" s="89" t="s">
        <v>646</v>
      </c>
      <c r="AE286" s="89" t="s">
        <v>646</v>
      </c>
      <c r="AF286" s="89" t="s">
        <v>19979</v>
      </c>
      <c r="AG286" s="89" t="s">
        <v>646</v>
      </c>
      <c r="AH286" s="89" t="s">
        <v>646</v>
      </c>
      <c r="AI286" s="89" t="s">
        <v>646</v>
      </c>
      <c r="AJ286" s="89" t="s">
        <v>646</v>
      </c>
      <c r="AK286" s="89" t="s">
        <v>646</v>
      </c>
      <c r="AL286" s="89" t="s">
        <v>646</v>
      </c>
      <c r="AM286" s="89" t="s">
        <v>646</v>
      </c>
      <c r="AN286" s="89" t="s">
        <v>646</v>
      </c>
      <c r="AO286" s="89" t="s">
        <v>646</v>
      </c>
      <c r="AP286" s="89" t="s">
        <v>646</v>
      </c>
      <c r="AQ286" s="89" t="s">
        <v>646</v>
      </c>
      <c r="AR286" s="89" t="s">
        <v>646</v>
      </c>
      <c r="AS286" s="89" t="s">
        <v>646</v>
      </c>
      <c r="AT286" s="89" t="s">
        <v>646</v>
      </c>
      <c r="AU286" s="89" t="s">
        <v>646</v>
      </c>
      <c r="AV286" s="89" t="s">
        <v>646</v>
      </c>
      <c r="AW286" s="89" t="s">
        <v>646</v>
      </c>
      <c r="AX286" s="89" t="s">
        <v>646</v>
      </c>
      <c r="AY286" s="89" t="s">
        <v>19980</v>
      </c>
      <c r="AZ286" s="89" t="s">
        <v>19981</v>
      </c>
      <c r="BA286" s="89" t="s">
        <v>646</v>
      </c>
      <c r="BB286" s="89" t="s">
        <v>646</v>
      </c>
      <c r="BC286" s="89" t="s">
        <v>646</v>
      </c>
      <c r="BD286" s="89" t="s">
        <v>17615</v>
      </c>
      <c r="BE286" s="89">
        <v>2018</v>
      </c>
      <c r="BF286" s="89">
        <v>16</v>
      </c>
      <c r="BG286" s="89">
        <v>6</v>
      </c>
      <c r="BH286" s="89" t="s">
        <v>646</v>
      </c>
      <c r="BI286" s="89" t="s">
        <v>646</v>
      </c>
      <c r="BJ286" s="89" t="s">
        <v>646</v>
      </c>
      <c r="BK286" s="89" t="s">
        <v>646</v>
      </c>
      <c r="BL286" s="89">
        <v>767</v>
      </c>
      <c r="BM286" s="89">
        <v>776</v>
      </c>
      <c r="BN286" s="89" t="s">
        <v>646</v>
      </c>
      <c r="BO286" s="89" t="str">
        <f>HYPERLINK("http://dx.doi.org/10.1017/S147895151700075X","http://dx.doi.org/10.1017/S147895151700075X")</f>
        <v>http://dx.doi.org/10.1017/S147895151700075X</v>
      </c>
      <c r="BP286" s="89" t="s">
        <v>646</v>
      </c>
      <c r="BQ286" s="89" t="s">
        <v>646</v>
      </c>
      <c r="BR286" s="89" t="s">
        <v>646</v>
      </c>
      <c r="BS286" s="89" t="s">
        <v>646</v>
      </c>
      <c r="BT286" s="89" t="s">
        <v>646</v>
      </c>
      <c r="BU286" s="89" t="s">
        <v>646</v>
      </c>
      <c r="BV286" s="89" t="s">
        <v>646</v>
      </c>
      <c r="BW286" s="89">
        <v>28809134</v>
      </c>
      <c r="BX286" s="89" t="s">
        <v>646</v>
      </c>
      <c r="BY286" s="89" t="s">
        <v>646</v>
      </c>
      <c r="BZ286" s="89" t="s">
        <v>646</v>
      </c>
      <c r="CA286" s="89" t="s">
        <v>646</v>
      </c>
      <c r="CB286" s="89" t="s">
        <v>19982</v>
      </c>
      <c r="CC286" s="89" t="str">
        <f>HYPERLINK("https%3A%2F%2Fwww.webofscience.com%2Fwos%2Fwoscc%2Ffull-record%2FWOS:000454774900019","View Full Record in Web of Science")</f>
        <v>View Full Record in Web of Science</v>
      </c>
    </row>
    <row r="287" spans="1:81" ht="13.2" hidden="1" x14ac:dyDescent="0.25">
      <c r="A287" s="89" t="s">
        <v>11746</v>
      </c>
      <c r="B287" s="89" t="e">
        <f>+#REF!</f>
        <v>#REF!</v>
      </c>
      <c r="C287" s="89"/>
      <c r="D287" s="91" t="s">
        <v>717</v>
      </c>
      <c r="E287" s="90" t="e">
        <v>#REF!</v>
      </c>
      <c r="F287" s="89"/>
      <c r="G287" s="89"/>
      <c r="H287" s="89" t="s">
        <v>11747</v>
      </c>
      <c r="I287" s="89" t="s">
        <v>19983</v>
      </c>
      <c r="J287" s="89" t="s">
        <v>19986</v>
      </c>
      <c r="K287" s="89" t="s">
        <v>19985</v>
      </c>
      <c r="M287" s="89">
        <v>2018</v>
      </c>
      <c r="N287" s="89" t="s">
        <v>19984</v>
      </c>
      <c r="O287" s="89" t="s">
        <v>646</v>
      </c>
      <c r="P287" s="89" t="str">
        <f>HYPERLINK("http://dx.doi.org/10.1016/j.vaccine.2018.01.040","http://dx.doi.org/10.1016/j.vaccine.2018.01.040")</f>
        <v>http://dx.doi.org/10.1016/j.vaccine.2018.01.040</v>
      </c>
      <c r="S287" s="89" t="s">
        <v>646</v>
      </c>
      <c r="U287" s="89" t="s">
        <v>17462</v>
      </c>
      <c r="W287" s="89" t="s">
        <v>646</v>
      </c>
      <c r="X287" s="89" t="s">
        <v>646</v>
      </c>
      <c r="Y287" s="89" t="s">
        <v>646</v>
      </c>
      <c r="Z287" s="89" t="s">
        <v>646</v>
      </c>
      <c r="AA287" s="89" t="s">
        <v>646</v>
      </c>
      <c r="AB287" s="89" t="s">
        <v>646</v>
      </c>
      <c r="AC287" s="89" t="s">
        <v>646</v>
      </c>
      <c r="AD287" s="89" t="s">
        <v>646</v>
      </c>
      <c r="AE287" s="89" t="s">
        <v>646</v>
      </c>
      <c r="AF287" s="89" t="s">
        <v>19985</v>
      </c>
      <c r="AG287" s="89" t="s">
        <v>646</v>
      </c>
      <c r="AH287" s="89" t="s">
        <v>646</v>
      </c>
      <c r="AI287" s="89" t="s">
        <v>646</v>
      </c>
      <c r="AJ287" s="89" t="s">
        <v>646</v>
      </c>
      <c r="AK287" s="89" t="s">
        <v>19986</v>
      </c>
      <c r="AL287" s="89" t="s">
        <v>19987</v>
      </c>
      <c r="AM287" s="89" t="s">
        <v>646</v>
      </c>
      <c r="AN287" s="89" t="s">
        <v>646</v>
      </c>
      <c r="AO287" s="89" t="s">
        <v>646</v>
      </c>
      <c r="AP287" s="89" t="s">
        <v>646</v>
      </c>
      <c r="AQ287" s="89" t="s">
        <v>646</v>
      </c>
      <c r="AR287" s="89" t="s">
        <v>646</v>
      </c>
      <c r="AS287" s="89" t="s">
        <v>646</v>
      </c>
      <c r="AT287" s="89" t="s">
        <v>646</v>
      </c>
      <c r="AU287" s="89" t="s">
        <v>646</v>
      </c>
      <c r="AV287" s="89" t="s">
        <v>646</v>
      </c>
      <c r="AW287" s="89" t="s">
        <v>646</v>
      </c>
      <c r="AX287" s="89" t="s">
        <v>646</v>
      </c>
      <c r="AY287" s="89" t="s">
        <v>19988</v>
      </c>
      <c r="AZ287" s="89" t="s">
        <v>19989</v>
      </c>
      <c r="BA287" s="89" t="s">
        <v>646</v>
      </c>
      <c r="BB287" s="89" t="s">
        <v>646</v>
      </c>
      <c r="BC287" s="89" t="s">
        <v>646</v>
      </c>
      <c r="BD287" s="89" t="s">
        <v>19990</v>
      </c>
      <c r="BE287" s="89">
        <v>2018</v>
      </c>
      <c r="BF287" s="89">
        <v>36</v>
      </c>
      <c r="BG287" s="89">
        <v>18</v>
      </c>
      <c r="BH287" s="89" t="s">
        <v>646</v>
      </c>
      <c r="BI287" s="89" t="s">
        <v>646</v>
      </c>
      <c r="BJ287" s="89" t="s">
        <v>646</v>
      </c>
      <c r="BK287" s="89" t="s">
        <v>646</v>
      </c>
      <c r="BL287" s="89">
        <v>2494</v>
      </c>
      <c r="BM287" s="89">
        <v>2500</v>
      </c>
      <c r="BN287" s="89" t="s">
        <v>646</v>
      </c>
      <c r="BO287" s="89" t="str">
        <f>HYPERLINK("http://dx.doi.org/10.1016/j.vaccine.2018.01.040","http://dx.doi.org/10.1016/j.vaccine.2018.01.040")</f>
        <v>http://dx.doi.org/10.1016/j.vaccine.2018.01.040</v>
      </c>
      <c r="BP287" s="89" t="s">
        <v>646</v>
      </c>
      <c r="BQ287" s="89" t="s">
        <v>646</v>
      </c>
      <c r="BR287" s="89" t="s">
        <v>646</v>
      </c>
      <c r="BS287" s="89" t="s">
        <v>646</v>
      </c>
      <c r="BT287" s="89" t="s">
        <v>646</v>
      </c>
      <c r="BU287" s="89" t="s">
        <v>646</v>
      </c>
      <c r="BV287" s="89" t="s">
        <v>646</v>
      </c>
      <c r="BW287" s="89">
        <v>29599089</v>
      </c>
      <c r="BX287" s="89" t="s">
        <v>646</v>
      </c>
      <c r="BY287" s="89" t="s">
        <v>646</v>
      </c>
      <c r="BZ287" s="89" t="s">
        <v>646</v>
      </c>
      <c r="CA287" s="89" t="s">
        <v>646</v>
      </c>
      <c r="CB287" s="89" t="s">
        <v>19991</v>
      </c>
      <c r="CC287" s="89" t="str">
        <f>HYPERLINK("https%3A%2F%2Fwww.webofscience.com%2Fwos%2Fwoscc%2Ffull-record%2FWOS:000430893600015","View Full Record in Web of Science")</f>
        <v>View Full Record in Web of Science</v>
      </c>
    </row>
    <row r="288" spans="1:81" ht="13.2" hidden="1" x14ac:dyDescent="0.25">
      <c r="A288" s="89" t="s">
        <v>19992</v>
      </c>
      <c r="B288" s="89" t="e">
        <f>+#REF!</f>
        <v>#REF!</v>
      </c>
      <c r="C288" s="89"/>
      <c r="D288" s="91" t="s">
        <v>717</v>
      </c>
      <c r="E288" s="90" t="e">
        <v>#REF!</v>
      </c>
      <c r="F288" s="89"/>
      <c r="G288" s="89"/>
      <c r="H288" s="89" t="s">
        <v>646</v>
      </c>
      <c r="I288" s="89" t="s">
        <v>19993</v>
      </c>
      <c r="J288" s="89" t="s">
        <v>646</v>
      </c>
      <c r="K288" s="89" t="s">
        <v>19995</v>
      </c>
      <c r="M288" s="89">
        <v>2017</v>
      </c>
      <c r="N288" s="89" t="s">
        <v>19994</v>
      </c>
      <c r="O288" s="89" t="s">
        <v>646</v>
      </c>
      <c r="P288" s="89" t="s">
        <v>646</v>
      </c>
      <c r="S288" s="89" t="s">
        <v>646</v>
      </c>
      <c r="U288" s="89" t="s">
        <v>17462</v>
      </c>
      <c r="W288" s="89" t="s">
        <v>646</v>
      </c>
      <c r="X288" s="89" t="s">
        <v>646</v>
      </c>
      <c r="Y288" s="89" t="s">
        <v>646</v>
      </c>
      <c r="Z288" s="89" t="s">
        <v>646</v>
      </c>
      <c r="AA288" s="89" t="s">
        <v>646</v>
      </c>
      <c r="AB288" s="89" t="s">
        <v>646</v>
      </c>
      <c r="AC288" s="89" t="s">
        <v>646</v>
      </c>
      <c r="AD288" s="89" t="s">
        <v>646</v>
      </c>
      <c r="AE288" s="89" t="s">
        <v>646</v>
      </c>
      <c r="AF288" s="89" t="s">
        <v>19995</v>
      </c>
      <c r="AG288" s="89" t="s">
        <v>646</v>
      </c>
      <c r="AH288" s="89" t="s">
        <v>646</v>
      </c>
      <c r="AI288" s="89" t="s">
        <v>646</v>
      </c>
      <c r="AJ288" s="89" t="s">
        <v>646</v>
      </c>
      <c r="AK288" s="89" t="s">
        <v>646</v>
      </c>
      <c r="AL288" s="89" t="s">
        <v>646</v>
      </c>
      <c r="AM288" s="89" t="s">
        <v>646</v>
      </c>
      <c r="AN288" s="89" t="s">
        <v>646</v>
      </c>
      <c r="AO288" s="89" t="s">
        <v>646</v>
      </c>
      <c r="AP288" s="89" t="s">
        <v>646</v>
      </c>
      <c r="AQ288" s="89" t="s">
        <v>646</v>
      </c>
      <c r="AR288" s="89" t="s">
        <v>646</v>
      </c>
      <c r="AS288" s="89" t="s">
        <v>646</v>
      </c>
      <c r="AT288" s="89" t="s">
        <v>646</v>
      </c>
      <c r="AU288" s="89" t="s">
        <v>646</v>
      </c>
      <c r="AV288" s="89" t="s">
        <v>646</v>
      </c>
      <c r="AW288" s="89" t="s">
        <v>646</v>
      </c>
      <c r="AX288" s="89" t="s">
        <v>646</v>
      </c>
      <c r="AY288" s="89" t="s">
        <v>19996</v>
      </c>
      <c r="AZ288" s="89" t="s">
        <v>19997</v>
      </c>
      <c r="BA288" s="89" t="s">
        <v>646</v>
      </c>
      <c r="BB288" s="89" t="s">
        <v>646</v>
      </c>
      <c r="BC288" s="89" t="s">
        <v>646</v>
      </c>
      <c r="BD288" s="89" t="s">
        <v>17658</v>
      </c>
      <c r="BE288" s="89">
        <v>2017</v>
      </c>
      <c r="BF288" s="89">
        <v>54</v>
      </c>
      <c r="BG288" s="89">
        <v>1</v>
      </c>
      <c r="BH288" s="89" t="s">
        <v>646</v>
      </c>
      <c r="BI288" s="89" t="s">
        <v>646</v>
      </c>
      <c r="BJ288" s="89" t="s">
        <v>646</v>
      </c>
      <c r="BK288" s="89" t="s">
        <v>646</v>
      </c>
      <c r="BL288" s="89">
        <v>81</v>
      </c>
      <c r="BM288" s="89">
        <v>127</v>
      </c>
      <c r="BN288" s="89" t="s">
        <v>646</v>
      </c>
      <c r="BO288" s="89" t="s">
        <v>646</v>
      </c>
      <c r="BP288" s="89" t="s">
        <v>646</v>
      </c>
      <c r="BQ288" s="89" t="s">
        <v>646</v>
      </c>
      <c r="BR288" s="89" t="s">
        <v>646</v>
      </c>
      <c r="BS288" s="89" t="s">
        <v>646</v>
      </c>
      <c r="BT288" s="89" t="s">
        <v>646</v>
      </c>
      <c r="BU288" s="89" t="s">
        <v>646</v>
      </c>
      <c r="BV288" s="89" t="s">
        <v>646</v>
      </c>
      <c r="BW288" s="89" t="s">
        <v>646</v>
      </c>
      <c r="BX288" s="89" t="s">
        <v>646</v>
      </c>
      <c r="BY288" s="89" t="s">
        <v>646</v>
      </c>
      <c r="BZ288" s="89" t="s">
        <v>646</v>
      </c>
      <c r="CA288" s="89" t="s">
        <v>646</v>
      </c>
      <c r="CB288" s="89" t="s">
        <v>19998</v>
      </c>
      <c r="CC288" s="89" t="str">
        <f>HYPERLINK("https%3A%2F%2Fwww.webofscience.com%2Fwos%2Fwoscc%2Ffull-record%2FWOS:000394723800004","View Full Record in Web of Science")</f>
        <v>View Full Record in Web of Science</v>
      </c>
    </row>
    <row r="289" spans="1:81" ht="13.2" hidden="1" x14ac:dyDescent="0.25">
      <c r="A289" s="89" t="s">
        <v>9167</v>
      </c>
      <c r="B289" s="89" t="e">
        <f>+#REF!</f>
        <v>#REF!</v>
      </c>
      <c r="C289" s="89"/>
      <c r="D289" s="91" t="s">
        <v>717</v>
      </c>
      <c r="E289" s="90" t="e">
        <v>#REF!</v>
      </c>
      <c r="F289" s="89"/>
      <c r="G289" s="89"/>
      <c r="H289" s="89" t="s">
        <v>9168</v>
      </c>
      <c r="I289" s="89" t="s">
        <v>19999</v>
      </c>
      <c r="J289" s="89" t="s">
        <v>646</v>
      </c>
      <c r="K289" s="89" t="s">
        <v>20001</v>
      </c>
      <c r="M289" s="89">
        <v>2022</v>
      </c>
      <c r="N289" s="89" t="s">
        <v>20000</v>
      </c>
      <c r="O289" s="89" t="s">
        <v>646</v>
      </c>
      <c r="P289" s="89" t="str">
        <f>HYPERLINK("http://dx.doi.org/10.2196/31306","http://dx.doi.org/10.2196/31306")</f>
        <v>http://dx.doi.org/10.2196/31306</v>
      </c>
      <c r="S289" s="89" t="s">
        <v>646</v>
      </c>
      <c r="U289" s="89" t="s">
        <v>17462</v>
      </c>
      <c r="W289" s="89" t="s">
        <v>646</v>
      </c>
      <c r="X289" s="89" t="s">
        <v>646</v>
      </c>
      <c r="Y289" s="89" t="s">
        <v>646</v>
      </c>
      <c r="Z289" s="89" t="s">
        <v>646</v>
      </c>
      <c r="AA289" s="89" t="s">
        <v>646</v>
      </c>
      <c r="AB289" s="89" t="s">
        <v>646</v>
      </c>
      <c r="AC289" s="89" t="s">
        <v>646</v>
      </c>
      <c r="AD289" s="89" t="s">
        <v>646</v>
      </c>
      <c r="AE289" s="89" t="s">
        <v>646</v>
      </c>
      <c r="AF289" s="89" t="s">
        <v>20001</v>
      </c>
      <c r="AG289" s="89" t="s">
        <v>646</v>
      </c>
      <c r="AH289" s="89" t="s">
        <v>646</v>
      </c>
      <c r="AI289" s="89" t="s">
        <v>646</v>
      </c>
      <c r="AJ289" s="89" t="s">
        <v>646</v>
      </c>
      <c r="AK289" s="89" t="s">
        <v>646</v>
      </c>
      <c r="AL289" s="89" t="s">
        <v>20002</v>
      </c>
      <c r="AM289" s="89" t="s">
        <v>646</v>
      </c>
      <c r="AN289" s="89" t="s">
        <v>646</v>
      </c>
      <c r="AO289" s="89" t="s">
        <v>646</v>
      </c>
      <c r="AP289" s="89" t="s">
        <v>646</v>
      </c>
      <c r="AQ289" s="89" t="s">
        <v>646</v>
      </c>
      <c r="AR289" s="89" t="s">
        <v>646</v>
      </c>
      <c r="AS289" s="89" t="s">
        <v>646</v>
      </c>
      <c r="AT289" s="89" t="s">
        <v>646</v>
      </c>
      <c r="AU289" s="89" t="s">
        <v>646</v>
      </c>
      <c r="AV289" s="89" t="s">
        <v>646</v>
      </c>
      <c r="AW289" s="89" t="s">
        <v>646</v>
      </c>
      <c r="AX289" s="89" t="s">
        <v>646</v>
      </c>
      <c r="AY289" s="89" t="s">
        <v>20003</v>
      </c>
      <c r="AZ289" s="89" t="s">
        <v>646</v>
      </c>
      <c r="BA289" s="89" t="s">
        <v>646</v>
      </c>
      <c r="BB289" s="89" t="s">
        <v>646</v>
      </c>
      <c r="BC289" s="89" t="s">
        <v>646</v>
      </c>
      <c r="BD289" s="89" t="s">
        <v>17676</v>
      </c>
      <c r="BE289" s="89">
        <v>2022</v>
      </c>
      <c r="BF289" s="89">
        <v>8</v>
      </c>
      <c r="BG289" s="89">
        <v>7</v>
      </c>
      <c r="BH289" s="89" t="s">
        <v>646</v>
      </c>
      <c r="BI289" s="89" t="s">
        <v>646</v>
      </c>
      <c r="BJ289" s="89" t="s">
        <v>646</v>
      </c>
      <c r="BK289" s="89" t="s">
        <v>646</v>
      </c>
      <c r="BL289" s="89" t="s">
        <v>646</v>
      </c>
      <c r="BM289" s="89" t="s">
        <v>646</v>
      </c>
      <c r="BN289" s="89" t="s">
        <v>20004</v>
      </c>
      <c r="BO289" s="89" t="str">
        <f>HYPERLINK("http://dx.doi.org/10.2196/31306","http://dx.doi.org/10.2196/31306")</f>
        <v>http://dx.doi.org/10.2196/31306</v>
      </c>
      <c r="BP289" s="89" t="s">
        <v>646</v>
      </c>
      <c r="BQ289" s="89" t="s">
        <v>646</v>
      </c>
      <c r="BR289" s="89" t="s">
        <v>646</v>
      </c>
      <c r="BS289" s="89" t="s">
        <v>646</v>
      </c>
      <c r="BT289" s="89" t="s">
        <v>646</v>
      </c>
      <c r="BU289" s="89" t="s">
        <v>646</v>
      </c>
      <c r="BV289" s="89" t="s">
        <v>646</v>
      </c>
      <c r="BW289" s="89">
        <v>35605128</v>
      </c>
      <c r="BX289" s="89" t="s">
        <v>646</v>
      </c>
      <c r="BY289" s="89" t="s">
        <v>646</v>
      </c>
      <c r="BZ289" s="89" t="s">
        <v>646</v>
      </c>
      <c r="CA289" s="89" t="s">
        <v>646</v>
      </c>
      <c r="CB289" s="89" t="s">
        <v>20005</v>
      </c>
      <c r="CC289" s="89" t="str">
        <f>HYPERLINK("https%3A%2F%2Fwww.webofscience.com%2Fwos%2Fwoscc%2Ffull-record%2FWOS:000839330700010","View Full Record in Web of Science")</f>
        <v>View Full Record in Web of Science</v>
      </c>
    </row>
    <row r="290" spans="1:81" ht="13.2" hidden="1" x14ac:dyDescent="0.25">
      <c r="A290" s="89" t="s">
        <v>11765</v>
      </c>
      <c r="B290" s="89" t="e">
        <f>+#REF!</f>
        <v>#REF!</v>
      </c>
      <c r="C290" s="89"/>
      <c r="D290" s="91" t="s">
        <v>717</v>
      </c>
      <c r="E290" s="90" t="e">
        <v>#REF!</v>
      </c>
      <c r="F290" s="89"/>
      <c r="G290" s="89"/>
      <c r="H290" s="89" t="s">
        <v>11766</v>
      </c>
      <c r="I290" s="89" t="s">
        <v>20006</v>
      </c>
      <c r="J290" s="89" t="s">
        <v>646</v>
      </c>
      <c r="K290" s="89" t="s">
        <v>20013</v>
      </c>
      <c r="M290" s="89">
        <v>1998</v>
      </c>
      <c r="N290" s="89" t="s">
        <v>20008</v>
      </c>
      <c r="O290" s="89" t="s">
        <v>20007</v>
      </c>
      <c r="P290" s="89" t="str">
        <f>HYPERLINK("http://dx.doi.org/10.1117/12.298290","http://dx.doi.org/10.1117/12.298290")</f>
        <v>http://dx.doi.org/10.1117/12.298290</v>
      </c>
      <c r="S290" s="89" t="s">
        <v>646</v>
      </c>
      <c r="U290" s="89" t="s">
        <v>17474</v>
      </c>
      <c r="W290" s="89" t="s">
        <v>646</v>
      </c>
      <c r="X290" s="89" t="s">
        <v>646</v>
      </c>
      <c r="Y290" s="89" t="s">
        <v>20009</v>
      </c>
      <c r="Z290" s="89" t="s">
        <v>20010</v>
      </c>
      <c r="AA290" s="89" t="s">
        <v>20011</v>
      </c>
      <c r="AB290" s="89" t="s">
        <v>20012</v>
      </c>
      <c r="AC290" s="89" t="s">
        <v>646</v>
      </c>
      <c r="AD290" s="89" t="s">
        <v>646</v>
      </c>
      <c r="AE290" s="89" t="s">
        <v>646</v>
      </c>
      <c r="AF290" s="89" t="s">
        <v>20013</v>
      </c>
      <c r="AG290" s="89" t="s">
        <v>646</v>
      </c>
      <c r="AH290" s="89" t="s">
        <v>646</v>
      </c>
      <c r="AI290" s="89" t="s">
        <v>646</v>
      </c>
      <c r="AJ290" s="89" t="s">
        <v>646</v>
      </c>
      <c r="AK290" s="89" t="s">
        <v>646</v>
      </c>
      <c r="AL290" s="89" t="s">
        <v>646</v>
      </c>
      <c r="AM290" s="89" t="s">
        <v>646</v>
      </c>
      <c r="AN290" s="89" t="s">
        <v>646</v>
      </c>
      <c r="AO290" s="89" t="s">
        <v>646</v>
      </c>
      <c r="AP290" s="89" t="s">
        <v>646</v>
      </c>
      <c r="AQ290" s="89" t="s">
        <v>646</v>
      </c>
      <c r="AR290" s="89" t="s">
        <v>646</v>
      </c>
      <c r="AS290" s="89" t="s">
        <v>646</v>
      </c>
      <c r="AT290" s="89" t="s">
        <v>646</v>
      </c>
      <c r="AU290" s="89" t="s">
        <v>646</v>
      </c>
      <c r="AV290" s="89" t="s">
        <v>646</v>
      </c>
      <c r="AW290" s="89" t="s">
        <v>646</v>
      </c>
      <c r="AX290" s="89" t="s">
        <v>646</v>
      </c>
      <c r="AY290" s="89" t="s">
        <v>19728</v>
      </c>
      <c r="AZ290" s="89" t="s">
        <v>646</v>
      </c>
      <c r="BA290" s="89" t="s">
        <v>20014</v>
      </c>
      <c r="BB290" s="89" t="s">
        <v>646</v>
      </c>
      <c r="BC290" s="89" t="s">
        <v>646</v>
      </c>
      <c r="BD290" s="89" t="s">
        <v>646</v>
      </c>
      <c r="BE290" s="89">
        <v>1998</v>
      </c>
      <c r="BF290" s="89">
        <v>3300</v>
      </c>
      <c r="BG290" s="89" t="s">
        <v>646</v>
      </c>
      <c r="BH290" s="89" t="s">
        <v>646</v>
      </c>
      <c r="BI290" s="89" t="s">
        <v>646</v>
      </c>
      <c r="BJ290" s="89" t="s">
        <v>646</v>
      </c>
      <c r="BK290" s="89" t="s">
        <v>646</v>
      </c>
      <c r="BL290" s="89">
        <v>283</v>
      </c>
      <c r="BM290" s="89">
        <v>285</v>
      </c>
      <c r="BN290" s="89" t="s">
        <v>646</v>
      </c>
      <c r="BO290" s="89" t="str">
        <f>HYPERLINK("http://dx.doi.org/10.1117/12.298290","http://dx.doi.org/10.1117/12.298290")</f>
        <v>http://dx.doi.org/10.1117/12.298290</v>
      </c>
      <c r="BP290" s="89" t="s">
        <v>646</v>
      </c>
      <c r="BQ290" s="89" t="s">
        <v>646</v>
      </c>
      <c r="BR290" s="89" t="s">
        <v>646</v>
      </c>
      <c r="BS290" s="89" t="s">
        <v>646</v>
      </c>
      <c r="BT290" s="89" t="s">
        <v>646</v>
      </c>
      <c r="BU290" s="89" t="s">
        <v>646</v>
      </c>
      <c r="BV290" s="89" t="s">
        <v>646</v>
      </c>
      <c r="BW290" s="89" t="s">
        <v>646</v>
      </c>
      <c r="BX290" s="89" t="s">
        <v>646</v>
      </c>
      <c r="BY290" s="89" t="s">
        <v>646</v>
      </c>
      <c r="BZ290" s="89" t="s">
        <v>646</v>
      </c>
      <c r="CA290" s="89" t="s">
        <v>646</v>
      </c>
      <c r="CB290" s="89" t="s">
        <v>20015</v>
      </c>
      <c r="CC290" s="89" t="str">
        <f>HYPERLINK("https%3A%2F%2Fwww.webofscience.com%2Fwos%2Fwoscc%2Ffull-record%2FWOS:000071842100032","View Full Record in Web of Science")</f>
        <v>View Full Record in Web of Science</v>
      </c>
    </row>
    <row r="291" spans="1:81" ht="13.2" hidden="1" x14ac:dyDescent="0.25">
      <c r="A291" s="89" t="s">
        <v>20016</v>
      </c>
      <c r="B291" s="89" t="e">
        <f>+#REF!</f>
        <v>#REF!</v>
      </c>
      <c r="C291" s="89"/>
      <c r="D291" s="91" t="s">
        <v>717</v>
      </c>
      <c r="E291" s="90" t="e">
        <v>#REF!</v>
      </c>
      <c r="F291" s="89"/>
      <c r="G291" s="89"/>
      <c r="H291" s="89" t="s">
        <v>11775</v>
      </c>
      <c r="I291" s="89" t="s">
        <v>20017</v>
      </c>
      <c r="J291" s="89" t="s">
        <v>20019</v>
      </c>
      <c r="K291" s="89" t="s">
        <v>20018</v>
      </c>
      <c r="M291" s="89">
        <v>2019</v>
      </c>
      <c r="N291" s="89" t="s">
        <v>19218</v>
      </c>
      <c r="O291" s="89" t="s">
        <v>646</v>
      </c>
      <c r="P291" s="89" t="str">
        <f>HYPERLINK("http://dx.doi.org/10.3390/su11205729","http://dx.doi.org/10.3390/su11205729")</f>
        <v>http://dx.doi.org/10.3390/su11205729</v>
      </c>
      <c r="S291" s="89" t="s">
        <v>646</v>
      </c>
      <c r="U291" s="89" t="s">
        <v>17462</v>
      </c>
      <c r="W291" s="89" t="s">
        <v>646</v>
      </c>
      <c r="X291" s="89" t="s">
        <v>646</v>
      </c>
      <c r="Y291" s="89" t="s">
        <v>646</v>
      </c>
      <c r="Z291" s="89" t="s">
        <v>646</v>
      </c>
      <c r="AA291" s="89" t="s">
        <v>646</v>
      </c>
      <c r="AB291" s="89" t="s">
        <v>646</v>
      </c>
      <c r="AC291" s="89" t="s">
        <v>646</v>
      </c>
      <c r="AD291" s="89" t="s">
        <v>646</v>
      </c>
      <c r="AE291" s="89" t="s">
        <v>646</v>
      </c>
      <c r="AF291" s="89" t="s">
        <v>20018</v>
      </c>
      <c r="AG291" s="89" t="s">
        <v>646</v>
      </c>
      <c r="AH291" s="89" t="s">
        <v>646</v>
      </c>
      <c r="AI291" s="89" t="s">
        <v>646</v>
      </c>
      <c r="AJ291" s="89" t="s">
        <v>646</v>
      </c>
      <c r="AK291" s="89" t="s">
        <v>20019</v>
      </c>
      <c r="AL291" s="89" t="s">
        <v>20020</v>
      </c>
      <c r="AM291" s="89" t="s">
        <v>646</v>
      </c>
      <c r="AN291" s="89" t="s">
        <v>646</v>
      </c>
      <c r="AO291" s="89" t="s">
        <v>646</v>
      </c>
      <c r="AP291" s="89" t="s">
        <v>646</v>
      </c>
      <c r="AQ291" s="89" t="s">
        <v>646</v>
      </c>
      <c r="AR291" s="89" t="s">
        <v>646</v>
      </c>
      <c r="AS291" s="89" t="s">
        <v>646</v>
      </c>
      <c r="AT291" s="89" t="s">
        <v>646</v>
      </c>
      <c r="AU291" s="89" t="s">
        <v>646</v>
      </c>
      <c r="AV291" s="89" t="s">
        <v>646</v>
      </c>
      <c r="AW291" s="89" t="s">
        <v>646</v>
      </c>
      <c r="AX291" s="89" t="s">
        <v>646</v>
      </c>
      <c r="AY291" s="89" t="s">
        <v>646</v>
      </c>
      <c r="AZ291" s="89" t="s">
        <v>19222</v>
      </c>
      <c r="BA291" s="89" t="s">
        <v>646</v>
      </c>
      <c r="BB291" s="89" t="s">
        <v>646</v>
      </c>
      <c r="BC291" s="89" t="s">
        <v>646</v>
      </c>
      <c r="BD291" s="89" t="s">
        <v>20021</v>
      </c>
      <c r="BE291" s="89">
        <v>2019</v>
      </c>
      <c r="BF291" s="89">
        <v>11</v>
      </c>
      <c r="BG291" s="89">
        <v>20</v>
      </c>
      <c r="BH291" s="89" t="s">
        <v>646</v>
      </c>
      <c r="BI291" s="89" t="s">
        <v>646</v>
      </c>
      <c r="BJ291" s="89" t="s">
        <v>646</v>
      </c>
      <c r="BK291" s="89" t="s">
        <v>646</v>
      </c>
      <c r="BL291" s="89" t="s">
        <v>646</v>
      </c>
      <c r="BM291" s="89" t="s">
        <v>646</v>
      </c>
      <c r="BN291" s="89">
        <v>5729</v>
      </c>
      <c r="BO291" s="89" t="str">
        <f>HYPERLINK("http://dx.doi.org/10.3390/su11205729","http://dx.doi.org/10.3390/su11205729")</f>
        <v>http://dx.doi.org/10.3390/su11205729</v>
      </c>
      <c r="BP291" s="89" t="s">
        <v>646</v>
      </c>
      <c r="BQ291" s="89" t="s">
        <v>646</v>
      </c>
      <c r="BR291" s="89" t="s">
        <v>646</v>
      </c>
      <c r="BS291" s="89" t="s">
        <v>646</v>
      </c>
      <c r="BT291" s="89" t="s">
        <v>646</v>
      </c>
      <c r="BU291" s="89" t="s">
        <v>646</v>
      </c>
      <c r="BV291" s="89" t="s">
        <v>646</v>
      </c>
      <c r="BW291" s="89" t="s">
        <v>646</v>
      </c>
      <c r="BX291" s="89" t="s">
        <v>646</v>
      </c>
      <c r="BY291" s="89" t="s">
        <v>646</v>
      </c>
      <c r="BZ291" s="89" t="s">
        <v>646</v>
      </c>
      <c r="CA291" s="89" t="s">
        <v>646</v>
      </c>
      <c r="CB291" s="89" t="s">
        <v>20022</v>
      </c>
      <c r="CC291" s="89" t="str">
        <f>HYPERLINK("https%3A%2F%2Fwww.webofscience.com%2Fwos%2Fwoscc%2Ffull-record%2FWOS:000498398900186","View Full Record in Web of Science")</f>
        <v>View Full Record in Web of Science</v>
      </c>
    </row>
    <row r="292" spans="1:81" ht="13.2" hidden="1" x14ac:dyDescent="0.25">
      <c r="A292" s="89" t="s">
        <v>9176</v>
      </c>
      <c r="B292" s="89" t="e">
        <f>+#REF!</f>
        <v>#REF!</v>
      </c>
      <c r="C292" s="89"/>
      <c r="D292" s="91" t="s">
        <v>717</v>
      </c>
      <c r="E292" s="90" t="e">
        <v>#REF!</v>
      </c>
      <c r="F292" s="89"/>
      <c r="G292" s="89"/>
      <c r="H292" s="89" t="s">
        <v>9177</v>
      </c>
      <c r="I292" s="89" t="s">
        <v>20023</v>
      </c>
      <c r="J292" s="89" t="s">
        <v>646</v>
      </c>
      <c r="K292" s="89" t="s">
        <v>20025</v>
      </c>
      <c r="M292" s="89">
        <v>2022</v>
      </c>
      <c r="N292" s="89" t="s">
        <v>20024</v>
      </c>
      <c r="O292" s="89" t="s">
        <v>646</v>
      </c>
      <c r="P292" s="89" t="str">
        <f>HYPERLINK("http://dx.doi.org/10.1111/ntwe.12234","http://dx.doi.org/10.1111/ntwe.12234")</f>
        <v>http://dx.doi.org/10.1111/ntwe.12234</v>
      </c>
      <c r="S292" s="89" t="s">
        <v>646</v>
      </c>
      <c r="U292" s="89" t="s">
        <v>17462</v>
      </c>
      <c r="W292" s="89" t="s">
        <v>646</v>
      </c>
      <c r="X292" s="89" t="s">
        <v>646</v>
      </c>
      <c r="Y292" s="89" t="s">
        <v>646</v>
      </c>
      <c r="Z292" s="89" t="s">
        <v>646</v>
      </c>
      <c r="AA292" s="89" t="s">
        <v>646</v>
      </c>
      <c r="AB292" s="89" t="s">
        <v>646</v>
      </c>
      <c r="AC292" s="89" t="s">
        <v>646</v>
      </c>
      <c r="AD292" s="89" t="s">
        <v>646</v>
      </c>
      <c r="AE292" s="89" t="s">
        <v>646</v>
      </c>
      <c r="AF292" s="89" t="s">
        <v>20025</v>
      </c>
      <c r="AG292" s="89" t="s">
        <v>646</v>
      </c>
      <c r="AH292" s="89" t="s">
        <v>646</v>
      </c>
      <c r="AI292" s="89" t="s">
        <v>646</v>
      </c>
      <c r="AJ292" s="89" t="s">
        <v>646</v>
      </c>
      <c r="AK292" s="89" t="s">
        <v>646</v>
      </c>
      <c r="AL292" s="89" t="s">
        <v>20026</v>
      </c>
      <c r="AM292" s="89" t="s">
        <v>646</v>
      </c>
      <c r="AN292" s="89" t="s">
        <v>646</v>
      </c>
      <c r="AO292" s="89" t="s">
        <v>646</v>
      </c>
      <c r="AP292" s="89" t="s">
        <v>646</v>
      </c>
      <c r="AQ292" s="89" t="s">
        <v>646</v>
      </c>
      <c r="AR292" s="89" t="s">
        <v>646</v>
      </c>
      <c r="AS292" s="89" t="s">
        <v>646</v>
      </c>
      <c r="AT292" s="89" t="s">
        <v>646</v>
      </c>
      <c r="AU292" s="89" t="s">
        <v>646</v>
      </c>
      <c r="AV292" s="89" t="s">
        <v>646</v>
      </c>
      <c r="AW292" s="89" t="s">
        <v>646</v>
      </c>
      <c r="AX292" s="89" t="s">
        <v>646</v>
      </c>
      <c r="AY292" s="89" t="s">
        <v>20027</v>
      </c>
      <c r="AZ292" s="89" t="s">
        <v>20028</v>
      </c>
      <c r="BA292" s="89" t="s">
        <v>646</v>
      </c>
      <c r="BB292" s="89" t="s">
        <v>646</v>
      </c>
      <c r="BC292" s="89" t="s">
        <v>646</v>
      </c>
      <c r="BD292" s="89" t="s">
        <v>17676</v>
      </c>
      <c r="BE292" s="89">
        <v>2022</v>
      </c>
      <c r="BF292" s="89">
        <v>37</v>
      </c>
      <c r="BG292" s="89">
        <v>2</v>
      </c>
      <c r="BH292" s="89" t="s">
        <v>646</v>
      </c>
      <c r="BI292" s="89" t="s">
        <v>646</v>
      </c>
      <c r="BJ292" s="89" t="s">
        <v>646</v>
      </c>
      <c r="BK292" s="89" t="s">
        <v>646</v>
      </c>
      <c r="BL292" s="89">
        <v>308</v>
      </c>
      <c r="BM292" s="89">
        <v>327</v>
      </c>
      <c r="BN292" s="89" t="s">
        <v>646</v>
      </c>
      <c r="BO292" s="89" t="str">
        <f>HYPERLINK("http://dx.doi.org/10.1111/ntwe.12234","http://dx.doi.org/10.1111/ntwe.12234")</f>
        <v>http://dx.doi.org/10.1111/ntwe.12234</v>
      </c>
      <c r="BP292" s="89" t="s">
        <v>646</v>
      </c>
      <c r="BQ292" s="89" t="s">
        <v>20029</v>
      </c>
      <c r="BR292" s="89" t="s">
        <v>646</v>
      </c>
      <c r="BS292" s="89" t="s">
        <v>646</v>
      </c>
      <c r="BT292" s="89" t="s">
        <v>646</v>
      </c>
      <c r="BU292" s="89" t="s">
        <v>646</v>
      </c>
      <c r="BV292" s="89" t="s">
        <v>646</v>
      </c>
      <c r="BW292" s="89">
        <v>36008769</v>
      </c>
      <c r="BX292" s="89" t="s">
        <v>646</v>
      </c>
      <c r="BY292" s="89" t="s">
        <v>646</v>
      </c>
      <c r="BZ292" s="89" t="s">
        <v>646</v>
      </c>
      <c r="CA292" s="89" t="s">
        <v>646</v>
      </c>
      <c r="CB292" s="89" t="s">
        <v>20030</v>
      </c>
      <c r="CC292" s="89" t="str">
        <f>HYPERLINK("https%3A%2F%2Fwww.webofscience.com%2Fwos%2Fwoscc%2Ffull-record%2FWOS:000759545600001","View Full Record in Web of Science")</f>
        <v>View Full Record in Web of Science</v>
      </c>
    </row>
    <row r="293" spans="1:81" ht="13.2" hidden="1" x14ac:dyDescent="0.25">
      <c r="A293" s="89" t="s">
        <v>9186</v>
      </c>
      <c r="B293" s="89" t="e">
        <f>+#REF!</f>
        <v>#REF!</v>
      </c>
      <c r="C293" s="89"/>
      <c r="D293" s="91" t="s">
        <v>717</v>
      </c>
      <c r="E293" s="90" t="e">
        <v>#REF!</v>
      </c>
      <c r="F293" s="89"/>
      <c r="G293" s="89"/>
      <c r="H293" s="89" t="s">
        <v>9187</v>
      </c>
      <c r="I293" s="89" t="s">
        <v>20031</v>
      </c>
      <c r="J293" s="89" t="s">
        <v>20034</v>
      </c>
      <c r="K293" s="89" t="s">
        <v>20033</v>
      </c>
      <c r="M293" s="89">
        <v>2021</v>
      </c>
      <c r="N293" s="89" t="s">
        <v>20032</v>
      </c>
      <c r="O293" s="89" t="s">
        <v>646</v>
      </c>
      <c r="P293" s="89" t="str">
        <f>HYPERLINK("http://dx.doi.org/10.1186/s13321-020-00481-0","http://dx.doi.org/10.1186/s13321-020-00481-0")</f>
        <v>http://dx.doi.org/10.1186/s13321-020-00481-0</v>
      </c>
      <c r="S293" s="89" t="s">
        <v>646</v>
      </c>
      <c r="U293" s="89" t="s">
        <v>17462</v>
      </c>
      <c r="W293" s="89" t="s">
        <v>646</v>
      </c>
      <c r="X293" s="89" t="s">
        <v>646</v>
      </c>
      <c r="Y293" s="89" t="s">
        <v>646</v>
      </c>
      <c r="Z293" s="89" t="s">
        <v>646</v>
      </c>
      <c r="AA293" s="89" t="s">
        <v>646</v>
      </c>
      <c r="AB293" s="89" t="s">
        <v>646</v>
      </c>
      <c r="AC293" s="89" t="s">
        <v>646</v>
      </c>
      <c r="AD293" s="89" t="s">
        <v>646</v>
      </c>
      <c r="AE293" s="89" t="s">
        <v>646</v>
      </c>
      <c r="AF293" s="89" t="s">
        <v>20033</v>
      </c>
      <c r="AG293" s="89" t="s">
        <v>646</v>
      </c>
      <c r="AH293" s="89" t="s">
        <v>646</v>
      </c>
      <c r="AI293" s="89" t="s">
        <v>646</v>
      </c>
      <c r="AJ293" s="89" t="s">
        <v>646</v>
      </c>
      <c r="AK293" s="89" t="s">
        <v>20034</v>
      </c>
      <c r="AL293" s="89" t="s">
        <v>20035</v>
      </c>
      <c r="AM293" s="89" t="s">
        <v>646</v>
      </c>
      <c r="AN293" s="89" t="s">
        <v>646</v>
      </c>
      <c r="AO293" s="89" t="s">
        <v>646</v>
      </c>
      <c r="AP293" s="89" t="s">
        <v>646</v>
      </c>
      <c r="AQ293" s="89" t="s">
        <v>646</v>
      </c>
      <c r="AR293" s="89" t="s">
        <v>646</v>
      </c>
      <c r="AS293" s="89" t="s">
        <v>646</v>
      </c>
      <c r="AT293" s="89" t="s">
        <v>646</v>
      </c>
      <c r="AU293" s="89" t="s">
        <v>646</v>
      </c>
      <c r="AV293" s="89" t="s">
        <v>646</v>
      </c>
      <c r="AW293" s="89" t="s">
        <v>646</v>
      </c>
      <c r="AX293" s="89" t="s">
        <v>646</v>
      </c>
      <c r="AY293" s="89" t="s">
        <v>20036</v>
      </c>
      <c r="AZ293" s="89" t="s">
        <v>646</v>
      </c>
      <c r="BA293" s="89" t="s">
        <v>646</v>
      </c>
      <c r="BB293" s="89" t="s">
        <v>646</v>
      </c>
      <c r="BC293" s="89" t="s">
        <v>646</v>
      </c>
      <c r="BD293" s="89" t="s">
        <v>20037</v>
      </c>
      <c r="BE293" s="89">
        <v>2021</v>
      </c>
      <c r="BF293" s="89">
        <v>13</v>
      </c>
      <c r="BG293" s="89">
        <v>1</v>
      </c>
      <c r="BH293" s="89" t="s">
        <v>646</v>
      </c>
      <c r="BI293" s="89" t="s">
        <v>646</v>
      </c>
      <c r="BJ293" s="89" t="s">
        <v>646</v>
      </c>
      <c r="BK293" s="89" t="s">
        <v>646</v>
      </c>
      <c r="BL293" s="89" t="s">
        <v>646</v>
      </c>
      <c r="BM293" s="89" t="s">
        <v>646</v>
      </c>
      <c r="BN293" s="89">
        <v>8</v>
      </c>
      <c r="BO293" s="89" t="str">
        <f>HYPERLINK("http://dx.doi.org/10.1186/s13321-020-00481-0","http://dx.doi.org/10.1186/s13321-020-00481-0")</f>
        <v>http://dx.doi.org/10.1186/s13321-020-00481-0</v>
      </c>
      <c r="BP293" s="89" t="s">
        <v>646</v>
      </c>
      <c r="BQ293" s="89" t="s">
        <v>646</v>
      </c>
      <c r="BR293" s="89" t="s">
        <v>646</v>
      </c>
      <c r="BS293" s="89" t="s">
        <v>646</v>
      </c>
      <c r="BT293" s="89" t="s">
        <v>646</v>
      </c>
      <c r="BU293" s="89" t="s">
        <v>646</v>
      </c>
      <c r="BV293" s="89" t="s">
        <v>646</v>
      </c>
      <c r="BW293" s="89">
        <v>33568182</v>
      </c>
      <c r="BX293" s="89" t="s">
        <v>646</v>
      </c>
      <c r="BY293" s="89" t="s">
        <v>646</v>
      </c>
      <c r="BZ293" s="89" t="s">
        <v>646</v>
      </c>
      <c r="CA293" s="89" t="s">
        <v>646</v>
      </c>
      <c r="CB293" s="89" t="s">
        <v>20038</v>
      </c>
      <c r="CC293" s="89" t="str">
        <f>HYPERLINK("https%3A%2F%2Fwww.webofscience.com%2Fwos%2Fwoscc%2Ffull-record%2FWOS:000617122300001","View Full Record in Web of Science")</f>
        <v>View Full Record in Web of Science</v>
      </c>
    </row>
    <row r="294" spans="1:81" ht="13.2" hidden="1" x14ac:dyDescent="0.25">
      <c r="A294" s="89" t="s">
        <v>20039</v>
      </c>
      <c r="B294" s="89" t="e">
        <f>+#REF!</f>
        <v>#REF!</v>
      </c>
      <c r="C294" s="89"/>
      <c r="D294" s="91" t="s">
        <v>717</v>
      </c>
      <c r="E294" s="90" t="e">
        <v>#REF!</v>
      </c>
      <c r="F294" s="89"/>
      <c r="G294" s="89"/>
      <c r="H294" s="89" t="s">
        <v>11784</v>
      </c>
      <c r="I294" s="89" t="s">
        <v>20041</v>
      </c>
      <c r="J294" s="89" t="s">
        <v>646</v>
      </c>
      <c r="K294" s="89" t="s">
        <v>20047</v>
      </c>
      <c r="M294" s="89">
        <v>2015</v>
      </c>
      <c r="N294" s="89" t="s">
        <v>20042</v>
      </c>
      <c r="O294" s="89" t="s">
        <v>20040</v>
      </c>
      <c r="P294" s="89" t="str">
        <f>HYPERLINK("http://dx.doi.org/10.1007/978-3-319-23374-1_14","http://dx.doi.org/10.1007/978-3-319-23374-1_14")</f>
        <v>http://dx.doi.org/10.1007/978-3-319-23374-1_14</v>
      </c>
      <c r="S294" s="89" t="s">
        <v>646</v>
      </c>
      <c r="U294" s="89" t="s">
        <v>17474</v>
      </c>
      <c r="W294" s="89" t="s">
        <v>646</v>
      </c>
      <c r="X294" s="89" t="s">
        <v>646</v>
      </c>
      <c r="Y294" s="89" t="s">
        <v>20043</v>
      </c>
      <c r="Z294" s="89" t="s">
        <v>20044</v>
      </c>
      <c r="AA294" s="89" t="s">
        <v>20045</v>
      </c>
      <c r="AB294" s="89" t="s">
        <v>20046</v>
      </c>
      <c r="AC294" s="89" t="s">
        <v>646</v>
      </c>
      <c r="AD294" s="89" t="s">
        <v>646</v>
      </c>
      <c r="AE294" s="89" t="s">
        <v>646</v>
      </c>
      <c r="AF294" s="89" t="s">
        <v>20047</v>
      </c>
      <c r="AG294" s="89" t="s">
        <v>646</v>
      </c>
      <c r="AH294" s="89" t="s">
        <v>646</v>
      </c>
      <c r="AI294" s="89" t="s">
        <v>646</v>
      </c>
      <c r="AJ294" s="89" t="s">
        <v>646</v>
      </c>
      <c r="AK294" s="89" t="s">
        <v>646</v>
      </c>
      <c r="AL294" s="89" t="s">
        <v>20048</v>
      </c>
      <c r="AM294" s="89" t="s">
        <v>646</v>
      </c>
      <c r="AN294" s="89" t="s">
        <v>646</v>
      </c>
      <c r="AO294" s="89" t="s">
        <v>646</v>
      </c>
      <c r="AP294" s="89" t="s">
        <v>646</v>
      </c>
      <c r="AQ294" s="89" t="s">
        <v>646</v>
      </c>
      <c r="AR294" s="89" t="s">
        <v>646</v>
      </c>
      <c r="AS294" s="89" t="s">
        <v>646</v>
      </c>
      <c r="AT294" s="89" t="s">
        <v>646</v>
      </c>
      <c r="AU294" s="89" t="s">
        <v>646</v>
      </c>
      <c r="AV294" s="89" t="s">
        <v>646</v>
      </c>
      <c r="AW294" s="89" t="s">
        <v>646</v>
      </c>
      <c r="AX294" s="89" t="s">
        <v>646</v>
      </c>
      <c r="AY294" s="89" t="s">
        <v>18367</v>
      </c>
      <c r="AZ294" s="89" t="s">
        <v>18884</v>
      </c>
      <c r="BA294" s="89" t="s">
        <v>20049</v>
      </c>
      <c r="BB294" s="89" t="s">
        <v>646</v>
      </c>
      <c r="BC294" s="89" t="s">
        <v>646</v>
      </c>
      <c r="BD294" s="89" t="s">
        <v>646</v>
      </c>
      <c r="BE294" s="89">
        <v>2015</v>
      </c>
      <c r="BF294" s="89">
        <v>9368</v>
      </c>
      <c r="BG294" s="89" t="s">
        <v>646</v>
      </c>
      <c r="BH294" s="89" t="s">
        <v>646</v>
      </c>
      <c r="BI294" s="89" t="s">
        <v>646</v>
      </c>
      <c r="BJ294" s="89" t="s">
        <v>646</v>
      </c>
      <c r="BK294" s="89" t="s">
        <v>646</v>
      </c>
      <c r="BL294" s="89">
        <v>289</v>
      </c>
      <c r="BM294" s="89">
        <v>305</v>
      </c>
      <c r="BN294" s="89" t="s">
        <v>646</v>
      </c>
      <c r="BO294" s="89" t="str">
        <f>HYPERLINK("http://dx.doi.org/10.1007/978-3-319-23374-1_14","http://dx.doi.org/10.1007/978-3-319-23374-1_14")</f>
        <v>http://dx.doi.org/10.1007/978-3-319-23374-1_14</v>
      </c>
      <c r="BP294" s="89" t="s">
        <v>646</v>
      </c>
      <c r="BQ294" s="89" t="s">
        <v>646</v>
      </c>
      <c r="BR294" s="89" t="s">
        <v>646</v>
      </c>
      <c r="BS294" s="89" t="s">
        <v>646</v>
      </c>
      <c r="BT294" s="89" t="s">
        <v>646</v>
      </c>
      <c r="BU294" s="89" t="s">
        <v>646</v>
      </c>
      <c r="BV294" s="89" t="s">
        <v>646</v>
      </c>
      <c r="BW294" s="89" t="s">
        <v>646</v>
      </c>
      <c r="BX294" s="89" t="s">
        <v>646</v>
      </c>
      <c r="BY294" s="89" t="s">
        <v>646</v>
      </c>
      <c r="BZ294" s="89" t="s">
        <v>646</v>
      </c>
      <c r="CA294" s="89" t="s">
        <v>646</v>
      </c>
      <c r="CB294" s="89" t="s">
        <v>20050</v>
      </c>
      <c r="CC294" s="89" t="str">
        <f>HYPERLINK("https%3A%2F%2Fwww.webofscience.com%2Fwos%2Fwoscc%2Ffull-record%2FWOS:000374470900014","View Full Record in Web of Science")</f>
        <v>View Full Record in Web of Science</v>
      </c>
    </row>
    <row r="295" spans="1:81" ht="13.2" hidden="1" x14ac:dyDescent="0.25">
      <c r="A295" s="89" t="s">
        <v>20051</v>
      </c>
      <c r="B295" s="89" t="e">
        <f>+#REF!</f>
        <v>#REF!</v>
      </c>
      <c r="C295" s="89"/>
      <c r="D295" s="91" t="s">
        <v>717</v>
      </c>
      <c r="E295" s="90" t="e">
        <v>#REF!</v>
      </c>
      <c r="F295" s="89"/>
      <c r="G295" s="89"/>
      <c r="H295" s="89" t="s">
        <v>11793</v>
      </c>
      <c r="I295" s="89" t="s">
        <v>20052</v>
      </c>
      <c r="J295" s="89" t="s">
        <v>646</v>
      </c>
      <c r="K295" s="89" t="s">
        <v>20054</v>
      </c>
      <c r="M295" s="89">
        <v>2017</v>
      </c>
      <c r="N295" s="89" t="s">
        <v>20053</v>
      </c>
      <c r="O295" s="89" t="s">
        <v>646</v>
      </c>
      <c r="P295" s="89" t="str">
        <f>HYPERLINK("http://dx.doi.org/10.1017/S0026749X16000251","http://dx.doi.org/10.1017/S0026749X16000251")</f>
        <v>http://dx.doi.org/10.1017/S0026749X16000251</v>
      </c>
      <c r="S295" s="89" t="s">
        <v>646</v>
      </c>
      <c r="U295" s="89" t="s">
        <v>17462</v>
      </c>
      <c r="W295" s="89" t="s">
        <v>646</v>
      </c>
      <c r="X295" s="89" t="s">
        <v>646</v>
      </c>
      <c r="Y295" s="89" t="s">
        <v>646</v>
      </c>
      <c r="Z295" s="89" t="s">
        <v>646</v>
      </c>
      <c r="AA295" s="89" t="s">
        <v>646</v>
      </c>
      <c r="AB295" s="89" t="s">
        <v>646</v>
      </c>
      <c r="AC295" s="89" t="s">
        <v>646</v>
      </c>
      <c r="AD295" s="89" t="s">
        <v>646</v>
      </c>
      <c r="AE295" s="89" t="s">
        <v>646</v>
      </c>
      <c r="AF295" s="89" t="s">
        <v>20054</v>
      </c>
      <c r="AG295" s="89" t="s">
        <v>646</v>
      </c>
      <c r="AH295" s="89" t="s">
        <v>646</v>
      </c>
      <c r="AI295" s="89" t="s">
        <v>646</v>
      </c>
      <c r="AJ295" s="89" t="s">
        <v>646</v>
      </c>
      <c r="AK295" s="89" t="s">
        <v>646</v>
      </c>
      <c r="AL295" s="89" t="s">
        <v>20055</v>
      </c>
      <c r="AM295" s="89" t="s">
        <v>646</v>
      </c>
      <c r="AN295" s="89" t="s">
        <v>646</v>
      </c>
      <c r="AO295" s="89" t="s">
        <v>646</v>
      </c>
      <c r="AP295" s="89" t="s">
        <v>646</v>
      </c>
      <c r="AQ295" s="89" t="s">
        <v>646</v>
      </c>
      <c r="AR295" s="89" t="s">
        <v>646</v>
      </c>
      <c r="AS295" s="89" t="s">
        <v>646</v>
      </c>
      <c r="AT295" s="89" t="s">
        <v>646</v>
      </c>
      <c r="AU295" s="89" t="s">
        <v>646</v>
      </c>
      <c r="AV295" s="89" t="s">
        <v>646</v>
      </c>
      <c r="AW295" s="89" t="s">
        <v>646</v>
      </c>
      <c r="AX295" s="89" t="s">
        <v>646</v>
      </c>
      <c r="AY295" s="89" t="s">
        <v>20056</v>
      </c>
      <c r="AZ295" s="89" t="s">
        <v>20057</v>
      </c>
      <c r="BA295" s="89" t="s">
        <v>646</v>
      </c>
      <c r="BB295" s="89" t="s">
        <v>646</v>
      </c>
      <c r="BC295" s="89" t="s">
        <v>646</v>
      </c>
      <c r="BD295" s="89" t="s">
        <v>17739</v>
      </c>
      <c r="BE295" s="89">
        <v>2017</v>
      </c>
      <c r="BF295" s="89">
        <v>51</v>
      </c>
      <c r="BG295" s="89">
        <v>5</v>
      </c>
      <c r="BH295" s="89" t="s">
        <v>646</v>
      </c>
      <c r="BI295" s="89" t="s">
        <v>646</v>
      </c>
      <c r="BJ295" s="89" t="s">
        <v>646</v>
      </c>
      <c r="BK295" s="89" t="s">
        <v>646</v>
      </c>
      <c r="BL295" s="89">
        <v>1369</v>
      </c>
      <c r="BM295" s="89">
        <v>1393</v>
      </c>
      <c r="BN295" s="89" t="s">
        <v>646</v>
      </c>
      <c r="BO295" s="89" t="str">
        <f>HYPERLINK("http://dx.doi.org/10.1017/S0026749X16000251","http://dx.doi.org/10.1017/S0026749X16000251")</f>
        <v>http://dx.doi.org/10.1017/S0026749X16000251</v>
      </c>
      <c r="BP295" s="89" t="s">
        <v>646</v>
      </c>
      <c r="BQ295" s="89" t="s">
        <v>646</v>
      </c>
      <c r="BR295" s="89" t="s">
        <v>646</v>
      </c>
      <c r="BS295" s="89" t="s">
        <v>646</v>
      </c>
      <c r="BT295" s="89" t="s">
        <v>646</v>
      </c>
      <c r="BU295" s="89" t="s">
        <v>646</v>
      </c>
      <c r="BV295" s="89" t="s">
        <v>646</v>
      </c>
      <c r="BW295" s="89" t="s">
        <v>646</v>
      </c>
      <c r="BX295" s="89" t="s">
        <v>646</v>
      </c>
      <c r="BY295" s="89" t="s">
        <v>646</v>
      </c>
      <c r="BZ295" s="89" t="s">
        <v>646</v>
      </c>
      <c r="CA295" s="89" t="s">
        <v>646</v>
      </c>
      <c r="CB295" s="89" t="s">
        <v>20058</v>
      </c>
      <c r="CC295" s="89" t="str">
        <f>HYPERLINK("https%3A%2F%2Fwww.webofscience.com%2Fwos%2Fwoscc%2Ffull-record%2FWOS:000413173200006","View Full Record in Web of Science")</f>
        <v>View Full Record in Web of Science</v>
      </c>
    </row>
    <row r="296" spans="1:81" ht="13.2" hidden="1" x14ac:dyDescent="0.25">
      <c r="A296" s="89" t="s">
        <v>9196</v>
      </c>
      <c r="B296" s="89" t="e">
        <f>+#REF!</f>
        <v>#REF!</v>
      </c>
      <c r="C296" s="89"/>
      <c r="D296" s="91" t="s">
        <v>717</v>
      </c>
      <c r="E296" s="90" t="e">
        <v>#REF!</v>
      </c>
      <c r="F296" s="89"/>
      <c r="G296" s="89"/>
      <c r="H296" s="89" t="s">
        <v>9197</v>
      </c>
      <c r="I296" s="89" t="s">
        <v>20059</v>
      </c>
      <c r="J296" s="89" t="s">
        <v>646</v>
      </c>
      <c r="K296" s="89" t="s">
        <v>20061</v>
      </c>
      <c r="M296" s="89">
        <v>2022</v>
      </c>
      <c r="N296" s="89" t="s">
        <v>20060</v>
      </c>
      <c r="O296" s="89" t="s">
        <v>646</v>
      </c>
      <c r="P296" s="89" t="str">
        <f>HYPERLINK("http://dx.doi.org/10.1111/ajad.13219","http://dx.doi.org/10.1111/ajad.13219")</f>
        <v>http://dx.doi.org/10.1111/ajad.13219</v>
      </c>
      <c r="S296" s="89" t="s">
        <v>646</v>
      </c>
      <c r="U296" s="89" t="s">
        <v>17462</v>
      </c>
      <c r="W296" s="89" t="s">
        <v>646</v>
      </c>
      <c r="X296" s="89" t="s">
        <v>646</v>
      </c>
      <c r="Y296" s="89" t="s">
        <v>646</v>
      </c>
      <c r="Z296" s="89" t="s">
        <v>646</v>
      </c>
      <c r="AA296" s="89" t="s">
        <v>646</v>
      </c>
      <c r="AB296" s="89" t="s">
        <v>646</v>
      </c>
      <c r="AC296" s="89" t="s">
        <v>646</v>
      </c>
      <c r="AD296" s="89" t="s">
        <v>646</v>
      </c>
      <c r="AE296" s="89" t="s">
        <v>646</v>
      </c>
      <c r="AF296" s="89" t="s">
        <v>20061</v>
      </c>
      <c r="AG296" s="89" t="s">
        <v>646</v>
      </c>
      <c r="AH296" s="89" t="s">
        <v>646</v>
      </c>
      <c r="AI296" s="89" t="s">
        <v>646</v>
      </c>
      <c r="AJ296" s="89" t="s">
        <v>646</v>
      </c>
      <c r="AK296" s="89" t="s">
        <v>646</v>
      </c>
      <c r="AL296" s="89" t="s">
        <v>20062</v>
      </c>
      <c r="AM296" s="89" t="s">
        <v>646</v>
      </c>
      <c r="AN296" s="89" t="s">
        <v>646</v>
      </c>
      <c r="AO296" s="89" t="s">
        <v>646</v>
      </c>
      <c r="AP296" s="89" t="s">
        <v>646</v>
      </c>
      <c r="AQ296" s="89" t="s">
        <v>646</v>
      </c>
      <c r="AR296" s="89" t="s">
        <v>646</v>
      </c>
      <c r="AS296" s="89" t="s">
        <v>646</v>
      </c>
      <c r="AT296" s="89" t="s">
        <v>646</v>
      </c>
      <c r="AU296" s="89" t="s">
        <v>646</v>
      </c>
      <c r="AV296" s="89" t="s">
        <v>646</v>
      </c>
      <c r="AW296" s="89" t="s">
        <v>646</v>
      </c>
      <c r="AX296" s="89" t="s">
        <v>646</v>
      </c>
      <c r="AY296" s="89" t="s">
        <v>20063</v>
      </c>
      <c r="AZ296" s="89" t="s">
        <v>20064</v>
      </c>
      <c r="BA296" s="89" t="s">
        <v>646</v>
      </c>
      <c r="BB296" s="89" t="s">
        <v>646</v>
      </c>
      <c r="BC296" s="89" t="s">
        <v>646</v>
      </c>
      <c r="BD296" s="89" t="s">
        <v>17513</v>
      </c>
      <c r="BE296" s="89">
        <v>2022</v>
      </c>
      <c r="BF296" s="89">
        <v>31</v>
      </c>
      <c r="BG296" s="89">
        <v>1</v>
      </c>
      <c r="BH296" s="89" t="s">
        <v>646</v>
      </c>
      <c r="BI296" s="89" t="s">
        <v>646</v>
      </c>
      <c r="BJ296" s="89" t="s">
        <v>646</v>
      </c>
      <c r="BK296" s="89" t="s">
        <v>646</v>
      </c>
      <c r="BL296" s="89">
        <v>37</v>
      </c>
      <c r="BM296" s="89">
        <v>45</v>
      </c>
      <c r="BN296" s="89" t="s">
        <v>646</v>
      </c>
      <c r="BO296" s="89" t="str">
        <f>HYPERLINK("http://dx.doi.org/10.1111/ajad.13219","http://dx.doi.org/10.1111/ajad.13219")</f>
        <v>http://dx.doi.org/10.1111/ajad.13219</v>
      </c>
      <c r="BP296" s="89" t="s">
        <v>646</v>
      </c>
      <c r="BQ296" s="89" t="s">
        <v>20065</v>
      </c>
      <c r="BR296" s="89" t="s">
        <v>646</v>
      </c>
      <c r="BS296" s="89" t="s">
        <v>646</v>
      </c>
      <c r="BT296" s="89" t="s">
        <v>646</v>
      </c>
      <c r="BU296" s="89" t="s">
        <v>646</v>
      </c>
      <c r="BV296" s="89" t="s">
        <v>646</v>
      </c>
      <c r="BW296" s="89">
        <v>34459058</v>
      </c>
      <c r="BX296" s="89" t="s">
        <v>646</v>
      </c>
      <c r="BY296" s="89" t="s">
        <v>646</v>
      </c>
      <c r="BZ296" s="89" t="s">
        <v>646</v>
      </c>
      <c r="CA296" s="89" t="s">
        <v>646</v>
      </c>
      <c r="CB296" s="89" t="s">
        <v>20066</v>
      </c>
      <c r="CC296" s="89" t="str">
        <f>HYPERLINK("https%3A%2F%2Fwww.webofscience.com%2Fwos%2Fwoscc%2Ffull-record%2FWOS:000690756800001","View Full Record in Web of Science")</f>
        <v>View Full Record in Web of Science</v>
      </c>
    </row>
    <row r="297" spans="1:81" ht="13.2" hidden="1" x14ac:dyDescent="0.25">
      <c r="A297" s="89" t="s">
        <v>20067</v>
      </c>
      <c r="B297" s="89" t="e">
        <f>+#REF!</f>
        <v>#REF!</v>
      </c>
      <c r="C297" s="89"/>
      <c r="D297" s="91" t="s">
        <v>717</v>
      </c>
      <c r="E297" s="90" t="e">
        <v>#REF!</v>
      </c>
      <c r="F297" s="89"/>
      <c r="G297" s="89"/>
      <c r="H297" s="89" t="s">
        <v>11803</v>
      </c>
      <c r="I297" s="89" t="s">
        <v>20068</v>
      </c>
      <c r="J297" s="89" t="s">
        <v>646</v>
      </c>
      <c r="K297" s="89" t="s">
        <v>20070</v>
      </c>
      <c r="M297" s="89">
        <v>2018</v>
      </c>
      <c r="N297" s="89" t="s">
        <v>20069</v>
      </c>
      <c r="O297" s="89" t="s">
        <v>646</v>
      </c>
      <c r="P297" s="89" t="str">
        <f>HYPERLINK("http://dx.doi.org/10.1891/0889-8391.32.4.241","http://dx.doi.org/10.1891/0889-8391.32.4.241")</f>
        <v>http://dx.doi.org/10.1891/0889-8391.32.4.241</v>
      </c>
      <c r="S297" s="89" t="s">
        <v>646</v>
      </c>
      <c r="U297" s="89" t="s">
        <v>17462</v>
      </c>
      <c r="W297" s="89" t="s">
        <v>646</v>
      </c>
      <c r="X297" s="89" t="s">
        <v>646</v>
      </c>
      <c r="Y297" s="89" t="s">
        <v>646</v>
      </c>
      <c r="Z297" s="89" t="s">
        <v>646</v>
      </c>
      <c r="AA297" s="89" t="s">
        <v>646</v>
      </c>
      <c r="AB297" s="89" t="s">
        <v>646</v>
      </c>
      <c r="AC297" s="89" t="s">
        <v>646</v>
      </c>
      <c r="AD297" s="89" t="s">
        <v>646</v>
      </c>
      <c r="AE297" s="89" t="s">
        <v>646</v>
      </c>
      <c r="AF297" s="89" t="s">
        <v>20070</v>
      </c>
      <c r="AG297" s="89" t="s">
        <v>646</v>
      </c>
      <c r="AH297" s="89" t="s">
        <v>646</v>
      </c>
      <c r="AI297" s="89" t="s">
        <v>646</v>
      </c>
      <c r="AJ297" s="89" t="s">
        <v>646</v>
      </c>
      <c r="AK297" s="89" t="s">
        <v>646</v>
      </c>
      <c r="AL297" s="89" t="s">
        <v>646</v>
      </c>
      <c r="AM297" s="89" t="s">
        <v>646</v>
      </c>
      <c r="AN297" s="89" t="s">
        <v>646</v>
      </c>
      <c r="AO297" s="89" t="s">
        <v>646</v>
      </c>
      <c r="AP297" s="89" t="s">
        <v>646</v>
      </c>
      <c r="AQ297" s="89" t="s">
        <v>646</v>
      </c>
      <c r="AR297" s="89" t="s">
        <v>646</v>
      </c>
      <c r="AS297" s="89" t="s">
        <v>646</v>
      </c>
      <c r="AT297" s="89" t="s">
        <v>646</v>
      </c>
      <c r="AU297" s="89" t="s">
        <v>646</v>
      </c>
      <c r="AV297" s="89" t="s">
        <v>646</v>
      </c>
      <c r="AW297" s="89" t="s">
        <v>646</v>
      </c>
      <c r="AX297" s="89" t="s">
        <v>646</v>
      </c>
      <c r="AY297" s="89" t="s">
        <v>20071</v>
      </c>
      <c r="AZ297" s="89" t="s">
        <v>20072</v>
      </c>
      <c r="BA297" s="89" t="s">
        <v>646</v>
      </c>
      <c r="BB297" s="89" t="s">
        <v>646</v>
      </c>
      <c r="BC297" s="89" t="s">
        <v>646</v>
      </c>
      <c r="BD297" s="89" t="s">
        <v>646</v>
      </c>
      <c r="BE297" s="89">
        <v>2018</v>
      </c>
      <c r="BF297" s="89">
        <v>32</v>
      </c>
      <c r="BG297" s="89">
        <v>4</v>
      </c>
      <c r="BH297" s="89" t="s">
        <v>646</v>
      </c>
      <c r="BI297" s="89" t="s">
        <v>646</v>
      </c>
      <c r="BJ297" s="89" t="s">
        <v>646</v>
      </c>
      <c r="BK297" s="89" t="s">
        <v>646</v>
      </c>
      <c r="BL297" s="89">
        <v>241</v>
      </c>
      <c r="BM297" s="89">
        <v>262</v>
      </c>
      <c r="BN297" s="89" t="s">
        <v>646</v>
      </c>
      <c r="BO297" s="89" t="str">
        <f>HYPERLINK("http://dx.doi.org/10.1891/0889-8391.32.4.241","http://dx.doi.org/10.1891/0889-8391.32.4.241")</f>
        <v>http://dx.doi.org/10.1891/0889-8391.32.4.241</v>
      </c>
      <c r="BP297" s="89" t="s">
        <v>646</v>
      </c>
      <c r="BQ297" s="89" t="s">
        <v>646</v>
      </c>
      <c r="BR297" s="89" t="s">
        <v>646</v>
      </c>
      <c r="BS297" s="89" t="s">
        <v>646</v>
      </c>
      <c r="BT297" s="89" t="s">
        <v>646</v>
      </c>
      <c r="BU297" s="89" t="s">
        <v>646</v>
      </c>
      <c r="BV297" s="89" t="s">
        <v>646</v>
      </c>
      <c r="BW297" s="89">
        <v>32746405</v>
      </c>
      <c r="BX297" s="89" t="s">
        <v>646</v>
      </c>
      <c r="BY297" s="89" t="s">
        <v>646</v>
      </c>
      <c r="BZ297" s="89" t="s">
        <v>646</v>
      </c>
      <c r="CA297" s="89" t="s">
        <v>646</v>
      </c>
      <c r="CB297" s="89" t="s">
        <v>20073</v>
      </c>
      <c r="CC297" s="89" t="str">
        <f>HYPERLINK("https%3A%2F%2Fwww.webofscience.com%2Fwos%2Fwoscc%2Ffull-record%2FWOS:000449666100002","View Full Record in Web of Science")</f>
        <v>View Full Record in Web of Science</v>
      </c>
    </row>
    <row r="298" spans="1:81" ht="13.2" hidden="1" x14ac:dyDescent="0.25">
      <c r="A298" s="89" t="s">
        <v>20074</v>
      </c>
      <c r="B298" s="89" t="e">
        <f>+#REF!</f>
        <v>#REF!</v>
      </c>
      <c r="C298" s="89"/>
      <c r="D298" s="91" t="s">
        <v>717</v>
      </c>
      <c r="E298" s="90" t="e">
        <v>#REF!</v>
      </c>
      <c r="F298" s="89"/>
      <c r="G298" s="89"/>
      <c r="H298" s="89" t="s">
        <v>646</v>
      </c>
      <c r="I298" s="89" t="s">
        <v>20075</v>
      </c>
      <c r="J298" s="89" t="s">
        <v>646</v>
      </c>
      <c r="K298" s="89" t="s">
        <v>20081</v>
      </c>
      <c r="M298" s="89">
        <v>2020</v>
      </c>
      <c r="N298" s="89" t="s">
        <v>20076</v>
      </c>
      <c r="O298" s="89" t="s">
        <v>646</v>
      </c>
      <c r="P298" s="89" t="s">
        <v>646</v>
      </c>
      <c r="S298" s="89" t="s">
        <v>17475</v>
      </c>
      <c r="U298" s="89" t="s">
        <v>17474</v>
      </c>
      <c r="W298" s="89" t="s">
        <v>646</v>
      </c>
      <c r="X298" s="89" t="s">
        <v>646</v>
      </c>
      <c r="Y298" s="89" t="s">
        <v>20077</v>
      </c>
      <c r="Z298" s="89" t="s">
        <v>20078</v>
      </c>
      <c r="AA298" s="89" t="s">
        <v>20079</v>
      </c>
      <c r="AB298" s="89" t="s">
        <v>20080</v>
      </c>
      <c r="AC298" s="89" t="s">
        <v>646</v>
      </c>
      <c r="AD298" s="89" t="s">
        <v>646</v>
      </c>
      <c r="AE298" s="89" t="s">
        <v>646</v>
      </c>
      <c r="AF298" s="89" t="s">
        <v>20081</v>
      </c>
      <c r="AG298" s="89" t="s">
        <v>646</v>
      </c>
      <c r="AH298" s="89" t="s">
        <v>646</v>
      </c>
      <c r="AI298" s="89" t="s">
        <v>646</v>
      </c>
      <c r="AJ298" s="89" t="s">
        <v>646</v>
      </c>
      <c r="AK298" s="89" t="s">
        <v>646</v>
      </c>
      <c r="AL298" s="89" t="s">
        <v>20082</v>
      </c>
      <c r="AM298" s="89" t="s">
        <v>646</v>
      </c>
      <c r="AN298" s="89" t="s">
        <v>646</v>
      </c>
      <c r="AO298" s="89" t="s">
        <v>646</v>
      </c>
      <c r="AP298" s="89" t="s">
        <v>646</v>
      </c>
      <c r="AQ298" s="89" t="s">
        <v>646</v>
      </c>
      <c r="AR298" s="89" t="s">
        <v>646</v>
      </c>
      <c r="AS298" s="89" t="s">
        <v>646</v>
      </c>
      <c r="AT298" s="89" t="s">
        <v>646</v>
      </c>
      <c r="AU298" s="89" t="s">
        <v>646</v>
      </c>
      <c r="AV298" s="89" t="s">
        <v>646</v>
      </c>
      <c r="AW298" s="89" t="s">
        <v>646</v>
      </c>
      <c r="AX298" s="89" t="s">
        <v>646</v>
      </c>
      <c r="AY298" s="89" t="s">
        <v>20083</v>
      </c>
      <c r="AZ298" s="89" t="s">
        <v>646</v>
      </c>
      <c r="BA298" s="89" t="s">
        <v>20084</v>
      </c>
      <c r="BB298" s="89" t="s">
        <v>646</v>
      </c>
      <c r="BC298" s="89" t="s">
        <v>646</v>
      </c>
      <c r="BD298" s="89" t="s">
        <v>646</v>
      </c>
      <c r="BE298" s="89">
        <v>2020</v>
      </c>
      <c r="BF298" s="89" t="s">
        <v>646</v>
      </c>
      <c r="BG298" s="89" t="s">
        <v>646</v>
      </c>
      <c r="BH298" s="89" t="s">
        <v>646</v>
      </c>
      <c r="BI298" s="89" t="s">
        <v>646</v>
      </c>
      <c r="BJ298" s="89" t="s">
        <v>646</v>
      </c>
      <c r="BK298" s="89" t="s">
        <v>646</v>
      </c>
      <c r="BL298" s="89">
        <v>736</v>
      </c>
      <c r="BM298" s="89">
        <v>740</v>
      </c>
      <c r="BN298" s="89" t="s">
        <v>646</v>
      </c>
      <c r="BO298" s="89" t="s">
        <v>646</v>
      </c>
      <c r="BP298" s="89" t="s">
        <v>646</v>
      </c>
      <c r="BQ298" s="89" t="s">
        <v>646</v>
      </c>
      <c r="BR298" s="89" t="s">
        <v>646</v>
      </c>
      <c r="BS298" s="89" t="s">
        <v>646</v>
      </c>
      <c r="BT298" s="89" t="s">
        <v>646</v>
      </c>
      <c r="BU298" s="89" t="s">
        <v>646</v>
      </c>
      <c r="BV298" s="89" t="s">
        <v>646</v>
      </c>
      <c r="BW298" s="89" t="s">
        <v>646</v>
      </c>
      <c r="BX298" s="89" t="s">
        <v>646</v>
      </c>
      <c r="BY298" s="89" t="s">
        <v>646</v>
      </c>
      <c r="BZ298" s="89" t="s">
        <v>646</v>
      </c>
      <c r="CA298" s="89" t="s">
        <v>646</v>
      </c>
      <c r="CB298" s="89" t="s">
        <v>20085</v>
      </c>
      <c r="CC298" s="89" t="str">
        <f>HYPERLINK("https%3A%2F%2Fwww.webofscience.com%2Fwos%2Fwoscc%2Ffull-record%2FWOS:000615970400147","View Full Record in Web of Science")</f>
        <v>View Full Record in Web of Science</v>
      </c>
    </row>
    <row r="299" spans="1:81" ht="13.2" hidden="1" x14ac:dyDescent="0.25">
      <c r="A299" s="89" t="s">
        <v>20086</v>
      </c>
      <c r="B299" s="89" t="e">
        <f>+#REF!</f>
        <v>#REF!</v>
      </c>
      <c r="C299" s="89"/>
      <c r="D299" s="91" t="s">
        <v>717</v>
      </c>
      <c r="E299" s="90" t="e">
        <v>#REF!</v>
      </c>
      <c r="F299" s="89"/>
      <c r="G299" s="89"/>
      <c r="H299" s="89" t="s">
        <v>11821</v>
      </c>
      <c r="I299" s="89" t="s">
        <v>20088</v>
      </c>
      <c r="J299" s="89" t="s">
        <v>646</v>
      </c>
      <c r="K299" s="89" t="s">
        <v>20093</v>
      </c>
      <c r="M299" s="89">
        <v>2016</v>
      </c>
      <c r="N299" s="89" t="s">
        <v>20089</v>
      </c>
      <c r="O299" s="89" t="s">
        <v>20087</v>
      </c>
      <c r="P299" s="89" t="str">
        <f>HYPERLINK("http://dx.doi.org/10.1007/978-3-319-45892-2_8","http://dx.doi.org/10.1007/978-3-319-45892-2_8")</f>
        <v>http://dx.doi.org/10.1007/978-3-319-45892-2_8</v>
      </c>
      <c r="S299" s="89" t="s">
        <v>646</v>
      </c>
      <c r="U299" s="89" t="s">
        <v>17474</v>
      </c>
      <c r="W299" s="89" t="s">
        <v>646</v>
      </c>
      <c r="X299" s="89" t="s">
        <v>646</v>
      </c>
      <c r="Y299" s="89" t="s">
        <v>20090</v>
      </c>
      <c r="Z299" s="89" t="s">
        <v>20091</v>
      </c>
      <c r="AA299" s="89" t="s">
        <v>20092</v>
      </c>
      <c r="AB299" s="89" t="s">
        <v>646</v>
      </c>
      <c r="AC299" s="89" t="s">
        <v>646</v>
      </c>
      <c r="AD299" s="89" t="s">
        <v>646</v>
      </c>
      <c r="AE299" s="89" t="s">
        <v>646</v>
      </c>
      <c r="AF299" s="89" t="s">
        <v>20093</v>
      </c>
      <c r="AG299" s="89" t="s">
        <v>646</v>
      </c>
      <c r="AH299" s="89" t="s">
        <v>646</v>
      </c>
      <c r="AI299" s="89" t="s">
        <v>646</v>
      </c>
      <c r="AJ299" s="89" t="s">
        <v>646</v>
      </c>
      <c r="AK299" s="89" t="s">
        <v>646</v>
      </c>
      <c r="AL299" s="89" t="s">
        <v>646</v>
      </c>
      <c r="AM299" s="89" t="s">
        <v>646</v>
      </c>
      <c r="AN299" s="89" t="s">
        <v>646</v>
      </c>
      <c r="AO299" s="89" t="s">
        <v>646</v>
      </c>
      <c r="AP299" s="89" t="s">
        <v>646</v>
      </c>
      <c r="AQ299" s="89" t="s">
        <v>646</v>
      </c>
      <c r="AR299" s="89" t="s">
        <v>646</v>
      </c>
      <c r="AS299" s="89" t="s">
        <v>646</v>
      </c>
      <c r="AT299" s="89" t="s">
        <v>646</v>
      </c>
      <c r="AU299" s="89" t="s">
        <v>646</v>
      </c>
      <c r="AV299" s="89" t="s">
        <v>646</v>
      </c>
      <c r="AW299" s="89" t="s">
        <v>646</v>
      </c>
      <c r="AX299" s="89" t="s">
        <v>646</v>
      </c>
      <c r="AY299" s="89" t="s">
        <v>18367</v>
      </c>
      <c r="AZ299" s="89" t="s">
        <v>646</v>
      </c>
      <c r="BA299" s="89" t="s">
        <v>20094</v>
      </c>
      <c r="BB299" s="89" t="s">
        <v>646</v>
      </c>
      <c r="BC299" s="89" t="s">
        <v>646</v>
      </c>
      <c r="BD299" s="89" t="s">
        <v>646</v>
      </c>
      <c r="BE299" s="89">
        <v>2016</v>
      </c>
      <c r="BF299" s="89">
        <v>9823</v>
      </c>
      <c r="BG299" s="89" t="s">
        <v>646</v>
      </c>
      <c r="BH299" s="89" t="s">
        <v>646</v>
      </c>
      <c r="BI299" s="89" t="s">
        <v>646</v>
      </c>
      <c r="BJ299" s="89" t="s">
        <v>646</v>
      </c>
      <c r="BK299" s="89" t="s">
        <v>646</v>
      </c>
      <c r="BL299" s="89">
        <v>105</v>
      </c>
      <c r="BM299" s="89">
        <v>114</v>
      </c>
      <c r="BN299" s="89" t="s">
        <v>646</v>
      </c>
      <c r="BO299" s="89" t="str">
        <f>HYPERLINK("http://dx.doi.org/10.1007/978-3-319-45892-2_8","http://dx.doi.org/10.1007/978-3-319-45892-2_8")</f>
        <v>http://dx.doi.org/10.1007/978-3-319-45892-2_8</v>
      </c>
      <c r="BP299" s="89" t="s">
        <v>646</v>
      </c>
      <c r="BQ299" s="89" t="s">
        <v>646</v>
      </c>
      <c r="BR299" s="89" t="s">
        <v>646</v>
      </c>
      <c r="BS299" s="89" t="s">
        <v>646</v>
      </c>
      <c r="BT299" s="89" t="s">
        <v>646</v>
      </c>
      <c r="BU299" s="89" t="s">
        <v>646</v>
      </c>
      <c r="BV299" s="89" t="s">
        <v>646</v>
      </c>
      <c r="BW299" s="89" t="s">
        <v>646</v>
      </c>
      <c r="BX299" s="89" t="s">
        <v>646</v>
      </c>
      <c r="BY299" s="89" t="s">
        <v>646</v>
      </c>
      <c r="BZ299" s="89" t="s">
        <v>646</v>
      </c>
      <c r="CA299" s="89" t="s">
        <v>646</v>
      </c>
      <c r="CB299" s="89" t="s">
        <v>20095</v>
      </c>
      <c r="CC299" s="89" t="str">
        <f>HYPERLINK("https%3A%2F%2Fwww.webofscience.com%2Fwos%2Fwoscc%2Ffull-record%2FWOS:000389031100008","View Full Record in Web of Science")</f>
        <v>View Full Record in Web of Science</v>
      </c>
    </row>
    <row r="300" spans="1:81" ht="13.2" hidden="1" x14ac:dyDescent="0.25">
      <c r="A300" s="89" t="s">
        <v>11829</v>
      </c>
      <c r="B300" s="89" t="e">
        <f>+#REF!</f>
        <v>#REF!</v>
      </c>
      <c r="C300" s="89"/>
      <c r="D300" s="91" t="s">
        <v>717</v>
      </c>
      <c r="E300" s="90" t="e">
        <v>#REF!</v>
      </c>
      <c r="F300" s="89"/>
      <c r="G300" s="89"/>
      <c r="H300" s="89" t="s">
        <v>11830</v>
      </c>
      <c r="I300" s="89" t="s">
        <v>20096</v>
      </c>
      <c r="J300" s="89" t="s">
        <v>646</v>
      </c>
      <c r="K300" s="89" t="s">
        <v>20098</v>
      </c>
      <c r="M300" s="89">
        <v>2014</v>
      </c>
      <c r="N300" s="89" t="s">
        <v>20097</v>
      </c>
      <c r="O300" s="89" t="s">
        <v>646</v>
      </c>
      <c r="P300" s="89" t="str">
        <f>HYPERLINK("http://dx.doi.org/10.1016/j.jbi.2014.01.009","http://dx.doi.org/10.1016/j.jbi.2014.01.009")</f>
        <v>http://dx.doi.org/10.1016/j.jbi.2014.01.009</v>
      </c>
      <c r="S300" s="89" t="s">
        <v>646</v>
      </c>
      <c r="U300" s="89" t="s">
        <v>17462</v>
      </c>
      <c r="W300" s="89" t="s">
        <v>646</v>
      </c>
      <c r="X300" s="89" t="s">
        <v>646</v>
      </c>
      <c r="Y300" s="89" t="s">
        <v>646</v>
      </c>
      <c r="Z300" s="89" t="s">
        <v>646</v>
      </c>
      <c r="AA300" s="89" t="s">
        <v>646</v>
      </c>
      <c r="AB300" s="89" t="s">
        <v>646</v>
      </c>
      <c r="AC300" s="89" t="s">
        <v>646</v>
      </c>
      <c r="AD300" s="89" t="s">
        <v>646</v>
      </c>
      <c r="AE300" s="89" t="s">
        <v>646</v>
      </c>
      <c r="AF300" s="89" t="s">
        <v>20098</v>
      </c>
      <c r="AG300" s="89" t="s">
        <v>646</v>
      </c>
      <c r="AH300" s="89" t="s">
        <v>646</v>
      </c>
      <c r="AI300" s="89" t="s">
        <v>646</v>
      </c>
      <c r="AJ300" s="89" t="s">
        <v>646</v>
      </c>
      <c r="AK300" s="89" t="s">
        <v>646</v>
      </c>
      <c r="AL300" s="89" t="s">
        <v>20099</v>
      </c>
      <c r="AM300" s="89" t="s">
        <v>646</v>
      </c>
      <c r="AN300" s="89" t="s">
        <v>646</v>
      </c>
      <c r="AO300" s="89" t="s">
        <v>646</v>
      </c>
      <c r="AP300" s="89" t="s">
        <v>646</v>
      </c>
      <c r="AQ300" s="89" t="s">
        <v>646</v>
      </c>
      <c r="AR300" s="89" t="s">
        <v>646</v>
      </c>
      <c r="AS300" s="89" t="s">
        <v>646</v>
      </c>
      <c r="AT300" s="89" t="s">
        <v>646</v>
      </c>
      <c r="AU300" s="89" t="s">
        <v>646</v>
      </c>
      <c r="AV300" s="89" t="s">
        <v>646</v>
      </c>
      <c r="AW300" s="89" t="s">
        <v>646</v>
      </c>
      <c r="AX300" s="89" t="s">
        <v>646</v>
      </c>
      <c r="AY300" s="89" t="s">
        <v>20100</v>
      </c>
      <c r="AZ300" s="89" t="s">
        <v>20101</v>
      </c>
      <c r="BA300" s="89" t="s">
        <v>646</v>
      </c>
      <c r="BB300" s="89" t="s">
        <v>646</v>
      </c>
      <c r="BC300" s="89" t="s">
        <v>646</v>
      </c>
      <c r="BD300" s="89" t="s">
        <v>17615</v>
      </c>
      <c r="BE300" s="89">
        <v>2014</v>
      </c>
      <c r="BF300" s="89">
        <v>52</v>
      </c>
      <c r="BG300" s="89" t="s">
        <v>646</v>
      </c>
      <c r="BH300" s="89" t="s">
        <v>646</v>
      </c>
      <c r="BI300" s="89" t="s">
        <v>646</v>
      </c>
      <c r="BJ300" s="89" t="s">
        <v>646</v>
      </c>
      <c r="BK300" s="89" t="s">
        <v>646</v>
      </c>
      <c r="BL300" s="89">
        <v>112</v>
      </c>
      <c r="BM300" s="89">
        <v>120</v>
      </c>
      <c r="BN300" s="89" t="s">
        <v>646</v>
      </c>
      <c r="BO300" s="89" t="str">
        <f>HYPERLINK("http://dx.doi.org/10.1016/j.jbi.2014.01.009","http://dx.doi.org/10.1016/j.jbi.2014.01.009")</f>
        <v>http://dx.doi.org/10.1016/j.jbi.2014.01.009</v>
      </c>
      <c r="BP300" s="89" t="s">
        <v>646</v>
      </c>
      <c r="BQ300" s="89" t="s">
        <v>646</v>
      </c>
      <c r="BR300" s="89" t="s">
        <v>646</v>
      </c>
      <c r="BS300" s="89" t="s">
        <v>646</v>
      </c>
      <c r="BT300" s="89" t="s">
        <v>646</v>
      </c>
      <c r="BU300" s="89" t="s">
        <v>646</v>
      </c>
      <c r="BV300" s="89" t="s">
        <v>646</v>
      </c>
      <c r="BW300" s="89">
        <v>24496068</v>
      </c>
      <c r="BX300" s="89" t="s">
        <v>646</v>
      </c>
      <c r="BY300" s="89" t="s">
        <v>646</v>
      </c>
      <c r="BZ300" s="89" t="s">
        <v>646</v>
      </c>
      <c r="CA300" s="89" t="s">
        <v>646</v>
      </c>
      <c r="CB300" s="89" t="s">
        <v>20102</v>
      </c>
      <c r="CC300" s="89" t="str">
        <f>HYPERLINK("https%3A%2F%2Fwww.webofscience.com%2Fwos%2Fwoscc%2Ffull-record%2FWOS:000347277000013","View Full Record in Web of Science")</f>
        <v>View Full Record in Web of Science</v>
      </c>
    </row>
    <row r="301" spans="1:81" ht="13.2" hidden="1" x14ac:dyDescent="0.25">
      <c r="A301" s="89" t="s">
        <v>20103</v>
      </c>
      <c r="B301" s="89" t="e">
        <f>+#REF!</f>
        <v>#REF!</v>
      </c>
      <c r="C301" s="89"/>
      <c r="D301" s="91" t="s">
        <v>717</v>
      </c>
      <c r="E301" s="90" t="e">
        <v>#REF!</v>
      </c>
      <c r="F301" s="89"/>
      <c r="G301" s="89"/>
      <c r="H301" s="89" t="s">
        <v>11840</v>
      </c>
      <c r="I301" s="89" t="s">
        <v>20104</v>
      </c>
      <c r="J301" s="89" t="s">
        <v>646</v>
      </c>
      <c r="K301" s="89" t="s">
        <v>20106</v>
      </c>
      <c r="M301" s="89">
        <v>2018</v>
      </c>
      <c r="N301" s="89" t="s">
        <v>20105</v>
      </c>
      <c r="O301" s="89" t="s">
        <v>646</v>
      </c>
      <c r="P301" s="89" t="str">
        <f>HYPERLINK("http://dx.doi.org/10.3389/fpsyg.2018.01461","http://dx.doi.org/10.3389/fpsyg.2018.01461")</f>
        <v>http://dx.doi.org/10.3389/fpsyg.2018.01461</v>
      </c>
      <c r="S301" s="89" t="s">
        <v>646</v>
      </c>
      <c r="U301" s="89" t="s">
        <v>17462</v>
      </c>
      <c r="W301" s="89" t="s">
        <v>646</v>
      </c>
      <c r="X301" s="89" t="s">
        <v>646</v>
      </c>
      <c r="Y301" s="89" t="s">
        <v>646</v>
      </c>
      <c r="Z301" s="89" t="s">
        <v>646</v>
      </c>
      <c r="AA301" s="89" t="s">
        <v>646</v>
      </c>
      <c r="AB301" s="89" t="s">
        <v>646</v>
      </c>
      <c r="AC301" s="89" t="s">
        <v>646</v>
      </c>
      <c r="AD301" s="89" t="s">
        <v>646</v>
      </c>
      <c r="AE301" s="89" t="s">
        <v>646</v>
      </c>
      <c r="AF301" s="89" t="s">
        <v>20106</v>
      </c>
      <c r="AG301" s="89" t="s">
        <v>646</v>
      </c>
      <c r="AH301" s="89" t="s">
        <v>646</v>
      </c>
      <c r="AI301" s="89" t="s">
        <v>646</v>
      </c>
      <c r="AJ301" s="89" t="s">
        <v>646</v>
      </c>
      <c r="AK301" s="89" t="s">
        <v>646</v>
      </c>
      <c r="AL301" s="89" t="s">
        <v>20107</v>
      </c>
      <c r="AM301" s="89" t="s">
        <v>646</v>
      </c>
      <c r="AN301" s="89" t="s">
        <v>646</v>
      </c>
      <c r="AO301" s="89" t="s">
        <v>646</v>
      </c>
      <c r="AP301" s="89" t="s">
        <v>646</v>
      </c>
      <c r="AQ301" s="89" t="s">
        <v>646</v>
      </c>
      <c r="AR301" s="89" t="s">
        <v>646</v>
      </c>
      <c r="AS301" s="89" t="s">
        <v>646</v>
      </c>
      <c r="AT301" s="89" t="s">
        <v>646</v>
      </c>
      <c r="AU301" s="89" t="s">
        <v>646</v>
      </c>
      <c r="AV301" s="89" t="s">
        <v>646</v>
      </c>
      <c r="AW301" s="89" t="s">
        <v>646</v>
      </c>
      <c r="AX301" s="89" t="s">
        <v>646</v>
      </c>
      <c r="AY301" s="89" t="s">
        <v>20108</v>
      </c>
      <c r="AZ301" s="89" t="s">
        <v>646</v>
      </c>
      <c r="BA301" s="89" t="s">
        <v>646</v>
      </c>
      <c r="BB301" s="89" t="s">
        <v>646</v>
      </c>
      <c r="BC301" s="89" t="s">
        <v>646</v>
      </c>
      <c r="BD301" s="89" t="s">
        <v>20109</v>
      </c>
      <c r="BE301" s="89">
        <v>2018</v>
      </c>
      <c r="BF301" s="89">
        <v>9</v>
      </c>
      <c r="BG301" s="89" t="s">
        <v>646</v>
      </c>
      <c r="BH301" s="89" t="s">
        <v>646</v>
      </c>
      <c r="BI301" s="89" t="s">
        <v>646</v>
      </c>
      <c r="BJ301" s="89" t="s">
        <v>646</v>
      </c>
      <c r="BK301" s="89" t="s">
        <v>646</v>
      </c>
      <c r="BL301" s="89" t="s">
        <v>646</v>
      </c>
      <c r="BM301" s="89" t="s">
        <v>646</v>
      </c>
      <c r="BN301" s="89">
        <v>1461</v>
      </c>
      <c r="BO301" s="89" t="str">
        <f>HYPERLINK("http://dx.doi.org/10.3389/fpsyg.2018.01461","http://dx.doi.org/10.3389/fpsyg.2018.01461")</f>
        <v>http://dx.doi.org/10.3389/fpsyg.2018.01461</v>
      </c>
      <c r="BP301" s="89" t="s">
        <v>646</v>
      </c>
      <c r="BQ301" s="89" t="s">
        <v>646</v>
      </c>
      <c r="BR301" s="89" t="s">
        <v>646</v>
      </c>
      <c r="BS301" s="89" t="s">
        <v>646</v>
      </c>
      <c r="BT301" s="89" t="s">
        <v>646</v>
      </c>
      <c r="BU301" s="89" t="s">
        <v>646</v>
      </c>
      <c r="BV301" s="89" t="s">
        <v>646</v>
      </c>
      <c r="BW301" s="89">
        <v>30147670</v>
      </c>
      <c r="BX301" s="89" t="s">
        <v>646</v>
      </c>
      <c r="BY301" s="89" t="s">
        <v>646</v>
      </c>
      <c r="BZ301" s="89" t="s">
        <v>646</v>
      </c>
      <c r="CA301" s="89" t="s">
        <v>646</v>
      </c>
      <c r="CB301" s="89" t="s">
        <v>20110</v>
      </c>
      <c r="CC301" s="89" t="str">
        <f>HYPERLINK("https%3A%2F%2Fwww.webofscience.com%2Fwos%2Fwoscc%2Ffull-record%2FWOS:000441324700001","View Full Record in Web of Science")</f>
        <v>View Full Record in Web of Science</v>
      </c>
    </row>
    <row r="302" spans="1:81" ht="13.2" hidden="1" x14ac:dyDescent="0.25">
      <c r="A302" s="89" t="s">
        <v>20111</v>
      </c>
      <c r="B302" s="89" t="e">
        <f>+#REF!</f>
        <v>#REF!</v>
      </c>
      <c r="C302" s="89"/>
      <c r="D302" s="91" t="s">
        <v>717</v>
      </c>
      <c r="E302" s="90" t="e">
        <v>#REF!</v>
      </c>
      <c r="F302" s="89"/>
      <c r="G302" s="89"/>
      <c r="H302" s="89" t="s">
        <v>646</v>
      </c>
      <c r="I302" s="89" t="s">
        <v>20113</v>
      </c>
      <c r="J302" s="89" t="s">
        <v>20120</v>
      </c>
      <c r="K302" s="89" t="s">
        <v>20119</v>
      </c>
      <c r="M302" s="89">
        <v>2019</v>
      </c>
      <c r="N302" s="89" t="s">
        <v>20114</v>
      </c>
      <c r="O302" s="89" t="s">
        <v>20112</v>
      </c>
      <c r="P302" s="89" t="s">
        <v>646</v>
      </c>
      <c r="S302" s="89" t="s">
        <v>646</v>
      </c>
      <c r="U302" s="89" t="s">
        <v>17474</v>
      </c>
      <c r="W302" s="89" t="s">
        <v>646</v>
      </c>
      <c r="X302" s="89" t="s">
        <v>646</v>
      </c>
      <c r="Y302" s="89" t="s">
        <v>20115</v>
      </c>
      <c r="Z302" s="89" t="s">
        <v>20116</v>
      </c>
      <c r="AA302" s="89" t="s">
        <v>20117</v>
      </c>
      <c r="AB302" s="89" t="s">
        <v>20118</v>
      </c>
      <c r="AC302" s="89" t="s">
        <v>646</v>
      </c>
      <c r="AD302" s="89" t="s">
        <v>646</v>
      </c>
      <c r="AE302" s="89" t="s">
        <v>646</v>
      </c>
      <c r="AF302" s="89" t="s">
        <v>20119</v>
      </c>
      <c r="AG302" s="89" t="s">
        <v>646</v>
      </c>
      <c r="AH302" s="89" t="s">
        <v>646</v>
      </c>
      <c r="AI302" s="89" t="s">
        <v>646</v>
      </c>
      <c r="AJ302" s="89" t="s">
        <v>646</v>
      </c>
      <c r="AK302" s="89" t="s">
        <v>20120</v>
      </c>
      <c r="AL302" s="89" t="s">
        <v>20121</v>
      </c>
      <c r="AM302" s="89" t="s">
        <v>646</v>
      </c>
      <c r="AN302" s="89" t="s">
        <v>646</v>
      </c>
      <c r="AO302" s="89" t="s">
        <v>646</v>
      </c>
      <c r="AP302" s="89" t="s">
        <v>646</v>
      </c>
      <c r="AQ302" s="89" t="s">
        <v>646</v>
      </c>
      <c r="AR302" s="89" t="s">
        <v>646</v>
      </c>
      <c r="AS302" s="89" t="s">
        <v>646</v>
      </c>
      <c r="AT302" s="89" t="s">
        <v>646</v>
      </c>
      <c r="AU302" s="89" t="s">
        <v>646</v>
      </c>
      <c r="AV302" s="89" t="s">
        <v>646</v>
      </c>
      <c r="AW302" s="89" t="s">
        <v>646</v>
      </c>
      <c r="AX302" s="89" t="s">
        <v>646</v>
      </c>
      <c r="AY302" s="89" t="s">
        <v>646</v>
      </c>
      <c r="AZ302" s="89" t="s">
        <v>646</v>
      </c>
      <c r="BA302" s="89" t="s">
        <v>20122</v>
      </c>
      <c r="BB302" s="89" t="s">
        <v>646</v>
      </c>
      <c r="BC302" s="89" t="s">
        <v>646</v>
      </c>
      <c r="BD302" s="89" t="s">
        <v>646</v>
      </c>
      <c r="BE302" s="89">
        <v>2019</v>
      </c>
      <c r="BF302" s="89" t="s">
        <v>646</v>
      </c>
      <c r="BG302" s="89" t="s">
        <v>646</v>
      </c>
      <c r="BH302" s="89" t="s">
        <v>646</v>
      </c>
      <c r="BI302" s="89" t="s">
        <v>646</v>
      </c>
      <c r="BJ302" s="89" t="s">
        <v>646</v>
      </c>
      <c r="BK302" s="89" t="s">
        <v>646</v>
      </c>
      <c r="BL302" s="89">
        <v>464</v>
      </c>
      <c r="BM302" s="89">
        <v>469</v>
      </c>
      <c r="BN302" s="89" t="s">
        <v>646</v>
      </c>
      <c r="BO302" s="89" t="s">
        <v>646</v>
      </c>
      <c r="BP302" s="89" t="s">
        <v>646</v>
      </c>
      <c r="BQ302" s="89" t="s">
        <v>646</v>
      </c>
      <c r="BR302" s="89" t="s">
        <v>646</v>
      </c>
      <c r="BS302" s="89" t="s">
        <v>646</v>
      </c>
      <c r="BT302" s="89" t="s">
        <v>646</v>
      </c>
      <c r="BU302" s="89" t="s">
        <v>646</v>
      </c>
      <c r="BV302" s="89" t="s">
        <v>646</v>
      </c>
      <c r="BW302" s="89" t="s">
        <v>646</v>
      </c>
      <c r="BX302" s="89" t="s">
        <v>646</v>
      </c>
      <c r="BY302" s="89" t="s">
        <v>646</v>
      </c>
      <c r="BZ302" s="89" t="s">
        <v>646</v>
      </c>
      <c r="CA302" s="89" t="s">
        <v>646</v>
      </c>
      <c r="CB302" s="89" t="s">
        <v>20123</v>
      </c>
      <c r="CC302" s="89" t="str">
        <f>HYPERLINK("https%3A%2F%2Fwww.webofscience.com%2Fwos%2Fwoscc%2Ffull-record%2FWOS:000502581200078","View Full Record in Web of Science")</f>
        <v>View Full Record in Web of Science</v>
      </c>
    </row>
    <row r="303" spans="1:81" ht="13.2" hidden="1" x14ac:dyDescent="0.25">
      <c r="A303" s="89" t="s">
        <v>1334</v>
      </c>
      <c r="B303" s="89" t="e">
        <f>+#REF!</f>
        <v>#REF!</v>
      </c>
      <c r="C303" s="89"/>
      <c r="D303" s="91" t="s">
        <v>717</v>
      </c>
      <c r="E303" s="90" t="e">
        <v>#REF!</v>
      </c>
      <c r="F303" s="89"/>
      <c r="G303" s="89"/>
      <c r="H303" s="89" t="s">
        <v>1336</v>
      </c>
      <c r="I303" s="89" t="s">
        <v>20124</v>
      </c>
      <c r="J303" s="89" t="s">
        <v>646</v>
      </c>
      <c r="K303" s="89" t="s">
        <v>20129</v>
      </c>
      <c r="M303" s="89">
        <v>2019</v>
      </c>
      <c r="N303" s="89" t="s">
        <v>20125</v>
      </c>
      <c r="O303" s="89" t="s">
        <v>646</v>
      </c>
      <c r="P303" s="89" t="str">
        <f>HYPERLINK("http://dx.doi.org/10.1109/ICGSE.2019.00028","http://dx.doi.org/10.1109/ICGSE.2019.00028")</f>
        <v>http://dx.doi.org/10.1109/ICGSE.2019.00028</v>
      </c>
      <c r="S303" s="89" t="s">
        <v>17475</v>
      </c>
      <c r="U303" s="89" t="s">
        <v>17474</v>
      </c>
      <c r="W303" s="89" t="s">
        <v>646</v>
      </c>
      <c r="X303" s="89" t="s">
        <v>646</v>
      </c>
      <c r="Y303" s="89" t="s">
        <v>20126</v>
      </c>
      <c r="Z303" s="89" t="s">
        <v>20127</v>
      </c>
      <c r="AA303" s="89" t="s">
        <v>18300</v>
      </c>
      <c r="AB303" s="89" t="s">
        <v>20128</v>
      </c>
      <c r="AC303" s="89" t="s">
        <v>646</v>
      </c>
      <c r="AD303" s="89" t="s">
        <v>646</v>
      </c>
      <c r="AE303" s="89" t="s">
        <v>646</v>
      </c>
      <c r="AF303" s="89" t="s">
        <v>20129</v>
      </c>
      <c r="AG303" s="89" t="s">
        <v>646</v>
      </c>
      <c r="AH303" s="89" t="s">
        <v>646</v>
      </c>
      <c r="AI303" s="89" t="s">
        <v>646</v>
      </c>
      <c r="AJ303" s="89" t="s">
        <v>646</v>
      </c>
      <c r="AK303" s="89" t="s">
        <v>646</v>
      </c>
      <c r="AL303" s="89" t="s">
        <v>20130</v>
      </c>
      <c r="AM303" s="89" t="s">
        <v>646</v>
      </c>
      <c r="AN303" s="89" t="s">
        <v>646</v>
      </c>
      <c r="AO303" s="89" t="s">
        <v>646</v>
      </c>
      <c r="AP303" s="89" t="s">
        <v>646</v>
      </c>
      <c r="AQ303" s="89" t="s">
        <v>646</v>
      </c>
      <c r="AR303" s="89" t="s">
        <v>646</v>
      </c>
      <c r="AS303" s="89" t="s">
        <v>646</v>
      </c>
      <c r="AT303" s="89" t="s">
        <v>646</v>
      </c>
      <c r="AU303" s="89" t="s">
        <v>646</v>
      </c>
      <c r="AV303" s="89" t="s">
        <v>646</v>
      </c>
      <c r="AW303" s="89" t="s">
        <v>646</v>
      </c>
      <c r="AX303" s="89" t="s">
        <v>646</v>
      </c>
      <c r="AY303" s="89" t="s">
        <v>18768</v>
      </c>
      <c r="AZ303" s="89" t="s">
        <v>646</v>
      </c>
      <c r="BA303" s="89" t="s">
        <v>20131</v>
      </c>
      <c r="BB303" s="89" t="s">
        <v>646</v>
      </c>
      <c r="BC303" s="89" t="s">
        <v>646</v>
      </c>
      <c r="BD303" s="89" t="s">
        <v>646</v>
      </c>
      <c r="BE303" s="89">
        <v>2019</v>
      </c>
      <c r="BF303" s="89" t="s">
        <v>646</v>
      </c>
      <c r="BG303" s="89" t="s">
        <v>646</v>
      </c>
      <c r="BH303" s="89" t="s">
        <v>646</v>
      </c>
      <c r="BI303" s="89" t="s">
        <v>646</v>
      </c>
      <c r="BJ303" s="89" t="s">
        <v>646</v>
      </c>
      <c r="BK303" s="89" t="s">
        <v>646</v>
      </c>
      <c r="BL303" s="89">
        <v>78</v>
      </c>
      <c r="BM303" s="89">
        <v>79</v>
      </c>
      <c r="BN303" s="89" t="s">
        <v>646</v>
      </c>
      <c r="BO303" s="89" t="str">
        <f>HYPERLINK("http://dx.doi.org/10.1109/ICGSE.2019.00028","http://dx.doi.org/10.1109/ICGSE.2019.00028")</f>
        <v>http://dx.doi.org/10.1109/ICGSE.2019.00028</v>
      </c>
      <c r="BP303" s="89" t="s">
        <v>646</v>
      </c>
      <c r="BQ303" s="89" t="s">
        <v>646</v>
      </c>
      <c r="BR303" s="89" t="s">
        <v>646</v>
      </c>
      <c r="BS303" s="89" t="s">
        <v>646</v>
      </c>
      <c r="BT303" s="89" t="s">
        <v>646</v>
      </c>
      <c r="BU303" s="89" t="s">
        <v>646</v>
      </c>
      <c r="BV303" s="89" t="s">
        <v>646</v>
      </c>
      <c r="BW303" s="89" t="s">
        <v>646</v>
      </c>
      <c r="BX303" s="89" t="s">
        <v>646</v>
      </c>
      <c r="BY303" s="89" t="s">
        <v>646</v>
      </c>
      <c r="BZ303" s="89" t="s">
        <v>646</v>
      </c>
      <c r="CA303" s="89" t="s">
        <v>646</v>
      </c>
      <c r="CB303" s="89" t="s">
        <v>20132</v>
      </c>
      <c r="CC303" s="89" t="str">
        <f>HYPERLINK("https%3A%2F%2Fwww.webofscience.com%2Fwos%2Fwoscc%2Ffull-record%2FWOS:000538556600013","View Full Record in Web of Science")</f>
        <v>View Full Record in Web of Science</v>
      </c>
    </row>
    <row r="304" spans="1:81" ht="13.2" hidden="1" x14ac:dyDescent="0.25">
      <c r="A304" s="89" t="s">
        <v>11858</v>
      </c>
      <c r="B304" s="89" t="e">
        <f>+#REF!</f>
        <v>#REF!</v>
      </c>
      <c r="C304" s="89"/>
      <c r="D304" s="91" t="s">
        <v>717</v>
      </c>
      <c r="E304" s="90" t="e">
        <v>#REF!</v>
      </c>
      <c r="F304" s="89"/>
      <c r="G304" s="89"/>
      <c r="H304" s="89" t="s">
        <v>646</v>
      </c>
      <c r="I304" s="89" t="s">
        <v>20133</v>
      </c>
      <c r="J304" s="89" t="s">
        <v>646</v>
      </c>
      <c r="K304" s="89" t="s">
        <v>20137</v>
      </c>
      <c r="M304" s="89">
        <v>2005</v>
      </c>
      <c r="N304" s="89" t="s">
        <v>20134</v>
      </c>
      <c r="O304" s="89" t="s">
        <v>646</v>
      </c>
      <c r="P304" s="89" t="s">
        <v>646</v>
      </c>
      <c r="S304" s="89" t="s">
        <v>17475</v>
      </c>
      <c r="U304" s="89" t="s">
        <v>17474</v>
      </c>
      <c r="W304" s="89" t="s">
        <v>646</v>
      </c>
      <c r="X304" s="89" t="s">
        <v>646</v>
      </c>
      <c r="Y304" s="89" t="s">
        <v>20135</v>
      </c>
      <c r="Z304" s="89" t="s">
        <v>20136</v>
      </c>
      <c r="AA304" s="89" t="s">
        <v>18763</v>
      </c>
      <c r="AB304" s="89" t="s">
        <v>17475</v>
      </c>
      <c r="AC304" s="89" t="s">
        <v>646</v>
      </c>
      <c r="AD304" s="89" t="s">
        <v>646</v>
      </c>
      <c r="AE304" s="89" t="s">
        <v>646</v>
      </c>
      <c r="AF304" s="89" t="s">
        <v>20137</v>
      </c>
      <c r="AG304" s="89" t="s">
        <v>646</v>
      </c>
      <c r="AH304" s="89" t="s">
        <v>646</v>
      </c>
      <c r="AI304" s="89" t="s">
        <v>646</v>
      </c>
      <c r="AJ304" s="89" t="s">
        <v>646</v>
      </c>
      <c r="AK304" s="89" t="s">
        <v>646</v>
      </c>
      <c r="AL304" s="89" t="s">
        <v>646</v>
      </c>
      <c r="AM304" s="89" t="s">
        <v>646</v>
      </c>
      <c r="AN304" s="89" t="s">
        <v>646</v>
      </c>
      <c r="AO304" s="89" t="s">
        <v>646</v>
      </c>
      <c r="AP304" s="89" t="s">
        <v>646</v>
      </c>
      <c r="AQ304" s="89" t="s">
        <v>646</v>
      </c>
      <c r="AR304" s="89" t="s">
        <v>646</v>
      </c>
      <c r="AS304" s="89" t="s">
        <v>646</v>
      </c>
      <c r="AT304" s="89" t="s">
        <v>646</v>
      </c>
      <c r="AU304" s="89" t="s">
        <v>646</v>
      </c>
      <c r="AV304" s="89" t="s">
        <v>646</v>
      </c>
      <c r="AW304" s="89" t="s">
        <v>646</v>
      </c>
      <c r="AX304" s="89" t="s">
        <v>646</v>
      </c>
      <c r="AY304" s="89" t="s">
        <v>646</v>
      </c>
      <c r="AZ304" s="89" t="s">
        <v>646</v>
      </c>
      <c r="BA304" s="89" t="s">
        <v>20138</v>
      </c>
      <c r="BB304" s="89" t="s">
        <v>646</v>
      </c>
      <c r="BC304" s="89" t="s">
        <v>646</v>
      </c>
      <c r="BD304" s="89" t="s">
        <v>646</v>
      </c>
      <c r="BE304" s="89">
        <v>2005</v>
      </c>
      <c r="BF304" s="89" t="s">
        <v>646</v>
      </c>
      <c r="BG304" s="89" t="s">
        <v>646</v>
      </c>
      <c r="BH304" s="89" t="s">
        <v>646</v>
      </c>
      <c r="BI304" s="89" t="s">
        <v>646</v>
      </c>
      <c r="BJ304" s="89" t="s">
        <v>646</v>
      </c>
      <c r="BK304" s="89" t="s">
        <v>646</v>
      </c>
      <c r="BL304" s="89">
        <v>718</v>
      </c>
      <c r="BM304" s="89">
        <v>728</v>
      </c>
      <c r="BN304" s="89" t="s">
        <v>646</v>
      </c>
      <c r="BO304" s="89" t="s">
        <v>646</v>
      </c>
      <c r="BP304" s="89" t="s">
        <v>646</v>
      </c>
      <c r="BQ304" s="89" t="s">
        <v>646</v>
      </c>
      <c r="BR304" s="89" t="s">
        <v>646</v>
      </c>
      <c r="BS304" s="89" t="s">
        <v>646</v>
      </c>
      <c r="BT304" s="89" t="s">
        <v>646</v>
      </c>
      <c r="BU304" s="89" t="s">
        <v>646</v>
      </c>
      <c r="BV304" s="89" t="s">
        <v>646</v>
      </c>
      <c r="BW304" s="89" t="s">
        <v>646</v>
      </c>
      <c r="BX304" s="89" t="s">
        <v>646</v>
      </c>
      <c r="BY304" s="89" t="s">
        <v>646</v>
      </c>
      <c r="BZ304" s="89" t="s">
        <v>646</v>
      </c>
      <c r="CA304" s="89" t="s">
        <v>646</v>
      </c>
      <c r="CB304" s="89" t="s">
        <v>20139</v>
      </c>
      <c r="CC304" s="89" t="str">
        <f>HYPERLINK("https%3A%2F%2Fwww.webofscience.com%2Fwos%2Fwoscc%2Ffull-record%2FWOS:000231928900091","View Full Record in Web of Science")</f>
        <v>View Full Record in Web of Science</v>
      </c>
    </row>
    <row r="305" spans="1:81" ht="13.2" hidden="1" x14ac:dyDescent="0.25">
      <c r="A305" s="89" t="s">
        <v>9206</v>
      </c>
      <c r="B305" s="89" t="e">
        <f>+#REF!</f>
        <v>#REF!</v>
      </c>
      <c r="C305" s="89"/>
      <c r="D305" s="91" t="s">
        <v>717</v>
      </c>
      <c r="E305" s="90" t="e">
        <v>#REF!</v>
      </c>
      <c r="F305" s="89"/>
      <c r="G305" s="89"/>
      <c r="H305" s="89" t="s">
        <v>9207</v>
      </c>
      <c r="I305" s="89" t="s">
        <v>20140</v>
      </c>
      <c r="J305" s="89" t="s">
        <v>646</v>
      </c>
      <c r="K305" s="89" t="s">
        <v>20142</v>
      </c>
      <c r="M305" s="89">
        <v>2022</v>
      </c>
      <c r="N305" s="89" t="s">
        <v>20141</v>
      </c>
      <c r="O305" s="89" t="s">
        <v>646</v>
      </c>
      <c r="P305" s="89" t="str">
        <f>HYPERLINK("http://dx.doi.org/10.1108/IJSMS-10-2020-0183","http://dx.doi.org/10.1108/IJSMS-10-2020-0183")</f>
        <v>http://dx.doi.org/10.1108/IJSMS-10-2020-0183</v>
      </c>
      <c r="S305" s="89" t="s">
        <v>646</v>
      </c>
      <c r="U305" s="89" t="s">
        <v>17462</v>
      </c>
      <c r="W305" s="89" t="s">
        <v>646</v>
      </c>
      <c r="X305" s="89" t="s">
        <v>646</v>
      </c>
      <c r="Y305" s="89" t="s">
        <v>646</v>
      </c>
      <c r="Z305" s="89" t="s">
        <v>646</v>
      </c>
      <c r="AA305" s="89" t="s">
        <v>646</v>
      </c>
      <c r="AB305" s="89" t="s">
        <v>646</v>
      </c>
      <c r="AC305" s="89" t="s">
        <v>646</v>
      </c>
      <c r="AD305" s="89" t="s">
        <v>646</v>
      </c>
      <c r="AE305" s="89" t="s">
        <v>646</v>
      </c>
      <c r="AF305" s="89" t="s">
        <v>20142</v>
      </c>
      <c r="AG305" s="89" t="s">
        <v>646</v>
      </c>
      <c r="AH305" s="89" t="s">
        <v>646</v>
      </c>
      <c r="AI305" s="89" t="s">
        <v>646</v>
      </c>
      <c r="AJ305" s="89" t="s">
        <v>646</v>
      </c>
      <c r="AK305" s="89" t="s">
        <v>646</v>
      </c>
      <c r="AL305" s="89" t="s">
        <v>20143</v>
      </c>
      <c r="AM305" s="89" t="s">
        <v>646</v>
      </c>
      <c r="AN305" s="89" t="s">
        <v>646</v>
      </c>
      <c r="AO305" s="89" t="s">
        <v>646</v>
      </c>
      <c r="AP305" s="89" t="s">
        <v>646</v>
      </c>
      <c r="AQ305" s="89" t="s">
        <v>646</v>
      </c>
      <c r="AR305" s="89" t="s">
        <v>646</v>
      </c>
      <c r="AS305" s="89" t="s">
        <v>646</v>
      </c>
      <c r="AT305" s="89" t="s">
        <v>646</v>
      </c>
      <c r="AU305" s="89" t="s">
        <v>646</v>
      </c>
      <c r="AV305" s="89" t="s">
        <v>646</v>
      </c>
      <c r="AW305" s="89" t="s">
        <v>646</v>
      </c>
      <c r="AX305" s="89" t="s">
        <v>646</v>
      </c>
      <c r="AY305" s="89" t="s">
        <v>20144</v>
      </c>
      <c r="AZ305" s="89" t="s">
        <v>20145</v>
      </c>
      <c r="BA305" s="89" t="s">
        <v>646</v>
      </c>
      <c r="BB305" s="89" t="s">
        <v>646</v>
      </c>
      <c r="BC305" s="89" t="s">
        <v>646</v>
      </c>
      <c r="BD305" s="89" t="s">
        <v>20146</v>
      </c>
      <c r="BE305" s="89">
        <v>2022</v>
      </c>
      <c r="BF305" s="89">
        <v>23</v>
      </c>
      <c r="BG305" s="89">
        <v>1</v>
      </c>
      <c r="BH305" s="89" t="s">
        <v>646</v>
      </c>
      <c r="BI305" s="89" t="s">
        <v>646</v>
      </c>
      <c r="BJ305" s="89" t="s">
        <v>646</v>
      </c>
      <c r="BK305" s="89" t="s">
        <v>646</v>
      </c>
      <c r="BL305" s="89">
        <v>1</v>
      </c>
      <c r="BM305" s="89">
        <v>17</v>
      </c>
      <c r="BN305" s="89" t="s">
        <v>646</v>
      </c>
      <c r="BO305" s="89" t="str">
        <f>HYPERLINK("http://dx.doi.org/10.1108/IJSMS-10-2020-0183","http://dx.doi.org/10.1108/IJSMS-10-2020-0183")</f>
        <v>http://dx.doi.org/10.1108/IJSMS-10-2020-0183</v>
      </c>
      <c r="BP305" s="89" t="s">
        <v>646</v>
      </c>
      <c r="BQ305" s="89" t="s">
        <v>20147</v>
      </c>
      <c r="BR305" s="89" t="s">
        <v>646</v>
      </c>
      <c r="BS305" s="89" t="s">
        <v>646</v>
      </c>
      <c r="BT305" s="89" t="s">
        <v>646</v>
      </c>
      <c r="BU305" s="89" t="s">
        <v>646</v>
      </c>
      <c r="BV305" s="89" t="s">
        <v>646</v>
      </c>
      <c r="BW305" s="89" t="s">
        <v>646</v>
      </c>
      <c r="BX305" s="89" t="s">
        <v>646</v>
      </c>
      <c r="BY305" s="89" t="s">
        <v>646</v>
      </c>
      <c r="BZ305" s="89" t="s">
        <v>646</v>
      </c>
      <c r="CA305" s="89" t="s">
        <v>646</v>
      </c>
      <c r="CB305" s="89" t="s">
        <v>20148</v>
      </c>
      <c r="CC305" s="89" t="str">
        <f>HYPERLINK("https%3A%2F%2Fwww.webofscience.com%2Fwos%2Fwoscc%2Ffull-record%2FWOS:000628755400001","View Full Record in Web of Science")</f>
        <v>View Full Record in Web of Science</v>
      </c>
    </row>
    <row r="306" spans="1:81" ht="13.2" hidden="1" x14ac:dyDescent="0.25">
      <c r="A306" s="89" t="s">
        <v>9216</v>
      </c>
      <c r="B306" s="89" t="e">
        <f>+#REF!</f>
        <v>#REF!</v>
      </c>
      <c r="C306" s="89"/>
      <c r="D306" s="91" t="s">
        <v>717</v>
      </c>
      <c r="E306" s="90" t="e">
        <v>#REF!</v>
      </c>
      <c r="F306" s="89"/>
      <c r="G306" s="89"/>
      <c r="H306" s="89" t="s">
        <v>9217</v>
      </c>
      <c r="I306" s="89" t="s">
        <v>20149</v>
      </c>
      <c r="J306" s="89" t="s">
        <v>20152</v>
      </c>
      <c r="K306" s="89" t="s">
        <v>20151</v>
      </c>
      <c r="M306" s="89">
        <v>2021</v>
      </c>
      <c r="N306" s="89" t="s">
        <v>20150</v>
      </c>
      <c r="O306" s="89" t="s">
        <v>646</v>
      </c>
      <c r="P306" s="89" t="str">
        <f>HYPERLINK("http://dx.doi.org/10.1111/beer.12339","http://dx.doi.org/10.1111/beer.12339")</f>
        <v>http://dx.doi.org/10.1111/beer.12339</v>
      </c>
      <c r="S306" s="89" t="s">
        <v>646</v>
      </c>
      <c r="U306" s="89" t="s">
        <v>17462</v>
      </c>
      <c r="W306" s="89" t="s">
        <v>646</v>
      </c>
      <c r="X306" s="89" t="s">
        <v>646</v>
      </c>
      <c r="Y306" s="89" t="s">
        <v>646</v>
      </c>
      <c r="Z306" s="89" t="s">
        <v>646</v>
      </c>
      <c r="AA306" s="89" t="s">
        <v>646</v>
      </c>
      <c r="AB306" s="89" t="s">
        <v>646</v>
      </c>
      <c r="AC306" s="89" t="s">
        <v>646</v>
      </c>
      <c r="AD306" s="89" t="s">
        <v>646</v>
      </c>
      <c r="AE306" s="89" t="s">
        <v>646</v>
      </c>
      <c r="AF306" s="89" t="s">
        <v>20151</v>
      </c>
      <c r="AG306" s="89" t="s">
        <v>646</v>
      </c>
      <c r="AH306" s="89" t="s">
        <v>646</v>
      </c>
      <c r="AI306" s="89" t="s">
        <v>646</v>
      </c>
      <c r="AJ306" s="89" t="s">
        <v>646</v>
      </c>
      <c r="AK306" s="89" t="s">
        <v>20152</v>
      </c>
      <c r="AL306" s="89" t="s">
        <v>20153</v>
      </c>
      <c r="AM306" s="89" t="s">
        <v>646</v>
      </c>
      <c r="AN306" s="89" t="s">
        <v>646</v>
      </c>
      <c r="AO306" s="89" t="s">
        <v>646</v>
      </c>
      <c r="AP306" s="89" t="s">
        <v>646</v>
      </c>
      <c r="AQ306" s="89" t="s">
        <v>646</v>
      </c>
      <c r="AR306" s="89" t="s">
        <v>646</v>
      </c>
      <c r="AS306" s="89" t="s">
        <v>646</v>
      </c>
      <c r="AT306" s="89" t="s">
        <v>646</v>
      </c>
      <c r="AU306" s="89" t="s">
        <v>646</v>
      </c>
      <c r="AV306" s="89" t="s">
        <v>646</v>
      </c>
      <c r="AW306" s="89" t="s">
        <v>646</v>
      </c>
      <c r="AX306" s="89" t="s">
        <v>646</v>
      </c>
      <c r="AY306" s="89" t="s">
        <v>20154</v>
      </c>
      <c r="AZ306" s="89" t="s">
        <v>20155</v>
      </c>
      <c r="BA306" s="89" t="s">
        <v>646</v>
      </c>
      <c r="BB306" s="89" t="s">
        <v>646</v>
      </c>
      <c r="BC306" s="89" t="s">
        <v>646</v>
      </c>
      <c r="BD306" s="89" t="s">
        <v>17687</v>
      </c>
      <c r="BE306" s="89">
        <v>2021</v>
      </c>
      <c r="BF306" s="89">
        <v>30</v>
      </c>
      <c r="BG306" s="89">
        <v>4</v>
      </c>
      <c r="BH306" s="89" t="s">
        <v>646</v>
      </c>
      <c r="BI306" s="89" t="s">
        <v>646</v>
      </c>
      <c r="BJ306" s="89" t="s">
        <v>646</v>
      </c>
      <c r="BK306" s="89" t="s">
        <v>646</v>
      </c>
      <c r="BL306" s="89">
        <v>657</v>
      </c>
      <c r="BM306" s="89">
        <v>674</v>
      </c>
      <c r="BN306" s="89" t="s">
        <v>646</v>
      </c>
      <c r="BO306" s="89" t="str">
        <f>HYPERLINK("http://dx.doi.org/10.1111/beer.12339","http://dx.doi.org/10.1111/beer.12339")</f>
        <v>http://dx.doi.org/10.1111/beer.12339</v>
      </c>
      <c r="BP306" s="89" t="s">
        <v>646</v>
      </c>
      <c r="BQ306" s="89" t="s">
        <v>646</v>
      </c>
      <c r="BR306" s="89" t="s">
        <v>646</v>
      </c>
      <c r="BS306" s="89" t="s">
        <v>646</v>
      </c>
      <c r="BT306" s="89" t="s">
        <v>646</v>
      </c>
      <c r="BU306" s="89" t="s">
        <v>646</v>
      </c>
      <c r="BV306" s="89" t="s">
        <v>646</v>
      </c>
      <c r="BW306" s="89" t="s">
        <v>646</v>
      </c>
      <c r="BX306" s="89" t="s">
        <v>646</v>
      </c>
      <c r="BY306" s="89" t="s">
        <v>646</v>
      </c>
      <c r="BZ306" s="89" t="s">
        <v>646</v>
      </c>
      <c r="CA306" s="89" t="s">
        <v>646</v>
      </c>
      <c r="CB306" s="89" t="s">
        <v>20156</v>
      </c>
      <c r="CC306" s="89" t="str">
        <f>HYPERLINK("https%3A%2F%2Fwww.webofscience.com%2Fwos%2Fwoscc%2Ffull-record%2FWOS:000697232400014","View Full Record in Web of Science")</f>
        <v>View Full Record in Web of Science</v>
      </c>
    </row>
    <row r="307" spans="1:81" ht="13.2" hidden="1" x14ac:dyDescent="0.25">
      <c r="A307" s="89" t="s">
        <v>20157</v>
      </c>
      <c r="B307" s="89" t="e">
        <f>+#REF!</f>
        <v>#REF!</v>
      </c>
      <c r="C307" s="89"/>
      <c r="D307" s="91" t="s">
        <v>717</v>
      </c>
      <c r="E307" s="90" t="e">
        <v>#REF!</v>
      </c>
      <c r="F307" s="89"/>
      <c r="G307" s="89"/>
      <c r="H307" s="89" t="s">
        <v>646</v>
      </c>
      <c r="I307" s="89" t="s">
        <v>20158</v>
      </c>
      <c r="J307" s="89" t="s">
        <v>646</v>
      </c>
      <c r="K307" s="89" t="s">
        <v>20163</v>
      </c>
      <c r="M307" s="89">
        <v>2011</v>
      </c>
      <c r="N307" s="89" t="s">
        <v>20159</v>
      </c>
      <c r="O307" s="89" t="s">
        <v>646</v>
      </c>
      <c r="P307" s="89" t="s">
        <v>646</v>
      </c>
      <c r="S307" s="89" t="s">
        <v>17475</v>
      </c>
      <c r="U307" s="89" t="s">
        <v>17474</v>
      </c>
      <c r="W307" s="89" t="s">
        <v>646</v>
      </c>
      <c r="X307" s="89" t="s">
        <v>646</v>
      </c>
      <c r="Y307" s="89" t="s">
        <v>20160</v>
      </c>
      <c r="Z307" s="89" t="s">
        <v>20161</v>
      </c>
      <c r="AA307" s="89" t="s">
        <v>20162</v>
      </c>
      <c r="AB307" s="89" t="s">
        <v>17475</v>
      </c>
      <c r="AC307" s="89" t="s">
        <v>646</v>
      </c>
      <c r="AD307" s="89" t="s">
        <v>646</v>
      </c>
      <c r="AE307" s="89" t="s">
        <v>646</v>
      </c>
      <c r="AF307" s="89" t="s">
        <v>20163</v>
      </c>
      <c r="AG307" s="89" t="s">
        <v>646</v>
      </c>
      <c r="AH307" s="89" t="s">
        <v>646</v>
      </c>
      <c r="AI307" s="89" t="s">
        <v>646</v>
      </c>
      <c r="AJ307" s="89" t="s">
        <v>646</v>
      </c>
      <c r="AK307" s="89" t="s">
        <v>646</v>
      </c>
      <c r="AL307" s="89" t="s">
        <v>646</v>
      </c>
      <c r="AM307" s="89" t="s">
        <v>646</v>
      </c>
      <c r="AN307" s="89" t="s">
        <v>646</v>
      </c>
      <c r="AO307" s="89" t="s">
        <v>646</v>
      </c>
      <c r="AP307" s="89" t="s">
        <v>646</v>
      </c>
      <c r="AQ307" s="89" t="s">
        <v>646</v>
      </c>
      <c r="AR307" s="89" t="s">
        <v>646</v>
      </c>
      <c r="AS307" s="89" t="s">
        <v>646</v>
      </c>
      <c r="AT307" s="89" t="s">
        <v>646</v>
      </c>
      <c r="AU307" s="89" t="s">
        <v>646</v>
      </c>
      <c r="AV307" s="89" t="s">
        <v>646</v>
      </c>
      <c r="AW307" s="89" t="s">
        <v>646</v>
      </c>
      <c r="AX307" s="89" t="s">
        <v>646</v>
      </c>
      <c r="AY307" s="89" t="s">
        <v>19775</v>
      </c>
      <c r="AZ307" s="89" t="s">
        <v>646</v>
      </c>
      <c r="BA307" s="89" t="s">
        <v>20164</v>
      </c>
      <c r="BB307" s="89" t="s">
        <v>646</v>
      </c>
      <c r="BC307" s="89" t="s">
        <v>646</v>
      </c>
      <c r="BD307" s="89" t="s">
        <v>646</v>
      </c>
      <c r="BE307" s="89">
        <v>2011</v>
      </c>
      <c r="BF307" s="89" t="s">
        <v>646</v>
      </c>
      <c r="BG307" s="89" t="s">
        <v>646</v>
      </c>
      <c r="BH307" s="89" t="s">
        <v>646</v>
      </c>
      <c r="BI307" s="89" t="s">
        <v>646</v>
      </c>
      <c r="BJ307" s="89" t="s">
        <v>646</v>
      </c>
      <c r="BK307" s="89" t="s">
        <v>646</v>
      </c>
      <c r="BL307" s="89">
        <v>249</v>
      </c>
      <c r="BM307" s="89">
        <v>256</v>
      </c>
      <c r="BN307" s="89" t="s">
        <v>646</v>
      </c>
      <c r="BO307" s="89" t="s">
        <v>646</v>
      </c>
      <c r="BP307" s="89" t="s">
        <v>646</v>
      </c>
      <c r="BQ307" s="89" t="s">
        <v>646</v>
      </c>
      <c r="BR307" s="89" t="s">
        <v>646</v>
      </c>
      <c r="BS307" s="89" t="s">
        <v>646</v>
      </c>
      <c r="BT307" s="89" t="s">
        <v>646</v>
      </c>
      <c r="BU307" s="89" t="s">
        <v>646</v>
      </c>
      <c r="BV307" s="89" t="s">
        <v>646</v>
      </c>
      <c r="BW307" s="89" t="s">
        <v>646</v>
      </c>
      <c r="BX307" s="89" t="s">
        <v>646</v>
      </c>
      <c r="BY307" s="89" t="s">
        <v>646</v>
      </c>
      <c r="BZ307" s="89" t="s">
        <v>646</v>
      </c>
      <c r="CA307" s="89" t="s">
        <v>646</v>
      </c>
      <c r="CB307" s="89" t="s">
        <v>20165</v>
      </c>
      <c r="CC307" s="89" t="str">
        <f>HYPERLINK("https%3A%2F%2Fwww.webofscience.com%2Fwos%2Fwoscc%2Ffull-record%2FWOS:000295615800033","View Full Record in Web of Science")</f>
        <v>View Full Record in Web of Science</v>
      </c>
    </row>
    <row r="308" spans="1:81" ht="13.2" hidden="1" x14ac:dyDescent="0.25">
      <c r="A308" s="89" t="s">
        <v>20166</v>
      </c>
      <c r="B308" s="89" t="e">
        <f>+#REF!</f>
        <v>#REF!</v>
      </c>
      <c r="C308" s="89"/>
      <c r="D308" s="91" t="s">
        <v>717</v>
      </c>
      <c r="E308" s="90" t="e">
        <v>#REF!</v>
      </c>
      <c r="F308" s="89"/>
      <c r="G308" s="89"/>
      <c r="H308" s="89" t="s">
        <v>11879</v>
      </c>
      <c r="I308" s="89" t="s">
        <v>20167</v>
      </c>
      <c r="J308" s="89" t="s">
        <v>646</v>
      </c>
      <c r="K308" s="89" t="s">
        <v>20172</v>
      </c>
      <c r="M308" s="89">
        <v>2016</v>
      </c>
      <c r="N308" s="89" t="s">
        <v>20168</v>
      </c>
      <c r="O308" s="89" t="s">
        <v>646</v>
      </c>
      <c r="P308" s="89" t="str">
        <f>HYPERLINK("http://dx.doi.org/10.1145/2967934.2968104","http://dx.doi.org/10.1145/2967934.2968104")</f>
        <v>http://dx.doi.org/10.1145/2967934.2968104</v>
      </c>
      <c r="S308" s="89" t="s">
        <v>19206</v>
      </c>
      <c r="U308" s="89" t="s">
        <v>17474</v>
      </c>
      <c r="W308" s="89" t="s">
        <v>646</v>
      </c>
      <c r="X308" s="89" t="s">
        <v>646</v>
      </c>
      <c r="Y308" s="89" t="s">
        <v>20169</v>
      </c>
      <c r="Z308" s="89" t="s">
        <v>20170</v>
      </c>
      <c r="AA308" s="89" t="s">
        <v>20171</v>
      </c>
      <c r="AB308" s="89" t="s">
        <v>19440</v>
      </c>
      <c r="AC308" s="89" t="s">
        <v>646</v>
      </c>
      <c r="AD308" s="89" t="s">
        <v>646</v>
      </c>
      <c r="AE308" s="89" t="s">
        <v>646</v>
      </c>
      <c r="AF308" s="89" t="s">
        <v>20172</v>
      </c>
      <c r="AG308" s="89" t="s">
        <v>646</v>
      </c>
      <c r="AH308" s="89" t="s">
        <v>646</v>
      </c>
      <c r="AI308" s="89" t="s">
        <v>646</v>
      </c>
      <c r="AJ308" s="89" t="s">
        <v>646</v>
      </c>
      <c r="AK308" s="89" t="s">
        <v>646</v>
      </c>
      <c r="AL308" s="89" t="s">
        <v>646</v>
      </c>
      <c r="AM308" s="89" t="s">
        <v>646</v>
      </c>
      <c r="AN308" s="89" t="s">
        <v>646</v>
      </c>
      <c r="AO308" s="89" t="s">
        <v>646</v>
      </c>
      <c r="AP308" s="89" t="s">
        <v>646</v>
      </c>
      <c r="AQ308" s="89" t="s">
        <v>646</v>
      </c>
      <c r="AR308" s="89" t="s">
        <v>646</v>
      </c>
      <c r="AS308" s="89" t="s">
        <v>646</v>
      </c>
      <c r="AT308" s="89" t="s">
        <v>646</v>
      </c>
      <c r="AU308" s="89" t="s">
        <v>646</v>
      </c>
      <c r="AV308" s="89" t="s">
        <v>646</v>
      </c>
      <c r="AW308" s="89" t="s">
        <v>646</v>
      </c>
      <c r="AX308" s="89" t="s">
        <v>646</v>
      </c>
      <c r="AY308" s="89" t="s">
        <v>646</v>
      </c>
      <c r="AZ308" s="89" t="s">
        <v>646</v>
      </c>
      <c r="BA308" s="89" t="s">
        <v>20173</v>
      </c>
      <c r="BB308" s="89" t="s">
        <v>646</v>
      </c>
      <c r="BC308" s="89" t="s">
        <v>646</v>
      </c>
      <c r="BD308" s="89" t="s">
        <v>646</v>
      </c>
      <c r="BE308" s="89">
        <v>2016</v>
      </c>
      <c r="BF308" s="89" t="s">
        <v>646</v>
      </c>
      <c r="BG308" s="89" t="s">
        <v>646</v>
      </c>
      <c r="BH308" s="89" t="s">
        <v>646</v>
      </c>
      <c r="BI308" s="89" t="s">
        <v>646</v>
      </c>
      <c r="BJ308" s="89" t="s">
        <v>646</v>
      </c>
      <c r="BK308" s="89" t="s">
        <v>646</v>
      </c>
      <c r="BL308" s="89">
        <v>130</v>
      </c>
      <c r="BM308" s="89">
        <v>141</v>
      </c>
      <c r="BN308" s="89" t="s">
        <v>646</v>
      </c>
      <c r="BO308" s="89" t="str">
        <f>HYPERLINK("http://dx.doi.org/10.1145/2967934.2968104","http://dx.doi.org/10.1145/2967934.2968104")</f>
        <v>http://dx.doi.org/10.1145/2967934.2968104</v>
      </c>
      <c r="BP308" s="89" t="s">
        <v>646</v>
      </c>
      <c r="BQ308" s="89" t="s">
        <v>646</v>
      </c>
      <c r="BR308" s="89" t="s">
        <v>646</v>
      </c>
      <c r="BS308" s="89" t="s">
        <v>646</v>
      </c>
      <c r="BT308" s="89" t="s">
        <v>646</v>
      </c>
      <c r="BU308" s="89" t="s">
        <v>646</v>
      </c>
      <c r="BV308" s="89" t="s">
        <v>646</v>
      </c>
      <c r="BW308" s="89" t="s">
        <v>646</v>
      </c>
      <c r="BX308" s="89" t="s">
        <v>646</v>
      </c>
      <c r="BY308" s="89" t="s">
        <v>646</v>
      </c>
      <c r="BZ308" s="89" t="s">
        <v>646</v>
      </c>
      <c r="CA308" s="89" t="s">
        <v>646</v>
      </c>
      <c r="CB308" s="89" t="s">
        <v>20174</v>
      </c>
      <c r="CC308" s="89" t="str">
        <f>HYPERLINK("https%3A%2F%2Fwww.webofscience.com%2Fwos%2Fwoscc%2Ffull-record%2FWOS:000387871100016","View Full Record in Web of Science")</f>
        <v>View Full Record in Web of Science</v>
      </c>
    </row>
    <row r="309" spans="1:81" ht="13.2" hidden="1" x14ac:dyDescent="0.25">
      <c r="A309" s="89" t="s">
        <v>11887</v>
      </c>
      <c r="B309" s="89" t="e">
        <f>+#REF!</f>
        <v>#REF!</v>
      </c>
      <c r="C309" s="89"/>
      <c r="D309" s="91" t="s">
        <v>717</v>
      </c>
      <c r="E309" s="90" t="e">
        <v>#REF!</v>
      </c>
      <c r="F309" s="89"/>
      <c r="G309" s="89"/>
      <c r="H309" s="89" t="s">
        <v>11888</v>
      </c>
      <c r="I309" s="89" t="s">
        <v>20175</v>
      </c>
      <c r="J309" s="89" t="s">
        <v>646</v>
      </c>
      <c r="K309" s="89" t="s">
        <v>20177</v>
      </c>
      <c r="M309" s="89">
        <v>2014</v>
      </c>
      <c r="N309" s="89" t="s">
        <v>20176</v>
      </c>
      <c r="O309" s="89" t="s">
        <v>646</v>
      </c>
      <c r="P309" s="89" t="str">
        <f>HYPERLINK("http://dx.doi.org/10.3758/s13428-013-0345-y","http://dx.doi.org/10.3758/s13428-013-0345-y")</f>
        <v>http://dx.doi.org/10.3758/s13428-013-0345-y</v>
      </c>
      <c r="S309" s="89" t="s">
        <v>646</v>
      </c>
      <c r="U309" s="89" t="s">
        <v>17462</v>
      </c>
      <c r="W309" s="89" t="s">
        <v>646</v>
      </c>
      <c r="X309" s="89" t="s">
        <v>646</v>
      </c>
      <c r="Y309" s="89" t="s">
        <v>646</v>
      </c>
      <c r="Z309" s="89" t="s">
        <v>646</v>
      </c>
      <c r="AA309" s="89" t="s">
        <v>646</v>
      </c>
      <c r="AB309" s="89" t="s">
        <v>646</v>
      </c>
      <c r="AC309" s="89" t="s">
        <v>646</v>
      </c>
      <c r="AD309" s="89" t="s">
        <v>646</v>
      </c>
      <c r="AE309" s="89" t="s">
        <v>646</v>
      </c>
      <c r="AF309" s="89" t="s">
        <v>20177</v>
      </c>
      <c r="AG309" s="89" t="s">
        <v>646</v>
      </c>
      <c r="AH309" s="89" t="s">
        <v>646</v>
      </c>
      <c r="AI309" s="89" t="s">
        <v>646</v>
      </c>
      <c r="AJ309" s="89" t="s">
        <v>646</v>
      </c>
      <c r="AK309" s="89" t="s">
        <v>646</v>
      </c>
      <c r="AL309" s="89" t="s">
        <v>646</v>
      </c>
      <c r="AM309" s="89" t="s">
        <v>646</v>
      </c>
      <c r="AN309" s="89" t="s">
        <v>646</v>
      </c>
      <c r="AO309" s="89" t="s">
        <v>646</v>
      </c>
      <c r="AP309" s="89" t="s">
        <v>646</v>
      </c>
      <c r="AQ309" s="89" t="s">
        <v>646</v>
      </c>
      <c r="AR309" s="89" t="s">
        <v>646</v>
      </c>
      <c r="AS309" s="89" t="s">
        <v>646</v>
      </c>
      <c r="AT309" s="89" t="s">
        <v>646</v>
      </c>
      <c r="AU309" s="89" t="s">
        <v>646</v>
      </c>
      <c r="AV309" s="89" t="s">
        <v>646</v>
      </c>
      <c r="AW309" s="89" t="s">
        <v>646</v>
      </c>
      <c r="AX309" s="89" t="s">
        <v>646</v>
      </c>
      <c r="AY309" s="89" t="s">
        <v>20178</v>
      </c>
      <c r="AZ309" s="89" t="s">
        <v>20179</v>
      </c>
      <c r="BA309" s="89" t="s">
        <v>646</v>
      </c>
      <c r="BB309" s="89" t="s">
        <v>646</v>
      </c>
      <c r="BC309" s="89" t="s">
        <v>646</v>
      </c>
      <c r="BD309" s="89" t="s">
        <v>17779</v>
      </c>
      <c r="BE309" s="89">
        <v>2014</v>
      </c>
      <c r="BF309" s="89">
        <v>46</v>
      </c>
      <c r="BG309" s="89">
        <v>1</v>
      </c>
      <c r="BH309" s="89" t="s">
        <v>646</v>
      </c>
      <c r="BI309" s="89" t="s">
        <v>646</v>
      </c>
      <c r="BJ309" s="89" t="s">
        <v>646</v>
      </c>
      <c r="BK309" s="89" t="s">
        <v>646</v>
      </c>
      <c r="BL309" s="89">
        <v>95</v>
      </c>
      <c r="BM309" s="89">
        <v>111</v>
      </c>
      <c r="BN309" s="89" t="s">
        <v>646</v>
      </c>
      <c r="BO309" s="89" t="str">
        <f>HYPERLINK("http://dx.doi.org/10.3758/s13428-013-0345-y","http://dx.doi.org/10.3758/s13428-013-0345-y")</f>
        <v>http://dx.doi.org/10.3758/s13428-013-0345-y</v>
      </c>
      <c r="BP309" s="89" t="s">
        <v>646</v>
      </c>
      <c r="BQ309" s="89" t="s">
        <v>646</v>
      </c>
      <c r="BR309" s="89" t="s">
        <v>646</v>
      </c>
      <c r="BS309" s="89" t="s">
        <v>646</v>
      </c>
      <c r="BT309" s="89" t="s">
        <v>646</v>
      </c>
      <c r="BU309" s="89" t="s">
        <v>646</v>
      </c>
      <c r="BV309" s="89" t="s">
        <v>646</v>
      </c>
      <c r="BW309" s="89">
        <v>23670340</v>
      </c>
      <c r="BX309" s="89" t="s">
        <v>646</v>
      </c>
      <c r="BY309" s="89" t="s">
        <v>646</v>
      </c>
      <c r="BZ309" s="89" t="s">
        <v>646</v>
      </c>
      <c r="CA309" s="89" t="s">
        <v>646</v>
      </c>
      <c r="CB309" s="89" t="s">
        <v>20180</v>
      </c>
      <c r="CC309" s="89" t="str">
        <f>HYPERLINK("https%3A%2F%2Fwww.webofscience.com%2Fwos%2Fwoscc%2Ffull-record%2FWOS:000340226100008","View Full Record in Web of Science")</f>
        <v>View Full Record in Web of Science</v>
      </c>
    </row>
    <row r="310" spans="1:81" ht="13.2" hidden="1" x14ac:dyDescent="0.25">
      <c r="A310" s="89" t="s">
        <v>9226</v>
      </c>
      <c r="B310" s="89" t="e">
        <f>+#REF!</f>
        <v>#REF!</v>
      </c>
      <c r="C310" s="89"/>
      <c r="D310" s="91" t="s">
        <v>717</v>
      </c>
      <c r="E310" s="90" t="e">
        <v>#REF!</v>
      </c>
      <c r="F310" s="89"/>
      <c r="G310" s="89"/>
      <c r="H310" s="89" t="s">
        <v>9227</v>
      </c>
      <c r="I310" s="89" t="s">
        <v>20181</v>
      </c>
      <c r="J310" s="89" t="s">
        <v>646</v>
      </c>
      <c r="K310" s="89" t="s">
        <v>20183</v>
      </c>
      <c r="M310" s="89">
        <v>2022</v>
      </c>
      <c r="N310" s="89" t="s">
        <v>20182</v>
      </c>
      <c r="O310" s="89" t="s">
        <v>646</v>
      </c>
      <c r="P310" s="89" t="str">
        <f>HYPERLINK("http://dx.doi.org/10.1016/j.ijresmar.2021.05.001","http://dx.doi.org/10.1016/j.ijresmar.2021.05.001")</f>
        <v>http://dx.doi.org/10.1016/j.ijresmar.2021.05.001</v>
      </c>
      <c r="S310" s="89" t="s">
        <v>646</v>
      </c>
      <c r="U310" s="89" t="s">
        <v>17462</v>
      </c>
      <c r="W310" s="89" t="s">
        <v>646</v>
      </c>
      <c r="X310" s="89" t="s">
        <v>646</v>
      </c>
      <c r="Y310" s="89" t="s">
        <v>646</v>
      </c>
      <c r="Z310" s="89" t="s">
        <v>646</v>
      </c>
      <c r="AA310" s="89" t="s">
        <v>646</v>
      </c>
      <c r="AB310" s="89" t="s">
        <v>646</v>
      </c>
      <c r="AC310" s="89" t="s">
        <v>646</v>
      </c>
      <c r="AD310" s="89" t="s">
        <v>646</v>
      </c>
      <c r="AE310" s="89" t="s">
        <v>646</v>
      </c>
      <c r="AF310" s="89" t="s">
        <v>20183</v>
      </c>
      <c r="AG310" s="89" t="s">
        <v>646</v>
      </c>
      <c r="AH310" s="89" t="s">
        <v>646</v>
      </c>
      <c r="AI310" s="89" t="s">
        <v>646</v>
      </c>
      <c r="AJ310" s="89" t="s">
        <v>646</v>
      </c>
      <c r="AK310" s="89" t="s">
        <v>646</v>
      </c>
      <c r="AL310" s="89" t="s">
        <v>646</v>
      </c>
      <c r="AM310" s="89" t="s">
        <v>646</v>
      </c>
      <c r="AN310" s="89" t="s">
        <v>646</v>
      </c>
      <c r="AO310" s="89" t="s">
        <v>646</v>
      </c>
      <c r="AP310" s="89" t="s">
        <v>646</v>
      </c>
      <c r="AQ310" s="89" t="s">
        <v>646</v>
      </c>
      <c r="AR310" s="89" t="s">
        <v>646</v>
      </c>
      <c r="AS310" s="89" t="s">
        <v>646</v>
      </c>
      <c r="AT310" s="89" t="s">
        <v>646</v>
      </c>
      <c r="AU310" s="89" t="s">
        <v>646</v>
      </c>
      <c r="AV310" s="89" t="s">
        <v>646</v>
      </c>
      <c r="AW310" s="89" t="s">
        <v>646</v>
      </c>
      <c r="AX310" s="89" t="s">
        <v>646</v>
      </c>
      <c r="AY310" s="89" t="s">
        <v>20184</v>
      </c>
      <c r="AZ310" s="89" t="s">
        <v>20185</v>
      </c>
      <c r="BA310" s="89" t="s">
        <v>646</v>
      </c>
      <c r="BB310" s="89" t="s">
        <v>646</v>
      </c>
      <c r="BC310" s="89" t="s">
        <v>646</v>
      </c>
      <c r="BD310" s="89" t="s">
        <v>17779</v>
      </c>
      <c r="BE310" s="89">
        <v>2022</v>
      </c>
      <c r="BF310" s="89">
        <v>39</v>
      </c>
      <c r="BG310" s="89">
        <v>1</v>
      </c>
      <c r="BH310" s="89" t="s">
        <v>646</v>
      </c>
      <c r="BI310" s="89" t="s">
        <v>646</v>
      </c>
      <c r="BJ310" s="89" t="s">
        <v>646</v>
      </c>
      <c r="BK310" s="89" t="s">
        <v>646</v>
      </c>
      <c r="BL310" s="89">
        <v>117</v>
      </c>
      <c r="BM310" s="89">
        <v>133</v>
      </c>
      <c r="BN310" s="89" t="s">
        <v>646</v>
      </c>
      <c r="BO310" s="89" t="str">
        <f>HYPERLINK("http://dx.doi.org/10.1016/j.ijresmar.2021.05.001","http://dx.doi.org/10.1016/j.ijresmar.2021.05.001")</f>
        <v>http://dx.doi.org/10.1016/j.ijresmar.2021.05.001</v>
      </c>
      <c r="BP310" s="89" t="s">
        <v>646</v>
      </c>
      <c r="BQ310" s="89" t="s">
        <v>646</v>
      </c>
      <c r="BR310" s="89" t="s">
        <v>646</v>
      </c>
      <c r="BS310" s="89" t="s">
        <v>646</v>
      </c>
      <c r="BT310" s="89" t="s">
        <v>646</v>
      </c>
      <c r="BU310" s="89" t="s">
        <v>646</v>
      </c>
      <c r="BV310" s="89" t="s">
        <v>646</v>
      </c>
      <c r="BW310" s="89" t="s">
        <v>646</v>
      </c>
      <c r="BX310" s="89" t="s">
        <v>646</v>
      </c>
      <c r="BY310" s="89" t="s">
        <v>646</v>
      </c>
      <c r="BZ310" s="89" t="s">
        <v>646</v>
      </c>
      <c r="CA310" s="89" t="s">
        <v>646</v>
      </c>
      <c r="CB310" s="89" t="s">
        <v>20186</v>
      </c>
      <c r="CC310" s="89" t="str">
        <f>HYPERLINK("https%3A%2F%2Fwww.webofscience.com%2Fwos%2Fwoscc%2Ffull-record%2FWOS:000761467400007","View Full Record in Web of Science")</f>
        <v>View Full Record in Web of Science</v>
      </c>
    </row>
    <row r="311" spans="1:81" ht="13.2" hidden="1" x14ac:dyDescent="0.25">
      <c r="A311" s="89" t="s">
        <v>20187</v>
      </c>
      <c r="B311" s="89" t="e">
        <f>+#REF!</f>
        <v>#REF!</v>
      </c>
      <c r="C311" s="89"/>
      <c r="D311" s="91" t="s">
        <v>717</v>
      </c>
      <c r="E311" s="90" t="e">
        <v>#REF!</v>
      </c>
      <c r="F311" s="89"/>
      <c r="G311" s="89"/>
      <c r="H311" s="89" t="s">
        <v>646</v>
      </c>
      <c r="I311" s="89" t="s">
        <v>20189</v>
      </c>
      <c r="J311" s="89" t="s">
        <v>646</v>
      </c>
      <c r="K311" s="89" t="s">
        <v>20195</v>
      </c>
      <c r="M311" s="89">
        <v>2012</v>
      </c>
      <c r="N311" s="89" t="s">
        <v>20190</v>
      </c>
      <c r="O311" s="89" t="s">
        <v>20188</v>
      </c>
      <c r="P311" s="89" t="s">
        <v>646</v>
      </c>
      <c r="S311" s="89" t="s">
        <v>646</v>
      </c>
      <c r="U311" s="89" t="s">
        <v>17474</v>
      </c>
      <c r="W311" s="89" t="s">
        <v>646</v>
      </c>
      <c r="X311" s="89" t="s">
        <v>646</v>
      </c>
      <c r="Y311" s="89" t="s">
        <v>20191</v>
      </c>
      <c r="Z311" s="89" t="s">
        <v>20192</v>
      </c>
      <c r="AA311" s="89" t="s">
        <v>20193</v>
      </c>
      <c r="AB311" s="89" t="s">
        <v>20194</v>
      </c>
      <c r="AC311" s="89" t="s">
        <v>646</v>
      </c>
      <c r="AD311" s="89" t="s">
        <v>646</v>
      </c>
      <c r="AE311" s="89" t="s">
        <v>646</v>
      </c>
      <c r="AF311" s="89" t="s">
        <v>20195</v>
      </c>
      <c r="AG311" s="89" t="s">
        <v>646</v>
      </c>
      <c r="AH311" s="89" t="s">
        <v>646</v>
      </c>
      <c r="AI311" s="89" t="s">
        <v>646</v>
      </c>
      <c r="AJ311" s="89" t="s">
        <v>646</v>
      </c>
      <c r="AK311" s="89" t="s">
        <v>646</v>
      </c>
      <c r="AL311" s="89" t="s">
        <v>646</v>
      </c>
      <c r="AM311" s="89" t="s">
        <v>646</v>
      </c>
      <c r="AN311" s="89" t="s">
        <v>646</v>
      </c>
      <c r="AO311" s="89" t="s">
        <v>646</v>
      </c>
      <c r="AP311" s="89" t="s">
        <v>646</v>
      </c>
      <c r="AQ311" s="89" t="s">
        <v>646</v>
      </c>
      <c r="AR311" s="89" t="s">
        <v>646</v>
      </c>
      <c r="AS311" s="89" t="s">
        <v>646</v>
      </c>
      <c r="AT311" s="89" t="s">
        <v>646</v>
      </c>
      <c r="AU311" s="89" t="s">
        <v>646</v>
      </c>
      <c r="AV311" s="89" t="s">
        <v>646</v>
      </c>
      <c r="AW311" s="89" t="s">
        <v>646</v>
      </c>
      <c r="AX311" s="89" t="s">
        <v>646</v>
      </c>
      <c r="AY311" s="89" t="s">
        <v>646</v>
      </c>
      <c r="AZ311" s="89" t="s">
        <v>646</v>
      </c>
      <c r="BA311" s="89" t="s">
        <v>20196</v>
      </c>
      <c r="BB311" s="89" t="s">
        <v>646</v>
      </c>
      <c r="BC311" s="89" t="s">
        <v>646</v>
      </c>
      <c r="BD311" s="89" t="s">
        <v>646</v>
      </c>
      <c r="BE311" s="89">
        <v>2012</v>
      </c>
      <c r="BF311" s="89" t="s">
        <v>646</v>
      </c>
      <c r="BG311" s="89" t="s">
        <v>646</v>
      </c>
      <c r="BH311" s="89" t="s">
        <v>646</v>
      </c>
      <c r="BI311" s="89" t="s">
        <v>646</v>
      </c>
      <c r="BJ311" s="89" t="s">
        <v>646</v>
      </c>
      <c r="BK311" s="89" t="s">
        <v>646</v>
      </c>
      <c r="BL311" s="89">
        <v>4043</v>
      </c>
      <c r="BM311" s="89">
        <v>4048</v>
      </c>
      <c r="BN311" s="89" t="s">
        <v>646</v>
      </c>
      <c r="BO311" s="89" t="s">
        <v>646</v>
      </c>
      <c r="BP311" s="89" t="s">
        <v>646</v>
      </c>
      <c r="BQ311" s="89" t="s">
        <v>646</v>
      </c>
      <c r="BR311" s="89" t="s">
        <v>646</v>
      </c>
      <c r="BS311" s="89" t="s">
        <v>646</v>
      </c>
      <c r="BT311" s="89" t="s">
        <v>646</v>
      </c>
      <c r="BU311" s="89" t="s">
        <v>646</v>
      </c>
      <c r="BV311" s="89" t="s">
        <v>646</v>
      </c>
      <c r="BW311" s="89" t="s">
        <v>646</v>
      </c>
      <c r="BX311" s="89" t="s">
        <v>646</v>
      </c>
      <c r="BY311" s="89" t="s">
        <v>646</v>
      </c>
      <c r="BZ311" s="89" t="s">
        <v>646</v>
      </c>
      <c r="CA311" s="89" t="s">
        <v>646</v>
      </c>
      <c r="CB311" s="89" t="s">
        <v>20197</v>
      </c>
      <c r="CC311" s="89" t="str">
        <f>HYPERLINK("https%3A%2F%2Fwww.webofscience.com%2Fwos%2Fwoscc%2Ffull-record%2FWOS:000323927704021","View Full Record in Web of Science")</f>
        <v>View Full Record in Web of Science</v>
      </c>
    </row>
    <row r="312" spans="1:81" ht="13.2" hidden="1" x14ac:dyDescent="0.25">
      <c r="A312" s="89" t="s">
        <v>20198</v>
      </c>
      <c r="B312" s="89" t="e">
        <f>+#REF!</f>
        <v>#REF!</v>
      </c>
      <c r="C312" s="89"/>
      <c r="D312" s="91" t="s">
        <v>717</v>
      </c>
      <c r="E312" s="90" t="e">
        <v>#REF!</v>
      </c>
      <c r="F312" s="89"/>
      <c r="G312" s="89"/>
      <c r="H312" s="89" t="s">
        <v>11904</v>
      </c>
      <c r="I312" s="89" t="s">
        <v>20199</v>
      </c>
      <c r="J312" s="89" t="s">
        <v>20201</v>
      </c>
      <c r="K312" s="89" t="s">
        <v>20200</v>
      </c>
      <c r="M312" s="89">
        <v>2016</v>
      </c>
      <c r="N312" s="89" t="s">
        <v>18837</v>
      </c>
      <c r="O312" s="89" t="s">
        <v>646</v>
      </c>
      <c r="P312" s="89" t="str">
        <f>HYPERLINK("http://dx.doi.org/10.1002/smr.1772","http://dx.doi.org/10.1002/smr.1772")</f>
        <v>http://dx.doi.org/10.1002/smr.1772</v>
      </c>
      <c r="S312" s="89" t="s">
        <v>646</v>
      </c>
      <c r="U312" s="89" t="s">
        <v>17462</v>
      </c>
      <c r="W312" s="89" t="s">
        <v>646</v>
      </c>
      <c r="X312" s="89" t="s">
        <v>646</v>
      </c>
      <c r="Y312" s="89" t="s">
        <v>646</v>
      </c>
      <c r="Z312" s="89" t="s">
        <v>646</v>
      </c>
      <c r="AA312" s="89" t="s">
        <v>646</v>
      </c>
      <c r="AB312" s="89" t="s">
        <v>646</v>
      </c>
      <c r="AC312" s="89" t="s">
        <v>646</v>
      </c>
      <c r="AD312" s="89" t="s">
        <v>646</v>
      </c>
      <c r="AE312" s="89" t="s">
        <v>646</v>
      </c>
      <c r="AF312" s="89" t="s">
        <v>20200</v>
      </c>
      <c r="AG312" s="89" t="s">
        <v>646</v>
      </c>
      <c r="AH312" s="89" t="s">
        <v>646</v>
      </c>
      <c r="AI312" s="89" t="s">
        <v>646</v>
      </c>
      <c r="AJ312" s="89" t="s">
        <v>646</v>
      </c>
      <c r="AK312" s="89" t="s">
        <v>20201</v>
      </c>
      <c r="AL312" s="89" t="s">
        <v>20202</v>
      </c>
      <c r="AM312" s="89" t="s">
        <v>646</v>
      </c>
      <c r="AN312" s="89" t="s">
        <v>646</v>
      </c>
      <c r="AO312" s="89" t="s">
        <v>646</v>
      </c>
      <c r="AP312" s="89" t="s">
        <v>646</v>
      </c>
      <c r="AQ312" s="89" t="s">
        <v>646</v>
      </c>
      <c r="AR312" s="89" t="s">
        <v>646</v>
      </c>
      <c r="AS312" s="89" t="s">
        <v>646</v>
      </c>
      <c r="AT312" s="89" t="s">
        <v>646</v>
      </c>
      <c r="AU312" s="89" t="s">
        <v>646</v>
      </c>
      <c r="AV312" s="89" t="s">
        <v>646</v>
      </c>
      <c r="AW312" s="89" t="s">
        <v>646</v>
      </c>
      <c r="AX312" s="89" t="s">
        <v>646</v>
      </c>
      <c r="AY312" s="89" t="s">
        <v>18839</v>
      </c>
      <c r="AZ312" s="89" t="s">
        <v>18840</v>
      </c>
      <c r="BA312" s="89" t="s">
        <v>646</v>
      </c>
      <c r="BB312" s="89" t="s">
        <v>646</v>
      </c>
      <c r="BC312" s="89" t="s">
        <v>646</v>
      </c>
      <c r="BD312" s="89" t="s">
        <v>17779</v>
      </c>
      <c r="BE312" s="89">
        <v>2016</v>
      </c>
      <c r="BF312" s="89">
        <v>28</v>
      </c>
      <c r="BG312" s="89">
        <v>3</v>
      </c>
      <c r="BH312" s="89" t="s">
        <v>646</v>
      </c>
      <c r="BI312" s="89" t="s">
        <v>646</v>
      </c>
      <c r="BJ312" s="89" t="s">
        <v>646</v>
      </c>
      <c r="BK312" s="89" t="s">
        <v>646</v>
      </c>
      <c r="BL312" s="89">
        <v>205</v>
      </c>
      <c r="BM312" s="89">
        <v>227</v>
      </c>
      <c r="BN312" s="89" t="s">
        <v>646</v>
      </c>
      <c r="BO312" s="89" t="str">
        <f>HYPERLINK("http://dx.doi.org/10.1002/smr.1772","http://dx.doi.org/10.1002/smr.1772")</f>
        <v>http://dx.doi.org/10.1002/smr.1772</v>
      </c>
      <c r="BP312" s="89" t="s">
        <v>646</v>
      </c>
      <c r="BQ312" s="89" t="s">
        <v>646</v>
      </c>
      <c r="BR312" s="89" t="s">
        <v>646</v>
      </c>
      <c r="BS312" s="89" t="s">
        <v>646</v>
      </c>
      <c r="BT312" s="89" t="s">
        <v>646</v>
      </c>
      <c r="BU312" s="89" t="s">
        <v>646</v>
      </c>
      <c r="BV312" s="89" t="s">
        <v>646</v>
      </c>
      <c r="BW312" s="89" t="s">
        <v>646</v>
      </c>
      <c r="BX312" s="89" t="s">
        <v>646</v>
      </c>
      <c r="BY312" s="89" t="s">
        <v>646</v>
      </c>
      <c r="BZ312" s="89" t="s">
        <v>646</v>
      </c>
      <c r="CA312" s="89" t="s">
        <v>646</v>
      </c>
      <c r="CB312" s="89" t="s">
        <v>20203</v>
      </c>
      <c r="CC312" s="89" t="str">
        <f>HYPERLINK("https%3A%2F%2Fwww.webofscience.com%2Fwos%2Fwoscc%2Ffull-record%2FWOS:000372921700003","View Full Record in Web of Science")</f>
        <v>View Full Record in Web of Science</v>
      </c>
    </row>
    <row r="313" spans="1:81" ht="13.2" hidden="1" x14ac:dyDescent="0.25">
      <c r="A313" s="89" t="s">
        <v>20204</v>
      </c>
      <c r="B313" s="89" t="e">
        <f>+#REF!</f>
        <v>#REF!</v>
      </c>
      <c r="C313" s="89"/>
      <c r="D313" s="91" t="s">
        <v>717</v>
      </c>
      <c r="E313" s="90" t="e">
        <v>#REF!</v>
      </c>
      <c r="F313" s="89"/>
      <c r="G313" s="89"/>
      <c r="H313" s="89" t="s">
        <v>11913</v>
      </c>
      <c r="I313" s="89" t="s">
        <v>20205</v>
      </c>
      <c r="J313" s="89" t="s">
        <v>646</v>
      </c>
      <c r="K313" s="89" t="s">
        <v>20206</v>
      </c>
      <c r="M313" s="89">
        <v>2014</v>
      </c>
      <c r="N313" s="89" t="s">
        <v>19761</v>
      </c>
      <c r="O313" s="89" t="s">
        <v>646</v>
      </c>
      <c r="P313" s="89" t="str">
        <f>HYPERLINK("http://dx.doi.org/10.1177/0950017012464423","http://dx.doi.org/10.1177/0950017012464423")</f>
        <v>http://dx.doi.org/10.1177/0950017012464423</v>
      </c>
      <c r="S313" s="89" t="s">
        <v>646</v>
      </c>
      <c r="U313" s="89" t="s">
        <v>17462</v>
      </c>
      <c r="W313" s="89" t="s">
        <v>646</v>
      </c>
      <c r="X313" s="89" t="s">
        <v>646</v>
      </c>
      <c r="Y313" s="89" t="s">
        <v>646</v>
      </c>
      <c r="Z313" s="89" t="s">
        <v>646</v>
      </c>
      <c r="AA313" s="89" t="s">
        <v>646</v>
      </c>
      <c r="AB313" s="89" t="s">
        <v>646</v>
      </c>
      <c r="AC313" s="89" t="s">
        <v>646</v>
      </c>
      <c r="AD313" s="89" t="s">
        <v>646</v>
      </c>
      <c r="AE313" s="89" t="s">
        <v>646</v>
      </c>
      <c r="AF313" s="89" t="s">
        <v>20206</v>
      </c>
      <c r="AG313" s="89" t="s">
        <v>646</v>
      </c>
      <c r="AH313" s="89" t="s">
        <v>646</v>
      </c>
      <c r="AI313" s="89" t="s">
        <v>646</v>
      </c>
      <c r="AJ313" s="89" t="s">
        <v>646</v>
      </c>
      <c r="AK313" s="89" t="s">
        <v>646</v>
      </c>
      <c r="AL313" s="89" t="s">
        <v>646</v>
      </c>
      <c r="AM313" s="89" t="s">
        <v>646</v>
      </c>
      <c r="AN313" s="89" t="s">
        <v>646</v>
      </c>
      <c r="AO313" s="89" t="s">
        <v>646</v>
      </c>
      <c r="AP313" s="89" t="s">
        <v>646</v>
      </c>
      <c r="AQ313" s="89" t="s">
        <v>646</v>
      </c>
      <c r="AR313" s="89" t="s">
        <v>646</v>
      </c>
      <c r="AS313" s="89" t="s">
        <v>646</v>
      </c>
      <c r="AT313" s="89" t="s">
        <v>646</v>
      </c>
      <c r="AU313" s="89" t="s">
        <v>646</v>
      </c>
      <c r="AV313" s="89" t="s">
        <v>646</v>
      </c>
      <c r="AW313" s="89" t="s">
        <v>646</v>
      </c>
      <c r="AX313" s="89" t="s">
        <v>646</v>
      </c>
      <c r="AY313" s="89" t="s">
        <v>19764</v>
      </c>
      <c r="AZ313" s="89" t="s">
        <v>19765</v>
      </c>
      <c r="BA313" s="89" t="s">
        <v>646</v>
      </c>
      <c r="BB313" s="89" t="s">
        <v>646</v>
      </c>
      <c r="BC313" s="89" t="s">
        <v>646</v>
      </c>
      <c r="BD313" s="89" t="s">
        <v>17658</v>
      </c>
      <c r="BE313" s="89">
        <v>2014</v>
      </c>
      <c r="BF313" s="89">
        <v>28</v>
      </c>
      <c r="BG313" s="89">
        <v>1</v>
      </c>
      <c r="BH313" s="89" t="s">
        <v>646</v>
      </c>
      <c r="BI313" s="89" t="s">
        <v>646</v>
      </c>
      <c r="BJ313" s="89" t="s">
        <v>646</v>
      </c>
      <c r="BK313" s="89" t="s">
        <v>646</v>
      </c>
      <c r="BL313" s="89">
        <v>3</v>
      </c>
      <c r="BM313" s="89">
        <v>20</v>
      </c>
      <c r="BN313" s="89" t="s">
        <v>646</v>
      </c>
      <c r="BO313" s="89" t="str">
        <f>HYPERLINK("http://dx.doi.org/10.1177/0950017012464423","http://dx.doi.org/10.1177/0950017012464423")</f>
        <v>http://dx.doi.org/10.1177/0950017012464423</v>
      </c>
      <c r="BP313" s="89" t="s">
        <v>646</v>
      </c>
      <c r="BQ313" s="89" t="s">
        <v>646</v>
      </c>
      <c r="BR313" s="89" t="s">
        <v>646</v>
      </c>
      <c r="BS313" s="89" t="s">
        <v>646</v>
      </c>
      <c r="BT313" s="89" t="s">
        <v>646</v>
      </c>
      <c r="BU313" s="89" t="s">
        <v>646</v>
      </c>
      <c r="BV313" s="89" t="s">
        <v>646</v>
      </c>
      <c r="BW313" s="89" t="s">
        <v>646</v>
      </c>
      <c r="BX313" s="89" t="s">
        <v>646</v>
      </c>
      <c r="BY313" s="89" t="s">
        <v>646</v>
      </c>
      <c r="BZ313" s="89" t="s">
        <v>646</v>
      </c>
      <c r="CA313" s="89" t="s">
        <v>646</v>
      </c>
      <c r="CB313" s="89" t="s">
        <v>20207</v>
      </c>
      <c r="CC313" s="89" t="str">
        <f>HYPERLINK("https%3A%2F%2Fwww.webofscience.com%2Fwos%2Fwoscc%2Ffull-record%2FWOS:000330610900001","View Full Record in Web of Science")</f>
        <v>View Full Record in Web of Science</v>
      </c>
    </row>
    <row r="314" spans="1:81" ht="13.2" hidden="1" x14ac:dyDescent="0.25">
      <c r="A314" s="89" t="s">
        <v>20208</v>
      </c>
      <c r="B314" s="89" t="e">
        <f>+#REF!</f>
        <v>#REF!</v>
      </c>
      <c r="C314" s="89"/>
      <c r="D314" s="91" t="s">
        <v>717</v>
      </c>
      <c r="E314" s="90" t="e">
        <v>#REF!</v>
      </c>
      <c r="F314" s="89"/>
      <c r="G314" s="89"/>
      <c r="H314" s="89" t="s">
        <v>646</v>
      </c>
      <c r="I314" s="89" t="s">
        <v>20209</v>
      </c>
      <c r="J314" s="89" t="s">
        <v>20211</v>
      </c>
      <c r="K314" s="89" t="s">
        <v>20210</v>
      </c>
      <c r="M314" s="89">
        <v>2018</v>
      </c>
      <c r="N314" s="89" t="s">
        <v>18431</v>
      </c>
      <c r="O314" s="89" t="s">
        <v>646</v>
      </c>
      <c r="P314" s="89" t="s">
        <v>646</v>
      </c>
      <c r="S314" s="89" t="s">
        <v>646</v>
      </c>
      <c r="U314" s="89" t="s">
        <v>17462</v>
      </c>
      <c r="W314" s="89" t="s">
        <v>646</v>
      </c>
      <c r="X314" s="89" t="s">
        <v>646</v>
      </c>
      <c r="Y314" s="89" t="s">
        <v>646</v>
      </c>
      <c r="Z314" s="89" t="s">
        <v>646</v>
      </c>
      <c r="AA314" s="89" t="s">
        <v>646</v>
      </c>
      <c r="AB314" s="89" t="s">
        <v>646</v>
      </c>
      <c r="AC314" s="89" t="s">
        <v>646</v>
      </c>
      <c r="AD314" s="89" t="s">
        <v>646</v>
      </c>
      <c r="AE314" s="89" t="s">
        <v>646</v>
      </c>
      <c r="AF314" s="89" t="s">
        <v>20210</v>
      </c>
      <c r="AG314" s="89" t="s">
        <v>646</v>
      </c>
      <c r="AH314" s="89" t="s">
        <v>646</v>
      </c>
      <c r="AI314" s="89" t="s">
        <v>646</v>
      </c>
      <c r="AJ314" s="89" t="s">
        <v>646</v>
      </c>
      <c r="AK314" s="89" t="s">
        <v>20211</v>
      </c>
      <c r="AL314" s="89" t="s">
        <v>20212</v>
      </c>
      <c r="AM314" s="89" t="s">
        <v>646</v>
      </c>
      <c r="AN314" s="89" t="s">
        <v>646</v>
      </c>
      <c r="AO314" s="89" t="s">
        <v>646</v>
      </c>
      <c r="AP314" s="89" t="s">
        <v>646</v>
      </c>
      <c r="AQ314" s="89" t="s">
        <v>646</v>
      </c>
      <c r="AR314" s="89" t="s">
        <v>646</v>
      </c>
      <c r="AS314" s="89" t="s">
        <v>646</v>
      </c>
      <c r="AT314" s="89" t="s">
        <v>646</v>
      </c>
      <c r="AU314" s="89" t="s">
        <v>646</v>
      </c>
      <c r="AV314" s="89" t="s">
        <v>646</v>
      </c>
      <c r="AW314" s="89" t="s">
        <v>646</v>
      </c>
      <c r="AX314" s="89" t="s">
        <v>646</v>
      </c>
      <c r="AY314" s="89" t="s">
        <v>18435</v>
      </c>
      <c r="AZ314" s="89" t="s">
        <v>646</v>
      </c>
      <c r="BA314" s="89" t="s">
        <v>646</v>
      </c>
      <c r="BB314" s="89" t="s">
        <v>646</v>
      </c>
      <c r="BC314" s="89" t="s">
        <v>646</v>
      </c>
      <c r="BD314" s="89" t="s">
        <v>17823</v>
      </c>
      <c r="BE314" s="89">
        <v>2018</v>
      </c>
      <c r="BF314" s="89">
        <v>8</v>
      </c>
      <c r="BG314" s="89" t="s">
        <v>646</v>
      </c>
      <c r="BH314" s="89" t="s">
        <v>646</v>
      </c>
      <c r="BI314" s="89">
        <v>3</v>
      </c>
      <c r="BJ314" s="89" t="s">
        <v>17555</v>
      </c>
      <c r="BK314" s="89" t="s">
        <v>646</v>
      </c>
      <c r="BL314" s="89">
        <v>29</v>
      </c>
      <c r="BM314" s="89">
        <v>48</v>
      </c>
      <c r="BN314" s="89" t="s">
        <v>646</v>
      </c>
      <c r="BO314" s="89" t="s">
        <v>646</v>
      </c>
      <c r="BP314" s="89" t="s">
        <v>646</v>
      </c>
      <c r="BQ314" s="89" t="s">
        <v>646</v>
      </c>
      <c r="BR314" s="89" t="s">
        <v>646</v>
      </c>
      <c r="BS314" s="89" t="s">
        <v>646</v>
      </c>
      <c r="BT314" s="89" t="s">
        <v>646</v>
      </c>
      <c r="BU314" s="89" t="s">
        <v>646</v>
      </c>
      <c r="BV314" s="89" t="s">
        <v>646</v>
      </c>
      <c r="BW314" s="89" t="s">
        <v>646</v>
      </c>
      <c r="BX314" s="89" t="s">
        <v>646</v>
      </c>
      <c r="BY314" s="89" t="s">
        <v>646</v>
      </c>
      <c r="BZ314" s="89" t="s">
        <v>646</v>
      </c>
      <c r="CA314" s="89" t="s">
        <v>646</v>
      </c>
      <c r="CB314" s="89" t="s">
        <v>20213</v>
      </c>
      <c r="CC314" s="89" t="str">
        <f>HYPERLINK("https%3A%2F%2Fwww.webofscience.com%2Fwos%2Fwoscc%2Ffull-record%2FWOS:000437956700003","View Full Record in Web of Science")</f>
        <v>View Full Record in Web of Science</v>
      </c>
    </row>
    <row r="315" spans="1:81" ht="13.2" hidden="1" x14ac:dyDescent="0.25">
      <c r="A315" s="89" t="s">
        <v>9237</v>
      </c>
      <c r="B315" s="89" t="e">
        <f>+#REF!</f>
        <v>#REF!</v>
      </c>
      <c r="C315" s="89"/>
      <c r="D315" s="91" t="s">
        <v>717</v>
      </c>
      <c r="E315" s="90" t="e">
        <v>#REF!</v>
      </c>
      <c r="F315" s="89"/>
      <c r="G315" s="89"/>
      <c r="H315" s="89" t="s">
        <v>9238</v>
      </c>
      <c r="I315" s="89" t="s">
        <v>20214</v>
      </c>
      <c r="J315" s="89" t="s">
        <v>20217</v>
      </c>
      <c r="K315" s="89" t="s">
        <v>20216</v>
      </c>
      <c r="M315" s="89">
        <v>2022</v>
      </c>
      <c r="N315" s="89" t="s">
        <v>20215</v>
      </c>
      <c r="O315" s="89" t="s">
        <v>646</v>
      </c>
      <c r="P315" s="89" t="str">
        <f>HYPERLINK("http://dx.doi.org/10.1177/00222429211030841","http://dx.doi.org/10.1177/00222429211030841")</f>
        <v>http://dx.doi.org/10.1177/00222429211030841</v>
      </c>
      <c r="S315" s="89" t="s">
        <v>646</v>
      </c>
      <c r="U315" s="89" t="s">
        <v>17462</v>
      </c>
      <c r="W315" s="89" t="s">
        <v>646</v>
      </c>
      <c r="X315" s="89" t="s">
        <v>646</v>
      </c>
      <c r="Y315" s="89" t="s">
        <v>646</v>
      </c>
      <c r="Z315" s="89" t="s">
        <v>646</v>
      </c>
      <c r="AA315" s="89" t="s">
        <v>646</v>
      </c>
      <c r="AB315" s="89" t="s">
        <v>646</v>
      </c>
      <c r="AC315" s="89" t="s">
        <v>646</v>
      </c>
      <c r="AD315" s="89" t="s">
        <v>646</v>
      </c>
      <c r="AE315" s="89" t="s">
        <v>646</v>
      </c>
      <c r="AF315" s="89" t="s">
        <v>20216</v>
      </c>
      <c r="AG315" s="89" t="s">
        <v>646</v>
      </c>
      <c r="AH315" s="89" t="s">
        <v>646</v>
      </c>
      <c r="AI315" s="89" t="s">
        <v>646</v>
      </c>
      <c r="AJ315" s="89" t="s">
        <v>646</v>
      </c>
      <c r="AK315" s="89" t="s">
        <v>20217</v>
      </c>
      <c r="AL315" s="89" t="s">
        <v>20218</v>
      </c>
      <c r="AM315" s="89" t="s">
        <v>646</v>
      </c>
      <c r="AN315" s="89" t="s">
        <v>646</v>
      </c>
      <c r="AO315" s="89" t="s">
        <v>646</v>
      </c>
      <c r="AP315" s="89" t="s">
        <v>646</v>
      </c>
      <c r="AQ315" s="89" t="s">
        <v>646</v>
      </c>
      <c r="AR315" s="89" t="s">
        <v>646</v>
      </c>
      <c r="AS315" s="89" t="s">
        <v>646</v>
      </c>
      <c r="AT315" s="89" t="s">
        <v>646</v>
      </c>
      <c r="AU315" s="89" t="s">
        <v>646</v>
      </c>
      <c r="AV315" s="89" t="s">
        <v>646</v>
      </c>
      <c r="AW315" s="89" t="s">
        <v>646</v>
      </c>
      <c r="AX315" s="89" t="s">
        <v>646</v>
      </c>
      <c r="AY315" s="89" t="s">
        <v>20219</v>
      </c>
      <c r="AZ315" s="89" t="s">
        <v>20220</v>
      </c>
      <c r="BA315" s="89" t="s">
        <v>646</v>
      </c>
      <c r="BB315" s="89" t="s">
        <v>646</v>
      </c>
      <c r="BC315" s="89" t="s">
        <v>646</v>
      </c>
      <c r="BD315" s="89" t="s">
        <v>17676</v>
      </c>
      <c r="BE315" s="89">
        <v>2022</v>
      </c>
      <c r="BF315" s="89">
        <v>86</v>
      </c>
      <c r="BG315" s="89">
        <v>4</v>
      </c>
      <c r="BH315" s="89" t="s">
        <v>646</v>
      </c>
      <c r="BI315" s="89" t="s">
        <v>646</v>
      </c>
      <c r="BJ315" s="89" t="s">
        <v>646</v>
      </c>
      <c r="BK315" s="89" t="s">
        <v>646</v>
      </c>
      <c r="BL315" s="89">
        <v>141</v>
      </c>
      <c r="BM315" s="89">
        <v>161</v>
      </c>
      <c r="BN315" s="89">
        <v>222429211030841</v>
      </c>
      <c r="BO315" s="89" t="str">
        <f>HYPERLINK("http://dx.doi.org/10.1177/00222429211030841","http://dx.doi.org/10.1177/00222429211030841")</f>
        <v>http://dx.doi.org/10.1177/00222429211030841</v>
      </c>
      <c r="BP315" s="89" t="s">
        <v>646</v>
      </c>
      <c r="BQ315" s="89" t="s">
        <v>17688</v>
      </c>
      <c r="BR315" s="89" t="s">
        <v>646</v>
      </c>
      <c r="BS315" s="89" t="s">
        <v>646</v>
      </c>
      <c r="BT315" s="89" t="s">
        <v>646</v>
      </c>
      <c r="BU315" s="89" t="s">
        <v>646</v>
      </c>
      <c r="BV315" s="89" t="s">
        <v>646</v>
      </c>
      <c r="BW315" s="89" t="s">
        <v>646</v>
      </c>
      <c r="BX315" s="89" t="s">
        <v>646</v>
      </c>
      <c r="BY315" s="89" t="s">
        <v>646</v>
      </c>
      <c r="BZ315" s="89" t="s">
        <v>646</v>
      </c>
      <c r="CA315" s="89" t="s">
        <v>646</v>
      </c>
      <c r="CB315" s="89" t="s">
        <v>20221</v>
      </c>
      <c r="CC315" s="89" t="str">
        <f>HYPERLINK("https%3A%2F%2Fwww.webofscience.com%2Fwos%2Fwoscc%2Ffull-record%2FWOS:000709522500001","View Full Record in Web of Science")</f>
        <v>View Full Record in Web of Science</v>
      </c>
    </row>
    <row r="316" spans="1:81" ht="13.2" hidden="1" x14ac:dyDescent="0.25">
      <c r="A316" s="89" t="s">
        <v>1532</v>
      </c>
      <c r="B316" s="89" t="e">
        <f>+#REF!</f>
        <v>#REF!</v>
      </c>
      <c r="C316" s="89"/>
      <c r="D316" s="91" t="s">
        <v>717</v>
      </c>
      <c r="E316" s="90" t="e">
        <v>#REF!</v>
      </c>
      <c r="F316" s="89"/>
      <c r="G316" s="89"/>
      <c r="H316" s="89" t="s">
        <v>1534</v>
      </c>
      <c r="I316" s="89" t="s">
        <v>20223</v>
      </c>
      <c r="J316" s="89" t="s">
        <v>646</v>
      </c>
      <c r="K316" s="89" t="s">
        <v>20227</v>
      </c>
      <c r="M316" s="89">
        <v>2019</v>
      </c>
      <c r="N316" s="89" t="s">
        <v>20224</v>
      </c>
      <c r="O316" s="89" t="s">
        <v>20222</v>
      </c>
      <c r="P316" s="89" t="str">
        <f>HYPERLINK("http://dx.doi.org/10.1007/978-3-030-22351-9_29","http://dx.doi.org/10.1007/978-3-030-22351-9_29")</f>
        <v>http://dx.doi.org/10.1007/978-3-030-22351-9_29</v>
      </c>
      <c r="S316" s="89" t="s">
        <v>646</v>
      </c>
      <c r="U316" s="89" t="s">
        <v>17474</v>
      </c>
      <c r="W316" s="89" t="s">
        <v>646</v>
      </c>
      <c r="X316" s="89" t="s">
        <v>646</v>
      </c>
      <c r="Y316" s="89" t="s">
        <v>20225</v>
      </c>
      <c r="Z316" s="89" t="s">
        <v>20226</v>
      </c>
      <c r="AA316" s="89" t="s">
        <v>18365</v>
      </c>
      <c r="AB316" s="89" t="s">
        <v>646</v>
      </c>
      <c r="AC316" s="89" t="s">
        <v>646</v>
      </c>
      <c r="AD316" s="89" t="s">
        <v>646</v>
      </c>
      <c r="AE316" s="89" t="s">
        <v>646</v>
      </c>
      <c r="AF316" s="89" t="s">
        <v>20227</v>
      </c>
      <c r="AG316" s="89" t="s">
        <v>646</v>
      </c>
      <c r="AH316" s="89" t="s">
        <v>646</v>
      </c>
      <c r="AI316" s="89" t="s">
        <v>646</v>
      </c>
      <c r="AJ316" s="89" t="s">
        <v>646</v>
      </c>
      <c r="AK316" s="89" t="s">
        <v>646</v>
      </c>
      <c r="AL316" s="89" t="s">
        <v>646</v>
      </c>
      <c r="AM316" s="89" t="s">
        <v>646</v>
      </c>
      <c r="AN316" s="89" t="s">
        <v>646</v>
      </c>
      <c r="AO316" s="89" t="s">
        <v>646</v>
      </c>
      <c r="AP316" s="89" t="s">
        <v>646</v>
      </c>
      <c r="AQ316" s="89" t="s">
        <v>646</v>
      </c>
      <c r="AR316" s="89" t="s">
        <v>646</v>
      </c>
      <c r="AS316" s="89" t="s">
        <v>646</v>
      </c>
      <c r="AT316" s="89" t="s">
        <v>646</v>
      </c>
      <c r="AU316" s="89" t="s">
        <v>646</v>
      </c>
      <c r="AV316" s="89" t="s">
        <v>646</v>
      </c>
      <c r="AW316" s="89" t="s">
        <v>646</v>
      </c>
      <c r="AX316" s="89" t="s">
        <v>646</v>
      </c>
      <c r="AY316" s="89" t="s">
        <v>18367</v>
      </c>
      <c r="AZ316" s="89" t="s">
        <v>18884</v>
      </c>
      <c r="BA316" s="89" t="s">
        <v>20228</v>
      </c>
      <c r="BB316" s="89" t="s">
        <v>646</v>
      </c>
      <c r="BC316" s="89" t="s">
        <v>646</v>
      </c>
      <c r="BD316" s="89" t="s">
        <v>646</v>
      </c>
      <c r="BE316" s="89">
        <v>2019</v>
      </c>
      <c r="BF316" s="89">
        <v>11594</v>
      </c>
      <c r="BG316" s="89" t="s">
        <v>646</v>
      </c>
      <c r="BH316" s="89" t="s">
        <v>646</v>
      </c>
      <c r="BI316" s="89" t="s">
        <v>646</v>
      </c>
      <c r="BJ316" s="89" t="s">
        <v>646</v>
      </c>
      <c r="BK316" s="89" t="s">
        <v>646</v>
      </c>
      <c r="BL316" s="89">
        <v>429</v>
      </c>
      <c r="BM316" s="89">
        <v>440</v>
      </c>
      <c r="BN316" s="89" t="s">
        <v>646</v>
      </c>
      <c r="BO316" s="89" t="str">
        <f>HYPERLINK("http://dx.doi.org/10.1007/978-3-030-22351-9_29","http://dx.doi.org/10.1007/978-3-030-22351-9_29")</f>
        <v>http://dx.doi.org/10.1007/978-3-030-22351-9_29</v>
      </c>
      <c r="BP316" s="89" t="s">
        <v>646</v>
      </c>
      <c r="BQ316" s="89" t="s">
        <v>646</v>
      </c>
      <c r="BR316" s="89" t="s">
        <v>646</v>
      </c>
      <c r="BS316" s="89" t="s">
        <v>646</v>
      </c>
      <c r="BT316" s="89" t="s">
        <v>646</v>
      </c>
      <c r="BU316" s="89" t="s">
        <v>646</v>
      </c>
      <c r="BV316" s="89" t="s">
        <v>646</v>
      </c>
      <c r="BW316" s="89" t="s">
        <v>646</v>
      </c>
      <c r="BX316" s="89" t="s">
        <v>646</v>
      </c>
      <c r="BY316" s="89" t="s">
        <v>646</v>
      </c>
      <c r="BZ316" s="89" t="s">
        <v>646</v>
      </c>
      <c r="CA316" s="89" t="s">
        <v>646</v>
      </c>
      <c r="CB316" s="89" t="s">
        <v>20229</v>
      </c>
      <c r="CC316" s="89" t="str">
        <f>HYPERLINK("https%3A%2F%2Fwww.webofscience.com%2Fwos%2Fwoscc%2Ffull-record%2FWOS:000657974300029","View Full Record in Web of Science")</f>
        <v>View Full Record in Web of Science</v>
      </c>
    </row>
    <row r="317" spans="1:81" ht="13.2" hidden="1" x14ac:dyDescent="0.25">
      <c r="A317" s="89" t="s">
        <v>20230</v>
      </c>
      <c r="B317" s="89" t="e">
        <f>+#REF!</f>
        <v>#REF!</v>
      </c>
      <c r="C317" s="89"/>
      <c r="D317" s="91" t="s">
        <v>717</v>
      </c>
      <c r="E317" s="90" t="e">
        <v>#REF!</v>
      </c>
      <c r="F317" s="89"/>
      <c r="G317" s="89"/>
      <c r="H317" s="89" t="s">
        <v>11932</v>
      </c>
      <c r="I317" s="89" t="s">
        <v>20231</v>
      </c>
      <c r="J317" s="89" t="s">
        <v>646</v>
      </c>
      <c r="K317" s="89" t="s">
        <v>20233</v>
      </c>
      <c r="M317" s="89">
        <v>2018</v>
      </c>
      <c r="N317" s="89" t="s">
        <v>20232</v>
      </c>
      <c r="O317" s="89" t="s">
        <v>646</v>
      </c>
      <c r="P317" s="89" t="str">
        <f>HYPERLINK("http://dx.doi.org/10.1007/s11606-017-4246-0","http://dx.doi.org/10.1007/s11606-017-4246-0")</f>
        <v>http://dx.doi.org/10.1007/s11606-017-4246-0</v>
      </c>
      <c r="S317" s="89" t="s">
        <v>646</v>
      </c>
      <c r="U317" s="89" t="s">
        <v>17462</v>
      </c>
      <c r="W317" s="89" t="s">
        <v>646</v>
      </c>
      <c r="X317" s="89" t="s">
        <v>646</v>
      </c>
      <c r="Y317" s="89" t="s">
        <v>646</v>
      </c>
      <c r="Z317" s="89" t="s">
        <v>646</v>
      </c>
      <c r="AA317" s="89" t="s">
        <v>646</v>
      </c>
      <c r="AB317" s="89" t="s">
        <v>646</v>
      </c>
      <c r="AC317" s="89" t="s">
        <v>646</v>
      </c>
      <c r="AD317" s="89" t="s">
        <v>646</v>
      </c>
      <c r="AE317" s="89" t="s">
        <v>646</v>
      </c>
      <c r="AF317" s="89" t="s">
        <v>20233</v>
      </c>
      <c r="AG317" s="89" t="s">
        <v>646</v>
      </c>
      <c r="AH317" s="89" t="s">
        <v>646</v>
      </c>
      <c r="AI317" s="89" t="s">
        <v>646</v>
      </c>
      <c r="AJ317" s="89" t="s">
        <v>646</v>
      </c>
      <c r="AK317" s="89" t="s">
        <v>646</v>
      </c>
      <c r="AL317" s="89" t="s">
        <v>20234</v>
      </c>
      <c r="AM317" s="89" t="s">
        <v>646</v>
      </c>
      <c r="AN317" s="89" t="s">
        <v>646</v>
      </c>
      <c r="AO317" s="89" t="s">
        <v>646</v>
      </c>
      <c r="AP317" s="89" t="s">
        <v>646</v>
      </c>
      <c r="AQ317" s="89" t="s">
        <v>646</v>
      </c>
      <c r="AR317" s="89" t="s">
        <v>646</v>
      </c>
      <c r="AS317" s="89" t="s">
        <v>646</v>
      </c>
      <c r="AT317" s="89" t="s">
        <v>646</v>
      </c>
      <c r="AU317" s="89" t="s">
        <v>646</v>
      </c>
      <c r="AV317" s="89" t="s">
        <v>646</v>
      </c>
      <c r="AW317" s="89" t="s">
        <v>646</v>
      </c>
      <c r="AX317" s="89" t="s">
        <v>646</v>
      </c>
      <c r="AY317" s="89" t="s">
        <v>20235</v>
      </c>
      <c r="AZ317" s="89" t="s">
        <v>20236</v>
      </c>
      <c r="BA317" s="89" t="s">
        <v>646</v>
      </c>
      <c r="BB317" s="89" t="s">
        <v>646</v>
      </c>
      <c r="BC317" s="89" t="s">
        <v>646</v>
      </c>
      <c r="BD317" s="89" t="s">
        <v>17823</v>
      </c>
      <c r="BE317" s="89">
        <v>2018</v>
      </c>
      <c r="BF317" s="89">
        <v>33</v>
      </c>
      <c r="BG317" s="89">
        <v>4</v>
      </c>
      <c r="BH317" s="89" t="s">
        <v>646</v>
      </c>
      <c r="BI317" s="89" t="s">
        <v>646</v>
      </c>
      <c r="BJ317" s="89" t="s">
        <v>646</v>
      </c>
      <c r="BK317" s="89" t="s">
        <v>646</v>
      </c>
      <c r="BL317" s="89">
        <v>533</v>
      </c>
      <c r="BM317" s="89">
        <v>538</v>
      </c>
      <c r="BN317" s="89" t="s">
        <v>646</v>
      </c>
      <c r="BO317" s="89" t="str">
        <f>HYPERLINK("http://dx.doi.org/10.1007/s11606-017-4246-0","http://dx.doi.org/10.1007/s11606-017-4246-0")</f>
        <v>http://dx.doi.org/10.1007/s11606-017-4246-0</v>
      </c>
      <c r="BP317" s="89" t="s">
        <v>646</v>
      </c>
      <c r="BQ317" s="89" t="s">
        <v>646</v>
      </c>
      <c r="BR317" s="89" t="s">
        <v>646</v>
      </c>
      <c r="BS317" s="89" t="s">
        <v>646</v>
      </c>
      <c r="BT317" s="89" t="s">
        <v>646</v>
      </c>
      <c r="BU317" s="89" t="s">
        <v>646</v>
      </c>
      <c r="BV317" s="89" t="s">
        <v>646</v>
      </c>
      <c r="BW317" s="89">
        <v>29302882</v>
      </c>
      <c r="BX317" s="89" t="s">
        <v>646</v>
      </c>
      <c r="BY317" s="89" t="s">
        <v>646</v>
      </c>
      <c r="BZ317" s="89" t="s">
        <v>646</v>
      </c>
      <c r="CA317" s="89" t="s">
        <v>646</v>
      </c>
      <c r="CB317" s="89" t="s">
        <v>20237</v>
      </c>
      <c r="CC317" s="89" t="str">
        <f>HYPERLINK("https%3A%2F%2Fwww.webofscience.com%2Fwos%2Fwoscc%2Ffull-record%2FWOS:000428999600030","View Full Record in Web of Science")</f>
        <v>View Full Record in Web of Science</v>
      </c>
    </row>
    <row r="318" spans="1:81" ht="13.2" hidden="1" x14ac:dyDescent="0.25">
      <c r="A318" s="89" t="s">
        <v>20238</v>
      </c>
      <c r="B318" s="89" t="e">
        <f>+#REF!</f>
        <v>#REF!</v>
      </c>
      <c r="C318" s="89"/>
      <c r="D318" s="91" t="s">
        <v>717</v>
      </c>
      <c r="E318" s="90" t="e">
        <v>#REF!</v>
      </c>
      <c r="F318" s="89"/>
      <c r="G318" s="89"/>
      <c r="H318" s="89" t="s">
        <v>11942</v>
      </c>
      <c r="I318" s="89" t="s">
        <v>20239</v>
      </c>
      <c r="J318" s="89" t="s">
        <v>646</v>
      </c>
      <c r="K318" s="89" t="s">
        <v>20240</v>
      </c>
      <c r="M318" s="89">
        <v>2018</v>
      </c>
      <c r="N318" s="89" t="s">
        <v>19023</v>
      </c>
      <c r="O318" s="89" t="s">
        <v>646</v>
      </c>
      <c r="P318" s="89" t="str">
        <f>HYPERLINK("http://dx.doi.org/10.2196/jmir.9380","http://dx.doi.org/10.2196/jmir.9380")</f>
        <v>http://dx.doi.org/10.2196/jmir.9380</v>
      </c>
      <c r="S318" s="89" t="s">
        <v>646</v>
      </c>
      <c r="U318" s="89" t="s">
        <v>17462</v>
      </c>
      <c r="W318" s="89" t="s">
        <v>646</v>
      </c>
      <c r="X318" s="89" t="s">
        <v>646</v>
      </c>
      <c r="Y318" s="89" t="s">
        <v>646</v>
      </c>
      <c r="Z318" s="89" t="s">
        <v>646</v>
      </c>
      <c r="AA318" s="89" t="s">
        <v>646</v>
      </c>
      <c r="AB318" s="89" t="s">
        <v>646</v>
      </c>
      <c r="AC318" s="89" t="s">
        <v>646</v>
      </c>
      <c r="AD318" s="89" t="s">
        <v>646</v>
      </c>
      <c r="AE318" s="89" t="s">
        <v>646</v>
      </c>
      <c r="AF318" s="89" t="s">
        <v>20240</v>
      </c>
      <c r="AG318" s="89" t="s">
        <v>646</v>
      </c>
      <c r="AH318" s="89" t="s">
        <v>646</v>
      </c>
      <c r="AI318" s="89" t="s">
        <v>646</v>
      </c>
      <c r="AJ318" s="89" t="s">
        <v>646</v>
      </c>
      <c r="AK318" s="89" t="s">
        <v>646</v>
      </c>
      <c r="AL318" s="89" t="s">
        <v>20241</v>
      </c>
      <c r="AM318" s="89" t="s">
        <v>646</v>
      </c>
      <c r="AN318" s="89" t="s">
        <v>646</v>
      </c>
      <c r="AO318" s="89" t="s">
        <v>646</v>
      </c>
      <c r="AP318" s="89" t="s">
        <v>646</v>
      </c>
      <c r="AQ318" s="89" t="s">
        <v>646</v>
      </c>
      <c r="AR318" s="89" t="s">
        <v>646</v>
      </c>
      <c r="AS318" s="89" t="s">
        <v>646</v>
      </c>
      <c r="AT318" s="89" t="s">
        <v>646</v>
      </c>
      <c r="AU318" s="89" t="s">
        <v>646</v>
      </c>
      <c r="AV318" s="89" t="s">
        <v>646</v>
      </c>
      <c r="AW318" s="89" t="s">
        <v>646</v>
      </c>
      <c r="AX318" s="89" t="s">
        <v>646</v>
      </c>
      <c r="AY318" s="89" t="s">
        <v>19026</v>
      </c>
      <c r="AZ318" s="89" t="s">
        <v>646</v>
      </c>
      <c r="BA318" s="89" t="s">
        <v>646</v>
      </c>
      <c r="BB318" s="89" t="s">
        <v>646</v>
      </c>
      <c r="BC318" s="89" t="s">
        <v>646</v>
      </c>
      <c r="BD318" s="89" t="s">
        <v>17823</v>
      </c>
      <c r="BE318" s="89">
        <v>2018</v>
      </c>
      <c r="BF318" s="89">
        <v>20</v>
      </c>
      <c r="BG318" s="89">
        <v>4</v>
      </c>
      <c r="BH318" s="89" t="s">
        <v>646</v>
      </c>
      <c r="BI318" s="89" t="s">
        <v>646</v>
      </c>
      <c r="BJ318" s="89" t="s">
        <v>646</v>
      </c>
      <c r="BK318" s="89" t="s">
        <v>646</v>
      </c>
      <c r="BL318" s="89" t="s">
        <v>646</v>
      </c>
      <c r="BM318" s="89" t="s">
        <v>646</v>
      </c>
      <c r="BN318" s="89" t="s">
        <v>20242</v>
      </c>
      <c r="BO318" s="89" t="str">
        <f>HYPERLINK("http://dx.doi.org/10.2196/jmir.9380","http://dx.doi.org/10.2196/jmir.9380")</f>
        <v>http://dx.doi.org/10.2196/jmir.9380</v>
      </c>
      <c r="BP318" s="89" t="s">
        <v>646</v>
      </c>
      <c r="BQ318" s="89" t="s">
        <v>646</v>
      </c>
      <c r="BR318" s="89" t="s">
        <v>646</v>
      </c>
      <c r="BS318" s="89" t="s">
        <v>646</v>
      </c>
      <c r="BT318" s="89" t="s">
        <v>646</v>
      </c>
      <c r="BU318" s="89" t="s">
        <v>646</v>
      </c>
      <c r="BV318" s="89" t="s">
        <v>646</v>
      </c>
      <c r="BW318" s="89">
        <v>29695372</v>
      </c>
      <c r="BX318" s="89" t="s">
        <v>646</v>
      </c>
      <c r="BY318" s="89" t="s">
        <v>646</v>
      </c>
      <c r="BZ318" s="89" t="s">
        <v>646</v>
      </c>
      <c r="CA318" s="89" t="s">
        <v>646</v>
      </c>
      <c r="CB318" s="89" t="s">
        <v>20243</v>
      </c>
      <c r="CC318" s="89" t="str">
        <f>HYPERLINK("https%3A%2F%2Fwww.webofscience.com%2Fwos%2Fwoscc%2Ffull-record%2FWOS:000430958800002","View Full Record in Web of Science")</f>
        <v>View Full Record in Web of Science</v>
      </c>
    </row>
    <row r="319" spans="1:81" ht="13.2" hidden="1" x14ac:dyDescent="0.25">
      <c r="A319" s="89" t="s">
        <v>11950</v>
      </c>
      <c r="B319" s="89" t="e">
        <f>+#REF!</f>
        <v>#REF!</v>
      </c>
      <c r="C319" s="89"/>
      <c r="D319" s="91" t="s">
        <v>717</v>
      </c>
      <c r="E319" s="90" t="e">
        <v>#REF!</v>
      </c>
      <c r="F319" s="89"/>
      <c r="G319" s="89"/>
      <c r="H319" s="89" t="s">
        <v>11951</v>
      </c>
      <c r="I319" s="89" t="s">
        <v>20244</v>
      </c>
      <c r="J319" s="89" t="s">
        <v>20247</v>
      </c>
      <c r="K319" s="89" t="s">
        <v>20246</v>
      </c>
      <c r="M319" s="89">
        <v>2012</v>
      </c>
      <c r="N319" s="89" t="s">
        <v>20245</v>
      </c>
      <c r="O319" s="89" t="s">
        <v>646</v>
      </c>
      <c r="P319" s="89" t="str">
        <f>HYPERLINK("http://dx.doi.org/10.1007/s10664-011-9179-3","http://dx.doi.org/10.1007/s10664-011-9179-3")</f>
        <v>http://dx.doi.org/10.1007/s10664-011-9179-3</v>
      </c>
      <c r="S319" s="89" t="s">
        <v>646</v>
      </c>
      <c r="U319" s="89" t="s">
        <v>17462</v>
      </c>
      <c r="W319" s="89" t="s">
        <v>646</v>
      </c>
      <c r="X319" s="89" t="s">
        <v>646</v>
      </c>
      <c r="Y319" s="89" t="s">
        <v>646</v>
      </c>
      <c r="Z319" s="89" t="s">
        <v>646</v>
      </c>
      <c r="AA319" s="89" t="s">
        <v>646</v>
      </c>
      <c r="AB319" s="89" t="s">
        <v>646</v>
      </c>
      <c r="AC319" s="89" t="s">
        <v>646</v>
      </c>
      <c r="AD319" s="89" t="s">
        <v>646</v>
      </c>
      <c r="AE319" s="89" t="s">
        <v>646</v>
      </c>
      <c r="AF319" s="89" t="s">
        <v>20246</v>
      </c>
      <c r="AG319" s="89" t="s">
        <v>646</v>
      </c>
      <c r="AH319" s="89" t="s">
        <v>646</v>
      </c>
      <c r="AI319" s="89" t="s">
        <v>646</v>
      </c>
      <c r="AJ319" s="89" t="s">
        <v>646</v>
      </c>
      <c r="AK319" s="89" t="s">
        <v>20247</v>
      </c>
      <c r="AL319" s="89" t="s">
        <v>20248</v>
      </c>
      <c r="AM319" s="89" t="s">
        <v>646</v>
      </c>
      <c r="AN319" s="89" t="s">
        <v>646</v>
      </c>
      <c r="AO319" s="89" t="s">
        <v>646</v>
      </c>
      <c r="AP319" s="89" t="s">
        <v>646</v>
      </c>
      <c r="AQ319" s="89" t="s">
        <v>646</v>
      </c>
      <c r="AR319" s="89" t="s">
        <v>646</v>
      </c>
      <c r="AS319" s="89" t="s">
        <v>646</v>
      </c>
      <c r="AT319" s="89" t="s">
        <v>646</v>
      </c>
      <c r="AU319" s="89" t="s">
        <v>646</v>
      </c>
      <c r="AV319" s="89" t="s">
        <v>646</v>
      </c>
      <c r="AW319" s="89" t="s">
        <v>646</v>
      </c>
      <c r="AX319" s="89" t="s">
        <v>646</v>
      </c>
      <c r="AY319" s="89" t="s">
        <v>20249</v>
      </c>
      <c r="AZ319" s="89" t="s">
        <v>20250</v>
      </c>
      <c r="BA319" s="89" t="s">
        <v>646</v>
      </c>
      <c r="BB319" s="89" t="s">
        <v>646</v>
      </c>
      <c r="BC319" s="89" t="s">
        <v>646</v>
      </c>
      <c r="BD319" s="89" t="s">
        <v>17615</v>
      </c>
      <c r="BE319" s="89">
        <v>2012</v>
      </c>
      <c r="BF319" s="89">
        <v>17</v>
      </c>
      <c r="BG319" s="89">
        <v>6</v>
      </c>
      <c r="BH319" s="89" t="s">
        <v>646</v>
      </c>
      <c r="BI319" s="89" t="s">
        <v>646</v>
      </c>
      <c r="BJ319" s="89" t="s">
        <v>646</v>
      </c>
      <c r="BK319" s="89" t="s">
        <v>646</v>
      </c>
      <c r="BL319" s="89">
        <v>640</v>
      </c>
      <c r="BM319" s="89">
        <v>674</v>
      </c>
      <c r="BN319" s="89" t="s">
        <v>646</v>
      </c>
      <c r="BO319" s="89" t="str">
        <f>HYPERLINK("http://dx.doi.org/10.1007/s10664-011-9179-3","http://dx.doi.org/10.1007/s10664-011-9179-3")</f>
        <v>http://dx.doi.org/10.1007/s10664-011-9179-3</v>
      </c>
      <c r="BP319" s="89" t="s">
        <v>646</v>
      </c>
      <c r="BQ319" s="89" t="s">
        <v>646</v>
      </c>
      <c r="BR319" s="89" t="s">
        <v>646</v>
      </c>
      <c r="BS319" s="89" t="s">
        <v>646</v>
      </c>
      <c r="BT319" s="89" t="s">
        <v>646</v>
      </c>
      <c r="BU319" s="89" t="s">
        <v>646</v>
      </c>
      <c r="BV319" s="89" t="s">
        <v>646</v>
      </c>
      <c r="BW319" s="89" t="s">
        <v>646</v>
      </c>
      <c r="BX319" s="89" t="s">
        <v>646</v>
      </c>
      <c r="BY319" s="89" t="s">
        <v>646</v>
      </c>
      <c r="BZ319" s="89" t="s">
        <v>646</v>
      </c>
      <c r="CA319" s="89" t="s">
        <v>646</v>
      </c>
      <c r="CB319" s="89" t="s">
        <v>20251</v>
      </c>
      <c r="CC319" s="89" t="str">
        <f>HYPERLINK("https%3A%2F%2Fwww.webofscience.com%2Fwos%2Fwoscc%2Ffull-record%2FWOS:000307962100002","View Full Record in Web of Science")</f>
        <v>View Full Record in Web of Science</v>
      </c>
    </row>
    <row r="320" spans="1:81" ht="13.2" hidden="1" x14ac:dyDescent="0.25">
      <c r="A320" s="89" t="s">
        <v>20252</v>
      </c>
      <c r="B320" s="89" t="e">
        <f>+#REF!</f>
        <v>#REF!</v>
      </c>
      <c r="C320" s="89"/>
      <c r="D320" s="91" t="s">
        <v>717</v>
      </c>
      <c r="E320" s="90" t="e">
        <v>#REF!</v>
      </c>
      <c r="F320" s="89"/>
      <c r="G320" s="89"/>
      <c r="H320" s="89" t="s">
        <v>9247</v>
      </c>
      <c r="I320" s="89" t="s">
        <v>20253</v>
      </c>
      <c r="J320" s="89" t="s">
        <v>646</v>
      </c>
      <c r="K320" s="89" t="s">
        <v>20255</v>
      </c>
      <c r="M320" s="89">
        <v>2022</v>
      </c>
      <c r="N320" s="89" t="s">
        <v>20254</v>
      </c>
      <c r="O320" s="89" t="s">
        <v>646</v>
      </c>
      <c r="P320" s="89" t="str">
        <f>HYPERLINK("http://dx.doi.org/10.1108/EJM-01-2021-0006","http://dx.doi.org/10.1108/EJM-01-2021-0006")</f>
        <v>http://dx.doi.org/10.1108/EJM-01-2021-0006</v>
      </c>
      <c r="S320" s="89" t="s">
        <v>646</v>
      </c>
      <c r="U320" s="89" t="s">
        <v>17462</v>
      </c>
      <c r="W320" s="89" t="s">
        <v>646</v>
      </c>
      <c r="X320" s="89" t="s">
        <v>646</v>
      </c>
      <c r="Y320" s="89" t="s">
        <v>646</v>
      </c>
      <c r="Z320" s="89" t="s">
        <v>646</v>
      </c>
      <c r="AA320" s="89" t="s">
        <v>646</v>
      </c>
      <c r="AB320" s="89" t="s">
        <v>646</v>
      </c>
      <c r="AC320" s="89" t="s">
        <v>646</v>
      </c>
      <c r="AD320" s="89" t="s">
        <v>646</v>
      </c>
      <c r="AE320" s="89" t="s">
        <v>646</v>
      </c>
      <c r="AF320" s="89" t="s">
        <v>20255</v>
      </c>
      <c r="AG320" s="89" t="s">
        <v>646</v>
      </c>
      <c r="AH320" s="89" t="s">
        <v>646</v>
      </c>
      <c r="AI320" s="89" t="s">
        <v>646</v>
      </c>
      <c r="AJ320" s="89" t="s">
        <v>646</v>
      </c>
      <c r="AK320" s="89" t="s">
        <v>646</v>
      </c>
      <c r="AL320" s="89" t="s">
        <v>646</v>
      </c>
      <c r="AM320" s="89" t="s">
        <v>646</v>
      </c>
      <c r="AN320" s="89" t="s">
        <v>646</v>
      </c>
      <c r="AO320" s="89" t="s">
        <v>646</v>
      </c>
      <c r="AP320" s="89" t="s">
        <v>646</v>
      </c>
      <c r="AQ320" s="89" t="s">
        <v>646</v>
      </c>
      <c r="AR320" s="89" t="s">
        <v>646</v>
      </c>
      <c r="AS320" s="89" t="s">
        <v>646</v>
      </c>
      <c r="AT320" s="89" t="s">
        <v>646</v>
      </c>
      <c r="AU320" s="89" t="s">
        <v>646</v>
      </c>
      <c r="AV320" s="89" t="s">
        <v>646</v>
      </c>
      <c r="AW320" s="89" t="s">
        <v>646</v>
      </c>
      <c r="AX320" s="89" t="s">
        <v>646</v>
      </c>
      <c r="AY320" s="89" t="s">
        <v>20256</v>
      </c>
      <c r="AZ320" s="89" t="s">
        <v>20257</v>
      </c>
      <c r="BA320" s="89" t="s">
        <v>646</v>
      </c>
      <c r="BB320" s="89" t="s">
        <v>646</v>
      </c>
      <c r="BC320" s="89" t="s">
        <v>646</v>
      </c>
      <c r="BD320" s="89" t="s">
        <v>20258</v>
      </c>
      <c r="BE320" s="89">
        <v>2022</v>
      </c>
      <c r="BF320" s="89">
        <v>56</v>
      </c>
      <c r="BG320" s="89">
        <v>4</v>
      </c>
      <c r="BH320" s="89" t="s">
        <v>646</v>
      </c>
      <c r="BI320" s="89" t="s">
        <v>646</v>
      </c>
      <c r="BJ320" s="89" t="s">
        <v>646</v>
      </c>
      <c r="BK320" s="89" t="s">
        <v>646</v>
      </c>
      <c r="BL320" s="89">
        <v>1108</v>
      </c>
      <c r="BM320" s="89">
        <v>1125</v>
      </c>
      <c r="BN320" s="89" t="s">
        <v>646</v>
      </c>
      <c r="BO320" s="89" t="str">
        <f>HYPERLINK("http://dx.doi.org/10.1108/EJM-01-2021-0006","http://dx.doi.org/10.1108/EJM-01-2021-0006")</f>
        <v>http://dx.doi.org/10.1108/EJM-01-2021-0006</v>
      </c>
      <c r="BP320" s="89" t="s">
        <v>646</v>
      </c>
      <c r="BQ320" s="89" t="s">
        <v>19609</v>
      </c>
      <c r="BR320" s="89" t="s">
        <v>646</v>
      </c>
      <c r="BS320" s="89" t="s">
        <v>646</v>
      </c>
      <c r="BT320" s="89" t="s">
        <v>646</v>
      </c>
      <c r="BU320" s="89" t="s">
        <v>646</v>
      </c>
      <c r="BV320" s="89" t="s">
        <v>646</v>
      </c>
      <c r="BW320" s="89" t="s">
        <v>646</v>
      </c>
      <c r="BX320" s="89" t="s">
        <v>646</v>
      </c>
      <c r="BY320" s="89" t="s">
        <v>646</v>
      </c>
      <c r="BZ320" s="89" t="s">
        <v>646</v>
      </c>
      <c r="CA320" s="89" t="s">
        <v>646</v>
      </c>
      <c r="CB320" s="89" t="s">
        <v>20259</v>
      </c>
      <c r="CC320" s="89" t="str">
        <f>HYPERLINK("https%3A%2F%2Fwww.webofscience.com%2Fwos%2Fwoscc%2Ffull-record%2FWOS:000776196800001","View Full Record in Web of Science")</f>
        <v>View Full Record in Web of Science</v>
      </c>
    </row>
    <row r="321" spans="1:81" ht="13.2" hidden="1" x14ac:dyDescent="0.25">
      <c r="A321" s="89" t="s">
        <v>11959</v>
      </c>
      <c r="B321" s="89" t="e">
        <f>+#REF!</f>
        <v>#REF!</v>
      </c>
      <c r="C321" s="89"/>
      <c r="D321" s="91" t="s">
        <v>717</v>
      </c>
      <c r="E321" s="90" t="e">
        <v>#REF!</v>
      </c>
      <c r="F321" s="89"/>
      <c r="G321" s="89"/>
      <c r="H321" s="89" t="s">
        <v>11960</v>
      </c>
      <c r="I321" s="89" t="s">
        <v>20260</v>
      </c>
      <c r="J321" s="89" t="s">
        <v>20262</v>
      </c>
      <c r="K321" s="89" t="s">
        <v>20261</v>
      </c>
      <c r="M321" s="89">
        <v>2016</v>
      </c>
      <c r="N321" s="89" t="s">
        <v>20176</v>
      </c>
      <c r="O321" s="89" t="s">
        <v>646</v>
      </c>
      <c r="P321" s="89" t="str">
        <f>HYPERLINK("http://dx.doi.org/10.3758/s13428-015-0599-7","http://dx.doi.org/10.3758/s13428-015-0599-7")</f>
        <v>http://dx.doi.org/10.3758/s13428-015-0599-7</v>
      </c>
      <c r="S321" s="89" t="s">
        <v>646</v>
      </c>
      <c r="U321" s="89" t="s">
        <v>17462</v>
      </c>
      <c r="W321" s="89" t="s">
        <v>646</v>
      </c>
      <c r="X321" s="89" t="s">
        <v>646</v>
      </c>
      <c r="Y321" s="89" t="s">
        <v>646</v>
      </c>
      <c r="Z321" s="89" t="s">
        <v>646</v>
      </c>
      <c r="AA321" s="89" t="s">
        <v>646</v>
      </c>
      <c r="AB321" s="89" t="s">
        <v>646</v>
      </c>
      <c r="AC321" s="89" t="s">
        <v>646</v>
      </c>
      <c r="AD321" s="89" t="s">
        <v>646</v>
      </c>
      <c r="AE321" s="89" t="s">
        <v>646</v>
      </c>
      <c r="AF321" s="89" t="s">
        <v>20261</v>
      </c>
      <c r="AG321" s="89" t="s">
        <v>646</v>
      </c>
      <c r="AH321" s="89" t="s">
        <v>646</v>
      </c>
      <c r="AI321" s="89" t="s">
        <v>646</v>
      </c>
      <c r="AJ321" s="89" t="s">
        <v>646</v>
      </c>
      <c r="AK321" s="89" t="s">
        <v>20262</v>
      </c>
      <c r="AL321" s="89" t="s">
        <v>20263</v>
      </c>
      <c r="AM321" s="89" t="s">
        <v>646</v>
      </c>
      <c r="AN321" s="89" t="s">
        <v>646</v>
      </c>
      <c r="AO321" s="89" t="s">
        <v>646</v>
      </c>
      <c r="AP321" s="89" t="s">
        <v>646</v>
      </c>
      <c r="AQ321" s="89" t="s">
        <v>646</v>
      </c>
      <c r="AR321" s="89" t="s">
        <v>646</v>
      </c>
      <c r="AS321" s="89" t="s">
        <v>646</v>
      </c>
      <c r="AT321" s="89" t="s">
        <v>646</v>
      </c>
      <c r="AU321" s="89" t="s">
        <v>646</v>
      </c>
      <c r="AV321" s="89" t="s">
        <v>646</v>
      </c>
      <c r="AW321" s="89" t="s">
        <v>646</v>
      </c>
      <c r="AX321" s="89" t="s">
        <v>646</v>
      </c>
      <c r="AY321" s="89" t="s">
        <v>20178</v>
      </c>
      <c r="AZ321" s="89" t="s">
        <v>20179</v>
      </c>
      <c r="BA321" s="89" t="s">
        <v>646</v>
      </c>
      <c r="BB321" s="89" t="s">
        <v>646</v>
      </c>
      <c r="BC321" s="89" t="s">
        <v>646</v>
      </c>
      <c r="BD321" s="89" t="s">
        <v>17772</v>
      </c>
      <c r="BE321" s="89">
        <v>2016</v>
      </c>
      <c r="BF321" s="89">
        <v>48</v>
      </c>
      <c r="BG321" s="89">
        <v>2</v>
      </c>
      <c r="BH321" s="89" t="s">
        <v>646</v>
      </c>
      <c r="BI321" s="89" t="s">
        <v>646</v>
      </c>
      <c r="BJ321" s="89" t="s">
        <v>646</v>
      </c>
      <c r="BK321" s="89" t="s">
        <v>646</v>
      </c>
      <c r="BL321" s="89">
        <v>553</v>
      </c>
      <c r="BM321" s="89">
        <v>566</v>
      </c>
      <c r="BN321" s="89" t="s">
        <v>646</v>
      </c>
      <c r="BO321" s="89" t="str">
        <f>HYPERLINK("http://dx.doi.org/10.3758/s13428-015-0599-7","http://dx.doi.org/10.3758/s13428-015-0599-7")</f>
        <v>http://dx.doi.org/10.3758/s13428-015-0599-7</v>
      </c>
      <c r="BP321" s="89" t="s">
        <v>646</v>
      </c>
      <c r="BQ321" s="89" t="s">
        <v>646</v>
      </c>
      <c r="BR321" s="89" t="s">
        <v>646</v>
      </c>
      <c r="BS321" s="89" t="s">
        <v>646</v>
      </c>
      <c r="BT321" s="89" t="s">
        <v>646</v>
      </c>
      <c r="BU321" s="89" t="s">
        <v>646</v>
      </c>
      <c r="BV321" s="89" t="s">
        <v>646</v>
      </c>
      <c r="BW321" s="89">
        <v>25987305</v>
      </c>
      <c r="BX321" s="89" t="s">
        <v>646</v>
      </c>
      <c r="BY321" s="89" t="s">
        <v>646</v>
      </c>
      <c r="BZ321" s="89" t="s">
        <v>646</v>
      </c>
      <c r="CA321" s="89" t="s">
        <v>646</v>
      </c>
      <c r="CB321" s="89" t="s">
        <v>20264</v>
      </c>
      <c r="CC321" s="89" t="str">
        <f>HYPERLINK("https%3A%2F%2Fwww.webofscience.com%2Fwos%2Fwoscc%2Ffull-record%2FWOS:000379772600011","View Full Record in Web of Science")</f>
        <v>View Full Record in Web of Science</v>
      </c>
    </row>
    <row r="322" spans="1:81" ht="13.2" hidden="1" x14ac:dyDescent="0.25">
      <c r="A322" s="89" t="s">
        <v>9256</v>
      </c>
      <c r="B322" s="89" t="e">
        <f>+#REF!</f>
        <v>#REF!</v>
      </c>
      <c r="C322" s="89"/>
      <c r="D322" s="91" t="s">
        <v>717</v>
      </c>
      <c r="E322" s="90" t="e">
        <v>#REF!</v>
      </c>
      <c r="F322" s="89"/>
      <c r="G322" s="89"/>
      <c r="H322" s="89" t="s">
        <v>9257</v>
      </c>
      <c r="I322" s="89" t="s">
        <v>20265</v>
      </c>
      <c r="J322" s="89" t="s">
        <v>646</v>
      </c>
      <c r="K322" s="89" t="s">
        <v>20267</v>
      </c>
      <c r="M322" s="89">
        <v>2021</v>
      </c>
      <c r="N322" s="89" t="s">
        <v>20266</v>
      </c>
      <c r="O322" s="89" t="s">
        <v>646</v>
      </c>
      <c r="P322" s="89" t="str">
        <f>HYPERLINK("http://dx.doi.org/10.1007/s00213-021-05827-6","http://dx.doi.org/10.1007/s00213-021-05827-6")</f>
        <v>http://dx.doi.org/10.1007/s00213-021-05827-6</v>
      </c>
      <c r="S322" s="89" t="s">
        <v>646</v>
      </c>
      <c r="U322" s="89" t="s">
        <v>17462</v>
      </c>
      <c r="W322" s="89" t="s">
        <v>646</v>
      </c>
      <c r="X322" s="89" t="s">
        <v>646</v>
      </c>
      <c r="Y322" s="89" t="s">
        <v>646</v>
      </c>
      <c r="Z322" s="89" t="s">
        <v>646</v>
      </c>
      <c r="AA322" s="89" t="s">
        <v>646</v>
      </c>
      <c r="AB322" s="89" t="s">
        <v>646</v>
      </c>
      <c r="AC322" s="89" t="s">
        <v>646</v>
      </c>
      <c r="AD322" s="89" t="s">
        <v>646</v>
      </c>
      <c r="AE322" s="89" t="s">
        <v>646</v>
      </c>
      <c r="AF322" s="89" t="s">
        <v>20267</v>
      </c>
      <c r="AG322" s="89" t="s">
        <v>646</v>
      </c>
      <c r="AH322" s="89" t="s">
        <v>646</v>
      </c>
      <c r="AI322" s="89" t="s">
        <v>646</v>
      </c>
      <c r="AJ322" s="89" t="s">
        <v>646</v>
      </c>
      <c r="AK322" s="89" t="s">
        <v>646</v>
      </c>
      <c r="AL322" s="89" t="s">
        <v>20268</v>
      </c>
      <c r="AM322" s="89" t="s">
        <v>646</v>
      </c>
      <c r="AN322" s="89" t="s">
        <v>646</v>
      </c>
      <c r="AO322" s="89" t="s">
        <v>646</v>
      </c>
      <c r="AP322" s="89" t="s">
        <v>646</v>
      </c>
      <c r="AQ322" s="89" t="s">
        <v>646</v>
      </c>
      <c r="AR322" s="89" t="s">
        <v>646</v>
      </c>
      <c r="AS322" s="89" t="s">
        <v>646</v>
      </c>
      <c r="AT322" s="89" t="s">
        <v>646</v>
      </c>
      <c r="AU322" s="89" t="s">
        <v>646</v>
      </c>
      <c r="AV322" s="89" t="s">
        <v>646</v>
      </c>
      <c r="AW322" s="89" t="s">
        <v>646</v>
      </c>
      <c r="AX322" s="89" t="s">
        <v>646</v>
      </c>
      <c r="AY322" s="89" t="s">
        <v>20269</v>
      </c>
      <c r="AZ322" s="89" t="s">
        <v>20270</v>
      </c>
      <c r="BA322" s="89" t="s">
        <v>646</v>
      </c>
      <c r="BB322" s="89" t="s">
        <v>646</v>
      </c>
      <c r="BC322" s="89" t="s">
        <v>646</v>
      </c>
      <c r="BD322" s="89" t="s">
        <v>17676</v>
      </c>
      <c r="BE322" s="89">
        <v>2021</v>
      </c>
      <c r="BF322" s="89">
        <v>238</v>
      </c>
      <c r="BG322" s="89">
        <v>7</v>
      </c>
      <c r="BH322" s="89" t="s">
        <v>646</v>
      </c>
      <c r="BI322" s="89" t="s">
        <v>646</v>
      </c>
      <c r="BJ322" s="89" t="s">
        <v>646</v>
      </c>
      <c r="BK322" s="89" t="s">
        <v>646</v>
      </c>
      <c r="BL322" s="89">
        <v>2011</v>
      </c>
      <c r="BM322" s="89">
        <v>2020</v>
      </c>
      <c r="BN322" s="89" t="s">
        <v>646</v>
      </c>
      <c r="BO322" s="89" t="str">
        <f>HYPERLINK("http://dx.doi.org/10.1007/s00213-021-05827-6","http://dx.doi.org/10.1007/s00213-021-05827-6")</f>
        <v>http://dx.doi.org/10.1007/s00213-021-05827-6</v>
      </c>
      <c r="BP322" s="89" t="s">
        <v>646</v>
      </c>
      <c r="BQ322" s="89" t="s">
        <v>20147</v>
      </c>
      <c r="BR322" s="89" t="s">
        <v>646</v>
      </c>
      <c r="BS322" s="89" t="s">
        <v>646</v>
      </c>
      <c r="BT322" s="89" t="s">
        <v>646</v>
      </c>
      <c r="BU322" s="89" t="s">
        <v>646</v>
      </c>
      <c r="BV322" s="89" t="s">
        <v>646</v>
      </c>
      <c r="BW322" s="89">
        <v>33782722</v>
      </c>
      <c r="BX322" s="89" t="s">
        <v>646</v>
      </c>
      <c r="BY322" s="89" t="s">
        <v>646</v>
      </c>
      <c r="BZ322" s="89" t="s">
        <v>646</v>
      </c>
      <c r="CA322" s="89" t="s">
        <v>646</v>
      </c>
      <c r="CB322" s="89" t="s">
        <v>20271</v>
      </c>
      <c r="CC322" s="89" t="str">
        <f>HYPERLINK("https%3A%2F%2Fwww.webofscience.com%2Fwos%2Fwoscc%2Ffull-record%2FWOS:000634622800001","View Full Record in Web of Science")</f>
        <v>View Full Record in Web of Science</v>
      </c>
    </row>
    <row r="323" spans="1:81" ht="13.2" hidden="1" x14ac:dyDescent="0.25">
      <c r="A323" s="89" t="s">
        <v>20272</v>
      </c>
      <c r="B323" s="89" t="e">
        <f>+#REF!</f>
        <v>#REF!</v>
      </c>
      <c r="C323" s="89"/>
      <c r="D323" s="91" t="s">
        <v>717</v>
      </c>
      <c r="E323" s="90" t="e">
        <v>#REF!</v>
      </c>
      <c r="F323" s="89"/>
      <c r="G323" s="89"/>
      <c r="H323" s="89" t="s">
        <v>9267</v>
      </c>
      <c r="I323" s="89" t="s">
        <v>20273</v>
      </c>
      <c r="J323" s="89" t="s">
        <v>20275</v>
      </c>
      <c r="K323" s="89" t="s">
        <v>20274</v>
      </c>
      <c r="M323" s="89">
        <v>2021</v>
      </c>
      <c r="N323" s="89" t="s">
        <v>20105</v>
      </c>
      <c r="O323" s="89" t="s">
        <v>646</v>
      </c>
      <c r="P323" s="89" t="str">
        <f>HYPERLINK("http://dx.doi.org/10.3389/fpsyg.2021.626791","http://dx.doi.org/10.3389/fpsyg.2021.626791")</f>
        <v>http://dx.doi.org/10.3389/fpsyg.2021.626791</v>
      </c>
      <c r="S323" s="89" t="s">
        <v>646</v>
      </c>
      <c r="U323" s="89" t="s">
        <v>17462</v>
      </c>
      <c r="W323" s="89" t="s">
        <v>646</v>
      </c>
      <c r="X323" s="89" t="s">
        <v>646</v>
      </c>
      <c r="Y323" s="89" t="s">
        <v>646</v>
      </c>
      <c r="Z323" s="89" t="s">
        <v>646</v>
      </c>
      <c r="AA323" s="89" t="s">
        <v>646</v>
      </c>
      <c r="AB323" s="89" t="s">
        <v>646</v>
      </c>
      <c r="AC323" s="89" t="s">
        <v>646</v>
      </c>
      <c r="AD323" s="89" t="s">
        <v>646</v>
      </c>
      <c r="AE323" s="89" t="s">
        <v>646</v>
      </c>
      <c r="AF323" s="89" t="s">
        <v>20274</v>
      </c>
      <c r="AG323" s="89" t="s">
        <v>646</v>
      </c>
      <c r="AH323" s="89" t="s">
        <v>646</v>
      </c>
      <c r="AI323" s="89" t="s">
        <v>646</v>
      </c>
      <c r="AJ323" s="89" t="s">
        <v>646</v>
      </c>
      <c r="AK323" s="89" t="s">
        <v>20275</v>
      </c>
      <c r="AL323" s="89" t="s">
        <v>20276</v>
      </c>
      <c r="AM323" s="89" t="s">
        <v>646</v>
      </c>
      <c r="AN323" s="89" t="s">
        <v>646</v>
      </c>
      <c r="AO323" s="89" t="s">
        <v>646</v>
      </c>
      <c r="AP323" s="89" t="s">
        <v>646</v>
      </c>
      <c r="AQ323" s="89" t="s">
        <v>646</v>
      </c>
      <c r="AR323" s="89" t="s">
        <v>646</v>
      </c>
      <c r="AS323" s="89" t="s">
        <v>646</v>
      </c>
      <c r="AT323" s="89" t="s">
        <v>646</v>
      </c>
      <c r="AU323" s="89" t="s">
        <v>646</v>
      </c>
      <c r="AV323" s="89" t="s">
        <v>646</v>
      </c>
      <c r="AW323" s="89" t="s">
        <v>646</v>
      </c>
      <c r="AX323" s="89" t="s">
        <v>646</v>
      </c>
      <c r="AY323" s="89" t="s">
        <v>20108</v>
      </c>
      <c r="AZ323" s="89" t="s">
        <v>646</v>
      </c>
      <c r="BA323" s="89" t="s">
        <v>646</v>
      </c>
      <c r="BB323" s="89" t="s">
        <v>646</v>
      </c>
      <c r="BC323" s="89" t="s">
        <v>646</v>
      </c>
      <c r="BD323" s="89" t="s">
        <v>20277</v>
      </c>
      <c r="BE323" s="89">
        <v>2021</v>
      </c>
      <c r="BF323" s="89">
        <v>12</v>
      </c>
      <c r="BG323" s="89" t="s">
        <v>646</v>
      </c>
      <c r="BH323" s="89" t="s">
        <v>646</v>
      </c>
      <c r="BI323" s="89" t="s">
        <v>646</v>
      </c>
      <c r="BJ323" s="89" t="s">
        <v>646</v>
      </c>
      <c r="BK323" s="89" t="s">
        <v>646</v>
      </c>
      <c r="BL323" s="89" t="s">
        <v>646</v>
      </c>
      <c r="BM323" s="89" t="s">
        <v>646</v>
      </c>
      <c r="BN323" s="89">
        <v>626791</v>
      </c>
      <c r="BO323" s="89" t="str">
        <f>HYPERLINK("http://dx.doi.org/10.3389/fpsyg.2021.626791","http://dx.doi.org/10.3389/fpsyg.2021.626791")</f>
        <v>http://dx.doi.org/10.3389/fpsyg.2021.626791</v>
      </c>
      <c r="BP323" s="89" t="s">
        <v>646</v>
      </c>
      <c r="BQ323" s="89" t="s">
        <v>646</v>
      </c>
      <c r="BR323" s="89" t="s">
        <v>646</v>
      </c>
      <c r="BS323" s="89" t="s">
        <v>646</v>
      </c>
      <c r="BT323" s="89" t="s">
        <v>646</v>
      </c>
      <c r="BU323" s="89" t="s">
        <v>646</v>
      </c>
      <c r="BV323" s="89" t="s">
        <v>646</v>
      </c>
      <c r="BW323" s="89">
        <v>33569031</v>
      </c>
      <c r="BX323" s="89" t="s">
        <v>646</v>
      </c>
      <c r="BY323" s="89" t="s">
        <v>646</v>
      </c>
      <c r="BZ323" s="89" t="s">
        <v>646</v>
      </c>
      <c r="CA323" s="89" t="s">
        <v>646</v>
      </c>
      <c r="CB323" s="89" t="s">
        <v>20278</v>
      </c>
      <c r="CC323" s="89" t="str">
        <f>HYPERLINK("https%3A%2F%2Fwww.webofscience.com%2Fwos%2Fwoscc%2Ffull-record%2FWOS:000615881900001","View Full Record in Web of Science")</f>
        <v>View Full Record in Web of Science</v>
      </c>
    </row>
    <row r="324" spans="1:81" ht="13.2" hidden="1" x14ac:dyDescent="0.25">
      <c r="A324" s="89" t="s">
        <v>20279</v>
      </c>
      <c r="B324" s="89" t="e">
        <f>+#REF!</f>
        <v>#REF!</v>
      </c>
      <c r="C324" s="89"/>
      <c r="D324" s="91" t="s">
        <v>717</v>
      </c>
      <c r="E324" s="90" t="e">
        <v>#REF!</v>
      </c>
      <c r="F324" s="89"/>
      <c r="G324" s="89"/>
      <c r="H324" s="89" t="s">
        <v>11969</v>
      </c>
      <c r="I324" s="89" t="s">
        <v>20280</v>
      </c>
      <c r="J324" s="89" t="s">
        <v>20283</v>
      </c>
      <c r="K324" s="89" t="s">
        <v>20282</v>
      </c>
      <c r="M324" s="89">
        <v>2019</v>
      </c>
      <c r="N324" s="89" t="s">
        <v>20281</v>
      </c>
      <c r="O324" s="89" t="s">
        <v>646</v>
      </c>
      <c r="P324" s="89" t="str">
        <f>HYPERLINK("http://dx.doi.org/10.1515/humaff-2019-0007","http://dx.doi.org/10.1515/humaff-2019-0007")</f>
        <v>http://dx.doi.org/10.1515/humaff-2019-0007</v>
      </c>
      <c r="S324" s="89" t="s">
        <v>646</v>
      </c>
      <c r="U324" s="89" t="s">
        <v>17462</v>
      </c>
      <c r="W324" s="89" t="s">
        <v>646</v>
      </c>
      <c r="X324" s="89" t="s">
        <v>646</v>
      </c>
      <c r="Y324" s="89" t="s">
        <v>646</v>
      </c>
      <c r="Z324" s="89" t="s">
        <v>646</v>
      </c>
      <c r="AA324" s="89" t="s">
        <v>646</v>
      </c>
      <c r="AB324" s="89" t="s">
        <v>646</v>
      </c>
      <c r="AC324" s="89" t="s">
        <v>646</v>
      </c>
      <c r="AD324" s="89" t="s">
        <v>646</v>
      </c>
      <c r="AE324" s="89" t="s">
        <v>646</v>
      </c>
      <c r="AF324" s="89" t="s">
        <v>20282</v>
      </c>
      <c r="AG324" s="89" t="s">
        <v>646</v>
      </c>
      <c r="AH324" s="89" t="s">
        <v>646</v>
      </c>
      <c r="AI324" s="89" t="s">
        <v>646</v>
      </c>
      <c r="AJ324" s="89" t="s">
        <v>646</v>
      </c>
      <c r="AK324" s="89" t="s">
        <v>20283</v>
      </c>
      <c r="AL324" s="89" t="s">
        <v>20284</v>
      </c>
      <c r="AM324" s="89" t="s">
        <v>646</v>
      </c>
      <c r="AN324" s="89" t="s">
        <v>646</v>
      </c>
      <c r="AO324" s="89" t="s">
        <v>646</v>
      </c>
      <c r="AP324" s="89" t="s">
        <v>646</v>
      </c>
      <c r="AQ324" s="89" t="s">
        <v>646</v>
      </c>
      <c r="AR324" s="89" t="s">
        <v>646</v>
      </c>
      <c r="AS324" s="89" t="s">
        <v>646</v>
      </c>
      <c r="AT324" s="89" t="s">
        <v>646</v>
      </c>
      <c r="AU324" s="89" t="s">
        <v>646</v>
      </c>
      <c r="AV324" s="89" t="s">
        <v>646</v>
      </c>
      <c r="AW324" s="89" t="s">
        <v>646</v>
      </c>
      <c r="AX324" s="89" t="s">
        <v>646</v>
      </c>
      <c r="AY324" s="89" t="s">
        <v>20285</v>
      </c>
      <c r="AZ324" s="89" t="s">
        <v>20286</v>
      </c>
      <c r="BA324" s="89" t="s">
        <v>646</v>
      </c>
      <c r="BB324" s="89" t="s">
        <v>646</v>
      </c>
      <c r="BC324" s="89" t="s">
        <v>646</v>
      </c>
      <c r="BD324" s="89" t="s">
        <v>17513</v>
      </c>
      <c r="BE324" s="89">
        <v>2019</v>
      </c>
      <c r="BF324" s="89">
        <v>29</v>
      </c>
      <c r="BG324" s="89">
        <v>1</v>
      </c>
      <c r="BH324" s="89" t="s">
        <v>646</v>
      </c>
      <c r="BI324" s="89" t="s">
        <v>646</v>
      </c>
      <c r="BJ324" s="89" t="s">
        <v>646</v>
      </c>
      <c r="BK324" s="89" t="s">
        <v>646</v>
      </c>
      <c r="BL324" s="89">
        <v>74</v>
      </c>
      <c r="BM324" s="89">
        <v>86</v>
      </c>
      <c r="BN324" s="89" t="s">
        <v>646</v>
      </c>
      <c r="BO324" s="89" t="str">
        <f>HYPERLINK("http://dx.doi.org/10.1515/humaff-2019-0007","http://dx.doi.org/10.1515/humaff-2019-0007")</f>
        <v>http://dx.doi.org/10.1515/humaff-2019-0007</v>
      </c>
      <c r="BP324" s="89" t="s">
        <v>646</v>
      </c>
      <c r="BQ324" s="89" t="s">
        <v>646</v>
      </c>
      <c r="BR324" s="89" t="s">
        <v>646</v>
      </c>
      <c r="BS324" s="89" t="s">
        <v>646</v>
      </c>
      <c r="BT324" s="89" t="s">
        <v>646</v>
      </c>
      <c r="BU324" s="89" t="s">
        <v>646</v>
      </c>
      <c r="BV324" s="89" t="s">
        <v>646</v>
      </c>
      <c r="BW324" s="89" t="s">
        <v>646</v>
      </c>
      <c r="BX324" s="89" t="s">
        <v>646</v>
      </c>
      <c r="BY324" s="89" t="s">
        <v>646</v>
      </c>
      <c r="BZ324" s="89" t="s">
        <v>646</v>
      </c>
      <c r="CA324" s="89" t="s">
        <v>646</v>
      </c>
      <c r="CB324" s="89" t="s">
        <v>20287</v>
      </c>
      <c r="CC324" s="89" t="str">
        <f>HYPERLINK("https%3A%2F%2Fwww.webofscience.com%2Fwos%2Fwoscc%2Ffull-record%2FWOS:000458433500007","View Full Record in Web of Science")</f>
        <v>View Full Record in Web of Science</v>
      </c>
    </row>
    <row r="325" spans="1:81" ht="13.2" hidden="1" x14ac:dyDescent="0.25">
      <c r="A325" s="89" t="s">
        <v>11977</v>
      </c>
      <c r="B325" s="89" t="e">
        <f>+#REF!</f>
        <v>#REF!</v>
      </c>
      <c r="C325" s="89"/>
      <c r="D325" s="91" t="s">
        <v>717</v>
      </c>
      <c r="E325" s="90" t="e">
        <v>#REF!</v>
      </c>
      <c r="F325" s="89"/>
      <c r="G325" s="89"/>
      <c r="H325" s="89" t="s">
        <v>11978</v>
      </c>
      <c r="I325" s="89" t="s">
        <v>20288</v>
      </c>
      <c r="J325" s="89" t="s">
        <v>646</v>
      </c>
      <c r="K325" s="89" t="s">
        <v>20295</v>
      </c>
      <c r="M325" s="89">
        <v>2016</v>
      </c>
      <c r="N325" s="89" t="s">
        <v>20289</v>
      </c>
      <c r="O325" s="89" t="s">
        <v>646</v>
      </c>
      <c r="P325" s="89" t="str">
        <f>HYPERLINK("http://dx.doi.org/10.1109/ICGSEW.2016.24","http://dx.doi.org/10.1109/ICGSEW.2016.24")</f>
        <v>http://dx.doi.org/10.1109/ICGSEW.2016.24</v>
      </c>
      <c r="S325" s="89" t="s">
        <v>17475</v>
      </c>
      <c r="U325" s="89" t="s">
        <v>17474</v>
      </c>
      <c r="W325" s="89" t="s">
        <v>646</v>
      </c>
      <c r="X325" s="89" t="s">
        <v>646</v>
      </c>
      <c r="Y325" s="89" t="s">
        <v>20290</v>
      </c>
      <c r="Z325" s="89" t="s">
        <v>20291</v>
      </c>
      <c r="AA325" s="89" t="s">
        <v>20292</v>
      </c>
      <c r="AB325" s="89" t="s">
        <v>20293</v>
      </c>
      <c r="AC325" s="89" t="s">
        <v>20294</v>
      </c>
      <c r="AD325" s="89" t="s">
        <v>646</v>
      </c>
      <c r="AE325" s="89" t="s">
        <v>646</v>
      </c>
      <c r="AF325" s="89" t="s">
        <v>20295</v>
      </c>
      <c r="AG325" s="89" t="s">
        <v>646</v>
      </c>
      <c r="AH325" s="89" t="s">
        <v>646</v>
      </c>
      <c r="AI325" s="89" t="s">
        <v>646</v>
      </c>
      <c r="AJ325" s="89" t="s">
        <v>646</v>
      </c>
      <c r="AK325" s="89" t="s">
        <v>646</v>
      </c>
      <c r="AL325" s="89" t="s">
        <v>646</v>
      </c>
      <c r="AM325" s="89" t="s">
        <v>646</v>
      </c>
      <c r="AN325" s="89" t="s">
        <v>646</v>
      </c>
      <c r="AO325" s="89" t="s">
        <v>646</v>
      </c>
      <c r="AP325" s="89" t="s">
        <v>646</v>
      </c>
      <c r="AQ325" s="89" t="s">
        <v>646</v>
      </c>
      <c r="AR325" s="89" t="s">
        <v>646</v>
      </c>
      <c r="AS325" s="89" t="s">
        <v>646</v>
      </c>
      <c r="AT325" s="89" t="s">
        <v>646</v>
      </c>
      <c r="AU325" s="89" t="s">
        <v>646</v>
      </c>
      <c r="AV325" s="89" t="s">
        <v>646</v>
      </c>
      <c r="AW325" s="89" t="s">
        <v>646</v>
      </c>
      <c r="AX325" s="89" t="s">
        <v>646</v>
      </c>
      <c r="AY325" s="89" t="s">
        <v>646</v>
      </c>
      <c r="AZ325" s="89" t="s">
        <v>646</v>
      </c>
      <c r="BA325" s="89" t="s">
        <v>20296</v>
      </c>
      <c r="BB325" s="89" t="s">
        <v>646</v>
      </c>
      <c r="BC325" s="89" t="s">
        <v>646</v>
      </c>
      <c r="BD325" s="89" t="s">
        <v>646</v>
      </c>
      <c r="BE325" s="89">
        <v>2016</v>
      </c>
      <c r="BF325" s="89" t="s">
        <v>646</v>
      </c>
      <c r="BG325" s="89" t="s">
        <v>646</v>
      </c>
      <c r="BH325" s="89" t="s">
        <v>646</v>
      </c>
      <c r="BI325" s="89" t="s">
        <v>646</v>
      </c>
      <c r="BJ325" s="89" t="s">
        <v>646</v>
      </c>
      <c r="BK325" s="89" t="s">
        <v>646</v>
      </c>
      <c r="BL325" s="89">
        <v>65</v>
      </c>
      <c r="BM325" s="89">
        <v>68</v>
      </c>
      <c r="BN325" s="89" t="s">
        <v>646</v>
      </c>
      <c r="BO325" s="89" t="str">
        <f>HYPERLINK("http://dx.doi.org/10.1109/ICGSEW.2016.24","http://dx.doi.org/10.1109/ICGSEW.2016.24")</f>
        <v>http://dx.doi.org/10.1109/ICGSEW.2016.24</v>
      </c>
      <c r="BP325" s="89" t="s">
        <v>646</v>
      </c>
      <c r="BQ325" s="89" t="s">
        <v>646</v>
      </c>
      <c r="BR325" s="89" t="s">
        <v>646</v>
      </c>
      <c r="BS325" s="89" t="s">
        <v>646</v>
      </c>
      <c r="BT325" s="89" t="s">
        <v>646</v>
      </c>
      <c r="BU325" s="89" t="s">
        <v>646</v>
      </c>
      <c r="BV325" s="89" t="s">
        <v>646</v>
      </c>
      <c r="BW325" s="89" t="s">
        <v>646</v>
      </c>
      <c r="BX325" s="89" t="s">
        <v>646</v>
      </c>
      <c r="BY325" s="89" t="s">
        <v>646</v>
      </c>
      <c r="BZ325" s="89" t="s">
        <v>646</v>
      </c>
      <c r="CA325" s="89" t="s">
        <v>646</v>
      </c>
      <c r="CB325" s="89" t="s">
        <v>20297</v>
      </c>
      <c r="CC325" s="89" t="str">
        <f>HYPERLINK("https%3A%2F%2Fwww.webofscience.com%2Fwos%2Fwoscc%2Ffull-record%2FWOS:000392497200012","View Full Record in Web of Science")</f>
        <v>View Full Record in Web of Science</v>
      </c>
    </row>
    <row r="326" spans="1:81" ht="13.2" hidden="1" x14ac:dyDescent="0.25">
      <c r="A326" s="89" t="s">
        <v>11987</v>
      </c>
      <c r="B326" s="89" t="e">
        <f>+#REF!</f>
        <v>#REF!</v>
      </c>
      <c r="C326" s="89"/>
      <c r="D326" s="91" t="s">
        <v>717</v>
      </c>
      <c r="E326" s="90" t="e">
        <v>#REF!</v>
      </c>
      <c r="F326" s="89"/>
      <c r="G326" s="89"/>
      <c r="H326" s="89" t="s">
        <v>11988</v>
      </c>
      <c r="I326" s="89" t="s">
        <v>20298</v>
      </c>
      <c r="J326" s="89" t="s">
        <v>646</v>
      </c>
      <c r="K326" s="89" t="s">
        <v>20300</v>
      </c>
      <c r="M326" s="89">
        <v>2019</v>
      </c>
      <c r="N326" s="89" t="s">
        <v>20299</v>
      </c>
      <c r="O326" s="89" t="s">
        <v>646</v>
      </c>
      <c r="P326" s="89" t="str">
        <f>HYPERLINK("http://dx.doi.org/10.1111/bjso.12313","http://dx.doi.org/10.1111/bjso.12313")</f>
        <v>http://dx.doi.org/10.1111/bjso.12313</v>
      </c>
      <c r="S326" s="89" t="s">
        <v>646</v>
      </c>
      <c r="U326" s="89" t="s">
        <v>17462</v>
      </c>
      <c r="W326" s="89" t="s">
        <v>646</v>
      </c>
      <c r="X326" s="89" t="s">
        <v>646</v>
      </c>
      <c r="Y326" s="89" t="s">
        <v>646</v>
      </c>
      <c r="Z326" s="89" t="s">
        <v>646</v>
      </c>
      <c r="AA326" s="89" t="s">
        <v>646</v>
      </c>
      <c r="AB326" s="89" t="s">
        <v>646</v>
      </c>
      <c r="AC326" s="89" t="s">
        <v>646</v>
      </c>
      <c r="AD326" s="89" t="s">
        <v>646</v>
      </c>
      <c r="AE326" s="89" t="s">
        <v>646</v>
      </c>
      <c r="AF326" s="89" t="s">
        <v>20300</v>
      </c>
      <c r="AG326" s="89" t="s">
        <v>646</v>
      </c>
      <c r="AH326" s="89" t="s">
        <v>646</v>
      </c>
      <c r="AI326" s="89" t="s">
        <v>646</v>
      </c>
      <c r="AJ326" s="89" t="s">
        <v>646</v>
      </c>
      <c r="AK326" s="89" t="s">
        <v>646</v>
      </c>
      <c r="AL326" s="89" t="s">
        <v>20301</v>
      </c>
      <c r="AM326" s="89" t="s">
        <v>646</v>
      </c>
      <c r="AN326" s="89" t="s">
        <v>646</v>
      </c>
      <c r="AO326" s="89" t="s">
        <v>646</v>
      </c>
      <c r="AP326" s="89" t="s">
        <v>646</v>
      </c>
      <c r="AQ326" s="89" t="s">
        <v>646</v>
      </c>
      <c r="AR326" s="89" t="s">
        <v>646</v>
      </c>
      <c r="AS326" s="89" t="s">
        <v>646</v>
      </c>
      <c r="AT326" s="89" t="s">
        <v>646</v>
      </c>
      <c r="AU326" s="89" t="s">
        <v>646</v>
      </c>
      <c r="AV326" s="89" t="s">
        <v>646</v>
      </c>
      <c r="AW326" s="89" t="s">
        <v>646</v>
      </c>
      <c r="AX326" s="89" t="s">
        <v>646</v>
      </c>
      <c r="AY326" s="89" t="s">
        <v>20302</v>
      </c>
      <c r="AZ326" s="89" t="s">
        <v>20303</v>
      </c>
      <c r="BA326" s="89" t="s">
        <v>646</v>
      </c>
      <c r="BB326" s="89" t="s">
        <v>646</v>
      </c>
      <c r="BC326" s="89" t="s">
        <v>646</v>
      </c>
      <c r="BD326" s="89" t="s">
        <v>17687</v>
      </c>
      <c r="BE326" s="89">
        <v>2019</v>
      </c>
      <c r="BF326" s="89">
        <v>58</v>
      </c>
      <c r="BG326" s="89">
        <v>4</v>
      </c>
      <c r="BH326" s="89" t="s">
        <v>646</v>
      </c>
      <c r="BI326" s="89" t="s">
        <v>646</v>
      </c>
      <c r="BJ326" s="89" t="s">
        <v>646</v>
      </c>
      <c r="BK326" s="89" t="s">
        <v>646</v>
      </c>
      <c r="BL326" s="89">
        <v>1008</v>
      </c>
      <c r="BM326" s="89">
        <v>1033</v>
      </c>
      <c r="BN326" s="89" t="s">
        <v>646</v>
      </c>
      <c r="BO326" s="89" t="str">
        <f>HYPERLINK("http://dx.doi.org/10.1111/bjso.12313","http://dx.doi.org/10.1111/bjso.12313")</f>
        <v>http://dx.doi.org/10.1111/bjso.12313</v>
      </c>
      <c r="BP326" s="89" t="s">
        <v>646</v>
      </c>
      <c r="BQ326" s="89" t="s">
        <v>646</v>
      </c>
      <c r="BR326" s="89" t="s">
        <v>646</v>
      </c>
      <c r="BS326" s="89" t="s">
        <v>646</v>
      </c>
      <c r="BT326" s="89" t="s">
        <v>646</v>
      </c>
      <c r="BU326" s="89" t="s">
        <v>646</v>
      </c>
      <c r="BV326" s="89" t="s">
        <v>646</v>
      </c>
      <c r="BW326" s="89">
        <v>30697756</v>
      </c>
      <c r="BX326" s="89" t="s">
        <v>646</v>
      </c>
      <c r="BY326" s="89" t="s">
        <v>646</v>
      </c>
      <c r="BZ326" s="89" t="s">
        <v>646</v>
      </c>
      <c r="CA326" s="89" t="s">
        <v>646</v>
      </c>
      <c r="CB326" s="89" t="s">
        <v>20304</v>
      </c>
      <c r="CC326" s="89" t="str">
        <f>HYPERLINK("https%3A%2F%2Fwww.webofscience.com%2Fwos%2Fwoscc%2Ffull-record%2FWOS:000491262900013","View Full Record in Web of Science")</f>
        <v>View Full Record in Web of Science</v>
      </c>
    </row>
    <row r="327" spans="1:81" ht="13.2" hidden="1" x14ac:dyDescent="0.25">
      <c r="A327" s="89" t="s">
        <v>20305</v>
      </c>
      <c r="B327" s="89" t="e">
        <f>+#REF!</f>
        <v>#REF!</v>
      </c>
      <c r="C327" s="89"/>
      <c r="D327" s="91" t="s">
        <v>717</v>
      </c>
      <c r="E327" s="90" t="e">
        <v>#REF!</v>
      </c>
      <c r="F327" s="89"/>
      <c r="G327" s="89"/>
      <c r="H327" s="89" t="s">
        <v>9276</v>
      </c>
      <c r="I327" s="89" t="s">
        <v>20306</v>
      </c>
      <c r="J327" s="89" t="s">
        <v>646</v>
      </c>
      <c r="K327" s="89" t="s">
        <v>20308</v>
      </c>
      <c r="M327" s="89">
        <v>2022</v>
      </c>
      <c r="N327" s="89" t="s">
        <v>20307</v>
      </c>
      <c r="O327" s="89" t="s">
        <v>646</v>
      </c>
      <c r="P327" s="89" t="str">
        <f>HYPERLINK("http://dx.doi.org/10.1002/ajs4.152","http://dx.doi.org/10.1002/ajs4.152")</f>
        <v>http://dx.doi.org/10.1002/ajs4.152</v>
      </c>
      <c r="S327" s="89" t="s">
        <v>646</v>
      </c>
      <c r="U327" s="89" t="s">
        <v>17462</v>
      </c>
      <c r="W327" s="89" t="s">
        <v>646</v>
      </c>
      <c r="X327" s="89" t="s">
        <v>646</v>
      </c>
      <c r="Y327" s="89" t="s">
        <v>646</v>
      </c>
      <c r="Z327" s="89" t="s">
        <v>646</v>
      </c>
      <c r="AA327" s="89" t="s">
        <v>646</v>
      </c>
      <c r="AB327" s="89" t="s">
        <v>646</v>
      </c>
      <c r="AC327" s="89" t="s">
        <v>646</v>
      </c>
      <c r="AD327" s="89" t="s">
        <v>646</v>
      </c>
      <c r="AE327" s="89" t="s">
        <v>646</v>
      </c>
      <c r="AF327" s="89" t="s">
        <v>20308</v>
      </c>
      <c r="AG327" s="89" t="s">
        <v>646</v>
      </c>
      <c r="AH327" s="89" t="s">
        <v>646</v>
      </c>
      <c r="AI327" s="89" t="s">
        <v>646</v>
      </c>
      <c r="AJ327" s="89" t="s">
        <v>646</v>
      </c>
      <c r="AK327" s="89" t="s">
        <v>646</v>
      </c>
      <c r="AL327" s="89" t="s">
        <v>646</v>
      </c>
      <c r="AM327" s="89" t="s">
        <v>646</v>
      </c>
      <c r="AN327" s="89" t="s">
        <v>646</v>
      </c>
      <c r="AO327" s="89" t="s">
        <v>646</v>
      </c>
      <c r="AP327" s="89" t="s">
        <v>646</v>
      </c>
      <c r="AQ327" s="89" t="s">
        <v>646</v>
      </c>
      <c r="AR327" s="89" t="s">
        <v>646</v>
      </c>
      <c r="AS327" s="89" t="s">
        <v>646</v>
      </c>
      <c r="AT327" s="89" t="s">
        <v>646</v>
      </c>
      <c r="AU327" s="89" t="s">
        <v>646</v>
      </c>
      <c r="AV327" s="89" t="s">
        <v>646</v>
      </c>
      <c r="AW327" s="89" t="s">
        <v>646</v>
      </c>
      <c r="AX327" s="89" t="s">
        <v>646</v>
      </c>
      <c r="AY327" s="89" t="s">
        <v>20309</v>
      </c>
      <c r="AZ327" s="89" t="s">
        <v>20310</v>
      </c>
      <c r="BA327" s="89" t="s">
        <v>646</v>
      </c>
      <c r="BB327" s="89" t="s">
        <v>646</v>
      </c>
      <c r="BC327" s="89" t="s">
        <v>646</v>
      </c>
      <c r="BD327" s="89" t="s">
        <v>17779</v>
      </c>
      <c r="BE327" s="89">
        <v>2022</v>
      </c>
      <c r="BF327" s="89">
        <v>57</v>
      </c>
      <c r="BG327" s="89">
        <v>1</v>
      </c>
      <c r="BH327" s="89" t="s">
        <v>646</v>
      </c>
      <c r="BI327" s="89" t="s">
        <v>646</v>
      </c>
      <c r="BJ327" s="89" t="s">
        <v>646</v>
      </c>
      <c r="BK327" s="89" t="s">
        <v>646</v>
      </c>
      <c r="BL327" s="89">
        <v>70</v>
      </c>
      <c r="BM327" s="89">
        <v>87</v>
      </c>
      <c r="BN327" s="89" t="s">
        <v>646</v>
      </c>
      <c r="BO327" s="89" t="str">
        <f>HYPERLINK("http://dx.doi.org/10.1002/ajs4.152","http://dx.doi.org/10.1002/ajs4.152")</f>
        <v>http://dx.doi.org/10.1002/ajs4.152</v>
      </c>
      <c r="BP327" s="89" t="s">
        <v>646</v>
      </c>
      <c r="BQ327" s="89" t="s">
        <v>19593</v>
      </c>
      <c r="BR327" s="89" t="s">
        <v>646</v>
      </c>
      <c r="BS327" s="89" t="s">
        <v>646</v>
      </c>
      <c r="BT327" s="89" t="s">
        <v>646</v>
      </c>
      <c r="BU327" s="89" t="s">
        <v>646</v>
      </c>
      <c r="BV327" s="89" t="s">
        <v>646</v>
      </c>
      <c r="BW327" s="89">
        <v>33821061</v>
      </c>
      <c r="BX327" s="89" t="s">
        <v>646</v>
      </c>
      <c r="BY327" s="89" t="s">
        <v>646</v>
      </c>
      <c r="BZ327" s="89" t="s">
        <v>646</v>
      </c>
      <c r="CA327" s="89" t="s">
        <v>646</v>
      </c>
      <c r="CB327" s="89" t="s">
        <v>20311</v>
      </c>
      <c r="CC327" s="89" t="str">
        <f>HYPERLINK("https%3A%2F%2Fwww.webofscience.com%2Fwos%2Fwoscc%2Ffull-record%2FWOS:000623044800001","View Full Record in Web of Science")</f>
        <v>View Full Record in Web of Science</v>
      </c>
    </row>
    <row r="328" spans="1:81" ht="13.2" hidden="1" x14ac:dyDescent="0.25">
      <c r="A328" s="89" t="s">
        <v>11997</v>
      </c>
      <c r="B328" s="89" t="e">
        <f>+#REF!</f>
        <v>#REF!</v>
      </c>
      <c r="C328" s="89"/>
      <c r="D328" s="91" t="s">
        <v>717</v>
      </c>
      <c r="E328" s="90" t="e">
        <v>#REF!</v>
      </c>
      <c r="F328" s="89"/>
      <c r="G328" s="89"/>
      <c r="H328" s="89" t="s">
        <v>11998</v>
      </c>
      <c r="I328" s="89" t="s">
        <v>20312</v>
      </c>
      <c r="J328" s="89" t="s">
        <v>20315</v>
      </c>
      <c r="K328" s="89" t="s">
        <v>20314</v>
      </c>
      <c r="M328" s="89">
        <v>2019</v>
      </c>
      <c r="N328" s="89" t="s">
        <v>20313</v>
      </c>
      <c r="O328" s="89" t="s">
        <v>646</v>
      </c>
      <c r="P328" s="89" t="str">
        <f>HYPERLINK("http://dx.doi.org/10.1016/j.drugalcdep.2019.02.022","http://dx.doi.org/10.1016/j.drugalcdep.2019.02.022")</f>
        <v>http://dx.doi.org/10.1016/j.drugalcdep.2019.02.022</v>
      </c>
      <c r="S328" s="89" t="s">
        <v>646</v>
      </c>
      <c r="U328" s="89" t="s">
        <v>17462</v>
      </c>
      <c r="W328" s="89" t="s">
        <v>646</v>
      </c>
      <c r="X328" s="89" t="s">
        <v>646</v>
      </c>
      <c r="Y328" s="89" t="s">
        <v>646</v>
      </c>
      <c r="Z328" s="89" t="s">
        <v>646</v>
      </c>
      <c r="AA328" s="89" t="s">
        <v>646</v>
      </c>
      <c r="AB328" s="89" t="s">
        <v>646</v>
      </c>
      <c r="AC328" s="89" t="s">
        <v>646</v>
      </c>
      <c r="AD328" s="89" t="s">
        <v>646</v>
      </c>
      <c r="AE328" s="89" t="s">
        <v>646</v>
      </c>
      <c r="AF328" s="89" t="s">
        <v>20314</v>
      </c>
      <c r="AG328" s="89" t="s">
        <v>646</v>
      </c>
      <c r="AH328" s="89" t="s">
        <v>646</v>
      </c>
      <c r="AI328" s="89" t="s">
        <v>646</v>
      </c>
      <c r="AJ328" s="89" t="s">
        <v>646</v>
      </c>
      <c r="AK328" s="89" t="s">
        <v>20315</v>
      </c>
      <c r="AL328" s="89" t="s">
        <v>20316</v>
      </c>
      <c r="AM328" s="89" t="s">
        <v>646</v>
      </c>
      <c r="AN328" s="89" t="s">
        <v>646</v>
      </c>
      <c r="AO328" s="89" t="s">
        <v>646</v>
      </c>
      <c r="AP328" s="89" t="s">
        <v>646</v>
      </c>
      <c r="AQ328" s="89" t="s">
        <v>646</v>
      </c>
      <c r="AR328" s="89" t="s">
        <v>646</v>
      </c>
      <c r="AS328" s="89" t="s">
        <v>646</v>
      </c>
      <c r="AT328" s="89" t="s">
        <v>646</v>
      </c>
      <c r="AU328" s="89" t="s">
        <v>646</v>
      </c>
      <c r="AV328" s="89" t="s">
        <v>646</v>
      </c>
      <c r="AW328" s="89" t="s">
        <v>646</v>
      </c>
      <c r="AX328" s="89" t="s">
        <v>646</v>
      </c>
      <c r="AY328" s="89" t="s">
        <v>20317</v>
      </c>
      <c r="AZ328" s="89" t="s">
        <v>20318</v>
      </c>
      <c r="BA328" s="89" t="s">
        <v>646</v>
      </c>
      <c r="BB328" s="89" t="s">
        <v>646</v>
      </c>
      <c r="BC328" s="89" t="s">
        <v>646</v>
      </c>
      <c r="BD328" s="89" t="s">
        <v>20319</v>
      </c>
      <c r="BE328" s="89">
        <v>2019</v>
      </c>
      <c r="BF328" s="89">
        <v>199</v>
      </c>
      <c r="BG328" s="89" t="s">
        <v>646</v>
      </c>
      <c r="BH328" s="89" t="s">
        <v>646</v>
      </c>
      <c r="BI328" s="89" t="s">
        <v>646</v>
      </c>
      <c r="BJ328" s="89" t="s">
        <v>646</v>
      </c>
      <c r="BK328" s="89" t="s">
        <v>646</v>
      </c>
      <c r="BL328" s="89">
        <v>85</v>
      </c>
      <c r="BM328" s="89">
        <v>91</v>
      </c>
      <c r="BN328" s="89" t="s">
        <v>646</v>
      </c>
      <c r="BO328" s="89" t="str">
        <f>HYPERLINK("http://dx.doi.org/10.1016/j.drugalcdep.2019.02.022","http://dx.doi.org/10.1016/j.drugalcdep.2019.02.022")</f>
        <v>http://dx.doi.org/10.1016/j.drugalcdep.2019.02.022</v>
      </c>
      <c r="BP328" s="89" t="s">
        <v>646</v>
      </c>
      <c r="BQ328" s="89" t="s">
        <v>646</v>
      </c>
      <c r="BR328" s="89" t="s">
        <v>646</v>
      </c>
      <c r="BS328" s="89" t="s">
        <v>646</v>
      </c>
      <c r="BT328" s="89" t="s">
        <v>646</v>
      </c>
      <c r="BU328" s="89" t="s">
        <v>646</v>
      </c>
      <c r="BV328" s="89" t="s">
        <v>646</v>
      </c>
      <c r="BW328" s="89">
        <v>31029879</v>
      </c>
      <c r="BX328" s="89" t="s">
        <v>646</v>
      </c>
      <c r="BY328" s="89" t="s">
        <v>646</v>
      </c>
      <c r="BZ328" s="89" t="s">
        <v>646</v>
      </c>
      <c r="CA328" s="89" t="s">
        <v>646</v>
      </c>
      <c r="CB328" s="89" t="s">
        <v>20320</v>
      </c>
      <c r="CC328" s="89" t="str">
        <f>HYPERLINK("https%3A%2F%2Fwww.webofscience.com%2Fwos%2Fwoscc%2Ffull-record%2FWOS:000470946100013","View Full Record in Web of Science")</f>
        <v>View Full Record in Web of Science</v>
      </c>
    </row>
    <row r="329" spans="1:81" ht="13.2" hidden="1" x14ac:dyDescent="0.25">
      <c r="A329" s="89" t="s">
        <v>20321</v>
      </c>
      <c r="B329" s="89" t="e">
        <f>+#REF!</f>
        <v>#REF!</v>
      </c>
      <c r="C329" s="89"/>
      <c r="D329" s="91" t="s">
        <v>717</v>
      </c>
      <c r="E329" s="90" t="e">
        <v>#REF!</v>
      </c>
      <c r="F329" s="89"/>
      <c r="G329" s="89"/>
      <c r="H329" s="89" t="s">
        <v>646</v>
      </c>
      <c r="I329" s="89" t="s">
        <v>20323</v>
      </c>
      <c r="J329" s="89" t="s">
        <v>646</v>
      </c>
      <c r="K329" s="89" t="s">
        <v>20330</v>
      </c>
      <c r="M329" s="89">
        <v>2010</v>
      </c>
      <c r="N329" s="89" t="s">
        <v>20324</v>
      </c>
      <c r="O329" s="89" t="s">
        <v>20322</v>
      </c>
      <c r="P329" s="89" t="s">
        <v>646</v>
      </c>
      <c r="S329" s="89" t="s">
        <v>646</v>
      </c>
      <c r="U329" s="89" t="s">
        <v>17474</v>
      </c>
      <c r="W329" s="89" t="s">
        <v>646</v>
      </c>
      <c r="X329" s="89" t="s">
        <v>646</v>
      </c>
      <c r="Y329" s="89" t="s">
        <v>20325</v>
      </c>
      <c r="Z329" s="89" t="s">
        <v>20326</v>
      </c>
      <c r="AA329" s="89" t="s">
        <v>20327</v>
      </c>
      <c r="AB329" s="89" t="s">
        <v>20328</v>
      </c>
      <c r="AC329" s="89" t="s">
        <v>20329</v>
      </c>
      <c r="AD329" s="89" t="s">
        <v>646</v>
      </c>
      <c r="AE329" s="89" t="s">
        <v>646</v>
      </c>
      <c r="AF329" s="89" t="s">
        <v>20330</v>
      </c>
      <c r="AG329" s="89" t="s">
        <v>646</v>
      </c>
      <c r="AH329" s="89" t="s">
        <v>646</v>
      </c>
      <c r="AI329" s="89" t="s">
        <v>646</v>
      </c>
      <c r="AJ329" s="89" t="s">
        <v>646</v>
      </c>
      <c r="AK329" s="89" t="s">
        <v>646</v>
      </c>
      <c r="AL329" s="89" t="s">
        <v>646</v>
      </c>
      <c r="AM329" s="89" t="s">
        <v>646</v>
      </c>
      <c r="AN329" s="89" t="s">
        <v>646</v>
      </c>
      <c r="AO329" s="89" t="s">
        <v>646</v>
      </c>
      <c r="AP329" s="89" t="s">
        <v>646</v>
      </c>
      <c r="AQ329" s="89" t="s">
        <v>646</v>
      </c>
      <c r="AR329" s="89" t="s">
        <v>646</v>
      </c>
      <c r="AS329" s="89" t="s">
        <v>646</v>
      </c>
      <c r="AT329" s="89" t="s">
        <v>646</v>
      </c>
      <c r="AU329" s="89" t="s">
        <v>646</v>
      </c>
      <c r="AV329" s="89" t="s">
        <v>646</v>
      </c>
      <c r="AW329" s="89" t="s">
        <v>646</v>
      </c>
      <c r="AX329" s="89" t="s">
        <v>646</v>
      </c>
      <c r="AY329" s="89" t="s">
        <v>646</v>
      </c>
      <c r="AZ329" s="89" t="s">
        <v>646</v>
      </c>
      <c r="BA329" s="89" t="s">
        <v>20331</v>
      </c>
      <c r="BB329" s="89" t="s">
        <v>646</v>
      </c>
      <c r="BC329" s="89" t="s">
        <v>646</v>
      </c>
      <c r="BD329" s="89" t="s">
        <v>646</v>
      </c>
      <c r="BE329" s="89">
        <v>2010</v>
      </c>
      <c r="BF329" s="89" t="s">
        <v>646</v>
      </c>
      <c r="BG329" s="89" t="s">
        <v>646</v>
      </c>
      <c r="BH329" s="89" t="s">
        <v>646</v>
      </c>
      <c r="BI329" s="89" t="s">
        <v>646</v>
      </c>
      <c r="BJ329" s="89" t="s">
        <v>646</v>
      </c>
      <c r="BK329" s="89" t="s">
        <v>646</v>
      </c>
      <c r="BL329" s="89">
        <v>370</v>
      </c>
      <c r="BM329" s="89">
        <v>375</v>
      </c>
      <c r="BN329" s="89" t="s">
        <v>646</v>
      </c>
      <c r="BO329" s="89" t="s">
        <v>646</v>
      </c>
      <c r="BP329" s="89" t="s">
        <v>646</v>
      </c>
      <c r="BQ329" s="89" t="s">
        <v>646</v>
      </c>
      <c r="BR329" s="89" t="s">
        <v>646</v>
      </c>
      <c r="BS329" s="89" t="s">
        <v>646</v>
      </c>
      <c r="BT329" s="89" t="s">
        <v>646</v>
      </c>
      <c r="BU329" s="89" t="s">
        <v>646</v>
      </c>
      <c r="BV329" s="89" t="s">
        <v>646</v>
      </c>
      <c r="BW329" s="89" t="s">
        <v>646</v>
      </c>
      <c r="BX329" s="89" t="s">
        <v>646</v>
      </c>
      <c r="BY329" s="89" t="s">
        <v>646</v>
      </c>
      <c r="BZ329" s="89" t="s">
        <v>646</v>
      </c>
      <c r="CA329" s="89" t="s">
        <v>646</v>
      </c>
      <c r="CB329" s="89" t="s">
        <v>20332</v>
      </c>
      <c r="CC329" s="89" t="str">
        <f>HYPERLINK("https%3A%2F%2Fwww.webofscience.com%2Fwos%2Fwoscc%2Ffull-record%2FWOS:000287767500079","View Full Record in Web of Science")</f>
        <v>View Full Record in Web of Science</v>
      </c>
    </row>
    <row r="330" spans="1:81" ht="13.2" hidden="1" x14ac:dyDescent="0.25">
      <c r="A330" s="89" t="s">
        <v>20333</v>
      </c>
      <c r="B330" s="89" t="e">
        <f>+#REF!</f>
        <v>#REF!</v>
      </c>
      <c r="C330" s="89"/>
      <c r="D330" s="91" t="s">
        <v>717</v>
      </c>
      <c r="E330" s="90" t="e">
        <v>#REF!</v>
      </c>
      <c r="F330" s="89"/>
      <c r="G330" s="89"/>
      <c r="H330" s="89" t="s">
        <v>12017</v>
      </c>
      <c r="I330" s="89" t="s">
        <v>20334</v>
      </c>
      <c r="J330" s="89" t="s">
        <v>20336</v>
      </c>
      <c r="K330" s="89" t="s">
        <v>20335</v>
      </c>
      <c r="M330" s="89">
        <v>2020</v>
      </c>
      <c r="N330" s="89" t="s">
        <v>20245</v>
      </c>
      <c r="O330" s="89" t="s">
        <v>646</v>
      </c>
      <c r="P330" s="89" t="str">
        <f>HYPERLINK("http://dx.doi.org/10.1007/s10664-019-09753-2","http://dx.doi.org/10.1007/s10664-019-09753-2")</f>
        <v>http://dx.doi.org/10.1007/s10664-019-09753-2</v>
      </c>
      <c r="S330" s="89" t="s">
        <v>646</v>
      </c>
      <c r="U330" s="89" t="s">
        <v>17462</v>
      </c>
      <c r="W330" s="89" t="s">
        <v>646</v>
      </c>
      <c r="X330" s="89" t="s">
        <v>646</v>
      </c>
      <c r="Y330" s="89" t="s">
        <v>646</v>
      </c>
      <c r="Z330" s="89" t="s">
        <v>646</v>
      </c>
      <c r="AA330" s="89" t="s">
        <v>646</v>
      </c>
      <c r="AB330" s="89" t="s">
        <v>646</v>
      </c>
      <c r="AC330" s="89" t="s">
        <v>646</v>
      </c>
      <c r="AD330" s="89" t="s">
        <v>646</v>
      </c>
      <c r="AE330" s="89" t="s">
        <v>646</v>
      </c>
      <c r="AF330" s="89" t="s">
        <v>20335</v>
      </c>
      <c r="AG330" s="89" t="s">
        <v>646</v>
      </c>
      <c r="AH330" s="89" t="s">
        <v>646</v>
      </c>
      <c r="AI330" s="89" t="s">
        <v>646</v>
      </c>
      <c r="AJ330" s="89" t="s">
        <v>646</v>
      </c>
      <c r="AK330" s="89" t="s">
        <v>20336</v>
      </c>
      <c r="AL330" s="89" t="s">
        <v>20337</v>
      </c>
      <c r="AM330" s="89" t="s">
        <v>646</v>
      </c>
      <c r="AN330" s="89" t="s">
        <v>646</v>
      </c>
      <c r="AO330" s="89" t="s">
        <v>646</v>
      </c>
      <c r="AP330" s="89" t="s">
        <v>646</v>
      </c>
      <c r="AQ330" s="89" t="s">
        <v>646</v>
      </c>
      <c r="AR330" s="89" t="s">
        <v>646</v>
      </c>
      <c r="AS330" s="89" t="s">
        <v>646</v>
      </c>
      <c r="AT330" s="89" t="s">
        <v>646</v>
      </c>
      <c r="AU330" s="89" t="s">
        <v>646</v>
      </c>
      <c r="AV330" s="89" t="s">
        <v>646</v>
      </c>
      <c r="AW330" s="89" t="s">
        <v>646</v>
      </c>
      <c r="AX330" s="89" t="s">
        <v>646</v>
      </c>
      <c r="AY330" s="89" t="s">
        <v>20249</v>
      </c>
      <c r="AZ330" s="89" t="s">
        <v>20250</v>
      </c>
      <c r="BA330" s="89" t="s">
        <v>646</v>
      </c>
      <c r="BB330" s="89" t="s">
        <v>646</v>
      </c>
      <c r="BC330" s="89" t="s">
        <v>646</v>
      </c>
      <c r="BD330" s="89" t="s">
        <v>17513</v>
      </c>
      <c r="BE330" s="89">
        <v>2020</v>
      </c>
      <c r="BF330" s="89">
        <v>25</v>
      </c>
      <c r="BG330" s="89">
        <v>1</v>
      </c>
      <c r="BH330" s="89" t="s">
        <v>646</v>
      </c>
      <c r="BI330" s="89" t="s">
        <v>646</v>
      </c>
      <c r="BJ330" s="89" t="s">
        <v>646</v>
      </c>
      <c r="BK330" s="89" t="s">
        <v>646</v>
      </c>
      <c r="BL330" s="89">
        <v>532</v>
      </c>
      <c r="BM330" s="89">
        <v>561</v>
      </c>
      <c r="BN330" s="89" t="s">
        <v>646</v>
      </c>
      <c r="BO330" s="89" t="str">
        <f>HYPERLINK("http://dx.doi.org/10.1007/s10664-019-09753-2","http://dx.doi.org/10.1007/s10664-019-09753-2")</f>
        <v>http://dx.doi.org/10.1007/s10664-019-09753-2</v>
      </c>
      <c r="BP330" s="89" t="s">
        <v>646</v>
      </c>
      <c r="BQ330" s="89" t="s">
        <v>646</v>
      </c>
      <c r="BR330" s="89" t="s">
        <v>646</v>
      </c>
      <c r="BS330" s="89" t="s">
        <v>646</v>
      </c>
      <c r="BT330" s="89" t="s">
        <v>646</v>
      </c>
      <c r="BU330" s="89" t="s">
        <v>646</v>
      </c>
      <c r="BV330" s="89" t="s">
        <v>646</v>
      </c>
      <c r="BW330" s="89" t="s">
        <v>646</v>
      </c>
      <c r="BX330" s="89" t="s">
        <v>646</v>
      </c>
      <c r="BY330" s="89" t="s">
        <v>646</v>
      </c>
      <c r="BZ330" s="89" t="s">
        <v>646</v>
      </c>
      <c r="CA330" s="89" t="s">
        <v>646</v>
      </c>
      <c r="CB330" s="89" t="s">
        <v>20338</v>
      </c>
      <c r="CC330" s="89" t="str">
        <f>HYPERLINK("https%3A%2F%2Fwww.webofscience.com%2Fwos%2Fwoscc%2Ffull-record%2FWOS:000515965100013","View Full Record in Web of Science")</f>
        <v>View Full Record in Web of Science</v>
      </c>
    </row>
    <row r="331" spans="1:81" ht="13.2" hidden="1" x14ac:dyDescent="0.25">
      <c r="A331" s="89" t="s">
        <v>12025</v>
      </c>
      <c r="B331" s="89" t="e">
        <f>+#REF!</f>
        <v>#REF!</v>
      </c>
      <c r="C331" s="89"/>
      <c r="D331" s="91" t="s">
        <v>717</v>
      </c>
      <c r="E331" s="90" t="e">
        <v>#REF!</v>
      </c>
      <c r="F331" s="89"/>
      <c r="G331" s="89"/>
      <c r="H331" s="89" t="s">
        <v>12026</v>
      </c>
      <c r="I331" s="89" t="s">
        <v>20339</v>
      </c>
      <c r="J331" s="89" t="s">
        <v>20342</v>
      </c>
      <c r="K331" s="89" t="s">
        <v>20341</v>
      </c>
      <c r="M331" s="89">
        <v>2015</v>
      </c>
      <c r="N331" s="89" t="s">
        <v>20340</v>
      </c>
      <c r="O331" s="89" t="s">
        <v>646</v>
      </c>
      <c r="P331" s="89" t="str">
        <f>HYPERLINK("http://dx.doi.org/10.1016/j.neucom.2014.10.083","http://dx.doi.org/10.1016/j.neucom.2014.10.083")</f>
        <v>http://dx.doi.org/10.1016/j.neucom.2014.10.083</v>
      </c>
      <c r="S331" s="89" t="s">
        <v>646</v>
      </c>
      <c r="U331" s="89" t="s">
        <v>17462</v>
      </c>
      <c r="W331" s="89" t="s">
        <v>646</v>
      </c>
      <c r="X331" s="89" t="s">
        <v>646</v>
      </c>
      <c r="Y331" s="89" t="s">
        <v>646</v>
      </c>
      <c r="Z331" s="89" t="s">
        <v>646</v>
      </c>
      <c r="AA331" s="89" t="s">
        <v>646</v>
      </c>
      <c r="AB331" s="89" t="s">
        <v>646</v>
      </c>
      <c r="AC331" s="89" t="s">
        <v>646</v>
      </c>
      <c r="AD331" s="89" t="s">
        <v>646</v>
      </c>
      <c r="AE331" s="89" t="s">
        <v>646</v>
      </c>
      <c r="AF331" s="89" t="s">
        <v>20341</v>
      </c>
      <c r="AG331" s="89" t="s">
        <v>646</v>
      </c>
      <c r="AH331" s="89" t="s">
        <v>646</v>
      </c>
      <c r="AI331" s="89" t="s">
        <v>646</v>
      </c>
      <c r="AJ331" s="89" t="s">
        <v>646</v>
      </c>
      <c r="AK331" s="89" t="s">
        <v>20342</v>
      </c>
      <c r="AL331" s="89" t="s">
        <v>646</v>
      </c>
      <c r="AM331" s="89" t="s">
        <v>646</v>
      </c>
      <c r="AN331" s="89" t="s">
        <v>646</v>
      </c>
      <c r="AO331" s="89" t="s">
        <v>646</v>
      </c>
      <c r="AP331" s="89" t="s">
        <v>646</v>
      </c>
      <c r="AQ331" s="89" t="s">
        <v>646</v>
      </c>
      <c r="AR331" s="89" t="s">
        <v>646</v>
      </c>
      <c r="AS331" s="89" t="s">
        <v>646</v>
      </c>
      <c r="AT331" s="89" t="s">
        <v>646</v>
      </c>
      <c r="AU331" s="89" t="s">
        <v>646</v>
      </c>
      <c r="AV331" s="89" t="s">
        <v>646</v>
      </c>
      <c r="AW331" s="89" t="s">
        <v>646</v>
      </c>
      <c r="AX331" s="89" t="s">
        <v>646</v>
      </c>
      <c r="AY331" s="89" t="s">
        <v>20343</v>
      </c>
      <c r="AZ331" s="89" t="s">
        <v>20344</v>
      </c>
      <c r="BA331" s="89" t="s">
        <v>646</v>
      </c>
      <c r="BB331" s="89" t="s">
        <v>646</v>
      </c>
      <c r="BC331" s="89" t="s">
        <v>646</v>
      </c>
      <c r="BD331" s="89" t="s">
        <v>20345</v>
      </c>
      <c r="BE331" s="89">
        <v>2015</v>
      </c>
      <c r="BF331" s="89">
        <v>160</v>
      </c>
      <c r="BG331" s="89" t="s">
        <v>646</v>
      </c>
      <c r="BH331" s="89" t="s">
        <v>646</v>
      </c>
      <c r="BI331" s="89" t="s">
        <v>646</v>
      </c>
      <c r="BJ331" s="89" t="s">
        <v>646</v>
      </c>
      <c r="BK331" s="89" t="s">
        <v>646</v>
      </c>
      <c r="BL331" s="89">
        <v>34</v>
      </c>
      <c r="BM331" s="89">
        <v>52</v>
      </c>
      <c r="BN331" s="89" t="s">
        <v>646</v>
      </c>
      <c r="BO331" s="89" t="str">
        <f>HYPERLINK("http://dx.doi.org/10.1016/j.neucom.2014.10.083","http://dx.doi.org/10.1016/j.neucom.2014.10.083")</f>
        <v>http://dx.doi.org/10.1016/j.neucom.2014.10.083</v>
      </c>
      <c r="BP331" s="89" t="s">
        <v>646</v>
      </c>
      <c r="BQ331" s="89" t="s">
        <v>646</v>
      </c>
      <c r="BR331" s="89" t="s">
        <v>646</v>
      </c>
      <c r="BS331" s="89" t="s">
        <v>646</v>
      </c>
      <c r="BT331" s="89" t="s">
        <v>646</v>
      </c>
      <c r="BU331" s="89" t="s">
        <v>646</v>
      </c>
      <c r="BV331" s="89" t="s">
        <v>646</v>
      </c>
      <c r="BW331" s="89" t="s">
        <v>646</v>
      </c>
      <c r="BX331" s="89" t="s">
        <v>646</v>
      </c>
      <c r="BY331" s="89" t="s">
        <v>646</v>
      </c>
      <c r="BZ331" s="89" t="s">
        <v>646</v>
      </c>
      <c r="CA331" s="89" t="s">
        <v>646</v>
      </c>
      <c r="CB331" s="89" t="s">
        <v>20346</v>
      </c>
      <c r="CC331" s="89" t="str">
        <f>HYPERLINK("https%3A%2F%2Fwww.webofscience.com%2Fwos%2Fwoscc%2Ffull-record%2FWOS:000354139100004","View Full Record in Web of Science")</f>
        <v>View Full Record in Web of Science</v>
      </c>
    </row>
    <row r="332" spans="1:81" ht="13.2" hidden="1" x14ac:dyDescent="0.25">
      <c r="A332" s="89" t="s">
        <v>9285</v>
      </c>
      <c r="B332" s="89" t="e">
        <f>+#REF!</f>
        <v>#REF!</v>
      </c>
      <c r="C332" s="89"/>
      <c r="D332" s="91" t="s">
        <v>717</v>
      </c>
      <c r="E332" s="90" t="e">
        <v>#REF!</v>
      </c>
      <c r="F332" s="89"/>
      <c r="G332" s="89"/>
      <c r="H332" s="89" t="s">
        <v>9286</v>
      </c>
      <c r="I332" s="89" t="s">
        <v>20347</v>
      </c>
      <c r="J332" s="89" t="s">
        <v>20350</v>
      </c>
      <c r="K332" s="89" t="s">
        <v>20349</v>
      </c>
      <c r="M332" s="89">
        <v>2022</v>
      </c>
      <c r="N332" s="89" t="s">
        <v>20348</v>
      </c>
      <c r="O332" s="89" t="s">
        <v>646</v>
      </c>
      <c r="P332" s="89" t="str">
        <f>HYPERLINK("http://dx.doi.org/10.1016/j.jacr.2021.11.015","http://dx.doi.org/10.1016/j.jacr.2021.11.015")</f>
        <v>http://dx.doi.org/10.1016/j.jacr.2021.11.015</v>
      </c>
      <c r="S332" s="89" t="s">
        <v>646</v>
      </c>
      <c r="U332" s="89" t="s">
        <v>17462</v>
      </c>
      <c r="W332" s="89" t="s">
        <v>646</v>
      </c>
      <c r="X332" s="89" t="s">
        <v>646</v>
      </c>
      <c r="Y332" s="89" t="s">
        <v>646</v>
      </c>
      <c r="Z332" s="89" t="s">
        <v>646</v>
      </c>
      <c r="AA332" s="89" t="s">
        <v>646</v>
      </c>
      <c r="AB332" s="89" t="s">
        <v>646</v>
      </c>
      <c r="AC332" s="89" t="s">
        <v>646</v>
      </c>
      <c r="AD332" s="89" t="s">
        <v>646</v>
      </c>
      <c r="AE332" s="89" t="s">
        <v>646</v>
      </c>
      <c r="AF332" s="89" t="s">
        <v>20349</v>
      </c>
      <c r="AG332" s="89" t="s">
        <v>646</v>
      </c>
      <c r="AH332" s="89" t="s">
        <v>646</v>
      </c>
      <c r="AI332" s="89" t="s">
        <v>646</v>
      </c>
      <c r="AJ332" s="89" t="s">
        <v>646</v>
      </c>
      <c r="AK332" s="89" t="s">
        <v>20350</v>
      </c>
      <c r="AL332" s="89" t="s">
        <v>20351</v>
      </c>
      <c r="AM332" s="89" t="s">
        <v>646</v>
      </c>
      <c r="AN332" s="89" t="s">
        <v>646</v>
      </c>
      <c r="AO332" s="89" t="s">
        <v>646</v>
      </c>
      <c r="AP332" s="89" t="s">
        <v>646</v>
      </c>
      <c r="AQ332" s="89" t="s">
        <v>646</v>
      </c>
      <c r="AR332" s="89" t="s">
        <v>646</v>
      </c>
      <c r="AS332" s="89" t="s">
        <v>646</v>
      </c>
      <c r="AT332" s="89" t="s">
        <v>646</v>
      </c>
      <c r="AU332" s="89" t="s">
        <v>646</v>
      </c>
      <c r="AV332" s="89" t="s">
        <v>646</v>
      </c>
      <c r="AW332" s="89" t="s">
        <v>646</v>
      </c>
      <c r="AX332" s="89" t="s">
        <v>646</v>
      </c>
      <c r="AY332" s="89" t="s">
        <v>20352</v>
      </c>
      <c r="AZ332" s="89" t="s">
        <v>20353</v>
      </c>
      <c r="BA332" s="89" t="s">
        <v>646</v>
      </c>
      <c r="BB332" s="89" t="s">
        <v>646</v>
      </c>
      <c r="BC332" s="89" t="s">
        <v>646</v>
      </c>
      <c r="BD332" s="89" t="s">
        <v>17779</v>
      </c>
      <c r="BE332" s="89">
        <v>2022</v>
      </c>
      <c r="BF332" s="89">
        <v>19</v>
      </c>
      <c r="BG332" s="89">
        <v>3</v>
      </c>
      <c r="BH332" s="89" t="s">
        <v>646</v>
      </c>
      <c r="BI332" s="89" t="s">
        <v>646</v>
      </c>
      <c r="BJ332" s="89" t="s">
        <v>646</v>
      </c>
      <c r="BK332" s="89" t="s">
        <v>646</v>
      </c>
      <c r="BL332" s="89">
        <v>450</v>
      </c>
      <c r="BM332" s="89">
        <v>459</v>
      </c>
      <c r="BN332" s="89" t="s">
        <v>646</v>
      </c>
      <c r="BO332" s="89" t="str">
        <f>HYPERLINK("http://dx.doi.org/10.1016/j.jacr.2021.11.015","http://dx.doi.org/10.1016/j.jacr.2021.11.015")</f>
        <v>http://dx.doi.org/10.1016/j.jacr.2021.11.015</v>
      </c>
      <c r="BP332" s="89" t="s">
        <v>646</v>
      </c>
      <c r="BQ332" s="89" t="s">
        <v>646</v>
      </c>
      <c r="BR332" s="89" t="s">
        <v>646</v>
      </c>
      <c r="BS332" s="89" t="s">
        <v>646</v>
      </c>
      <c r="BT332" s="89" t="s">
        <v>646</v>
      </c>
      <c r="BU332" s="89" t="s">
        <v>646</v>
      </c>
      <c r="BV332" s="89" t="s">
        <v>646</v>
      </c>
      <c r="BW332" s="89">
        <v>35122720</v>
      </c>
      <c r="BX332" s="89" t="s">
        <v>646</v>
      </c>
      <c r="BY332" s="89" t="s">
        <v>646</v>
      </c>
      <c r="BZ332" s="89" t="s">
        <v>646</v>
      </c>
      <c r="CA332" s="89" t="s">
        <v>646</v>
      </c>
      <c r="CB332" s="89" t="s">
        <v>20354</v>
      </c>
      <c r="CC332" s="89" t="str">
        <f>HYPERLINK("https%3A%2F%2Fwww.webofscience.com%2Fwos%2Fwoscc%2Ffull-record%2FWOS:000802630700011","View Full Record in Web of Science")</f>
        <v>View Full Record in Web of Science</v>
      </c>
    </row>
    <row r="333" spans="1:81" ht="13.2" hidden="1" x14ac:dyDescent="0.25">
      <c r="A333" s="89" t="s">
        <v>9295</v>
      </c>
      <c r="B333" s="89" t="e">
        <f>+#REF!</f>
        <v>#REF!</v>
      </c>
      <c r="C333" s="89"/>
      <c r="D333" s="91" t="s">
        <v>717</v>
      </c>
      <c r="E333" s="90" t="e">
        <v>#REF!</v>
      </c>
      <c r="F333" s="89"/>
      <c r="G333" s="89"/>
      <c r="H333" s="89" t="s">
        <v>9296</v>
      </c>
      <c r="I333" s="89" t="s">
        <v>20355</v>
      </c>
      <c r="J333" s="89" t="s">
        <v>646</v>
      </c>
      <c r="K333" s="89" t="s">
        <v>20357</v>
      </c>
      <c r="M333" s="89">
        <v>2021</v>
      </c>
      <c r="N333" s="89" t="s">
        <v>20356</v>
      </c>
      <c r="O333" s="89" t="s">
        <v>646</v>
      </c>
      <c r="P333" s="89" t="str">
        <f>HYPERLINK("http://dx.doi.org/10.1093/annweh/wxab024","http://dx.doi.org/10.1093/annweh/wxab024")</f>
        <v>http://dx.doi.org/10.1093/annweh/wxab024</v>
      </c>
      <c r="S333" s="89" t="s">
        <v>646</v>
      </c>
      <c r="U333" s="89" t="s">
        <v>17462</v>
      </c>
      <c r="W333" s="89" t="s">
        <v>646</v>
      </c>
      <c r="X333" s="89" t="s">
        <v>646</v>
      </c>
      <c r="Y333" s="89" t="s">
        <v>646</v>
      </c>
      <c r="Z333" s="89" t="s">
        <v>646</v>
      </c>
      <c r="AA333" s="89" t="s">
        <v>646</v>
      </c>
      <c r="AB333" s="89" t="s">
        <v>646</v>
      </c>
      <c r="AC333" s="89" t="s">
        <v>646</v>
      </c>
      <c r="AD333" s="89" t="s">
        <v>646</v>
      </c>
      <c r="AE333" s="89" t="s">
        <v>646</v>
      </c>
      <c r="AF333" s="89" t="s">
        <v>20357</v>
      </c>
      <c r="AG333" s="89" t="s">
        <v>646</v>
      </c>
      <c r="AH333" s="89" t="s">
        <v>646</v>
      </c>
      <c r="AI333" s="89" t="s">
        <v>646</v>
      </c>
      <c r="AJ333" s="89" t="s">
        <v>646</v>
      </c>
      <c r="AK333" s="89" t="s">
        <v>646</v>
      </c>
      <c r="AL333" s="89" t="s">
        <v>20358</v>
      </c>
      <c r="AM333" s="89" t="s">
        <v>646</v>
      </c>
      <c r="AN333" s="89" t="s">
        <v>646</v>
      </c>
      <c r="AO333" s="89" t="s">
        <v>646</v>
      </c>
      <c r="AP333" s="89" t="s">
        <v>646</v>
      </c>
      <c r="AQ333" s="89" t="s">
        <v>646</v>
      </c>
      <c r="AR333" s="89" t="s">
        <v>646</v>
      </c>
      <c r="AS333" s="89" t="s">
        <v>646</v>
      </c>
      <c r="AT333" s="89" t="s">
        <v>646</v>
      </c>
      <c r="AU333" s="89" t="s">
        <v>646</v>
      </c>
      <c r="AV333" s="89" t="s">
        <v>646</v>
      </c>
      <c r="AW333" s="89" t="s">
        <v>646</v>
      </c>
      <c r="AX333" s="89" t="s">
        <v>646</v>
      </c>
      <c r="AY333" s="89" t="s">
        <v>20359</v>
      </c>
      <c r="AZ333" s="89" t="s">
        <v>20360</v>
      </c>
      <c r="BA333" s="89" t="s">
        <v>646</v>
      </c>
      <c r="BB333" s="89" t="s">
        <v>646</v>
      </c>
      <c r="BC333" s="89" t="s">
        <v>646</v>
      </c>
      <c r="BD333" s="89" t="s">
        <v>18292</v>
      </c>
      <c r="BE333" s="89">
        <v>2021</v>
      </c>
      <c r="BF333" s="89">
        <v>65</v>
      </c>
      <c r="BG333" s="89">
        <v>9</v>
      </c>
      <c r="BH333" s="89" t="s">
        <v>646</v>
      </c>
      <c r="BI333" s="89" t="s">
        <v>646</v>
      </c>
      <c r="BJ333" s="89" t="s">
        <v>646</v>
      </c>
      <c r="BK333" s="89" t="s">
        <v>646</v>
      </c>
      <c r="BL333" s="89">
        <v>1139</v>
      </c>
      <c r="BM333" s="89">
        <v>1144</v>
      </c>
      <c r="BN333" s="89" t="s">
        <v>646</v>
      </c>
      <c r="BO333" s="89" t="str">
        <f>HYPERLINK("http://dx.doi.org/10.1093/annweh/wxab024","http://dx.doi.org/10.1093/annweh/wxab024")</f>
        <v>http://dx.doi.org/10.1093/annweh/wxab024</v>
      </c>
      <c r="BP333" s="89" t="s">
        <v>646</v>
      </c>
      <c r="BQ333" s="89" t="s">
        <v>17906</v>
      </c>
      <c r="BR333" s="89" t="s">
        <v>646</v>
      </c>
      <c r="BS333" s="89" t="s">
        <v>646</v>
      </c>
      <c r="BT333" s="89" t="s">
        <v>646</v>
      </c>
      <c r="BU333" s="89" t="s">
        <v>646</v>
      </c>
      <c r="BV333" s="89" t="s">
        <v>646</v>
      </c>
      <c r="BW333" s="89">
        <v>34212190</v>
      </c>
      <c r="BX333" s="89" t="s">
        <v>646</v>
      </c>
      <c r="BY333" s="89" t="s">
        <v>646</v>
      </c>
      <c r="BZ333" s="89" t="s">
        <v>646</v>
      </c>
      <c r="CA333" s="89" t="s">
        <v>646</v>
      </c>
      <c r="CB333" s="89" t="s">
        <v>20361</v>
      </c>
      <c r="CC333" s="89" t="str">
        <f>HYPERLINK("https%3A%2F%2Fwww.webofscience.com%2Fwos%2Fwoscc%2Ffull-record%2FWOS:000743314300012","View Full Record in Web of Science")</f>
        <v>View Full Record in Web of Science</v>
      </c>
    </row>
    <row r="334" spans="1:81" ht="13.2" hidden="1" x14ac:dyDescent="0.25">
      <c r="A334" s="89" t="s">
        <v>9305</v>
      </c>
      <c r="B334" s="89" t="e">
        <f>+#REF!</f>
        <v>#REF!</v>
      </c>
      <c r="C334" s="89"/>
      <c r="D334" s="91" t="s">
        <v>717</v>
      </c>
      <c r="E334" s="90" t="e">
        <v>#REF!</v>
      </c>
      <c r="F334" s="89"/>
      <c r="G334" s="89"/>
      <c r="H334" s="89" t="s">
        <v>9306</v>
      </c>
      <c r="I334" s="89" t="s">
        <v>20362</v>
      </c>
      <c r="J334" s="89" t="s">
        <v>20365</v>
      </c>
      <c r="K334" s="89" t="s">
        <v>20364</v>
      </c>
      <c r="M334" s="89">
        <v>2022</v>
      </c>
      <c r="N334" s="89" t="s">
        <v>20363</v>
      </c>
      <c r="O334" s="89" t="s">
        <v>646</v>
      </c>
      <c r="P334" s="89" t="str">
        <f>HYPERLINK("http://dx.doi.org/10.1007/s10862-021-09919-7","http://dx.doi.org/10.1007/s10862-021-09919-7")</f>
        <v>http://dx.doi.org/10.1007/s10862-021-09919-7</v>
      </c>
      <c r="S334" s="89" t="s">
        <v>646</v>
      </c>
      <c r="U334" s="89" t="s">
        <v>17462</v>
      </c>
      <c r="W334" s="89" t="s">
        <v>646</v>
      </c>
      <c r="X334" s="89" t="s">
        <v>646</v>
      </c>
      <c r="Y334" s="89" t="s">
        <v>646</v>
      </c>
      <c r="Z334" s="89" t="s">
        <v>646</v>
      </c>
      <c r="AA334" s="89" t="s">
        <v>646</v>
      </c>
      <c r="AB334" s="89" t="s">
        <v>646</v>
      </c>
      <c r="AC334" s="89" t="s">
        <v>646</v>
      </c>
      <c r="AD334" s="89" t="s">
        <v>646</v>
      </c>
      <c r="AE334" s="89" t="s">
        <v>646</v>
      </c>
      <c r="AF334" s="89" t="s">
        <v>20364</v>
      </c>
      <c r="AG334" s="89" t="s">
        <v>646</v>
      </c>
      <c r="AH334" s="89" t="s">
        <v>646</v>
      </c>
      <c r="AI334" s="89" t="s">
        <v>646</v>
      </c>
      <c r="AJ334" s="89" t="s">
        <v>646</v>
      </c>
      <c r="AK334" s="89" t="s">
        <v>20365</v>
      </c>
      <c r="AL334" s="89" t="s">
        <v>20366</v>
      </c>
      <c r="AM334" s="89" t="s">
        <v>646</v>
      </c>
      <c r="AN334" s="89" t="s">
        <v>646</v>
      </c>
      <c r="AO334" s="89" t="s">
        <v>646</v>
      </c>
      <c r="AP334" s="89" t="s">
        <v>646</v>
      </c>
      <c r="AQ334" s="89" t="s">
        <v>646</v>
      </c>
      <c r="AR334" s="89" t="s">
        <v>646</v>
      </c>
      <c r="AS334" s="89" t="s">
        <v>646</v>
      </c>
      <c r="AT334" s="89" t="s">
        <v>646</v>
      </c>
      <c r="AU334" s="89" t="s">
        <v>646</v>
      </c>
      <c r="AV334" s="89" t="s">
        <v>646</v>
      </c>
      <c r="AW334" s="89" t="s">
        <v>646</v>
      </c>
      <c r="AX334" s="89" t="s">
        <v>646</v>
      </c>
      <c r="AY334" s="89" t="s">
        <v>20367</v>
      </c>
      <c r="AZ334" s="89" t="s">
        <v>20368</v>
      </c>
      <c r="BA334" s="89" t="s">
        <v>646</v>
      </c>
      <c r="BB334" s="89" t="s">
        <v>646</v>
      </c>
      <c r="BC334" s="89" t="s">
        <v>646</v>
      </c>
      <c r="BD334" s="89" t="s">
        <v>17772</v>
      </c>
      <c r="BE334" s="89">
        <v>2022</v>
      </c>
      <c r="BF334" s="89">
        <v>44</v>
      </c>
      <c r="BG334" s="89">
        <v>2</v>
      </c>
      <c r="BH334" s="89" t="s">
        <v>646</v>
      </c>
      <c r="BI334" s="89" t="s">
        <v>646</v>
      </c>
      <c r="BJ334" s="89" t="s">
        <v>646</v>
      </c>
      <c r="BK334" s="89" t="s">
        <v>646</v>
      </c>
      <c r="BL334" s="89">
        <v>326</v>
      </c>
      <c r="BM334" s="89">
        <v>343</v>
      </c>
      <c r="BN334" s="89" t="s">
        <v>646</v>
      </c>
      <c r="BO334" s="89" t="str">
        <f>HYPERLINK("http://dx.doi.org/10.1007/s10862-021-09919-7","http://dx.doi.org/10.1007/s10862-021-09919-7")</f>
        <v>http://dx.doi.org/10.1007/s10862-021-09919-7</v>
      </c>
      <c r="BP334" s="89" t="s">
        <v>646</v>
      </c>
      <c r="BQ334" s="89" t="s">
        <v>17598</v>
      </c>
      <c r="BR334" s="89" t="s">
        <v>646</v>
      </c>
      <c r="BS334" s="89" t="s">
        <v>646</v>
      </c>
      <c r="BT334" s="89" t="s">
        <v>646</v>
      </c>
      <c r="BU334" s="89" t="s">
        <v>646</v>
      </c>
      <c r="BV334" s="89" t="s">
        <v>646</v>
      </c>
      <c r="BW334" s="89">
        <v>34518734</v>
      </c>
      <c r="BX334" s="89" t="s">
        <v>646</v>
      </c>
      <c r="BY334" s="89" t="s">
        <v>646</v>
      </c>
      <c r="BZ334" s="89" t="s">
        <v>646</v>
      </c>
      <c r="CA334" s="89" t="s">
        <v>646</v>
      </c>
      <c r="CB334" s="89" t="s">
        <v>20369</v>
      </c>
      <c r="CC334" s="89" t="str">
        <f>HYPERLINK("https%3A%2F%2Fwww.webofscience.com%2Fwos%2Fwoscc%2Ffull-record%2FWOS:000694566000001","View Full Record in Web of Science")</f>
        <v>View Full Record in Web of Science</v>
      </c>
    </row>
    <row r="335" spans="1:81" ht="13.2" hidden="1" x14ac:dyDescent="0.25">
      <c r="A335" s="89" t="s">
        <v>20370</v>
      </c>
      <c r="B335" s="89" t="e">
        <f>+#REF!</f>
        <v>#REF!</v>
      </c>
      <c r="C335" s="89"/>
      <c r="D335" s="91" t="s">
        <v>717</v>
      </c>
      <c r="E335" s="90" t="e">
        <v>#REF!</v>
      </c>
      <c r="F335" s="89"/>
      <c r="G335" s="89"/>
      <c r="H335" s="89" t="s">
        <v>646</v>
      </c>
      <c r="I335" s="89" t="s">
        <v>20371</v>
      </c>
      <c r="J335" s="89" t="s">
        <v>20372</v>
      </c>
      <c r="K335" s="89" t="s">
        <v>12036</v>
      </c>
      <c r="M335" s="89">
        <v>2012</v>
      </c>
      <c r="N335" s="89" t="s">
        <v>20190</v>
      </c>
      <c r="O335" s="89" t="s">
        <v>20188</v>
      </c>
      <c r="P335" s="89" t="s">
        <v>646</v>
      </c>
      <c r="S335" s="89" t="s">
        <v>646</v>
      </c>
      <c r="U335" s="89" t="s">
        <v>17474</v>
      </c>
      <c r="W335" s="89" t="s">
        <v>646</v>
      </c>
      <c r="X335" s="89" t="s">
        <v>646</v>
      </c>
      <c r="Y335" s="89" t="s">
        <v>20191</v>
      </c>
      <c r="Z335" s="89" t="s">
        <v>20192</v>
      </c>
      <c r="AA335" s="89" t="s">
        <v>20193</v>
      </c>
      <c r="AB335" s="89" t="s">
        <v>20194</v>
      </c>
      <c r="AC335" s="89" t="s">
        <v>646</v>
      </c>
      <c r="AD335" s="89" t="s">
        <v>646</v>
      </c>
      <c r="AE335" s="89" t="s">
        <v>646</v>
      </c>
      <c r="AF335" s="89" t="s">
        <v>12036</v>
      </c>
      <c r="AG335" s="89" t="s">
        <v>646</v>
      </c>
      <c r="AH335" s="89" t="s">
        <v>646</v>
      </c>
      <c r="AI335" s="89" t="s">
        <v>646</v>
      </c>
      <c r="AJ335" s="89" t="s">
        <v>646</v>
      </c>
      <c r="AK335" s="89" t="s">
        <v>20372</v>
      </c>
      <c r="AL335" s="89" t="s">
        <v>20373</v>
      </c>
      <c r="AM335" s="89" t="s">
        <v>646</v>
      </c>
      <c r="AN335" s="89" t="s">
        <v>646</v>
      </c>
      <c r="AO335" s="89" t="s">
        <v>646</v>
      </c>
      <c r="AP335" s="89" t="s">
        <v>646</v>
      </c>
      <c r="AQ335" s="89" t="s">
        <v>646</v>
      </c>
      <c r="AR335" s="89" t="s">
        <v>646</v>
      </c>
      <c r="AS335" s="89" t="s">
        <v>646</v>
      </c>
      <c r="AT335" s="89" t="s">
        <v>646</v>
      </c>
      <c r="AU335" s="89" t="s">
        <v>646</v>
      </c>
      <c r="AV335" s="89" t="s">
        <v>646</v>
      </c>
      <c r="AW335" s="89" t="s">
        <v>646</v>
      </c>
      <c r="AX335" s="89" t="s">
        <v>646</v>
      </c>
      <c r="AY335" s="89" t="s">
        <v>646</v>
      </c>
      <c r="AZ335" s="89" t="s">
        <v>646</v>
      </c>
      <c r="BA335" s="89" t="s">
        <v>20196</v>
      </c>
      <c r="BB335" s="89" t="s">
        <v>646</v>
      </c>
      <c r="BC335" s="89" t="s">
        <v>646</v>
      </c>
      <c r="BD335" s="89" t="s">
        <v>646</v>
      </c>
      <c r="BE335" s="89">
        <v>2012</v>
      </c>
      <c r="BF335" s="89" t="s">
        <v>646</v>
      </c>
      <c r="BG335" s="89" t="s">
        <v>646</v>
      </c>
      <c r="BH335" s="89" t="s">
        <v>646</v>
      </c>
      <c r="BI335" s="89" t="s">
        <v>646</v>
      </c>
      <c r="BJ335" s="89" t="s">
        <v>646</v>
      </c>
      <c r="BK335" s="89" t="s">
        <v>646</v>
      </c>
      <c r="BL335" s="89">
        <v>1736</v>
      </c>
      <c r="BM335" s="89">
        <v>1743</v>
      </c>
      <c r="BN335" s="89" t="s">
        <v>646</v>
      </c>
      <c r="BO335" s="89" t="s">
        <v>646</v>
      </c>
      <c r="BP335" s="89" t="s">
        <v>646</v>
      </c>
      <c r="BQ335" s="89" t="s">
        <v>646</v>
      </c>
      <c r="BR335" s="89" t="s">
        <v>646</v>
      </c>
      <c r="BS335" s="89" t="s">
        <v>646</v>
      </c>
      <c r="BT335" s="89" t="s">
        <v>646</v>
      </c>
      <c r="BU335" s="89" t="s">
        <v>646</v>
      </c>
      <c r="BV335" s="89" t="s">
        <v>646</v>
      </c>
      <c r="BW335" s="89" t="s">
        <v>646</v>
      </c>
      <c r="BX335" s="89" t="s">
        <v>646</v>
      </c>
      <c r="BY335" s="89" t="s">
        <v>646</v>
      </c>
      <c r="BZ335" s="89" t="s">
        <v>646</v>
      </c>
      <c r="CA335" s="89" t="s">
        <v>646</v>
      </c>
      <c r="CB335" s="89" t="s">
        <v>20374</v>
      </c>
      <c r="CC335" s="89" t="str">
        <f>HYPERLINK("https%3A%2F%2Fwww.webofscience.com%2Fwos%2Fwoscc%2Ffull-record%2FWOS:000323927701136","View Full Record in Web of Science")</f>
        <v>View Full Record in Web of Science</v>
      </c>
    </row>
    <row r="336" spans="1:81" ht="13.2" hidden="1" x14ac:dyDescent="0.25">
      <c r="A336" s="89" t="s">
        <v>12041</v>
      </c>
      <c r="B336" s="89" t="e">
        <f>+#REF!</f>
        <v>#REF!</v>
      </c>
      <c r="C336" s="89"/>
      <c r="D336" s="91" t="s">
        <v>717</v>
      </c>
      <c r="E336" s="90" t="e">
        <v>#REF!</v>
      </c>
      <c r="F336" s="89"/>
      <c r="G336" s="89"/>
      <c r="H336" s="89" t="s">
        <v>12042</v>
      </c>
      <c r="I336" s="89" t="s">
        <v>20375</v>
      </c>
      <c r="J336" s="89" t="s">
        <v>646</v>
      </c>
      <c r="K336" s="89" t="s">
        <v>20377</v>
      </c>
      <c r="M336" s="89">
        <v>2013</v>
      </c>
      <c r="N336" s="89" t="s">
        <v>20376</v>
      </c>
      <c r="O336" s="89" t="s">
        <v>646</v>
      </c>
      <c r="P336" s="89" t="str">
        <f>HYPERLINK("http://dx.doi.org/10.1007/s10579-012-9180-5","http://dx.doi.org/10.1007/s10579-012-9180-5")</f>
        <v>http://dx.doi.org/10.1007/s10579-012-9180-5</v>
      </c>
      <c r="S336" s="89" t="s">
        <v>646</v>
      </c>
      <c r="U336" s="89" t="s">
        <v>17462</v>
      </c>
      <c r="W336" s="89" t="s">
        <v>646</v>
      </c>
      <c r="X336" s="89" t="s">
        <v>646</v>
      </c>
      <c r="Y336" s="89" t="s">
        <v>646</v>
      </c>
      <c r="Z336" s="89" t="s">
        <v>646</v>
      </c>
      <c r="AA336" s="89" t="s">
        <v>646</v>
      </c>
      <c r="AB336" s="89" t="s">
        <v>646</v>
      </c>
      <c r="AC336" s="89" t="s">
        <v>646</v>
      </c>
      <c r="AD336" s="89" t="s">
        <v>646</v>
      </c>
      <c r="AE336" s="89" t="s">
        <v>646</v>
      </c>
      <c r="AF336" s="89" t="s">
        <v>20377</v>
      </c>
      <c r="AG336" s="89" t="s">
        <v>646</v>
      </c>
      <c r="AH336" s="89" t="s">
        <v>646</v>
      </c>
      <c r="AI336" s="89" t="s">
        <v>646</v>
      </c>
      <c r="AJ336" s="89" t="s">
        <v>646</v>
      </c>
      <c r="AK336" s="89" t="s">
        <v>646</v>
      </c>
      <c r="AL336" s="89" t="s">
        <v>646</v>
      </c>
      <c r="AM336" s="89" t="s">
        <v>646</v>
      </c>
      <c r="AN336" s="89" t="s">
        <v>646</v>
      </c>
      <c r="AO336" s="89" t="s">
        <v>646</v>
      </c>
      <c r="AP336" s="89" t="s">
        <v>646</v>
      </c>
      <c r="AQ336" s="89" t="s">
        <v>646</v>
      </c>
      <c r="AR336" s="89" t="s">
        <v>646</v>
      </c>
      <c r="AS336" s="89" t="s">
        <v>646</v>
      </c>
      <c r="AT336" s="89" t="s">
        <v>646</v>
      </c>
      <c r="AU336" s="89" t="s">
        <v>646</v>
      </c>
      <c r="AV336" s="89" t="s">
        <v>646</v>
      </c>
      <c r="AW336" s="89" t="s">
        <v>646</v>
      </c>
      <c r="AX336" s="89" t="s">
        <v>646</v>
      </c>
      <c r="AY336" s="89" t="s">
        <v>20378</v>
      </c>
      <c r="AZ336" s="89" t="s">
        <v>20379</v>
      </c>
      <c r="BA336" s="89" t="s">
        <v>646</v>
      </c>
      <c r="BB336" s="89" t="s">
        <v>646</v>
      </c>
      <c r="BC336" s="89" t="s">
        <v>646</v>
      </c>
      <c r="BD336" s="89" t="s">
        <v>17779</v>
      </c>
      <c r="BE336" s="89">
        <v>2013</v>
      </c>
      <c r="BF336" s="89">
        <v>47</v>
      </c>
      <c r="BG336" s="89">
        <v>1</v>
      </c>
      <c r="BH336" s="89" t="s">
        <v>646</v>
      </c>
      <c r="BI336" s="89" t="s">
        <v>646</v>
      </c>
      <c r="BJ336" s="89" t="s">
        <v>17555</v>
      </c>
      <c r="BK336" s="89" t="s">
        <v>646</v>
      </c>
      <c r="BL336" s="89">
        <v>97</v>
      </c>
      <c r="BM336" s="89">
        <v>122</v>
      </c>
      <c r="BN336" s="89" t="s">
        <v>646</v>
      </c>
      <c r="BO336" s="89" t="str">
        <f>HYPERLINK("http://dx.doi.org/10.1007/s10579-012-9180-5","http://dx.doi.org/10.1007/s10579-012-9180-5")</f>
        <v>http://dx.doi.org/10.1007/s10579-012-9180-5</v>
      </c>
      <c r="BP336" s="89" t="s">
        <v>646</v>
      </c>
      <c r="BQ336" s="89" t="s">
        <v>646</v>
      </c>
      <c r="BR336" s="89" t="s">
        <v>646</v>
      </c>
      <c r="BS336" s="89" t="s">
        <v>646</v>
      </c>
      <c r="BT336" s="89" t="s">
        <v>646</v>
      </c>
      <c r="BU336" s="89" t="s">
        <v>646</v>
      </c>
      <c r="BV336" s="89" t="s">
        <v>646</v>
      </c>
      <c r="BW336" s="89" t="s">
        <v>646</v>
      </c>
      <c r="BX336" s="89" t="s">
        <v>646</v>
      </c>
      <c r="BY336" s="89" t="s">
        <v>646</v>
      </c>
      <c r="BZ336" s="89" t="s">
        <v>646</v>
      </c>
      <c r="CA336" s="89" t="s">
        <v>646</v>
      </c>
      <c r="CB336" s="89" t="s">
        <v>20380</v>
      </c>
      <c r="CC336" s="89" t="str">
        <f>HYPERLINK("https%3A%2F%2Fwww.webofscience.com%2Fwos%2Fwoscc%2Ffull-record%2FWOS:000316004500005","View Full Record in Web of Science")</f>
        <v>View Full Record in Web of Science</v>
      </c>
    </row>
    <row r="337" spans="1:81" ht="13.2" hidden="1" x14ac:dyDescent="0.25">
      <c r="A337" s="89" t="s">
        <v>12051</v>
      </c>
      <c r="B337" s="89" t="e">
        <f>+#REF!</f>
        <v>#REF!</v>
      </c>
      <c r="C337" s="89"/>
      <c r="D337" s="91" t="s">
        <v>717</v>
      </c>
      <c r="E337" s="90" t="e">
        <v>#REF!</v>
      </c>
      <c r="F337" s="89"/>
      <c r="G337" s="89"/>
      <c r="H337" s="89" t="s">
        <v>646</v>
      </c>
      <c r="I337" s="89" t="s">
        <v>20382</v>
      </c>
      <c r="J337" s="89" t="s">
        <v>646</v>
      </c>
      <c r="K337" s="89" t="s">
        <v>20388</v>
      </c>
      <c r="M337" s="89">
        <v>2017</v>
      </c>
      <c r="N337" s="89" t="s">
        <v>20383</v>
      </c>
      <c r="O337" s="89" t="s">
        <v>20381</v>
      </c>
      <c r="P337" s="89" t="s">
        <v>646</v>
      </c>
      <c r="S337" s="89" t="s">
        <v>646</v>
      </c>
      <c r="U337" s="89" t="s">
        <v>17474</v>
      </c>
      <c r="W337" s="89" t="s">
        <v>646</v>
      </c>
      <c r="X337" s="89" t="s">
        <v>646</v>
      </c>
      <c r="Y337" s="89" t="s">
        <v>20384</v>
      </c>
      <c r="Z337" s="89" t="s">
        <v>20385</v>
      </c>
      <c r="AA337" s="89" t="s">
        <v>20386</v>
      </c>
      <c r="AB337" s="89" t="s">
        <v>20387</v>
      </c>
      <c r="AC337" s="89" t="s">
        <v>646</v>
      </c>
      <c r="AD337" s="89" t="s">
        <v>646</v>
      </c>
      <c r="AE337" s="89" t="s">
        <v>646</v>
      </c>
      <c r="AF337" s="89" t="s">
        <v>20388</v>
      </c>
      <c r="AG337" s="89" t="s">
        <v>646</v>
      </c>
      <c r="AH337" s="89" t="s">
        <v>646</v>
      </c>
      <c r="AI337" s="89" t="s">
        <v>646</v>
      </c>
      <c r="AJ337" s="89" t="s">
        <v>646</v>
      </c>
      <c r="AK337" s="89" t="s">
        <v>646</v>
      </c>
      <c r="AL337" s="89" t="s">
        <v>646</v>
      </c>
      <c r="AM337" s="89" t="s">
        <v>646</v>
      </c>
      <c r="AN337" s="89" t="s">
        <v>646</v>
      </c>
      <c r="AO337" s="89" t="s">
        <v>646</v>
      </c>
      <c r="AP337" s="89" t="s">
        <v>646</v>
      </c>
      <c r="AQ337" s="89" t="s">
        <v>646</v>
      </c>
      <c r="AR337" s="89" t="s">
        <v>646</v>
      </c>
      <c r="AS337" s="89" t="s">
        <v>646</v>
      </c>
      <c r="AT337" s="89" t="s">
        <v>646</v>
      </c>
      <c r="AU337" s="89" t="s">
        <v>646</v>
      </c>
      <c r="AV337" s="89" t="s">
        <v>646</v>
      </c>
      <c r="AW337" s="89" t="s">
        <v>646</v>
      </c>
      <c r="AX337" s="89" t="s">
        <v>646</v>
      </c>
      <c r="AY337" s="89" t="s">
        <v>20389</v>
      </c>
      <c r="AZ337" s="89" t="s">
        <v>646</v>
      </c>
      <c r="BA337" s="89" t="s">
        <v>20390</v>
      </c>
      <c r="BB337" s="89" t="s">
        <v>646</v>
      </c>
      <c r="BC337" s="89" t="s">
        <v>646</v>
      </c>
      <c r="BD337" s="89" t="s">
        <v>646</v>
      </c>
      <c r="BE337" s="89">
        <v>2017</v>
      </c>
      <c r="BF337" s="89" t="s">
        <v>646</v>
      </c>
      <c r="BG337" s="89" t="s">
        <v>646</v>
      </c>
      <c r="BH337" s="89" t="s">
        <v>646</v>
      </c>
      <c r="BI337" s="89" t="s">
        <v>646</v>
      </c>
      <c r="BJ337" s="89" t="s">
        <v>646</v>
      </c>
      <c r="BK337" s="89" t="s">
        <v>646</v>
      </c>
      <c r="BL337" s="89">
        <v>139</v>
      </c>
      <c r="BM337" s="89">
        <v>150</v>
      </c>
      <c r="BN337" s="89" t="s">
        <v>646</v>
      </c>
      <c r="BO337" s="89" t="s">
        <v>646</v>
      </c>
      <c r="BP337" s="89" t="s">
        <v>646</v>
      </c>
      <c r="BQ337" s="89" t="s">
        <v>646</v>
      </c>
      <c r="BR337" s="89" t="s">
        <v>646</v>
      </c>
      <c r="BS337" s="89" t="s">
        <v>646</v>
      </c>
      <c r="BT337" s="89" t="s">
        <v>646</v>
      </c>
      <c r="BU337" s="89" t="s">
        <v>646</v>
      </c>
      <c r="BV337" s="89" t="s">
        <v>646</v>
      </c>
      <c r="BW337" s="89" t="s">
        <v>646</v>
      </c>
      <c r="BX337" s="89" t="s">
        <v>646</v>
      </c>
      <c r="BY337" s="89" t="s">
        <v>646</v>
      </c>
      <c r="BZ337" s="89" t="s">
        <v>646</v>
      </c>
      <c r="CA337" s="89" t="s">
        <v>646</v>
      </c>
      <c r="CB337" s="89" t="s">
        <v>20391</v>
      </c>
      <c r="CC337" s="89" t="str">
        <f>HYPERLINK("https%3A%2F%2Fwww.webofscience.com%2Fwos%2Fwoscc%2Ffull-record%2FWOS:000494329200013","View Full Record in Web of Science")</f>
        <v>View Full Record in Web of Science</v>
      </c>
    </row>
    <row r="338" spans="1:81" ht="13.2" hidden="1" x14ac:dyDescent="0.25">
      <c r="A338" s="89" t="s">
        <v>20392</v>
      </c>
      <c r="B338" s="89" t="e">
        <f>+#REF!</f>
        <v>#REF!</v>
      </c>
      <c r="C338" s="89"/>
      <c r="D338" s="91" t="s">
        <v>717</v>
      </c>
      <c r="E338" s="90" t="e">
        <v>#REF!</v>
      </c>
      <c r="F338" s="89"/>
      <c r="G338" s="89"/>
      <c r="H338" s="89" t="s">
        <v>646</v>
      </c>
      <c r="I338" s="89" t="s">
        <v>20393</v>
      </c>
      <c r="J338" s="89" t="s">
        <v>646</v>
      </c>
      <c r="K338" s="89" t="s">
        <v>20398</v>
      </c>
      <c r="M338" s="89">
        <v>2015</v>
      </c>
      <c r="N338" s="89" t="s">
        <v>20394</v>
      </c>
      <c r="O338" s="89" t="s">
        <v>646</v>
      </c>
      <c r="P338" s="89" t="s">
        <v>646</v>
      </c>
      <c r="S338" s="89" t="s">
        <v>17475</v>
      </c>
      <c r="U338" s="89" t="s">
        <v>17474</v>
      </c>
      <c r="W338" s="89" t="s">
        <v>646</v>
      </c>
      <c r="X338" s="89" t="s">
        <v>646</v>
      </c>
      <c r="Y338" s="89" t="s">
        <v>20395</v>
      </c>
      <c r="Z338" s="89" t="s">
        <v>20396</v>
      </c>
      <c r="AA338" s="89" t="s">
        <v>17480</v>
      </c>
      <c r="AB338" s="89" t="s">
        <v>20397</v>
      </c>
      <c r="AC338" s="89" t="s">
        <v>646</v>
      </c>
      <c r="AD338" s="89" t="s">
        <v>646</v>
      </c>
      <c r="AE338" s="89" t="s">
        <v>646</v>
      </c>
      <c r="AF338" s="89" t="s">
        <v>20398</v>
      </c>
      <c r="AG338" s="89" t="s">
        <v>646</v>
      </c>
      <c r="AH338" s="89" t="s">
        <v>646</v>
      </c>
      <c r="AI338" s="89" t="s">
        <v>646</v>
      </c>
      <c r="AJ338" s="89" t="s">
        <v>646</v>
      </c>
      <c r="AK338" s="89" t="s">
        <v>646</v>
      </c>
      <c r="AL338" s="89" t="s">
        <v>646</v>
      </c>
      <c r="AM338" s="89" t="s">
        <v>646</v>
      </c>
      <c r="AN338" s="89" t="s">
        <v>646</v>
      </c>
      <c r="AO338" s="89" t="s">
        <v>646</v>
      </c>
      <c r="AP338" s="89" t="s">
        <v>646</v>
      </c>
      <c r="AQ338" s="89" t="s">
        <v>646</v>
      </c>
      <c r="AR338" s="89" t="s">
        <v>646</v>
      </c>
      <c r="AS338" s="89" t="s">
        <v>646</v>
      </c>
      <c r="AT338" s="89" t="s">
        <v>646</v>
      </c>
      <c r="AU338" s="89" t="s">
        <v>646</v>
      </c>
      <c r="AV338" s="89" t="s">
        <v>646</v>
      </c>
      <c r="AW338" s="89" t="s">
        <v>646</v>
      </c>
      <c r="AX338" s="89" t="s">
        <v>646</v>
      </c>
      <c r="AY338" s="89" t="s">
        <v>646</v>
      </c>
      <c r="AZ338" s="89" t="s">
        <v>646</v>
      </c>
      <c r="BA338" s="89" t="s">
        <v>20399</v>
      </c>
      <c r="BB338" s="89" t="s">
        <v>646</v>
      </c>
      <c r="BC338" s="89" t="s">
        <v>646</v>
      </c>
      <c r="BD338" s="89" t="s">
        <v>646</v>
      </c>
      <c r="BE338" s="89">
        <v>2015</v>
      </c>
      <c r="BF338" s="89" t="s">
        <v>646</v>
      </c>
      <c r="BG338" s="89" t="s">
        <v>646</v>
      </c>
      <c r="BH338" s="89" t="s">
        <v>646</v>
      </c>
      <c r="BI338" s="89" t="s">
        <v>646</v>
      </c>
      <c r="BJ338" s="89" t="s">
        <v>646</v>
      </c>
      <c r="BK338" s="89" t="s">
        <v>646</v>
      </c>
      <c r="BL338" s="89">
        <v>120</v>
      </c>
      <c r="BM338" s="89">
        <v>125</v>
      </c>
      <c r="BN338" s="89" t="s">
        <v>646</v>
      </c>
      <c r="BO338" s="89" t="s">
        <v>646</v>
      </c>
      <c r="BP338" s="89" t="s">
        <v>646</v>
      </c>
      <c r="BQ338" s="89" t="s">
        <v>646</v>
      </c>
      <c r="BR338" s="89" t="s">
        <v>646</v>
      </c>
      <c r="BS338" s="89" t="s">
        <v>646</v>
      </c>
      <c r="BT338" s="89" t="s">
        <v>646</v>
      </c>
      <c r="BU338" s="89" t="s">
        <v>646</v>
      </c>
      <c r="BV338" s="89" t="s">
        <v>646</v>
      </c>
      <c r="BW338" s="89" t="s">
        <v>646</v>
      </c>
      <c r="BX338" s="89" t="s">
        <v>646</v>
      </c>
      <c r="BY338" s="89" t="s">
        <v>646</v>
      </c>
      <c r="BZ338" s="89" t="s">
        <v>646</v>
      </c>
      <c r="CA338" s="89" t="s">
        <v>646</v>
      </c>
      <c r="CB338" s="89" t="s">
        <v>20400</v>
      </c>
      <c r="CC338" s="89" t="str">
        <f>HYPERLINK("https%3A%2F%2Fwww.webofscience.com%2Fwos%2Fwoscc%2Ffull-record%2FWOS:000380472900020","View Full Record in Web of Science")</f>
        <v>View Full Record in Web of Science</v>
      </c>
    </row>
    <row r="339" spans="1:81" ht="13.2" hidden="1" x14ac:dyDescent="0.25">
      <c r="A339" s="89" t="s">
        <v>12060</v>
      </c>
      <c r="B339" s="89" t="e">
        <f>+#REF!</f>
        <v>#REF!</v>
      </c>
      <c r="C339" s="89"/>
      <c r="D339" s="91" t="s">
        <v>717</v>
      </c>
      <c r="E339" s="90" t="e">
        <v>#REF!</v>
      </c>
      <c r="F339" s="89"/>
      <c r="G339" s="89"/>
      <c r="H339" s="89" t="s">
        <v>12061</v>
      </c>
      <c r="I339" s="89" t="s">
        <v>20401</v>
      </c>
      <c r="J339" s="89" t="s">
        <v>20404</v>
      </c>
      <c r="K339" s="89" t="s">
        <v>20403</v>
      </c>
      <c r="M339" s="89">
        <v>2018</v>
      </c>
      <c r="N339" s="89" t="s">
        <v>20402</v>
      </c>
      <c r="O339" s="89" t="s">
        <v>646</v>
      </c>
      <c r="P339" s="89" t="str">
        <f>HYPERLINK("http://dx.doi.org/10.1007/s10726-018-9565-y","http://dx.doi.org/10.1007/s10726-018-9565-y")</f>
        <v>http://dx.doi.org/10.1007/s10726-018-9565-y</v>
      </c>
      <c r="S339" s="89" t="s">
        <v>646</v>
      </c>
      <c r="U339" s="89" t="s">
        <v>17462</v>
      </c>
      <c r="W339" s="89" t="s">
        <v>646</v>
      </c>
      <c r="X339" s="89" t="s">
        <v>646</v>
      </c>
      <c r="Y339" s="89" t="s">
        <v>646</v>
      </c>
      <c r="Z339" s="89" t="s">
        <v>646</v>
      </c>
      <c r="AA339" s="89" t="s">
        <v>646</v>
      </c>
      <c r="AB339" s="89" t="s">
        <v>646</v>
      </c>
      <c r="AC339" s="89" t="s">
        <v>646</v>
      </c>
      <c r="AD339" s="89" t="s">
        <v>646</v>
      </c>
      <c r="AE339" s="89" t="s">
        <v>646</v>
      </c>
      <c r="AF339" s="89" t="s">
        <v>20403</v>
      </c>
      <c r="AG339" s="89" t="s">
        <v>646</v>
      </c>
      <c r="AH339" s="89" t="s">
        <v>646</v>
      </c>
      <c r="AI339" s="89" t="s">
        <v>646</v>
      </c>
      <c r="AJ339" s="89" t="s">
        <v>646</v>
      </c>
      <c r="AK339" s="89" t="s">
        <v>20404</v>
      </c>
      <c r="AL339" s="89" t="s">
        <v>20405</v>
      </c>
      <c r="AM339" s="89" t="s">
        <v>646</v>
      </c>
      <c r="AN339" s="89" t="s">
        <v>646</v>
      </c>
      <c r="AO339" s="89" t="s">
        <v>646</v>
      </c>
      <c r="AP339" s="89" t="s">
        <v>646</v>
      </c>
      <c r="AQ339" s="89" t="s">
        <v>646</v>
      </c>
      <c r="AR339" s="89" t="s">
        <v>646</v>
      </c>
      <c r="AS339" s="89" t="s">
        <v>646</v>
      </c>
      <c r="AT339" s="89" t="s">
        <v>646</v>
      </c>
      <c r="AU339" s="89" t="s">
        <v>646</v>
      </c>
      <c r="AV339" s="89" t="s">
        <v>646</v>
      </c>
      <c r="AW339" s="89" t="s">
        <v>646</v>
      </c>
      <c r="AX339" s="89" t="s">
        <v>646</v>
      </c>
      <c r="AY339" s="89" t="s">
        <v>20406</v>
      </c>
      <c r="AZ339" s="89" t="s">
        <v>20407</v>
      </c>
      <c r="BA339" s="89" t="s">
        <v>646</v>
      </c>
      <c r="BB339" s="89" t="s">
        <v>646</v>
      </c>
      <c r="BC339" s="89" t="s">
        <v>646</v>
      </c>
      <c r="BD339" s="89" t="s">
        <v>17823</v>
      </c>
      <c r="BE339" s="89">
        <v>2018</v>
      </c>
      <c r="BF339" s="89">
        <v>27</v>
      </c>
      <c r="BG339" s="89">
        <v>2</v>
      </c>
      <c r="BH339" s="89" t="s">
        <v>646</v>
      </c>
      <c r="BI339" s="89" t="s">
        <v>646</v>
      </c>
      <c r="BJ339" s="89" t="s">
        <v>646</v>
      </c>
      <c r="BK339" s="89" t="s">
        <v>646</v>
      </c>
      <c r="BL339" s="89">
        <v>197</v>
      </c>
      <c r="BM339" s="89">
        <v>214</v>
      </c>
      <c r="BN339" s="89" t="s">
        <v>646</v>
      </c>
      <c r="BO339" s="89" t="str">
        <f>HYPERLINK("http://dx.doi.org/10.1007/s10726-018-9565-y","http://dx.doi.org/10.1007/s10726-018-9565-y")</f>
        <v>http://dx.doi.org/10.1007/s10726-018-9565-y</v>
      </c>
      <c r="BP339" s="89" t="s">
        <v>646</v>
      </c>
      <c r="BQ339" s="89" t="s">
        <v>646</v>
      </c>
      <c r="BR339" s="89" t="s">
        <v>646</v>
      </c>
      <c r="BS339" s="89" t="s">
        <v>646</v>
      </c>
      <c r="BT339" s="89" t="s">
        <v>646</v>
      </c>
      <c r="BU339" s="89" t="s">
        <v>646</v>
      </c>
      <c r="BV339" s="89" t="s">
        <v>646</v>
      </c>
      <c r="BW339" s="89" t="s">
        <v>646</v>
      </c>
      <c r="BX339" s="89" t="s">
        <v>646</v>
      </c>
      <c r="BY339" s="89" t="s">
        <v>646</v>
      </c>
      <c r="BZ339" s="89" t="s">
        <v>646</v>
      </c>
      <c r="CA339" s="89" t="s">
        <v>646</v>
      </c>
      <c r="CB339" s="89" t="s">
        <v>20408</v>
      </c>
      <c r="CC339" s="89" t="str">
        <f>HYPERLINK("https%3A%2F%2Fwww.webofscience.com%2Fwos%2Fwoscc%2Ffull-record%2FWOS:000427080300002","View Full Record in Web of Science")</f>
        <v>View Full Record in Web of Science</v>
      </c>
    </row>
    <row r="340" spans="1:81" ht="13.2" hidden="1" x14ac:dyDescent="0.25">
      <c r="A340" s="89" t="s">
        <v>20409</v>
      </c>
      <c r="B340" s="89" t="e">
        <f>+#REF!</f>
        <v>#REF!</v>
      </c>
      <c r="C340" s="89"/>
      <c r="D340" s="91" t="s">
        <v>717</v>
      </c>
      <c r="E340" s="90" t="e">
        <v>#REF!</v>
      </c>
      <c r="F340" s="89"/>
      <c r="G340" s="89"/>
      <c r="H340" s="89" t="s">
        <v>1012</v>
      </c>
      <c r="I340" s="89" t="s">
        <v>20411</v>
      </c>
      <c r="J340" s="89" t="s">
        <v>646</v>
      </c>
      <c r="K340" s="89" t="s">
        <v>20416</v>
      </c>
      <c r="M340" s="89">
        <v>2015</v>
      </c>
      <c r="N340" s="89" t="s">
        <v>20412</v>
      </c>
      <c r="O340" s="89" t="s">
        <v>20410</v>
      </c>
      <c r="P340" s="89" t="str">
        <f>HYPERLINK("http://dx.doi.org/10.1007/978-3-319-15168-7_52","http://dx.doi.org/10.1007/978-3-319-15168-7_52")</f>
        <v>http://dx.doi.org/10.1007/978-3-319-15168-7_52</v>
      </c>
      <c r="S340" s="89" t="s">
        <v>646</v>
      </c>
      <c r="U340" s="89" t="s">
        <v>17474</v>
      </c>
      <c r="W340" s="89" t="s">
        <v>646</v>
      </c>
      <c r="X340" s="89" t="s">
        <v>646</v>
      </c>
      <c r="Y340" s="89" t="s">
        <v>20413</v>
      </c>
      <c r="Z340" s="89" t="s">
        <v>20414</v>
      </c>
      <c r="AA340" s="89" t="s">
        <v>20079</v>
      </c>
      <c r="AB340" s="89" t="s">
        <v>20415</v>
      </c>
      <c r="AC340" s="89" t="s">
        <v>646</v>
      </c>
      <c r="AD340" s="89" t="s">
        <v>646</v>
      </c>
      <c r="AE340" s="89" t="s">
        <v>646</v>
      </c>
      <c r="AF340" s="89" t="s">
        <v>20416</v>
      </c>
      <c r="AG340" s="89" t="s">
        <v>646</v>
      </c>
      <c r="AH340" s="89" t="s">
        <v>646</v>
      </c>
      <c r="AI340" s="89" t="s">
        <v>646</v>
      </c>
      <c r="AJ340" s="89" t="s">
        <v>646</v>
      </c>
      <c r="AK340" s="89" t="s">
        <v>646</v>
      </c>
      <c r="AL340" s="89" t="s">
        <v>646</v>
      </c>
      <c r="AM340" s="89" t="s">
        <v>646</v>
      </c>
      <c r="AN340" s="89" t="s">
        <v>646</v>
      </c>
      <c r="AO340" s="89" t="s">
        <v>646</v>
      </c>
      <c r="AP340" s="89" t="s">
        <v>646</v>
      </c>
      <c r="AQ340" s="89" t="s">
        <v>646</v>
      </c>
      <c r="AR340" s="89" t="s">
        <v>646</v>
      </c>
      <c r="AS340" s="89" t="s">
        <v>646</v>
      </c>
      <c r="AT340" s="89" t="s">
        <v>646</v>
      </c>
      <c r="AU340" s="89" t="s">
        <v>646</v>
      </c>
      <c r="AV340" s="89" t="s">
        <v>646</v>
      </c>
      <c r="AW340" s="89" t="s">
        <v>646</v>
      </c>
      <c r="AX340" s="89" t="s">
        <v>646</v>
      </c>
      <c r="AY340" s="89" t="s">
        <v>18367</v>
      </c>
      <c r="AZ340" s="89" t="s">
        <v>18884</v>
      </c>
      <c r="BA340" s="89" t="s">
        <v>20417</v>
      </c>
      <c r="BB340" s="89" t="s">
        <v>646</v>
      </c>
      <c r="BC340" s="89" t="s">
        <v>646</v>
      </c>
      <c r="BD340" s="89" t="s">
        <v>646</v>
      </c>
      <c r="BE340" s="89">
        <v>2015</v>
      </c>
      <c r="BF340" s="89">
        <v>8852</v>
      </c>
      <c r="BG340" s="89" t="s">
        <v>646</v>
      </c>
      <c r="BH340" s="89" t="s">
        <v>646</v>
      </c>
      <c r="BI340" s="89" t="s">
        <v>646</v>
      </c>
      <c r="BJ340" s="89" t="s">
        <v>646</v>
      </c>
      <c r="BK340" s="89" t="s">
        <v>646</v>
      </c>
      <c r="BL340" s="89">
        <v>429</v>
      </c>
      <c r="BM340" s="89">
        <v>437</v>
      </c>
      <c r="BN340" s="89" t="s">
        <v>646</v>
      </c>
      <c r="BO340" s="89" t="str">
        <f>HYPERLINK("http://dx.doi.org/10.1007/978-3-319-15168-7_52","http://dx.doi.org/10.1007/978-3-319-15168-7_52")</f>
        <v>http://dx.doi.org/10.1007/978-3-319-15168-7_52</v>
      </c>
      <c r="BP340" s="89" t="s">
        <v>646</v>
      </c>
      <c r="BQ340" s="89" t="s">
        <v>646</v>
      </c>
      <c r="BR340" s="89" t="s">
        <v>646</v>
      </c>
      <c r="BS340" s="89" t="s">
        <v>646</v>
      </c>
      <c r="BT340" s="89" t="s">
        <v>646</v>
      </c>
      <c r="BU340" s="89" t="s">
        <v>646</v>
      </c>
      <c r="BV340" s="89" t="s">
        <v>646</v>
      </c>
      <c r="BW340" s="89" t="s">
        <v>646</v>
      </c>
      <c r="BX340" s="89" t="s">
        <v>646</v>
      </c>
      <c r="BY340" s="89" t="s">
        <v>646</v>
      </c>
      <c r="BZ340" s="89" t="s">
        <v>646</v>
      </c>
      <c r="CA340" s="89" t="s">
        <v>646</v>
      </c>
      <c r="CB340" s="89" t="s">
        <v>20418</v>
      </c>
      <c r="CC340" s="89" t="str">
        <f>HYPERLINK("https%3A%2F%2Fwww.webofscience.com%2Fwos%2Fwoscc%2Ffull-record%2FWOS:000380559900052","View Full Record in Web of Science")</f>
        <v>View Full Record in Web of Science</v>
      </c>
    </row>
    <row r="341" spans="1:81" ht="13.2" hidden="1" x14ac:dyDescent="0.25">
      <c r="A341" s="89" t="s">
        <v>20419</v>
      </c>
      <c r="B341" s="89" t="e">
        <f>+#REF!</f>
        <v>#REF!</v>
      </c>
      <c r="C341" s="89"/>
      <c r="D341" s="91" t="s">
        <v>717</v>
      </c>
      <c r="E341" s="90" t="e">
        <v>#REF!</v>
      </c>
      <c r="F341" s="89"/>
      <c r="G341" s="89"/>
      <c r="H341" s="89" t="s">
        <v>12071</v>
      </c>
      <c r="I341" s="89" t="s">
        <v>20421</v>
      </c>
      <c r="J341" s="89" t="s">
        <v>646</v>
      </c>
      <c r="K341" s="89" t="s">
        <v>20427</v>
      </c>
      <c r="M341" s="89">
        <v>2017</v>
      </c>
      <c r="N341" s="89" t="s">
        <v>20422</v>
      </c>
      <c r="O341" s="89" t="s">
        <v>646</v>
      </c>
      <c r="P341" s="89" t="str">
        <f>HYPERLINK("http://dx.doi.org/10.1145/3035918.3064055","http://dx.doi.org/10.1145/3035918.3064055")</f>
        <v>http://dx.doi.org/10.1145/3035918.3064055</v>
      </c>
      <c r="S341" s="89" t="s">
        <v>20420</v>
      </c>
      <c r="U341" s="89" t="s">
        <v>17474</v>
      </c>
      <c r="W341" s="89" t="s">
        <v>646</v>
      </c>
      <c r="X341" s="89" t="s">
        <v>646</v>
      </c>
      <c r="Y341" s="89" t="s">
        <v>20423</v>
      </c>
      <c r="Z341" s="89" t="s">
        <v>20424</v>
      </c>
      <c r="AA341" s="89" t="s">
        <v>20425</v>
      </c>
      <c r="AB341" s="89" t="s">
        <v>20426</v>
      </c>
      <c r="AC341" s="89" t="s">
        <v>646</v>
      </c>
      <c r="AD341" s="89" t="s">
        <v>646</v>
      </c>
      <c r="AE341" s="89" t="s">
        <v>646</v>
      </c>
      <c r="AF341" s="89" t="s">
        <v>20427</v>
      </c>
      <c r="AG341" s="89" t="s">
        <v>646</v>
      </c>
      <c r="AH341" s="89" t="s">
        <v>646</v>
      </c>
      <c r="AI341" s="89" t="s">
        <v>646</v>
      </c>
      <c r="AJ341" s="89" t="s">
        <v>646</v>
      </c>
      <c r="AK341" s="89" t="s">
        <v>646</v>
      </c>
      <c r="AL341" s="89" t="s">
        <v>646</v>
      </c>
      <c r="AM341" s="89" t="s">
        <v>646</v>
      </c>
      <c r="AN341" s="89" t="s">
        <v>646</v>
      </c>
      <c r="AO341" s="89" t="s">
        <v>646</v>
      </c>
      <c r="AP341" s="89" t="s">
        <v>646</v>
      </c>
      <c r="AQ341" s="89" t="s">
        <v>646</v>
      </c>
      <c r="AR341" s="89" t="s">
        <v>646</v>
      </c>
      <c r="AS341" s="89" t="s">
        <v>646</v>
      </c>
      <c r="AT341" s="89" t="s">
        <v>646</v>
      </c>
      <c r="AU341" s="89" t="s">
        <v>646</v>
      </c>
      <c r="AV341" s="89" t="s">
        <v>646</v>
      </c>
      <c r="AW341" s="89" t="s">
        <v>646</v>
      </c>
      <c r="AX341" s="89" t="s">
        <v>646</v>
      </c>
      <c r="AY341" s="89" t="s">
        <v>646</v>
      </c>
      <c r="AZ341" s="89" t="s">
        <v>646</v>
      </c>
      <c r="BA341" s="89" t="s">
        <v>20428</v>
      </c>
      <c r="BB341" s="89" t="s">
        <v>646</v>
      </c>
      <c r="BC341" s="89" t="s">
        <v>646</v>
      </c>
      <c r="BD341" s="89" t="s">
        <v>646</v>
      </c>
      <c r="BE341" s="89">
        <v>2017</v>
      </c>
      <c r="BF341" s="89" t="s">
        <v>646</v>
      </c>
      <c r="BG341" s="89" t="s">
        <v>646</v>
      </c>
      <c r="BH341" s="89" t="s">
        <v>646</v>
      </c>
      <c r="BI341" s="89" t="s">
        <v>646</v>
      </c>
      <c r="BJ341" s="89" t="s">
        <v>646</v>
      </c>
      <c r="BK341" s="89" t="s">
        <v>646</v>
      </c>
      <c r="BL341" s="89">
        <v>1447</v>
      </c>
      <c r="BM341" s="89">
        <v>1462</v>
      </c>
      <c r="BN341" s="89" t="s">
        <v>646</v>
      </c>
      <c r="BO341" s="89" t="str">
        <f>HYPERLINK("http://dx.doi.org/10.1145/3035918.3064055","http://dx.doi.org/10.1145/3035918.3064055")</f>
        <v>http://dx.doi.org/10.1145/3035918.3064055</v>
      </c>
      <c r="BP341" s="89" t="s">
        <v>646</v>
      </c>
      <c r="BQ341" s="89" t="s">
        <v>646</v>
      </c>
      <c r="BR341" s="89" t="s">
        <v>646</v>
      </c>
      <c r="BS341" s="89" t="s">
        <v>646</v>
      </c>
      <c r="BT341" s="89" t="s">
        <v>646</v>
      </c>
      <c r="BU341" s="89" t="s">
        <v>646</v>
      </c>
      <c r="BV341" s="89" t="s">
        <v>646</v>
      </c>
      <c r="BW341" s="89" t="s">
        <v>646</v>
      </c>
      <c r="BX341" s="89" t="s">
        <v>646</v>
      </c>
      <c r="BY341" s="89" t="s">
        <v>646</v>
      </c>
      <c r="BZ341" s="89" t="s">
        <v>646</v>
      </c>
      <c r="CA341" s="89" t="s">
        <v>646</v>
      </c>
      <c r="CB341" s="89" t="s">
        <v>20429</v>
      </c>
      <c r="CC341" s="89" t="str">
        <f>HYPERLINK("https%3A%2F%2Fwww.webofscience.com%2Fwos%2Fwoscc%2Ffull-record%2FWOS:000452550000096","View Full Record in Web of Science")</f>
        <v>View Full Record in Web of Science</v>
      </c>
    </row>
    <row r="342" spans="1:81" ht="13.2" hidden="1" x14ac:dyDescent="0.25">
      <c r="A342" s="89" t="s">
        <v>20430</v>
      </c>
      <c r="B342" s="89" t="e">
        <f>+#REF!</f>
        <v>#REF!</v>
      </c>
      <c r="C342" s="89"/>
      <c r="D342" s="91" t="s">
        <v>717</v>
      </c>
      <c r="E342" s="90" t="e">
        <v>#REF!</v>
      </c>
      <c r="F342" s="89"/>
      <c r="G342" s="89"/>
      <c r="H342" s="89" t="s">
        <v>646</v>
      </c>
      <c r="I342" s="89" t="s">
        <v>20431</v>
      </c>
      <c r="J342" s="89" t="s">
        <v>646</v>
      </c>
      <c r="K342" s="89" t="s">
        <v>20437</v>
      </c>
      <c r="M342" s="89">
        <v>2018</v>
      </c>
      <c r="N342" s="89" t="s">
        <v>20432</v>
      </c>
      <c r="O342" s="89" t="s">
        <v>646</v>
      </c>
      <c r="P342" s="89" t="s">
        <v>646</v>
      </c>
      <c r="S342" s="89" t="s">
        <v>19206</v>
      </c>
      <c r="U342" s="89" t="s">
        <v>17474</v>
      </c>
      <c r="W342" s="89" t="s">
        <v>646</v>
      </c>
      <c r="X342" s="89" t="s">
        <v>646</v>
      </c>
      <c r="Y342" s="89" t="s">
        <v>20433</v>
      </c>
      <c r="Z342" s="89" t="s">
        <v>20434</v>
      </c>
      <c r="AA342" s="89" t="s">
        <v>20435</v>
      </c>
      <c r="AB342" s="89" t="s">
        <v>20436</v>
      </c>
      <c r="AC342" s="89" t="s">
        <v>646</v>
      </c>
      <c r="AD342" s="89" t="s">
        <v>646</v>
      </c>
      <c r="AE342" s="89" t="s">
        <v>646</v>
      </c>
      <c r="AF342" s="89" t="s">
        <v>20437</v>
      </c>
      <c r="AG342" s="89" t="s">
        <v>646</v>
      </c>
      <c r="AH342" s="89" t="s">
        <v>646</v>
      </c>
      <c r="AI342" s="89" t="s">
        <v>646</v>
      </c>
      <c r="AJ342" s="89" t="s">
        <v>646</v>
      </c>
      <c r="AK342" s="89" t="s">
        <v>646</v>
      </c>
      <c r="AL342" s="89" t="s">
        <v>646</v>
      </c>
      <c r="AM342" s="89" t="s">
        <v>646</v>
      </c>
      <c r="AN342" s="89" t="s">
        <v>646</v>
      </c>
      <c r="AO342" s="89" t="s">
        <v>646</v>
      </c>
      <c r="AP342" s="89" t="s">
        <v>646</v>
      </c>
      <c r="AQ342" s="89" t="s">
        <v>646</v>
      </c>
      <c r="AR342" s="89" t="s">
        <v>646</v>
      </c>
      <c r="AS342" s="89" t="s">
        <v>646</v>
      </c>
      <c r="AT342" s="89" t="s">
        <v>646</v>
      </c>
      <c r="AU342" s="89" t="s">
        <v>646</v>
      </c>
      <c r="AV342" s="89" t="s">
        <v>646</v>
      </c>
      <c r="AW342" s="89" t="s">
        <v>646</v>
      </c>
      <c r="AX342" s="89" t="s">
        <v>646</v>
      </c>
      <c r="AY342" s="89" t="s">
        <v>646</v>
      </c>
      <c r="AZ342" s="89" t="s">
        <v>646</v>
      </c>
      <c r="BA342" s="89" t="s">
        <v>20438</v>
      </c>
      <c r="BB342" s="89" t="s">
        <v>646</v>
      </c>
      <c r="BC342" s="89" t="s">
        <v>646</v>
      </c>
      <c r="BD342" s="89" t="s">
        <v>646</v>
      </c>
      <c r="BE342" s="89">
        <v>2018</v>
      </c>
      <c r="BF342" s="89" t="s">
        <v>646</v>
      </c>
      <c r="BG342" s="89" t="s">
        <v>646</v>
      </c>
      <c r="BH342" s="89" t="s">
        <v>646</v>
      </c>
      <c r="BI342" s="89" t="s">
        <v>646</v>
      </c>
      <c r="BJ342" s="89" t="s">
        <v>646</v>
      </c>
      <c r="BK342" s="89" t="s">
        <v>646</v>
      </c>
      <c r="BL342" s="89">
        <v>1486</v>
      </c>
      <c r="BM342" s="89">
        <v>1494</v>
      </c>
      <c r="BN342" s="89" t="s">
        <v>646</v>
      </c>
      <c r="BO342" s="89" t="s">
        <v>646</v>
      </c>
      <c r="BP342" s="89" t="s">
        <v>646</v>
      </c>
      <c r="BQ342" s="89" t="s">
        <v>646</v>
      </c>
      <c r="BR342" s="89" t="s">
        <v>646</v>
      </c>
      <c r="BS342" s="89" t="s">
        <v>646</v>
      </c>
      <c r="BT342" s="89" t="s">
        <v>646</v>
      </c>
      <c r="BU342" s="89" t="s">
        <v>646</v>
      </c>
      <c r="BV342" s="89" t="s">
        <v>646</v>
      </c>
      <c r="BW342" s="89" t="s">
        <v>646</v>
      </c>
      <c r="BX342" s="89" t="s">
        <v>646</v>
      </c>
      <c r="BY342" s="89" t="s">
        <v>646</v>
      </c>
      <c r="BZ342" s="89" t="s">
        <v>646</v>
      </c>
      <c r="CA342" s="89" t="s">
        <v>646</v>
      </c>
      <c r="CB342" s="89" t="s">
        <v>20439</v>
      </c>
      <c r="CC342" s="89" t="str">
        <f>HYPERLINK("https%3A%2F%2Fwww.webofscience.com%2Fwos%2Fwoscc%2Ffull-record%2FWOS:000468231300179","View Full Record in Web of Science")</f>
        <v>View Full Record in Web of Science</v>
      </c>
    </row>
    <row r="343" spans="1:81" ht="13.2" hidden="1" x14ac:dyDescent="0.25">
      <c r="A343" s="89" t="s">
        <v>20440</v>
      </c>
      <c r="B343" s="89" t="e">
        <f>+#REF!</f>
        <v>#REF!</v>
      </c>
      <c r="C343" s="89"/>
      <c r="D343" s="91" t="s">
        <v>717</v>
      </c>
      <c r="E343" s="90" t="e">
        <v>#REF!</v>
      </c>
      <c r="F343" s="89"/>
      <c r="G343" s="89"/>
      <c r="H343" s="89" t="s">
        <v>12080</v>
      </c>
      <c r="I343" s="89" t="s">
        <v>20441</v>
      </c>
      <c r="J343" s="89" t="s">
        <v>646</v>
      </c>
      <c r="K343" s="89" t="s">
        <v>20446</v>
      </c>
      <c r="M343" s="89">
        <v>2014</v>
      </c>
      <c r="N343" s="89" t="s">
        <v>20442</v>
      </c>
      <c r="O343" s="89" t="s">
        <v>646</v>
      </c>
      <c r="P343" s="89" t="str">
        <f>HYPERLINK("http://dx.doi.org/10.1109/ICSC.2014.14","http://dx.doi.org/10.1109/ICSC.2014.14")</f>
        <v>http://dx.doi.org/10.1109/ICSC.2014.14</v>
      </c>
      <c r="S343" s="89" t="s">
        <v>17475</v>
      </c>
      <c r="U343" s="89" t="s">
        <v>17474</v>
      </c>
      <c r="W343" s="89" t="s">
        <v>646</v>
      </c>
      <c r="X343" s="89" t="s">
        <v>646</v>
      </c>
      <c r="Y343" s="89" t="s">
        <v>20443</v>
      </c>
      <c r="Z343" s="89" t="s">
        <v>20444</v>
      </c>
      <c r="AA343" s="89" t="s">
        <v>20445</v>
      </c>
      <c r="AB343" s="89" t="s">
        <v>646</v>
      </c>
      <c r="AC343" s="89" t="s">
        <v>646</v>
      </c>
      <c r="AD343" s="89" t="s">
        <v>646</v>
      </c>
      <c r="AE343" s="89" t="s">
        <v>646</v>
      </c>
      <c r="AF343" s="89" t="s">
        <v>20446</v>
      </c>
      <c r="AG343" s="89" t="s">
        <v>646</v>
      </c>
      <c r="AH343" s="89" t="s">
        <v>646</v>
      </c>
      <c r="AI343" s="89" t="s">
        <v>646</v>
      </c>
      <c r="AJ343" s="89" t="s">
        <v>646</v>
      </c>
      <c r="AK343" s="89" t="s">
        <v>646</v>
      </c>
      <c r="AL343" s="89" t="s">
        <v>20447</v>
      </c>
      <c r="AM343" s="89" t="s">
        <v>646</v>
      </c>
      <c r="AN343" s="89" t="s">
        <v>646</v>
      </c>
      <c r="AO343" s="89" t="s">
        <v>646</v>
      </c>
      <c r="AP343" s="89" t="s">
        <v>646</v>
      </c>
      <c r="AQ343" s="89" t="s">
        <v>646</v>
      </c>
      <c r="AR343" s="89" t="s">
        <v>646</v>
      </c>
      <c r="AS343" s="89" t="s">
        <v>646</v>
      </c>
      <c r="AT343" s="89" t="s">
        <v>646</v>
      </c>
      <c r="AU343" s="89" t="s">
        <v>646</v>
      </c>
      <c r="AV343" s="89" t="s">
        <v>646</v>
      </c>
      <c r="AW343" s="89" t="s">
        <v>646</v>
      </c>
      <c r="AX343" s="89" t="s">
        <v>646</v>
      </c>
      <c r="AY343" s="89" t="s">
        <v>20448</v>
      </c>
      <c r="AZ343" s="89" t="s">
        <v>646</v>
      </c>
      <c r="BA343" s="89" t="s">
        <v>20449</v>
      </c>
      <c r="BB343" s="89" t="s">
        <v>646</v>
      </c>
      <c r="BC343" s="89" t="s">
        <v>646</v>
      </c>
      <c r="BD343" s="89" t="s">
        <v>646</v>
      </c>
      <c r="BE343" s="89">
        <v>2014</v>
      </c>
      <c r="BF343" s="89" t="s">
        <v>646</v>
      </c>
      <c r="BG343" s="89" t="s">
        <v>646</v>
      </c>
      <c r="BH343" s="89" t="s">
        <v>646</v>
      </c>
      <c r="BI343" s="89" t="s">
        <v>646</v>
      </c>
      <c r="BJ343" s="89" t="s">
        <v>646</v>
      </c>
      <c r="BK343" s="89" t="s">
        <v>646</v>
      </c>
      <c r="BL343" s="89">
        <v>227</v>
      </c>
      <c r="BM343" s="89">
        <v>234</v>
      </c>
      <c r="BN343" s="89" t="s">
        <v>646</v>
      </c>
      <c r="BO343" s="89" t="str">
        <f>HYPERLINK("http://dx.doi.org/10.1109/ICSC.2014.14","http://dx.doi.org/10.1109/ICSC.2014.14")</f>
        <v>http://dx.doi.org/10.1109/ICSC.2014.14</v>
      </c>
      <c r="BP343" s="89" t="s">
        <v>646</v>
      </c>
      <c r="BQ343" s="89" t="s">
        <v>646</v>
      </c>
      <c r="BR343" s="89" t="s">
        <v>646</v>
      </c>
      <c r="BS343" s="89" t="s">
        <v>646</v>
      </c>
      <c r="BT343" s="89" t="s">
        <v>646</v>
      </c>
      <c r="BU343" s="89" t="s">
        <v>646</v>
      </c>
      <c r="BV343" s="89" t="s">
        <v>646</v>
      </c>
      <c r="BW343" s="89" t="s">
        <v>646</v>
      </c>
      <c r="BX343" s="89" t="s">
        <v>646</v>
      </c>
      <c r="BY343" s="89" t="s">
        <v>646</v>
      </c>
      <c r="BZ343" s="89" t="s">
        <v>646</v>
      </c>
      <c r="CA343" s="89" t="s">
        <v>646</v>
      </c>
      <c r="CB343" s="89" t="s">
        <v>20450</v>
      </c>
      <c r="CC343" s="89" t="str">
        <f>HYPERLINK("https%3A%2F%2Fwww.webofscience.com%2Fwos%2Fwoscc%2Ffull-record%2FWOS:000346176100036","View Full Record in Web of Science")</f>
        <v>View Full Record in Web of Science</v>
      </c>
    </row>
    <row r="344" spans="1:81" ht="13.2" hidden="1" x14ac:dyDescent="0.25">
      <c r="A344" s="89" t="s">
        <v>20451</v>
      </c>
      <c r="B344" s="89" t="e">
        <f>+#REF!</f>
        <v>#REF!</v>
      </c>
      <c r="C344" s="89"/>
      <c r="D344" s="91" t="s">
        <v>717</v>
      </c>
      <c r="E344" s="90" t="e">
        <v>#REF!</v>
      </c>
      <c r="F344" s="89"/>
      <c r="G344" s="89"/>
      <c r="H344" s="89" t="s">
        <v>646</v>
      </c>
      <c r="I344" s="89" t="s">
        <v>20452</v>
      </c>
      <c r="J344" s="89" t="s">
        <v>646</v>
      </c>
      <c r="K344" s="89" t="s">
        <v>20459</v>
      </c>
      <c r="M344" s="89">
        <v>2011</v>
      </c>
      <c r="N344" s="89" t="s">
        <v>20453</v>
      </c>
      <c r="O344" s="89" t="s">
        <v>646</v>
      </c>
      <c r="P344" s="89" t="s">
        <v>646</v>
      </c>
      <c r="S344" s="89" t="s">
        <v>17475</v>
      </c>
      <c r="U344" s="89" t="s">
        <v>17474</v>
      </c>
      <c r="W344" s="89" t="s">
        <v>646</v>
      </c>
      <c r="X344" s="89" t="s">
        <v>646</v>
      </c>
      <c r="Y344" s="89" t="s">
        <v>20454</v>
      </c>
      <c r="Z344" s="89" t="s">
        <v>20455</v>
      </c>
      <c r="AA344" s="89" t="s">
        <v>20456</v>
      </c>
      <c r="AB344" s="89" t="s">
        <v>20457</v>
      </c>
      <c r="AC344" s="89" t="s">
        <v>20458</v>
      </c>
      <c r="AD344" s="89" t="s">
        <v>646</v>
      </c>
      <c r="AE344" s="89" t="s">
        <v>646</v>
      </c>
      <c r="AF344" s="89" t="s">
        <v>20459</v>
      </c>
      <c r="AG344" s="89" t="s">
        <v>646</v>
      </c>
      <c r="AH344" s="89" t="s">
        <v>646</v>
      </c>
      <c r="AI344" s="89" t="s">
        <v>646</v>
      </c>
      <c r="AJ344" s="89" t="s">
        <v>646</v>
      </c>
      <c r="AK344" s="89" t="s">
        <v>646</v>
      </c>
      <c r="AL344" s="89" t="s">
        <v>646</v>
      </c>
      <c r="AM344" s="89" t="s">
        <v>646</v>
      </c>
      <c r="AN344" s="89" t="s">
        <v>646</v>
      </c>
      <c r="AO344" s="89" t="s">
        <v>646</v>
      </c>
      <c r="AP344" s="89" t="s">
        <v>646</v>
      </c>
      <c r="AQ344" s="89" t="s">
        <v>646</v>
      </c>
      <c r="AR344" s="89" t="s">
        <v>646</v>
      </c>
      <c r="AS344" s="89" t="s">
        <v>646</v>
      </c>
      <c r="AT344" s="89" t="s">
        <v>646</v>
      </c>
      <c r="AU344" s="89" t="s">
        <v>646</v>
      </c>
      <c r="AV344" s="89" t="s">
        <v>646</v>
      </c>
      <c r="AW344" s="89" t="s">
        <v>646</v>
      </c>
      <c r="AX344" s="89" t="s">
        <v>646</v>
      </c>
      <c r="AY344" s="89" t="s">
        <v>20083</v>
      </c>
      <c r="AZ344" s="89" t="s">
        <v>646</v>
      </c>
      <c r="BA344" s="89" t="s">
        <v>20460</v>
      </c>
      <c r="BB344" s="89" t="s">
        <v>646</v>
      </c>
      <c r="BC344" s="89" t="s">
        <v>646</v>
      </c>
      <c r="BD344" s="89" t="s">
        <v>646</v>
      </c>
      <c r="BE344" s="89">
        <v>2011</v>
      </c>
      <c r="BF344" s="89" t="s">
        <v>646</v>
      </c>
      <c r="BG344" s="89" t="s">
        <v>646</v>
      </c>
      <c r="BH344" s="89" t="s">
        <v>646</v>
      </c>
      <c r="BI344" s="89" t="s">
        <v>646</v>
      </c>
      <c r="BJ344" s="89" t="s">
        <v>646</v>
      </c>
      <c r="BK344" s="89" t="s">
        <v>646</v>
      </c>
      <c r="BL344" s="89">
        <v>2416</v>
      </c>
      <c r="BM344" s="89">
        <v>2419</v>
      </c>
      <c r="BN344" s="89" t="s">
        <v>646</v>
      </c>
      <c r="BO344" s="89" t="s">
        <v>646</v>
      </c>
      <c r="BP344" s="89" t="s">
        <v>646</v>
      </c>
      <c r="BQ344" s="89" t="s">
        <v>646</v>
      </c>
      <c r="BR344" s="89" t="s">
        <v>646</v>
      </c>
      <c r="BS344" s="89" t="s">
        <v>646</v>
      </c>
      <c r="BT344" s="89" t="s">
        <v>646</v>
      </c>
      <c r="BU344" s="89" t="s">
        <v>646</v>
      </c>
      <c r="BV344" s="89" t="s">
        <v>646</v>
      </c>
      <c r="BW344" s="89" t="s">
        <v>646</v>
      </c>
      <c r="BX344" s="89" t="s">
        <v>646</v>
      </c>
      <c r="BY344" s="89" t="s">
        <v>646</v>
      </c>
      <c r="BZ344" s="89" t="s">
        <v>646</v>
      </c>
      <c r="CA344" s="89" t="s">
        <v>646</v>
      </c>
      <c r="CB344" s="89" t="s">
        <v>20461</v>
      </c>
      <c r="CC344" s="89" t="str">
        <f>HYPERLINK("https%3A%2F%2Fwww.webofscience.com%2Fwos%2Fwoscc%2Ffull-record%2FWOS:000296062402183","View Full Record in Web of Science")</f>
        <v>View Full Record in Web of Science</v>
      </c>
    </row>
    <row r="345" spans="1:81" ht="13.2" hidden="1" x14ac:dyDescent="0.25">
      <c r="A345" s="89" t="s">
        <v>12095</v>
      </c>
      <c r="B345" s="89" t="e">
        <f>+#REF!</f>
        <v>#REF!</v>
      </c>
      <c r="C345" s="89"/>
      <c r="D345" s="91" t="s">
        <v>717</v>
      </c>
      <c r="E345" s="90" t="e">
        <v>#REF!</v>
      </c>
      <c r="F345" s="89"/>
      <c r="G345" s="89"/>
      <c r="H345" s="89" t="s">
        <v>12096</v>
      </c>
      <c r="I345" s="89" t="s">
        <v>20462</v>
      </c>
      <c r="J345" s="89" t="s">
        <v>646</v>
      </c>
      <c r="K345" s="89" t="s">
        <v>20463</v>
      </c>
      <c r="M345" s="89">
        <v>2015</v>
      </c>
      <c r="N345" s="89" t="s">
        <v>19578</v>
      </c>
      <c r="O345" s="89" t="s">
        <v>646</v>
      </c>
      <c r="P345" s="89" t="str">
        <f>HYPERLINK("http://dx.doi.org/10.1109/TKDE.2015.2407353","http://dx.doi.org/10.1109/TKDE.2015.2407353")</f>
        <v>http://dx.doi.org/10.1109/TKDE.2015.2407353</v>
      </c>
      <c r="S345" s="89" t="s">
        <v>646</v>
      </c>
      <c r="U345" s="89" t="s">
        <v>17462</v>
      </c>
      <c r="W345" s="89" t="s">
        <v>646</v>
      </c>
      <c r="X345" s="89" t="s">
        <v>646</v>
      </c>
      <c r="Y345" s="89" t="s">
        <v>646</v>
      </c>
      <c r="Z345" s="89" t="s">
        <v>646</v>
      </c>
      <c r="AA345" s="89" t="s">
        <v>646</v>
      </c>
      <c r="AB345" s="89" t="s">
        <v>646</v>
      </c>
      <c r="AC345" s="89" t="s">
        <v>646</v>
      </c>
      <c r="AD345" s="89" t="s">
        <v>646</v>
      </c>
      <c r="AE345" s="89" t="s">
        <v>646</v>
      </c>
      <c r="AF345" s="89" t="s">
        <v>20463</v>
      </c>
      <c r="AG345" s="89" t="s">
        <v>646</v>
      </c>
      <c r="AH345" s="89" t="s">
        <v>646</v>
      </c>
      <c r="AI345" s="89" t="s">
        <v>646</v>
      </c>
      <c r="AJ345" s="89" t="s">
        <v>646</v>
      </c>
      <c r="AK345" s="89" t="s">
        <v>646</v>
      </c>
      <c r="AL345" s="89" t="s">
        <v>646</v>
      </c>
      <c r="AM345" s="89" t="s">
        <v>646</v>
      </c>
      <c r="AN345" s="89" t="s">
        <v>646</v>
      </c>
      <c r="AO345" s="89" t="s">
        <v>646</v>
      </c>
      <c r="AP345" s="89" t="s">
        <v>646</v>
      </c>
      <c r="AQ345" s="89" t="s">
        <v>646</v>
      </c>
      <c r="AR345" s="89" t="s">
        <v>646</v>
      </c>
      <c r="AS345" s="89" t="s">
        <v>646</v>
      </c>
      <c r="AT345" s="89" t="s">
        <v>646</v>
      </c>
      <c r="AU345" s="89" t="s">
        <v>646</v>
      </c>
      <c r="AV345" s="89" t="s">
        <v>646</v>
      </c>
      <c r="AW345" s="89" t="s">
        <v>646</v>
      </c>
      <c r="AX345" s="89" t="s">
        <v>646</v>
      </c>
      <c r="AY345" s="89" t="s">
        <v>19582</v>
      </c>
      <c r="AZ345" s="89" t="s">
        <v>19583</v>
      </c>
      <c r="BA345" s="89" t="s">
        <v>646</v>
      </c>
      <c r="BB345" s="89" t="s">
        <v>646</v>
      </c>
      <c r="BC345" s="89" t="s">
        <v>646</v>
      </c>
      <c r="BD345" s="89" t="s">
        <v>18655</v>
      </c>
      <c r="BE345" s="89">
        <v>2015</v>
      </c>
      <c r="BF345" s="89">
        <v>27</v>
      </c>
      <c r="BG345" s="89">
        <v>8</v>
      </c>
      <c r="BH345" s="89" t="s">
        <v>646</v>
      </c>
      <c r="BI345" s="89" t="s">
        <v>646</v>
      </c>
      <c r="BJ345" s="89" t="s">
        <v>646</v>
      </c>
      <c r="BK345" s="89" t="s">
        <v>646</v>
      </c>
      <c r="BL345" s="89">
        <v>2078</v>
      </c>
      <c r="BM345" s="89">
        <v>2092</v>
      </c>
      <c r="BN345" s="89" t="s">
        <v>646</v>
      </c>
      <c r="BO345" s="89" t="str">
        <f>HYPERLINK("http://dx.doi.org/10.1109/TKDE.2015.2407353","http://dx.doi.org/10.1109/TKDE.2015.2407353")</f>
        <v>http://dx.doi.org/10.1109/TKDE.2015.2407353</v>
      </c>
      <c r="BP345" s="89" t="s">
        <v>646</v>
      </c>
      <c r="BQ345" s="89" t="s">
        <v>646</v>
      </c>
      <c r="BR345" s="89" t="s">
        <v>646</v>
      </c>
      <c r="BS345" s="89" t="s">
        <v>646</v>
      </c>
      <c r="BT345" s="89" t="s">
        <v>646</v>
      </c>
      <c r="BU345" s="89" t="s">
        <v>646</v>
      </c>
      <c r="BV345" s="89" t="s">
        <v>646</v>
      </c>
      <c r="BW345" s="89" t="s">
        <v>646</v>
      </c>
      <c r="BX345" s="89" t="s">
        <v>646</v>
      </c>
      <c r="BY345" s="89" t="s">
        <v>646</v>
      </c>
      <c r="BZ345" s="89" t="s">
        <v>646</v>
      </c>
      <c r="CA345" s="89" t="s">
        <v>646</v>
      </c>
      <c r="CB345" s="89" t="s">
        <v>20464</v>
      </c>
      <c r="CC345" s="89" t="str">
        <f>HYPERLINK("https%3A%2F%2Fwww.webofscience.com%2Fwos%2Fwoscc%2Ffull-record%2FWOS:000357692600006","View Full Record in Web of Science")</f>
        <v>View Full Record in Web of Science</v>
      </c>
    </row>
    <row r="346" spans="1:81" ht="13.2" hidden="1" x14ac:dyDescent="0.25">
      <c r="A346" s="89" t="s">
        <v>20465</v>
      </c>
      <c r="B346" s="89" t="e">
        <f>+#REF!</f>
        <v>#REF!</v>
      </c>
      <c r="C346" s="89"/>
      <c r="D346" s="91" t="s">
        <v>717</v>
      </c>
      <c r="E346" s="90" t="e">
        <v>#REF!</v>
      </c>
      <c r="F346" s="89"/>
      <c r="G346" s="89"/>
      <c r="H346" s="89" t="s">
        <v>12104</v>
      </c>
      <c r="I346" s="89" t="s">
        <v>20466</v>
      </c>
      <c r="J346" s="89" t="s">
        <v>646</v>
      </c>
      <c r="K346" s="89" t="s">
        <v>20473</v>
      </c>
      <c r="M346" s="89">
        <v>2016</v>
      </c>
      <c r="N346" s="89" t="s">
        <v>20467</v>
      </c>
      <c r="O346" s="89" t="s">
        <v>646</v>
      </c>
      <c r="P346" s="89" t="str">
        <f>HYPERLINK("http://dx.doi.org/10.1145/2983323.2983830","http://dx.doi.org/10.1145/2983323.2983830")</f>
        <v>http://dx.doi.org/10.1145/2983323.2983830</v>
      </c>
      <c r="S346" s="89" t="s">
        <v>19206</v>
      </c>
      <c r="U346" s="89" t="s">
        <v>17474</v>
      </c>
      <c r="W346" s="89" t="s">
        <v>646</v>
      </c>
      <c r="X346" s="89" t="s">
        <v>646</v>
      </c>
      <c r="Y346" s="89" t="s">
        <v>20468</v>
      </c>
      <c r="Z346" s="89" t="s">
        <v>20469</v>
      </c>
      <c r="AA346" s="89" t="s">
        <v>20470</v>
      </c>
      <c r="AB346" s="89" t="s">
        <v>20471</v>
      </c>
      <c r="AC346" s="89" t="s">
        <v>20472</v>
      </c>
      <c r="AD346" s="89" t="s">
        <v>646</v>
      </c>
      <c r="AE346" s="89" t="s">
        <v>646</v>
      </c>
      <c r="AF346" s="89" t="s">
        <v>20473</v>
      </c>
      <c r="AG346" s="89" t="s">
        <v>646</v>
      </c>
      <c r="AH346" s="89" t="s">
        <v>646</v>
      </c>
      <c r="AI346" s="89" t="s">
        <v>646</v>
      </c>
      <c r="AJ346" s="89" t="s">
        <v>646</v>
      </c>
      <c r="AK346" s="89" t="s">
        <v>646</v>
      </c>
      <c r="AL346" s="89" t="s">
        <v>20474</v>
      </c>
      <c r="AM346" s="89" t="s">
        <v>646</v>
      </c>
      <c r="AN346" s="89" t="s">
        <v>646</v>
      </c>
      <c r="AO346" s="89" t="s">
        <v>646</v>
      </c>
      <c r="AP346" s="89" t="s">
        <v>646</v>
      </c>
      <c r="AQ346" s="89" t="s">
        <v>646</v>
      </c>
      <c r="AR346" s="89" t="s">
        <v>646</v>
      </c>
      <c r="AS346" s="89" t="s">
        <v>646</v>
      </c>
      <c r="AT346" s="89" t="s">
        <v>646</v>
      </c>
      <c r="AU346" s="89" t="s">
        <v>646</v>
      </c>
      <c r="AV346" s="89" t="s">
        <v>646</v>
      </c>
      <c r="AW346" s="89" t="s">
        <v>646</v>
      </c>
      <c r="AX346" s="89" t="s">
        <v>646</v>
      </c>
      <c r="AY346" s="89" t="s">
        <v>646</v>
      </c>
      <c r="AZ346" s="89" t="s">
        <v>646</v>
      </c>
      <c r="BA346" s="89" t="s">
        <v>20475</v>
      </c>
      <c r="BB346" s="89" t="s">
        <v>646</v>
      </c>
      <c r="BC346" s="89" t="s">
        <v>646</v>
      </c>
      <c r="BD346" s="89" t="s">
        <v>646</v>
      </c>
      <c r="BE346" s="89">
        <v>2016</v>
      </c>
      <c r="BF346" s="89" t="s">
        <v>646</v>
      </c>
      <c r="BG346" s="89" t="s">
        <v>646</v>
      </c>
      <c r="BH346" s="89" t="s">
        <v>646</v>
      </c>
      <c r="BI346" s="89" t="s">
        <v>646</v>
      </c>
      <c r="BJ346" s="89" t="s">
        <v>646</v>
      </c>
      <c r="BK346" s="89" t="s">
        <v>646</v>
      </c>
      <c r="BL346" s="89">
        <v>539</v>
      </c>
      <c r="BM346" s="89">
        <v>548</v>
      </c>
      <c r="BN346" s="89" t="s">
        <v>646</v>
      </c>
      <c r="BO346" s="89" t="str">
        <f>HYPERLINK("http://dx.doi.org/10.1145/2983323.2983830","http://dx.doi.org/10.1145/2983323.2983830")</f>
        <v>http://dx.doi.org/10.1145/2983323.2983830</v>
      </c>
      <c r="BP346" s="89" t="s">
        <v>646</v>
      </c>
      <c r="BQ346" s="89" t="s">
        <v>646</v>
      </c>
      <c r="BR346" s="89" t="s">
        <v>646</v>
      </c>
      <c r="BS346" s="89" t="s">
        <v>646</v>
      </c>
      <c r="BT346" s="89" t="s">
        <v>646</v>
      </c>
      <c r="BU346" s="89" t="s">
        <v>646</v>
      </c>
      <c r="BV346" s="89" t="s">
        <v>646</v>
      </c>
      <c r="BW346" s="89" t="s">
        <v>646</v>
      </c>
      <c r="BX346" s="89" t="s">
        <v>646</v>
      </c>
      <c r="BY346" s="89" t="s">
        <v>646</v>
      </c>
      <c r="BZ346" s="89" t="s">
        <v>646</v>
      </c>
      <c r="CA346" s="89" t="s">
        <v>646</v>
      </c>
      <c r="CB346" s="89" t="s">
        <v>20476</v>
      </c>
      <c r="CC346" s="89" t="str">
        <f>HYPERLINK("https%3A%2F%2Fwww.webofscience.com%2Fwos%2Fwoscc%2Ffull-record%2FWOS:000390890800057","View Full Record in Web of Science")</f>
        <v>View Full Record in Web of Science</v>
      </c>
    </row>
    <row r="347" spans="1:81" ht="13.2" hidden="1" x14ac:dyDescent="0.25">
      <c r="A347" s="89" t="s">
        <v>20477</v>
      </c>
      <c r="B347" s="89" t="e">
        <f>+#REF!</f>
        <v>#REF!</v>
      </c>
      <c r="C347" s="89"/>
      <c r="D347" s="91" t="s">
        <v>717</v>
      </c>
      <c r="E347" s="90" t="e">
        <v>#REF!</v>
      </c>
      <c r="F347" s="89"/>
      <c r="G347" s="89"/>
      <c r="H347" s="89" t="s">
        <v>12112</v>
      </c>
      <c r="I347" s="89" t="s">
        <v>20478</v>
      </c>
      <c r="J347" s="89" t="s">
        <v>20481</v>
      </c>
      <c r="K347" s="89" t="s">
        <v>20480</v>
      </c>
      <c r="M347" s="89">
        <v>2015</v>
      </c>
      <c r="N347" s="89" t="s">
        <v>20479</v>
      </c>
      <c r="O347" s="89" t="s">
        <v>646</v>
      </c>
      <c r="P347" s="89" t="str">
        <f>HYPERLINK("http://dx.doi.org/10.1089/end.2015.0191","http://dx.doi.org/10.1089/end.2015.0191")</f>
        <v>http://dx.doi.org/10.1089/end.2015.0191</v>
      </c>
      <c r="S347" s="89" t="s">
        <v>646</v>
      </c>
      <c r="U347" s="89" t="s">
        <v>17462</v>
      </c>
      <c r="W347" s="89" t="s">
        <v>646</v>
      </c>
      <c r="X347" s="89" t="s">
        <v>646</v>
      </c>
      <c r="Y347" s="89" t="s">
        <v>646</v>
      </c>
      <c r="Z347" s="89" t="s">
        <v>646</v>
      </c>
      <c r="AA347" s="89" t="s">
        <v>646</v>
      </c>
      <c r="AB347" s="89" t="s">
        <v>646</v>
      </c>
      <c r="AC347" s="89" t="s">
        <v>646</v>
      </c>
      <c r="AD347" s="89" t="s">
        <v>646</v>
      </c>
      <c r="AE347" s="89" t="s">
        <v>646</v>
      </c>
      <c r="AF347" s="89" t="s">
        <v>20480</v>
      </c>
      <c r="AG347" s="89" t="s">
        <v>646</v>
      </c>
      <c r="AH347" s="89" t="s">
        <v>646</v>
      </c>
      <c r="AI347" s="89" t="s">
        <v>646</v>
      </c>
      <c r="AJ347" s="89" t="s">
        <v>646</v>
      </c>
      <c r="AK347" s="89" t="s">
        <v>20481</v>
      </c>
      <c r="AL347" s="89" t="s">
        <v>20482</v>
      </c>
      <c r="AM347" s="89" t="s">
        <v>646</v>
      </c>
      <c r="AN347" s="89" t="s">
        <v>646</v>
      </c>
      <c r="AO347" s="89" t="s">
        <v>646</v>
      </c>
      <c r="AP347" s="89" t="s">
        <v>646</v>
      </c>
      <c r="AQ347" s="89" t="s">
        <v>646</v>
      </c>
      <c r="AR347" s="89" t="s">
        <v>646</v>
      </c>
      <c r="AS347" s="89" t="s">
        <v>646</v>
      </c>
      <c r="AT347" s="89" t="s">
        <v>646</v>
      </c>
      <c r="AU347" s="89" t="s">
        <v>646</v>
      </c>
      <c r="AV347" s="89" t="s">
        <v>646</v>
      </c>
      <c r="AW347" s="89" t="s">
        <v>646</v>
      </c>
      <c r="AX347" s="89" t="s">
        <v>646</v>
      </c>
      <c r="AY347" s="89" t="s">
        <v>20483</v>
      </c>
      <c r="AZ347" s="89" t="s">
        <v>20484</v>
      </c>
      <c r="BA347" s="89" t="s">
        <v>646</v>
      </c>
      <c r="BB347" s="89" t="s">
        <v>646</v>
      </c>
      <c r="BC347" s="89" t="s">
        <v>646</v>
      </c>
      <c r="BD347" s="89" t="s">
        <v>20485</v>
      </c>
      <c r="BE347" s="89">
        <v>2015</v>
      </c>
      <c r="BF347" s="89">
        <v>29</v>
      </c>
      <c r="BG347" s="89">
        <v>11</v>
      </c>
      <c r="BH347" s="89" t="s">
        <v>646</v>
      </c>
      <c r="BI347" s="89" t="s">
        <v>646</v>
      </c>
      <c r="BJ347" s="89" t="s">
        <v>646</v>
      </c>
      <c r="BK347" s="89" t="s">
        <v>646</v>
      </c>
      <c r="BL347" s="89">
        <v>1295</v>
      </c>
      <c r="BM347" s="89">
        <v>1301</v>
      </c>
      <c r="BN347" s="89" t="s">
        <v>646</v>
      </c>
      <c r="BO347" s="89" t="str">
        <f>HYPERLINK("http://dx.doi.org/10.1089/end.2015.0191","http://dx.doi.org/10.1089/end.2015.0191")</f>
        <v>http://dx.doi.org/10.1089/end.2015.0191</v>
      </c>
      <c r="BP347" s="89" t="s">
        <v>646</v>
      </c>
      <c r="BQ347" s="89" t="s">
        <v>646</v>
      </c>
      <c r="BR347" s="89" t="s">
        <v>646</v>
      </c>
      <c r="BS347" s="89" t="s">
        <v>646</v>
      </c>
      <c r="BT347" s="89" t="s">
        <v>646</v>
      </c>
      <c r="BU347" s="89" t="s">
        <v>646</v>
      </c>
      <c r="BV347" s="89" t="s">
        <v>646</v>
      </c>
      <c r="BW347" s="89">
        <v>26057232</v>
      </c>
      <c r="BX347" s="89" t="s">
        <v>646</v>
      </c>
      <c r="BY347" s="89" t="s">
        <v>646</v>
      </c>
      <c r="BZ347" s="89" t="s">
        <v>646</v>
      </c>
      <c r="CA347" s="89" t="s">
        <v>646</v>
      </c>
      <c r="CB347" s="89" t="s">
        <v>20486</v>
      </c>
      <c r="CC347" s="89" t="str">
        <f>HYPERLINK("https%3A%2F%2Fwww.webofscience.com%2Fwos%2Fwoscc%2Ffull-record%2FWOS:000364290600016","View Full Record in Web of Science")</f>
        <v>View Full Record in Web of Science</v>
      </c>
    </row>
    <row r="348" spans="1:81" ht="13.2" hidden="1" x14ac:dyDescent="0.25">
      <c r="A348" s="89" t="s">
        <v>20487</v>
      </c>
      <c r="B348" s="89" t="e">
        <f>+#REF!</f>
        <v>#REF!</v>
      </c>
      <c r="C348" s="89"/>
      <c r="D348" s="91" t="s">
        <v>717</v>
      </c>
      <c r="E348" s="90" t="e">
        <v>#REF!</v>
      </c>
      <c r="F348" s="89"/>
      <c r="G348" s="89"/>
      <c r="H348" s="89" t="s">
        <v>646</v>
      </c>
      <c r="I348" s="89" t="s">
        <v>20488</v>
      </c>
      <c r="J348" s="89" t="s">
        <v>20491</v>
      </c>
      <c r="K348" s="89" t="s">
        <v>20490</v>
      </c>
      <c r="M348" s="89">
        <v>2016</v>
      </c>
      <c r="N348" s="89" t="s">
        <v>20489</v>
      </c>
      <c r="O348" s="89" t="s">
        <v>646</v>
      </c>
      <c r="P348" s="89" t="s">
        <v>646</v>
      </c>
      <c r="S348" s="89" t="s">
        <v>646</v>
      </c>
      <c r="U348" s="89" t="s">
        <v>17462</v>
      </c>
      <c r="W348" s="89" t="s">
        <v>646</v>
      </c>
      <c r="X348" s="89" t="s">
        <v>646</v>
      </c>
      <c r="Y348" s="89" t="s">
        <v>646</v>
      </c>
      <c r="Z348" s="89" t="s">
        <v>646</v>
      </c>
      <c r="AA348" s="89" t="s">
        <v>646</v>
      </c>
      <c r="AB348" s="89" t="s">
        <v>646</v>
      </c>
      <c r="AC348" s="89" t="s">
        <v>646</v>
      </c>
      <c r="AD348" s="89" t="s">
        <v>646</v>
      </c>
      <c r="AE348" s="89" t="s">
        <v>646</v>
      </c>
      <c r="AF348" s="89" t="s">
        <v>20490</v>
      </c>
      <c r="AG348" s="89" t="s">
        <v>646</v>
      </c>
      <c r="AH348" s="89" t="s">
        <v>646</v>
      </c>
      <c r="AI348" s="89" t="s">
        <v>646</v>
      </c>
      <c r="AJ348" s="89" t="s">
        <v>646</v>
      </c>
      <c r="AK348" s="89" t="s">
        <v>20491</v>
      </c>
      <c r="AL348" s="89" t="s">
        <v>20492</v>
      </c>
      <c r="AM348" s="89" t="s">
        <v>646</v>
      </c>
      <c r="AN348" s="89" t="s">
        <v>646</v>
      </c>
      <c r="AO348" s="89" t="s">
        <v>646</v>
      </c>
      <c r="AP348" s="89" t="s">
        <v>646</v>
      </c>
      <c r="AQ348" s="89" t="s">
        <v>646</v>
      </c>
      <c r="AR348" s="89" t="s">
        <v>646</v>
      </c>
      <c r="AS348" s="89" t="s">
        <v>646</v>
      </c>
      <c r="AT348" s="89" t="s">
        <v>646</v>
      </c>
      <c r="AU348" s="89" t="s">
        <v>646</v>
      </c>
      <c r="AV348" s="89" t="s">
        <v>646</v>
      </c>
      <c r="AW348" s="89" t="s">
        <v>646</v>
      </c>
      <c r="AX348" s="89" t="s">
        <v>646</v>
      </c>
      <c r="AY348" s="89" t="s">
        <v>20493</v>
      </c>
      <c r="AZ348" s="89" t="s">
        <v>646</v>
      </c>
      <c r="BA348" s="89" t="s">
        <v>646</v>
      </c>
      <c r="BB348" s="89" t="s">
        <v>646</v>
      </c>
      <c r="BC348" s="89" t="s">
        <v>646</v>
      </c>
      <c r="BD348" s="89" t="s">
        <v>18655</v>
      </c>
      <c r="BE348" s="89">
        <v>2016</v>
      </c>
      <c r="BF348" s="89">
        <v>8</v>
      </c>
      <c r="BG348" s="89">
        <v>1</v>
      </c>
      <c r="BH348" s="89" t="s">
        <v>646</v>
      </c>
      <c r="BI348" s="89" t="s">
        <v>646</v>
      </c>
      <c r="BJ348" s="89" t="s">
        <v>646</v>
      </c>
      <c r="BK348" s="89" t="s">
        <v>646</v>
      </c>
      <c r="BL348" s="89">
        <v>276</v>
      </c>
      <c r="BM348" s="89">
        <v>288</v>
      </c>
      <c r="BN348" s="89" t="s">
        <v>646</v>
      </c>
      <c r="BO348" s="89" t="s">
        <v>646</v>
      </c>
      <c r="BP348" s="89" t="s">
        <v>646</v>
      </c>
      <c r="BQ348" s="89" t="s">
        <v>646</v>
      </c>
      <c r="BR348" s="89" t="s">
        <v>646</v>
      </c>
      <c r="BS348" s="89" t="s">
        <v>646</v>
      </c>
      <c r="BT348" s="89" t="s">
        <v>646</v>
      </c>
      <c r="BU348" s="89" t="s">
        <v>646</v>
      </c>
      <c r="BV348" s="89" t="s">
        <v>646</v>
      </c>
      <c r="BW348" s="89" t="s">
        <v>646</v>
      </c>
      <c r="BX348" s="89" t="s">
        <v>646</v>
      </c>
      <c r="BY348" s="89" t="s">
        <v>646</v>
      </c>
      <c r="BZ348" s="89" t="s">
        <v>646</v>
      </c>
      <c r="CA348" s="89" t="s">
        <v>646</v>
      </c>
      <c r="CB348" s="89" t="s">
        <v>20494</v>
      </c>
      <c r="CC348" s="89" t="str">
        <f>HYPERLINK("https%3A%2F%2Fwww.webofscience.com%2Fwos%2Fwoscc%2Ffull-record%2FWOS:000385276100021","View Full Record in Web of Science")</f>
        <v>View Full Record in Web of Science</v>
      </c>
    </row>
    <row r="349" spans="1:81" ht="13.2" hidden="1" x14ac:dyDescent="0.25">
      <c r="A349" s="89" t="s">
        <v>12130</v>
      </c>
      <c r="B349" s="89" t="e">
        <f>+#REF!</f>
        <v>#REF!</v>
      </c>
      <c r="C349" s="89"/>
      <c r="D349" s="91" t="s">
        <v>717</v>
      </c>
      <c r="E349" s="90" t="e">
        <v>#REF!</v>
      </c>
      <c r="F349" s="89"/>
      <c r="G349" s="89"/>
      <c r="H349" s="89" t="s">
        <v>646</v>
      </c>
      <c r="I349" s="89" t="s">
        <v>20495</v>
      </c>
      <c r="J349" s="89" t="s">
        <v>646</v>
      </c>
      <c r="K349" s="89" t="s">
        <v>20501</v>
      </c>
      <c r="M349" s="89">
        <v>2019</v>
      </c>
      <c r="N349" s="89" t="s">
        <v>20496</v>
      </c>
      <c r="O349" s="89" t="s">
        <v>646</v>
      </c>
      <c r="P349" s="89" t="s">
        <v>646</v>
      </c>
      <c r="S349" s="89" t="s">
        <v>17475</v>
      </c>
      <c r="U349" s="89" t="s">
        <v>17474</v>
      </c>
      <c r="W349" s="89" t="s">
        <v>646</v>
      </c>
      <c r="X349" s="89" t="s">
        <v>646</v>
      </c>
      <c r="Y349" s="89" t="s">
        <v>20497</v>
      </c>
      <c r="Z349" s="89" t="s">
        <v>20498</v>
      </c>
      <c r="AA349" s="89" t="s">
        <v>20499</v>
      </c>
      <c r="AB349" s="89" t="s">
        <v>20500</v>
      </c>
      <c r="AC349" s="89" t="s">
        <v>646</v>
      </c>
      <c r="AD349" s="89" t="s">
        <v>646</v>
      </c>
      <c r="AE349" s="89" t="s">
        <v>646</v>
      </c>
      <c r="AF349" s="89" t="s">
        <v>20501</v>
      </c>
      <c r="AG349" s="89" t="s">
        <v>646</v>
      </c>
      <c r="AH349" s="89" t="s">
        <v>646</v>
      </c>
      <c r="AI349" s="89" t="s">
        <v>646</v>
      </c>
      <c r="AJ349" s="89" t="s">
        <v>646</v>
      </c>
      <c r="AK349" s="89" t="s">
        <v>646</v>
      </c>
      <c r="AL349" s="89" t="s">
        <v>646</v>
      </c>
      <c r="AM349" s="89" t="s">
        <v>646</v>
      </c>
      <c r="AN349" s="89" t="s">
        <v>646</v>
      </c>
      <c r="AO349" s="89" t="s">
        <v>646</v>
      </c>
      <c r="AP349" s="89" t="s">
        <v>646</v>
      </c>
      <c r="AQ349" s="89" t="s">
        <v>646</v>
      </c>
      <c r="AR349" s="89" t="s">
        <v>646</v>
      </c>
      <c r="AS349" s="89" t="s">
        <v>646</v>
      </c>
      <c r="AT349" s="89" t="s">
        <v>646</v>
      </c>
      <c r="AU349" s="89" t="s">
        <v>646</v>
      </c>
      <c r="AV349" s="89" t="s">
        <v>646</v>
      </c>
      <c r="AW349" s="89" t="s">
        <v>646</v>
      </c>
      <c r="AX349" s="89" t="s">
        <v>646</v>
      </c>
      <c r="AY349" s="89" t="s">
        <v>646</v>
      </c>
      <c r="AZ349" s="89" t="s">
        <v>646</v>
      </c>
      <c r="BA349" s="89" t="s">
        <v>20502</v>
      </c>
      <c r="BB349" s="89" t="s">
        <v>646</v>
      </c>
      <c r="BC349" s="89" t="s">
        <v>646</v>
      </c>
      <c r="BD349" s="89" t="s">
        <v>646</v>
      </c>
      <c r="BE349" s="89">
        <v>2019</v>
      </c>
      <c r="BF349" s="89" t="s">
        <v>646</v>
      </c>
      <c r="BG349" s="89" t="s">
        <v>646</v>
      </c>
      <c r="BH349" s="89" t="s">
        <v>646</v>
      </c>
      <c r="BI349" s="89" t="s">
        <v>646</v>
      </c>
      <c r="BJ349" s="89" t="s">
        <v>646</v>
      </c>
      <c r="BK349" s="89" t="s">
        <v>646</v>
      </c>
      <c r="BL349" s="89">
        <v>375</v>
      </c>
      <c r="BM349" s="89">
        <v>378</v>
      </c>
      <c r="BN349" s="89" t="s">
        <v>646</v>
      </c>
      <c r="BO349" s="89" t="s">
        <v>646</v>
      </c>
      <c r="BP349" s="89" t="s">
        <v>646</v>
      </c>
      <c r="BQ349" s="89" t="s">
        <v>646</v>
      </c>
      <c r="BR349" s="89" t="s">
        <v>646</v>
      </c>
      <c r="BS349" s="89" t="s">
        <v>646</v>
      </c>
      <c r="BT349" s="89" t="s">
        <v>646</v>
      </c>
      <c r="BU349" s="89" t="s">
        <v>646</v>
      </c>
      <c r="BV349" s="89" t="s">
        <v>646</v>
      </c>
      <c r="BW349" s="89" t="s">
        <v>646</v>
      </c>
      <c r="BX349" s="89" t="s">
        <v>646</v>
      </c>
      <c r="BY349" s="89" t="s">
        <v>646</v>
      </c>
      <c r="BZ349" s="89" t="s">
        <v>646</v>
      </c>
      <c r="CA349" s="89" t="s">
        <v>646</v>
      </c>
      <c r="CB349" s="89" t="s">
        <v>20503</v>
      </c>
      <c r="CC349" s="89" t="str">
        <f>HYPERLINK("https%3A%2F%2Fwww.webofscience.com%2Fwos%2Fwoscc%2Ffull-record%2FWOS:000469958800072","View Full Record in Web of Science")</f>
        <v>View Full Record in Web of Science</v>
      </c>
    </row>
    <row r="350" spans="1:81" ht="13.2" hidden="1" x14ac:dyDescent="0.25">
      <c r="A350" s="89" t="s">
        <v>20504</v>
      </c>
      <c r="B350" s="89" t="e">
        <f>+#REF!</f>
        <v>#REF!</v>
      </c>
      <c r="C350" s="89"/>
      <c r="D350" s="91" t="s">
        <v>717</v>
      </c>
      <c r="E350" s="90" t="e">
        <v>#REF!</v>
      </c>
      <c r="F350" s="89"/>
      <c r="G350" s="89"/>
      <c r="H350" s="89" t="s">
        <v>12140</v>
      </c>
      <c r="I350" s="89" t="s">
        <v>20505</v>
      </c>
      <c r="J350" s="89" t="s">
        <v>646</v>
      </c>
      <c r="K350" s="89" t="s">
        <v>20506</v>
      </c>
      <c r="M350" s="89">
        <v>2014</v>
      </c>
      <c r="N350" s="89" t="s">
        <v>18595</v>
      </c>
      <c r="O350" s="89" t="s">
        <v>646</v>
      </c>
      <c r="P350" s="89" t="str">
        <f>HYPERLINK("http://dx.doi.org/10.1371/journal.pone.0085508","http://dx.doi.org/10.1371/journal.pone.0085508")</f>
        <v>http://dx.doi.org/10.1371/journal.pone.0085508</v>
      </c>
      <c r="S350" s="89" t="s">
        <v>646</v>
      </c>
      <c r="U350" s="89" t="s">
        <v>17462</v>
      </c>
      <c r="W350" s="89" t="s">
        <v>646</v>
      </c>
      <c r="X350" s="89" t="s">
        <v>646</v>
      </c>
      <c r="Y350" s="89" t="s">
        <v>646</v>
      </c>
      <c r="Z350" s="89" t="s">
        <v>646</v>
      </c>
      <c r="AA350" s="89" t="s">
        <v>646</v>
      </c>
      <c r="AB350" s="89" t="s">
        <v>646</v>
      </c>
      <c r="AC350" s="89" t="s">
        <v>646</v>
      </c>
      <c r="AD350" s="89" t="s">
        <v>646</v>
      </c>
      <c r="AE350" s="89" t="s">
        <v>646</v>
      </c>
      <c r="AF350" s="89" t="s">
        <v>20506</v>
      </c>
      <c r="AG350" s="89" t="s">
        <v>646</v>
      </c>
      <c r="AH350" s="89" t="s">
        <v>646</v>
      </c>
      <c r="AI350" s="89" t="s">
        <v>646</v>
      </c>
      <c r="AJ350" s="89" t="s">
        <v>646</v>
      </c>
      <c r="AK350" s="89" t="s">
        <v>646</v>
      </c>
      <c r="AL350" s="89" t="s">
        <v>20507</v>
      </c>
      <c r="AM350" s="89" t="s">
        <v>646</v>
      </c>
      <c r="AN350" s="89" t="s">
        <v>646</v>
      </c>
      <c r="AO350" s="89" t="s">
        <v>646</v>
      </c>
      <c r="AP350" s="89" t="s">
        <v>646</v>
      </c>
      <c r="AQ350" s="89" t="s">
        <v>646</v>
      </c>
      <c r="AR350" s="89" t="s">
        <v>646</v>
      </c>
      <c r="AS350" s="89" t="s">
        <v>646</v>
      </c>
      <c r="AT350" s="89" t="s">
        <v>646</v>
      </c>
      <c r="AU350" s="89" t="s">
        <v>646</v>
      </c>
      <c r="AV350" s="89" t="s">
        <v>646</v>
      </c>
      <c r="AW350" s="89" t="s">
        <v>646</v>
      </c>
      <c r="AX350" s="89" t="s">
        <v>646</v>
      </c>
      <c r="AY350" s="89" t="s">
        <v>18599</v>
      </c>
      <c r="AZ350" s="89" t="s">
        <v>646</v>
      </c>
      <c r="BA350" s="89" t="s">
        <v>646</v>
      </c>
      <c r="BB350" s="89" t="s">
        <v>646</v>
      </c>
      <c r="BC350" s="89" t="s">
        <v>646</v>
      </c>
      <c r="BD350" s="89" t="s">
        <v>20508</v>
      </c>
      <c r="BE350" s="89">
        <v>2014</v>
      </c>
      <c r="BF350" s="89">
        <v>9</v>
      </c>
      <c r="BG350" s="89">
        <v>1</v>
      </c>
      <c r="BH350" s="89" t="s">
        <v>646</v>
      </c>
      <c r="BI350" s="89" t="s">
        <v>646</v>
      </c>
      <c r="BJ350" s="89" t="s">
        <v>646</v>
      </c>
      <c r="BK350" s="89" t="s">
        <v>646</v>
      </c>
      <c r="BL350" s="89" t="s">
        <v>646</v>
      </c>
      <c r="BM350" s="89" t="s">
        <v>646</v>
      </c>
      <c r="BN350" s="89" t="s">
        <v>20509</v>
      </c>
      <c r="BO350" s="89" t="str">
        <f>HYPERLINK("http://dx.doi.org/10.1371/journal.pone.0085508","http://dx.doi.org/10.1371/journal.pone.0085508")</f>
        <v>http://dx.doi.org/10.1371/journal.pone.0085508</v>
      </c>
      <c r="BP350" s="89" t="s">
        <v>646</v>
      </c>
      <c r="BQ350" s="89" t="s">
        <v>646</v>
      </c>
      <c r="BR350" s="89" t="s">
        <v>646</v>
      </c>
      <c r="BS350" s="89" t="s">
        <v>646</v>
      </c>
      <c r="BT350" s="89" t="s">
        <v>646</v>
      </c>
      <c r="BU350" s="89" t="s">
        <v>646</v>
      </c>
      <c r="BV350" s="89" t="s">
        <v>646</v>
      </c>
      <c r="BW350" s="89">
        <v>24465580</v>
      </c>
      <c r="BX350" s="89" t="s">
        <v>646</v>
      </c>
      <c r="BY350" s="89" t="s">
        <v>646</v>
      </c>
      <c r="BZ350" s="89" t="s">
        <v>646</v>
      </c>
      <c r="CA350" s="89" t="s">
        <v>646</v>
      </c>
      <c r="CB350" s="89" t="s">
        <v>20510</v>
      </c>
      <c r="CC350" s="89" t="str">
        <f>HYPERLINK("https%3A%2F%2Fwww.webofscience.com%2Fwos%2Fwoscc%2Ffull-record%2FWOS:000330283100043","View Full Record in Web of Science")</f>
        <v>View Full Record in Web of Science</v>
      </c>
    </row>
    <row r="351" spans="1:81" ht="13.2" hidden="1" x14ac:dyDescent="0.25">
      <c r="A351" s="89" t="s">
        <v>20511</v>
      </c>
      <c r="B351" s="89" t="e">
        <f>+#REF!</f>
        <v>#REF!</v>
      </c>
      <c r="C351" s="89"/>
      <c r="D351" s="91" t="s">
        <v>717</v>
      </c>
      <c r="E351" s="90" t="e">
        <v>#REF!</v>
      </c>
      <c r="F351" s="89"/>
      <c r="G351" s="89"/>
      <c r="H351" s="89" t="s">
        <v>12148</v>
      </c>
      <c r="I351" s="89" t="s">
        <v>20512</v>
      </c>
      <c r="J351" s="89" t="s">
        <v>646</v>
      </c>
      <c r="K351" s="89" t="s">
        <v>20514</v>
      </c>
      <c r="M351" s="89">
        <v>2017</v>
      </c>
      <c r="N351" s="89" t="s">
        <v>20513</v>
      </c>
      <c r="O351" s="89" t="s">
        <v>646</v>
      </c>
      <c r="P351" s="89" t="str">
        <f>HYPERLINK("http://dx.doi.org/10.1093/jcr/ucx047","http://dx.doi.org/10.1093/jcr/ucx047")</f>
        <v>http://dx.doi.org/10.1093/jcr/ucx047</v>
      </c>
      <c r="S351" s="89" t="s">
        <v>646</v>
      </c>
      <c r="U351" s="89" t="s">
        <v>17462</v>
      </c>
      <c r="W351" s="89" t="s">
        <v>646</v>
      </c>
      <c r="X351" s="89" t="s">
        <v>646</v>
      </c>
      <c r="Y351" s="89" t="s">
        <v>646</v>
      </c>
      <c r="Z351" s="89" t="s">
        <v>646</v>
      </c>
      <c r="AA351" s="89" t="s">
        <v>646</v>
      </c>
      <c r="AB351" s="89" t="s">
        <v>646</v>
      </c>
      <c r="AC351" s="89" t="s">
        <v>646</v>
      </c>
      <c r="AD351" s="89" t="s">
        <v>646</v>
      </c>
      <c r="AE351" s="89" t="s">
        <v>646</v>
      </c>
      <c r="AF351" s="89" t="s">
        <v>20514</v>
      </c>
      <c r="AG351" s="89" t="s">
        <v>646</v>
      </c>
      <c r="AH351" s="89" t="s">
        <v>646</v>
      </c>
      <c r="AI351" s="89" t="s">
        <v>646</v>
      </c>
      <c r="AJ351" s="89" t="s">
        <v>646</v>
      </c>
      <c r="AK351" s="89" t="s">
        <v>646</v>
      </c>
      <c r="AL351" s="89" t="s">
        <v>20515</v>
      </c>
      <c r="AM351" s="89" t="s">
        <v>646</v>
      </c>
      <c r="AN351" s="89" t="s">
        <v>646</v>
      </c>
      <c r="AO351" s="89" t="s">
        <v>646</v>
      </c>
      <c r="AP351" s="89" t="s">
        <v>646</v>
      </c>
      <c r="AQ351" s="89" t="s">
        <v>646</v>
      </c>
      <c r="AR351" s="89" t="s">
        <v>646</v>
      </c>
      <c r="AS351" s="89" t="s">
        <v>646</v>
      </c>
      <c r="AT351" s="89" t="s">
        <v>646</v>
      </c>
      <c r="AU351" s="89" t="s">
        <v>646</v>
      </c>
      <c r="AV351" s="89" t="s">
        <v>646</v>
      </c>
      <c r="AW351" s="89" t="s">
        <v>646</v>
      </c>
      <c r="AX351" s="89" t="s">
        <v>646</v>
      </c>
      <c r="AY351" s="89" t="s">
        <v>20516</v>
      </c>
      <c r="AZ351" s="89" t="s">
        <v>20517</v>
      </c>
      <c r="BA351" s="89" t="s">
        <v>646</v>
      </c>
      <c r="BB351" s="89" t="s">
        <v>646</v>
      </c>
      <c r="BC351" s="89" t="s">
        <v>646</v>
      </c>
      <c r="BD351" s="89" t="s">
        <v>17772</v>
      </c>
      <c r="BE351" s="89">
        <v>2017</v>
      </c>
      <c r="BF351" s="89">
        <v>44</v>
      </c>
      <c r="BG351" s="89">
        <v>1</v>
      </c>
      <c r="BH351" s="89" t="s">
        <v>646</v>
      </c>
      <c r="BI351" s="89" t="s">
        <v>646</v>
      </c>
      <c r="BJ351" s="89" t="s">
        <v>646</v>
      </c>
      <c r="BK351" s="89" t="s">
        <v>646</v>
      </c>
      <c r="BL351" s="89">
        <v>196</v>
      </c>
      <c r="BM351" s="89">
        <v>210</v>
      </c>
      <c r="BN351" s="89" t="s">
        <v>646</v>
      </c>
      <c r="BO351" s="89" t="str">
        <f>HYPERLINK("http://dx.doi.org/10.1093/jcr/ucx047","http://dx.doi.org/10.1093/jcr/ucx047")</f>
        <v>http://dx.doi.org/10.1093/jcr/ucx047</v>
      </c>
      <c r="BP351" s="89" t="s">
        <v>646</v>
      </c>
      <c r="BQ351" s="89" t="s">
        <v>646</v>
      </c>
      <c r="BR351" s="89" t="s">
        <v>646</v>
      </c>
      <c r="BS351" s="89" t="s">
        <v>646</v>
      </c>
      <c r="BT351" s="89" t="s">
        <v>646</v>
      </c>
      <c r="BU351" s="89" t="s">
        <v>646</v>
      </c>
      <c r="BV351" s="89" t="s">
        <v>646</v>
      </c>
      <c r="BW351" s="89" t="s">
        <v>646</v>
      </c>
      <c r="BX351" s="89" t="s">
        <v>646</v>
      </c>
      <c r="BY351" s="89" t="s">
        <v>646</v>
      </c>
      <c r="BZ351" s="89" t="s">
        <v>646</v>
      </c>
      <c r="CA351" s="89" t="s">
        <v>646</v>
      </c>
      <c r="CB351" s="89" t="s">
        <v>20518</v>
      </c>
      <c r="CC351" s="89" t="str">
        <f>HYPERLINK("https%3A%2F%2Fwww.webofscience.com%2Fwos%2Fwoscc%2Ffull-record%2FWOS:000404534800011","View Full Record in Web of Science")</f>
        <v>View Full Record in Web of Science</v>
      </c>
    </row>
    <row r="352" spans="1:81" ht="13.2" hidden="1" x14ac:dyDescent="0.25">
      <c r="A352" s="89" t="s">
        <v>20519</v>
      </c>
      <c r="B352" s="89" t="e">
        <f>+#REF!</f>
        <v>#REF!</v>
      </c>
      <c r="C352" s="89"/>
      <c r="D352" s="91" t="s">
        <v>717</v>
      </c>
      <c r="E352" s="90" t="e">
        <v>#REF!</v>
      </c>
      <c r="F352" s="89"/>
      <c r="G352" s="89"/>
      <c r="H352" s="89" t="s">
        <v>12157</v>
      </c>
      <c r="I352" s="89" t="s">
        <v>20520</v>
      </c>
      <c r="J352" s="89" t="s">
        <v>646</v>
      </c>
      <c r="K352" s="89" t="s">
        <v>20526</v>
      </c>
      <c r="M352" s="89">
        <v>2019</v>
      </c>
      <c r="N352" s="89" t="s">
        <v>20521</v>
      </c>
      <c r="O352" s="89" t="s">
        <v>646</v>
      </c>
      <c r="P352" s="89" t="str">
        <f>HYPERLINK("http://dx.doi.org/10.1109/ICDE.2019.00237","http://dx.doi.org/10.1109/ICDE.2019.00237")</f>
        <v>http://dx.doi.org/10.1109/ICDE.2019.00237</v>
      </c>
      <c r="S352" s="89" t="s">
        <v>17475</v>
      </c>
      <c r="U352" s="89" t="s">
        <v>17474</v>
      </c>
      <c r="W352" s="89" t="s">
        <v>646</v>
      </c>
      <c r="X352" s="89" t="s">
        <v>646</v>
      </c>
      <c r="Y352" s="89" t="s">
        <v>20522</v>
      </c>
      <c r="Z352" s="89" t="s">
        <v>20523</v>
      </c>
      <c r="AA352" s="89" t="s">
        <v>20524</v>
      </c>
      <c r="AB352" s="89" t="s">
        <v>20525</v>
      </c>
      <c r="AC352" s="89" t="s">
        <v>646</v>
      </c>
      <c r="AD352" s="89" t="s">
        <v>646</v>
      </c>
      <c r="AE352" s="89" t="s">
        <v>646</v>
      </c>
      <c r="AF352" s="89" t="s">
        <v>20526</v>
      </c>
      <c r="AG352" s="89" t="s">
        <v>646</v>
      </c>
      <c r="AH352" s="89" t="s">
        <v>646</v>
      </c>
      <c r="AI352" s="89" t="s">
        <v>646</v>
      </c>
      <c r="AJ352" s="89" t="s">
        <v>646</v>
      </c>
      <c r="AK352" s="89" t="s">
        <v>646</v>
      </c>
      <c r="AL352" s="89" t="s">
        <v>646</v>
      </c>
      <c r="AM352" s="89" t="s">
        <v>646</v>
      </c>
      <c r="AN352" s="89" t="s">
        <v>646</v>
      </c>
      <c r="AO352" s="89" t="s">
        <v>646</v>
      </c>
      <c r="AP352" s="89" t="s">
        <v>646</v>
      </c>
      <c r="AQ352" s="89" t="s">
        <v>646</v>
      </c>
      <c r="AR352" s="89" t="s">
        <v>646</v>
      </c>
      <c r="AS352" s="89" t="s">
        <v>646</v>
      </c>
      <c r="AT352" s="89" t="s">
        <v>646</v>
      </c>
      <c r="AU352" s="89" t="s">
        <v>646</v>
      </c>
      <c r="AV352" s="89" t="s">
        <v>646</v>
      </c>
      <c r="AW352" s="89" t="s">
        <v>646</v>
      </c>
      <c r="AX352" s="89" t="s">
        <v>646</v>
      </c>
      <c r="AY352" s="89" t="s">
        <v>20527</v>
      </c>
      <c r="AZ352" s="89" t="s">
        <v>646</v>
      </c>
      <c r="BA352" s="89" t="s">
        <v>20528</v>
      </c>
      <c r="BB352" s="89" t="s">
        <v>646</v>
      </c>
      <c r="BC352" s="89" t="s">
        <v>646</v>
      </c>
      <c r="BD352" s="89" t="s">
        <v>646</v>
      </c>
      <c r="BE352" s="89">
        <v>2019</v>
      </c>
      <c r="BF352" s="89" t="s">
        <v>646</v>
      </c>
      <c r="BG352" s="89" t="s">
        <v>646</v>
      </c>
      <c r="BH352" s="89" t="s">
        <v>646</v>
      </c>
      <c r="BI352" s="89" t="s">
        <v>646</v>
      </c>
      <c r="BJ352" s="89" t="s">
        <v>646</v>
      </c>
      <c r="BK352" s="89" t="s">
        <v>646</v>
      </c>
      <c r="BL352" s="89">
        <v>2052</v>
      </c>
      <c r="BM352" s="89">
        <v>2055</v>
      </c>
      <c r="BN352" s="89" t="s">
        <v>646</v>
      </c>
      <c r="BO352" s="89" t="str">
        <f>HYPERLINK("http://dx.doi.org/10.1109/ICDE.2019.00237","http://dx.doi.org/10.1109/ICDE.2019.00237")</f>
        <v>http://dx.doi.org/10.1109/ICDE.2019.00237</v>
      </c>
      <c r="BP352" s="89" t="s">
        <v>646</v>
      </c>
      <c r="BQ352" s="89" t="s">
        <v>646</v>
      </c>
      <c r="BR352" s="89" t="s">
        <v>646</v>
      </c>
      <c r="BS352" s="89" t="s">
        <v>646</v>
      </c>
      <c r="BT352" s="89" t="s">
        <v>646</v>
      </c>
      <c r="BU352" s="89" t="s">
        <v>646</v>
      </c>
      <c r="BV352" s="89" t="s">
        <v>646</v>
      </c>
      <c r="BW352" s="89" t="s">
        <v>646</v>
      </c>
      <c r="BX352" s="89" t="s">
        <v>646</v>
      </c>
      <c r="BY352" s="89" t="s">
        <v>646</v>
      </c>
      <c r="BZ352" s="89" t="s">
        <v>646</v>
      </c>
      <c r="CA352" s="89" t="s">
        <v>646</v>
      </c>
      <c r="CB352" s="89" t="s">
        <v>20529</v>
      </c>
      <c r="CC352" s="89" t="str">
        <f>HYPERLINK("https%3A%2F%2Fwww.webofscience.com%2Fwos%2Fwoscc%2Ffull-record%2FWOS:000477731600230","View Full Record in Web of Science")</f>
        <v>View Full Record in Web of Science</v>
      </c>
    </row>
    <row r="353" spans="1:81" ht="13.2" hidden="1" x14ac:dyDescent="0.25">
      <c r="A353" s="89" t="s">
        <v>9314</v>
      </c>
      <c r="B353" s="89" t="e">
        <f>+#REF!</f>
        <v>#REF!</v>
      </c>
      <c r="C353" s="89"/>
      <c r="D353" s="91" t="s">
        <v>717</v>
      </c>
      <c r="E353" s="90" t="e">
        <v>#REF!</v>
      </c>
      <c r="F353" s="89"/>
      <c r="G353" s="89"/>
      <c r="H353" s="89" t="s">
        <v>9315</v>
      </c>
      <c r="I353" s="89" t="s">
        <v>20530</v>
      </c>
      <c r="J353" s="89" t="s">
        <v>646</v>
      </c>
      <c r="K353" s="89" t="s">
        <v>20531</v>
      </c>
      <c r="M353" s="89">
        <v>2022</v>
      </c>
      <c r="N353" s="89" t="s">
        <v>19023</v>
      </c>
      <c r="O353" s="89" t="s">
        <v>646</v>
      </c>
      <c r="P353" s="89" t="str">
        <f>HYPERLINK("http://dx.doi.org/10.2196/28749","http://dx.doi.org/10.2196/28749")</f>
        <v>http://dx.doi.org/10.2196/28749</v>
      </c>
      <c r="S353" s="89" t="s">
        <v>646</v>
      </c>
      <c r="U353" s="89" t="s">
        <v>17462</v>
      </c>
      <c r="W353" s="89" t="s">
        <v>646</v>
      </c>
      <c r="X353" s="89" t="s">
        <v>646</v>
      </c>
      <c r="Y353" s="89" t="s">
        <v>646</v>
      </c>
      <c r="Z353" s="89" t="s">
        <v>646</v>
      </c>
      <c r="AA353" s="89" t="s">
        <v>646</v>
      </c>
      <c r="AB353" s="89" t="s">
        <v>646</v>
      </c>
      <c r="AC353" s="89" t="s">
        <v>646</v>
      </c>
      <c r="AD353" s="89" t="s">
        <v>646</v>
      </c>
      <c r="AE353" s="89" t="s">
        <v>646</v>
      </c>
      <c r="AF353" s="89" t="s">
        <v>20531</v>
      </c>
      <c r="AG353" s="89" t="s">
        <v>646</v>
      </c>
      <c r="AH353" s="89" t="s">
        <v>646</v>
      </c>
      <c r="AI353" s="89" t="s">
        <v>646</v>
      </c>
      <c r="AJ353" s="89" t="s">
        <v>646</v>
      </c>
      <c r="AK353" s="89" t="s">
        <v>646</v>
      </c>
      <c r="AL353" s="89" t="s">
        <v>20532</v>
      </c>
      <c r="AM353" s="89" t="s">
        <v>646</v>
      </c>
      <c r="AN353" s="89" t="s">
        <v>646</v>
      </c>
      <c r="AO353" s="89" t="s">
        <v>646</v>
      </c>
      <c r="AP353" s="89" t="s">
        <v>646</v>
      </c>
      <c r="AQ353" s="89" t="s">
        <v>646</v>
      </c>
      <c r="AR353" s="89" t="s">
        <v>646</v>
      </c>
      <c r="AS353" s="89" t="s">
        <v>646</v>
      </c>
      <c r="AT353" s="89" t="s">
        <v>646</v>
      </c>
      <c r="AU353" s="89" t="s">
        <v>646</v>
      </c>
      <c r="AV353" s="89" t="s">
        <v>646</v>
      </c>
      <c r="AW353" s="89" t="s">
        <v>646</v>
      </c>
      <c r="AX353" s="89" t="s">
        <v>646</v>
      </c>
      <c r="AY353" s="89" t="s">
        <v>19026</v>
      </c>
      <c r="AZ353" s="89" t="s">
        <v>646</v>
      </c>
      <c r="BA353" s="89" t="s">
        <v>646</v>
      </c>
      <c r="BB353" s="89" t="s">
        <v>646</v>
      </c>
      <c r="BC353" s="89" t="s">
        <v>646</v>
      </c>
      <c r="BD353" s="89" t="s">
        <v>20533</v>
      </c>
      <c r="BE353" s="89">
        <v>2022</v>
      </c>
      <c r="BF353" s="89">
        <v>24</v>
      </c>
      <c r="BG353" s="89">
        <v>1</v>
      </c>
      <c r="BH353" s="89" t="s">
        <v>646</v>
      </c>
      <c r="BI353" s="89" t="s">
        <v>646</v>
      </c>
      <c r="BJ353" s="89" t="s">
        <v>646</v>
      </c>
      <c r="BK353" s="89" t="s">
        <v>646</v>
      </c>
      <c r="BL353" s="89" t="s">
        <v>646</v>
      </c>
      <c r="BM353" s="89" t="s">
        <v>646</v>
      </c>
      <c r="BN353" s="89" t="s">
        <v>20534</v>
      </c>
      <c r="BO353" s="89" t="str">
        <f>HYPERLINK("http://dx.doi.org/10.2196/28749","http://dx.doi.org/10.2196/28749")</f>
        <v>http://dx.doi.org/10.2196/28749</v>
      </c>
      <c r="BP353" s="89" t="s">
        <v>646</v>
      </c>
      <c r="BQ353" s="89" t="s">
        <v>646</v>
      </c>
      <c r="BR353" s="89" t="s">
        <v>646</v>
      </c>
      <c r="BS353" s="89" t="s">
        <v>646</v>
      </c>
      <c r="BT353" s="89" t="s">
        <v>646</v>
      </c>
      <c r="BU353" s="89" t="s">
        <v>646</v>
      </c>
      <c r="BV353" s="89" t="s">
        <v>646</v>
      </c>
      <c r="BW353" s="89">
        <v>35040794</v>
      </c>
      <c r="BX353" s="89" t="s">
        <v>646</v>
      </c>
      <c r="BY353" s="89" t="s">
        <v>646</v>
      </c>
      <c r="BZ353" s="89" t="s">
        <v>646</v>
      </c>
      <c r="CA353" s="89" t="s">
        <v>646</v>
      </c>
      <c r="CB353" s="89" t="s">
        <v>20535</v>
      </c>
      <c r="CC353" s="89" t="str">
        <f>HYPERLINK("https%3A%2F%2Fwww.webofscience.com%2Fwos%2Fwoscc%2Ffull-record%2FWOS:000766780100007","View Full Record in Web of Science")</f>
        <v>View Full Record in Web of Science</v>
      </c>
    </row>
    <row r="354" spans="1:81" ht="13.2" hidden="1" x14ac:dyDescent="0.25">
      <c r="A354" s="89" t="s">
        <v>20536</v>
      </c>
      <c r="B354" s="89" t="e">
        <f>+#REF!</f>
        <v>#REF!</v>
      </c>
      <c r="C354" s="89"/>
      <c r="D354" s="91" t="s">
        <v>717</v>
      </c>
      <c r="E354" s="90" t="e">
        <v>#REF!</v>
      </c>
      <c r="F354" s="89"/>
      <c r="G354" s="89"/>
      <c r="H354" s="89" t="s">
        <v>646</v>
      </c>
      <c r="I354" s="89" t="s">
        <v>20538</v>
      </c>
      <c r="J354" s="89" t="s">
        <v>20544</v>
      </c>
      <c r="K354" s="89" t="s">
        <v>20543</v>
      </c>
      <c r="M354" s="89">
        <v>2013</v>
      </c>
      <c r="N354" s="89" t="s">
        <v>20539</v>
      </c>
      <c r="O354" s="89" t="s">
        <v>20537</v>
      </c>
      <c r="P354" s="89" t="s">
        <v>646</v>
      </c>
      <c r="S354" s="89" t="s">
        <v>646</v>
      </c>
      <c r="U354" s="89" t="s">
        <v>17474</v>
      </c>
      <c r="W354" s="89" t="s">
        <v>646</v>
      </c>
      <c r="X354" s="89" t="s">
        <v>646</v>
      </c>
      <c r="Y354" s="89" t="s">
        <v>20540</v>
      </c>
      <c r="Z354" s="89" t="s">
        <v>20541</v>
      </c>
      <c r="AA354" s="89" t="s">
        <v>19159</v>
      </c>
      <c r="AB354" s="89" t="s">
        <v>20542</v>
      </c>
      <c r="AC354" s="89" t="s">
        <v>646</v>
      </c>
      <c r="AD354" s="89" t="s">
        <v>646</v>
      </c>
      <c r="AE354" s="89" t="s">
        <v>646</v>
      </c>
      <c r="AF354" s="89" t="s">
        <v>20543</v>
      </c>
      <c r="AG354" s="89" t="s">
        <v>646</v>
      </c>
      <c r="AH354" s="89" t="s">
        <v>646</v>
      </c>
      <c r="AI354" s="89" t="s">
        <v>646</v>
      </c>
      <c r="AJ354" s="89" t="s">
        <v>646</v>
      </c>
      <c r="AK354" s="89" t="s">
        <v>20544</v>
      </c>
      <c r="AL354" s="89" t="s">
        <v>20545</v>
      </c>
      <c r="AM354" s="89" t="s">
        <v>646</v>
      </c>
      <c r="AN354" s="89" t="s">
        <v>646</v>
      </c>
      <c r="AO354" s="89" t="s">
        <v>646</v>
      </c>
      <c r="AP354" s="89" t="s">
        <v>646</v>
      </c>
      <c r="AQ354" s="89" t="s">
        <v>646</v>
      </c>
      <c r="AR354" s="89" t="s">
        <v>646</v>
      </c>
      <c r="AS354" s="89" t="s">
        <v>646</v>
      </c>
      <c r="AT354" s="89" t="s">
        <v>646</v>
      </c>
      <c r="AU354" s="89" t="s">
        <v>646</v>
      </c>
      <c r="AV354" s="89" t="s">
        <v>646</v>
      </c>
      <c r="AW354" s="89" t="s">
        <v>646</v>
      </c>
      <c r="AX354" s="89" t="s">
        <v>646</v>
      </c>
      <c r="AY354" s="89" t="s">
        <v>18367</v>
      </c>
      <c r="AZ354" s="89" t="s">
        <v>18884</v>
      </c>
      <c r="BA354" s="89" t="s">
        <v>20546</v>
      </c>
      <c r="BB354" s="89" t="s">
        <v>646</v>
      </c>
      <c r="BC354" s="89" t="s">
        <v>646</v>
      </c>
      <c r="BD354" s="89" t="s">
        <v>646</v>
      </c>
      <c r="BE354" s="89">
        <v>2013</v>
      </c>
      <c r="BF354" s="89">
        <v>8219</v>
      </c>
      <c r="BG354" s="89" t="s">
        <v>646</v>
      </c>
      <c r="BH354" s="89" t="s">
        <v>646</v>
      </c>
      <c r="BI354" s="89" t="s">
        <v>646</v>
      </c>
      <c r="BJ354" s="89" t="s">
        <v>646</v>
      </c>
      <c r="BK354" s="89" t="s">
        <v>646</v>
      </c>
      <c r="BL354" s="89">
        <v>260</v>
      </c>
      <c r="BM354" s="89">
        <v>276</v>
      </c>
      <c r="BN354" s="89" t="s">
        <v>646</v>
      </c>
      <c r="BO354" s="89" t="s">
        <v>646</v>
      </c>
      <c r="BP354" s="89" t="s">
        <v>646</v>
      </c>
      <c r="BQ354" s="89" t="s">
        <v>646</v>
      </c>
      <c r="BR354" s="89" t="s">
        <v>646</v>
      </c>
      <c r="BS354" s="89" t="s">
        <v>646</v>
      </c>
      <c r="BT354" s="89" t="s">
        <v>646</v>
      </c>
      <c r="BU354" s="89" t="s">
        <v>646</v>
      </c>
      <c r="BV354" s="89" t="s">
        <v>646</v>
      </c>
      <c r="BW354" s="89" t="s">
        <v>646</v>
      </c>
      <c r="BX354" s="89" t="s">
        <v>646</v>
      </c>
      <c r="BY354" s="89" t="s">
        <v>646</v>
      </c>
      <c r="BZ354" s="89" t="s">
        <v>646</v>
      </c>
      <c r="CA354" s="89" t="s">
        <v>646</v>
      </c>
      <c r="CB354" s="89" t="s">
        <v>20547</v>
      </c>
      <c r="CC354" s="89" t="str">
        <f>HYPERLINK("https%3A%2F%2Fwww.webofscience.com%2Fwos%2Fwoscc%2Ffull-record%2FWOS:000340422700017","View Full Record in Web of Science")</f>
        <v>View Full Record in Web of Science</v>
      </c>
    </row>
    <row r="355" spans="1:81" ht="13.2" hidden="1" x14ac:dyDescent="0.25">
      <c r="A355" s="89" t="s">
        <v>20548</v>
      </c>
      <c r="B355" s="89" t="e">
        <f>+#REF!</f>
        <v>#REF!</v>
      </c>
      <c r="C355" s="89"/>
      <c r="D355" s="91" t="s">
        <v>717</v>
      </c>
      <c r="E355" s="90" t="e">
        <v>#REF!</v>
      </c>
      <c r="F355" s="89"/>
      <c r="G355" s="89"/>
      <c r="H355" s="89" t="s">
        <v>12175</v>
      </c>
      <c r="I355" s="89" t="s">
        <v>20549</v>
      </c>
      <c r="J355" s="89" t="s">
        <v>646</v>
      </c>
      <c r="K355" s="89" t="s">
        <v>20551</v>
      </c>
      <c r="M355" s="89">
        <v>2020</v>
      </c>
      <c r="N355" s="89" t="s">
        <v>20550</v>
      </c>
      <c r="O355" s="89" t="s">
        <v>646</v>
      </c>
      <c r="P355" s="89" t="str">
        <f>HYPERLINK("http://dx.doi.org/10.1097/IOP.0000000000001515","http://dx.doi.org/10.1097/IOP.0000000000001515")</f>
        <v>http://dx.doi.org/10.1097/IOP.0000000000001515</v>
      </c>
      <c r="S355" s="89" t="s">
        <v>646</v>
      </c>
      <c r="U355" s="89" t="s">
        <v>17462</v>
      </c>
      <c r="W355" s="89" t="s">
        <v>646</v>
      </c>
      <c r="X355" s="89" t="s">
        <v>646</v>
      </c>
      <c r="Y355" s="89" t="s">
        <v>646</v>
      </c>
      <c r="Z355" s="89" t="s">
        <v>646</v>
      </c>
      <c r="AA355" s="89" t="s">
        <v>646</v>
      </c>
      <c r="AB355" s="89" t="s">
        <v>646</v>
      </c>
      <c r="AC355" s="89" t="s">
        <v>646</v>
      </c>
      <c r="AD355" s="89" t="s">
        <v>646</v>
      </c>
      <c r="AE355" s="89" t="s">
        <v>646</v>
      </c>
      <c r="AF355" s="89" t="s">
        <v>20551</v>
      </c>
      <c r="AG355" s="89" t="s">
        <v>646</v>
      </c>
      <c r="AH355" s="89" t="s">
        <v>646</v>
      </c>
      <c r="AI355" s="89" t="s">
        <v>646</v>
      </c>
      <c r="AJ355" s="89" t="s">
        <v>646</v>
      </c>
      <c r="AK355" s="89" t="s">
        <v>646</v>
      </c>
      <c r="AL355" s="89" t="s">
        <v>20552</v>
      </c>
      <c r="AM355" s="89" t="s">
        <v>646</v>
      </c>
      <c r="AN355" s="89" t="s">
        <v>646</v>
      </c>
      <c r="AO355" s="89" t="s">
        <v>646</v>
      </c>
      <c r="AP355" s="89" t="s">
        <v>646</v>
      </c>
      <c r="AQ355" s="89" t="s">
        <v>646</v>
      </c>
      <c r="AR355" s="89" t="s">
        <v>646</v>
      </c>
      <c r="AS355" s="89" t="s">
        <v>646</v>
      </c>
      <c r="AT355" s="89" t="s">
        <v>646</v>
      </c>
      <c r="AU355" s="89" t="s">
        <v>646</v>
      </c>
      <c r="AV355" s="89" t="s">
        <v>646</v>
      </c>
      <c r="AW355" s="89" t="s">
        <v>646</v>
      </c>
      <c r="AX355" s="89" t="s">
        <v>646</v>
      </c>
      <c r="AY355" s="89" t="s">
        <v>20553</v>
      </c>
      <c r="AZ355" s="89" t="s">
        <v>20554</v>
      </c>
      <c r="BA355" s="89" t="s">
        <v>646</v>
      </c>
      <c r="BB355" s="89" t="s">
        <v>646</v>
      </c>
      <c r="BC355" s="89" t="s">
        <v>646</v>
      </c>
      <c r="BD355" s="89" t="s">
        <v>20555</v>
      </c>
      <c r="BE355" s="89">
        <v>2020</v>
      </c>
      <c r="BF355" s="89">
        <v>36</v>
      </c>
      <c r="BG355" s="89">
        <v>2</v>
      </c>
      <c r="BH355" s="89" t="s">
        <v>646</v>
      </c>
      <c r="BI355" s="89" t="s">
        <v>646</v>
      </c>
      <c r="BJ355" s="89" t="s">
        <v>646</v>
      </c>
      <c r="BK355" s="89" t="s">
        <v>646</v>
      </c>
      <c r="BL355" s="89">
        <v>178</v>
      </c>
      <c r="BM355" s="89">
        <v>181</v>
      </c>
      <c r="BN355" s="89" t="s">
        <v>646</v>
      </c>
      <c r="BO355" s="89" t="str">
        <f>HYPERLINK("http://dx.doi.org/10.1097/IOP.0000000000001515","http://dx.doi.org/10.1097/IOP.0000000000001515")</f>
        <v>http://dx.doi.org/10.1097/IOP.0000000000001515</v>
      </c>
      <c r="BP355" s="89" t="s">
        <v>646</v>
      </c>
      <c r="BQ355" s="89" t="s">
        <v>646</v>
      </c>
      <c r="BR355" s="89" t="s">
        <v>646</v>
      </c>
      <c r="BS355" s="89" t="s">
        <v>646</v>
      </c>
      <c r="BT355" s="89" t="s">
        <v>646</v>
      </c>
      <c r="BU355" s="89" t="s">
        <v>646</v>
      </c>
      <c r="BV355" s="89" t="s">
        <v>646</v>
      </c>
      <c r="BW355" s="89">
        <v>31789786</v>
      </c>
      <c r="BX355" s="89" t="s">
        <v>646</v>
      </c>
      <c r="BY355" s="89" t="s">
        <v>646</v>
      </c>
      <c r="BZ355" s="89" t="s">
        <v>646</v>
      </c>
      <c r="CA355" s="89" t="s">
        <v>646</v>
      </c>
      <c r="CB355" s="89" t="s">
        <v>20556</v>
      </c>
      <c r="CC355" s="89" t="str">
        <f>HYPERLINK("https%3A%2F%2Fwww.webofscience.com%2Fwos%2Fwoscc%2Ffull-record%2FWOS:000528559200029","View Full Record in Web of Science")</f>
        <v>View Full Record in Web of Science</v>
      </c>
    </row>
    <row r="356" spans="1:81" ht="13.2" hidden="1" x14ac:dyDescent="0.25">
      <c r="A356" s="89" t="s">
        <v>20557</v>
      </c>
      <c r="B356" s="89" t="e">
        <f>+#REF!</f>
        <v>#REF!</v>
      </c>
      <c r="C356" s="89"/>
      <c r="D356" s="91" t="s">
        <v>717</v>
      </c>
      <c r="E356" s="90" t="e">
        <v>#REF!</v>
      </c>
      <c r="F356" s="89"/>
      <c r="G356" s="89"/>
      <c r="H356" s="89" t="s">
        <v>646</v>
      </c>
      <c r="I356" s="89" t="s">
        <v>20558</v>
      </c>
      <c r="J356" s="89" t="s">
        <v>20564</v>
      </c>
      <c r="K356" s="89" t="s">
        <v>20563</v>
      </c>
      <c r="M356" s="89">
        <v>2016</v>
      </c>
      <c r="N356" s="89" t="s">
        <v>20559</v>
      </c>
      <c r="O356" s="89" t="s">
        <v>646</v>
      </c>
      <c r="P356" s="89" t="s">
        <v>646</v>
      </c>
      <c r="S356" s="89" t="s">
        <v>17475</v>
      </c>
      <c r="U356" s="89" t="s">
        <v>17474</v>
      </c>
      <c r="W356" s="89" t="s">
        <v>646</v>
      </c>
      <c r="X356" s="89" t="s">
        <v>646</v>
      </c>
      <c r="Y356" s="89" t="s">
        <v>20560</v>
      </c>
      <c r="Z356" s="89" t="s">
        <v>20561</v>
      </c>
      <c r="AA356" s="89" t="s">
        <v>19963</v>
      </c>
      <c r="AB356" s="89" t="s">
        <v>20562</v>
      </c>
      <c r="AC356" s="89" t="s">
        <v>646</v>
      </c>
      <c r="AD356" s="89" t="s">
        <v>646</v>
      </c>
      <c r="AE356" s="89" t="s">
        <v>646</v>
      </c>
      <c r="AF356" s="89" t="s">
        <v>20563</v>
      </c>
      <c r="AG356" s="89" t="s">
        <v>646</v>
      </c>
      <c r="AH356" s="89" t="s">
        <v>646</v>
      </c>
      <c r="AI356" s="89" t="s">
        <v>646</v>
      </c>
      <c r="AJ356" s="89" t="s">
        <v>646</v>
      </c>
      <c r="AK356" s="89" t="s">
        <v>20564</v>
      </c>
      <c r="AL356" s="89" t="s">
        <v>20565</v>
      </c>
      <c r="AM356" s="89" t="s">
        <v>646</v>
      </c>
      <c r="AN356" s="89" t="s">
        <v>646</v>
      </c>
      <c r="AO356" s="89" t="s">
        <v>646</v>
      </c>
      <c r="AP356" s="89" t="s">
        <v>646</v>
      </c>
      <c r="AQ356" s="89" t="s">
        <v>646</v>
      </c>
      <c r="AR356" s="89" t="s">
        <v>646</v>
      </c>
      <c r="AS356" s="89" t="s">
        <v>646</v>
      </c>
      <c r="AT356" s="89" t="s">
        <v>646</v>
      </c>
      <c r="AU356" s="89" t="s">
        <v>646</v>
      </c>
      <c r="AV356" s="89" t="s">
        <v>646</v>
      </c>
      <c r="AW356" s="89" t="s">
        <v>646</v>
      </c>
      <c r="AX356" s="89" t="s">
        <v>646</v>
      </c>
      <c r="AY356" s="89" t="s">
        <v>20566</v>
      </c>
      <c r="AZ356" s="89" t="s">
        <v>646</v>
      </c>
      <c r="BA356" s="89" t="s">
        <v>20567</v>
      </c>
      <c r="BB356" s="89" t="s">
        <v>646</v>
      </c>
      <c r="BC356" s="89" t="s">
        <v>646</v>
      </c>
      <c r="BD356" s="89" t="s">
        <v>646</v>
      </c>
      <c r="BE356" s="89">
        <v>2016</v>
      </c>
      <c r="BF356" s="89" t="s">
        <v>646</v>
      </c>
      <c r="BG356" s="89" t="s">
        <v>646</v>
      </c>
      <c r="BH356" s="89" t="s">
        <v>646</v>
      </c>
      <c r="BI356" s="89" t="s">
        <v>646</v>
      </c>
      <c r="BJ356" s="89" t="s">
        <v>646</v>
      </c>
      <c r="BK356" s="89" t="s">
        <v>646</v>
      </c>
      <c r="BL356" s="89">
        <v>2204</v>
      </c>
      <c r="BM356" s="89">
        <v>2211</v>
      </c>
      <c r="BN356" s="89" t="s">
        <v>646</v>
      </c>
      <c r="BO356" s="89" t="s">
        <v>646</v>
      </c>
      <c r="BP356" s="89" t="s">
        <v>646</v>
      </c>
      <c r="BQ356" s="89" t="s">
        <v>646</v>
      </c>
      <c r="BR356" s="89" t="s">
        <v>646</v>
      </c>
      <c r="BS356" s="89" t="s">
        <v>646</v>
      </c>
      <c r="BT356" s="89" t="s">
        <v>646</v>
      </c>
      <c r="BU356" s="89" t="s">
        <v>646</v>
      </c>
      <c r="BV356" s="89" t="s">
        <v>646</v>
      </c>
      <c r="BW356" s="89" t="s">
        <v>646</v>
      </c>
      <c r="BX356" s="89" t="s">
        <v>646</v>
      </c>
      <c r="BY356" s="89" t="s">
        <v>646</v>
      </c>
      <c r="BZ356" s="89" t="s">
        <v>646</v>
      </c>
      <c r="CA356" s="89" t="s">
        <v>646</v>
      </c>
      <c r="CB356" s="89" t="s">
        <v>20568</v>
      </c>
      <c r="CC356" s="89" t="str">
        <f>HYPERLINK("https%3A%2F%2Fwww.webofscience.com%2Fwos%2Fwoscc%2Ffull-record%2FWOS:000399925502053","View Full Record in Web of Science")</f>
        <v>View Full Record in Web of Science</v>
      </c>
    </row>
    <row r="357" spans="1:81" ht="13.2" hidden="1" x14ac:dyDescent="0.25">
      <c r="A357" s="89" t="s">
        <v>20569</v>
      </c>
      <c r="B357" s="89" t="e">
        <f>+#REF!</f>
        <v>#REF!</v>
      </c>
      <c r="C357" s="89"/>
      <c r="D357" s="91" t="s">
        <v>717</v>
      </c>
      <c r="E357" s="90" t="e">
        <v>#REF!</v>
      </c>
      <c r="F357" s="89"/>
      <c r="G357" s="89"/>
      <c r="H357" s="89" t="s">
        <v>12194</v>
      </c>
      <c r="I357" s="89" t="s">
        <v>20570</v>
      </c>
      <c r="J357" s="89" t="s">
        <v>646</v>
      </c>
      <c r="K357" s="89" t="s">
        <v>20571</v>
      </c>
      <c r="M357" s="89">
        <v>2013</v>
      </c>
      <c r="N357" s="89" t="s">
        <v>19023</v>
      </c>
      <c r="O357" s="89" t="s">
        <v>646</v>
      </c>
      <c r="P357" s="89" t="str">
        <f>HYPERLINK("http://dx.doi.org/10.2196/jmir.2513","http://dx.doi.org/10.2196/jmir.2513")</f>
        <v>http://dx.doi.org/10.2196/jmir.2513</v>
      </c>
      <c r="S357" s="89" t="s">
        <v>646</v>
      </c>
      <c r="U357" s="89" t="s">
        <v>17462</v>
      </c>
      <c r="W357" s="89" t="s">
        <v>646</v>
      </c>
      <c r="X357" s="89" t="s">
        <v>646</v>
      </c>
      <c r="Y357" s="89" t="s">
        <v>646</v>
      </c>
      <c r="Z357" s="89" t="s">
        <v>646</v>
      </c>
      <c r="AA357" s="89" t="s">
        <v>646</v>
      </c>
      <c r="AB357" s="89" t="s">
        <v>646</v>
      </c>
      <c r="AC357" s="89" t="s">
        <v>646</v>
      </c>
      <c r="AD357" s="89" t="s">
        <v>646</v>
      </c>
      <c r="AE357" s="89" t="s">
        <v>646</v>
      </c>
      <c r="AF357" s="89" t="s">
        <v>20571</v>
      </c>
      <c r="AG357" s="89" t="s">
        <v>646</v>
      </c>
      <c r="AH357" s="89" t="s">
        <v>646</v>
      </c>
      <c r="AI357" s="89" t="s">
        <v>646</v>
      </c>
      <c r="AJ357" s="89" t="s">
        <v>646</v>
      </c>
      <c r="AK357" s="89" t="s">
        <v>646</v>
      </c>
      <c r="AL357" s="89" t="s">
        <v>20572</v>
      </c>
      <c r="AM357" s="89" t="s">
        <v>646</v>
      </c>
      <c r="AN357" s="89" t="s">
        <v>646</v>
      </c>
      <c r="AO357" s="89" t="s">
        <v>646</v>
      </c>
      <c r="AP357" s="89" t="s">
        <v>646</v>
      </c>
      <c r="AQ357" s="89" t="s">
        <v>646</v>
      </c>
      <c r="AR357" s="89" t="s">
        <v>646</v>
      </c>
      <c r="AS357" s="89" t="s">
        <v>646</v>
      </c>
      <c r="AT357" s="89" t="s">
        <v>646</v>
      </c>
      <c r="AU357" s="89" t="s">
        <v>646</v>
      </c>
      <c r="AV357" s="89" t="s">
        <v>646</v>
      </c>
      <c r="AW357" s="89" t="s">
        <v>646</v>
      </c>
      <c r="AX357" s="89" t="s">
        <v>646</v>
      </c>
      <c r="AY357" s="89" t="s">
        <v>19026</v>
      </c>
      <c r="AZ357" s="89" t="s">
        <v>646</v>
      </c>
      <c r="BA357" s="89" t="s">
        <v>646</v>
      </c>
      <c r="BB357" s="89" t="s">
        <v>646</v>
      </c>
      <c r="BC357" s="89" t="s">
        <v>646</v>
      </c>
      <c r="BD357" s="89" t="s">
        <v>17772</v>
      </c>
      <c r="BE357" s="89">
        <v>2013</v>
      </c>
      <c r="BF357" s="89">
        <v>15</v>
      </c>
      <c r="BG357" s="89">
        <v>6</v>
      </c>
      <c r="BH357" s="89" t="s">
        <v>646</v>
      </c>
      <c r="BI357" s="89" t="s">
        <v>646</v>
      </c>
      <c r="BJ357" s="89" t="s">
        <v>646</v>
      </c>
      <c r="BK357" s="89" t="s">
        <v>646</v>
      </c>
      <c r="BL357" s="89" t="s">
        <v>646</v>
      </c>
      <c r="BM357" s="89" t="s">
        <v>646</v>
      </c>
      <c r="BN357" s="89" t="s">
        <v>20573</v>
      </c>
      <c r="BO357" s="89" t="str">
        <f>HYPERLINK("http://dx.doi.org/10.2196/jmir.2513","http://dx.doi.org/10.2196/jmir.2513")</f>
        <v>http://dx.doi.org/10.2196/jmir.2513</v>
      </c>
      <c r="BP357" s="89" t="s">
        <v>646</v>
      </c>
      <c r="BQ357" s="89" t="s">
        <v>646</v>
      </c>
      <c r="BR357" s="89" t="s">
        <v>646</v>
      </c>
      <c r="BS357" s="89" t="s">
        <v>646</v>
      </c>
      <c r="BT357" s="89" t="s">
        <v>646</v>
      </c>
      <c r="BU357" s="89" t="s">
        <v>646</v>
      </c>
      <c r="BV357" s="89" t="s">
        <v>646</v>
      </c>
      <c r="BW357" s="89">
        <v>23732572</v>
      </c>
      <c r="BX357" s="89" t="s">
        <v>646</v>
      </c>
      <c r="BY357" s="89" t="s">
        <v>646</v>
      </c>
      <c r="BZ357" s="89" t="s">
        <v>646</v>
      </c>
      <c r="CA357" s="89" t="s">
        <v>646</v>
      </c>
      <c r="CB357" s="89" t="s">
        <v>20574</v>
      </c>
      <c r="CC357" s="89" t="str">
        <f>HYPERLINK("https%3A%2F%2Fwww.webofscience.com%2Fwos%2Fwoscc%2Ffull-record%2FWOS:000321961500009","View Full Record in Web of Science")</f>
        <v>View Full Record in Web of Science</v>
      </c>
    </row>
    <row r="358" spans="1:81" ht="13.2" hidden="1" x14ac:dyDescent="0.25">
      <c r="A358" s="89" t="s">
        <v>20575</v>
      </c>
      <c r="B358" s="89" t="e">
        <f>+#REF!</f>
        <v>#REF!</v>
      </c>
      <c r="C358" s="89"/>
      <c r="D358" s="91" t="s">
        <v>717</v>
      </c>
      <c r="E358" s="90" t="e">
        <v>#REF!</v>
      </c>
      <c r="F358" s="89"/>
      <c r="G358" s="89"/>
      <c r="H358" s="89" t="s">
        <v>646</v>
      </c>
      <c r="I358" s="89" t="s">
        <v>20577</v>
      </c>
      <c r="J358" s="89" t="s">
        <v>646</v>
      </c>
      <c r="K358" s="89" t="s">
        <v>20583</v>
      </c>
      <c r="M358" s="89">
        <v>2018</v>
      </c>
      <c r="N358" s="89" t="s">
        <v>20578</v>
      </c>
      <c r="O358" s="89" t="s">
        <v>20576</v>
      </c>
      <c r="P358" s="89" t="s">
        <v>646</v>
      </c>
      <c r="S358" s="89" t="s">
        <v>646</v>
      </c>
      <c r="U358" s="89" t="s">
        <v>17474</v>
      </c>
      <c r="W358" s="89" t="s">
        <v>646</v>
      </c>
      <c r="X358" s="89" t="s">
        <v>646</v>
      </c>
      <c r="Y358" s="89" t="s">
        <v>20579</v>
      </c>
      <c r="Z358" s="89" t="s">
        <v>20580</v>
      </c>
      <c r="AA358" s="89" t="s">
        <v>20581</v>
      </c>
      <c r="AB358" s="89" t="s">
        <v>20582</v>
      </c>
      <c r="AC358" s="89" t="s">
        <v>646</v>
      </c>
      <c r="AD358" s="89" t="s">
        <v>646</v>
      </c>
      <c r="AE358" s="89" t="s">
        <v>646</v>
      </c>
      <c r="AF358" s="89" t="s">
        <v>20583</v>
      </c>
      <c r="AG358" s="89" t="s">
        <v>646</v>
      </c>
      <c r="AH358" s="89" t="s">
        <v>646</v>
      </c>
      <c r="AI358" s="89" t="s">
        <v>646</v>
      </c>
      <c r="AJ358" s="89" t="s">
        <v>646</v>
      </c>
      <c r="AK358" s="89" t="s">
        <v>646</v>
      </c>
      <c r="AL358" s="89" t="s">
        <v>646</v>
      </c>
      <c r="AM358" s="89" t="s">
        <v>646</v>
      </c>
      <c r="AN358" s="89" t="s">
        <v>646</v>
      </c>
      <c r="AO358" s="89" t="s">
        <v>646</v>
      </c>
      <c r="AP358" s="89" t="s">
        <v>646</v>
      </c>
      <c r="AQ358" s="89" t="s">
        <v>646</v>
      </c>
      <c r="AR358" s="89" t="s">
        <v>646</v>
      </c>
      <c r="AS358" s="89" t="s">
        <v>646</v>
      </c>
      <c r="AT358" s="89" t="s">
        <v>646</v>
      </c>
      <c r="AU358" s="89" t="s">
        <v>646</v>
      </c>
      <c r="AV358" s="89" t="s">
        <v>646</v>
      </c>
      <c r="AW358" s="89" t="s">
        <v>646</v>
      </c>
      <c r="AX358" s="89" t="s">
        <v>646</v>
      </c>
      <c r="AY358" s="89" t="s">
        <v>646</v>
      </c>
      <c r="AZ358" s="89" t="s">
        <v>646</v>
      </c>
      <c r="BA358" s="89" t="s">
        <v>20584</v>
      </c>
      <c r="BB358" s="89" t="s">
        <v>646</v>
      </c>
      <c r="BC358" s="89" t="s">
        <v>646</v>
      </c>
      <c r="BD358" s="89" t="s">
        <v>646</v>
      </c>
      <c r="BE358" s="89">
        <v>2018</v>
      </c>
      <c r="BF358" s="89" t="s">
        <v>646</v>
      </c>
      <c r="BG358" s="89" t="s">
        <v>646</v>
      </c>
      <c r="BH358" s="89" t="s">
        <v>646</v>
      </c>
      <c r="BI358" s="89" t="s">
        <v>646</v>
      </c>
      <c r="BJ358" s="89" t="s">
        <v>646</v>
      </c>
      <c r="BK358" s="89" t="s">
        <v>646</v>
      </c>
      <c r="BL358" s="89">
        <v>4752</v>
      </c>
      <c r="BM358" s="89">
        <v>4761</v>
      </c>
      <c r="BN358" s="89" t="s">
        <v>646</v>
      </c>
      <c r="BO358" s="89" t="s">
        <v>646</v>
      </c>
      <c r="BP358" s="89" t="s">
        <v>646</v>
      </c>
      <c r="BQ358" s="89" t="s">
        <v>646</v>
      </c>
      <c r="BR358" s="89" t="s">
        <v>646</v>
      </c>
      <c r="BS358" s="89" t="s">
        <v>646</v>
      </c>
      <c r="BT358" s="89" t="s">
        <v>646</v>
      </c>
      <c r="BU358" s="89" t="s">
        <v>646</v>
      </c>
      <c r="BV358" s="89" t="s">
        <v>646</v>
      </c>
      <c r="BW358" s="89" t="s">
        <v>646</v>
      </c>
      <c r="BX358" s="89" t="s">
        <v>646</v>
      </c>
      <c r="BY358" s="89" t="s">
        <v>646</v>
      </c>
      <c r="BZ358" s="89" t="s">
        <v>646</v>
      </c>
      <c r="CA358" s="89" t="s">
        <v>646</v>
      </c>
      <c r="CB358" s="89" t="s">
        <v>20585</v>
      </c>
      <c r="CC358" s="89" t="str">
        <f>HYPERLINK("https%3A%2F%2Fwww.webofscience.com%2Fwos%2Fwoscc%2Ffull-record%2FWOS:000625208504104","View Full Record in Web of Science")</f>
        <v>View Full Record in Web of Science</v>
      </c>
    </row>
    <row r="359" spans="1:81" ht="13.2" hidden="1" x14ac:dyDescent="0.25">
      <c r="A359" s="89" t="s">
        <v>20586</v>
      </c>
      <c r="B359" s="89" t="e">
        <f>+#REF!</f>
        <v>#REF!</v>
      </c>
      <c r="C359" s="89"/>
      <c r="D359" s="91" t="s">
        <v>717</v>
      </c>
      <c r="E359" s="90" t="e">
        <v>#REF!</v>
      </c>
      <c r="F359" s="89"/>
      <c r="G359" s="89"/>
      <c r="H359" s="89" t="s">
        <v>646</v>
      </c>
      <c r="I359" s="89" t="s">
        <v>20587</v>
      </c>
      <c r="J359" s="89" t="s">
        <v>20594</v>
      </c>
      <c r="K359" s="89" t="s">
        <v>20593</v>
      </c>
      <c r="M359" s="89">
        <v>2011</v>
      </c>
      <c r="N359" s="89" t="s">
        <v>20588</v>
      </c>
      <c r="O359" s="89" t="s">
        <v>646</v>
      </c>
      <c r="P359" s="89" t="s">
        <v>646</v>
      </c>
      <c r="S359" s="89" t="s">
        <v>17475</v>
      </c>
      <c r="U359" s="89" t="s">
        <v>17474</v>
      </c>
      <c r="W359" s="89" t="s">
        <v>646</v>
      </c>
      <c r="X359" s="89" t="s">
        <v>646</v>
      </c>
      <c r="Y359" s="89" t="s">
        <v>20589</v>
      </c>
      <c r="Z359" s="89" t="s">
        <v>20590</v>
      </c>
      <c r="AA359" s="89" t="s">
        <v>20591</v>
      </c>
      <c r="AB359" s="89" t="s">
        <v>20592</v>
      </c>
      <c r="AC359" s="89" t="s">
        <v>646</v>
      </c>
      <c r="AD359" s="89" t="s">
        <v>646</v>
      </c>
      <c r="AE359" s="89" t="s">
        <v>646</v>
      </c>
      <c r="AF359" s="89" t="s">
        <v>20593</v>
      </c>
      <c r="AG359" s="89" t="s">
        <v>646</v>
      </c>
      <c r="AH359" s="89" t="s">
        <v>646</v>
      </c>
      <c r="AI359" s="89" t="s">
        <v>646</v>
      </c>
      <c r="AJ359" s="89" t="s">
        <v>646</v>
      </c>
      <c r="AK359" s="89" t="s">
        <v>20594</v>
      </c>
      <c r="AL359" s="89" t="s">
        <v>20595</v>
      </c>
      <c r="AM359" s="89" t="s">
        <v>646</v>
      </c>
      <c r="AN359" s="89" t="s">
        <v>646</v>
      </c>
      <c r="AO359" s="89" t="s">
        <v>646</v>
      </c>
      <c r="AP359" s="89" t="s">
        <v>646</v>
      </c>
      <c r="AQ359" s="89" t="s">
        <v>646</v>
      </c>
      <c r="AR359" s="89" t="s">
        <v>646</v>
      </c>
      <c r="AS359" s="89" t="s">
        <v>646</v>
      </c>
      <c r="AT359" s="89" t="s">
        <v>646</v>
      </c>
      <c r="AU359" s="89" t="s">
        <v>646</v>
      </c>
      <c r="AV359" s="89" t="s">
        <v>646</v>
      </c>
      <c r="AW359" s="89" t="s">
        <v>646</v>
      </c>
      <c r="AX359" s="89" t="s">
        <v>646</v>
      </c>
      <c r="AY359" s="89" t="s">
        <v>20596</v>
      </c>
      <c r="AZ359" s="89" t="s">
        <v>646</v>
      </c>
      <c r="BA359" s="89" t="s">
        <v>20597</v>
      </c>
      <c r="BB359" s="89" t="s">
        <v>646</v>
      </c>
      <c r="BC359" s="89" t="s">
        <v>646</v>
      </c>
      <c r="BD359" s="89" t="s">
        <v>646</v>
      </c>
      <c r="BE359" s="89">
        <v>2011</v>
      </c>
      <c r="BF359" s="89" t="s">
        <v>646</v>
      </c>
      <c r="BG359" s="89" t="s">
        <v>646</v>
      </c>
      <c r="BH359" s="89" t="s">
        <v>646</v>
      </c>
      <c r="BI359" s="89" t="s">
        <v>646</v>
      </c>
      <c r="BJ359" s="89" t="s">
        <v>646</v>
      </c>
      <c r="BK359" s="89" t="s">
        <v>646</v>
      </c>
      <c r="BL359" s="89" t="s">
        <v>646</v>
      </c>
      <c r="BM359" s="89" t="s">
        <v>646</v>
      </c>
      <c r="BN359" s="89" t="s">
        <v>646</v>
      </c>
      <c r="BO359" s="89" t="s">
        <v>646</v>
      </c>
      <c r="BP359" s="89" t="s">
        <v>646</v>
      </c>
      <c r="BQ359" s="89" t="s">
        <v>646</v>
      </c>
      <c r="BR359" s="89" t="s">
        <v>646</v>
      </c>
      <c r="BS359" s="89" t="s">
        <v>646</v>
      </c>
      <c r="BT359" s="89" t="s">
        <v>646</v>
      </c>
      <c r="BU359" s="89" t="s">
        <v>646</v>
      </c>
      <c r="BV359" s="89" t="s">
        <v>646</v>
      </c>
      <c r="BW359" s="89" t="s">
        <v>646</v>
      </c>
      <c r="BX359" s="89" t="s">
        <v>646</v>
      </c>
      <c r="BY359" s="89" t="s">
        <v>646</v>
      </c>
      <c r="BZ359" s="89" t="s">
        <v>646</v>
      </c>
      <c r="CA359" s="89" t="s">
        <v>646</v>
      </c>
      <c r="CB359" s="89" t="s">
        <v>20598</v>
      </c>
      <c r="CC359" s="89" t="str">
        <f>HYPERLINK("https%3A%2F%2Fwww.webofscience.com%2Fwos%2Fwoscc%2Ffull-record%2FWOS:000298962503058","View Full Record in Web of Science")</f>
        <v>View Full Record in Web of Science</v>
      </c>
    </row>
    <row r="360" spans="1:81" ht="13.2" hidden="1" x14ac:dyDescent="0.25">
      <c r="A360" s="89" t="s">
        <v>20599</v>
      </c>
      <c r="B360" s="89" t="e">
        <f>+#REF!</f>
        <v>#REF!</v>
      </c>
      <c r="C360" s="89"/>
      <c r="D360" s="91" t="s">
        <v>717</v>
      </c>
      <c r="E360" s="90" t="e">
        <v>#REF!</v>
      </c>
      <c r="F360" s="89"/>
      <c r="G360" s="89"/>
      <c r="H360" s="89" t="s">
        <v>646</v>
      </c>
      <c r="I360" s="89" t="s">
        <v>20600</v>
      </c>
      <c r="J360" s="89" t="s">
        <v>646</v>
      </c>
      <c r="K360" s="89" t="s">
        <v>20607</v>
      </c>
      <c r="M360" s="89">
        <v>2019</v>
      </c>
      <c r="N360" s="89" t="s">
        <v>20601</v>
      </c>
      <c r="O360" s="89" t="s">
        <v>646</v>
      </c>
      <c r="P360" s="89" t="s">
        <v>646</v>
      </c>
      <c r="S360" s="89" t="s">
        <v>17475</v>
      </c>
      <c r="U360" s="89" t="s">
        <v>17474</v>
      </c>
      <c r="W360" s="89" t="s">
        <v>646</v>
      </c>
      <c r="X360" s="89" t="s">
        <v>646</v>
      </c>
      <c r="Y360" s="89" t="s">
        <v>20602</v>
      </c>
      <c r="Z360" s="89" t="s">
        <v>20603</v>
      </c>
      <c r="AA360" s="89" t="s">
        <v>20604</v>
      </c>
      <c r="AB360" s="89" t="s">
        <v>20605</v>
      </c>
      <c r="AC360" s="89" t="s">
        <v>20606</v>
      </c>
      <c r="AD360" s="89" t="s">
        <v>646</v>
      </c>
      <c r="AE360" s="89" t="s">
        <v>646</v>
      </c>
      <c r="AF360" s="89" t="s">
        <v>20607</v>
      </c>
      <c r="AG360" s="89" t="s">
        <v>646</v>
      </c>
      <c r="AH360" s="89" t="s">
        <v>646</v>
      </c>
      <c r="AI360" s="89" t="s">
        <v>646</v>
      </c>
      <c r="AJ360" s="89" t="s">
        <v>646</v>
      </c>
      <c r="AK360" s="89" t="s">
        <v>646</v>
      </c>
      <c r="AL360" s="89" t="s">
        <v>646</v>
      </c>
      <c r="AM360" s="89" t="s">
        <v>646</v>
      </c>
      <c r="AN360" s="89" t="s">
        <v>646</v>
      </c>
      <c r="AO360" s="89" t="s">
        <v>646</v>
      </c>
      <c r="AP360" s="89" t="s">
        <v>646</v>
      </c>
      <c r="AQ360" s="89" t="s">
        <v>646</v>
      </c>
      <c r="AR360" s="89" t="s">
        <v>646</v>
      </c>
      <c r="AS360" s="89" t="s">
        <v>646</v>
      </c>
      <c r="AT360" s="89" t="s">
        <v>646</v>
      </c>
      <c r="AU360" s="89" t="s">
        <v>646</v>
      </c>
      <c r="AV360" s="89" t="s">
        <v>646</v>
      </c>
      <c r="AW360" s="89" t="s">
        <v>646</v>
      </c>
      <c r="AX360" s="89" t="s">
        <v>646</v>
      </c>
      <c r="AY360" s="89" t="s">
        <v>646</v>
      </c>
      <c r="AZ360" s="89" t="s">
        <v>646</v>
      </c>
      <c r="BA360" s="89" t="s">
        <v>20608</v>
      </c>
      <c r="BB360" s="89" t="s">
        <v>646</v>
      </c>
      <c r="BC360" s="89" t="s">
        <v>646</v>
      </c>
      <c r="BD360" s="89" t="s">
        <v>646</v>
      </c>
      <c r="BE360" s="89">
        <v>2019</v>
      </c>
      <c r="BF360" s="89" t="s">
        <v>646</v>
      </c>
      <c r="BG360" s="89" t="s">
        <v>646</v>
      </c>
      <c r="BH360" s="89" t="s">
        <v>646</v>
      </c>
      <c r="BI360" s="89" t="s">
        <v>646</v>
      </c>
      <c r="BJ360" s="89" t="s">
        <v>646</v>
      </c>
      <c r="BK360" s="89" t="s">
        <v>646</v>
      </c>
      <c r="BL360" s="89">
        <v>85</v>
      </c>
      <c r="BM360" s="89">
        <v>90</v>
      </c>
      <c r="BN360" s="89" t="s">
        <v>646</v>
      </c>
      <c r="BO360" s="89" t="s">
        <v>646</v>
      </c>
      <c r="BP360" s="89" t="s">
        <v>646</v>
      </c>
      <c r="BQ360" s="89" t="s">
        <v>646</v>
      </c>
      <c r="BR360" s="89" t="s">
        <v>646</v>
      </c>
      <c r="BS360" s="89" t="s">
        <v>646</v>
      </c>
      <c r="BT360" s="89" t="s">
        <v>646</v>
      </c>
      <c r="BU360" s="89" t="s">
        <v>646</v>
      </c>
      <c r="BV360" s="89" t="s">
        <v>646</v>
      </c>
      <c r="BW360" s="89" t="s">
        <v>646</v>
      </c>
      <c r="BX360" s="89" t="s">
        <v>646</v>
      </c>
      <c r="BY360" s="89" t="s">
        <v>646</v>
      </c>
      <c r="BZ360" s="89" t="s">
        <v>646</v>
      </c>
      <c r="CA360" s="89" t="s">
        <v>646</v>
      </c>
      <c r="CB360" s="89" t="s">
        <v>20609</v>
      </c>
      <c r="CC360" s="89" t="str">
        <f>HYPERLINK("https%3A%2F%2Fwww.webofscience.com%2Fwos%2Fwoscc%2Ffull-record%2FWOS:000593592700016","View Full Record in Web of Science")</f>
        <v>View Full Record in Web of Science</v>
      </c>
    </row>
    <row r="361" spans="1:81" ht="13.2" hidden="1" x14ac:dyDescent="0.25">
      <c r="A361" s="89" t="s">
        <v>12219</v>
      </c>
      <c r="B361" s="89" t="e">
        <f>+#REF!</f>
        <v>#REF!</v>
      </c>
      <c r="C361" s="89"/>
      <c r="D361" s="91" t="s">
        <v>717</v>
      </c>
      <c r="E361" s="90" t="e">
        <v>#REF!</v>
      </c>
      <c r="F361" s="89"/>
      <c r="G361" s="89"/>
      <c r="H361" s="89" t="s">
        <v>12220</v>
      </c>
      <c r="I361" s="89" t="s">
        <v>20610</v>
      </c>
      <c r="J361" s="89" t="s">
        <v>646</v>
      </c>
      <c r="K361" s="89" t="s">
        <v>20612</v>
      </c>
      <c r="M361" s="89">
        <v>2020</v>
      </c>
      <c r="N361" s="89" t="s">
        <v>20611</v>
      </c>
      <c r="O361" s="89" t="s">
        <v>646</v>
      </c>
      <c r="P361" s="89" t="str">
        <f>HYPERLINK("http://dx.doi.org/10.1007/s00238-020-01712-1","http://dx.doi.org/10.1007/s00238-020-01712-1")</f>
        <v>http://dx.doi.org/10.1007/s00238-020-01712-1</v>
      </c>
      <c r="S361" s="89" t="s">
        <v>646</v>
      </c>
      <c r="U361" s="89" t="s">
        <v>17462</v>
      </c>
      <c r="W361" s="89" t="s">
        <v>646</v>
      </c>
      <c r="X361" s="89" t="s">
        <v>646</v>
      </c>
      <c r="Y361" s="89" t="s">
        <v>646</v>
      </c>
      <c r="Z361" s="89" t="s">
        <v>646</v>
      </c>
      <c r="AA361" s="89" t="s">
        <v>646</v>
      </c>
      <c r="AB361" s="89" t="s">
        <v>646</v>
      </c>
      <c r="AC361" s="89" t="s">
        <v>646</v>
      </c>
      <c r="AD361" s="89" t="s">
        <v>646</v>
      </c>
      <c r="AE361" s="89" t="s">
        <v>646</v>
      </c>
      <c r="AF361" s="89" t="s">
        <v>20612</v>
      </c>
      <c r="AG361" s="89" t="s">
        <v>646</v>
      </c>
      <c r="AH361" s="89" t="s">
        <v>646</v>
      </c>
      <c r="AI361" s="89" t="s">
        <v>646</v>
      </c>
      <c r="AJ361" s="89" t="s">
        <v>646</v>
      </c>
      <c r="AK361" s="89" t="s">
        <v>646</v>
      </c>
      <c r="AL361" s="89" t="s">
        <v>20613</v>
      </c>
      <c r="AM361" s="89" t="s">
        <v>646</v>
      </c>
      <c r="AN361" s="89" t="s">
        <v>646</v>
      </c>
      <c r="AO361" s="89" t="s">
        <v>646</v>
      </c>
      <c r="AP361" s="89" t="s">
        <v>646</v>
      </c>
      <c r="AQ361" s="89" t="s">
        <v>646</v>
      </c>
      <c r="AR361" s="89" t="s">
        <v>646</v>
      </c>
      <c r="AS361" s="89" t="s">
        <v>646</v>
      </c>
      <c r="AT361" s="89" t="s">
        <v>646</v>
      </c>
      <c r="AU361" s="89" t="s">
        <v>646</v>
      </c>
      <c r="AV361" s="89" t="s">
        <v>646</v>
      </c>
      <c r="AW361" s="89" t="s">
        <v>646</v>
      </c>
      <c r="AX361" s="89" t="s">
        <v>646</v>
      </c>
      <c r="AY361" s="89" t="s">
        <v>20614</v>
      </c>
      <c r="AZ361" s="89" t="s">
        <v>20615</v>
      </c>
      <c r="BA361" s="89" t="s">
        <v>646</v>
      </c>
      <c r="BB361" s="89" t="s">
        <v>646</v>
      </c>
      <c r="BC361" s="89" t="s">
        <v>646</v>
      </c>
      <c r="BD361" s="89" t="s">
        <v>17615</v>
      </c>
      <c r="BE361" s="89">
        <v>2020</v>
      </c>
      <c r="BF361" s="89">
        <v>43</v>
      </c>
      <c r="BG361" s="89">
        <v>6</v>
      </c>
      <c r="BH361" s="89" t="s">
        <v>646</v>
      </c>
      <c r="BI361" s="89" t="s">
        <v>646</v>
      </c>
      <c r="BJ361" s="89" t="s">
        <v>646</v>
      </c>
      <c r="BK361" s="89" t="s">
        <v>646</v>
      </c>
      <c r="BL361" s="89">
        <v>789</v>
      </c>
      <c r="BM361" s="89">
        <v>794</v>
      </c>
      <c r="BN361" s="89" t="s">
        <v>646</v>
      </c>
      <c r="BO361" s="89" t="str">
        <f>HYPERLINK("http://dx.doi.org/10.1007/s00238-020-01712-1","http://dx.doi.org/10.1007/s00238-020-01712-1")</f>
        <v>http://dx.doi.org/10.1007/s00238-020-01712-1</v>
      </c>
      <c r="BP361" s="89" t="s">
        <v>646</v>
      </c>
      <c r="BQ361" s="89" t="s">
        <v>18873</v>
      </c>
      <c r="BR361" s="89" t="s">
        <v>646</v>
      </c>
      <c r="BS361" s="89" t="s">
        <v>646</v>
      </c>
      <c r="BT361" s="89" t="s">
        <v>646</v>
      </c>
      <c r="BU361" s="89" t="s">
        <v>646</v>
      </c>
      <c r="BV361" s="89" t="s">
        <v>646</v>
      </c>
      <c r="BW361" s="89" t="s">
        <v>646</v>
      </c>
      <c r="BX361" s="89" t="s">
        <v>646</v>
      </c>
      <c r="BY361" s="89" t="s">
        <v>646</v>
      </c>
      <c r="BZ361" s="89" t="s">
        <v>646</v>
      </c>
      <c r="CA361" s="89" t="s">
        <v>646</v>
      </c>
      <c r="CB361" s="89" t="s">
        <v>20616</v>
      </c>
      <c r="CC361" s="89" t="str">
        <f>HYPERLINK("https%3A%2F%2Fwww.webofscience.com%2Fwos%2Fwoscc%2Ffull-record%2FWOS:000559357400001","View Full Record in Web of Science")</f>
        <v>View Full Record in Web of Science</v>
      </c>
    </row>
    <row r="362" spans="1:81" ht="13.2" hidden="1" x14ac:dyDescent="0.25">
      <c r="A362" s="89" t="s">
        <v>20617</v>
      </c>
      <c r="B362" s="89" t="e">
        <f>+#REF!</f>
        <v>#REF!</v>
      </c>
      <c r="C362" s="89"/>
      <c r="D362" s="91" t="s">
        <v>717</v>
      </c>
      <c r="E362" s="90" t="e">
        <v>#REF!</v>
      </c>
      <c r="F362" s="89"/>
      <c r="G362" s="89"/>
      <c r="H362" s="89" t="s">
        <v>12230</v>
      </c>
      <c r="I362" s="89" t="s">
        <v>20618</v>
      </c>
      <c r="J362" s="89" t="s">
        <v>646</v>
      </c>
      <c r="K362" s="89" t="s">
        <v>20619</v>
      </c>
      <c r="M362" s="89">
        <v>2020</v>
      </c>
      <c r="N362" s="89" t="s">
        <v>20611</v>
      </c>
      <c r="O362" s="89" t="s">
        <v>646</v>
      </c>
      <c r="P362" s="89" t="str">
        <f>HYPERLINK("http://dx.doi.org/10.1007/s00238-020-01639-7","http://dx.doi.org/10.1007/s00238-020-01639-7")</f>
        <v>http://dx.doi.org/10.1007/s00238-020-01639-7</v>
      </c>
      <c r="S362" s="89" t="s">
        <v>646</v>
      </c>
      <c r="U362" s="89" t="s">
        <v>17462</v>
      </c>
      <c r="W362" s="89" t="s">
        <v>646</v>
      </c>
      <c r="X362" s="89" t="s">
        <v>646</v>
      </c>
      <c r="Y362" s="89" t="s">
        <v>646</v>
      </c>
      <c r="Z362" s="89" t="s">
        <v>646</v>
      </c>
      <c r="AA362" s="89" t="s">
        <v>646</v>
      </c>
      <c r="AB362" s="89" t="s">
        <v>646</v>
      </c>
      <c r="AC362" s="89" t="s">
        <v>646</v>
      </c>
      <c r="AD362" s="89" t="s">
        <v>646</v>
      </c>
      <c r="AE362" s="89" t="s">
        <v>646</v>
      </c>
      <c r="AF362" s="89" t="s">
        <v>20619</v>
      </c>
      <c r="AG362" s="89" t="s">
        <v>646</v>
      </c>
      <c r="AH362" s="89" t="s">
        <v>646</v>
      </c>
      <c r="AI362" s="89" t="s">
        <v>646</v>
      </c>
      <c r="AJ362" s="89" t="s">
        <v>646</v>
      </c>
      <c r="AK362" s="89" t="s">
        <v>646</v>
      </c>
      <c r="AL362" s="89" t="s">
        <v>646</v>
      </c>
      <c r="AM362" s="89" t="s">
        <v>646</v>
      </c>
      <c r="AN362" s="89" t="s">
        <v>646</v>
      </c>
      <c r="AO362" s="89" t="s">
        <v>646</v>
      </c>
      <c r="AP362" s="89" t="s">
        <v>646</v>
      </c>
      <c r="AQ362" s="89" t="s">
        <v>646</v>
      </c>
      <c r="AR362" s="89" t="s">
        <v>646</v>
      </c>
      <c r="AS362" s="89" t="s">
        <v>646</v>
      </c>
      <c r="AT362" s="89" t="s">
        <v>646</v>
      </c>
      <c r="AU362" s="89" t="s">
        <v>646</v>
      </c>
      <c r="AV362" s="89" t="s">
        <v>646</v>
      </c>
      <c r="AW362" s="89" t="s">
        <v>646</v>
      </c>
      <c r="AX362" s="89" t="s">
        <v>646</v>
      </c>
      <c r="AY362" s="89" t="s">
        <v>20614</v>
      </c>
      <c r="AZ362" s="89" t="s">
        <v>20615</v>
      </c>
      <c r="BA362" s="89" t="s">
        <v>646</v>
      </c>
      <c r="BB362" s="89" t="s">
        <v>646</v>
      </c>
      <c r="BC362" s="89" t="s">
        <v>646</v>
      </c>
      <c r="BD362" s="89" t="s">
        <v>18655</v>
      </c>
      <c r="BE362" s="89">
        <v>2020</v>
      </c>
      <c r="BF362" s="89">
        <v>43</v>
      </c>
      <c r="BG362" s="89">
        <v>4</v>
      </c>
      <c r="BH362" s="89" t="s">
        <v>646</v>
      </c>
      <c r="BI362" s="89" t="s">
        <v>646</v>
      </c>
      <c r="BJ362" s="89" t="s">
        <v>646</v>
      </c>
      <c r="BK362" s="89" t="s">
        <v>646</v>
      </c>
      <c r="BL362" s="89">
        <v>443</v>
      </c>
      <c r="BM362" s="89">
        <v>452</v>
      </c>
      <c r="BN362" s="89" t="s">
        <v>646</v>
      </c>
      <c r="BO362" s="89" t="str">
        <f>HYPERLINK("http://dx.doi.org/10.1007/s00238-020-01639-7","http://dx.doi.org/10.1007/s00238-020-01639-7")</f>
        <v>http://dx.doi.org/10.1007/s00238-020-01639-7</v>
      </c>
      <c r="BP362" s="89" t="s">
        <v>646</v>
      </c>
      <c r="BQ362" s="89" t="s">
        <v>646</v>
      </c>
      <c r="BR362" s="89" t="s">
        <v>646</v>
      </c>
      <c r="BS362" s="89" t="s">
        <v>646</v>
      </c>
      <c r="BT362" s="89" t="s">
        <v>646</v>
      </c>
      <c r="BU362" s="89" t="s">
        <v>646</v>
      </c>
      <c r="BV362" s="89" t="s">
        <v>646</v>
      </c>
      <c r="BW362" s="89" t="s">
        <v>646</v>
      </c>
      <c r="BX362" s="89" t="s">
        <v>646</v>
      </c>
      <c r="BY362" s="89" t="s">
        <v>646</v>
      </c>
      <c r="BZ362" s="89" t="s">
        <v>646</v>
      </c>
      <c r="CA362" s="89" t="s">
        <v>646</v>
      </c>
      <c r="CB362" s="89" t="s">
        <v>20620</v>
      </c>
      <c r="CC362" s="89" t="str">
        <f>HYPERLINK("https%3A%2F%2Fwww.webofscience.com%2Fwos%2Fwoscc%2Ffull-record%2FWOS:000549726200012","View Full Record in Web of Science")</f>
        <v>View Full Record in Web of Science</v>
      </c>
    </row>
    <row r="363" spans="1:81" ht="13.2" hidden="1" x14ac:dyDescent="0.25">
      <c r="A363" s="89" t="s">
        <v>20621</v>
      </c>
      <c r="B363" s="89" t="e">
        <f>+#REF!</f>
        <v>#REF!</v>
      </c>
      <c r="C363" s="89"/>
      <c r="D363" s="91" t="s">
        <v>717</v>
      </c>
      <c r="E363" s="90" t="e">
        <v>#REF!</v>
      </c>
      <c r="F363" s="89"/>
      <c r="G363" s="89"/>
      <c r="H363" s="89" t="s">
        <v>20622</v>
      </c>
      <c r="I363" s="89" t="s">
        <v>20623</v>
      </c>
      <c r="J363" s="89" t="s">
        <v>20630</v>
      </c>
      <c r="K363" s="89" t="s">
        <v>20629</v>
      </c>
      <c r="M363" s="89">
        <v>2016</v>
      </c>
      <c r="N363" s="89" t="s">
        <v>20624</v>
      </c>
      <c r="O363" s="89" t="s">
        <v>646</v>
      </c>
      <c r="P363" s="89" t="str">
        <f>HYPERLINK("http://dx.doi.org/10.1109/CIC.2016.72","http://dx.doi.org/10.1109/CIC.2016.72")</f>
        <v>http://dx.doi.org/10.1109/CIC.2016.72</v>
      </c>
      <c r="S363" s="89" t="s">
        <v>17475</v>
      </c>
      <c r="U363" s="89" t="s">
        <v>17474</v>
      </c>
      <c r="W363" s="89" t="s">
        <v>646</v>
      </c>
      <c r="X363" s="89" t="s">
        <v>646</v>
      </c>
      <c r="Y363" s="89" t="s">
        <v>20625</v>
      </c>
      <c r="Z363" s="89" t="s">
        <v>20626</v>
      </c>
      <c r="AA363" s="89" t="s">
        <v>20627</v>
      </c>
      <c r="AB363" s="89" t="s">
        <v>20628</v>
      </c>
      <c r="AC363" s="89" t="s">
        <v>646</v>
      </c>
      <c r="AD363" s="89" t="s">
        <v>646</v>
      </c>
      <c r="AE363" s="89" t="s">
        <v>646</v>
      </c>
      <c r="AF363" s="89" t="s">
        <v>20629</v>
      </c>
      <c r="AG363" s="89" t="s">
        <v>646</v>
      </c>
      <c r="AH363" s="89" t="s">
        <v>646</v>
      </c>
      <c r="AI363" s="89" t="s">
        <v>646</v>
      </c>
      <c r="AJ363" s="89" t="s">
        <v>646</v>
      </c>
      <c r="AK363" s="89" t="s">
        <v>20630</v>
      </c>
      <c r="AL363" s="89" t="s">
        <v>20631</v>
      </c>
      <c r="AM363" s="89" t="s">
        <v>646</v>
      </c>
      <c r="AN363" s="89" t="s">
        <v>646</v>
      </c>
      <c r="AO363" s="89" t="s">
        <v>646</v>
      </c>
      <c r="AP363" s="89" t="s">
        <v>646</v>
      </c>
      <c r="AQ363" s="89" t="s">
        <v>646</v>
      </c>
      <c r="AR363" s="89" t="s">
        <v>646</v>
      </c>
      <c r="AS363" s="89" t="s">
        <v>646</v>
      </c>
      <c r="AT363" s="89" t="s">
        <v>646</v>
      </c>
      <c r="AU363" s="89" t="s">
        <v>646</v>
      </c>
      <c r="AV363" s="89" t="s">
        <v>646</v>
      </c>
      <c r="AW363" s="89" t="s">
        <v>646</v>
      </c>
      <c r="AX363" s="89" t="s">
        <v>646</v>
      </c>
      <c r="AY363" s="89" t="s">
        <v>646</v>
      </c>
      <c r="AZ363" s="89" t="s">
        <v>646</v>
      </c>
      <c r="BA363" s="89" t="s">
        <v>20632</v>
      </c>
      <c r="BB363" s="89" t="s">
        <v>646</v>
      </c>
      <c r="BC363" s="89" t="s">
        <v>646</v>
      </c>
      <c r="BD363" s="89" t="s">
        <v>646</v>
      </c>
      <c r="BE363" s="89">
        <v>2016</v>
      </c>
      <c r="BF363" s="89" t="s">
        <v>646</v>
      </c>
      <c r="BG363" s="89" t="s">
        <v>646</v>
      </c>
      <c r="BH363" s="89" t="s">
        <v>646</v>
      </c>
      <c r="BI363" s="89" t="s">
        <v>646</v>
      </c>
      <c r="BJ363" s="89" t="s">
        <v>646</v>
      </c>
      <c r="BK363" s="89" t="s">
        <v>646</v>
      </c>
      <c r="BL363" s="89">
        <v>490</v>
      </c>
      <c r="BM363" s="89">
        <v>494</v>
      </c>
      <c r="BN363" s="89" t="s">
        <v>646</v>
      </c>
      <c r="BO363" s="89" t="str">
        <f>HYPERLINK("http://dx.doi.org/10.1109/CIC.2016.72","http://dx.doi.org/10.1109/CIC.2016.72")</f>
        <v>http://dx.doi.org/10.1109/CIC.2016.72</v>
      </c>
      <c r="BP363" s="89" t="s">
        <v>646</v>
      </c>
      <c r="BQ363" s="89" t="s">
        <v>646</v>
      </c>
      <c r="BR363" s="89" t="s">
        <v>646</v>
      </c>
      <c r="BS363" s="89" t="s">
        <v>646</v>
      </c>
      <c r="BT363" s="89" t="s">
        <v>646</v>
      </c>
      <c r="BU363" s="89" t="s">
        <v>646</v>
      </c>
      <c r="BV363" s="89" t="s">
        <v>646</v>
      </c>
      <c r="BW363" s="89" t="s">
        <v>646</v>
      </c>
      <c r="BX363" s="89" t="s">
        <v>646</v>
      </c>
      <c r="BY363" s="89" t="s">
        <v>646</v>
      </c>
      <c r="BZ363" s="89" t="s">
        <v>646</v>
      </c>
      <c r="CA363" s="89" t="s">
        <v>646</v>
      </c>
      <c r="CB363" s="89" t="s">
        <v>20633</v>
      </c>
      <c r="CC363" s="89" t="str">
        <f>HYPERLINK("https%3A%2F%2Fwww.webofscience.com%2Fwos%2Fwoscc%2Ffull-record%2FWOS:000393501100060","View Full Record in Web of Science")</f>
        <v>View Full Record in Web of Science</v>
      </c>
    </row>
    <row r="364" spans="1:81" ht="13.2" hidden="1" x14ac:dyDescent="0.25">
      <c r="A364" s="89" t="s">
        <v>20634</v>
      </c>
      <c r="B364" s="89" t="e">
        <f>+#REF!</f>
        <v>#REF!</v>
      </c>
      <c r="C364" s="89"/>
      <c r="D364" s="91" t="s">
        <v>717</v>
      </c>
      <c r="E364" s="90" t="e">
        <v>#REF!</v>
      </c>
      <c r="F364" s="89"/>
      <c r="G364" s="89"/>
      <c r="H364" s="89" t="s">
        <v>12248</v>
      </c>
      <c r="I364" s="89" t="s">
        <v>20635</v>
      </c>
      <c r="J364" s="89" t="s">
        <v>646</v>
      </c>
      <c r="K364" s="89" t="s">
        <v>20639</v>
      </c>
      <c r="M364" s="89">
        <v>2019</v>
      </c>
      <c r="N364" s="89" t="s">
        <v>20636</v>
      </c>
      <c r="O364" s="89" t="s">
        <v>646</v>
      </c>
      <c r="P364" s="89" t="str">
        <f>HYPERLINK("http://dx.doi.org/10.1145/3290605.3300621","http://dx.doi.org/10.1145/3290605.3300621")</f>
        <v>http://dx.doi.org/10.1145/3290605.3300621</v>
      </c>
      <c r="S364" s="89" t="s">
        <v>17804</v>
      </c>
      <c r="U364" s="89" t="s">
        <v>17474</v>
      </c>
      <c r="W364" s="89" t="s">
        <v>646</v>
      </c>
      <c r="X364" s="89" t="s">
        <v>646</v>
      </c>
      <c r="Y364" s="89" t="s">
        <v>19438</v>
      </c>
      <c r="Z364" s="89" t="s">
        <v>20637</v>
      </c>
      <c r="AA364" s="89" t="s">
        <v>20638</v>
      </c>
      <c r="AB364" s="89" t="s">
        <v>19440</v>
      </c>
      <c r="AC364" s="89" t="s">
        <v>646</v>
      </c>
      <c r="AD364" s="89" t="s">
        <v>646</v>
      </c>
      <c r="AE364" s="89" t="s">
        <v>646</v>
      </c>
      <c r="AF364" s="89" t="s">
        <v>20639</v>
      </c>
      <c r="AG364" s="89" t="s">
        <v>646</v>
      </c>
      <c r="AH364" s="89" t="s">
        <v>646</v>
      </c>
      <c r="AI364" s="89" t="s">
        <v>646</v>
      </c>
      <c r="AJ364" s="89" t="s">
        <v>646</v>
      </c>
      <c r="AK364" s="89" t="s">
        <v>646</v>
      </c>
      <c r="AL364" s="89" t="s">
        <v>646</v>
      </c>
      <c r="AM364" s="89" t="s">
        <v>646</v>
      </c>
      <c r="AN364" s="89" t="s">
        <v>646</v>
      </c>
      <c r="AO364" s="89" t="s">
        <v>646</v>
      </c>
      <c r="AP364" s="89" t="s">
        <v>646</v>
      </c>
      <c r="AQ364" s="89" t="s">
        <v>646</v>
      </c>
      <c r="AR364" s="89" t="s">
        <v>646</v>
      </c>
      <c r="AS364" s="89" t="s">
        <v>646</v>
      </c>
      <c r="AT364" s="89" t="s">
        <v>646</v>
      </c>
      <c r="AU364" s="89" t="s">
        <v>646</v>
      </c>
      <c r="AV364" s="89" t="s">
        <v>646</v>
      </c>
      <c r="AW364" s="89" t="s">
        <v>646</v>
      </c>
      <c r="AX364" s="89" t="s">
        <v>646</v>
      </c>
      <c r="AY364" s="89" t="s">
        <v>646</v>
      </c>
      <c r="AZ364" s="89" t="s">
        <v>646</v>
      </c>
      <c r="BA364" s="89" t="s">
        <v>20640</v>
      </c>
      <c r="BB364" s="89" t="s">
        <v>646</v>
      </c>
      <c r="BC364" s="89" t="s">
        <v>646</v>
      </c>
      <c r="BD364" s="89" t="s">
        <v>646</v>
      </c>
      <c r="BE364" s="89">
        <v>2019</v>
      </c>
      <c r="BF364" s="89" t="s">
        <v>646</v>
      </c>
      <c r="BG364" s="89" t="s">
        <v>646</v>
      </c>
      <c r="BH364" s="89" t="s">
        <v>646</v>
      </c>
      <c r="BI364" s="89" t="s">
        <v>646</v>
      </c>
      <c r="BJ364" s="89" t="s">
        <v>646</v>
      </c>
      <c r="BK364" s="89" t="s">
        <v>646</v>
      </c>
      <c r="BL364" s="89" t="s">
        <v>646</v>
      </c>
      <c r="BM364" s="89" t="s">
        <v>646</v>
      </c>
      <c r="BN364" s="89" t="s">
        <v>646</v>
      </c>
      <c r="BO364" s="89" t="str">
        <f>HYPERLINK("http://dx.doi.org/10.1145/3290605.3300621","http://dx.doi.org/10.1145/3290605.3300621")</f>
        <v>http://dx.doi.org/10.1145/3290605.3300621</v>
      </c>
      <c r="BP364" s="89" t="s">
        <v>646</v>
      </c>
      <c r="BQ364" s="89" t="s">
        <v>646</v>
      </c>
      <c r="BR364" s="89" t="s">
        <v>646</v>
      </c>
      <c r="BS364" s="89" t="s">
        <v>646</v>
      </c>
      <c r="BT364" s="89" t="s">
        <v>646</v>
      </c>
      <c r="BU364" s="89" t="s">
        <v>646</v>
      </c>
      <c r="BV364" s="89" t="s">
        <v>646</v>
      </c>
      <c r="BW364" s="89" t="s">
        <v>646</v>
      </c>
      <c r="BX364" s="89" t="s">
        <v>646</v>
      </c>
      <c r="BY364" s="89" t="s">
        <v>646</v>
      </c>
      <c r="BZ364" s="89" t="s">
        <v>646</v>
      </c>
      <c r="CA364" s="89" t="s">
        <v>646</v>
      </c>
      <c r="CB364" s="89" t="s">
        <v>20641</v>
      </c>
      <c r="CC364" s="89" t="str">
        <f>HYPERLINK("https%3A%2F%2Fwww.webofscience.com%2Fwos%2Fwoscc%2Ffull-record%2FWOS:000474467905005","View Full Record in Web of Science")</f>
        <v>View Full Record in Web of Science</v>
      </c>
    </row>
    <row r="365" spans="1:81" ht="13.2" hidden="1" x14ac:dyDescent="0.25">
      <c r="A365" s="89" t="s">
        <v>12255</v>
      </c>
      <c r="B365" s="89" t="e">
        <f>+#REF!</f>
        <v>#REF!</v>
      </c>
      <c r="C365" s="89"/>
      <c r="D365" s="91" t="s">
        <v>717</v>
      </c>
      <c r="E365" s="90" t="e">
        <v>#REF!</v>
      </c>
      <c r="F365" s="89"/>
      <c r="G365" s="89"/>
      <c r="H365" s="89" t="s">
        <v>12256</v>
      </c>
      <c r="I365" s="89" t="s">
        <v>20642</v>
      </c>
      <c r="J365" s="89" t="s">
        <v>646</v>
      </c>
      <c r="K365" s="89" t="s">
        <v>20644</v>
      </c>
      <c r="M365" s="89">
        <v>2017</v>
      </c>
      <c r="N365" s="89" t="s">
        <v>20643</v>
      </c>
      <c r="O365" s="89" t="s">
        <v>646</v>
      </c>
      <c r="P365" s="89" t="str">
        <f>HYPERLINK("http://dx.doi.org/10.1177/0893318916687397","http://dx.doi.org/10.1177/0893318916687397")</f>
        <v>http://dx.doi.org/10.1177/0893318916687397</v>
      </c>
      <c r="S365" s="89" t="s">
        <v>646</v>
      </c>
      <c r="U365" s="89" t="s">
        <v>17462</v>
      </c>
      <c r="W365" s="89" t="s">
        <v>646</v>
      </c>
      <c r="X365" s="89" t="s">
        <v>646</v>
      </c>
      <c r="Y365" s="89" t="s">
        <v>646</v>
      </c>
      <c r="Z365" s="89" t="s">
        <v>646</v>
      </c>
      <c r="AA365" s="89" t="s">
        <v>646</v>
      </c>
      <c r="AB365" s="89" t="s">
        <v>646</v>
      </c>
      <c r="AC365" s="89" t="s">
        <v>646</v>
      </c>
      <c r="AD365" s="89" t="s">
        <v>646</v>
      </c>
      <c r="AE365" s="89" t="s">
        <v>646</v>
      </c>
      <c r="AF365" s="89" t="s">
        <v>20644</v>
      </c>
      <c r="AG365" s="89" t="s">
        <v>646</v>
      </c>
      <c r="AH365" s="89" t="s">
        <v>646</v>
      </c>
      <c r="AI365" s="89" t="s">
        <v>646</v>
      </c>
      <c r="AJ365" s="89" t="s">
        <v>646</v>
      </c>
      <c r="AK365" s="89" t="s">
        <v>646</v>
      </c>
      <c r="AL365" s="89" t="s">
        <v>20645</v>
      </c>
      <c r="AM365" s="89" t="s">
        <v>646</v>
      </c>
      <c r="AN365" s="89" t="s">
        <v>646</v>
      </c>
      <c r="AO365" s="89" t="s">
        <v>646</v>
      </c>
      <c r="AP365" s="89" t="s">
        <v>646</v>
      </c>
      <c r="AQ365" s="89" t="s">
        <v>646</v>
      </c>
      <c r="AR365" s="89" t="s">
        <v>646</v>
      </c>
      <c r="AS365" s="89" t="s">
        <v>646</v>
      </c>
      <c r="AT365" s="89" t="s">
        <v>646</v>
      </c>
      <c r="AU365" s="89" t="s">
        <v>646</v>
      </c>
      <c r="AV365" s="89" t="s">
        <v>646</v>
      </c>
      <c r="AW365" s="89" t="s">
        <v>646</v>
      </c>
      <c r="AX365" s="89" t="s">
        <v>646</v>
      </c>
      <c r="AY365" s="89" t="s">
        <v>20646</v>
      </c>
      <c r="AZ365" s="89" t="s">
        <v>20647</v>
      </c>
      <c r="BA365" s="89" t="s">
        <v>646</v>
      </c>
      <c r="BB365" s="89" t="s">
        <v>646</v>
      </c>
      <c r="BC365" s="89" t="s">
        <v>646</v>
      </c>
      <c r="BD365" s="89" t="s">
        <v>18655</v>
      </c>
      <c r="BE365" s="89">
        <v>2017</v>
      </c>
      <c r="BF365" s="89">
        <v>31</v>
      </c>
      <c r="BG365" s="89">
        <v>3</v>
      </c>
      <c r="BH365" s="89" t="s">
        <v>646</v>
      </c>
      <c r="BI365" s="89" t="s">
        <v>646</v>
      </c>
      <c r="BJ365" s="89" t="s">
        <v>646</v>
      </c>
      <c r="BK365" s="89" t="s">
        <v>646</v>
      </c>
      <c r="BL365" s="89">
        <v>409</v>
      </c>
      <c r="BM365" s="89">
        <v>428</v>
      </c>
      <c r="BN365" s="89" t="s">
        <v>646</v>
      </c>
      <c r="BO365" s="89" t="str">
        <f>HYPERLINK("http://dx.doi.org/10.1177/0893318916687397","http://dx.doi.org/10.1177/0893318916687397")</f>
        <v>http://dx.doi.org/10.1177/0893318916687397</v>
      </c>
      <c r="BP365" s="89" t="s">
        <v>646</v>
      </c>
      <c r="BQ365" s="89" t="s">
        <v>646</v>
      </c>
      <c r="BR365" s="89" t="s">
        <v>646</v>
      </c>
      <c r="BS365" s="89" t="s">
        <v>646</v>
      </c>
      <c r="BT365" s="89" t="s">
        <v>646</v>
      </c>
      <c r="BU365" s="89" t="s">
        <v>646</v>
      </c>
      <c r="BV365" s="89" t="s">
        <v>646</v>
      </c>
      <c r="BW365" s="89" t="s">
        <v>646</v>
      </c>
      <c r="BX365" s="89" t="s">
        <v>646</v>
      </c>
      <c r="BY365" s="89" t="s">
        <v>646</v>
      </c>
      <c r="BZ365" s="89" t="s">
        <v>646</v>
      </c>
      <c r="CA365" s="89" t="s">
        <v>646</v>
      </c>
      <c r="CB365" s="89" t="s">
        <v>20648</v>
      </c>
      <c r="CC365" s="89" t="str">
        <f>HYPERLINK("https%3A%2F%2Fwww.webofscience.com%2Fwos%2Fwoscc%2Ffull-record%2FWOS:000405077900004","View Full Record in Web of Science")</f>
        <v>View Full Record in Web of Science</v>
      </c>
    </row>
    <row r="366" spans="1:81" ht="13.2" hidden="1" x14ac:dyDescent="0.25">
      <c r="A366" s="89" t="s">
        <v>20649</v>
      </c>
      <c r="B366" s="89" t="e">
        <f>+#REF!</f>
        <v>#REF!</v>
      </c>
      <c r="C366" s="89"/>
      <c r="D366" s="91" t="s">
        <v>717</v>
      </c>
      <c r="E366" s="90" t="e">
        <v>#REF!</v>
      </c>
      <c r="F366" s="89"/>
      <c r="G366" s="89"/>
      <c r="H366" s="89" t="s">
        <v>12266</v>
      </c>
      <c r="I366" s="89" t="s">
        <v>20650</v>
      </c>
      <c r="J366" s="89" t="s">
        <v>19560</v>
      </c>
      <c r="K366" s="89" t="s">
        <v>20651</v>
      </c>
      <c r="M366" s="89">
        <v>2012</v>
      </c>
      <c r="N366" s="89" t="s">
        <v>18837</v>
      </c>
      <c r="O366" s="89" t="s">
        <v>646</v>
      </c>
      <c r="P366" s="89" t="str">
        <f>HYPERLINK("http://dx.doi.org/10.1002/smr.562","http://dx.doi.org/10.1002/smr.562")</f>
        <v>http://dx.doi.org/10.1002/smr.562</v>
      </c>
      <c r="S366" s="89" t="s">
        <v>646</v>
      </c>
      <c r="U366" s="89" t="s">
        <v>17462</v>
      </c>
      <c r="W366" s="89" t="s">
        <v>646</v>
      </c>
      <c r="X366" s="89" t="s">
        <v>646</v>
      </c>
      <c r="Y366" s="89" t="s">
        <v>646</v>
      </c>
      <c r="Z366" s="89" t="s">
        <v>646</v>
      </c>
      <c r="AA366" s="89" t="s">
        <v>646</v>
      </c>
      <c r="AB366" s="89" t="s">
        <v>646</v>
      </c>
      <c r="AC366" s="89" t="s">
        <v>646</v>
      </c>
      <c r="AD366" s="89" t="s">
        <v>646</v>
      </c>
      <c r="AE366" s="89" t="s">
        <v>646</v>
      </c>
      <c r="AF366" s="89" t="s">
        <v>20651</v>
      </c>
      <c r="AG366" s="89" t="s">
        <v>646</v>
      </c>
      <c r="AH366" s="89" t="s">
        <v>646</v>
      </c>
      <c r="AI366" s="89" t="s">
        <v>646</v>
      </c>
      <c r="AJ366" s="89" t="s">
        <v>646</v>
      </c>
      <c r="AK366" s="89" t="s">
        <v>19560</v>
      </c>
      <c r="AL366" s="89" t="s">
        <v>20652</v>
      </c>
      <c r="AM366" s="89" t="s">
        <v>646</v>
      </c>
      <c r="AN366" s="89" t="s">
        <v>646</v>
      </c>
      <c r="AO366" s="89" t="s">
        <v>646</v>
      </c>
      <c r="AP366" s="89" t="s">
        <v>646</v>
      </c>
      <c r="AQ366" s="89" t="s">
        <v>646</v>
      </c>
      <c r="AR366" s="89" t="s">
        <v>646</v>
      </c>
      <c r="AS366" s="89" t="s">
        <v>646</v>
      </c>
      <c r="AT366" s="89" t="s">
        <v>646</v>
      </c>
      <c r="AU366" s="89" t="s">
        <v>646</v>
      </c>
      <c r="AV366" s="89" t="s">
        <v>646</v>
      </c>
      <c r="AW366" s="89" t="s">
        <v>646</v>
      </c>
      <c r="AX366" s="89" t="s">
        <v>646</v>
      </c>
      <c r="AY366" s="89" t="s">
        <v>18839</v>
      </c>
      <c r="AZ366" s="89" t="s">
        <v>18840</v>
      </c>
      <c r="BA366" s="89" t="s">
        <v>646</v>
      </c>
      <c r="BB366" s="89" t="s">
        <v>646</v>
      </c>
      <c r="BC366" s="89" t="s">
        <v>646</v>
      </c>
      <c r="BD366" s="89" t="s">
        <v>17687</v>
      </c>
      <c r="BE366" s="89">
        <v>2012</v>
      </c>
      <c r="BF366" s="89">
        <v>24</v>
      </c>
      <c r="BG366" s="89">
        <v>6</v>
      </c>
      <c r="BH366" s="89" t="s">
        <v>646</v>
      </c>
      <c r="BI366" s="89" t="s">
        <v>646</v>
      </c>
      <c r="BJ366" s="89" t="s">
        <v>17555</v>
      </c>
      <c r="BK366" s="89" t="s">
        <v>646</v>
      </c>
      <c r="BL366" s="89">
        <v>707</v>
      </c>
      <c r="BM366" s="89">
        <v>717</v>
      </c>
      <c r="BN366" s="89" t="s">
        <v>646</v>
      </c>
      <c r="BO366" s="89" t="str">
        <f>HYPERLINK("http://dx.doi.org/10.1002/smr.562","http://dx.doi.org/10.1002/smr.562")</f>
        <v>http://dx.doi.org/10.1002/smr.562</v>
      </c>
      <c r="BP366" s="89" t="s">
        <v>646</v>
      </c>
      <c r="BQ366" s="89" t="s">
        <v>646</v>
      </c>
      <c r="BR366" s="89" t="s">
        <v>646</v>
      </c>
      <c r="BS366" s="89" t="s">
        <v>646</v>
      </c>
      <c r="BT366" s="89" t="s">
        <v>646</v>
      </c>
      <c r="BU366" s="89" t="s">
        <v>646</v>
      </c>
      <c r="BV366" s="89" t="s">
        <v>646</v>
      </c>
      <c r="BW366" s="89" t="s">
        <v>646</v>
      </c>
      <c r="BX366" s="89" t="s">
        <v>646</v>
      </c>
      <c r="BY366" s="89" t="s">
        <v>646</v>
      </c>
      <c r="BZ366" s="89" t="s">
        <v>646</v>
      </c>
      <c r="CA366" s="89" t="s">
        <v>646</v>
      </c>
      <c r="CB366" s="89" t="s">
        <v>20653</v>
      </c>
      <c r="CC366" s="89" t="str">
        <f>HYPERLINK("https%3A%2F%2Fwww.webofscience.com%2Fwos%2Fwoscc%2Ffull-record%2FWOS:000308719900008","View Full Record in Web of Science")</f>
        <v>View Full Record in Web of Science</v>
      </c>
    </row>
    <row r="367" spans="1:81" ht="13.2" hidden="1" x14ac:dyDescent="0.25">
      <c r="A367" s="89" t="s">
        <v>20654</v>
      </c>
      <c r="B367" s="89" t="e">
        <f>+#REF!</f>
        <v>#REF!</v>
      </c>
      <c r="C367" s="89"/>
      <c r="D367" s="91" t="s">
        <v>717</v>
      </c>
      <c r="E367" s="90" t="e">
        <v>#REF!</v>
      </c>
      <c r="F367" s="89"/>
      <c r="G367" s="89"/>
      <c r="H367" s="89" t="s">
        <v>12273</v>
      </c>
      <c r="I367" s="89" t="s">
        <v>20655</v>
      </c>
      <c r="J367" s="89" t="s">
        <v>646</v>
      </c>
      <c r="K367" s="89" t="s">
        <v>20656</v>
      </c>
      <c r="M367" s="89">
        <v>2019</v>
      </c>
      <c r="N367" s="89" t="s">
        <v>20105</v>
      </c>
      <c r="O367" s="89" t="s">
        <v>646</v>
      </c>
      <c r="P367" s="89" t="str">
        <f>HYPERLINK("http://dx.doi.org/10.3389/fpsyg.2019.00131","http://dx.doi.org/10.3389/fpsyg.2019.00131")</f>
        <v>http://dx.doi.org/10.3389/fpsyg.2019.00131</v>
      </c>
      <c r="S367" s="89" t="s">
        <v>646</v>
      </c>
      <c r="U367" s="89" t="s">
        <v>17462</v>
      </c>
      <c r="W367" s="89" t="s">
        <v>646</v>
      </c>
      <c r="X367" s="89" t="s">
        <v>646</v>
      </c>
      <c r="Y367" s="89" t="s">
        <v>646</v>
      </c>
      <c r="Z367" s="89" t="s">
        <v>646</v>
      </c>
      <c r="AA367" s="89" t="s">
        <v>646</v>
      </c>
      <c r="AB367" s="89" t="s">
        <v>646</v>
      </c>
      <c r="AC367" s="89" t="s">
        <v>646</v>
      </c>
      <c r="AD367" s="89" t="s">
        <v>646</v>
      </c>
      <c r="AE367" s="89" t="s">
        <v>646</v>
      </c>
      <c r="AF367" s="89" t="s">
        <v>20656</v>
      </c>
      <c r="AG367" s="89" t="s">
        <v>646</v>
      </c>
      <c r="AH367" s="89" t="s">
        <v>646</v>
      </c>
      <c r="AI367" s="89" t="s">
        <v>646</v>
      </c>
      <c r="AJ367" s="89" t="s">
        <v>646</v>
      </c>
      <c r="AK367" s="89" t="s">
        <v>646</v>
      </c>
      <c r="AL367" s="89" t="s">
        <v>646</v>
      </c>
      <c r="AM367" s="89" t="s">
        <v>646</v>
      </c>
      <c r="AN367" s="89" t="s">
        <v>646</v>
      </c>
      <c r="AO367" s="89" t="s">
        <v>646</v>
      </c>
      <c r="AP367" s="89" t="s">
        <v>646</v>
      </c>
      <c r="AQ367" s="89" t="s">
        <v>646</v>
      </c>
      <c r="AR367" s="89" t="s">
        <v>646</v>
      </c>
      <c r="AS367" s="89" t="s">
        <v>646</v>
      </c>
      <c r="AT367" s="89" t="s">
        <v>646</v>
      </c>
      <c r="AU367" s="89" t="s">
        <v>646</v>
      </c>
      <c r="AV367" s="89" t="s">
        <v>646</v>
      </c>
      <c r="AW367" s="89" t="s">
        <v>646</v>
      </c>
      <c r="AX367" s="89" t="s">
        <v>646</v>
      </c>
      <c r="AY367" s="89" t="s">
        <v>20108</v>
      </c>
      <c r="AZ367" s="89" t="s">
        <v>646</v>
      </c>
      <c r="BA367" s="89" t="s">
        <v>646</v>
      </c>
      <c r="BB367" s="89" t="s">
        <v>646</v>
      </c>
      <c r="BC367" s="89" t="s">
        <v>646</v>
      </c>
      <c r="BD367" s="89" t="s">
        <v>20657</v>
      </c>
      <c r="BE367" s="89">
        <v>2019</v>
      </c>
      <c r="BF367" s="89">
        <v>10</v>
      </c>
      <c r="BG367" s="89" t="s">
        <v>646</v>
      </c>
      <c r="BH367" s="89" t="s">
        <v>646</v>
      </c>
      <c r="BI367" s="89" t="s">
        <v>646</v>
      </c>
      <c r="BJ367" s="89" t="s">
        <v>646</v>
      </c>
      <c r="BK367" s="89" t="s">
        <v>646</v>
      </c>
      <c r="BL367" s="89" t="s">
        <v>646</v>
      </c>
      <c r="BM367" s="89" t="s">
        <v>646</v>
      </c>
      <c r="BN367" s="89">
        <v>131</v>
      </c>
      <c r="BO367" s="89" t="str">
        <f>HYPERLINK("http://dx.doi.org/10.3389/fpsyg.2019.00131","http://dx.doi.org/10.3389/fpsyg.2019.00131")</f>
        <v>http://dx.doi.org/10.3389/fpsyg.2019.00131</v>
      </c>
      <c r="BP367" s="89" t="s">
        <v>646</v>
      </c>
      <c r="BQ367" s="89" t="s">
        <v>646</v>
      </c>
      <c r="BR367" s="89" t="s">
        <v>646</v>
      </c>
      <c r="BS367" s="89" t="s">
        <v>646</v>
      </c>
      <c r="BT367" s="89" t="s">
        <v>646</v>
      </c>
      <c r="BU367" s="89" t="s">
        <v>646</v>
      </c>
      <c r="BV367" s="89" t="s">
        <v>646</v>
      </c>
      <c r="BW367" s="89">
        <v>30804836</v>
      </c>
      <c r="BX367" s="89" t="s">
        <v>646</v>
      </c>
      <c r="BY367" s="89" t="s">
        <v>646</v>
      </c>
      <c r="BZ367" s="89" t="s">
        <v>646</v>
      </c>
      <c r="CA367" s="89" t="s">
        <v>646</v>
      </c>
      <c r="CB367" s="89" t="s">
        <v>20658</v>
      </c>
      <c r="CC367" s="89" t="str">
        <f>HYPERLINK("https%3A%2F%2Fwww.webofscience.com%2Fwos%2Fwoscc%2Ffull-record%2FWOS:000457843900002","View Full Record in Web of Science")</f>
        <v>View Full Record in Web of Science</v>
      </c>
    </row>
    <row r="368" spans="1:81" ht="13.2" hidden="1" x14ac:dyDescent="0.25">
      <c r="A368" s="89" t="s">
        <v>9330</v>
      </c>
      <c r="B368" s="89" t="e">
        <f>+#REF!</f>
        <v>#REF!</v>
      </c>
      <c r="C368" s="89"/>
      <c r="D368" s="91" t="s">
        <v>717</v>
      </c>
      <c r="E368" s="90" t="e">
        <v>#REF!</v>
      </c>
      <c r="F368" s="89"/>
      <c r="G368" s="89"/>
      <c r="H368" s="89" t="s">
        <v>9331</v>
      </c>
      <c r="I368" s="89" t="s">
        <v>20659</v>
      </c>
      <c r="J368" s="89" t="s">
        <v>646</v>
      </c>
      <c r="K368" s="89" t="s">
        <v>20661</v>
      </c>
      <c r="M368" s="89">
        <v>2022</v>
      </c>
      <c r="N368" s="89" t="s">
        <v>20660</v>
      </c>
      <c r="O368" s="89" t="s">
        <v>646</v>
      </c>
      <c r="P368" s="89" t="str">
        <f>HYPERLINK("http://dx.doi.org/10.1108/IJEBR-10-2020-0731","http://dx.doi.org/10.1108/IJEBR-10-2020-0731")</f>
        <v>http://dx.doi.org/10.1108/IJEBR-10-2020-0731</v>
      </c>
      <c r="S368" s="89" t="s">
        <v>646</v>
      </c>
      <c r="U368" s="89" t="s">
        <v>17462</v>
      </c>
      <c r="W368" s="89" t="s">
        <v>646</v>
      </c>
      <c r="X368" s="89" t="s">
        <v>646</v>
      </c>
      <c r="Y368" s="89" t="s">
        <v>646</v>
      </c>
      <c r="Z368" s="89" t="s">
        <v>646</v>
      </c>
      <c r="AA368" s="89" t="s">
        <v>646</v>
      </c>
      <c r="AB368" s="89" t="s">
        <v>646</v>
      </c>
      <c r="AC368" s="89" t="s">
        <v>646</v>
      </c>
      <c r="AD368" s="89" t="s">
        <v>646</v>
      </c>
      <c r="AE368" s="89" t="s">
        <v>646</v>
      </c>
      <c r="AF368" s="89" t="s">
        <v>20661</v>
      </c>
      <c r="AG368" s="89" t="s">
        <v>646</v>
      </c>
      <c r="AH368" s="89" t="s">
        <v>646</v>
      </c>
      <c r="AI368" s="89" t="s">
        <v>646</v>
      </c>
      <c r="AJ368" s="89" t="s">
        <v>646</v>
      </c>
      <c r="AK368" s="89" t="s">
        <v>646</v>
      </c>
      <c r="AL368" s="89" t="s">
        <v>646</v>
      </c>
      <c r="AM368" s="89" t="s">
        <v>646</v>
      </c>
      <c r="AN368" s="89" t="s">
        <v>646</v>
      </c>
      <c r="AO368" s="89" t="s">
        <v>646</v>
      </c>
      <c r="AP368" s="89" t="s">
        <v>646</v>
      </c>
      <c r="AQ368" s="89" t="s">
        <v>646</v>
      </c>
      <c r="AR368" s="89" t="s">
        <v>646</v>
      </c>
      <c r="AS368" s="89" t="s">
        <v>646</v>
      </c>
      <c r="AT368" s="89" t="s">
        <v>646</v>
      </c>
      <c r="AU368" s="89" t="s">
        <v>646</v>
      </c>
      <c r="AV368" s="89" t="s">
        <v>646</v>
      </c>
      <c r="AW368" s="89" t="s">
        <v>646</v>
      </c>
      <c r="AX368" s="89" t="s">
        <v>646</v>
      </c>
      <c r="AY368" s="89" t="s">
        <v>20662</v>
      </c>
      <c r="AZ368" s="89" t="s">
        <v>20663</v>
      </c>
      <c r="BA368" s="89" t="s">
        <v>646</v>
      </c>
      <c r="BB368" s="89" t="s">
        <v>646</v>
      </c>
      <c r="BC368" s="89" t="s">
        <v>646</v>
      </c>
      <c r="BD368" s="89" t="s">
        <v>20664</v>
      </c>
      <c r="BE368" s="89">
        <v>2022</v>
      </c>
      <c r="BF368" s="89">
        <v>28</v>
      </c>
      <c r="BG368" s="89">
        <v>5</v>
      </c>
      <c r="BH368" s="89" t="s">
        <v>646</v>
      </c>
      <c r="BI368" s="89" t="s">
        <v>646</v>
      </c>
      <c r="BJ368" s="89" t="s">
        <v>17555</v>
      </c>
      <c r="BK368" s="89" t="s">
        <v>646</v>
      </c>
      <c r="BL368" s="89">
        <v>1310</v>
      </c>
      <c r="BM368" s="89">
        <v>1346</v>
      </c>
      <c r="BN368" s="89" t="s">
        <v>646</v>
      </c>
      <c r="BO368" s="89" t="str">
        <f>HYPERLINK("http://dx.doi.org/10.1108/IJEBR-10-2020-0731","http://dx.doi.org/10.1108/IJEBR-10-2020-0731")</f>
        <v>http://dx.doi.org/10.1108/IJEBR-10-2020-0731</v>
      </c>
      <c r="BP368" s="89" t="s">
        <v>646</v>
      </c>
      <c r="BQ368" s="89" t="s">
        <v>17878</v>
      </c>
      <c r="BR368" s="89" t="s">
        <v>646</v>
      </c>
      <c r="BS368" s="89" t="s">
        <v>646</v>
      </c>
      <c r="BT368" s="89" t="s">
        <v>646</v>
      </c>
      <c r="BU368" s="89" t="s">
        <v>646</v>
      </c>
      <c r="BV368" s="89" t="s">
        <v>646</v>
      </c>
      <c r="BW368" s="89" t="s">
        <v>646</v>
      </c>
      <c r="BX368" s="89" t="s">
        <v>646</v>
      </c>
      <c r="BY368" s="89" t="s">
        <v>646</v>
      </c>
      <c r="BZ368" s="89" t="s">
        <v>646</v>
      </c>
      <c r="CA368" s="89" t="s">
        <v>646</v>
      </c>
      <c r="CB368" s="89" t="s">
        <v>20665</v>
      </c>
      <c r="CC368" s="89" t="str">
        <f>HYPERLINK("https%3A%2F%2Fwww.webofscience.com%2Fwos%2Fwoscc%2Ffull-record%2FWOS:000748544500001","View Full Record in Web of Science")</f>
        <v>View Full Record in Web of Science</v>
      </c>
    </row>
    <row r="369" spans="1:81" ht="13.2" hidden="1" x14ac:dyDescent="0.25">
      <c r="A369" s="89" t="s">
        <v>9340</v>
      </c>
      <c r="B369" s="89" t="e">
        <f>+#REF!</f>
        <v>#REF!</v>
      </c>
      <c r="C369" s="89"/>
      <c r="D369" s="91" t="s">
        <v>717</v>
      </c>
      <c r="E369" s="90" t="e">
        <v>#REF!</v>
      </c>
      <c r="F369" s="89"/>
      <c r="G369" s="89"/>
      <c r="H369" s="89" t="s">
        <v>9341</v>
      </c>
      <c r="I369" s="89" t="s">
        <v>20666</v>
      </c>
      <c r="J369" s="89" t="s">
        <v>646</v>
      </c>
      <c r="K369" s="89" t="s">
        <v>20667</v>
      </c>
      <c r="M369" s="89">
        <v>2021</v>
      </c>
      <c r="N369" s="89" t="s">
        <v>19788</v>
      </c>
      <c r="O369" s="89" t="s">
        <v>646</v>
      </c>
      <c r="P369" s="89" t="str">
        <f>HYPERLINK("http://dx.doi.org/10.3389/fpsyt.2021.674298","http://dx.doi.org/10.3389/fpsyt.2021.674298")</f>
        <v>http://dx.doi.org/10.3389/fpsyt.2021.674298</v>
      </c>
      <c r="S369" s="89" t="s">
        <v>646</v>
      </c>
      <c r="U369" s="89" t="s">
        <v>17462</v>
      </c>
      <c r="W369" s="89" t="s">
        <v>646</v>
      </c>
      <c r="X369" s="89" t="s">
        <v>646</v>
      </c>
      <c r="Y369" s="89" t="s">
        <v>646</v>
      </c>
      <c r="Z369" s="89" t="s">
        <v>646</v>
      </c>
      <c r="AA369" s="89" t="s">
        <v>646</v>
      </c>
      <c r="AB369" s="89" t="s">
        <v>646</v>
      </c>
      <c r="AC369" s="89" t="s">
        <v>646</v>
      </c>
      <c r="AD369" s="89" t="s">
        <v>646</v>
      </c>
      <c r="AE369" s="89" t="s">
        <v>646</v>
      </c>
      <c r="AF369" s="89" t="s">
        <v>20667</v>
      </c>
      <c r="AG369" s="89" t="s">
        <v>646</v>
      </c>
      <c r="AH369" s="89" t="s">
        <v>646</v>
      </c>
      <c r="AI369" s="89" t="s">
        <v>646</v>
      </c>
      <c r="AJ369" s="89" t="s">
        <v>646</v>
      </c>
      <c r="AK369" s="89" t="s">
        <v>646</v>
      </c>
      <c r="AL369" s="89" t="s">
        <v>646</v>
      </c>
      <c r="AM369" s="89" t="s">
        <v>646</v>
      </c>
      <c r="AN369" s="89" t="s">
        <v>646</v>
      </c>
      <c r="AO369" s="89" t="s">
        <v>646</v>
      </c>
      <c r="AP369" s="89" t="s">
        <v>646</v>
      </c>
      <c r="AQ369" s="89" t="s">
        <v>646</v>
      </c>
      <c r="AR369" s="89" t="s">
        <v>646</v>
      </c>
      <c r="AS369" s="89" t="s">
        <v>646</v>
      </c>
      <c r="AT369" s="89" t="s">
        <v>646</v>
      </c>
      <c r="AU369" s="89" t="s">
        <v>646</v>
      </c>
      <c r="AV369" s="89" t="s">
        <v>646</v>
      </c>
      <c r="AW369" s="89" t="s">
        <v>646</v>
      </c>
      <c r="AX369" s="89" t="s">
        <v>646</v>
      </c>
      <c r="AY369" s="89" t="s">
        <v>19791</v>
      </c>
      <c r="AZ369" s="89" t="s">
        <v>646</v>
      </c>
      <c r="BA369" s="89" t="s">
        <v>646</v>
      </c>
      <c r="BB369" s="89" t="s">
        <v>646</v>
      </c>
      <c r="BC369" s="89" t="s">
        <v>646</v>
      </c>
      <c r="BD369" s="89" t="s">
        <v>19592</v>
      </c>
      <c r="BE369" s="89">
        <v>2021</v>
      </c>
      <c r="BF369" s="89">
        <v>12</v>
      </c>
      <c r="BG369" s="89" t="s">
        <v>646</v>
      </c>
      <c r="BH369" s="89" t="s">
        <v>646</v>
      </c>
      <c r="BI369" s="89" t="s">
        <v>646</v>
      </c>
      <c r="BJ369" s="89" t="s">
        <v>646</v>
      </c>
      <c r="BK369" s="89" t="s">
        <v>646</v>
      </c>
      <c r="BL369" s="89" t="s">
        <v>646</v>
      </c>
      <c r="BM369" s="89" t="s">
        <v>646</v>
      </c>
      <c r="BN369" s="89">
        <v>674298</v>
      </c>
      <c r="BO369" s="89" t="str">
        <f>HYPERLINK("http://dx.doi.org/10.3389/fpsyt.2021.674298","http://dx.doi.org/10.3389/fpsyt.2021.674298")</f>
        <v>http://dx.doi.org/10.3389/fpsyt.2021.674298</v>
      </c>
      <c r="BP369" s="89" t="s">
        <v>646</v>
      </c>
      <c r="BQ369" s="89" t="s">
        <v>646</v>
      </c>
      <c r="BR369" s="89" t="s">
        <v>646</v>
      </c>
      <c r="BS369" s="89" t="s">
        <v>646</v>
      </c>
      <c r="BT369" s="89" t="s">
        <v>646</v>
      </c>
      <c r="BU369" s="89" t="s">
        <v>646</v>
      </c>
      <c r="BV369" s="89" t="s">
        <v>646</v>
      </c>
      <c r="BW369" s="89">
        <v>34335327</v>
      </c>
      <c r="BX369" s="89" t="s">
        <v>646</v>
      </c>
      <c r="BY369" s="89" t="s">
        <v>646</v>
      </c>
      <c r="BZ369" s="89" t="s">
        <v>646</v>
      </c>
      <c r="CA369" s="89" t="s">
        <v>646</v>
      </c>
      <c r="CB369" s="89" t="s">
        <v>20668</v>
      </c>
      <c r="CC369" s="89" t="str">
        <f>HYPERLINK("https%3A%2F%2Fwww.webofscience.com%2Fwos%2Fwoscc%2Ffull-record%2FWOS:000678770900001","View Full Record in Web of Science")</f>
        <v>View Full Record in Web of Science</v>
      </c>
    </row>
    <row r="370" spans="1:81" ht="13.2" hidden="1" x14ac:dyDescent="0.25">
      <c r="A370" s="89" t="s">
        <v>20669</v>
      </c>
      <c r="B370" s="89" t="e">
        <f>+#REF!</f>
        <v>#REF!</v>
      </c>
      <c r="C370" s="89"/>
      <c r="D370" s="91" t="s">
        <v>717</v>
      </c>
      <c r="E370" s="90" t="e">
        <v>#REF!</v>
      </c>
      <c r="F370" s="89"/>
      <c r="G370" s="89"/>
      <c r="H370" s="89" t="s">
        <v>16268</v>
      </c>
      <c r="I370" s="89" t="s">
        <v>20670</v>
      </c>
      <c r="J370" s="89" t="s">
        <v>646</v>
      </c>
      <c r="K370" s="89" t="s">
        <v>20672</v>
      </c>
      <c r="M370" s="89">
        <v>2020</v>
      </c>
      <c r="N370" s="89" t="s">
        <v>20671</v>
      </c>
      <c r="O370" s="89" t="s">
        <v>646</v>
      </c>
      <c r="P370" s="89" t="str">
        <f>HYPERLINK("http://dx.doi.org/10.2308/issues-18-061","http://dx.doi.org/10.2308/issues-18-061")</f>
        <v>http://dx.doi.org/10.2308/issues-18-061</v>
      </c>
      <c r="S370" s="89" t="s">
        <v>646</v>
      </c>
      <c r="U370" s="89" t="s">
        <v>17462</v>
      </c>
      <c r="W370" s="89" t="s">
        <v>646</v>
      </c>
      <c r="X370" s="89" t="s">
        <v>646</v>
      </c>
      <c r="Y370" s="89" t="s">
        <v>646</v>
      </c>
      <c r="Z370" s="89" t="s">
        <v>646</v>
      </c>
      <c r="AA370" s="89" t="s">
        <v>646</v>
      </c>
      <c r="AB370" s="89" t="s">
        <v>646</v>
      </c>
      <c r="AC370" s="89" t="s">
        <v>646</v>
      </c>
      <c r="AD370" s="89" t="s">
        <v>646</v>
      </c>
      <c r="AE370" s="89" t="s">
        <v>646</v>
      </c>
      <c r="AF370" s="89" t="s">
        <v>20672</v>
      </c>
      <c r="AG370" s="89" t="s">
        <v>646</v>
      </c>
      <c r="AH370" s="89" t="s">
        <v>646</v>
      </c>
      <c r="AI370" s="89" t="s">
        <v>646</v>
      </c>
      <c r="AJ370" s="89" t="s">
        <v>646</v>
      </c>
      <c r="AK370" s="89" t="s">
        <v>646</v>
      </c>
      <c r="AL370" s="89" t="s">
        <v>646</v>
      </c>
      <c r="AM370" s="89" t="s">
        <v>646</v>
      </c>
      <c r="AN370" s="89" t="s">
        <v>646</v>
      </c>
      <c r="AO370" s="89" t="s">
        <v>646</v>
      </c>
      <c r="AP370" s="89" t="s">
        <v>646</v>
      </c>
      <c r="AQ370" s="89" t="s">
        <v>646</v>
      </c>
      <c r="AR370" s="89" t="s">
        <v>646</v>
      </c>
      <c r="AS370" s="89" t="s">
        <v>646</v>
      </c>
      <c r="AT370" s="89" t="s">
        <v>646</v>
      </c>
      <c r="AU370" s="89" t="s">
        <v>646</v>
      </c>
      <c r="AV370" s="89" t="s">
        <v>646</v>
      </c>
      <c r="AW370" s="89" t="s">
        <v>646</v>
      </c>
      <c r="AX370" s="89" t="s">
        <v>646</v>
      </c>
      <c r="AY370" s="89" t="s">
        <v>20673</v>
      </c>
      <c r="AZ370" s="89" t="s">
        <v>20674</v>
      </c>
      <c r="BA370" s="89" t="s">
        <v>646</v>
      </c>
      <c r="BB370" s="89" t="s">
        <v>646</v>
      </c>
      <c r="BC370" s="89" t="s">
        <v>646</v>
      </c>
      <c r="BD370" s="89" t="s">
        <v>18655</v>
      </c>
      <c r="BE370" s="89">
        <v>2020</v>
      </c>
      <c r="BF370" s="89">
        <v>35</v>
      </c>
      <c r="BG370" s="89">
        <v>3</v>
      </c>
      <c r="BH370" s="89" t="s">
        <v>646</v>
      </c>
      <c r="BI370" s="89" t="s">
        <v>646</v>
      </c>
      <c r="BJ370" s="89" t="s">
        <v>646</v>
      </c>
      <c r="BK370" s="89" t="s">
        <v>646</v>
      </c>
      <c r="BL370" s="89">
        <v>1</v>
      </c>
      <c r="BM370" s="89">
        <v>23</v>
      </c>
      <c r="BN370" s="89" t="s">
        <v>646</v>
      </c>
      <c r="BO370" s="89" t="str">
        <f>HYPERLINK("http://dx.doi.org/10.2308/issues-18-061","http://dx.doi.org/10.2308/issues-18-061")</f>
        <v>http://dx.doi.org/10.2308/issues-18-061</v>
      </c>
      <c r="BP370" s="89" t="s">
        <v>646</v>
      </c>
      <c r="BQ370" s="89" t="s">
        <v>646</v>
      </c>
      <c r="BR370" s="89" t="s">
        <v>646</v>
      </c>
      <c r="BS370" s="89" t="s">
        <v>646</v>
      </c>
      <c r="BT370" s="89" t="s">
        <v>646</v>
      </c>
      <c r="BU370" s="89" t="s">
        <v>646</v>
      </c>
      <c r="BV370" s="89" t="s">
        <v>646</v>
      </c>
      <c r="BW370" s="89" t="s">
        <v>646</v>
      </c>
      <c r="BX370" s="89" t="s">
        <v>646</v>
      </c>
      <c r="BY370" s="89" t="s">
        <v>646</v>
      </c>
      <c r="BZ370" s="89" t="s">
        <v>646</v>
      </c>
      <c r="CA370" s="89" t="s">
        <v>646</v>
      </c>
      <c r="CB370" s="89" t="s">
        <v>20675</v>
      </c>
      <c r="CC370" s="89" t="str">
        <f>HYPERLINK("https%3A%2F%2Fwww.webofscience.com%2Fwos%2Fwoscc%2Ffull-record%2FWOS:000576388800001","View Full Record in Web of Science")</f>
        <v>View Full Record in Web of Science</v>
      </c>
    </row>
    <row r="371" spans="1:81" ht="13.2" hidden="1" x14ac:dyDescent="0.25">
      <c r="A371" s="89" t="s">
        <v>12281</v>
      </c>
      <c r="B371" s="89" t="e">
        <f>+#REF!</f>
        <v>#REF!</v>
      </c>
      <c r="C371" s="89"/>
      <c r="D371" s="91" t="s">
        <v>717</v>
      </c>
      <c r="E371" s="90" t="e">
        <v>#REF!</v>
      </c>
      <c r="F371" s="89"/>
      <c r="G371" s="89"/>
      <c r="H371" s="89" t="s">
        <v>12282</v>
      </c>
      <c r="I371" s="89" t="s">
        <v>20676</v>
      </c>
      <c r="J371" s="89" t="s">
        <v>646</v>
      </c>
      <c r="K371" s="89" t="s">
        <v>20678</v>
      </c>
      <c r="M371" s="89">
        <v>2020</v>
      </c>
      <c r="N371" s="89" t="s">
        <v>20677</v>
      </c>
      <c r="O371" s="89" t="s">
        <v>646</v>
      </c>
      <c r="P371" s="89" t="str">
        <f>HYPERLINK("http://dx.doi.org/10.1111/jep.13364","http://dx.doi.org/10.1111/jep.13364")</f>
        <v>http://dx.doi.org/10.1111/jep.13364</v>
      </c>
      <c r="S371" s="89" t="s">
        <v>646</v>
      </c>
      <c r="U371" s="89" t="s">
        <v>17462</v>
      </c>
      <c r="W371" s="89" t="s">
        <v>646</v>
      </c>
      <c r="X371" s="89" t="s">
        <v>646</v>
      </c>
      <c r="Y371" s="89" t="s">
        <v>646</v>
      </c>
      <c r="Z371" s="89" t="s">
        <v>646</v>
      </c>
      <c r="AA371" s="89" t="s">
        <v>646</v>
      </c>
      <c r="AB371" s="89" t="s">
        <v>646</v>
      </c>
      <c r="AC371" s="89" t="s">
        <v>646</v>
      </c>
      <c r="AD371" s="89" t="s">
        <v>646</v>
      </c>
      <c r="AE371" s="89" t="s">
        <v>646</v>
      </c>
      <c r="AF371" s="89" t="s">
        <v>20678</v>
      </c>
      <c r="AG371" s="89" t="s">
        <v>646</v>
      </c>
      <c r="AH371" s="89" t="s">
        <v>646</v>
      </c>
      <c r="AI371" s="89" t="s">
        <v>646</v>
      </c>
      <c r="AJ371" s="89" t="s">
        <v>646</v>
      </c>
      <c r="AK371" s="89" t="s">
        <v>646</v>
      </c>
      <c r="AL371" s="89" t="s">
        <v>20679</v>
      </c>
      <c r="AM371" s="89" t="s">
        <v>646</v>
      </c>
      <c r="AN371" s="89" t="s">
        <v>646</v>
      </c>
      <c r="AO371" s="89" t="s">
        <v>646</v>
      </c>
      <c r="AP371" s="89" t="s">
        <v>646</v>
      </c>
      <c r="AQ371" s="89" t="s">
        <v>646</v>
      </c>
      <c r="AR371" s="89" t="s">
        <v>646</v>
      </c>
      <c r="AS371" s="89" t="s">
        <v>646</v>
      </c>
      <c r="AT371" s="89" t="s">
        <v>646</v>
      </c>
      <c r="AU371" s="89" t="s">
        <v>646</v>
      </c>
      <c r="AV371" s="89" t="s">
        <v>646</v>
      </c>
      <c r="AW371" s="89" t="s">
        <v>646</v>
      </c>
      <c r="AX371" s="89" t="s">
        <v>646</v>
      </c>
      <c r="AY371" s="89" t="s">
        <v>20680</v>
      </c>
      <c r="AZ371" s="89" t="s">
        <v>20681</v>
      </c>
      <c r="BA371" s="89" t="s">
        <v>646</v>
      </c>
      <c r="BB371" s="89" t="s">
        <v>646</v>
      </c>
      <c r="BC371" s="89" t="s">
        <v>646</v>
      </c>
      <c r="BD371" s="89" t="s">
        <v>17615</v>
      </c>
      <c r="BE371" s="89">
        <v>2020</v>
      </c>
      <c r="BF371" s="89">
        <v>26</v>
      </c>
      <c r="BG371" s="89">
        <v>6</v>
      </c>
      <c r="BH371" s="89" t="s">
        <v>646</v>
      </c>
      <c r="BI371" s="89" t="s">
        <v>646</v>
      </c>
      <c r="BJ371" s="89" t="s">
        <v>646</v>
      </c>
      <c r="BK371" s="89" t="s">
        <v>646</v>
      </c>
      <c r="BL371" s="89">
        <v>1612</v>
      </c>
      <c r="BM371" s="89">
        <v>1619</v>
      </c>
      <c r="BN371" s="89" t="s">
        <v>646</v>
      </c>
      <c r="BO371" s="89" t="str">
        <f>HYPERLINK("http://dx.doi.org/10.1111/jep.13364","http://dx.doi.org/10.1111/jep.13364")</f>
        <v>http://dx.doi.org/10.1111/jep.13364</v>
      </c>
      <c r="BP371" s="89" t="s">
        <v>646</v>
      </c>
      <c r="BQ371" s="89" t="s">
        <v>646</v>
      </c>
      <c r="BR371" s="89" t="s">
        <v>646</v>
      </c>
      <c r="BS371" s="89" t="s">
        <v>646</v>
      </c>
      <c r="BT371" s="89" t="s">
        <v>646</v>
      </c>
      <c r="BU371" s="89" t="s">
        <v>646</v>
      </c>
      <c r="BV371" s="89" t="s">
        <v>646</v>
      </c>
      <c r="BW371" s="89">
        <v>32026566</v>
      </c>
      <c r="BX371" s="89" t="s">
        <v>646</v>
      </c>
      <c r="BY371" s="89" t="s">
        <v>646</v>
      </c>
      <c r="BZ371" s="89" t="s">
        <v>646</v>
      </c>
      <c r="CA371" s="89" t="s">
        <v>646</v>
      </c>
      <c r="CB371" s="89" t="s">
        <v>20682</v>
      </c>
      <c r="CC371" s="89" t="str">
        <f>HYPERLINK("https%3A%2F%2Fwww.webofscience.com%2Fwos%2Fwoscc%2Ffull-record%2FWOS:000588646900007","View Full Record in Web of Science")</f>
        <v>View Full Record in Web of Science</v>
      </c>
    </row>
    <row r="372" spans="1:81" ht="13.2" hidden="1" x14ac:dyDescent="0.25">
      <c r="A372" s="89" t="s">
        <v>12291</v>
      </c>
      <c r="B372" s="89" t="e">
        <f>+#REF!</f>
        <v>#REF!</v>
      </c>
      <c r="C372" s="89"/>
      <c r="D372" s="91" t="s">
        <v>717</v>
      </c>
      <c r="E372" s="90" t="e">
        <v>#REF!</v>
      </c>
      <c r="F372" s="89"/>
      <c r="G372" s="89"/>
      <c r="H372" s="89" t="s">
        <v>12292</v>
      </c>
      <c r="I372" s="89" t="s">
        <v>20683</v>
      </c>
      <c r="J372" s="89" t="s">
        <v>646</v>
      </c>
      <c r="K372" s="89" t="s">
        <v>20685</v>
      </c>
      <c r="M372" s="89">
        <v>2019</v>
      </c>
      <c r="N372" s="89" t="s">
        <v>20684</v>
      </c>
      <c r="O372" s="89" t="s">
        <v>646</v>
      </c>
      <c r="P372" s="89" t="str">
        <f>HYPERLINK("http://dx.doi.org/10.1016/j.paid.2019.05.054","http://dx.doi.org/10.1016/j.paid.2019.05.054")</f>
        <v>http://dx.doi.org/10.1016/j.paid.2019.05.054</v>
      </c>
      <c r="S372" s="89" t="s">
        <v>646</v>
      </c>
      <c r="U372" s="89" t="s">
        <v>17462</v>
      </c>
      <c r="W372" s="89" t="s">
        <v>646</v>
      </c>
      <c r="X372" s="89" t="s">
        <v>646</v>
      </c>
      <c r="Y372" s="89" t="s">
        <v>646</v>
      </c>
      <c r="Z372" s="89" t="s">
        <v>646</v>
      </c>
      <c r="AA372" s="89" t="s">
        <v>646</v>
      </c>
      <c r="AB372" s="89" t="s">
        <v>646</v>
      </c>
      <c r="AC372" s="89" t="s">
        <v>646</v>
      </c>
      <c r="AD372" s="89" t="s">
        <v>646</v>
      </c>
      <c r="AE372" s="89" t="s">
        <v>646</v>
      </c>
      <c r="AF372" s="89" t="s">
        <v>20685</v>
      </c>
      <c r="AG372" s="89" t="s">
        <v>646</v>
      </c>
      <c r="AH372" s="89" t="s">
        <v>646</v>
      </c>
      <c r="AI372" s="89" t="s">
        <v>646</v>
      </c>
      <c r="AJ372" s="89" t="s">
        <v>646</v>
      </c>
      <c r="AK372" s="89" t="s">
        <v>646</v>
      </c>
      <c r="AL372" s="89" t="s">
        <v>646</v>
      </c>
      <c r="AM372" s="89" t="s">
        <v>646</v>
      </c>
      <c r="AN372" s="89" t="s">
        <v>646</v>
      </c>
      <c r="AO372" s="89" t="s">
        <v>646</v>
      </c>
      <c r="AP372" s="89" t="s">
        <v>646</v>
      </c>
      <c r="AQ372" s="89" t="s">
        <v>646</v>
      </c>
      <c r="AR372" s="89" t="s">
        <v>646</v>
      </c>
      <c r="AS372" s="89" t="s">
        <v>646</v>
      </c>
      <c r="AT372" s="89" t="s">
        <v>646</v>
      </c>
      <c r="AU372" s="89" t="s">
        <v>646</v>
      </c>
      <c r="AV372" s="89" t="s">
        <v>646</v>
      </c>
      <c r="AW372" s="89" t="s">
        <v>646</v>
      </c>
      <c r="AX372" s="89" t="s">
        <v>646</v>
      </c>
      <c r="AY372" s="89" t="s">
        <v>20686</v>
      </c>
      <c r="AZ372" s="89" t="s">
        <v>646</v>
      </c>
      <c r="BA372" s="89" t="s">
        <v>646</v>
      </c>
      <c r="BB372" s="89" t="s">
        <v>646</v>
      </c>
      <c r="BC372" s="89" t="s">
        <v>646</v>
      </c>
      <c r="BD372" s="89" t="s">
        <v>20687</v>
      </c>
      <c r="BE372" s="89">
        <v>2019</v>
      </c>
      <c r="BF372" s="89">
        <v>149</v>
      </c>
      <c r="BG372" s="89" t="s">
        <v>646</v>
      </c>
      <c r="BH372" s="89" t="s">
        <v>646</v>
      </c>
      <c r="BI372" s="89" t="s">
        <v>646</v>
      </c>
      <c r="BJ372" s="89" t="s">
        <v>646</v>
      </c>
      <c r="BK372" s="89" t="s">
        <v>646</v>
      </c>
      <c r="BL372" s="89">
        <v>128</v>
      </c>
      <c r="BM372" s="89">
        <v>134</v>
      </c>
      <c r="BN372" s="89" t="s">
        <v>646</v>
      </c>
      <c r="BO372" s="89" t="str">
        <f>HYPERLINK("http://dx.doi.org/10.1016/j.paid.2019.05.054","http://dx.doi.org/10.1016/j.paid.2019.05.054")</f>
        <v>http://dx.doi.org/10.1016/j.paid.2019.05.054</v>
      </c>
      <c r="BP372" s="89" t="s">
        <v>646</v>
      </c>
      <c r="BQ372" s="89" t="s">
        <v>646</v>
      </c>
      <c r="BR372" s="89" t="s">
        <v>646</v>
      </c>
      <c r="BS372" s="89" t="s">
        <v>646</v>
      </c>
      <c r="BT372" s="89" t="s">
        <v>646</v>
      </c>
      <c r="BU372" s="89" t="s">
        <v>646</v>
      </c>
      <c r="BV372" s="89" t="s">
        <v>646</v>
      </c>
      <c r="BW372" s="89" t="s">
        <v>646</v>
      </c>
      <c r="BX372" s="89" t="s">
        <v>646</v>
      </c>
      <c r="BY372" s="89" t="s">
        <v>646</v>
      </c>
      <c r="BZ372" s="89" t="s">
        <v>646</v>
      </c>
      <c r="CA372" s="89" t="s">
        <v>646</v>
      </c>
      <c r="CB372" s="89" t="s">
        <v>20688</v>
      </c>
      <c r="CC372" s="89" t="str">
        <f>HYPERLINK("https%3A%2F%2Fwww.webofscience.com%2Fwos%2Fwoscc%2Ffull-record%2FWOS:000475996600018","View Full Record in Web of Science")</f>
        <v>View Full Record in Web of Science</v>
      </c>
    </row>
    <row r="373" spans="1:81" ht="13.2" hidden="1" x14ac:dyDescent="0.25">
      <c r="A373" s="89" t="s">
        <v>20689</v>
      </c>
      <c r="B373" s="89" t="e">
        <f>+#REF!</f>
        <v>#REF!</v>
      </c>
      <c r="C373" s="89"/>
      <c r="D373" s="91" t="s">
        <v>717</v>
      </c>
      <c r="E373" s="90" t="e">
        <v>#REF!</v>
      </c>
      <c r="F373" s="89"/>
      <c r="G373" s="89"/>
      <c r="H373" s="89" t="s">
        <v>646</v>
      </c>
      <c r="I373" s="89" t="s">
        <v>20691</v>
      </c>
      <c r="J373" s="89" t="s">
        <v>20698</v>
      </c>
      <c r="K373" s="89" t="s">
        <v>20697</v>
      </c>
      <c r="M373" s="89">
        <v>2017</v>
      </c>
      <c r="N373" s="89" t="s">
        <v>20692</v>
      </c>
      <c r="O373" s="89" t="s">
        <v>20690</v>
      </c>
      <c r="P373" s="89" t="s">
        <v>646</v>
      </c>
      <c r="S373" s="89" t="s">
        <v>646</v>
      </c>
      <c r="U373" s="89" t="s">
        <v>17474</v>
      </c>
      <c r="W373" s="89" t="s">
        <v>646</v>
      </c>
      <c r="X373" s="89" t="s">
        <v>646</v>
      </c>
      <c r="Y373" s="89" t="s">
        <v>20693</v>
      </c>
      <c r="Z373" s="89" t="s">
        <v>20694</v>
      </c>
      <c r="AA373" s="89" t="s">
        <v>20695</v>
      </c>
      <c r="AB373" s="89" t="s">
        <v>20696</v>
      </c>
      <c r="AC373" s="89" t="s">
        <v>646</v>
      </c>
      <c r="AD373" s="89" t="s">
        <v>646</v>
      </c>
      <c r="AE373" s="89" t="s">
        <v>646</v>
      </c>
      <c r="AF373" s="89" t="s">
        <v>20697</v>
      </c>
      <c r="AG373" s="89" t="s">
        <v>646</v>
      </c>
      <c r="AH373" s="89" t="s">
        <v>646</v>
      </c>
      <c r="AI373" s="89" t="s">
        <v>646</v>
      </c>
      <c r="AJ373" s="89" t="s">
        <v>646</v>
      </c>
      <c r="AK373" s="89" t="s">
        <v>20698</v>
      </c>
      <c r="AL373" s="89" t="s">
        <v>20699</v>
      </c>
      <c r="AM373" s="89" t="s">
        <v>646</v>
      </c>
      <c r="AN373" s="89" t="s">
        <v>646</v>
      </c>
      <c r="AO373" s="89" t="s">
        <v>646</v>
      </c>
      <c r="AP373" s="89" t="s">
        <v>646</v>
      </c>
      <c r="AQ373" s="89" t="s">
        <v>646</v>
      </c>
      <c r="AR373" s="89" t="s">
        <v>646</v>
      </c>
      <c r="AS373" s="89" t="s">
        <v>646</v>
      </c>
      <c r="AT373" s="89" t="s">
        <v>646</v>
      </c>
      <c r="AU373" s="89" t="s">
        <v>646</v>
      </c>
      <c r="AV373" s="89" t="s">
        <v>646</v>
      </c>
      <c r="AW373" s="89" t="s">
        <v>646</v>
      </c>
      <c r="AX373" s="89" t="s">
        <v>646</v>
      </c>
      <c r="AY373" s="89" t="s">
        <v>19573</v>
      </c>
      <c r="AZ373" s="89" t="s">
        <v>646</v>
      </c>
      <c r="BA373" s="89" t="s">
        <v>20700</v>
      </c>
      <c r="BB373" s="89" t="s">
        <v>646</v>
      </c>
      <c r="BC373" s="89" t="s">
        <v>646</v>
      </c>
      <c r="BD373" s="89" t="s">
        <v>646</v>
      </c>
      <c r="BE373" s="89">
        <v>2017</v>
      </c>
      <c r="BF373" s="89" t="s">
        <v>646</v>
      </c>
      <c r="BG373" s="89" t="s">
        <v>646</v>
      </c>
      <c r="BH373" s="89" t="s">
        <v>646</v>
      </c>
      <c r="BI373" s="89" t="s">
        <v>646</v>
      </c>
      <c r="BJ373" s="89" t="s">
        <v>646</v>
      </c>
      <c r="BK373" s="89" t="s">
        <v>646</v>
      </c>
      <c r="BL373" s="89">
        <v>4307</v>
      </c>
      <c r="BM373" s="89">
        <v>4313</v>
      </c>
      <c r="BN373" s="89" t="s">
        <v>646</v>
      </c>
      <c r="BO373" s="89" t="s">
        <v>646</v>
      </c>
      <c r="BP373" s="89" t="s">
        <v>646</v>
      </c>
      <c r="BQ373" s="89" t="s">
        <v>646</v>
      </c>
      <c r="BR373" s="89" t="s">
        <v>646</v>
      </c>
      <c r="BS373" s="89" t="s">
        <v>646</v>
      </c>
      <c r="BT373" s="89" t="s">
        <v>646</v>
      </c>
      <c r="BU373" s="89" t="s">
        <v>646</v>
      </c>
      <c r="BV373" s="89" t="s">
        <v>646</v>
      </c>
      <c r="BW373" s="89" t="s">
        <v>646</v>
      </c>
      <c r="BX373" s="89" t="s">
        <v>646</v>
      </c>
      <c r="BY373" s="89" t="s">
        <v>646</v>
      </c>
      <c r="BZ373" s="89" t="s">
        <v>646</v>
      </c>
      <c r="CA373" s="89" t="s">
        <v>646</v>
      </c>
      <c r="CB373" s="89" t="s">
        <v>20701</v>
      </c>
      <c r="CC373" s="89" t="str">
        <f>HYPERLINK("https%3A%2F%2Fwww.webofscience.com%2Fwos%2Fwoscc%2Ffull-record%2FWOS:000428073704041","View Full Record in Web of Science")</f>
        <v>View Full Record in Web of Science</v>
      </c>
    </row>
    <row r="374" spans="1:81" ht="13.2" hidden="1" x14ac:dyDescent="0.25">
      <c r="A374" s="89" t="s">
        <v>9349</v>
      </c>
      <c r="B374" s="89" t="e">
        <f>+#REF!</f>
        <v>#REF!</v>
      </c>
      <c r="C374" s="89"/>
      <c r="D374" s="91" t="s">
        <v>717</v>
      </c>
      <c r="E374" s="90" t="e">
        <v>#REF!</v>
      </c>
      <c r="F374" s="89"/>
      <c r="G374" s="89"/>
      <c r="H374" s="89" t="s">
        <v>9350</v>
      </c>
      <c r="I374" s="89" t="s">
        <v>20702</v>
      </c>
      <c r="J374" s="89" t="s">
        <v>646</v>
      </c>
      <c r="K374" s="89" t="s">
        <v>20707</v>
      </c>
      <c r="M374" s="89">
        <v>2021</v>
      </c>
      <c r="N374" s="89" t="s">
        <v>20703</v>
      </c>
      <c r="O374" s="89" t="s">
        <v>646</v>
      </c>
      <c r="P374" s="89" t="str">
        <f>HYPERLINK("http://dx.doi.org/10.1145/3397481.3450675","http://dx.doi.org/10.1145/3397481.3450675")</f>
        <v>http://dx.doi.org/10.1145/3397481.3450675</v>
      </c>
      <c r="S374" s="89" t="s">
        <v>19285</v>
      </c>
      <c r="U374" s="89" t="s">
        <v>17474</v>
      </c>
      <c r="W374" s="89" t="s">
        <v>646</v>
      </c>
      <c r="X374" s="89" t="s">
        <v>646</v>
      </c>
      <c r="Y374" s="89" t="s">
        <v>20704</v>
      </c>
      <c r="Z374" s="89" t="s">
        <v>20705</v>
      </c>
      <c r="AA374" s="89" t="s">
        <v>17494</v>
      </c>
      <c r="AB374" s="89" t="s">
        <v>20706</v>
      </c>
      <c r="AC374" s="89" t="s">
        <v>646</v>
      </c>
      <c r="AD374" s="89" t="s">
        <v>646</v>
      </c>
      <c r="AE374" s="89" t="s">
        <v>646</v>
      </c>
      <c r="AF374" s="89" t="s">
        <v>20707</v>
      </c>
      <c r="AG374" s="89" t="s">
        <v>646</v>
      </c>
      <c r="AH374" s="89" t="s">
        <v>646</v>
      </c>
      <c r="AI374" s="89" t="s">
        <v>646</v>
      </c>
      <c r="AJ374" s="89" t="s">
        <v>646</v>
      </c>
      <c r="AK374" s="89" t="s">
        <v>646</v>
      </c>
      <c r="AL374" s="89" t="s">
        <v>646</v>
      </c>
      <c r="AM374" s="89" t="s">
        <v>646</v>
      </c>
      <c r="AN374" s="89" t="s">
        <v>646</v>
      </c>
      <c r="AO374" s="89" t="s">
        <v>646</v>
      </c>
      <c r="AP374" s="89" t="s">
        <v>646</v>
      </c>
      <c r="AQ374" s="89" t="s">
        <v>646</v>
      </c>
      <c r="AR374" s="89" t="s">
        <v>646</v>
      </c>
      <c r="AS374" s="89" t="s">
        <v>646</v>
      </c>
      <c r="AT374" s="89" t="s">
        <v>646</v>
      </c>
      <c r="AU374" s="89" t="s">
        <v>646</v>
      </c>
      <c r="AV374" s="89" t="s">
        <v>646</v>
      </c>
      <c r="AW374" s="89" t="s">
        <v>646</v>
      </c>
      <c r="AX374" s="89" t="s">
        <v>646</v>
      </c>
      <c r="AY374" s="89" t="s">
        <v>646</v>
      </c>
      <c r="AZ374" s="89" t="s">
        <v>646</v>
      </c>
      <c r="BA374" s="89" t="s">
        <v>20708</v>
      </c>
      <c r="BB374" s="89" t="s">
        <v>646</v>
      </c>
      <c r="BC374" s="89" t="s">
        <v>646</v>
      </c>
      <c r="BD374" s="89" t="s">
        <v>646</v>
      </c>
      <c r="BE374" s="89">
        <v>2021</v>
      </c>
      <c r="BF374" s="89" t="s">
        <v>646</v>
      </c>
      <c r="BG374" s="89" t="s">
        <v>646</v>
      </c>
      <c r="BH374" s="89" t="s">
        <v>646</v>
      </c>
      <c r="BI374" s="89" t="s">
        <v>646</v>
      </c>
      <c r="BJ374" s="89" t="s">
        <v>646</v>
      </c>
      <c r="BK374" s="89" t="s">
        <v>646</v>
      </c>
      <c r="BL374" s="89">
        <v>213</v>
      </c>
      <c r="BM374" s="89">
        <v>223</v>
      </c>
      <c r="BN374" s="89" t="s">
        <v>646</v>
      </c>
      <c r="BO374" s="89" t="str">
        <f>HYPERLINK("http://dx.doi.org/10.1145/3397481.3450675","http://dx.doi.org/10.1145/3397481.3450675")</f>
        <v>http://dx.doi.org/10.1145/3397481.3450675</v>
      </c>
      <c r="BP374" s="89" t="s">
        <v>646</v>
      </c>
      <c r="BQ374" s="89" t="s">
        <v>646</v>
      </c>
      <c r="BR374" s="89" t="s">
        <v>646</v>
      </c>
      <c r="BS374" s="89" t="s">
        <v>646</v>
      </c>
      <c r="BT374" s="89" t="s">
        <v>646</v>
      </c>
      <c r="BU374" s="89" t="s">
        <v>646</v>
      </c>
      <c r="BV374" s="89" t="s">
        <v>646</v>
      </c>
      <c r="BW374" s="89" t="s">
        <v>646</v>
      </c>
      <c r="BX374" s="89" t="s">
        <v>646</v>
      </c>
      <c r="BY374" s="89" t="s">
        <v>646</v>
      </c>
      <c r="BZ374" s="89" t="s">
        <v>646</v>
      </c>
      <c r="CA374" s="89" t="s">
        <v>646</v>
      </c>
      <c r="CB374" s="89" t="s">
        <v>20709</v>
      </c>
      <c r="CC374" s="89" t="str">
        <f>HYPERLINK("https%3A%2F%2Fwww.webofscience.com%2Fwos%2Fwoscc%2Ffull-record%2FWOS:000747690200027","View Full Record in Web of Science")</f>
        <v>View Full Record in Web of Science</v>
      </c>
    </row>
    <row r="375" spans="1:81" ht="13.2" hidden="1" x14ac:dyDescent="0.25">
      <c r="A375" s="89" t="s">
        <v>9358</v>
      </c>
      <c r="B375" s="89" t="e">
        <f>+#REF!</f>
        <v>#REF!</v>
      </c>
      <c r="C375" s="89"/>
      <c r="D375" s="91" t="s">
        <v>717</v>
      </c>
      <c r="E375" s="90" t="e">
        <v>#REF!</v>
      </c>
      <c r="F375" s="89"/>
      <c r="G375" s="89"/>
      <c r="H375" s="89" t="s">
        <v>9359</v>
      </c>
      <c r="I375" s="89" t="s">
        <v>20710</v>
      </c>
      <c r="J375" s="89" t="s">
        <v>646</v>
      </c>
      <c r="K375" s="89" t="s">
        <v>20711</v>
      </c>
      <c r="M375" s="89">
        <v>2021</v>
      </c>
      <c r="N375" s="89" t="s">
        <v>19680</v>
      </c>
      <c r="O375" s="89" t="s">
        <v>646</v>
      </c>
      <c r="P375" s="89" t="str">
        <f>HYPERLINK("http://dx.doi.org/10.1093/asj/sjab082","http://dx.doi.org/10.1093/asj/sjab082")</f>
        <v>http://dx.doi.org/10.1093/asj/sjab082</v>
      </c>
      <c r="S375" s="89" t="s">
        <v>646</v>
      </c>
      <c r="U375" s="89" t="s">
        <v>17462</v>
      </c>
      <c r="W375" s="89" t="s">
        <v>646</v>
      </c>
      <c r="X375" s="89" t="s">
        <v>646</v>
      </c>
      <c r="Y375" s="89" t="s">
        <v>646</v>
      </c>
      <c r="Z375" s="89" t="s">
        <v>646</v>
      </c>
      <c r="AA375" s="89" t="s">
        <v>646</v>
      </c>
      <c r="AB375" s="89" t="s">
        <v>646</v>
      </c>
      <c r="AC375" s="89" t="s">
        <v>646</v>
      </c>
      <c r="AD375" s="89" t="s">
        <v>646</v>
      </c>
      <c r="AE375" s="89" t="s">
        <v>646</v>
      </c>
      <c r="AF375" s="89" t="s">
        <v>20711</v>
      </c>
      <c r="AG375" s="89" t="s">
        <v>646</v>
      </c>
      <c r="AH375" s="89" t="s">
        <v>646</v>
      </c>
      <c r="AI375" s="89" t="s">
        <v>646</v>
      </c>
      <c r="AJ375" s="89" t="s">
        <v>646</v>
      </c>
      <c r="AK375" s="89" t="s">
        <v>646</v>
      </c>
      <c r="AL375" s="89" t="s">
        <v>20712</v>
      </c>
      <c r="AM375" s="89" t="s">
        <v>646</v>
      </c>
      <c r="AN375" s="89" t="s">
        <v>646</v>
      </c>
      <c r="AO375" s="89" t="s">
        <v>646</v>
      </c>
      <c r="AP375" s="89" t="s">
        <v>646</v>
      </c>
      <c r="AQ375" s="89" t="s">
        <v>646</v>
      </c>
      <c r="AR375" s="89" t="s">
        <v>646</v>
      </c>
      <c r="AS375" s="89" t="s">
        <v>646</v>
      </c>
      <c r="AT375" s="89" t="s">
        <v>646</v>
      </c>
      <c r="AU375" s="89" t="s">
        <v>646</v>
      </c>
      <c r="AV375" s="89" t="s">
        <v>646</v>
      </c>
      <c r="AW375" s="89" t="s">
        <v>646</v>
      </c>
      <c r="AX375" s="89" t="s">
        <v>646</v>
      </c>
      <c r="AY375" s="89" t="s">
        <v>19684</v>
      </c>
      <c r="AZ375" s="89" t="s">
        <v>19685</v>
      </c>
      <c r="BA375" s="89" t="s">
        <v>646</v>
      </c>
      <c r="BB375" s="89" t="s">
        <v>646</v>
      </c>
      <c r="BC375" s="89" t="s">
        <v>646</v>
      </c>
      <c r="BD375" s="89" t="s">
        <v>18292</v>
      </c>
      <c r="BE375" s="89">
        <v>2021</v>
      </c>
      <c r="BF375" s="89">
        <v>41</v>
      </c>
      <c r="BG375" s="89">
        <v>11</v>
      </c>
      <c r="BH375" s="89" t="s">
        <v>646</v>
      </c>
      <c r="BI375" s="89" t="s">
        <v>646</v>
      </c>
      <c r="BJ375" s="89" t="s">
        <v>646</v>
      </c>
      <c r="BK375" s="89" t="s">
        <v>646</v>
      </c>
      <c r="BL375" s="89">
        <v>1293</v>
      </c>
      <c r="BM375" s="89">
        <v>1302</v>
      </c>
      <c r="BN375" s="89" t="s">
        <v>646</v>
      </c>
      <c r="BO375" s="89" t="str">
        <f>HYPERLINK("http://dx.doi.org/10.1093/asj/sjab082","http://dx.doi.org/10.1093/asj/sjab082")</f>
        <v>http://dx.doi.org/10.1093/asj/sjab082</v>
      </c>
      <c r="BP375" s="89" t="s">
        <v>646</v>
      </c>
      <c r="BQ375" s="89" t="s">
        <v>19593</v>
      </c>
      <c r="BR375" s="89" t="s">
        <v>646</v>
      </c>
      <c r="BS375" s="89" t="s">
        <v>646</v>
      </c>
      <c r="BT375" s="89" t="s">
        <v>646</v>
      </c>
      <c r="BU375" s="89" t="s">
        <v>646</v>
      </c>
      <c r="BV375" s="89" t="s">
        <v>646</v>
      </c>
      <c r="BW375" s="89">
        <v>33569587</v>
      </c>
      <c r="BX375" s="89" t="s">
        <v>646</v>
      </c>
      <c r="BY375" s="89" t="s">
        <v>646</v>
      </c>
      <c r="BZ375" s="89" t="s">
        <v>646</v>
      </c>
      <c r="CA375" s="89" t="s">
        <v>646</v>
      </c>
      <c r="CB375" s="89" t="s">
        <v>20713</v>
      </c>
      <c r="CC375" s="89" t="str">
        <f>HYPERLINK("https%3A%2F%2Fwww.webofscience.com%2Fwos%2Fwoscc%2Ffull-record%2FWOS:000734177600012","View Full Record in Web of Science")</f>
        <v>View Full Record in Web of Science</v>
      </c>
    </row>
    <row r="376" spans="1:81" ht="13.2" hidden="1" x14ac:dyDescent="0.25">
      <c r="A376" s="89" t="s">
        <v>20714</v>
      </c>
      <c r="B376" s="89" t="e">
        <f>+#REF!</f>
        <v>#REF!</v>
      </c>
      <c r="C376" s="89"/>
      <c r="D376" s="91" t="s">
        <v>717</v>
      </c>
      <c r="E376" s="90" t="e">
        <v>#REF!</v>
      </c>
      <c r="F376" s="89"/>
      <c r="G376" s="89"/>
      <c r="H376" s="89" t="s">
        <v>12310</v>
      </c>
      <c r="I376" s="89" t="s">
        <v>20715</v>
      </c>
      <c r="J376" s="89" t="s">
        <v>646</v>
      </c>
      <c r="K376" s="89" t="s">
        <v>20716</v>
      </c>
      <c r="M376" s="89">
        <v>2020</v>
      </c>
      <c r="N376" s="89" t="s">
        <v>19680</v>
      </c>
      <c r="O376" s="89" t="s">
        <v>646</v>
      </c>
      <c r="P376" s="89" t="str">
        <f>HYPERLINK("http://dx.doi.org/10.1093/asj/sjz344","http://dx.doi.org/10.1093/asj/sjz344")</f>
        <v>http://dx.doi.org/10.1093/asj/sjz344</v>
      </c>
      <c r="S376" s="89" t="s">
        <v>646</v>
      </c>
      <c r="U376" s="89" t="s">
        <v>17462</v>
      </c>
      <c r="W376" s="89" t="s">
        <v>646</v>
      </c>
      <c r="X376" s="89" t="s">
        <v>646</v>
      </c>
      <c r="Y376" s="89" t="s">
        <v>646</v>
      </c>
      <c r="Z376" s="89" t="s">
        <v>646</v>
      </c>
      <c r="AA376" s="89" t="s">
        <v>646</v>
      </c>
      <c r="AB376" s="89" t="s">
        <v>646</v>
      </c>
      <c r="AC376" s="89" t="s">
        <v>646</v>
      </c>
      <c r="AD376" s="89" t="s">
        <v>646</v>
      </c>
      <c r="AE376" s="89" t="s">
        <v>646</v>
      </c>
      <c r="AF376" s="89" t="s">
        <v>20716</v>
      </c>
      <c r="AG376" s="89" t="s">
        <v>646</v>
      </c>
      <c r="AH376" s="89" t="s">
        <v>646</v>
      </c>
      <c r="AI376" s="89" t="s">
        <v>646</v>
      </c>
      <c r="AJ376" s="89" t="s">
        <v>646</v>
      </c>
      <c r="AK376" s="89" t="s">
        <v>646</v>
      </c>
      <c r="AL376" s="89" t="s">
        <v>646</v>
      </c>
      <c r="AM376" s="89" t="s">
        <v>646</v>
      </c>
      <c r="AN376" s="89" t="s">
        <v>646</v>
      </c>
      <c r="AO376" s="89" t="s">
        <v>646</v>
      </c>
      <c r="AP376" s="89" t="s">
        <v>646</v>
      </c>
      <c r="AQ376" s="89" t="s">
        <v>646</v>
      </c>
      <c r="AR376" s="89" t="s">
        <v>646</v>
      </c>
      <c r="AS376" s="89" t="s">
        <v>646</v>
      </c>
      <c r="AT376" s="89" t="s">
        <v>646</v>
      </c>
      <c r="AU376" s="89" t="s">
        <v>646</v>
      </c>
      <c r="AV376" s="89" t="s">
        <v>646</v>
      </c>
      <c r="AW376" s="89" t="s">
        <v>646</v>
      </c>
      <c r="AX376" s="89" t="s">
        <v>646</v>
      </c>
      <c r="AY376" s="89" t="s">
        <v>19684</v>
      </c>
      <c r="AZ376" s="89" t="s">
        <v>19685</v>
      </c>
      <c r="BA376" s="89" t="s">
        <v>646</v>
      </c>
      <c r="BB376" s="89" t="s">
        <v>646</v>
      </c>
      <c r="BC376" s="89" t="s">
        <v>646</v>
      </c>
      <c r="BD376" s="89" t="s">
        <v>17823</v>
      </c>
      <c r="BE376" s="89">
        <v>2020</v>
      </c>
      <c r="BF376" s="89">
        <v>40</v>
      </c>
      <c r="BG376" s="89">
        <v>4</v>
      </c>
      <c r="BH376" s="89" t="s">
        <v>646</v>
      </c>
      <c r="BI376" s="89" t="s">
        <v>646</v>
      </c>
      <c r="BJ376" s="89" t="s">
        <v>646</v>
      </c>
      <c r="BK376" s="89" t="s">
        <v>646</v>
      </c>
      <c r="BL376" s="89" t="s">
        <v>20717</v>
      </c>
      <c r="BM376" s="89" t="s">
        <v>20718</v>
      </c>
      <c r="BN376" s="89" t="s">
        <v>646</v>
      </c>
      <c r="BO376" s="89" t="str">
        <f>HYPERLINK("http://dx.doi.org/10.1093/asj/sjz344","http://dx.doi.org/10.1093/asj/sjz344")</f>
        <v>http://dx.doi.org/10.1093/asj/sjz344</v>
      </c>
      <c r="BP376" s="89" t="s">
        <v>646</v>
      </c>
      <c r="BQ376" s="89" t="s">
        <v>646</v>
      </c>
      <c r="BR376" s="89" t="s">
        <v>646</v>
      </c>
      <c r="BS376" s="89" t="s">
        <v>646</v>
      </c>
      <c r="BT376" s="89" t="s">
        <v>646</v>
      </c>
      <c r="BU376" s="89" t="s">
        <v>646</v>
      </c>
      <c r="BV376" s="89" t="s">
        <v>646</v>
      </c>
      <c r="BW376" s="89">
        <v>32022865</v>
      </c>
      <c r="BX376" s="89" t="s">
        <v>646</v>
      </c>
      <c r="BY376" s="89" t="s">
        <v>646</v>
      </c>
      <c r="BZ376" s="89" t="s">
        <v>646</v>
      </c>
      <c r="CA376" s="89" t="s">
        <v>646</v>
      </c>
      <c r="CB376" s="89" t="s">
        <v>20719</v>
      </c>
      <c r="CC376" s="89" t="str">
        <f>HYPERLINK("https%3A%2F%2Fwww.webofscience.com%2Fwos%2Fwoscc%2Ffull-record%2FWOS:000558971600009","View Full Record in Web of Science")</f>
        <v>View Full Record in Web of Science</v>
      </c>
    </row>
    <row r="377" spans="1:81" ht="13.2" hidden="1" x14ac:dyDescent="0.25">
      <c r="A377" s="89" t="s">
        <v>12318</v>
      </c>
      <c r="B377" s="89" t="e">
        <f>+#REF!</f>
        <v>#REF!</v>
      </c>
      <c r="C377" s="89"/>
      <c r="D377" s="91" t="s">
        <v>717</v>
      </c>
      <c r="E377" s="90" t="e">
        <v>#REF!</v>
      </c>
      <c r="F377" s="89"/>
      <c r="G377" s="89"/>
      <c r="H377" s="89" t="s">
        <v>12319</v>
      </c>
      <c r="I377" s="89" t="s">
        <v>20720</v>
      </c>
      <c r="J377" s="89" t="s">
        <v>20723</v>
      </c>
      <c r="K377" s="89" t="s">
        <v>20722</v>
      </c>
      <c r="M377" s="89">
        <v>2018</v>
      </c>
      <c r="N377" s="89" t="s">
        <v>20721</v>
      </c>
      <c r="O377" s="89" t="s">
        <v>646</v>
      </c>
      <c r="P377" s="89" t="str">
        <f>HYPERLINK("http://dx.doi.org/10.1186/s13677-018-0121-8","http://dx.doi.org/10.1186/s13677-018-0121-8")</f>
        <v>http://dx.doi.org/10.1186/s13677-018-0121-8</v>
      </c>
      <c r="S377" s="89" t="s">
        <v>646</v>
      </c>
      <c r="U377" s="89" t="s">
        <v>17462</v>
      </c>
      <c r="W377" s="89" t="s">
        <v>646</v>
      </c>
      <c r="X377" s="89" t="s">
        <v>646</v>
      </c>
      <c r="Y377" s="89" t="s">
        <v>646</v>
      </c>
      <c r="Z377" s="89" t="s">
        <v>646</v>
      </c>
      <c r="AA377" s="89" t="s">
        <v>646</v>
      </c>
      <c r="AB377" s="89" t="s">
        <v>646</v>
      </c>
      <c r="AC377" s="89" t="s">
        <v>646</v>
      </c>
      <c r="AD377" s="89" t="s">
        <v>646</v>
      </c>
      <c r="AE377" s="89" t="s">
        <v>646</v>
      </c>
      <c r="AF377" s="89" t="s">
        <v>20722</v>
      </c>
      <c r="AG377" s="89" t="s">
        <v>646</v>
      </c>
      <c r="AH377" s="89" t="s">
        <v>646</v>
      </c>
      <c r="AI377" s="89" t="s">
        <v>646</v>
      </c>
      <c r="AJ377" s="89" t="s">
        <v>646</v>
      </c>
      <c r="AK377" s="89" t="s">
        <v>20723</v>
      </c>
      <c r="AL377" s="89" t="s">
        <v>20724</v>
      </c>
      <c r="AM377" s="89" t="s">
        <v>646</v>
      </c>
      <c r="AN377" s="89" t="s">
        <v>646</v>
      </c>
      <c r="AO377" s="89" t="s">
        <v>646</v>
      </c>
      <c r="AP377" s="89" t="s">
        <v>646</v>
      </c>
      <c r="AQ377" s="89" t="s">
        <v>646</v>
      </c>
      <c r="AR377" s="89" t="s">
        <v>646</v>
      </c>
      <c r="AS377" s="89" t="s">
        <v>646</v>
      </c>
      <c r="AT377" s="89" t="s">
        <v>646</v>
      </c>
      <c r="AU377" s="89" t="s">
        <v>646</v>
      </c>
      <c r="AV377" s="89" t="s">
        <v>646</v>
      </c>
      <c r="AW377" s="89" t="s">
        <v>646</v>
      </c>
      <c r="AX377" s="89" t="s">
        <v>646</v>
      </c>
      <c r="AY377" s="89" t="s">
        <v>20725</v>
      </c>
      <c r="AZ377" s="89" t="s">
        <v>646</v>
      </c>
      <c r="BA377" s="89" t="s">
        <v>646</v>
      </c>
      <c r="BB377" s="89" t="s">
        <v>646</v>
      </c>
      <c r="BC377" s="89" t="s">
        <v>646</v>
      </c>
      <c r="BD377" s="89" t="s">
        <v>20726</v>
      </c>
      <c r="BE377" s="89">
        <v>2018</v>
      </c>
      <c r="BF377" s="89">
        <v>7</v>
      </c>
      <c r="BG377" s="89" t="s">
        <v>646</v>
      </c>
      <c r="BH377" s="89" t="s">
        <v>646</v>
      </c>
      <c r="BI377" s="89" t="s">
        <v>646</v>
      </c>
      <c r="BJ377" s="89" t="s">
        <v>646</v>
      </c>
      <c r="BK377" s="89" t="s">
        <v>646</v>
      </c>
      <c r="BL377" s="89" t="s">
        <v>646</v>
      </c>
      <c r="BM377" s="89" t="s">
        <v>646</v>
      </c>
      <c r="BN377" s="89">
        <v>22</v>
      </c>
      <c r="BO377" s="89" t="str">
        <f>HYPERLINK("http://dx.doi.org/10.1186/s13677-018-0121-8","http://dx.doi.org/10.1186/s13677-018-0121-8")</f>
        <v>http://dx.doi.org/10.1186/s13677-018-0121-8</v>
      </c>
      <c r="BP377" s="89" t="s">
        <v>646</v>
      </c>
      <c r="BQ377" s="89" t="s">
        <v>646</v>
      </c>
      <c r="BR377" s="89" t="s">
        <v>646</v>
      </c>
      <c r="BS377" s="89" t="s">
        <v>646</v>
      </c>
      <c r="BT377" s="89" t="s">
        <v>646</v>
      </c>
      <c r="BU377" s="89" t="s">
        <v>646</v>
      </c>
      <c r="BV377" s="89" t="s">
        <v>646</v>
      </c>
      <c r="BW377" s="89" t="s">
        <v>646</v>
      </c>
      <c r="BX377" s="89" t="s">
        <v>646</v>
      </c>
      <c r="BY377" s="89" t="s">
        <v>646</v>
      </c>
      <c r="BZ377" s="89" t="s">
        <v>646</v>
      </c>
      <c r="CA377" s="89" t="s">
        <v>646</v>
      </c>
      <c r="CB377" s="89" t="s">
        <v>20727</v>
      </c>
      <c r="CC377" s="89" t="str">
        <f>HYPERLINK("https%3A%2F%2Fwww.webofscience.com%2Fwos%2Fwoscc%2Ffull-record%2FWOS:000453593800001","View Full Record in Web of Science")</f>
        <v>View Full Record in Web of Science</v>
      </c>
    </row>
    <row r="378" spans="1:81" ht="13.2" hidden="1" x14ac:dyDescent="0.25">
      <c r="A378" s="89" t="s">
        <v>20728</v>
      </c>
      <c r="B378" s="89" t="e">
        <f>+#REF!</f>
        <v>#REF!</v>
      </c>
      <c r="C378" s="89"/>
      <c r="D378" s="91" t="s">
        <v>717</v>
      </c>
      <c r="E378" s="90" t="e">
        <v>#REF!</v>
      </c>
      <c r="F378" s="89"/>
      <c r="G378" s="89"/>
      <c r="H378" s="89" t="s">
        <v>12329</v>
      </c>
      <c r="I378" s="89" t="s">
        <v>20729</v>
      </c>
      <c r="J378" s="89" t="s">
        <v>20736</v>
      </c>
      <c r="K378" s="89" t="s">
        <v>20735</v>
      </c>
      <c r="M378" s="89">
        <v>2018</v>
      </c>
      <c r="N378" s="89" t="s">
        <v>20730</v>
      </c>
      <c r="O378" s="89" t="s">
        <v>646</v>
      </c>
      <c r="P378" s="89" t="str">
        <f>HYPERLINK("http://dx.doi.org/10.1145/3159652.3159661","http://dx.doi.org/10.1145/3159652.3159661")</f>
        <v>http://dx.doi.org/10.1145/3159652.3159661</v>
      </c>
      <c r="S378" s="89" t="s">
        <v>19206</v>
      </c>
      <c r="U378" s="89" t="s">
        <v>17474</v>
      </c>
      <c r="W378" s="89" t="s">
        <v>646</v>
      </c>
      <c r="X378" s="89" t="s">
        <v>646</v>
      </c>
      <c r="Y378" s="89" t="s">
        <v>20731</v>
      </c>
      <c r="Z378" s="89" t="s">
        <v>20732</v>
      </c>
      <c r="AA378" s="89" t="s">
        <v>20733</v>
      </c>
      <c r="AB378" s="89" t="s">
        <v>20734</v>
      </c>
      <c r="AC378" s="89" t="s">
        <v>646</v>
      </c>
      <c r="AD378" s="89" t="s">
        <v>646</v>
      </c>
      <c r="AE378" s="89" t="s">
        <v>646</v>
      </c>
      <c r="AF378" s="89" t="s">
        <v>20735</v>
      </c>
      <c r="AG378" s="89" t="s">
        <v>646</v>
      </c>
      <c r="AH378" s="89" t="s">
        <v>646</v>
      </c>
      <c r="AI378" s="89" t="s">
        <v>646</v>
      </c>
      <c r="AJ378" s="89" t="s">
        <v>646</v>
      </c>
      <c r="AK378" s="89" t="s">
        <v>20736</v>
      </c>
      <c r="AL378" s="89" t="s">
        <v>20737</v>
      </c>
      <c r="AM378" s="89" t="s">
        <v>646</v>
      </c>
      <c r="AN378" s="89" t="s">
        <v>646</v>
      </c>
      <c r="AO378" s="89" t="s">
        <v>646</v>
      </c>
      <c r="AP378" s="89" t="s">
        <v>646</v>
      </c>
      <c r="AQ378" s="89" t="s">
        <v>646</v>
      </c>
      <c r="AR378" s="89" t="s">
        <v>646</v>
      </c>
      <c r="AS378" s="89" t="s">
        <v>646</v>
      </c>
      <c r="AT378" s="89" t="s">
        <v>646</v>
      </c>
      <c r="AU378" s="89" t="s">
        <v>646</v>
      </c>
      <c r="AV378" s="89" t="s">
        <v>646</v>
      </c>
      <c r="AW378" s="89" t="s">
        <v>646</v>
      </c>
      <c r="AX378" s="89" t="s">
        <v>646</v>
      </c>
      <c r="AY378" s="89" t="s">
        <v>646</v>
      </c>
      <c r="AZ378" s="89" t="s">
        <v>646</v>
      </c>
      <c r="BA378" s="89" t="s">
        <v>20738</v>
      </c>
      <c r="BB378" s="89" t="s">
        <v>646</v>
      </c>
      <c r="BC378" s="89" t="s">
        <v>646</v>
      </c>
      <c r="BD378" s="89" t="s">
        <v>646</v>
      </c>
      <c r="BE378" s="89">
        <v>2018</v>
      </c>
      <c r="BF378" s="89" t="s">
        <v>646</v>
      </c>
      <c r="BG378" s="89" t="s">
        <v>646</v>
      </c>
      <c r="BH378" s="89" t="s">
        <v>646</v>
      </c>
      <c r="BI378" s="89" t="s">
        <v>646</v>
      </c>
      <c r="BJ378" s="89" t="s">
        <v>646</v>
      </c>
      <c r="BK378" s="89" t="s">
        <v>646</v>
      </c>
      <c r="BL378" s="89">
        <v>135</v>
      </c>
      <c r="BM378" s="89">
        <v>143</v>
      </c>
      <c r="BN378" s="89" t="s">
        <v>646</v>
      </c>
      <c r="BO378" s="89" t="str">
        <f>HYPERLINK("http://dx.doi.org/10.1145/3159652.3159661","http://dx.doi.org/10.1145/3159652.3159661")</f>
        <v>http://dx.doi.org/10.1145/3159652.3159661</v>
      </c>
      <c r="BP378" s="89" t="s">
        <v>646</v>
      </c>
      <c r="BQ378" s="89" t="s">
        <v>646</v>
      </c>
      <c r="BR378" s="89" t="s">
        <v>646</v>
      </c>
      <c r="BS378" s="89" t="s">
        <v>646</v>
      </c>
      <c r="BT378" s="89" t="s">
        <v>646</v>
      </c>
      <c r="BU378" s="89" t="s">
        <v>646</v>
      </c>
      <c r="BV378" s="89" t="s">
        <v>646</v>
      </c>
      <c r="BW378" s="89" t="s">
        <v>646</v>
      </c>
      <c r="BX378" s="89" t="s">
        <v>646</v>
      </c>
      <c r="BY378" s="89" t="s">
        <v>646</v>
      </c>
      <c r="BZ378" s="89" t="s">
        <v>646</v>
      </c>
      <c r="CA378" s="89" t="s">
        <v>646</v>
      </c>
      <c r="CB378" s="89" t="s">
        <v>20739</v>
      </c>
      <c r="CC378" s="89" t="str">
        <f>HYPERLINK("https%3A%2F%2Fwww.webofscience.com%2Fwos%2Fwoscc%2Ffull-record%2FWOS:000456363600022","View Full Record in Web of Science")</f>
        <v>View Full Record in Web of Science</v>
      </c>
    </row>
    <row r="379" spans="1:81" ht="13.2" hidden="1" x14ac:dyDescent="0.25">
      <c r="A379" s="89" t="s">
        <v>20740</v>
      </c>
      <c r="B379" s="89" t="e">
        <f>+#REF!</f>
        <v>#REF!</v>
      </c>
      <c r="C379" s="89"/>
      <c r="D379" s="91" t="s">
        <v>717</v>
      </c>
      <c r="E379" s="90" t="e">
        <v>#REF!</v>
      </c>
      <c r="F379" s="89"/>
      <c r="G379" s="89"/>
      <c r="H379" s="89" t="s">
        <v>12338</v>
      </c>
      <c r="I379" s="89" t="s">
        <v>20741</v>
      </c>
      <c r="J379" s="89" t="s">
        <v>646</v>
      </c>
      <c r="K379" s="89" t="s">
        <v>20747</v>
      </c>
      <c r="M379" s="89">
        <v>2015</v>
      </c>
      <c r="N379" s="89" t="s">
        <v>20742</v>
      </c>
      <c r="O379" s="89" t="s">
        <v>646</v>
      </c>
      <c r="P379" s="89" t="str">
        <f>HYPERLINK("http://dx.doi.org/10.1109/WI-IAT.2015.81","http://dx.doi.org/10.1109/WI-IAT.2015.81")</f>
        <v>http://dx.doi.org/10.1109/WI-IAT.2015.81</v>
      </c>
      <c r="S379" s="89" t="s">
        <v>17475</v>
      </c>
      <c r="U379" s="89" t="s">
        <v>17474</v>
      </c>
      <c r="W379" s="89" t="s">
        <v>646</v>
      </c>
      <c r="X379" s="89" t="s">
        <v>646</v>
      </c>
      <c r="Y379" s="89" t="s">
        <v>20743</v>
      </c>
      <c r="Z379" s="89" t="s">
        <v>20744</v>
      </c>
      <c r="AA379" s="89" t="s">
        <v>20745</v>
      </c>
      <c r="AB379" s="89" t="s">
        <v>20746</v>
      </c>
      <c r="AC379" s="89" t="s">
        <v>646</v>
      </c>
      <c r="AD379" s="89" t="s">
        <v>646</v>
      </c>
      <c r="AE379" s="89" t="s">
        <v>646</v>
      </c>
      <c r="AF379" s="89" t="s">
        <v>20747</v>
      </c>
      <c r="AG379" s="89" t="s">
        <v>646</v>
      </c>
      <c r="AH379" s="89" t="s">
        <v>646</v>
      </c>
      <c r="AI379" s="89" t="s">
        <v>646</v>
      </c>
      <c r="AJ379" s="89" t="s">
        <v>646</v>
      </c>
      <c r="AK379" s="89" t="s">
        <v>646</v>
      </c>
      <c r="AL379" s="89" t="s">
        <v>646</v>
      </c>
      <c r="AM379" s="89" t="s">
        <v>646</v>
      </c>
      <c r="AN379" s="89" t="s">
        <v>646</v>
      </c>
      <c r="AO379" s="89" t="s">
        <v>646</v>
      </c>
      <c r="AP379" s="89" t="s">
        <v>646</v>
      </c>
      <c r="AQ379" s="89" t="s">
        <v>646</v>
      </c>
      <c r="AR379" s="89" t="s">
        <v>646</v>
      </c>
      <c r="AS379" s="89" t="s">
        <v>646</v>
      </c>
      <c r="AT379" s="89" t="s">
        <v>646</v>
      </c>
      <c r="AU379" s="89" t="s">
        <v>646</v>
      </c>
      <c r="AV379" s="89" t="s">
        <v>646</v>
      </c>
      <c r="AW379" s="89" t="s">
        <v>646</v>
      </c>
      <c r="AX379" s="89" t="s">
        <v>646</v>
      </c>
      <c r="AY379" s="89" t="s">
        <v>646</v>
      </c>
      <c r="AZ379" s="89" t="s">
        <v>646</v>
      </c>
      <c r="BA379" s="89" t="s">
        <v>20748</v>
      </c>
      <c r="BB379" s="89" t="s">
        <v>646</v>
      </c>
      <c r="BC379" s="89" t="s">
        <v>646</v>
      </c>
      <c r="BD379" s="89" t="s">
        <v>646</v>
      </c>
      <c r="BE379" s="89">
        <v>2015</v>
      </c>
      <c r="BF379" s="89" t="s">
        <v>646</v>
      </c>
      <c r="BG379" s="89" t="s">
        <v>646</v>
      </c>
      <c r="BH379" s="89" t="s">
        <v>646</v>
      </c>
      <c r="BI379" s="89" t="s">
        <v>646</v>
      </c>
      <c r="BJ379" s="89" t="s">
        <v>646</v>
      </c>
      <c r="BK379" s="89" t="s">
        <v>646</v>
      </c>
      <c r="BL379" s="89">
        <v>9</v>
      </c>
      <c r="BM379" s="89">
        <v>16</v>
      </c>
      <c r="BN379" s="89" t="s">
        <v>646</v>
      </c>
      <c r="BO379" s="89" t="str">
        <f>HYPERLINK("http://dx.doi.org/10.1109/WI-IAT.2015.81","http://dx.doi.org/10.1109/WI-IAT.2015.81")</f>
        <v>http://dx.doi.org/10.1109/WI-IAT.2015.81</v>
      </c>
      <c r="BP379" s="89" t="s">
        <v>646</v>
      </c>
      <c r="BQ379" s="89" t="s">
        <v>646</v>
      </c>
      <c r="BR379" s="89" t="s">
        <v>646</v>
      </c>
      <c r="BS379" s="89" t="s">
        <v>646</v>
      </c>
      <c r="BT379" s="89" t="s">
        <v>646</v>
      </c>
      <c r="BU379" s="89" t="s">
        <v>646</v>
      </c>
      <c r="BV379" s="89" t="s">
        <v>646</v>
      </c>
      <c r="BW379" s="89" t="s">
        <v>646</v>
      </c>
      <c r="BX379" s="89" t="s">
        <v>646</v>
      </c>
      <c r="BY379" s="89" t="s">
        <v>646</v>
      </c>
      <c r="BZ379" s="89" t="s">
        <v>646</v>
      </c>
      <c r="CA379" s="89" t="s">
        <v>646</v>
      </c>
      <c r="CB379" s="89" t="s">
        <v>20749</v>
      </c>
      <c r="CC379" s="89" t="str">
        <f>HYPERLINK("https%3A%2F%2Fwww.webofscience.com%2Fwos%2Fwoscc%2Ffull-record%2FWOS:000393162800002","View Full Record in Web of Science")</f>
        <v>View Full Record in Web of Science</v>
      </c>
    </row>
    <row r="380" spans="1:81" ht="13.2" hidden="1" x14ac:dyDescent="0.25">
      <c r="A380" s="89" t="s">
        <v>20750</v>
      </c>
      <c r="B380" s="89" t="e">
        <f>+#REF!</f>
        <v>#REF!</v>
      </c>
      <c r="C380" s="89"/>
      <c r="D380" s="91" t="s">
        <v>717</v>
      </c>
      <c r="E380" s="90" t="e">
        <v>#REF!</v>
      </c>
      <c r="F380" s="89"/>
      <c r="G380" s="89"/>
      <c r="H380" s="89" t="s">
        <v>9369</v>
      </c>
      <c r="I380" s="89" t="s">
        <v>20751</v>
      </c>
      <c r="J380" s="89" t="s">
        <v>646</v>
      </c>
      <c r="K380" s="89" t="s">
        <v>20752</v>
      </c>
      <c r="M380" s="89">
        <v>2021</v>
      </c>
      <c r="N380" s="89" t="s">
        <v>18693</v>
      </c>
      <c r="O380" s="89" t="s">
        <v>646</v>
      </c>
      <c r="P380" s="89" t="str">
        <f>HYPERLINK("http://dx.doi.org/10.3390/ijerph18105211","http://dx.doi.org/10.3390/ijerph18105211")</f>
        <v>http://dx.doi.org/10.3390/ijerph18105211</v>
      </c>
      <c r="S380" s="89" t="s">
        <v>646</v>
      </c>
      <c r="U380" s="89" t="s">
        <v>17462</v>
      </c>
      <c r="W380" s="89" t="s">
        <v>646</v>
      </c>
      <c r="X380" s="89" t="s">
        <v>646</v>
      </c>
      <c r="Y380" s="89" t="s">
        <v>646</v>
      </c>
      <c r="Z380" s="89" t="s">
        <v>646</v>
      </c>
      <c r="AA380" s="89" t="s">
        <v>646</v>
      </c>
      <c r="AB380" s="89" t="s">
        <v>646</v>
      </c>
      <c r="AC380" s="89" t="s">
        <v>646</v>
      </c>
      <c r="AD380" s="89" t="s">
        <v>646</v>
      </c>
      <c r="AE380" s="89" t="s">
        <v>646</v>
      </c>
      <c r="AF380" s="89" t="s">
        <v>20752</v>
      </c>
      <c r="AG380" s="89" t="s">
        <v>646</v>
      </c>
      <c r="AH380" s="89" t="s">
        <v>646</v>
      </c>
      <c r="AI380" s="89" t="s">
        <v>646</v>
      </c>
      <c r="AJ380" s="89" t="s">
        <v>646</v>
      </c>
      <c r="AK380" s="89" t="s">
        <v>646</v>
      </c>
      <c r="AL380" s="89" t="s">
        <v>20753</v>
      </c>
      <c r="AM380" s="89" t="s">
        <v>646</v>
      </c>
      <c r="AN380" s="89" t="s">
        <v>646</v>
      </c>
      <c r="AO380" s="89" t="s">
        <v>646</v>
      </c>
      <c r="AP380" s="89" t="s">
        <v>646</v>
      </c>
      <c r="AQ380" s="89" t="s">
        <v>646</v>
      </c>
      <c r="AR380" s="89" t="s">
        <v>646</v>
      </c>
      <c r="AS380" s="89" t="s">
        <v>646</v>
      </c>
      <c r="AT380" s="89" t="s">
        <v>646</v>
      </c>
      <c r="AU380" s="89" t="s">
        <v>646</v>
      </c>
      <c r="AV380" s="89" t="s">
        <v>646</v>
      </c>
      <c r="AW380" s="89" t="s">
        <v>646</v>
      </c>
      <c r="AX380" s="89" t="s">
        <v>646</v>
      </c>
      <c r="AY380" s="89" t="s">
        <v>646</v>
      </c>
      <c r="AZ380" s="89" t="s">
        <v>18697</v>
      </c>
      <c r="BA380" s="89" t="s">
        <v>646</v>
      </c>
      <c r="BB380" s="89" t="s">
        <v>646</v>
      </c>
      <c r="BC380" s="89" t="s">
        <v>646</v>
      </c>
      <c r="BD380" s="89" t="s">
        <v>18436</v>
      </c>
      <c r="BE380" s="89">
        <v>2021</v>
      </c>
      <c r="BF380" s="89">
        <v>18</v>
      </c>
      <c r="BG380" s="89">
        <v>10</v>
      </c>
      <c r="BH380" s="89" t="s">
        <v>646</v>
      </c>
      <c r="BI380" s="89" t="s">
        <v>646</v>
      </c>
      <c r="BJ380" s="89" t="s">
        <v>646</v>
      </c>
      <c r="BK380" s="89" t="s">
        <v>646</v>
      </c>
      <c r="BL380" s="89" t="s">
        <v>646</v>
      </c>
      <c r="BM380" s="89" t="s">
        <v>646</v>
      </c>
      <c r="BN380" s="89">
        <v>5211</v>
      </c>
      <c r="BO380" s="89" t="str">
        <f>HYPERLINK("http://dx.doi.org/10.3390/ijerph18105211","http://dx.doi.org/10.3390/ijerph18105211")</f>
        <v>http://dx.doi.org/10.3390/ijerph18105211</v>
      </c>
      <c r="BP380" s="89" t="s">
        <v>646</v>
      </c>
      <c r="BQ380" s="89" t="s">
        <v>646</v>
      </c>
      <c r="BR380" s="89" t="s">
        <v>646</v>
      </c>
      <c r="BS380" s="89" t="s">
        <v>646</v>
      </c>
      <c r="BT380" s="89" t="s">
        <v>646</v>
      </c>
      <c r="BU380" s="89" t="s">
        <v>646</v>
      </c>
      <c r="BV380" s="89" t="s">
        <v>646</v>
      </c>
      <c r="BW380" s="89">
        <v>34068883</v>
      </c>
      <c r="BX380" s="89" t="s">
        <v>646</v>
      </c>
      <c r="BY380" s="89" t="s">
        <v>646</v>
      </c>
      <c r="BZ380" s="89" t="s">
        <v>646</v>
      </c>
      <c r="CA380" s="89" t="s">
        <v>646</v>
      </c>
      <c r="CB380" s="89" t="s">
        <v>20754</v>
      </c>
      <c r="CC380" s="89" t="str">
        <f>HYPERLINK("https%3A%2F%2Fwww.webofscience.com%2Fwos%2Fwoscc%2Ffull-record%2FWOS:000655177700001","View Full Record in Web of Science")</f>
        <v>View Full Record in Web of Science</v>
      </c>
    </row>
    <row r="381" spans="1:81" ht="13.2" hidden="1" x14ac:dyDescent="0.25">
      <c r="A381" s="89" t="s">
        <v>12344</v>
      </c>
      <c r="B381" s="89" t="e">
        <f>+#REF!</f>
        <v>#REF!</v>
      </c>
      <c r="C381" s="89"/>
      <c r="D381" s="91" t="s">
        <v>717</v>
      </c>
      <c r="E381" s="90" t="e">
        <v>#REF!</v>
      </c>
      <c r="F381" s="89"/>
      <c r="G381" s="89"/>
      <c r="H381" s="89" t="s">
        <v>12345</v>
      </c>
      <c r="I381" s="89" t="s">
        <v>20755</v>
      </c>
      <c r="J381" s="89" t="s">
        <v>20758</v>
      </c>
      <c r="K381" s="89" t="s">
        <v>20757</v>
      </c>
      <c r="M381" s="89">
        <v>2004</v>
      </c>
      <c r="N381" s="89" t="s">
        <v>20756</v>
      </c>
      <c r="O381" s="89" t="s">
        <v>646</v>
      </c>
      <c r="P381" s="89" t="str">
        <f>HYPERLINK("http://dx.doi.org/10.1108/00220410410548162","http://dx.doi.org/10.1108/00220410410548162")</f>
        <v>http://dx.doi.org/10.1108/00220410410548162</v>
      </c>
      <c r="S381" s="89" t="s">
        <v>646</v>
      </c>
      <c r="U381" s="89" t="s">
        <v>17462</v>
      </c>
      <c r="W381" s="89" t="s">
        <v>646</v>
      </c>
      <c r="X381" s="89" t="s">
        <v>646</v>
      </c>
      <c r="Y381" s="89" t="s">
        <v>646</v>
      </c>
      <c r="Z381" s="89" t="s">
        <v>646</v>
      </c>
      <c r="AA381" s="89" t="s">
        <v>646</v>
      </c>
      <c r="AB381" s="89" t="s">
        <v>646</v>
      </c>
      <c r="AC381" s="89" t="s">
        <v>646</v>
      </c>
      <c r="AD381" s="89" t="s">
        <v>646</v>
      </c>
      <c r="AE381" s="89" t="s">
        <v>646</v>
      </c>
      <c r="AF381" s="89" t="s">
        <v>20757</v>
      </c>
      <c r="AG381" s="89" t="s">
        <v>646</v>
      </c>
      <c r="AH381" s="89" t="s">
        <v>646</v>
      </c>
      <c r="AI381" s="89" t="s">
        <v>646</v>
      </c>
      <c r="AJ381" s="89" t="s">
        <v>646</v>
      </c>
      <c r="AK381" s="89" t="s">
        <v>20758</v>
      </c>
      <c r="AL381" s="89" t="s">
        <v>20759</v>
      </c>
      <c r="AM381" s="89" t="s">
        <v>646</v>
      </c>
      <c r="AN381" s="89" t="s">
        <v>646</v>
      </c>
      <c r="AO381" s="89" t="s">
        <v>646</v>
      </c>
      <c r="AP381" s="89" t="s">
        <v>646</v>
      </c>
      <c r="AQ381" s="89" t="s">
        <v>646</v>
      </c>
      <c r="AR381" s="89" t="s">
        <v>646</v>
      </c>
      <c r="AS381" s="89" t="s">
        <v>646</v>
      </c>
      <c r="AT381" s="89" t="s">
        <v>646</v>
      </c>
      <c r="AU381" s="89" t="s">
        <v>646</v>
      </c>
      <c r="AV381" s="89" t="s">
        <v>646</v>
      </c>
      <c r="AW381" s="89" t="s">
        <v>646</v>
      </c>
      <c r="AX381" s="89" t="s">
        <v>646</v>
      </c>
      <c r="AY381" s="89" t="s">
        <v>20760</v>
      </c>
      <c r="AZ381" s="89" t="s">
        <v>646</v>
      </c>
      <c r="BA381" s="89" t="s">
        <v>646</v>
      </c>
      <c r="BB381" s="89" t="s">
        <v>646</v>
      </c>
      <c r="BC381" s="89" t="s">
        <v>646</v>
      </c>
      <c r="BD381" s="89" t="s">
        <v>646</v>
      </c>
      <c r="BE381" s="89">
        <v>2004</v>
      </c>
      <c r="BF381" s="89">
        <v>60</v>
      </c>
      <c r="BG381" s="89">
        <v>4</v>
      </c>
      <c r="BH381" s="89" t="s">
        <v>646</v>
      </c>
      <c r="BI381" s="89" t="s">
        <v>646</v>
      </c>
      <c r="BJ381" s="89" t="s">
        <v>646</v>
      </c>
      <c r="BK381" s="89" t="s">
        <v>646</v>
      </c>
      <c r="BL381" s="89">
        <v>449</v>
      </c>
      <c r="BM381" s="89">
        <v>475</v>
      </c>
      <c r="BN381" s="89" t="s">
        <v>646</v>
      </c>
      <c r="BO381" s="89" t="str">
        <f>HYPERLINK("http://dx.doi.org/10.1108/00220410410548162","http://dx.doi.org/10.1108/00220410410548162")</f>
        <v>http://dx.doi.org/10.1108/00220410410548162</v>
      </c>
      <c r="BP381" s="89" t="s">
        <v>646</v>
      </c>
      <c r="BQ381" s="89" t="s">
        <v>646</v>
      </c>
      <c r="BR381" s="89" t="s">
        <v>646</v>
      </c>
      <c r="BS381" s="89" t="s">
        <v>646</v>
      </c>
      <c r="BT381" s="89" t="s">
        <v>646</v>
      </c>
      <c r="BU381" s="89" t="s">
        <v>646</v>
      </c>
      <c r="BV381" s="89" t="s">
        <v>646</v>
      </c>
      <c r="BW381" s="89" t="s">
        <v>646</v>
      </c>
      <c r="BX381" s="89" t="s">
        <v>646</v>
      </c>
      <c r="BY381" s="89" t="s">
        <v>646</v>
      </c>
      <c r="BZ381" s="89" t="s">
        <v>646</v>
      </c>
      <c r="CA381" s="89" t="s">
        <v>646</v>
      </c>
      <c r="CB381" s="89" t="s">
        <v>20761</v>
      </c>
      <c r="CC381" s="89" t="str">
        <f>HYPERLINK("https%3A%2F%2Fwww.webofscience.com%2Fwos%2Fwoscc%2Ffull-record%2FWOS:000229202000007","View Full Record in Web of Science")</f>
        <v>View Full Record in Web of Science</v>
      </c>
    </row>
    <row r="382" spans="1:81" ht="13.2" hidden="1" x14ac:dyDescent="0.25">
      <c r="A382" s="89" t="s">
        <v>20762</v>
      </c>
      <c r="B382" s="89" t="e">
        <f>+#REF!</f>
        <v>#REF!</v>
      </c>
      <c r="C382" s="89"/>
      <c r="D382" s="91" t="s">
        <v>717</v>
      </c>
      <c r="E382" s="90" t="e">
        <v>#REF!</v>
      </c>
      <c r="F382" s="89"/>
      <c r="G382" s="89"/>
      <c r="H382" s="89" t="s">
        <v>12354</v>
      </c>
      <c r="I382" s="89" t="s">
        <v>20763</v>
      </c>
      <c r="J382" s="89" t="s">
        <v>20766</v>
      </c>
      <c r="K382" s="89" t="s">
        <v>20765</v>
      </c>
      <c r="M382" s="89">
        <v>2017</v>
      </c>
      <c r="N382" s="89" t="s">
        <v>20764</v>
      </c>
      <c r="O382" s="89" t="s">
        <v>646</v>
      </c>
      <c r="P382" s="89" t="str">
        <f>HYPERLINK("http://dx.doi.org/10.1177/1473871616681375","http://dx.doi.org/10.1177/1473871616681375")</f>
        <v>http://dx.doi.org/10.1177/1473871616681375</v>
      </c>
      <c r="S382" s="89" t="s">
        <v>646</v>
      </c>
      <c r="U382" s="89" t="s">
        <v>17462</v>
      </c>
      <c r="W382" s="89" t="s">
        <v>646</v>
      </c>
      <c r="X382" s="89" t="s">
        <v>646</v>
      </c>
      <c r="Y382" s="89" t="s">
        <v>646</v>
      </c>
      <c r="Z382" s="89" t="s">
        <v>646</v>
      </c>
      <c r="AA382" s="89" t="s">
        <v>646</v>
      </c>
      <c r="AB382" s="89" t="s">
        <v>646</v>
      </c>
      <c r="AC382" s="89" t="s">
        <v>646</v>
      </c>
      <c r="AD382" s="89" t="s">
        <v>646</v>
      </c>
      <c r="AE382" s="89" t="s">
        <v>646</v>
      </c>
      <c r="AF382" s="89" t="s">
        <v>20765</v>
      </c>
      <c r="AG382" s="89" t="s">
        <v>646</v>
      </c>
      <c r="AH382" s="89" t="s">
        <v>646</v>
      </c>
      <c r="AI382" s="89" t="s">
        <v>646</v>
      </c>
      <c r="AJ382" s="89" t="s">
        <v>646</v>
      </c>
      <c r="AK382" s="89" t="s">
        <v>20766</v>
      </c>
      <c r="AL382" s="89" t="s">
        <v>20767</v>
      </c>
      <c r="AM382" s="89" t="s">
        <v>646</v>
      </c>
      <c r="AN382" s="89" t="s">
        <v>646</v>
      </c>
      <c r="AO382" s="89" t="s">
        <v>646</v>
      </c>
      <c r="AP382" s="89" t="s">
        <v>646</v>
      </c>
      <c r="AQ382" s="89" t="s">
        <v>646</v>
      </c>
      <c r="AR382" s="89" t="s">
        <v>646</v>
      </c>
      <c r="AS382" s="89" t="s">
        <v>646</v>
      </c>
      <c r="AT382" s="89" t="s">
        <v>646</v>
      </c>
      <c r="AU382" s="89" t="s">
        <v>646</v>
      </c>
      <c r="AV382" s="89" t="s">
        <v>646</v>
      </c>
      <c r="AW382" s="89" t="s">
        <v>646</v>
      </c>
      <c r="AX382" s="89" t="s">
        <v>646</v>
      </c>
      <c r="AY382" s="89" t="s">
        <v>20768</v>
      </c>
      <c r="AZ382" s="89" t="s">
        <v>20769</v>
      </c>
      <c r="BA382" s="89" t="s">
        <v>646</v>
      </c>
      <c r="BB382" s="89" t="s">
        <v>646</v>
      </c>
      <c r="BC382" s="89" t="s">
        <v>646</v>
      </c>
      <c r="BD382" s="89" t="s">
        <v>17687</v>
      </c>
      <c r="BE382" s="89">
        <v>2017</v>
      </c>
      <c r="BF382" s="89">
        <v>16</v>
      </c>
      <c r="BG382" s="89">
        <v>4</v>
      </c>
      <c r="BH382" s="89" t="s">
        <v>646</v>
      </c>
      <c r="BI382" s="89" t="s">
        <v>646</v>
      </c>
      <c r="BJ382" s="89" t="s">
        <v>646</v>
      </c>
      <c r="BK382" s="89" t="s">
        <v>646</v>
      </c>
      <c r="BL382" s="89">
        <v>309</v>
      </c>
      <c r="BM382" s="89">
        <v>331</v>
      </c>
      <c r="BN382" s="89" t="s">
        <v>646</v>
      </c>
      <c r="BO382" s="89" t="str">
        <f>HYPERLINK("http://dx.doi.org/10.1177/1473871616681375","http://dx.doi.org/10.1177/1473871616681375")</f>
        <v>http://dx.doi.org/10.1177/1473871616681375</v>
      </c>
      <c r="BP382" s="89" t="s">
        <v>646</v>
      </c>
      <c r="BQ382" s="89" t="s">
        <v>646</v>
      </c>
      <c r="BR382" s="89" t="s">
        <v>646</v>
      </c>
      <c r="BS382" s="89" t="s">
        <v>646</v>
      </c>
      <c r="BT382" s="89" t="s">
        <v>646</v>
      </c>
      <c r="BU382" s="89" t="s">
        <v>646</v>
      </c>
      <c r="BV382" s="89" t="s">
        <v>646</v>
      </c>
      <c r="BW382" s="89" t="s">
        <v>646</v>
      </c>
      <c r="BX382" s="89" t="s">
        <v>646</v>
      </c>
      <c r="BY382" s="89" t="s">
        <v>646</v>
      </c>
      <c r="BZ382" s="89" t="s">
        <v>646</v>
      </c>
      <c r="CA382" s="89" t="s">
        <v>646</v>
      </c>
      <c r="CB382" s="89" t="s">
        <v>20770</v>
      </c>
      <c r="CC382" s="89" t="str">
        <f>HYPERLINK("https%3A%2F%2Fwww.webofscience.com%2Fwos%2Fwoscc%2Ffull-record%2FWOS:000411122000004","View Full Record in Web of Science")</f>
        <v>View Full Record in Web of Science</v>
      </c>
    </row>
    <row r="383" spans="1:81" ht="13.2" hidden="1" x14ac:dyDescent="0.25">
      <c r="A383" s="89" t="s">
        <v>20771</v>
      </c>
      <c r="B383" s="89" t="e">
        <f>+#REF!</f>
        <v>#REF!</v>
      </c>
      <c r="C383" s="89"/>
      <c r="D383" s="91" t="s">
        <v>717</v>
      </c>
      <c r="E383" s="90" t="e">
        <v>#REF!</v>
      </c>
      <c r="F383" s="89"/>
      <c r="G383" s="89"/>
      <c r="H383" s="89" t="s">
        <v>12364</v>
      </c>
      <c r="I383" s="89" t="s">
        <v>20773</v>
      </c>
      <c r="J383" s="89" t="s">
        <v>20779</v>
      </c>
      <c r="K383" s="89" t="s">
        <v>20778</v>
      </c>
      <c r="M383" s="89">
        <v>2008</v>
      </c>
      <c r="N383" s="89" t="s">
        <v>20774</v>
      </c>
      <c r="O383" s="89" t="s">
        <v>20772</v>
      </c>
      <c r="P383" s="89" t="str">
        <f>HYPERLINK("http://dx.doi.org/10.1117/12.796692","http://dx.doi.org/10.1117/12.796692")</f>
        <v>http://dx.doi.org/10.1117/12.796692</v>
      </c>
      <c r="S383" s="89" t="s">
        <v>646</v>
      </c>
      <c r="U383" s="89" t="s">
        <v>17474</v>
      </c>
      <c r="W383" s="89" t="s">
        <v>646</v>
      </c>
      <c r="X383" s="89" t="s">
        <v>646</v>
      </c>
      <c r="Y383" s="89" t="s">
        <v>20775</v>
      </c>
      <c r="Z383" s="89" t="s">
        <v>20776</v>
      </c>
      <c r="AA383" s="89" t="s">
        <v>19641</v>
      </c>
      <c r="AB383" s="89" t="s">
        <v>20777</v>
      </c>
      <c r="AC383" s="89" t="s">
        <v>646</v>
      </c>
      <c r="AD383" s="89" t="s">
        <v>646</v>
      </c>
      <c r="AE383" s="89" t="s">
        <v>646</v>
      </c>
      <c r="AF383" s="89" t="s">
        <v>20778</v>
      </c>
      <c r="AG383" s="89" t="s">
        <v>646</v>
      </c>
      <c r="AH383" s="89" t="s">
        <v>646</v>
      </c>
      <c r="AI383" s="89" t="s">
        <v>646</v>
      </c>
      <c r="AJ383" s="89" t="s">
        <v>646</v>
      </c>
      <c r="AK383" s="89" t="s">
        <v>20779</v>
      </c>
      <c r="AL383" s="89" t="s">
        <v>20780</v>
      </c>
      <c r="AM383" s="89" t="s">
        <v>646</v>
      </c>
      <c r="AN383" s="89" t="s">
        <v>646</v>
      </c>
      <c r="AO383" s="89" t="s">
        <v>646</v>
      </c>
      <c r="AP383" s="89" t="s">
        <v>646</v>
      </c>
      <c r="AQ383" s="89" t="s">
        <v>646</v>
      </c>
      <c r="AR383" s="89" t="s">
        <v>646</v>
      </c>
      <c r="AS383" s="89" t="s">
        <v>646</v>
      </c>
      <c r="AT383" s="89" t="s">
        <v>646</v>
      </c>
      <c r="AU383" s="89" t="s">
        <v>646</v>
      </c>
      <c r="AV383" s="89" t="s">
        <v>646</v>
      </c>
      <c r="AW383" s="89" t="s">
        <v>646</v>
      </c>
      <c r="AX383" s="89" t="s">
        <v>646</v>
      </c>
      <c r="AY383" s="89" t="s">
        <v>19728</v>
      </c>
      <c r="AZ383" s="89" t="s">
        <v>19729</v>
      </c>
      <c r="BA383" s="89" t="s">
        <v>20781</v>
      </c>
      <c r="BB383" s="89" t="s">
        <v>646</v>
      </c>
      <c r="BC383" s="89" t="s">
        <v>646</v>
      </c>
      <c r="BD383" s="89" t="s">
        <v>646</v>
      </c>
      <c r="BE383" s="89">
        <v>2008</v>
      </c>
      <c r="BF383" s="89">
        <v>7073</v>
      </c>
      <c r="BG383" s="89" t="s">
        <v>646</v>
      </c>
      <c r="BH383" s="89" t="s">
        <v>646</v>
      </c>
      <c r="BI383" s="89" t="s">
        <v>646</v>
      </c>
      <c r="BJ383" s="89" t="s">
        <v>646</v>
      </c>
      <c r="BK383" s="89" t="s">
        <v>646</v>
      </c>
      <c r="BL383" s="89" t="s">
        <v>646</v>
      </c>
      <c r="BM383" s="89" t="s">
        <v>646</v>
      </c>
      <c r="BN383" s="89" t="s">
        <v>20782</v>
      </c>
      <c r="BO383" s="89" t="str">
        <f>HYPERLINK("http://dx.doi.org/10.1117/12.796692","http://dx.doi.org/10.1117/12.796692")</f>
        <v>http://dx.doi.org/10.1117/12.796692</v>
      </c>
      <c r="BP383" s="89" t="s">
        <v>646</v>
      </c>
      <c r="BQ383" s="89" t="s">
        <v>646</v>
      </c>
      <c r="BR383" s="89" t="s">
        <v>646</v>
      </c>
      <c r="BS383" s="89" t="s">
        <v>646</v>
      </c>
      <c r="BT383" s="89" t="s">
        <v>646</v>
      </c>
      <c r="BU383" s="89" t="s">
        <v>646</v>
      </c>
      <c r="BV383" s="89" t="s">
        <v>646</v>
      </c>
      <c r="BW383" s="89" t="s">
        <v>646</v>
      </c>
      <c r="BX383" s="89" t="s">
        <v>646</v>
      </c>
      <c r="BY383" s="89" t="s">
        <v>646</v>
      </c>
      <c r="BZ383" s="89" t="s">
        <v>646</v>
      </c>
      <c r="CA383" s="89" t="s">
        <v>646</v>
      </c>
      <c r="CB383" s="89" t="s">
        <v>20783</v>
      </c>
      <c r="CC383" s="89" t="str">
        <f>HYPERLINK("https%3A%2F%2Fwww.webofscience.com%2Fwos%2Fwoscc%2Ffull-record%2FWOS:000264280600046","View Full Record in Web of Science")</f>
        <v>View Full Record in Web of Science</v>
      </c>
    </row>
    <row r="384" spans="1:81" ht="13.2" hidden="1" x14ac:dyDescent="0.25">
      <c r="A384" s="89" t="s">
        <v>12372</v>
      </c>
      <c r="B384" s="89" t="e">
        <f>+#REF!</f>
        <v>#REF!</v>
      </c>
      <c r="C384" s="89"/>
      <c r="D384" s="91" t="s">
        <v>717</v>
      </c>
      <c r="E384" s="90" t="e">
        <v>#REF!</v>
      </c>
      <c r="F384" s="89"/>
      <c r="G384" s="89"/>
      <c r="H384" s="89" t="s">
        <v>12373</v>
      </c>
      <c r="I384" s="89" t="s">
        <v>20784</v>
      </c>
      <c r="J384" s="89" t="s">
        <v>20787</v>
      </c>
      <c r="K384" s="89" t="s">
        <v>20786</v>
      </c>
      <c r="M384" s="89">
        <v>2017</v>
      </c>
      <c r="N384" s="89" t="s">
        <v>20785</v>
      </c>
      <c r="O384" s="89" t="s">
        <v>646</v>
      </c>
      <c r="P384" s="89" t="str">
        <f>HYPERLINK("http://dx.doi.org/10.1109/TMM.2016.2619901","http://dx.doi.org/10.1109/TMM.2016.2619901")</f>
        <v>http://dx.doi.org/10.1109/TMM.2016.2619901</v>
      </c>
      <c r="S384" s="89" t="s">
        <v>646</v>
      </c>
      <c r="U384" s="89" t="s">
        <v>17462</v>
      </c>
      <c r="W384" s="89" t="s">
        <v>646</v>
      </c>
      <c r="X384" s="89" t="s">
        <v>646</v>
      </c>
      <c r="Y384" s="89" t="s">
        <v>646</v>
      </c>
      <c r="Z384" s="89" t="s">
        <v>646</v>
      </c>
      <c r="AA384" s="89" t="s">
        <v>646</v>
      </c>
      <c r="AB384" s="89" t="s">
        <v>646</v>
      </c>
      <c r="AC384" s="89" t="s">
        <v>646</v>
      </c>
      <c r="AD384" s="89" t="s">
        <v>646</v>
      </c>
      <c r="AE384" s="89" t="s">
        <v>646</v>
      </c>
      <c r="AF384" s="89" t="s">
        <v>20786</v>
      </c>
      <c r="AG384" s="89" t="s">
        <v>646</v>
      </c>
      <c r="AH384" s="89" t="s">
        <v>646</v>
      </c>
      <c r="AI384" s="89" t="s">
        <v>646</v>
      </c>
      <c r="AJ384" s="89" t="s">
        <v>646</v>
      </c>
      <c r="AK384" s="89" t="s">
        <v>20787</v>
      </c>
      <c r="AL384" s="89" t="s">
        <v>20788</v>
      </c>
      <c r="AM384" s="89" t="s">
        <v>646</v>
      </c>
      <c r="AN384" s="89" t="s">
        <v>646</v>
      </c>
      <c r="AO384" s="89" t="s">
        <v>646</v>
      </c>
      <c r="AP384" s="89" t="s">
        <v>646</v>
      </c>
      <c r="AQ384" s="89" t="s">
        <v>646</v>
      </c>
      <c r="AR384" s="89" t="s">
        <v>646</v>
      </c>
      <c r="AS384" s="89" t="s">
        <v>646</v>
      </c>
      <c r="AT384" s="89" t="s">
        <v>646</v>
      </c>
      <c r="AU384" s="89" t="s">
        <v>646</v>
      </c>
      <c r="AV384" s="89" t="s">
        <v>646</v>
      </c>
      <c r="AW384" s="89" t="s">
        <v>646</v>
      </c>
      <c r="AX384" s="89" t="s">
        <v>646</v>
      </c>
      <c r="AY384" s="89" t="s">
        <v>20789</v>
      </c>
      <c r="AZ384" s="89" t="s">
        <v>20790</v>
      </c>
      <c r="BA384" s="89" t="s">
        <v>646</v>
      </c>
      <c r="BB384" s="89" t="s">
        <v>646</v>
      </c>
      <c r="BC384" s="89" t="s">
        <v>646</v>
      </c>
      <c r="BD384" s="89" t="s">
        <v>17779</v>
      </c>
      <c r="BE384" s="89">
        <v>2017</v>
      </c>
      <c r="BF384" s="89">
        <v>19</v>
      </c>
      <c r="BG384" s="89">
        <v>3</v>
      </c>
      <c r="BH384" s="89" t="s">
        <v>646</v>
      </c>
      <c r="BI384" s="89" t="s">
        <v>646</v>
      </c>
      <c r="BJ384" s="89" t="s">
        <v>646</v>
      </c>
      <c r="BK384" s="89" t="s">
        <v>646</v>
      </c>
      <c r="BL384" s="89">
        <v>530</v>
      </c>
      <c r="BM384" s="89">
        <v>543</v>
      </c>
      <c r="BN384" s="89" t="s">
        <v>646</v>
      </c>
      <c r="BO384" s="89" t="str">
        <f>HYPERLINK("http://dx.doi.org/10.1109/TMM.2016.2619901","http://dx.doi.org/10.1109/TMM.2016.2619901")</f>
        <v>http://dx.doi.org/10.1109/TMM.2016.2619901</v>
      </c>
      <c r="BP384" s="89" t="s">
        <v>646</v>
      </c>
      <c r="BQ384" s="89" t="s">
        <v>646</v>
      </c>
      <c r="BR384" s="89" t="s">
        <v>646</v>
      </c>
      <c r="BS384" s="89" t="s">
        <v>646</v>
      </c>
      <c r="BT384" s="89" t="s">
        <v>646</v>
      </c>
      <c r="BU384" s="89" t="s">
        <v>646</v>
      </c>
      <c r="BV384" s="89" t="s">
        <v>646</v>
      </c>
      <c r="BW384" s="89" t="s">
        <v>646</v>
      </c>
      <c r="BX384" s="89" t="s">
        <v>646</v>
      </c>
      <c r="BY384" s="89" t="s">
        <v>646</v>
      </c>
      <c r="BZ384" s="89" t="s">
        <v>646</v>
      </c>
      <c r="CA384" s="89" t="s">
        <v>646</v>
      </c>
      <c r="CB384" s="89" t="s">
        <v>20791</v>
      </c>
      <c r="CC384" s="89" t="str">
        <f>HYPERLINK("https%3A%2F%2Fwww.webofscience.com%2Fwos%2Fwoscc%2Ffull-record%2FWOS:000395869400009","View Full Record in Web of Science")</f>
        <v>View Full Record in Web of Science</v>
      </c>
    </row>
    <row r="385" spans="1:81" ht="13.2" hidden="1" x14ac:dyDescent="0.25">
      <c r="A385" s="89" t="s">
        <v>12381</v>
      </c>
      <c r="B385" s="89" t="e">
        <f>+#REF!</f>
        <v>#REF!</v>
      </c>
      <c r="C385" s="89"/>
      <c r="D385" s="91" t="s">
        <v>717</v>
      </c>
      <c r="E385" s="90" t="e">
        <v>#REF!</v>
      </c>
      <c r="F385" s="89"/>
      <c r="G385" s="89"/>
      <c r="H385" s="89" t="s">
        <v>12382</v>
      </c>
      <c r="I385" s="89" t="s">
        <v>20792</v>
      </c>
      <c r="J385" s="89" t="s">
        <v>646</v>
      </c>
      <c r="K385" s="89" t="s">
        <v>20794</v>
      </c>
      <c r="M385" s="89">
        <v>2019</v>
      </c>
      <c r="N385" s="89" t="s">
        <v>20793</v>
      </c>
      <c r="O385" s="89" t="s">
        <v>646</v>
      </c>
      <c r="P385" s="89" t="str">
        <f>HYPERLINK("http://dx.doi.org/10.1108/IJCHM-09-2018-0707","http://dx.doi.org/10.1108/IJCHM-09-2018-0707")</f>
        <v>http://dx.doi.org/10.1108/IJCHM-09-2018-0707</v>
      </c>
      <c r="S385" s="89" t="s">
        <v>646</v>
      </c>
      <c r="U385" s="89" t="s">
        <v>17462</v>
      </c>
      <c r="W385" s="89" t="s">
        <v>646</v>
      </c>
      <c r="X385" s="89" t="s">
        <v>646</v>
      </c>
      <c r="Y385" s="89" t="s">
        <v>646</v>
      </c>
      <c r="Z385" s="89" t="s">
        <v>646</v>
      </c>
      <c r="AA385" s="89" t="s">
        <v>646</v>
      </c>
      <c r="AB385" s="89" t="s">
        <v>646</v>
      </c>
      <c r="AC385" s="89" t="s">
        <v>646</v>
      </c>
      <c r="AD385" s="89" t="s">
        <v>646</v>
      </c>
      <c r="AE385" s="89" t="s">
        <v>646</v>
      </c>
      <c r="AF385" s="89" t="s">
        <v>20794</v>
      </c>
      <c r="AG385" s="89" t="s">
        <v>646</v>
      </c>
      <c r="AH385" s="89" t="s">
        <v>646</v>
      </c>
      <c r="AI385" s="89" t="s">
        <v>646</v>
      </c>
      <c r="AJ385" s="89" t="s">
        <v>646</v>
      </c>
      <c r="AK385" s="89" t="s">
        <v>646</v>
      </c>
      <c r="AL385" s="89" t="s">
        <v>646</v>
      </c>
      <c r="AM385" s="89" t="s">
        <v>646</v>
      </c>
      <c r="AN385" s="89" t="s">
        <v>646</v>
      </c>
      <c r="AO385" s="89" t="s">
        <v>646</v>
      </c>
      <c r="AP385" s="89" t="s">
        <v>646</v>
      </c>
      <c r="AQ385" s="89" t="s">
        <v>646</v>
      </c>
      <c r="AR385" s="89" t="s">
        <v>646</v>
      </c>
      <c r="AS385" s="89" t="s">
        <v>646</v>
      </c>
      <c r="AT385" s="89" t="s">
        <v>646</v>
      </c>
      <c r="AU385" s="89" t="s">
        <v>646</v>
      </c>
      <c r="AV385" s="89" t="s">
        <v>646</v>
      </c>
      <c r="AW385" s="89" t="s">
        <v>646</v>
      </c>
      <c r="AX385" s="89" t="s">
        <v>646</v>
      </c>
      <c r="AY385" s="89" t="s">
        <v>20795</v>
      </c>
      <c r="AZ385" s="89" t="s">
        <v>20796</v>
      </c>
      <c r="BA385" s="89" t="s">
        <v>646</v>
      </c>
      <c r="BB385" s="89" t="s">
        <v>646</v>
      </c>
      <c r="BC385" s="89" t="s">
        <v>646</v>
      </c>
      <c r="BD385" s="89" t="s">
        <v>20797</v>
      </c>
      <c r="BE385" s="89">
        <v>2019</v>
      </c>
      <c r="BF385" s="89">
        <v>31</v>
      </c>
      <c r="BG385" s="89">
        <v>5</v>
      </c>
      <c r="BH385" s="89" t="s">
        <v>646</v>
      </c>
      <c r="BI385" s="89" t="s">
        <v>646</v>
      </c>
      <c r="BJ385" s="89" t="s">
        <v>646</v>
      </c>
      <c r="BK385" s="89" t="s">
        <v>646</v>
      </c>
      <c r="BL385" s="89">
        <v>2149</v>
      </c>
      <c r="BM385" s="89">
        <v>2168</v>
      </c>
      <c r="BN385" s="89" t="s">
        <v>646</v>
      </c>
      <c r="BO385" s="89" t="str">
        <f>HYPERLINK("http://dx.doi.org/10.1108/IJCHM-09-2018-0707","http://dx.doi.org/10.1108/IJCHM-09-2018-0707")</f>
        <v>http://dx.doi.org/10.1108/IJCHM-09-2018-0707</v>
      </c>
      <c r="BP385" s="89" t="s">
        <v>646</v>
      </c>
      <c r="BQ385" s="89" t="s">
        <v>646</v>
      </c>
      <c r="BR385" s="89" t="s">
        <v>646</v>
      </c>
      <c r="BS385" s="89" t="s">
        <v>646</v>
      </c>
      <c r="BT385" s="89" t="s">
        <v>646</v>
      </c>
      <c r="BU385" s="89" t="s">
        <v>646</v>
      </c>
      <c r="BV385" s="89" t="s">
        <v>646</v>
      </c>
      <c r="BW385" s="89" t="s">
        <v>646</v>
      </c>
      <c r="BX385" s="89" t="s">
        <v>646</v>
      </c>
      <c r="BY385" s="89" t="s">
        <v>646</v>
      </c>
      <c r="BZ385" s="89" t="s">
        <v>646</v>
      </c>
      <c r="CA385" s="89" t="s">
        <v>646</v>
      </c>
      <c r="CB385" s="89" t="s">
        <v>20798</v>
      </c>
      <c r="CC385" s="89" t="str">
        <f>HYPERLINK("https%3A%2F%2Fwww.webofscience.com%2Fwos%2Fwoscc%2Ffull-record%2FWOS:000484191400007","View Full Record in Web of Science")</f>
        <v>View Full Record in Web of Science</v>
      </c>
    </row>
    <row r="386" spans="1:81" ht="13.2" hidden="1" x14ac:dyDescent="0.25">
      <c r="A386" s="89" t="s">
        <v>20799</v>
      </c>
      <c r="B386" s="89" t="e">
        <f>+#REF!</f>
        <v>#REF!</v>
      </c>
      <c r="C386" s="89"/>
      <c r="D386" s="91" t="s">
        <v>717</v>
      </c>
      <c r="E386" s="90" t="e">
        <v>#REF!</v>
      </c>
      <c r="F386" s="89"/>
      <c r="G386" s="89"/>
      <c r="H386" s="89" t="s">
        <v>12391</v>
      </c>
      <c r="I386" s="89" t="s">
        <v>20800</v>
      </c>
      <c r="J386" s="89" t="s">
        <v>20803</v>
      </c>
      <c r="K386" s="89" t="s">
        <v>20802</v>
      </c>
      <c r="M386" s="89">
        <v>2017</v>
      </c>
      <c r="N386" s="89" t="s">
        <v>20801</v>
      </c>
      <c r="O386" s="89" t="s">
        <v>646</v>
      </c>
      <c r="P386" s="89" t="str">
        <f>HYPERLINK("http://dx.doi.org/10.1037/cou0000183","http://dx.doi.org/10.1037/cou0000183")</f>
        <v>http://dx.doi.org/10.1037/cou0000183</v>
      </c>
      <c r="S386" s="89" t="s">
        <v>646</v>
      </c>
      <c r="U386" s="89" t="s">
        <v>17462</v>
      </c>
      <c r="W386" s="89" t="s">
        <v>646</v>
      </c>
      <c r="X386" s="89" t="s">
        <v>646</v>
      </c>
      <c r="Y386" s="89" t="s">
        <v>646</v>
      </c>
      <c r="Z386" s="89" t="s">
        <v>646</v>
      </c>
      <c r="AA386" s="89" t="s">
        <v>646</v>
      </c>
      <c r="AB386" s="89" t="s">
        <v>646</v>
      </c>
      <c r="AC386" s="89" t="s">
        <v>646</v>
      </c>
      <c r="AD386" s="89" t="s">
        <v>646</v>
      </c>
      <c r="AE386" s="89" t="s">
        <v>646</v>
      </c>
      <c r="AF386" s="89" t="s">
        <v>20802</v>
      </c>
      <c r="AG386" s="89" t="s">
        <v>646</v>
      </c>
      <c r="AH386" s="89" t="s">
        <v>646</v>
      </c>
      <c r="AI386" s="89" t="s">
        <v>646</v>
      </c>
      <c r="AJ386" s="89" t="s">
        <v>646</v>
      </c>
      <c r="AK386" s="89" t="s">
        <v>20803</v>
      </c>
      <c r="AL386" s="89" t="s">
        <v>20804</v>
      </c>
      <c r="AM386" s="89" t="s">
        <v>646</v>
      </c>
      <c r="AN386" s="89" t="s">
        <v>646</v>
      </c>
      <c r="AO386" s="89" t="s">
        <v>646</v>
      </c>
      <c r="AP386" s="89" t="s">
        <v>646</v>
      </c>
      <c r="AQ386" s="89" t="s">
        <v>646</v>
      </c>
      <c r="AR386" s="89" t="s">
        <v>646</v>
      </c>
      <c r="AS386" s="89" t="s">
        <v>646</v>
      </c>
      <c r="AT386" s="89" t="s">
        <v>646</v>
      </c>
      <c r="AU386" s="89" t="s">
        <v>646</v>
      </c>
      <c r="AV386" s="89" t="s">
        <v>646</v>
      </c>
      <c r="AW386" s="89" t="s">
        <v>646</v>
      </c>
      <c r="AX386" s="89" t="s">
        <v>646</v>
      </c>
      <c r="AY386" s="89" t="s">
        <v>20805</v>
      </c>
      <c r="AZ386" s="89" t="s">
        <v>20806</v>
      </c>
      <c r="BA386" s="89" t="s">
        <v>646</v>
      </c>
      <c r="BB386" s="89" t="s">
        <v>646</v>
      </c>
      <c r="BC386" s="89" t="s">
        <v>646</v>
      </c>
      <c r="BD386" s="89" t="s">
        <v>17513</v>
      </c>
      <c r="BE386" s="89">
        <v>2017</v>
      </c>
      <c r="BF386" s="89">
        <v>64</v>
      </c>
      <c r="BG386" s="89">
        <v>1</v>
      </c>
      <c r="BH386" s="89" t="s">
        <v>646</v>
      </c>
      <c r="BI386" s="89" t="s">
        <v>646</v>
      </c>
      <c r="BJ386" s="89" t="s">
        <v>17555</v>
      </c>
      <c r="BK386" s="89" t="s">
        <v>646</v>
      </c>
      <c r="BL386" s="89">
        <v>52</v>
      </c>
      <c r="BM386" s="89">
        <v>64</v>
      </c>
      <c r="BN386" s="89" t="s">
        <v>646</v>
      </c>
      <c r="BO386" s="89" t="str">
        <f>HYPERLINK("http://dx.doi.org/10.1037/cou0000183","http://dx.doi.org/10.1037/cou0000183")</f>
        <v>http://dx.doi.org/10.1037/cou0000183</v>
      </c>
      <c r="BP386" s="89" t="s">
        <v>646</v>
      </c>
      <c r="BQ386" s="89" t="s">
        <v>646</v>
      </c>
      <c r="BR386" s="89" t="s">
        <v>646</v>
      </c>
      <c r="BS386" s="89" t="s">
        <v>646</v>
      </c>
      <c r="BT386" s="89" t="s">
        <v>646</v>
      </c>
      <c r="BU386" s="89" t="s">
        <v>646</v>
      </c>
      <c r="BV386" s="89" t="s">
        <v>646</v>
      </c>
      <c r="BW386" s="89">
        <v>28068131</v>
      </c>
      <c r="BX386" s="89" t="s">
        <v>646</v>
      </c>
      <c r="BY386" s="89" t="s">
        <v>646</v>
      </c>
      <c r="BZ386" s="89" t="s">
        <v>646</v>
      </c>
      <c r="CA386" s="89" t="s">
        <v>646</v>
      </c>
      <c r="CB386" s="89" t="s">
        <v>20807</v>
      </c>
      <c r="CC386" s="89" t="str">
        <f>HYPERLINK("https%3A%2F%2Fwww.webofscience.com%2Fwos%2Fwoscc%2Ffull-record%2FWOS:000393674600005","View Full Record in Web of Science")</f>
        <v>View Full Record in Web of Science</v>
      </c>
    </row>
    <row r="387" spans="1:81" ht="13.2" hidden="1" x14ac:dyDescent="0.25">
      <c r="A387" s="89" t="s">
        <v>20808</v>
      </c>
      <c r="B387" s="89" t="e">
        <f>+#REF!</f>
        <v>#REF!</v>
      </c>
      <c r="C387" s="89"/>
      <c r="D387" s="91" t="s">
        <v>717</v>
      </c>
      <c r="E387" s="90" t="e">
        <v>#REF!</v>
      </c>
      <c r="F387" s="89"/>
      <c r="G387" s="89"/>
      <c r="H387" s="89" t="s">
        <v>9378</v>
      </c>
      <c r="I387" s="89" t="s">
        <v>20809</v>
      </c>
      <c r="J387" s="89" t="s">
        <v>20812</v>
      </c>
      <c r="K387" s="89" t="s">
        <v>20811</v>
      </c>
      <c r="M387" s="89">
        <v>2020</v>
      </c>
      <c r="N387" s="89" t="s">
        <v>20810</v>
      </c>
      <c r="O387" s="89" t="s">
        <v>646</v>
      </c>
      <c r="P387" s="89" t="str">
        <f>HYPERLINK("http://dx.doi.org/10.1037/scp0000244","http://dx.doi.org/10.1037/scp0000244")</f>
        <v>http://dx.doi.org/10.1037/scp0000244</v>
      </c>
      <c r="S387" s="89" t="s">
        <v>646</v>
      </c>
      <c r="U387" s="89" t="s">
        <v>17462</v>
      </c>
      <c r="W387" s="89" t="s">
        <v>646</v>
      </c>
      <c r="X387" s="89" t="s">
        <v>646</v>
      </c>
      <c r="Y387" s="89" t="s">
        <v>646</v>
      </c>
      <c r="Z387" s="89" t="s">
        <v>646</v>
      </c>
      <c r="AA387" s="89" t="s">
        <v>646</v>
      </c>
      <c r="AB387" s="89" t="s">
        <v>646</v>
      </c>
      <c r="AC387" s="89" t="s">
        <v>646</v>
      </c>
      <c r="AD387" s="89" t="s">
        <v>646</v>
      </c>
      <c r="AE387" s="89" t="s">
        <v>646</v>
      </c>
      <c r="AF387" s="89" t="s">
        <v>20811</v>
      </c>
      <c r="AG387" s="89" t="s">
        <v>646</v>
      </c>
      <c r="AH387" s="89" t="s">
        <v>646</v>
      </c>
      <c r="AI387" s="89" t="s">
        <v>646</v>
      </c>
      <c r="AJ387" s="89" t="s">
        <v>646</v>
      </c>
      <c r="AK387" s="89" t="s">
        <v>20812</v>
      </c>
      <c r="AL387" s="89" t="s">
        <v>20813</v>
      </c>
      <c r="AM387" s="89" t="s">
        <v>646</v>
      </c>
      <c r="AN387" s="89" t="s">
        <v>646</v>
      </c>
      <c r="AO387" s="89" t="s">
        <v>646</v>
      </c>
      <c r="AP387" s="89" t="s">
        <v>646</v>
      </c>
      <c r="AQ387" s="89" t="s">
        <v>646</v>
      </c>
      <c r="AR387" s="89" t="s">
        <v>646</v>
      </c>
      <c r="AS387" s="89" t="s">
        <v>646</v>
      </c>
      <c r="AT387" s="89" t="s">
        <v>646</v>
      </c>
      <c r="AU387" s="89" t="s">
        <v>646</v>
      </c>
      <c r="AV387" s="89" t="s">
        <v>646</v>
      </c>
      <c r="AW387" s="89" t="s">
        <v>646</v>
      </c>
      <c r="AX387" s="89" t="s">
        <v>646</v>
      </c>
      <c r="AY387" s="89" t="s">
        <v>20814</v>
      </c>
      <c r="AZ387" s="89" t="s">
        <v>20815</v>
      </c>
      <c r="BA387" s="89" t="s">
        <v>646</v>
      </c>
      <c r="BB387" s="89" t="s">
        <v>646</v>
      </c>
      <c r="BC387" s="89" t="s">
        <v>646</v>
      </c>
      <c r="BD387" s="89" t="s">
        <v>17615</v>
      </c>
      <c r="BE387" s="89">
        <v>2020</v>
      </c>
      <c r="BF387" s="89">
        <v>7</v>
      </c>
      <c r="BG387" s="89">
        <v>4</v>
      </c>
      <c r="BH387" s="89" t="s">
        <v>646</v>
      </c>
      <c r="BI387" s="89" t="s">
        <v>646</v>
      </c>
      <c r="BJ387" s="89" t="s">
        <v>17555</v>
      </c>
      <c r="BK387" s="89" t="s">
        <v>646</v>
      </c>
      <c r="BL387" s="89">
        <v>310</v>
      </c>
      <c r="BM387" s="89">
        <v>325</v>
      </c>
      <c r="BN387" s="89" t="s">
        <v>646</v>
      </c>
      <c r="BO387" s="89" t="str">
        <f>HYPERLINK("http://dx.doi.org/10.1037/scp0000244","http://dx.doi.org/10.1037/scp0000244")</f>
        <v>http://dx.doi.org/10.1037/scp0000244</v>
      </c>
      <c r="BP387" s="89" t="s">
        <v>646</v>
      </c>
      <c r="BQ387" s="89" t="s">
        <v>646</v>
      </c>
      <c r="BR387" s="89" t="s">
        <v>646</v>
      </c>
      <c r="BS387" s="89" t="s">
        <v>646</v>
      </c>
      <c r="BT387" s="89" t="s">
        <v>646</v>
      </c>
      <c r="BU387" s="89" t="s">
        <v>646</v>
      </c>
      <c r="BV387" s="89" t="s">
        <v>646</v>
      </c>
      <c r="BW387" s="89" t="s">
        <v>646</v>
      </c>
      <c r="BX387" s="89" t="s">
        <v>646</v>
      </c>
      <c r="BY387" s="89" t="s">
        <v>646</v>
      </c>
      <c r="BZ387" s="89" t="s">
        <v>646</v>
      </c>
      <c r="CA387" s="89" t="s">
        <v>646</v>
      </c>
      <c r="CB387" s="89" t="s">
        <v>20816</v>
      </c>
      <c r="CC387" s="89" t="str">
        <f>HYPERLINK("https%3A%2F%2Fwww.webofscience.com%2Fwos%2Fwoscc%2Ffull-record%2FWOS:000600174700008","View Full Record in Web of Science")</f>
        <v>View Full Record in Web of Science</v>
      </c>
    </row>
    <row r="388" spans="1:81" ht="13.2" hidden="1" x14ac:dyDescent="0.25">
      <c r="A388" s="89" t="s">
        <v>12400</v>
      </c>
      <c r="B388" s="89" t="e">
        <f>+#REF!</f>
        <v>#REF!</v>
      </c>
      <c r="C388" s="89"/>
      <c r="D388" s="91" t="s">
        <v>717</v>
      </c>
      <c r="E388" s="90" t="e">
        <v>#REF!</v>
      </c>
      <c r="F388" s="89"/>
      <c r="G388" s="89"/>
      <c r="H388" s="89" t="s">
        <v>12401</v>
      </c>
      <c r="I388" s="89" t="s">
        <v>20817</v>
      </c>
      <c r="J388" s="89" t="s">
        <v>20820</v>
      </c>
      <c r="K388" s="89" t="s">
        <v>20819</v>
      </c>
      <c r="M388" s="89">
        <v>2019</v>
      </c>
      <c r="N388" s="89" t="s">
        <v>20818</v>
      </c>
      <c r="O388" s="89" t="s">
        <v>646</v>
      </c>
      <c r="P388" s="89" t="str">
        <f>HYPERLINK("http://dx.doi.org/10.1080/08959285.2018.1539856","http://dx.doi.org/10.1080/08959285.2018.1539856")</f>
        <v>http://dx.doi.org/10.1080/08959285.2018.1539856</v>
      </c>
      <c r="S388" s="89" t="s">
        <v>646</v>
      </c>
      <c r="U388" s="89" t="s">
        <v>17462</v>
      </c>
      <c r="W388" s="89" t="s">
        <v>646</v>
      </c>
      <c r="X388" s="89" t="s">
        <v>646</v>
      </c>
      <c r="Y388" s="89" t="s">
        <v>646</v>
      </c>
      <c r="Z388" s="89" t="s">
        <v>646</v>
      </c>
      <c r="AA388" s="89" t="s">
        <v>646</v>
      </c>
      <c r="AB388" s="89" t="s">
        <v>646</v>
      </c>
      <c r="AC388" s="89" t="s">
        <v>646</v>
      </c>
      <c r="AD388" s="89" t="s">
        <v>646</v>
      </c>
      <c r="AE388" s="89" t="s">
        <v>646</v>
      </c>
      <c r="AF388" s="89" t="s">
        <v>20819</v>
      </c>
      <c r="AG388" s="89" t="s">
        <v>646</v>
      </c>
      <c r="AH388" s="89" t="s">
        <v>646</v>
      </c>
      <c r="AI388" s="89" t="s">
        <v>646</v>
      </c>
      <c r="AJ388" s="89" t="s">
        <v>646</v>
      </c>
      <c r="AK388" s="89" t="s">
        <v>20820</v>
      </c>
      <c r="AL388" s="89" t="s">
        <v>20821</v>
      </c>
      <c r="AM388" s="89" t="s">
        <v>646</v>
      </c>
      <c r="AN388" s="89" t="s">
        <v>646</v>
      </c>
      <c r="AO388" s="89" t="s">
        <v>646</v>
      </c>
      <c r="AP388" s="89" t="s">
        <v>646</v>
      </c>
      <c r="AQ388" s="89" t="s">
        <v>646</v>
      </c>
      <c r="AR388" s="89" t="s">
        <v>646</v>
      </c>
      <c r="AS388" s="89" t="s">
        <v>646</v>
      </c>
      <c r="AT388" s="89" t="s">
        <v>646</v>
      </c>
      <c r="AU388" s="89" t="s">
        <v>646</v>
      </c>
      <c r="AV388" s="89" t="s">
        <v>646</v>
      </c>
      <c r="AW388" s="89" t="s">
        <v>646</v>
      </c>
      <c r="AX388" s="89" t="s">
        <v>646</v>
      </c>
      <c r="AY388" s="89" t="s">
        <v>20822</v>
      </c>
      <c r="AZ388" s="89" t="s">
        <v>20823</v>
      </c>
      <c r="BA388" s="89" t="s">
        <v>646</v>
      </c>
      <c r="BB388" s="89" t="s">
        <v>646</v>
      </c>
      <c r="BC388" s="89" t="s">
        <v>646</v>
      </c>
      <c r="BD388" s="89" t="s">
        <v>19223</v>
      </c>
      <c r="BE388" s="89">
        <v>2019</v>
      </c>
      <c r="BF388" s="89">
        <v>32</v>
      </c>
      <c r="BG388" s="89">
        <v>1</v>
      </c>
      <c r="BH388" s="89" t="s">
        <v>646</v>
      </c>
      <c r="BI388" s="89" t="s">
        <v>646</v>
      </c>
      <c r="BJ388" s="89" t="s">
        <v>646</v>
      </c>
      <c r="BK388" s="89" t="s">
        <v>646</v>
      </c>
      <c r="BL388" s="89">
        <v>1</v>
      </c>
      <c r="BM388" s="89">
        <v>29</v>
      </c>
      <c r="BN388" s="89" t="s">
        <v>646</v>
      </c>
      <c r="BO388" s="89" t="str">
        <f>HYPERLINK("http://dx.doi.org/10.1080/08959285.2018.1539856","http://dx.doi.org/10.1080/08959285.2018.1539856")</f>
        <v>http://dx.doi.org/10.1080/08959285.2018.1539856</v>
      </c>
      <c r="BP388" s="89" t="s">
        <v>646</v>
      </c>
      <c r="BQ388" s="89" t="s">
        <v>646</v>
      </c>
      <c r="BR388" s="89" t="s">
        <v>646</v>
      </c>
      <c r="BS388" s="89" t="s">
        <v>646</v>
      </c>
      <c r="BT388" s="89" t="s">
        <v>646</v>
      </c>
      <c r="BU388" s="89" t="s">
        <v>646</v>
      </c>
      <c r="BV388" s="89" t="s">
        <v>646</v>
      </c>
      <c r="BW388" s="89" t="s">
        <v>646</v>
      </c>
      <c r="BX388" s="89" t="s">
        <v>646</v>
      </c>
      <c r="BY388" s="89" t="s">
        <v>646</v>
      </c>
      <c r="BZ388" s="89" t="s">
        <v>646</v>
      </c>
      <c r="CA388" s="89" t="s">
        <v>646</v>
      </c>
      <c r="CB388" s="89" t="s">
        <v>20824</v>
      </c>
      <c r="CC388" s="89" t="str">
        <f>HYPERLINK("https%3A%2F%2Fwww.webofscience.com%2Fwos%2Fwoscc%2Ffull-record%2FWOS:000454402300001","View Full Record in Web of Science")</f>
        <v>View Full Record in Web of Science</v>
      </c>
    </row>
    <row r="389" spans="1:81" ht="13.2" hidden="1" x14ac:dyDescent="0.25">
      <c r="A389" s="89" t="s">
        <v>12410</v>
      </c>
      <c r="B389" s="89" t="e">
        <f>+#REF!</f>
        <v>#REF!</v>
      </c>
      <c r="C389" s="89"/>
      <c r="D389" s="91" t="s">
        <v>717</v>
      </c>
      <c r="E389" s="90" t="e">
        <v>#REF!</v>
      </c>
      <c r="F389" s="89"/>
      <c r="G389" s="89"/>
      <c r="H389" s="89" t="s">
        <v>12411</v>
      </c>
      <c r="I389" s="89" t="s">
        <v>20825</v>
      </c>
      <c r="J389" s="89" t="s">
        <v>20828</v>
      </c>
      <c r="K389" s="89" t="s">
        <v>20827</v>
      </c>
      <c r="M389" s="89">
        <v>2020</v>
      </c>
      <c r="N389" s="89" t="s">
        <v>20826</v>
      </c>
      <c r="O389" s="89" t="s">
        <v>646</v>
      </c>
      <c r="P389" s="89" t="str">
        <f>HYPERLINK("http://dx.doi.org/10.1027/1015-5759/a000497","http://dx.doi.org/10.1027/1015-5759/a000497")</f>
        <v>http://dx.doi.org/10.1027/1015-5759/a000497</v>
      </c>
      <c r="S389" s="89" t="s">
        <v>646</v>
      </c>
      <c r="U389" s="89" t="s">
        <v>17462</v>
      </c>
      <c r="W389" s="89" t="s">
        <v>646</v>
      </c>
      <c r="X389" s="89" t="s">
        <v>646</v>
      </c>
      <c r="Y389" s="89" t="s">
        <v>646</v>
      </c>
      <c r="Z389" s="89" t="s">
        <v>646</v>
      </c>
      <c r="AA389" s="89" t="s">
        <v>646</v>
      </c>
      <c r="AB389" s="89" t="s">
        <v>646</v>
      </c>
      <c r="AC389" s="89" t="s">
        <v>646</v>
      </c>
      <c r="AD389" s="89" t="s">
        <v>646</v>
      </c>
      <c r="AE389" s="89" t="s">
        <v>646</v>
      </c>
      <c r="AF389" s="89" t="s">
        <v>20827</v>
      </c>
      <c r="AG389" s="89" t="s">
        <v>646</v>
      </c>
      <c r="AH389" s="89" t="s">
        <v>646</v>
      </c>
      <c r="AI389" s="89" t="s">
        <v>646</v>
      </c>
      <c r="AJ389" s="89" t="s">
        <v>646</v>
      </c>
      <c r="AK389" s="89" t="s">
        <v>20828</v>
      </c>
      <c r="AL389" s="89" t="s">
        <v>20829</v>
      </c>
      <c r="AM389" s="89" t="s">
        <v>646</v>
      </c>
      <c r="AN389" s="89" t="s">
        <v>646</v>
      </c>
      <c r="AO389" s="89" t="s">
        <v>646</v>
      </c>
      <c r="AP389" s="89" t="s">
        <v>646</v>
      </c>
      <c r="AQ389" s="89" t="s">
        <v>646</v>
      </c>
      <c r="AR389" s="89" t="s">
        <v>646</v>
      </c>
      <c r="AS389" s="89" t="s">
        <v>646</v>
      </c>
      <c r="AT389" s="89" t="s">
        <v>646</v>
      </c>
      <c r="AU389" s="89" t="s">
        <v>646</v>
      </c>
      <c r="AV389" s="89" t="s">
        <v>646</v>
      </c>
      <c r="AW389" s="89" t="s">
        <v>646</v>
      </c>
      <c r="AX389" s="89" t="s">
        <v>646</v>
      </c>
      <c r="AY389" s="89" t="s">
        <v>20830</v>
      </c>
      <c r="AZ389" s="89" t="s">
        <v>20831</v>
      </c>
      <c r="BA389" s="89" t="s">
        <v>646</v>
      </c>
      <c r="BB389" s="89" t="s">
        <v>646</v>
      </c>
      <c r="BC389" s="89" t="s">
        <v>646</v>
      </c>
      <c r="BD389" s="89" t="s">
        <v>17513</v>
      </c>
      <c r="BE389" s="89">
        <v>2020</v>
      </c>
      <c r="BF389" s="89">
        <v>36</v>
      </c>
      <c r="BG389" s="89">
        <v>1</v>
      </c>
      <c r="BH389" s="89" t="s">
        <v>646</v>
      </c>
      <c r="BI389" s="89" t="s">
        <v>646</v>
      </c>
      <c r="BJ389" s="89" t="s">
        <v>646</v>
      </c>
      <c r="BK389" s="89" t="s">
        <v>646</v>
      </c>
      <c r="BL389" s="89">
        <v>84</v>
      </c>
      <c r="BM389" s="89">
        <v>95</v>
      </c>
      <c r="BN389" s="89" t="s">
        <v>646</v>
      </c>
      <c r="BO389" s="89" t="str">
        <f>HYPERLINK("http://dx.doi.org/10.1027/1015-5759/a000497","http://dx.doi.org/10.1027/1015-5759/a000497")</f>
        <v>http://dx.doi.org/10.1027/1015-5759/a000497</v>
      </c>
      <c r="BP389" s="89" t="s">
        <v>646</v>
      </c>
      <c r="BQ389" s="89" t="s">
        <v>646</v>
      </c>
      <c r="BR389" s="89" t="s">
        <v>646</v>
      </c>
      <c r="BS389" s="89" t="s">
        <v>646</v>
      </c>
      <c r="BT389" s="89" t="s">
        <v>646</v>
      </c>
      <c r="BU389" s="89" t="s">
        <v>646</v>
      </c>
      <c r="BV389" s="89" t="s">
        <v>646</v>
      </c>
      <c r="BW389" s="89" t="s">
        <v>646</v>
      </c>
      <c r="BX389" s="89" t="s">
        <v>646</v>
      </c>
      <c r="BY389" s="89" t="s">
        <v>646</v>
      </c>
      <c r="BZ389" s="89" t="s">
        <v>646</v>
      </c>
      <c r="CA389" s="89" t="s">
        <v>646</v>
      </c>
      <c r="CB389" s="89" t="s">
        <v>20832</v>
      </c>
      <c r="CC389" s="89" t="str">
        <f>HYPERLINK("https%3A%2F%2Fwww.webofscience.com%2Fwos%2Fwoscc%2Ffull-record%2FWOS:000520014900009","View Full Record in Web of Science")</f>
        <v>View Full Record in Web of Science</v>
      </c>
    </row>
    <row r="390" spans="1:81" ht="13.2" hidden="1" x14ac:dyDescent="0.25">
      <c r="A390" s="89" t="s">
        <v>9387</v>
      </c>
      <c r="B390" s="89" t="e">
        <f>+#REF!</f>
        <v>#REF!</v>
      </c>
      <c r="C390" s="89"/>
      <c r="D390" s="91" t="s">
        <v>717</v>
      </c>
      <c r="E390" s="90" t="e">
        <v>#REF!</v>
      </c>
      <c r="F390" s="89"/>
      <c r="G390" s="89"/>
      <c r="H390" s="89" t="s">
        <v>20833</v>
      </c>
      <c r="I390" s="89" t="s">
        <v>20834</v>
      </c>
      <c r="J390" s="89" t="s">
        <v>20837</v>
      </c>
      <c r="K390" s="89" t="s">
        <v>20836</v>
      </c>
      <c r="M390" s="89">
        <v>2021</v>
      </c>
      <c r="N390" s="89" t="s">
        <v>20835</v>
      </c>
      <c r="O390" s="89" t="s">
        <v>646</v>
      </c>
      <c r="P390" s="89" t="str">
        <f>HYPERLINK("http://dx.doi.org/10.1016/j.j.2020.12.024","http://dx.doi.org/10.1016/j.j.2020.12.024")</f>
        <v>http://dx.doi.org/10.1016/j.j.2020.12.024</v>
      </c>
      <c r="S390" s="89" t="s">
        <v>646</v>
      </c>
      <c r="U390" s="89" t="s">
        <v>17462</v>
      </c>
      <c r="W390" s="89" t="s">
        <v>646</v>
      </c>
      <c r="X390" s="89" t="s">
        <v>646</v>
      </c>
      <c r="Y390" s="89" t="s">
        <v>646</v>
      </c>
      <c r="Z390" s="89" t="s">
        <v>646</v>
      </c>
      <c r="AA390" s="89" t="s">
        <v>646</v>
      </c>
      <c r="AB390" s="89" t="s">
        <v>646</v>
      </c>
      <c r="AC390" s="89" t="s">
        <v>646</v>
      </c>
      <c r="AD390" s="89" t="s">
        <v>646</v>
      </c>
      <c r="AE390" s="89" t="s">
        <v>646</v>
      </c>
      <c r="AF390" s="89" t="s">
        <v>20836</v>
      </c>
      <c r="AG390" s="89" t="s">
        <v>646</v>
      </c>
      <c r="AH390" s="89" t="s">
        <v>646</v>
      </c>
      <c r="AI390" s="89" t="s">
        <v>646</v>
      </c>
      <c r="AJ390" s="89" t="s">
        <v>646</v>
      </c>
      <c r="AK390" s="89" t="s">
        <v>20837</v>
      </c>
      <c r="AL390" s="89" t="s">
        <v>20838</v>
      </c>
      <c r="AM390" s="89" t="s">
        <v>646</v>
      </c>
      <c r="AN390" s="89" t="s">
        <v>646</v>
      </c>
      <c r="AO390" s="89" t="s">
        <v>646</v>
      </c>
      <c r="AP390" s="89" t="s">
        <v>646</v>
      </c>
      <c r="AQ390" s="89" t="s">
        <v>646</v>
      </c>
      <c r="AR390" s="89" t="s">
        <v>646</v>
      </c>
      <c r="AS390" s="89" t="s">
        <v>646</v>
      </c>
      <c r="AT390" s="89" t="s">
        <v>646</v>
      </c>
      <c r="AU390" s="89" t="s">
        <v>646</v>
      </c>
      <c r="AV390" s="89" t="s">
        <v>646</v>
      </c>
      <c r="AW390" s="89" t="s">
        <v>646</v>
      </c>
      <c r="AX390" s="89" t="s">
        <v>646</v>
      </c>
      <c r="AY390" s="89" t="s">
        <v>20839</v>
      </c>
      <c r="AZ390" s="89" t="s">
        <v>20840</v>
      </c>
      <c r="BA390" s="89" t="s">
        <v>646</v>
      </c>
      <c r="BB390" s="89" t="s">
        <v>646</v>
      </c>
      <c r="BC390" s="89" t="s">
        <v>646</v>
      </c>
      <c r="BD390" s="89" t="s">
        <v>18436</v>
      </c>
      <c r="BE390" s="89">
        <v>2021</v>
      </c>
      <c r="BF390" s="89">
        <v>121</v>
      </c>
      <c r="BG390" s="89">
        <v>5</v>
      </c>
      <c r="BH390" s="89" t="s">
        <v>646</v>
      </c>
      <c r="BI390" s="89" t="s">
        <v>646</v>
      </c>
      <c r="BJ390" s="89" t="s">
        <v>646</v>
      </c>
      <c r="BK390" s="89" t="s">
        <v>646</v>
      </c>
      <c r="BL390" s="89">
        <v>854</v>
      </c>
      <c r="BM390" s="89" t="s">
        <v>18405</v>
      </c>
      <c r="BN390" s="89" t="s">
        <v>646</v>
      </c>
      <c r="BO390" s="89" t="str">
        <f>HYPERLINK("http://dx.doi.org/10.1016/j.j.2020.12.024","http://dx.doi.org/10.1016/j.j.2020.12.024")</f>
        <v>http://dx.doi.org/10.1016/j.j.2020.12.024</v>
      </c>
      <c r="BP390" s="89" t="s">
        <v>646</v>
      </c>
      <c r="BQ390" s="89" t="s">
        <v>646</v>
      </c>
      <c r="BR390" s="89" t="s">
        <v>646</v>
      </c>
      <c r="BS390" s="89" t="s">
        <v>646</v>
      </c>
      <c r="BT390" s="89" t="s">
        <v>646</v>
      </c>
      <c r="BU390" s="89" t="s">
        <v>646</v>
      </c>
      <c r="BV390" s="89" t="s">
        <v>646</v>
      </c>
      <c r="BW390" s="89">
        <v>33602635</v>
      </c>
      <c r="BX390" s="89" t="s">
        <v>646</v>
      </c>
      <c r="BY390" s="89" t="s">
        <v>646</v>
      </c>
      <c r="BZ390" s="89" t="s">
        <v>646</v>
      </c>
      <c r="CA390" s="89" t="s">
        <v>646</v>
      </c>
      <c r="CB390" s="89" t="s">
        <v>20841</v>
      </c>
      <c r="CC390" s="89" t="str">
        <f>HYPERLINK("https%3A%2F%2Fwww.webofscience.com%2Fwos%2Fwoscc%2Ffull-record%2FWOS:000717464500007","View Full Record in Web of Science")</f>
        <v>View Full Record in Web of Science</v>
      </c>
    </row>
    <row r="391" spans="1:81" ht="13.2" hidden="1" x14ac:dyDescent="0.25">
      <c r="A391" s="89" t="s">
        <v>12418</v>
      </c>
      <c r="B391" s="89" t="e">
        <f>+#REF!</f>
        <v>#REF!</v>
      </c>
      <c r="C391" s="89"/>
      <c r="D391" s="91" t="s">
        <v>717</v>
      </c>
      <c r="E391" s="90" t="e">
        <v>#REF!</v>
      </c>
      <c r="F391" s="89"/>
      <c r="G391" s="89"/>
      <c r="H391" s="89" t="s">
        <v>12419</v>
      </c>
      <c r="I391" s="89" t="s">
        <v>20842</v>
      </c>
      <c r="J391" s="89" t="s">
        <v>646</v>
      </c>
      <c r="K391" s="89" t="s">
        <v>20844</v>
      </c>
      <c r="M391" s="89">
        <v>2016</v>
      </c>
      <c r="N391" s="89" t="s">
        <v>20843</v>
      </c>
      <c r="O391" s="89" t="s">
        <v>646</v>
      </c>
      <c r="P391" s="89" t="str">
        <f>HYPERLINK("http://dx.doi.org/10.1080/00223131.2015.1027757","http://dx.doi.org/10.1080/00223131.2015.1027757")</f>
        <v>http://dx.doi.org/10.1080/00223131.2015.1027757</v>
      </c>
      <c r="S391" s="89" t="s">
        <v>646</v>
      </c>
      <c r="U391" s="89" t="s">
        <v>17462</v>
      </c>
      <c r="W391" s="89" t="s">
        <v>646</v>
      </c>
      <c r="X391" s="89" t="s">
        <v>646</v>
      </c>
      <c r="Y391" s="89" t="s">
        <v>646</v>
      </c>
      <c r="Z391" s="89" t="s">
        <v>646</v>
      </c>
      <c r="AA391" s="89" t="s">
        <v>646</v>
      </c>
      <c r="AB391" s="89" t="s">
        <v>646</v>
      </c>
      <c r="AC391" s="89" t="s">
        <v>646</v>
      </c>
      <c r="AD391" s="89" t="s">
        <v>646</v>
      </c>
      <c r="AE391" s="89" t="s">
        <v>646</v>
      </c>
      <c r="AF391" s="89" t="s">
        <v>20844</v>
      </c>
      <c r="AG391" s="89" t="s">
        <v>646</v>
      </c>
      <c r="AH391" s="89" t="s">
        <v>646</v>
      </c>
      <c r="AI391" s="89" t="s">
        <v>646</v>
      </c>
      <c r="AJ391" s="89" t="s">
        <v>646</v>
      </c>
      <c r="AK391" s="89" t="s">
        <v>646</v>
      </c>
      <c r="AL391" s="89" t="s">
        <v>646</v>
      </c>
      <c r="AM391" s="89" t="s">
        <v>646</v>
      </c>
      <c r="AN391" s="89" t="s">
        <v>646</v>
      </c>
      <c r="AO391" s="89" t="s">
        <v>646</v>
      </c>
      <c r="AP391" s="89" t="s">
        <v>646</v>
      </c>
      <c r="AQ391" s="89" t="s">
        <v>646</v>
      </c>
      <c r="AR391" s="89" t="s">
        <v>646</v>
      </c>
      <c r="AS391" s="89" t="s">
        <v>646</v>
      </c>
      <c r="AT391" s="89" t="s">
        <v>646</v>
      </c>
      <c r="AU391" s="89" t="s">
        <v>646</v>
      </c>
      <c r="AV391" s="89" t="s">
        <v>646</v>
      </c>
      <c r="AW391" s="89" t="s">
        <v>646</v>
      </c>
      <c r="AX391" s="89" t="s">
        <v>646</v>
      </c>
      <c r="AY391" s="89" t="s">
        <v>20845</v>
      </c>
      <c r="AZ391" s="89" t="s">
        <v>20846</v>
      </c>
      <c r="BA391" s="89" t="s">
        <v>646</v>
      </c>
      <c r="BB391" s="89" t="s">
        <v>646</v>
      </c>
      <c r="BC391" s="89" t="s">
        <v>646</v>
      </c>
      <c r="BD391" s="89" t="s">
        <v>20847</v>
      </c>
      <c r="BE391" s="89">
        <v>2016</v>
      </c>
      <c r="BF391" s="89">
        <v>53</v>
      </c>
      <c r="BG391" s="89">
        <v>1</v>
      </c>
      <c r="BH391" s="89" t="s">
        <v>646</v>
      </c>
      <c r="BI391" s="89" t="s">
        <v>646</v>
      </c>
      <c r="BJ391" s="89" t="s">
        <v>646</v>
      </c>
      <c r="BK391" s="89" t="s">
        <v>646</v>
      </c>
      <c r="BL391" s="89">
        <v>102</v>
      </c>
      <c r="BM391" s="89">
        <v>111</v>
      </c>
      <c r="BN391" s="89" t="s">
        <v>646</v>
      </c>
      <c r="BO391" s="89" t="str">
        <f>HYPERLINK("http://dx.doi.org/10.1080/00223131.2015.1027757","http://dx.doi.org/10.1080/00223131.2015.1027757")</f>
        <v>http://dx.doi.org/10.1080/00223131.2015.1027757</v>
      </c>
      <c r="BP391" s="89" t="s">
        <v>646</v>
      </c>
      <c r="BQ391" s="89" t="s">
        <v>646</v>
      </c>
      <c r="BR391" s="89" t="s">
        <v>646</v>
      </c>
      <c r="BS391" s="89" t="s">
        <v>646</v>
      </c>
      <c r="BT391" s="89" t="s">
        <v>646</v>
      </c>
      <c r="BU391" s="89" t="s">
        <v>646</v>
      </c>
      <c r="BV391" s="89" t="s">
        <v>646</v>
      </c>
      <c r="BW391" s="89" t="s">
        <v>646</v>
      </c>
      <c r="BX391" s="89" t="s">
        <v>646</v>
      </c>
      <c r="BY391" s="89" t="s">
        <v>646</v>
      </c>
      <c r="BZ391" s="89" t="s">
        <v>646</v>
      </c>
      <c r="CA391" s="89" t="s">
        <v>646</v>
      </c>
      <c r="CB391" s="89" t="s">
        <v>20848</v>
      </c>
      <c r="CC391" s="89" t="str">
        <f>HYPERLINK("https%3A%2F%2Fwww.webofscience.com%2Fwos%2Fwoscc%2Ffull-record%2FWOS:000365241000009","View Full Record in Web of Science")</f>
        <v>View Full Record in Web of Science</v>
      </c>
    </row>
    <row r="392" spans="1:81" ht="13.2" hidden="1" x14ac:dyDescent="0.25">
      <c r="A392" s="89" t="s">
        <v>9395</v>
      </c>
      <c r="B392" s="89" t="e">
        <f>+#REF!</f>
        <v>#REF!</v>
      </c>
      <c r="C392" s="89"/>
      <c r="D392" s="91" t="s">
        <v>717</v>
      </c>
      <c r="E392" s="90" t="e">
        <v>#REF!</v>
      </c>
      <c r="F392" s="89"/>
      <c r="G392" s="89"/>
      <c r="H392" s="89" t="s">
        <v>9396</v>
      </c>
      <c r="I392" s="89" t="s">
        <v>20849</v>
      </c>
      <c r="J392" s="89" t="s">
        <v>646</v>
      </c>
      <c r="K392" s="89" t="s">
        <v>20851</v>
      </c>
      <c r="M392" s="89">
        <v>2020</v>
      </c>
      <c r="N392" s="89" t="s">
        <v>20850</v>
      </c>
      <c r="O392" s="89" t="s">
        <v>646</v>
      </c>
      <c r="P392" s="89" t="str">
        <f>HYPERLINK("http://dx.doi.org/10.1080/10720162.2020.1867939","http://dx.doi.org/10.1080/10720162.2020.1867939")</f>
        <v>http://dx.doi.org/10.1080/10720162.2020.1867939</v>
      </c>
      <c r="S392" s="89" t="s">
        <v>646</v>
      </c>
      <c r="U392" s="89" t="s">
        <v>17462</v>
      </c>
      <c r="W392" s="89" t="s">
        <v>646</v>
      </c>
      <c r="X392" s="89" t="s">
        <v>646</v>
      </c>
      <c r="Y392" s="89" t="s">
        <v>646</v>
      </c>
      <c r="Z392" s="89" t="s">
        <v>646</v>
      </c>
      <c r="AA392" s="89" t="s">
        <v>646</v>
      </c>
      <c r="AB392" s="89" t="s">
        <v>646</v>
      </c>
      <c r="AC392" s="89" t="s">
        <v>646</v>
      </c>
      <c r="AD392" s="89" t="s">
        <v>646</v>
      </c>
      <c r="AE392" s="89" t="s">
        <v>646</v>
      </c>
      <c r="AF392" s="89" t="s">
        <v>20851</v>
      </c>
      <c r="AG392" s="89" t="s">
        <v>646</v>
      </c>
      <c r="AH392" s="89" t="s">
        <v>646</v>
      </c>
      <c r="AI392" s="89" t="s">
        <v>646</v>
      </c>
      <c r="AJ392" s="89" t="s">
        <v>646</v>
      </c>
      <c r="AK392" s="89" t="s">
        <v>646</v>
      </c>
      <c r="AL392" s="89" t="s">
        <v>20852</v>
      </c>
      <c r="AM392" s="89" t="s">
        <v>646</v>
      </c>
      <c r="AN392" s="89" t="s">
        <v>646</v>
      </c>
      <c r="AO392" s="89" t="s">
        <v>646</v>
      </c>
      <c r="AP392" s="89" t="s">
        <v>646</v>
      </c>
      <c r="AQ392" s="89" t="s">
        <v>646</v>
      </c>
      <c r="AR392" s="89" t="s">
        <v>646</v>
      </c>
      <c r="AS392" s="89" t="s">
        <v>646</v>
      </c>
      <c r="AT392" s="89" t="s">
        <v>646</v>
      </c>
      <c r="AU392" s="89" t="s">
        <v>646</v>
      </c>
      <c r="AV392" s="89" t="s">
        <v>646</v>
      </c>
      <c r="AW392" s="89" t="s">
        <v>646</v>
      </c>
      <c r="AX392" s="89" t="s">
        <v>646</v>
      </c>
      <c r="AY392" s="89" t="s">
        <v>20853</v>
      </c>
      <c r="AZ392" s="89" t="s">
        <v>20854</v>
      </c>
      <c r="BA392" s="89" t="s">
        <v>646</v>
      </c>
      <c r="BB392" s="89" t="s">
        <v>646</v>
      </c>
      <c r="BC392" s="89" t="s">
        <v>646</v>
      </c>
      <c r="BD392" s="89" t="s">
        <v>18007</v>
      </c>
      <c r="BE392" s="89">
        <v>2020</v>
      </c>
      <c r="BF392" s="89">
        <v>27</v>
      </c>
      <c r="BG392" s="89" t="s">
        <v>19273</v>
      </c>
      <c r="BH392" s="89" t="s">
        <v>646</v>
      </c>
      <c r="BI392" s="89" t="s">
        <v>646</v>
      </c>
      <c r="BJ392" s="89" t="s">
        <v>646</v>
      </c>
      <c r="BK392" s="89" t="s">
        <v>646</v>
      </c>
      <c r="BL392" s="89">
        <v>274</v>
      </c>
      <c r="BM392" s="89">
        <v>292</v>
      </c>
      <c r="BN392" s="89" t="s">
        <v>646</v>
      </c>
      <c r="BO392" s="89" t="str">
        <f>HYPERLINK("http://dx.doi.org/10.1080/10720162.2020.1867939","http://dx.doi.org/10.1080/10720162.2020.1867939")</f>
        <v>http://dx.doi.org/10.1080/10720162.2020.1867939</v>
      </c>
      <c r="BP392" s="89" t="s">
        <v>646</v>
      </c>
      <c r="BQ392" s="89" t="s">
        <v>19180</v>
      </c>
      <c r="BR392" s="89" t="s">
        <v>646</v>
      </c>
      <c r="BS392" s="89" t="s">
        <v>646</v>
      </c>
      <c r="BT392" s="89" t="s">
        <v>646</v>
      </c>
      <c r="BU392" s="89" t="s">
        <v>646</v>
      </c>
      <c r="BV392" s="89" t="s">
        <v>646</v>
      </c>
      <c r="BW392" s="89" t="s">
        <v>646</v>
      </c>
      <c r="BX392" s="89" t="s">
        <v>646</v>
      </c>
      <c r="BY392" s="89" t="s">
        <v>646</v>
      </c>
      <c r="BZ392" s="89" t="s">
        <v>646</v>
      </c>
      <c r="CA392" s="89" t="s">
        <v>646</v>
      </c>
      <c r="CB392" s="89" t="s">
        <v>20855</v>
      </c>
      <c r="CC392" s="89" t="str">
        <f>HYPERLINK("https%3A%2F%2Fwww.webofscience.com%2Fwos%2Fwoscc%2Ffull-record%2FWOS:000617606900001","View Full Record in Web of Science")</f>
        <v>View Full Record in Web of Science</v>
      </c>
    </row>
    <row r="393" spans="1:81" ht="13.2" hidden="1" x14ac:dyDescent="0.25">
      <c r="A393" s="89" t="s">
        <v>9405</v>
      </c>
      <c r="B393" s="89" t="e">
        <f>+#REF!</f>
        <v>#REF!</v>
      </c>
      <c r="C393" s="89"/>
      <c r="D393" s="91" t="s">
        <v>717</v>
      </c>
      <c r="E393" s="90" t="e">
        <v>#REF!</v>
      </c>
      <c r="F393" s="89"/>
      <c r="G393" s="89"/>
      <c r="H393" s="89" t="s">
        <v>9406</v>
      </c>
      <c r="I393" s="89" t="s">
        <v>20856</v>
      </c>
      <c r="J393" s="89" t="s">
        <v>20859</v>
      </c>
      <c r="K393" s="89" t="s">
        <v>20858</v>
      </c>
      <c r="M393" s="89">
        <v>2021</v>
      </c>
      <c r="N393" s="89" t="s">
        <v>20857</v>
      </c>
      <c r="O393" s="89" t="s">
        <v>646</v>
      </c>
      <c r="P393" s="89" t="str">
        <f>HYPERLINK("http://dx.doi.org/10.1016/j.techsoc.2021.101727","http://dx.doi.org/10.1016/j.techsoc.2021.101727")</f>
        <v>http://dx.doi.org/10.1016/j.techsoc.2021.101727</v>
      </c>
      <c r="S393" s="89" t="s">
        <v>646</v>
      </c>
      <c r="U393" s="89" t="s">
        <v>17462</v>
      </c>
      <c r="W393" s="89" t="s">
        <v>646</v>
      </c>
      <c r="X393" s="89" t="s">
        <v>646</v>
      </c>
      <c r="Y393" s="89" t="s">
        <v>646</v>
      </c>
      <c r="Z393" s="89" t="s">
        <v>646</v>
      </c>
      <c r="AA393" s="89" t="s">
        <v>646</v>
      </c>
      <c r="AB393" s="89" t="s">
        <v>646</v>
      </c>
      <c r="AC393" s="89" t="s">
        <v>646</v>
      </c>
      <c r="AD393" s="89" t="s">
        <v>646</v>
      </c>
      <c r="AE393" s="89" t="s">
        <v>646</v>
      </c>
      <c r="AF393" s="89" t="s">
        <v>20858</v>
      </c>
      <c r="AG393" s="89" t="s">
        <v>646</v>
      </c>
      <c r="AH393" s="89" t="s">
        <v>646</v>
      </c>
      <c r="AI393" s="89" t="s">
        <v>646</v>
      </c>
      <c r="AJ393" s="89" t="s">
        <v>646</v>
      </c>
      <c r="AK393" s="89" t="s">
        <v>20859</v>
      </c>
      <c r="AL393" s="89" t="s">
        <v>20860</v>
      </c>
      <c r="AM393" s="89" t="s">
        <v>646</v>
      </c>
      <c r="AN393" s="89" t="s">
        <v>646</v>
      </c>
      <c r="AO393" s="89" t="s">
        <v>646</v>
      </c>
      <c r="AP393" s="89" t="s">
        <v>646</v>
      </c>
      <c r="AQ393" s="89" t="s">
        <v>646</v>
      </c>
      <c r="AR393" s="89" t="s">
        <v>646</v>
      </c>
      <c r="AS393" s="89" t="s">
        <v>646</v>
      </c>
      <c r="AT393" s="89" t="s">
        <v>646</v>
      </c>
      <c r="AU393" s="89" t="s">
        <v>646</v>
      </c>
      <c r="AV393" s="89" t="s">
        <v>646</v>
      </c>
      <c r="AW393" s="89" t="s">
        <v>646</v>
      </c>
      <c r="AX393" s="89" t="s">
        <v>646</v>
      </c>
      <c r="AY393" s="89" t="s">
        <v>20861</v>
      </c>
      <c r="AZ393" s="89" t="s">
        <v>20862</v>
      </c>
      <c r="BA393" s="89" t="s">
        <v>646</v>
      </c>
      <c r="BB393" s="89" t="s">
        <v>646</v>
      </c>
      <c r="BC393" s="89" t="s">
        <v>646</v>
      </c>
      <c r="BD393" s="89" t="s">
        <v>18292</v>
      </c>
      <c r="BE393" s="89">
        <v>2021</v>
      </c>
      <c r="BF393" s="89">
        <v>67</v>
      </c>
      <c r="BG393" s="89" t="s">
        <v>646</v>
      </c>
      <c r="BH393" s="89" t="s">
        <v>646</v>
      </c>
      <c r="BI393" s="89" t="s">
        <v>646</v>
      </c>
      <c r="BJ393" s="89" t="s">
        <v>646</v>
      </c>
      <c r="BK393" s="89" t="s">
        <v>646</v>
      </c>
      <c r="BL393" s="89" t="s">
        <v>646</v>
      </c>
      <c r="BM393" s="89" t="s">
        <v>646</v>
      </c>
      <c r="BN393" s="89">
        <v>101727</v>
      </c>
      <c r="BO393" s="89" t="str">
        <f>HYPERLINK("http://dx.doi.org/10.1016/j.techsoc.2021.101727","http://dx.doi.org/10.1016/j.techsoc.2021.101727")</f>
        <v>http://dx.doi.org/10.1016/j.techsoc.2021.101727</v>
      </c>
      <c r="BP393" s="89" t="s">
        <v>646</v>
      </c>
      <c r="BQ393" s="89" t="s">
        <v>17598</v>
      </c>
      <c r="BR393" s="89" t="s">
        <v>646</v>
      </c>
      <c r="BS393" s="89" t="s">
        <v>646</v>
      </c>
      <c r="BT393" s="89" t="s">
        <v>646</v>
      </c>
      <c r="BU393" s="89" t="s">
        <v>646</v>
      </c>
      <c r="BV393" s="89" t="s">
        <v>646</v>
      </c>
      <c r="BW393" s="89" t="s">
        <v>646</v>
      </c>
      <c r="BX393" s="89" t="s">
        <v>646</v>
      </c>
      <c r="BY393" s="89" t="s">
        <v>646</v>
      </c>
      <c r="BZ393" s="89" t="s">
        <v>646</v>
      </c>
      <c r="CA393" s="89" t="s">
        <v>646</v>
      </c>
      <c r="CB393" s="89" t="s">
        <v>20863</v>
      </c>
      <c r="CC393" s="89" t="str">
        <f>HYPERLINK("https%3A%2F%2Fwww.webofscience.com%2Fwos%2Fwoscc%2Ffull-record%2FWOS:000704511300009","View Full Record in Web of Science")</f>
        <v>View Full Record in Web of Science</v>
      </c>
    </row>
    <row r="394" spans="1:81" ht="13.2" hidden="1" x14ac:dyDescent="0.25">
      <c r="A394" s="89" t="s">
        <v>20864</v>
      </c>
      <c r="B394" s="89" t="e">
        <f>+#REF!</f>
        <v>#REF!</v>
      </c>
      <c r="C394" s="89"/>
      <c r="D394" s="91" t="s">
        <v>717</v>
      </c>
      <c r="E394" s="90" t="e">
        <v>#REF!</v>
      </c>
      <c r="F394" s="89"/>
      <c r="G394" s="89"/>
      <c r="H394" s="89" t="s">
        <v>12429</v>
      </c>
      <c r="I394" s="89" t="s">
        <v>20865</v>
      </c>
      <c r="J394" s="89" t="s">
        <v>646</v>
      </c>
      <c r="K394" s="89" t="s">
        <v>20867</v>
      </c>
      <c r="M394" s="89">
        <v>2019</v>
      </c>
      <c r="N394" s="89" t="s">
        <v>20866</v>
      </c>
      <c r="O394" s="89" t="s">
        <v>646</v>
      </c>
      <c r="P394" s="89" t="str">
        <f>HYPERLINK("http://dx.doi.org/10.17645/si.v7i1.1814","http://dx.doi.org/10.17645/si.v7i1.1814")</f>
        <v>http://dx.doi.org/10.17645/si.v7i1.1814</v>
      </c>
      <c r="S394" s="89" t="s">
        <v>646</v>
      </c>
      <c r="U394" s="89" t="s">
        <v>17462</v>
      </c>
      <c r="W394" s="89" t="s">
        <v>646</v>
      </c>
      <c r="X394" s="89" t="s">
        <v>646</v>
      </c>
      <c r="Y394" s="89" t="s">
        <v>646</v>
      </c>
      <c r="Z394" s="89" t="s">
        <v>646</v>
      </c>
      <c r="AA394" s="89" t="s">
        <v>646</v>
      </c>
      <c r="AB394" s="89" t="s">
        <v>646</v>
      </c>
      <c r="AC394" s="89" t="s">
        <v>646</v>
      </c>
      <c r="AD394" s="89" t="s">
        <v>646</v>
      </c>
      <c r="AE394" s="89" t="s">
        <v>646</v>
      </c>
      <c r="AF394" s="89" t="s">
        <v>20867</v>
      </c>
      <c r="AG394" s="89" t="s">
        <v>646</v>
      </c>
      <c r="AH394" s="89" t="s">
        <v>646</v>
      </c>
      <c r="AI394" s="89" t="s">
        <v>646</v>
      </c>
      <c r="AJ394" s="89" t="s">
        <v>646</v>
      </c>
      <c r="AK394" s="89" t="s">
        <v>646</v>
      </c>
      <c r="AL394" s="89" t="s">
        <v>646</v>
      </c>
      <c r="AM394" s="89" t="s">
        <v>646</v>
      </c>
      <c r="AN394" s="89" t="s">
        <v>646</v>
      </c>
      <c r="AO394" s="89" t="s">
        <v>646</v>
      </c>
      <c r="AP394" s="89" t="s">
        <v>646</v>
      </c>
      <c r="AQ394" s="89" t="s">
        <v>646</v>
      </c>
      <c r="AR394" s="89" t="s">
        <v>646</v>
      </c>
      <c r="AS394" s="89" t="s">
        <v>646</v>
      </c>
      <c r="AT394" s="89" t="s">
        <v>646</v>
      </c>
      <c r="AU394" s="89" t="s">
        <v>646</v>
      </c>
      <c r="AV394" s="89" t="s">
        <v>646</v>
      </c>
      <c r="AW394" s="89" t="s">
        <v>646</v>
      </c>
      <c r="AX394" s="89" t="s">
        <v>646</v>
      </c>
      <c r="AY394" s="89" t="s">
        <v>20868</v>
      </c>
      <c r="AZ394" s="89" t="s">
        <v>646</v>
      </c>
      <c r="BA394" s="89" t="s">
        <v>646</v>
      </c>
      <c r="BB394" s="89" t="s">
        <v>646</v>
      </c>
      <c r="BC394" s="89" t="s">
        <v>646</v>
      </c>
      <c r="BD394" s="89" t="s">
        <v>646</v>
      </c>
      <c r="BE394" s="89">
        <v>2019</v>
      </c>
      <c r="BF394" s="89">
        <v>7</v>
      </c>
      <c r="BG394" s="89">
        <v>1</v>
      </c>
      <c r="BH394" s="89" t="s">
        <v>646</v>
      </c>
      <c r="BI394" s="89" t="s">
        <v>646</v>
      </c>
      <c r="BJ394" s="89" t="s">
        <v>646</v>
      </c>
      <c r="BK394" s="89" t="s">
        <v>646</v>
      </c>
      <c r="BL394" s="89">
        <v>196</v>
      </c>
      <c r="BM394" s="89">
        <v>206</v>
      </c>
      <c r="BN394" s="89" t="s">
        <v>646</v>
      </c>
      <c r="BO394" s="89" t="str">
        <f>HYPERLINK("http://dx.doi.org/10.17645/si.v7i1.1814","http://dx.doi.org/10.17645/si.v7i1.1814")</f>
        <v>http://dx.doi.org/10.17645/si.v7i1.1814</v>
      </c>
      <c r="BP394" s="89" t="s">
        <v>646</v>
      </c>
      <c r="BQ394" s="89" t="s">
        <v>646</v>
      </c>
      <c r="BR394" s="89" t="s">
        <v>646</v>
      </c>
      <c r="BS394" s="89" t="s">
        <v>646</v>
      </c>
      <c r="BT394" s="89" t="s">
        <v>646</v>
      </c>
      <c r="BU394" s="89" t="s">
        <v>646</v>
      </c>
      <c r="BV394" s="89" t="s">
        <v>646</v>
      </c>
      <c r="BW394" s="89" t="s">
        <v>646</v>
      </c>
      <c r="BX394" s="89" t="s">
        <v>646</v>
      </c>
      <c r="BY394" s="89" t="s">
        <v>646</v>
      </c>
      <c r="BZ394" s="89" t="s">
        <v>646</v>
      </c>
      <c r="CA394" s="89" t="s">
        <v>646</v>
      </c>
      <c r="CB394" s="89" t="s">
        <v>20869</v>
      </c>
      <c r="CC394" s="89" t="str">
        <f>HYPERLINK("https%3A%2F%2Fwww.webofscience.com%2Fwos%2Fwoscc%2Ffull-record%2FWOS:000460022400003","View Full Record in Web of Science")</f>
        <v>View Full Record in Web of Science</v>
      </c>
    </row>
    <row r="395" spans="1:81" ht="13.2" hidden="1" x14ac:dyDescent="0.25">
      <c r="A395" s="89" t="s">
        <v>12438</v>
      </c>
      <c r="B395" s="89" t="e">
        <f>+#REF!</f>
        <v>#REF!</v>
      </c>
      <c r="C395" s="89"/>
      <c r="D395" s="91" t="s">
        <v>717</v>
      </c>
      <c r="E395" s="90" t="e">
        <v>#REF!</v>
      </c>
      <c r="F395" s="89"/>
      <c r="G395" s="89"/>
      <c r="H395" s="89" t="s">
        <v>12439</v>
      </c>
      <c r="I395" s="89" t="s">
        <v>20870</v>
      </c>
      <c r="J395" s="89" t="s">
        <v>20873</v>
      </c>
      <c r="K395" s="89" t="s">
        <v>20872</v>
      </c>
      <c r="M395" s="89">
        <v>2019</v>
      </c>
      <c r="N395" s="89" t="s">
        <v>20871</v>
      </c>
      <c r="O395" s="89" t="s">
        <v>646</v>
      </c>
      <c r="P395" s="89" t="str">
        <f>HYPERLINK("http://dx.doi.org/10.18543/baidc-54-2019pp75-96","http://dx.doi.org/10.18543/baidc-54-2019pp75-96")</f>
        <v>http://dx.doi.org/10.18543/baidc-54-2019pp75-96</v>
      </c>
      <c r="S395" s="89" t="s">
        <v>646</v>
      </c>
      <c r="U395" s="89" t="s">
        <v>17462</v>
      </c>
      <c r="W395" s="89" t="s">
        <v>646</v>
      </c>
      <c r="X395" s="89" t="s">
        <v>646</v>
      </c>
      <c r="Y395" s="89" t="s">
        <v>646</v>
      </c>
      <c r="Z395" s="89" t="s">
        <v>646</v>
      </c>
      <c r="AA395" s="89" t="s">
        <v>646</v>
      </c>
      <c r="AB395" s="89" t="s">
        <v>646</v>
      </c>
      <c r="AC395" s="89" t="s">
        <v>646</v>
      </c>
      <c r="AD395" s="89" t="s">
        <v>646</v>
      </c>
      <c r="AE395" s="89" t="s">
        <v>646</v>
      </c>
      <c r="AF395" s="89" t="s">
        <v>20872</v>
      </c>
      <c r="AG395" s="89" t="s">
        <v>646</v>
      </c>
      <c r="AH395" s="89" t="s">
        <v>646</v>
      </c>
      <c r="AI395" s="89" t="s">
        <v>646</v>
      </c>
      <c r="AJ395" s="89" t="s">
        <v>646</v>
      </c>
      <c r="AK395" s="89" t="s">
        <v>20873</v>
      </c>
      <c r="AL395" s="89" t="s">
        <v>20874</v>
      </c>
      <c r="AM395" s="89" t="s">
        <v>646</v>
      </c>
      <c r="AN395" s="89" t="s">
        <v>646</v>
      </c>
      <c r="AO395" s="89" t="s">
        <v>646</v>
      </c>
      <c r="AP395" s="89" t="s">
        <v>646</v>
      </c>
      <c r="AQ395" s="89" t="s">
        <v>646</v>
      </c>
      <c r="AR395" s="89" t="s">
        <v>646</v>
      </c>
      <c r="AS395" s="89" t="s">
        <v>646</v>
      </c>
      <c r="AT395" s="89" t="s">
        <v>646</v>
      </c>
      <c r="AU395" s="89" t="s">
        <v>646</v>
      </c>
      <c r="AV395" s="89" t="s">
        <v>646</v>
      </c>
      <c r="AW395" s="89" t="s">
        <v>646</v>
      </c>
      <c r="AX395" s="89" t="s">
        <v>646</v>
      </c>
      <c r="AY395" s="89" t="s">
        <v>20875</v>
      </c>
      <c r="AZ395" s="89" t="s">
        <v>20876</v>
      </c>
      <c r="BA395" s="89" t="s">
        <v>646</v>
      </c>
      <c r="BB395" s="89" t="s">
        <v>646</v>
      </c>
      <c r="BC395" s="89" t="s">
        <v>646</v>
      </c>
      <c r="BD395" s="89" t="s">
        <v>646</v>
      </c>
      <c r="BE395" s="89">
        <v>2019</v>
      </c>
      <c r="BF395" s="89">
        <v>54</v>
      </c>
      <c r="BG395" s="89" t="s">
        <v>646</v>
      </c>
      <c r="BH395" s="89" t="s">
        <v>646</v>
      </c>
      <c r="BI395" s="89" t="s">
        <v>646</v>
      </c>
      <c r="BJ395" s="89" t="s">
        <v>646</v>
      </c>
      <c r="BK395" s="89" t="s">
        <v>646</v>
      </c>
      <c r="BL395" s="89">
        <v>75</v>
      </c>
      <c r="BM395" s="89">
        <v>96</v>
      </c>
      <c r="BN395" s="89" t="s">
        <v>646</v>
      </c>
      <c r="BO395" s="89" t="str">
        <f>HYPERLINK("http://dx.doi.org/10.18543/baidc-54-2019pp75-96","http://dx.doi.org/10.18543/baidc-54-2019pp75-96")</f>
        <v>http://dx.doi.org/10.18543/baidc-54-2019pp75-96</v>
      </c>
      <c r="BP395" s="89" t="s">
        <v>646</v>
      </c>
      <c r="BQ395" s="89" t="s">
        <v>646</v>
      </c>
      <c r="BR395" s="89" t="s">
        <v>646</v>
      </c>
      <c r="BS395" s="89" t="s">
        <v>646</v>
      </c>
      <c r="BT395" s="89" t="s">
        <v>646</v>
      </c>
      <c r="BU395" s="89" t="s">
        <v>646</v>
      </c>
      <c r="BV395" s="89" t="s">
        <v>646</v>
      </c>
      <c r="BW395" s="89" t="s">
        <v>646</v>
      </c>
      <c r="BX395" s="89" t="s">
        <v>646</v>
      </c>
      <c r="BY395" s="89" t="s">
        <v>646</v>
      </c>
      <c r="BZ395" s="89" t="s">
        <v>646</v>
      </c>
      <c r="CA395" s="89" t="s">
        <v>646</v>
      </c>
      <c r="CB395" s="89" t="s">
        <v>20877</v>
      </c>
      <c r="CC395" s="89" t="str">
        <f>HYPERLINK("https%3A%2F%2Fwww.webofscience.com%2Fwos%2Fwoscc%2Ffull-record%2FWOS:000476658300003","View Full Record in Web of Science")</f>
        <v>View Full Record in Web of Science</v>
      </c>
    </row>
    <row r="396" spans="1:81" ht="13.2" hidden="1" x14ac:dyDescent="0.25">
      <c r="A396" s="89" t="s">
        <v>12448</v>
      </c>
      <c r="B396" s="89" t="e">
        <f>+#REF!</f>
        <v>#REF!</v>
      </c>
      <c r="C396" s="89"/>
      <c r="D396" s="91" t="s">
        <v>717</v>
      </c>
      <c r="E396" s="90" t="e">
        <v>#REF!</v>
      </c>
      <c r="F396" s="89"/>
      <c r="G396" s="89"/>
      <c r="H396" s="89" t="s">
        <v>12449</v>
      </c>
      <c r="I396" s="89" t="s">
        <v>20878</v>
      </c>
      <c r="J396" s="89" t="s">
        <v>646</v>
      </c>
      <c r="K396" s="89" t="s">
        <v>20880</v>
      </c>
      <c r="M396" s="89">
        <v>2021</v>
      </c>
      <c r="N396" s="89" t="s">
        <v>20879</v>
      </c>
      <c r="O396" s="89" t="s">
        <v>646</v>
      </c>
      <c r="P396" s="89" t="str">
        <f>HYPERLINK("http://dx.doi.org/10.1080/1369118X.2019.1684543","http://dx.doi.org/10.1080/1369118X.2019.1684543")</f>
        <v>http://dx.doi.org/10.1080/1369118X.2019.1684543</v>
      </c>
      <c r="S396" s="89" t="s">
        <v>646</v>
      </c>
      <c r="U396" s="89" t="s">
        <v>17462</v>
      </c>
      <c r="W396" s="89" t="s">
        <v>646</v>
      </c>
      <c r="X396" s="89" t="s">
        <v>646</v>
      </c>
      <c r="Y396" s="89" t="s">
        <v>646</v>
      </c>
      <c r="Z396" s="89" t="s">
        <v>646</v>
      </c>
      <c r="AA396" s="89" t="s">
        <v>646</v>
      </c>
      <c r="AB396" s="89" t="s">
        <v>646</v>
      </c>
      <c r="AC396" s="89" t="s">
        <v>646</v>
      </c>
      <c r="AD396" s="89" t="s">
        <v>646</v>
      </c>
      <c r="AE396" s="89" t="s">
        <v>646</v>
      </c>
      <c r="AF396" s="89" t="s">
        <v>20880</v>
      </c>
      <c r="AG396" s="89" t="s">
        <v>646</v>
      </c>
      <c r="AH396" s="89" t="s">
        <v>646</v>
      </c>
      <c r="AI396" s="89" t="s">
        <v>646</v>
      </c>
      <c r="AJ396" s="89" t="s">
        <v>646</v>
      </c>
      <c r="AK396" s="89" t="s">
        <v>646</v>
      </c>
      <c r="AL396" s="89" t="s">
        <v>646</v>
      </c>
      <c r="AM396" s="89" t="s">
        <v>646</v>
      </c>
      <c r="AN396" s="89" t="s">
        <v>646</v>
      </c>
      <c r="AO396" s="89" t="s">
        <v>646</v>
      </c>
      <c r="AP396" s="89" t="s">
        <v>646</v>
      </c>
      <c r="AQ396" s="89" t="s">
        <v>646</v>
      </c>
      <c r="AR396" s="89" t="s">
        <v>646</v>
      </c>
      <c r="AS396" s="89" t="s">
        <v>646</v>
      </c>
      <c r="AT396" s="89" t="s">
        <v>646</v>
      </c>
      <c r="AU396" s="89" t="s">
        <v>646</v>
      </c>
      <c r="AV396" s="89" t="s">
        <v>646</v>
      </c>
      <c r="AW396" s="89" t="s">
        <v>646</v>
      </c>
      <c r="AX396" s="89" t="s">
        <v>646</v>
      </c>
      <c r="AY396" s="89" t="s">
        <v>20881</v>
      </c>
      <c r="AZ396" s="89" t="s">
        <v>20882</v>
      </c>
      <c r="BA396" s="89" t="s">
        <v>646</v>
      </c>
      <c r="BB396" s="89" t="s">
        <v>646</v>
      </c>
      <c r="BC396" s="89" t="s">
        <v>646</v>
      </c>
      <c r="BD396" s="89" t="s">
        <v>20883</v>
      </c>
      <c r="BE396" s="89">
        <v>2021</v>
      </c>
      <c r="BF396" s="89">
        <v>24</v>
      </c>
      <c r="BG396" s="89">
        <v>9</v>
      </c>
      <c r="BH396" s="89" t="s">
        <v>646</v>
      </c>
      <c r="BI396" s="89" t="s">
        <v>646</v>
      </c>
      <c r="BJ396" s="89" t="s">
        <v>646</v>
      </c>
      <c r="BK396" s="89" t="s">
        <v>646</v>
      </c>
      <c r="BL396" s="89">
        <v>1192</v>
      </c>
      <c r="BM396" s="89">
        <v>1211</v>
      </c>
      <c r="BN396" s="89" t="s">
        <v>646</v>
      </c>
      <c r="BO396" s="89" t="str">
        <f>HYPERLINK("http://dx.doi.org/10.1080/1369118X.2019.1684543","http://dx.doi.org/10.1080/1369118X.2019.1684543")</f>
        <v>http://dx.doi.org/10.1080/1369118X.2019.1684543</v>
      </c>
      <c r="BP396" s="89" t="s">
        <v>646</v>
      </c>
      <c r="BQ396" s="89" t="s">
        <v>19749</v>
      </c>
      <c r="BR396" s="89" t="s">
        <v>646</v>
      </c>
      <c r="BS396" s="89" t="s">
        <v>646</v>
      </c>
      <c r="BT396" s="89" t="s">
        <v>646</v>
      </c>
      <c r="BU396" s="89" t="s">
        <v>646</v>
      </c>
      <c r="BV396" s="89" t="s">
        <v>646</v>
      </c>
      <c r="BW396" s="89" t="s">
        <v>646</v>
      </c>
      <c r="BX396" s="89" t="s">
        <v>646</v>
      </c>
      <c r="BY396" s="89" t="s">
        <v>646</v>
      </c>
      <c r="BZ396" s="89" t="s">
        <v>646</v>
      </c>
      <c r="CA396" s="89" t="s">
        <v>646</v>
      </c>
      <c r="CB396" s="89" t="s">
        <v>20884</v>
      </c>
      <c r="CC396" s="89" t="str">
        <f>HYPERLINK("https%3A%2F%2Fwww.webofscience.com%2Fwos%2Fwoscc%2Ffull-record%2FWOS:000503540300001","View Full Record in Web of Science")</f>
        <v>View Full Record in Web of Science</v>
      </c>
    </row>
    <row r="397" spans="1:81" ht="13.2" hidden="1" x14ac:dyDescent="0.25">
      <c r="A397" s="89" t="s">
        <v>12457</v>
      </c>
      <c r="B397" s="89" t="e">
        <f>+#REF!</f>
        <v>#REF!</v>
      </c>
      <c r="C397" s="89"/>
      <c r="D397" s="91" t="s">
        <v>717</v>
      </c>
      <c r="E397" s="90" t="e">
        <v>#REF!</v>
      </c>
      <c r="F397" s="89"/>
      <c r="G397" s="89"/>
      <c r="H397" s="89" t="s">
        <v>12458</v>
      </c>
      <c r="I397" s="89" t="s">
        <v>20885</v>
      </c>
      <c r="J397" s="89" t="s">
        <v>646</v>
      </c>
      <c r="K397" s="89" t="s">
        <v>20887</v>
      </c>
      <c r="M397" s="89">
        <v>2012</v>
      </c>
      <c r="N397" s="89" t="s">
        <v>20886</v>
      </c>
      <c r="O397" s="89" t="s">
        <v>646</v>
      </c>
      <c r="P397" s="89" t="str">
        <f>HYPERLINK("http://dx.doi.org/10.1177/1461444811412159","http://dx.doi.org/10.1177/1461444811412159")</f>
        <v>http://dx.doi.org/10.1177/1461444811412159</v>
      </c>
      <c r="S397" s="89" t="s">
        <v>646</v>
      </c>
      <c r="U397" s="89" t="s">
        <v>17462</v>
      </c>
      <c r="W397" s="89" t="s">
        <v>646</v>
      </c>
      <c r="X397" s="89" t="s">
        <v>646</v>
      </c>
      <c r="Y397" s="89" t="s">
        <v>646</v>
      </c>
      <c r="Z397" s="89" t="s">
        <v>646</v>
      </c>
      <c r="AA397" s="89" t="s">
        <v>646</v>
      </c>
      <c r="AB397" s="89" t="s">
        <v>646</v>
      </c>
      <c r="AC397" s="89" t="s">
        <v>646</v>
      </c>
      <c r="AD397" s="89" t="s">
        <v>646</v>
      </c>
      <c r="AE397" s="89" t="s">
        <v>646</v>
      </c>
      <c r="AF397" s="89" t="s">
        <v>20887</v>
      </c>
      <c r="AG397" s="89" t="s">
        <v>646</v>
      </c>
      <c r="AH397" s="89" t="s">
        <v>646</v>
      </c>
      <c r="AI397" s="89" t="s">
        <v>646</v>
      </c>
      <c r="AJ397" s="89" t="s">
        <v>646</v>
      </c>
      <c r="AK397" s="89" t="s">
        <v>646</v>
      </c>
      <c r="AL397" s="89" t="s">
        <v>20888</v>
      </c>
      <c r="AM397" s="89" t="s">
        <v>646</v>
      </c>
      <c r="AN397" s="89" t="s">
        <v>646</v>
      </c>
      <c r="AO397" s="89" t="s">
        <v>646</v>
      </c>
      <c r="AP397" s="89" t="s">
        <v>646</v>
      </c>
      <c r="AQ397" s="89" t="s">
        <v>646</v>
      </c>
      <c r="AR397" s="89" t="s">
        <v>646</v>
      </c>
      <c r="AS397" s="89" t="s">
        <v>646</v>
      </c>
      <c r="AT397" s="89" t="s">
        <v>646</v>
      </c>
      <c r="AU397" s="89" t="s">
        <v>646</v>
      </c>
      <c r="AV397" s="89" t="s">
        <v>646</v>
      </c>
      <c r="AW397" s="89" t="s">
        <v>646</v>
      </c>
      <c r="AX397" s="89" t="s">
        <v>646</v>
      </c>
      <c r="AY397" s="89" t="s">
        <v>20889</v>
      </c>
      <c r="AZ397" s="89" t="s">
        <v>20890</v>
      </c>
      <c r="BA397" s="89" t="s">
        <v>646</v>
      </c>
      <c r="BB397" s="89" t="s">
        <v>646</v>
      </c>
      <c r="BC397" s="89" t="s">
        <v>646</v>
      </c>
      <c r="BD397" s="89" t="s">
        <v>17658</v>
      </c>
      <c r="BE397" s="89">
        <v>2012</v>
      </c>
      <c r="BF397" s="89">
        <v>14</v>
      </c>
      <c r="BG397" s="89">
        <v>1</v>
      </c>
      <c r="BH397" s="89" t="s">
        <v>646</v>
      </c>
      <c r="BI397" s="89" t="s">
        <v>646</v>
      </c>
      <c r="BJ397" s="89" t="s">
        <v>646</v>
      </c>
      <c r="BK397" s="89" t="s">
        <v>646</v>
      </c>
      <c r="BL397" s="89">
        <v>137</v>
      </c>
      <c r="BM397" s="89">
        <v>152</v>
      </c>
      <c r="BN397" s="89" t="s">
        <v>646</v>
      </c>
      <c r="BO397" s="89" t="str">
        <f>HYPERLINK("http://dx.doi.org/10.1177/1461444811412159","http://dx.doi.org/10.1177/1461444811412159")</f>
        <v>http://dx.doi.org/10.1177/1461444811412159</v>
      </c>
      <c r="BP397" s="89" t="s">
        <v>646</v>
      </c>
      <c r="BQ397" s="89" t="s">
        <v>646</v>
      </c>
      <c r="BR397" s="89" t="s">
        <v>646</v>
      </c>
      <c r="BS397" s="89" t="s">
        <v>646</v>
      </c>
      <c r="BT397" s="89" t="s">
        <v>646</v>
      </c>
      <c r="BU397" s="89" t="s">
        <v>646</v>
      </c>
      <c r="BV397" s="89" t="s">
        <v>646</v>
      </c>
      <c r="BW397" s="89" t="s">
        <v>646</v>
      </c>
      <c r="BX397" s="89" t="s">
        <v>646</v>
      </c>
      <c r="BY397" s="89" t="s">
        <v>646</v>
      </c>
      <c r="BZ397" s="89" t="s">
        <v>646</v>
      </c>
      <c r="CA397" s="89" t="s">
        <v>646</v>
      </c>
      <c r="CB397" s="89" t="s">
        <v>20891</v>
      </c>
      <c r="CC397" s="89" t="str">
        <f>HYPERLINK("https%3A%2F%2Fwww.webofscience.com%2Fwos%2Fwoscc%2Ffull-record%2FWOS:000300785300009","View Full Record in Web of Science")</f>
        <v>View Full Record in Web of Science</v>
      </c>
    </row>
    <row r="398" spans="1:81" ht="13.2" hidden="1" x14ac:dyDescent="0.25">
      <c r="A398" s="89" t="s">
        <v>20892</v>
      </c>
      <c r="B398" s="89" t="e">
        <f>+#REF!</f>
        <v>#REF!</v>
      </c>
      <c r="C398" s="89"/>
      <c r="D398" s="91" t="s">
        <v>717</v>
      </c>
      <c r="E398" s="90" t="e">
        <v>#REF!</v>
      </c>
      <c r="F398" s="89"/>
      <c r="G398" s="89"/>
      <c r="H398" s="89" t="s">
        <v>12467</v>
      </c>
      <c r="I398" s="89" t="s">
        <v>20893</v>
      </c>
      <c r="J398" s="89" t="s">
        <v>20895</v>
      </c>
      <c r="K398" s="89" t="s">
        <v>20894</v>
      </c>
      <c r="M398" s="89">
        <v>2018</v>
      </c>
      <c r="N398" s="89" t="s">
        <v>19218</v>
      </c>
      <c r="O398" s="89" t="s">
        <v>646</v>
      </c>
      <c r="P398" s="89" t="str">
        <f>HYPERLINK("http://dx.doi.org/10.3390/su10061757","http://dx.doi.org/10.3390/su10061757")</f>
        <v>http://dx.doi.org/10.3390/su10061757</v>
      </c>
      <c r="S398" s="89" t="s">
        <v>646</v>
      </c>
      <c r="U398" s="89" t="s">
        <v>17462</v>
      </c>
      <c r="W398" s="89" t="s">
        <v>646</v>
      </c>
      <c r="X398" s="89" t="s">
        <v>646</v>
      </c>
      <c r="Y398" s="89" t="s">
        <v>646</v>
      </c>
      <c r="Z398" s="89" t="s">
        <v>646</v>
      </c>
      <c r="AA398" s="89" t="s">
        <v>646</v>
      </c>
      <c r="AB398" s="89" t="s">
        <v>646</v>
      </c>
      <c r="AC398" s="89" t="s">
        <v>646</v>
      </c>
      <c r="AD398" s="89" t="s">
        <v>646</v>
      </c>
      <c r="AE398" s="89" t="s">
        <v>646</v>
      </c>
      <c r="AF398" s="89" t="s">
        <v>20894</v>
      </c>
      <c r="AG398" s="89" t="s">
        <v>646</v>
      </c>
      <c r="AH398" s="89" t="s">
        <v>646</v>
      </c>
      <c r="AI398" s="89" t="s">
        <v>646</v>
      </c>
      <c r="AJ398" s="89" t="s">
        <v>646</v>
      </c>
      <c r="AK398" s="89" t="s">
        <v>20895</v>
      </c>
      <c r="AL398" s="89" t="s">
        <v>20896</v>
      </c>
      <c r="AM398" s="89" t="s">
        <v>646</v>
      </c>
      <c r="AN398" s="89" t="s">
        <v>646</v>
      </c>
      <c r="AO398" s="89" t="s">
        <v>646</v>
      </c>
      <c r="AP398" s="89" t="s">
        <v>646</v>
      </c>
      <c r="AQ398" s="89" t="s">
        <v>646</v>
      </c>
      <c r="AR398" s="89" t="s">
        <v>646</v>
      </c>
      <c r="AS398" s="89" t="s">
        <v>646</v>
      </c>
      <c r="AT398" s="89" t="s">
        <v>646</v>
      </c>
      <c r="AU398" s="89" t="s">
        <v>646</v>
      </c>
      <c r="AV398" s="89" t="s">
        <v>646</v>
      </c>
      <c r="AW398" s="89" t="s">
        <v>646</v>
      </c>
      <c r="AX398" s="89" t="s">
        <v>646</v>
      </c>
      <c r="AY398" s="89" t="s">
        <v>19222</v>
      </c>
      <c r="AZ398" s="89" t="s">
        <v>646</v>
      </c>
      <c r="BA398" s="89" t="s">
        <v>646</v>
      </c>
      <c r="BB398" s="89" t="s">
        <v>646</v>
      </c>
      <c r="BC398" s="89" t="s">
        <v>646</v>
      </c>
      <c r="BD398" s="89" t="s">
        <v>17772</v>
      </c>
      <c r="BE398" s="89">
        <v>2018</v>
      </c>
      <c r="BF398" s="89">
        <v>10</v>
      </c>
      <c r="BG398" s="89">
        <v>6</v>
      </c>
      <c r="BH398" s="89" t="s">
        <v>646</v>
      </c>
      <c r="BI398" s="89" t="s">
        <v>646</v>
      </c>
      <c r="BJ398" s="89" t="s">
        <v>646</v>
      </c>
      <c r="BK398" s="89" t="s">
        <v>646</v>
      </c>
      <c r="BL398" s="89" t="s">
        <v>646</v>
      </c>
      <c r="BM398" s="89" t="s">
        <v>646</v>
      </c>
      <c r="BN398" s="89">
        <v>1757</v>
      </c>
      <c r="BO398" s="89" t="str">
        <f>HYPERLINK("http://dx.doi.org/10.3390/su10061757","http://dx.doi.org/10.3390/su10061757")</f>
        <v>http://dx.doi.org/10.3390/su10061757</v>
      </c>
      <c r="BP398" s="89" t="s">
        <v>646</v>
      </c>
      <c r="BQ398" s="89" t="s">
        <v>646</v>
      </c>
      <c r="BR398" s="89" t="s">
        <v>646</v>
      </c>
      <c r="BS398" s="89" t="s">
        <v>646</v>
      </c>
      <c r="BT398" s="89" t="s">
        <v>646</v>
      </c>
      <c r="BU398" s="89" t="s">
        <v>646</v>
      </c>
      <c r="BV398" s="89" t="s">
        <v>646</v>
      </c>
      <c r="BW398" s="89" t="s">
        <v>646</v>
      </c>
      <c r="BX398" s="89" t="s">
        <v>646</v>
      </c>
      <c r="BY398" s="89" t="s">
        <v>646</v>
      </c>
      <c r="BZ398" s="89" t="s">
        <v>646</v>
      </c>
      <c r="CA398" s="89" t="s">
        <v>646</v>
      </c>
      <c r="CB398" s="89" t="s">
        <v>20897</v>
      </c>
      <c r="CC398" s="89" t="str">
        <f>HYPERLINK("https%3A%2F%2Fwww.webofscience.com%2Fwos%2Fwoscc%2Ffull-record%2FWOS:000436570100069","View Full Record in Web of Science")</f>
        <v>View Full Record in Web of Science</v>
      </c>
    </row>
    <row r="399" spans="1:81" ht="13.2" hidden="1" x14ac:dyDescent="0.25">
      <c r="A399" s="89" t="s">
        <v>9425</v>
      </c>
      <c r="B399" s="89" t="e">
        <f>+#REF!</f>
        <v>#REF!</v>
      </c>
      <c r="C399" s="89"/>
      <c r="D399" s="91" t="s">
        <v>717</v>
      </c>
      <c r="E399" s="90" t="e">
        <v>#REF!</v>
      </c>
      <c r="F399" s="89"/>
      <c r="G399" s="89"/>
      <c r="H399" s="89" t="s">
        <v>9426</v>
      </c>
      <c r="I399" s="89" t="s">
        <v>20898</v>
      </c>
      <c r="J399" s="89" t="s">
        <v>646</v>
      </c>
      <c r="K399" s="89" t="s">
        <v>20900</v>
      </c>
      <c r="M399" s="89">
        <v>2021</v>
      </c>
      <c r="N399" s="89" t="s">
        <v>20899</v>
      </c>
      <c r="O399" s="89" t="s">
        <v>646</v>
      </c>
      <c r="P399" s="89" t="str">
        <f>HYPERLINK("http://dx.doi.org/10.1016/j.socscimed.2021.114299","http://dx.doi.org/10.1016/j.socscimed.2021.114299")</f>
        <v>http://dx.doi.org/10.1016/j.socscimed.2021.114299</v>
      </c>
      <c r="S399" s="89" t="s">
        <v>646</v>
      </c>
      <c r="U399" s="89" t="s">
        <v>17462</v>
      </c>
      <c r="W399" s="89" t="s">
        <v>646</v>
      </c>
      <c r="X399" s="89" t="s">
        <v>646</v>
      </c>
      <c r="Y399" s="89" t="s">
        <v>646</v>
      </c>
      <c r="Z399" s="89" t="s">
        <v>646</v>
      </c>
      <c r="AA399" s="89" t="s">
        <v>646</v>
      </c>
      <c r="AB399" s="89" t="s">
        <v>646</v>
      </c>
      <c r="AC399" s="89" t="s">
        <v>646</v>
      </c>
      <c r="AD399" s="89" t="s">
        <v>646</v>
      </c>
      <c r="AE399" s="89" t="s">
        <v>646</v>
      </c>
      <c r="AF399" s="89" t="s">
        <v>20900</v>
      </c>
      <c r="AG399" s="89" t="s">
        <v>646</v>
      </c>
      <c r="AH399" s="89" t="s">
        <v>646</v>
      </c>
      <c r="AI399" s="89" t="s">
        <v>646</v>
      </c>
      <c r="AJ399" s="89" t="s">
        <v>646</v>
      </c>
      <c r="AK399" s="89" t="s">
        <v>646</v>
      </c>
      <c r="AL399" s="89" t="s">
        <v>20901</v>
      </c>
      <c r="AM399" s="89" t="s">
        <v>646</v>
      </c>
      <c r="AN399" s="89" t="s">
        <v>646</v>
      </c>
      <c r="AO399" s="89" t="s">
        <v>646</v>
      </c>
      <c r="AP399" s="89" t="s">
        <v>646</v>
      </c>
      <c r="AQ399" s="89" t="s">
        <v>646</v>
      </c>
      <c r="AR399" s="89" t="s">
        <v>646</v>
      </c>
      <c r="AS399" s="89" t="s">
        <v>646</v>
      </c>
      <c r="AT399" s="89" t="s">
        <v>646</v>
      </c>
      <c r="AU399" s="89" t="s">
        <v>646</v>
      </c>
      <c r="AV399" s="89" t="s">
        <v>646</v>
      </c>
      <c r="AW399" s="89" t="s">
        <v>646</v>
      </c>
      <c r="AX399" s="89" t="s">
        <v>646</v>
      </c>
      <c r="AY399" s="89" t="s">
        <v>20902</v>
      </c>
      <c r="AZ399" s="89" t="s">
        <v>20903</v>
      </c>
      <c r="BA399" s="89" t="s">
        <v>646</v>
      </c>
      <c r="BB399" s="89" t="s">
        <v>646</v>
      </c>
      <c r="BC399" s="89" t="s">
        <v>646</v>
      </c>
      <c r="BD399" s="89" t="s">
        <v>17739</v>
      </c>
      <c r="BE399" s="89">
        <v>2021</v>
      </c>
      <c r="BF399" s="89">
        <v>285</v>
      </c>
      <c r="BG399" s="89" t="s">
        <v>646</v>
      </c>
      <c r="BH399" s="89" t="s">
        <v>646</v>
      </c>
      <c r="BI399" s="89" t="s">
        <v>646</v>
      </c>
      <c r="BJ399" s="89" t="s">
        <v>646</v>
      </c>
      <c r="BK399" s="89" t="s">
        <v>646</v>
      </c>
      <c r="BL399" s="89" t="s">
        <v>646</v>
      </c>
      <c r="BM399" s="89" t="s">
        <v>646</v>
      </c>
      <c r="BN399" s="89">
        <v>114299</v>
      </c>
      <c r="BO399" s="89" t="str">
        <f>HYPERLINK("http://dx.doi.org/10.1016/j.socscimed.2021.114299","http://dx.doi.org/10.1016/j.socscimed.2021.114299")</f>
        <v>http://dx.doi.org/10.1016/j.socscimed.2021.114299</v>
      </c>
      <c r="BP399" s="89" t="s">
        <v>646</v>
      </c>
      <c r="BQ399" s="89" t="s">
        <v>20065</v>
      </c>
      <c r="BR399" s="89" t="s">
        <v>646</v>
      </c>
      <c r="BS399" s="89" t="s">
        <v>646</v>
      </c>
      <c r="BT399" s="89" t="s">
        <v>646</v>
      </c>
      <c r="BU399" s="89" t="s">
        <v>646</v>
      </c>
      <c r="BV399" s="89" t="s">
        <v>646</v>
      </c>
      <c r="BW399" s="89">
        <v>34411969</v>
      </c>
      <c r="BX399" s="89" t="s">
        <v>646</v>
      </c>
      <c r="BY399" s="89" t="s">
        <v>646</v>
      </c>
      <c r="BZ399" s="89" t="s">
        <v>646</v>
      </c>
      <c r="CA399" s="89" t="s">
        <v>646</v>
      </c>
      <c r="CB399" s="89" t="s">
        <v>20904</v>
      </c>
      <c r="CC399" s="89" t="str">
        <f>HYPERLINK("https%3A%2F%2Fwww.webofscience.com%2Fwos%2Fwoscc%2Ffull-record%2FWOS:000691532900025","View Full Record in Web of Science")</f>
        <v>View Full Record in Web of Science</v>
      </c>
    </row>
    <row r="400" spans="1:81" ht="13.2" hidden="1" x14ac:dyDescent="0.25">
      <c r="A400" s="89" t="s">
        <v>9434</v>
      </c>
      <c r="B400" s="89" t="e">
        <f>+#REF!</f>
        <v>#REF!</v>
      </c>
      <c r="C400" s="89"/>
      <c r="D400" s="91" t="s">
        <v>717</v>
      </c>
      <c r="E400" s="90" t="e">
        <v>#REF!</v>
      </c>
      <c r="F400" s="89"/>
      <c r="G400" s="89"/>
      <c r="H400" s="89" t="s">
        <v>9435</v>
      </c>
      <c r="I400" s="89" t="s">
        <v>20905</v>
      </c>
      <c r="J400" s="89" t="s">
        <v>646</v>
      </c>
      <c r="K400" s="89" t="s">
        <v>20907</v>
      </c>
      <c r="M400" s="89">
        <v>2021</v>
      </c>
      <c r="N400" s="89" t="s">
        <v>20906</v>
      </c>
      <c r="O400" s="89" t="s">
        <v>646</v>
      </c>
      <c r="P400" s="89" t="str">
        <f>HYPERLINK("http://dx.doi.org/10.1016/j.worlddev.2021.105528","http://dx.doi.org/10.1016/j.worlddev.2021.105528")</f>
        <v>http://dx.doi.org/10.1016/j.worlddev.2021.105528</v>
      </c>
      <c r="S400" s="89" t="s">
        <v>646</v>
      </c>
      <c r="U400" s="89" t="s">
        <v>17462</v>
      </c>
      <c r="W400" s="89" t="s">
        <v>646</v>
      </c>
      <c r="X400" s="89" t="s">
        <v>646</v>
      </c>
      <c r="Y400" s="89" t="s">
        <v>646</v>
      </c>
      <c r="Z400" s="89" t="s">
        <v>646</v>
      </c>
      <c r="AA400" s="89" t="s">
        <v>646</v>
      </c>
      <c r="AB400" s="89" t="s">
        <v>646</v>
      </c>
      <c r="AC400" s="89" t="s">
        <v>646</v>
      </c>
      <c r="AD400" s="89" t="s">
        <v>646</v>
      </c>
      <c r="AE400" s="89" t="s">
        <v>646</v>
      </c>
      <c r="AF400" s="89" t="s">
        <v>20907</v>
      </c>
      <c r="AG400" s="89" t="s">
        <v>646</v>
      </c>
      <c r="AH400" s="89" t="s">
        <v>646</v>
      </c>
      <c r="AI400" s="89" t="s">
        <v>646</v>
      </c>
      <c r="AJ400" s="89" t="s">
        <v>646</v>
      </c>
      <c r="AK400" s="89" t="s">
        <v>646</v>
      </c>
      <c r="AL400" s="89" t="s">
        <v>20908</v>
      </c>
      <c r="AM400" s="89" t="s">
        <v>646</v>
      </c>
      <c r="AN400" s="89" t="s">
        <v>646</v>
      </c>
      <c r="AO400" s="89" t="s">
        <v>646</v>
      </c>
      <c r="AP400" s="89" t="s">
        <v>646</v>
      </c>
      <c r="AQ400" s="89" t="s">
        <v>646</v>
      </c>
      <c r="AR400" s="89" t="s">
        <v>646</v>
      </c>
      <c r="AS400" s="89" t="s">
        <v>646</v>
      </c>
      <c r="AT400" s="89" t="s">
        <v>646</v>
      </c>
      <c r="AU400" s="89" t="s">
        <v>646</v>
      </c>
      <c r="AV400" s="89" t="s">
        <v>646</v>
      </c>
      <c r="AW400" s="89" t="s">
        <v>646</v>
      </c>
      <c r="AX400" s="89" t="s">
        <v>646</v>
      </c>
      <c r="AY400" s="89" t="s">
        <v>20909</v>
      </c>
      <c r="AZ400" s="89" t="s">
        <v>20910</v>
      </c>
      <c r="BA400" s="89" t="s">
        <v>646</v>
      </c>
      <c r="BB400" s="89" t="s">
        <v>646</v>
      </c>
      <c r="BC400" s="89" t="s">
        <v>646</v>
      </c>
      <c r="BD400" s="89" t="s">
        <v>17739</v>
      </c>
      <c r="BE400" s="89">
        <v>2021</v>
      </c>
      <c r="BF400" s="89">
        <v>145</v>
      </c>
      <c r="BG400" s="89" t="s">
        <v>646</v>
      </c>
      <c r="BH400" s="89" t="s">
        <v>646</v>
      </c>
      <c r="BI400" s="89" t="s">
        <v>646</v>
      </c>
      <c r="BJ400" s="89" t="s">
        <v>646</v>
      </c>
      <c r="BK400" s="89" t="s">
        <v>646</v>
      </c>
      <c r="BL400" s="89" t="s">
        <v>646</v>
      </c>
      <c r="BM400" s="89" t="s">
        <v>646</v>
      </c>
      <c r="BN400" s="89">
        <v>105528</v>
      </c>
      <c r="BO400" s="89" t="str">
        <f>HYPERLINK("http://dx.doi.org/10.1016/j.worlddev.2021.105528","http://dx.doi.org/10.1016/j.worlddev.2021.105528")</f>
        <v>http://dx.doi.org/10.1016/j.worlddev.2021.105528</v>
      </c>
      <c r="BP400" s="89" t="s">
        <v>646</v>
      </c>
      <c r="BQ400" s="89" t="s">
        <v>19267</v>
      </c>
      <c r="BR400" s="89" t="s">
        <v>646</v>
      </c>
      <c r="BS400" s="89" t="s">
        <v>646</v>
      </c>
      <c r="BT400" s="89" t="s">
        <v>646</v>
      </c>
      <c r="BU400" s="89" t="s">
        <v>646</v>
      </c>
      <c r="BV400" s="89" t="s">
        <v>646</v>
      </c>
      <c r="BW400" s="89" t="s">
        <v>646</v>
      </c>
      <c r="BX400" s="89" t="s">
        <v>646</v>
      </c>
      <c r="BY400" s="89" t="s">
        <v>646</v>
      </c>
      <c r="BZ400" s="89" t="s">
        <v>646</v>
      </c>
      <c r="CA400" s="89" t="s">
        <v>646</v>
      </c>
      <c r="CB400" s="89" t="s">
        <v>20911</v>
      </c>
      <c r="CC400" s="89" t="str">
        <f>HYPERLINK("https%3A%2F%2Fwww.webofscience.com%2Fwos%2Fwoscc%2Ffull-record%2FWOS:000657749600031","View Full Record in Web of Science")</f>
        <v>View Full Record in Web of Science</v>
      </c>
    </row>
    <row r="401" spans="1:81" ht="13.2" hidden="1" x14ac:dyDescent="0.25">
      <c r="A401" s="89" t="s">
        <v>12475</v>
      </c>
      <c r="B401" s="89" t="e">
        <f>+#REF!</f>
        <v>#REF!</v>
      </c>
      <c r="C401" s="89"/>
      <c r="D401" s="91" t="s">
        <v>717</v>
      </c>
      <c r="E401" s="90" t="e">
        <v>#REF!</v>
      </c>
      <c r="F401" s="89"/>
      <c r="G401" s="89"/>
      <c r="H401" s="89" t="s">
        <v>12476</v>
      </c>
      <c r="I401" s="89" t="s">
        <v>20912</v>
      </c>
      <c r="J401" s="89" t="s">
        <v>646</v>
      </c>
      <c r="K401" s="89" t="s">
        <v>20913</v>
      </c>
      <c r="M401" s="89">
        <v>2019</v>
      </c>
      <c r="N401" s="89" t="s">
        <v>18387</v>
      </c>
      <c r="O401" s="89" t="s">
        <v>646</v>
      </c>
      <c r="P401" s="89" t="str">
        <f>HYPERLINK("http://dx.doi.org/10.1016/j.ijinfomgt.2019.08.007","http://dx.doi.org/10.1016/j.ijinfomgt.2019.08.007")</f>
        <v>http://dx.doi.org/10.1016/j.ijinfomgt.2019.08.007</v>
      </c>
      <c r="S401" s="89" t="s">
        <v>646</v>
      </c>
      <c r="U401" s="89" t="s">
        <v>17462</v>
      </c>
      <c r="W401" s="89" t="s">
        <v>646</v>
      </c>
      <c r="X401" s="89" t="s">
        <v>646</v>
      </c>
      <c r="Y401" s="89" t="s">
        <v>646</v>
      </c>
      <c r="Z401" s="89" t="s">
        <v>646</v>
      </c>
      <c r="AA401" s="89" t="s">
        <v>646</v>
      </c>
      <c r="AB401" s="89" t="s">
        <v>646</v>
      </c>
      <c r="AC401" s="89" t="s">
        <v>646</v>
      </c>
      <c r="AD401" s="89" t="s">
        <v>646</v>
      </c>
      <c r="AE401" s="89" t="s">
        <v>646</v>
      </c>
      <c r="AF401" s="89" t="s">
        <v>20913</v>
      </c>
      <c r="AG401" s="89" t="s">
        <v>646</v>
      </c>
      <c r="AH401" s="89" t="s">
        <v>646</v>
      </c>
      <c r="AI401" s="89" t="s">
        <v>646</v>
      </c>
      <c r="AJ401" s="89" t="s">
        <v>646</v>
      </c>
      <c r="AK401" s="89" t="s">
        <v>646</v>
      </c>
      <c r="AL401" s="89" t="s">
        <v>20914</v>
      </c>
      <c r="AM401" s="89" t="s">
        <v>646</v>
      </c>
      <c r="AN401" s="89" t="s">
        <v>646</v>
      </c>
      <c r="AO401" s="89" t="s">
        <v>646</v>
      </c>
      <c r="AP401" s="89" t="s">
        <v>646</v>
      </c>
      <c r="AQ401" s="89" t="s">
        <v>646</v>
      </c>
      <c r="AR401" s="89" t="s">
        <v>646</v>
      </c>
      <c r="AS401" s="89" t="s">
        <v>646</v>
      </c>
      <c r="AT401" s="89" t="s">
        <v>646</v>
      </c>
      <c r="AU401" s="89" t="s">
        <v>646</v>
      </c>
      <c r="AV401" s="89" t="s">
        <v>646</v>
      </c>
      <c r="AW401" s="89" t="s">
        <v>646</v>
      </c>
      <c r="AX401" s="89" t="s">
        <v>646</v>
      </c>
      <c r="AY401" s="89" t="s">
        <v>18391</v>
      </c>
      <c r="AZ401" s="89" t="s">
        <v>18392</v>
      </c>
      <c r="BA401" s="89" t="s">
        <v>646</v>
      </c>
      <c r="BB401" s="89" t="s">
        <v>646</v>
      </c>
      <c r="BC401" s="89" t="s">
        <v>646</v>
      </c>
      <c r="BD401" s="89" t="s">
        <v>17615</v>
      </c>
      <c r="BE401" s="89">
        <v>2019</v>
      </c>
      <c r="BF401" s="89">
        <v>49</v>
      </c>
      <c r="BG401" s="89" t="s">
        <v>646</v>
      </c>
      <c r="BH401" s="89" t="s">
        <v>646</v>
      </c>
      <c r="BI401" s="89" t="s">
        <v>646</v>
      </c>
      <c r="BJ401" s="89" t="s">
        <v>646</v>
      </c>
      <c r="BK401" s="89" t="s">
        <v>646</v>
      </c>
      <c r="BL401" s="89">
        <v>452</v>
      </c>
      <c r="BM401" s="89">
        <v>460</v>
      </c>
      <c r="BN401" s="89" t="s">
        <v>646</v>
      </c>
      <c r="BO401" s="89" t="str">
        <f>HYPERLINK("http://dx.doi.org/10.1016/j.ijinfomgt.2019.08.007","http://dx.doi.org/10.1016/j.ijinfomgt.2019.08.007")</f>
        <v>http://dx.doi.org/10.1016/j.ijinfomgt.2019.08.007</v>
      </c>
      <c r="BP401" s="89" t="s">
        <v>646</v>
      </c>
      <c r="BQ401" s="89" t="s">
        <v>646</v>
      </c>
      <c r="BR401" s="89" t="s">
        <v>646</v>
      </c>
      <c r="BS401" s="89" t="s">
        <v>646</v>
      </c>
      <c r="BT401" s="89" t="s">
        <v>646</v>
      </c>
      <c r="BU401" s="89" t="s">
        <v>646</v>
      </c>
      <c r="BV401" s="89" t="s">
        <v>646</v>
      </c>
      <c r="BW401" s="89" t="s">
        <v>646</v>
      </c>
      <c r="BX401" s="89" t="s">
        <v>646</v>
      </c>
      <c r="BY401" s="89" t="s">
        <v>646</v>
      </c>
      <c r="BZ401" s="89" t="s">
        <v>646</v>
      </c>
      <c r="CA401" s="89" t="s">
        <v>646</v>
      </c>
      <c r="CB401" s="89" t="s">
        <v>20915</v>
      </c>
      <c r="CC401" s="89" t="str">
        <f>HYPERLINK("https%3A%2F%2Fwww.webofscience.com%2Fwos%2Fwoscc%2Ffull-record%2FWOS:000489702000034","View Full Record in Web of Science")</f>
        <v>View Full Record in Web of Science</v>
      </c>
    </row>
    <row r="402" spans="1:81" ht="13.2" hidden="1" x14ac:dyDescent="0.25">
      <c r="A402" s="89" t="s">
        <v>20916</v>
      </c>
      <c r="B402" s="89" t="e">
        <f>+#REF!</f>
        <v>#REF!</v>
      </c>
      <c r="C402" s="89"/>
      <c r="D402" s="91" t="s">
        <v>717</v>
      </c>
      <c r="E402" s="90" t="e">
        <v>#REF!</v>
      </c>
      <c r="F402" s="89"/>
      <c r="G402" s="89"/>
      <c r="H402" s="89" t="s">
        <v>9416</v>
      </c>
      <c r="I402" s="89" t="s">
        <v>20917</v>
      </c>
      <c r="J402" s="89" t="s">
        <v>646</v>
      </c>
      <c r="K402" s="89" t="s">
        <v>20919</v>
      </c>
      <c r="M402" s="89">
        <v>2020</v>
      </c>
      <c r="N402" s="89" t="s">
        <v>20918</v>
      </c>
      <c r="O402" s="89" t="s">
        <v>646</v>
      </c>
      <c r="P402" s="89" t="str">
        <f>HYPERLINK("http://dx.doi.org/10.26412/psr211.01","http://dx.doi.org/10.26412/psr211.01")</f>
        <v>http://dx.doi.org/10.26412/psr211.01</v>
      </c>
      <c r="S402" s="89" t="s">
        <v>646</v>
      </c>
      <c r="U402" s="89" t="s">
        <v>17462</v>
      </c>
      <c r="W402" s="89" t="s">
        <v>646</v>
      </c>
      <c r="X402" s="89" t="s">
        <v>646</v>
      </c>
      <c r="Y402" s="89" t="s">
        <v>646</v>
      </c>
      <c r="Z402" s="89" t="s">
        <v>646</v>
      </c>
      <c r="AA402" s="89" t="s">
        <v>646</v>
      </c>
      <c r="AB402" s="89" t="s">
        <v>646</v>
      </c>
      <c r="AC402" s="89" t="s">
        <v>646</v>
      </c>
      <c r="AD402" s="89" t="s">
        <v>646</v>
      </c>
      <c r="AE402" s="89" t="s">
        <v>646</v>
      </c>
      <c r="AF402" s="89" t="s">
        <v>20919</v>
      </c>
      <c r="AG402" s="89" t="s">
        <v>646</v>
      </c>
      <c r="AH402" s="89" t="s">
        <v>646</v>
      </c>
      <c r="AI402" s="89" t="s">
        <v>646</v>
      </c>
      <c r="AJ402" s="89" t="s">
        <v>646</v>
      </c>
      <c r="AK402" s="89" t="s">
        <v>646</v>
      </c>
      <c r="AL402" s="89" t="s">
        <v>20920</v>
      </c>
      <c r="AM402" s="89" t="s">
        <v>646</v>
      </c>
      <c r="AN402" s="89" t="s">
        <v>646</v>
      </c>
      <c r="AO402" s="89" t="s">
        <v>646</v>
      </c>
      <c r="AP402" s="89" t="s">
        <v>646</v>
      </c>
      <c r="AQ402" s="89" t="s">
        <v>646</v>
      </c>
      <c r="AR402" s="89" t="s">
        <v>646</v>
      </c>
      <c r="AS402" s="89" t="s">
        <v>646</v>
      </c>
      <c r="AT402" s="89" t="s">
        <v>646</v>
      </c>
      <c r="AU402" s="89" t="s">
        <v>646</v>
      </c>
      <c r="AV402" s="89" t="s">
        <v>646</v>
      </c>
      <c r="AW402" s="89" t="s">
        <v>646</v>
      </c>
      <c r="AX402" s="89" t="s">
        <v>646</v>
      </c>
      <c r="AY402" s="89" t="s">
        <v>20921</v>
      </c>
      <c r="AZ402" s="89" t="s">
        <v>646</v>
      </c>
      <c r="BA402" s="89" t="s">
        <v>646</v>
      </c>
      <c r="BB402" s="89" t="s">
        <v>646</v>
      </c>
      <c r="BC402" s="89" t="s">
        <v>646</v>
      </c>
      <c r="BD402" s="89" t="s">
        <v>646</v>
      </c>
      <c r="BE402" s="89">
        <v>2020</v>
      </c>
      <c r="BF402" s="89" t="s">
        <v>646</v>
      </c>
      <c r="BG402" s="89">
        <v>211</v>
      </c>
      <c r="BH402" s="89" t="s">
        <v>646</v>
      </c>
      <c r="BI402" s="89" t="s">
        <v>646</v>
      </c>
      <c r="BJ402" s="89" t="s">
        <v>646</v>
      </c>
      <c r="BK402" s="89" t="s">
        <v>646</v>
      </c>
      <c r="BL402" s="89">
        <v>265</v>
      </c>
      <c r="BM402" s="89">
        <v>279</v>
      </c>
      <c r="BN402" s="89" t="s">
        <v>646</v>
      </c>
      <c r="BO402" s="89" t="str">
        <f>HYPERLINK("http://dx.doi.org/10.26412/psr211.01","http://dx.doi.org/10.26412/psr211.01")</f>
        <v>http://dx.doi.org/10.26412/psr211.01</v>
      </c>
      <c r="BP402" s="89" t="s">
        <v>646</v>
      </c>
      <c r="BQ402" s="89" t="s">
        <v>646</v>
      </c>
      <c r="BR402" s="89" t="s">
        <v>646</v>
      </c>
      <c r="BS402" s="89" t="s">
        <v>646</v>
      </c>
      <c r="BT402" s="89" t="s">
        <v>646</v>
      </c>
      <c r="BU402" s="89" t="s">
        <v>646</v>
      </c>
      <c r="BV402" s="89" t="s">
        <v>646</v>
      </c>
      <c r="BW402" s="89" t="s">
        <v>646</v>
      </c>
      <c r="BX402" s="89" t="s">
        <v>646</v>
      </c>
      <c r="BY402" s="89" t="s">
        <v>646</v>
      </c>
      <c r="BZ402" s="89" t="s">
        <v>646</v>
      </c>
      <c r="CA402" s="89" t="s">
        <v>646</v>
      </c>
      <c r="CB402" s="89" t="s">
        <v>20922</v>
      </c>
      <c r="CC402" s="89" t="str">
        <f>HYPERLINK("https%3A%2F%2Fwww.webofscience.com%2Fwos%2Fwoscc%2Ffull-record%2FWOS:000580406400001","View Full Record in Web of Science")</f>
        <v>View Full Record in Web of Science</v>
      </c>
    </row>
    <row r="403" spans="1:81" ht="13.2" hidden="1" x14ac:dyDescent="0.25">
      <c r="A403" s="89" t="s">
        <v>20923</v>
      </c>
      <c r="B403" s="89" t="e">
        <f>+#REF!</f>
        <v>#REF!</v>
      </c>
      <c r="C403" s="89"/>
      <c r="D403" s="91" t="s">
        <v>717</v>
      </c>
      <c r="E403" s="90" t="e">
        <v>#REF!</v>
      </c>
      <c r="F403" s="89"/>
      <c r="G403" s="89"/>
      <c r="H403" s="89" t="s">
        <v>12485</v>
      </c>
      <c r="I403" s="89" t="s">
        <v>20924</v>
      </c>
      <c r="J403" s="89" t="s">
        <v>646</v>
      </c>
      <c r="K403" s="89" t="s">
        <v>20926</v>
      </c>
      <c r="M403" s="89">
        <v>2013</v>
      </c>
      <c r="N403" s="89" t="s">
        <v>20925</v>
      </c>
      <c r="O403" s="89" t="s">
        <v>646</v>
      </c>
      <c r="P403" s="89" t="str">
        <f>HYPERLINK("http://dx.doi.org/10.1080/00219266.2013.821748","http://dx.doi.org/10.1080/00219266.2013.821748")</f>
        <v>http://dx.doi.org/10.1080/00219266.2013.821748</v>
      </c>
      <c r="S403" s="89" t="s">
        <v>646</v>
      </c>
      <c r="U403" s="89" t="s">
        <v>17462</v>
      </c>
      <c r="W403" s="89" t="s">
        <v>646</v>
      </c>
      <c r="X403" s="89" t="s">
        <v>646</v>
      </c>
      <c r="Y403" s="89" t="s">
        <v>646</v>
      </c>
      <c r="Z403" s="89" t="s">
        <v>646</v>
      </c>
      <c r="AA403" s="89" t="s">
        <v>646</v>
      </c>
      <c r="AB403" s="89" t="s">
        <v>646</v>
      </c>
      <c r="AC403" s="89" t="s">
        <v>646</v>
      </c>
      <c r="AD403" s="89" t="s">
        <v>646</v>
      </c>
      <c r="AE403" s="89" t="s">
        <v>646</v>
      </c>
      <c r="AF403" s="89" t="s">
        <v>20926</v>
      </c>
      <c r="AG403" s="89" t="s">
        <v>646</v>
      </c>
      <c r="AH403" s="89" t="s">
        <v>646</v>
      </c>
      <c r="AI403" s="89" t="s">
        <v>646</v>
      </c>
      <c r="AJ403" s="89" t="s">
        <v>646</v>
      </c>
      <c r="AK403" s="89" t="s">
        <v>646</v>
      </c>
      <c r="AL403" s="89" t="s">
        <v>20927</v>
      </c>
      <c r="AM403" s="89" t="s">
        <v>646</v>
      </c>
      <c r="AN403" s="89" t="s">
        <v>646</v>
      </c>
      <c r="AO403" s="89" t="s">
        <v>646</v>
      </c>
      <c r="AP403" s="89" t="s">
        <v>646</v>
      </c>
      <c r="AQ403" s="89" t="s">
        <v>646</v>
      </c>
      <c r="AR403" s="89" t="s">
        <v>646</v>
      </c>
      <c r="AS403" s="89" t="s">
        <v>646</v>
      </c>
      <c r="AT403" s="89" t="s">
        <v>646</v>
      </c>
      <c r="AU403" s="89" t="s">
        <v>646</v>
      </c>
      <c r="AV403" s="89" t="s">
        <v>646</v>
      </c>
      <c r="AW403" s="89" t="s">
        <v>646</v>
      </c>
      <c r="AX403" s="89" t="s">
        <v>646</v>
      </c>
      <c r="AY403" s="89" t="s">
        <v>20928</v>
      </c>
      <c r="AZ403" s="89" t="s">
        <v>20929</v>
      </c>
      <c r="BA403" s="89" t="s">
        <v>646</v>
      </c>
      <c r="BB403" s="89" t="s">
        <v>646</v>
      </c>
      <c r="BC403" s="89" t="s">
        <v>646</v>
      </c>
      <c r="BD403" s="89" t="s">
        <v>20930</v>
      </c>
      <c r="BE403" s="89">
        <v>2013</v>
      </c>
      <c r="BF403" s="89">
        <v>47</v>
      </c>
      <c r="BG403" s="89">
        <v>3</v>
      </c>
      <c r="BH403" s="89" t="s">
        <v>646</v>
      </c>
      <c r="BI403" s="89" t="s">
        <v>646</v>
      </c>
      <c r="BJ403" s="89" t="s">
        <v>17555</v>
      </c>
      <c r="BK403" s="89" t="s">
        <v>646</v>
      </c>
      <c r="BL403" s="89">
        <v>157</v>
      </c>
      <c r="BM403" s="89">
        <v>165</v>
      </c>
      <c r="BN403" s="89" t="s">
        <v>646</v>
      </c>
      <c r="BO403" s="89" t="str">
        <f>HYPERLINK("http://dx.doi.org/10.1080/00219266.2013.821748","http://dx.doi.org/10.1080/00219266.2013.821748")</f>
        <v>http://dx.doi.org/10.1080/00219266.2013.821748</v>
      </c>
      <c r="BP403" s="89" t="s">
        <v>646</v>
      </c>
      <c r="BQ403" s="89" t="s">
        <v>646</v>
      </c>
      <c r="BR403" s="89" t="s">
        <v>646</v>
      </c>
      <c r="BS403" s="89" t="s">
        <v>646</v>
      </c>
      <c r="BT403" s="89" t="s">
        <v>646</v>
      </c>
      <c r="BU403" s="89" t="s">
        <v>646</v>
      </c>
      <c r="BV403" s="89" t="s">
        <v>646</v>
      </c>
      <c r="BW403" s="89" t="s">
        <v>646</v>
      </c>
      <c r="BX403" s="89" t="s">
        <v>646</v>
      </c>
      <c r="BY403" s="89" t="s">
        <v>646</v>
      </c>
      <c r="BZ403" s="89" t="s">
        <v>646</v>
      </c>
      <c r="CA403" s="89" t="s">
        <v>646</v>
      </c>
      <c r="CB403" s="89" t="s">
        <v>20931</v>
      </c>
      <c r="CC403" s="89" t="str">
        <f>HYPERLINK("https%3A%2F%2Fwww.webofscience.com%2Fwos%2Fwoscc%2Ffull-record%2FWOS:000324608900018","View Full Record in Web of Science")</f>
        <v>View Full Record in Web of Science</v>
      </c>
    </row>
    <row r="404" spans="1:81" ht="13.2" hidden="1" x14ac:dyDescent="0.25">
      <c r="A404" s="89" t="s">
        <v>12494</v>
      </c>
      <c r="B404" s="89" t="e">
        <f>+#REF!</f>
        <v>#REF!</v>
      </c>
      <c r="C404" s="89"/>
      <c r="D404" s="91" t="s">
        <v>717</v>
      </c>
      <c r="E404" s="90" t="e">
        <v>#REF!</v>
      </c>
      <c r="F404" s="89"/>
      <c r="G404" s="89"/>
      <c r="H404" s="89" t="s">
        <v>12495</v>
      </c>
      <c r="I404" s="89" t="s">
        <v>20932</v>
      </c>
      <c r="J404" s="89" t="s">
        <v>20935</v>
      </c>
      <c r="K404" s="89" t="s">
        <v>20934</v>
      </c>
      <c r="M404" s="89">
        <v>2018</v>
      </c>
      <c r="N404" s="89" t="s">
        <v>20933</v>
      </c>
      <c r="O404" s="89" t="s">
        <v>646</v>
      </c>
      <c r="P404" s="89" t="str">
        <f>HYPERLINK("http://dx.doi.org/10.1177/1367549417705602","http://dx.doi.org/10.1177/1367549417705602")</f>
        <v>http://dx.doi.org/10.1177/1367549417705602</v>
      </c>
      <c r="S404" s="89" t="s">
        <v>646</v>
      </c>
      <c r="U404" s="89" t="s">
        <v>17462</v>
      </c>
      <c r="W404" s="89" t="s">
        <v>646</v>
      </c>
      <c r="X404" s="89" t="s">
        <v>646</v>
      </c>
      <c r="Y404" s="89" t="s">
        <v>646</v>
      </c>
      <c r="Z404" s="89" t="s">
        <v>646</v>
      </c>
      <c r="AA404" s="89" t="s">
        <v>646</v>
      </c>
      <c r="AB404" s="89" t="s">
        <v>646</v>
      </c>
      <c r="AC404" s="89" t="s">
        <v>646</v>
      </c>
      <c r="AD404" s="89" t="s">
        <v>646</v>
      </c>
      <c r="AE404" s="89" t="s">
        <v>646</v>
      </c>
      <c r="AF404" s="89" t="s">
        <v>20934</v>
      </c>
      <c r="AG404" s="89" t="s">
        <v>646</v>
      </c>
      <c r="AH404" s="89" t="s">
        <v>646</v>
      </c>
      <c r="AI404" s="89" t="s">
        <v>646</v>
      </c>
      <c r="AJ404" s="89" t="s">
        <v>646</v>
      </c>
      <c r="AK404" s="89" t="s">
        <v>20935</v>
      </c>
      <c r="AL404" s="89" t="s">
        <v>20936</v>
      </c>
      <c r="AM404" s="89" t="s">
        <v>646</v>
      </c>
      <c r="AN404" s="89" t="s">
        <v>646</v>
      </c>
      <c r="AO404" s="89" t="s">
        <v>646</v>
      </c>
      <c r="AP404" s="89" t="s">
        <v>646</v>
      </c>
      <c r="AQ404" s="89" t="s">
        <v>646</v>
      </c>
      <c r="AR404" s="89" t="s">
        <v>646</v>
      </c>
      <c r="AS404" s="89" t="s">
        <v>646</v>
      </c>
      <c r="AT404" s="89" t="s">
        <v>646</v>
      </c>
      <c r="AU404" s="89" t="s">
        <v>646</v>
      </c>
      <c r="AV404" s="89" t="s">
        <v>646</v>
      </c>
      <c r="AW404" s="89" t="s">
        <v>646</v>
      </c>
      <c r="AX404" s="89" t="s">
        <v>646</v>
      </c>
      <c r="AY404" s="89" t="s">
        <v>20937</v>
      </c>
      <c r="AZ404" s="89" t="s">
        <v>20938</v>
      </c>
      <c r="BA404" s="89" t="s">
        <v>646</v>
      </c>
      <c r="BB404" s="89" t="s">
        <v>646</v>
      </c>
      <c r="BC404" s="89" t="s">
        <v>646</v>
      </c>
      <c r="BD404" s="89" t="s">
        <v>17658</v>
      </c>
      <c r="BE404" s="89">
        <v>2018</v>
      </c>
      <c r="BF404" s="89">
        <v>21</v>
      </c>
      <c r="BG404" s="89">
        <v>1</v>
      </c>
      <c r="BH404" s="89" t="s">
        <v>646</v>
      </c>
      <c r="BI404" s="89" t="s">
        <v>646</v>
      </c>
      <c r="BJ404" s="89" t="s">
        <v>17555</v>
      </c>
      <c r="BK404" s="89" t="s">
        <v>646</v>
      </c>
      <c r="BL404" s="89">
        <v>26</v>
      </c>
      <c r="BM404" s="89">
        <v>38</v>
      </c>
      <c r="BN404" s="89" t="s">
        <v>646</v>
      </c>
      <c r="BO404" s="89" t="str">
        <f>HYPERLINK("http://dx.doi.org/10.1177/1367549417705602","http://dx.doi.org/10.1177/1367549417705602")</f>
        <v>http://dx.doi.org/10.1177/1367549417705602</v>
      </c>
      <c r="BP404" s="89" t="s">
        <v>646</v>
      </c>
      <c r="BQ404" s="89" t="s">
        <v>646</v>
      </c>
      <c r="BR404" s="89" t="s">
        <v>646</v>
      </c>
      <c r="BS404" s="89" t="s">
        <v>646</v>
      </c>
      <c r="BT404" s="89" t="s">
        <v>646</v>
      </c>
      <c r="BU404" s="89" t="s">
        <v>646</v>
      </c>
      <c r="BV404" s="89" t="s">
        <v>646</v>
      </c>
      <c r="BW404" s="89" t="s">
        <v>646</v>
      </c>
      <c r="BX404" s="89" t="s">
        <v>646</v>
      </c>
      <c r="BY404" s="89" t="s">
        <v>646</v>
      </c>
      <c r="BZ404" s="89" t="s">
        <v>646</v>
      </c>
      <c r="CA404" s="89" t="s">
        <v>646</v>
      </c>
      <c r="CB404" s="89" t="s">
        <v>20939</v>
      </c>
      <c r="CC404" s="89" t="str">
        <f>HYPERLINK("https%3A%2F%2Fwww.webofscience.com%2Fwos%2Fwoscc%2Ffull-record%2FWOS:000427301400003","View Full Record in Web of Science")</f>
        <v>View Full Record in Web of Science</v>
      </c>
    </row>
    <row r="405" spans="1:81" ht="13.2" hidden="1" x14ac:dyDescent="0.25">
      <c r="A405" s="89" t="s">
        <v>12504</v>
      </c>
      <c r="B405" s="89" t="e">
        <f>+#REF!</f>
        <v>#REF!</v>
      </c>
      <c r="C405" s="89"/>
      <c r="D405" s="91" t="s">
        <v>717</v>
      </c>
      <c r="E405" s="90" t="e">
        <v>#REF!</v>
      </c>
      <c r="F405" s="89"/>
      <c r="G405" s="89"/>
      <c r="H405" s="89" t="s">
        <v>12505</v>
      </c>
      <c r="I405" s="89" t="s">
        <v>20940</v>
      </c>
      <c r="J405" s="89" t="s">
        <v>20943</v>
      </c>
      <c r="K405" s="89" t="s">
        <v>20942</v>
      </c>
      <c r="M405" s="89">
        <v>2020</v>
      </c>
      <c r="N405" s="89" t="s">
        <v>20941</v>
      </c>
      <c r="O405" s="89" t="s">
        <v>646</v>
      </c>
      <c r="P405" s="89" t="str">
        <f>HYPERLINK("http://dx.doi.org/10.1111/jade.12231","http://dx.doi.org/10.1111/jade.12231")</f>
        <v>http://dx.doi.org/10.1111/jade.12231</v>
      </c>
      <c r="S405" s="89" t="s">
        <v>646</v>
      </c>
      <c r="U405" s="89" t="s">
        <v>17462</v>
      </c>
      <c r="W405" s="89" t="s">
        <v>646</v>
      </c>
      <c r="X405" s="89" t="s">
        <v>646</v>
      </c>
      <c r="Y405" s="89" t="s">
        <v>646</v>
      </c>
      <c r="Z405" s="89" t="s">
        <v>646</v>
      </c>
      <c r="AA405" s="89" t="s">
        <v>646</v>
      </c>
      <c r="AB405" s="89" t="s">
        <v>646</v>
      </c>
      <c r="AC405" s="89" t="s">
        <v>646</v>
      </c>
      <c r="AD405" s="89" t="s">
        <v>646</v>
      </c>
      <c r="AE405" s="89" t="s">
        <v>646</v>
      </c>
      <c r="AF405" s="89" t="s">
        <v>20942</v>
      </c>
      <c r="AG405" s="89" t="s">
        <v>646</v>
      </c>
      <c r="AH405" s="89" t="s">
        <v>646</v>
      </c>
      <c r="AI405" s="89" t="s">
        <v>646</v>
      </c>
      <c r="AJ405" s="89" t="s">
        <v>646</v>
      </c>
      <c r="AK405" s="89" t="s">
        <v>20943</v>
      </c>
      <c r="AL405" s="89" t="s">
        <v>20944</v>
      </c>
      <c r="AM405" s="89" t="s">
        <v>646</v>
      </c>
      <c r="AN405" s="89" t="s">
        <v>646</v>
      </c>
      <c r="AO405" s="89" t="s">
        <v>646</v>
      </c>
      <c r="AP405" s="89" t="s">
        <v>646</v>
      </c>
      <c r="AQ405" s="89" t="s">
        <v>646</v>
      </c>
      <c r="AR405" s="89" t="s">
        <v>646</v>
      </c>
      <c r="AS405" s="89" t="s">
        <v>646</v>
      </c>
      <c r="AT405" s="89" t="s">
        <v>646</v>
      </c>
      <c r="AU405" s="89" t="s">
        <v>646</v>
      </c>
      <c r="AV405" s="89" t="s">
        <v>646</v>
      </c>
      <c r="AW405" s="89" t="s">
        <v>646</v>
      </c>
      <c r="AX405" s="89" t="s">
        <v>646</v>
      </c>
      <c r="AY405" s="89" t="s">
        <v>20945</v>
      </c>
      <c r="AZ405" s="89" t="s">
        <v>20946</v>
      </c>
      <c r="BA405" s="89" t="s">
        <v>646</v>
      </c>
      <c r="BB405" s="89" t="s">
        <v>646</v>
      </c>
      <c r="BC405" s="89" t="s">
        <v>646</v>
      </c>
      <c r="BD405" s="89" t="s">
        <v>17658</v>
      </c>
      <c r="BE405" s="89">
        <v>2020</v>
      </c>
      <c r="BF405" s="89">
        <v>39</v>
      </c>
      <c r="BG405" s="89">
        <v>1</v>
      </c>
      <c r="BH405" s="89" t="s">
        <v>646</v>
      </c>
      <c r="BI405" s="89" t="s">
        <v>646</v>
      </c>
      <c r="BJ405" s="89" t="s">
        <v>646</v>
      </c>
      <c r="BK405" s="89" t="s">
        <v>646</v>
      </c>
      <c r="BL405" s="89">
        <v>22</v>
      </c>
      <c r="BM405" s="89">
        <v>37</v>
      </c>
      <c r="BN405" s="89" t="s">
        <v>646</v>
      </c>
      <c r="BO405" s="89" t="str">
        <f>HYPERLINK("http://dx.doi.org/10.1111/jade.12231","http://dx.doi.org/10.1111/jade.12231")</f>
        <v>http://dx.doi.org/10.1111/jade.12231</v>
      </c>
      <c r="BP405" s="89" t="s">
        <v>646</v>
      </c>
      <c r="BQ405" s="89" t="s">
        <v>646</v>
      </c>
      <c r="BR405" s="89" t="s">
        <v>646</v>
      </c>
      <c r="BS405" s="89" t="s">
        <v>646</v>
      </c>
      <c r="BT405" s="89" t="s">
        <v>646</v>
      </c>
      <c r="BU405" s="89" t="s">
        <v>646</v>
      </c>
      <c r="BV405" s="89" t="s">
        <v>646</v>
      </c>
      <c r="BW405" s="89" t="s">
        <v>646</v>
      </c>
      <c r="BX405" s="89" t="s">
        <v>646</v>
      </c>
      <c r="BY405" s="89" t="s">
        <v>646</v>
      </c>
      <c r="BZ405" s="89" t="s">
        <v>646</v>
      </c>
      <c r="CA405" s="89" t="s">
        <v>646</v>
      </c>
      <c r="CB405" s="89" t="s">
        <v>20947</v>
      </c>
      <c r="CC405" s="89" t="str">
        <f>HYPERLINK("https%3A%2F%2Fwww.webofscience.com%2Fwos%2Fwoscc%2Ffull-record%2FWOS:000512209000003","View Full Record in Web of Science")</f>
        <v>View Full Record in Web of Science</v>
      </c>
    </row>
    <row r="406" spans="1:81" ht="13.2" hidden="1" x14ac:dyDescent="0.25">
      <c r="A406" s="89" t="s">
        <v>20948</v>
      </c>
      <c r="B406" s="89" t="e">
        <f>+#REF!</f>
        <v>#REF!</v>
      </c>
      <c r="C406" s="89"/>
      <c r="D406" s="91" t="s">
        <v>717</v>
      </c>
      <c r="E406" s="90" t="e">
        <v>#REF!</v>
      </c>
      <c r="F406" s="89"/>
      <c r="G406" s="89"/>
      <c r="H406" s="89" t="s">
        <v>12514</v>
      </c>
      <c r="I406" s="89" t="s">
        <v>20949</v>
      </c>
      <c r="J406" s="89" t="s">
        <v>646</v>
      </c>
      <c r="K406" s="89" t="s">
        <v>20956</v>
      </c>
      <c r="M406" s="89">
        <v>2015</v>
      </c>
      <c r="N406" s="89" t="s">
        <v>20950</v>
      </c>
      <c r="O406" s="89" t="s">
        <v>646</v>
      </c>
      <c r="P406" s="89" t="str">
        <f>HYPERLINK("http://dx.doi.org/10.1145/2783258.2788569","http://dx.doi.org/10.1145/2783258.2788569")</f>
        <v>http://dx.doi.org/10.1145/2783258.2788569</v>
      </c>
      <c r="S406" s="89" t="s">
        <v>17804</v>
      </c>
      <c r="U406" s="89" t="s">
        <v>17474</v>
      </c>
      <c r="W406" s="89" t="s">
        <v>646</v>
      </c>
      <c r="X406" s="89" t="s">
        <v>646</v>
      </c>
      <c r="Y406" s="89" t="s">
        <v>20951</v>
      </c>
      <c r="Z406" s="89" t="s">
        <v>20952</v>
      </c>
      <c r="AA406" s="89" t="s">
        <v>20953</v>
      </c>
      <c r="AB406" s="89" t="s">
        <v>20954</v>
      </c>
      <c r="AC406" s="89" t="s">
        <v>20955</v>
      </c>
      <c r="AD406" s="89" t="s">
        <v>646</v>
      </c>
      <c r="AE406" s="89" t="s">
        <v>646</v>
      </c>
      <c r="AF406" s="89" t="s">
        <v>20956</v>
      </c>
      <c r="AG406" s="89" t="s">
        <v>646</v>
      </c>
      <c r="AH406" s="89" t="s">
        <v>646</v>
      </c>
      <c r="AI406" s="89" t="s">
        <v>646</v>
      </c>
      <c r="AJ406" s="89" t="s">
        <v>646</v>
      </c>
      <c r="AK406" s="89" t="s">
        <v>646</v>
      </c>
      <c r="AL406" s="89" t="s">
        <v>646</v>
      </c>
      <c r="AM406" s="89" t="s">
        <v>646</v>
      </c>
      <c r="AN406" s="89" t="s">
        <v>646</v>
      </c>
      <c r="AO406" s="89" t="s">
        <v>646</v>
      </c>
      <c r="AP406" s="89" t="s">
        <v>646</v>
      </c>
      <c r="AQ406" s="89" t="s">
        <v>646</v>
      </c>
      <c r="AR406" s="89" t="s">
        <v>646</v>
      </c>
      <c r="AS406" s="89" t="s">
        <v>646</v>
      </c>
      <c r="AT406" s="89" t="s">
        <v>646</v>
      </c>
      <c r="AU406" s="89" t="s">
        <v>646</v>
      </c>
      <c r="AV406" s="89" t="s">
        <v>646</v>
      </c>
      <c r="AW406" s="89" t="s">
        <v>646</v>
      </c>
      <c r="AX406" s="89" t="s">
        <v>646</v>
      </c>
      <c r="AY406" s="89" t="s">
        <v>646</v>
      </c>
      <c r="AZ406" s="89" t="s">
        <v>646</v>
      </c>
      <c r="BA406" s="89" t="s">
        <v>20957</v>
      </c>
      <c r="BB406" s="89" t="s">
        <v>646</v>
      </c>
      <c r="BC406" s="89" t="s">
        <v>646</v>
      </c>
      <c r="BD406" s="89" t="s">
        <v>646</v>
      </c>
      <c r="BE406" s="89">
        <v>2015</v>
      </c>
      <c r="BF406" s="89" t="s">
        <v>646</v>
      </c>
      <c r="BG406" s="89" t="s">
        <v>646</v>
      </c>
      <c r="BH406" s="89" t="s">
        <v>646</v>
      </c>
      <c r="BI406" s="89" t="s">
        <v>646</v>
      </c>
      <c r="BJ406" s="89" t="s">
        <v>646</v>
      </c>
      <c r="BK406" s="89" t="s">
        <v>646</v>
      </c>
      <c r="BL406" s="89">
        <v>1899</v>
      </c>
      <c r="BM406" s="89">
        <v>1908</v>
      </c>
      <c r="BN406" s="89" t="s">
        <v>646</v>
      </c>
      <c r="BO406" s="89" t="str">
        <f>HYPERLINK("http://dx.doi.org/10.1145/2783258.2788569","http://dx.doi.org/10.1145/2783258.2788569")</f>
        <v>http://dx.doi.org/10.1145/2783258.2788569</v>
      </c>
      <c r="BP406" s="89" t="s">
        <v>646</v>
      </c>
      <c r="BQ406" s="89" t="s">
        <v>646</v>
      </c>
      <c r="BR406" s="89" t="s">
        <v>646</v>
      </c>
      <c r="BS406" s="89" t="s">
        <v>646</v>
      </c>
      <c r="BT406" s="89" t="s">
        <v>646</v>
      </c>
      <c r="BU406" s="89" t="s">
        <v>646</v>
      </c>
      <c r="BV406" s="89" t="s">
        <v>646</v>
      </c>
      <c r="BW406" s="89" t="s">
        <v>646</v>
      </c>
      <c r="BX406" s="89" t="s">
        <v>646</v>
      </c>
      <c r="BY406" s="89" t="s">
        <v>646</v>
      </c>
      <c r="BZ406" s="89" t="s">
        <v>646</v>
      </c>
      <c r="CA406" s="89" t="s">
        <v>646</v>
      </c>
      <c r="CB406" s="89" t="s">
        <v>20958</v>
      </c>
      <c r="CC406" s="89" t="str">
        <f>HYPERLINK("https%3A%2F%2Fwww.webofscience.com%2Fwos%2Fwoscc%2Ffull-record%2FWOS:000485312900201","View Full Record in Web of Science")</f>
        <v>View Full Record in Web of Science</v>
      </c>
    </row>
    <row r="407" spans="1:81" ht="13.2" hidden="1" x14ac:dyDescent="0.25">
      <c r="A407" s="89" t="s">
        <v>12521</v>
      </c>
      <c r="B407" s="89" t="e">
        <f>+#REF!</f>
        <v>#REF!</v>
      </c>
      <c r="C407" s="89"/>
      <c r="D407" s="91" t="s">
        <v>717</v>
      </c>
      <c r="E407" s="90" t="e">
        <v>#REF!</v>
      </c>
      <c r="F407" s="89"/>
      <c r="G407" s="89"/>
      <c r="H407" s="89" t="s">
        <v>12522</v>
      </c>
      <c r="I407" s="89" t="s">
        <v>20959</v>
      </c>
      <c r="J407" s="89" t="s">
        <v>20962</v>
      </c>
      <c r="K407" s="89" t="s">
        <v>20961</v>
      </c>
      <c r="M407" s="89">
        <v>2017</v>
      </c>
      <c r="N407" s="89" t="s">
        <v>20960</v>
      </c>
      <c r="O407" s="89" t="s">
        <v>646</v>
      </c>
      <c r="P407" s="89" t="str">
        <f>HYPERLINK("http://dx.doi.org/10.1177/0022022117699278","http://dx.doi.org/10.1177/0022022117699278")</f>
        <v>http://dx.doi.org/10.1177/0022022117699278</v>
      </c>
      <c r="S407" s="89" t="s">
        <v>646</v>
      </c>
      <c r="U407" s="89" t="s">
        <v>17462</v>
      </c>
      <c r="W407" s="89" t="s">
        <v>646</v>
      </c>
      <c r="X407" s="89" t="s">
        <v>646</v>
      </c>
      <c r="Y407" s="89" t="s">
        <v>646</v>
      </c>
      <c r="Z407" s="89" t="s">
        <v>646</v>
      </c>
      <c r="AA407" s="89" t="s">
        <v>646</v>
      </c>
      <c r="AB407" s="89" t="s">
        <v>646</v>
      </c>
      <c r="AC407" s="89" t="s">
        <v>646</v>
      </c>
      <c r="AD407" s="89" t="s">
        <v>646</v>
      </c>
      <c r="AE407" s="89" t="s">
        <v>646</v>
      </c>
      <c r="AF407" s="89" t="s">
        <v>20961</v>
      </c>
      <c r="AG407" s="89" t="s">
        <v>646</v>
      </c>
      <c r="AH407" s="89" t="s">
        <v>646</v>
      </c>
      <c r="AI407" s="89" t="s">
        <v>646</v>
      </c>
      <c r="AJ407" s="89" t="s">
        <v>646</v>
      </c>
      <c r="AK407" s="89" t="s">
        <v>20962</v>
      </c>
      <c r="AL407" s="89" t="s">
        <v>20963</v>
      </c>
      <c r="AM407" s="89" t="s">
        <v>646</v>
      </c>
      <c r="AN407" s="89" t="s">
        <v>646</v>
      </c>
      <c r="AO407" s="89" t="s">
        <v>646</v>
      </c>
      <c r="AP407" s="89" t="s">
        <v>646</v>
      </c>
      <c r="AQ407" s="89" t="s">
        <v>646</v>
      </c>
      <c r="AR407" s="89" t="s">
        <v>646</v>
      </c>
      <c r="AS407" s="89" t="s">
        <v>646</v>
      </c>
      <c r="AT407" s="89" t="s">
        <v>646</v>
      </c>
      <c r="AU407" s="89" t="s">
        <v>646</v>
      </c>
      <c r="AV407" s="89" t="s">
        <v>646</v>
      </c>
      <c r="AW407" s="89" t="s">
        <v>646</v>
      </c>
      <c r="AX407" s="89" t="s">
        <v>646</v>
      </c>
      <c r="AY407" s="89" t="s">
        <v>20964</v>
      </c>
      <c r="AZ407" s="89" t="s">
        <v>20965</v>
      </c>
      <c r="BA407" s="89" t="s">
        <v>646</v>
      </c>
      <c r="BB407" s="89" t="s">
        <v>646</v>
      </c>
      <c r="BC407" s="89" t="s">
        <v>646</v>
      </c>
      <c r="BD407" s="89" t="s">
        <v>17772</v>
      </c>
      <c r="BE407" s="89">
        <v>2017</v>
      </c>
      <c r="BF407" s="89">
        <v>48</v>
      </c>
      <c r="BG407" s="89">
        <v>5</v>
      </c>
      <c r="BH407" s="89" t="s">
        <v>646</v>
      </c>
      <c r="BI407" s="89" t="s">
        <v>646</v>
      </c>
      <c r="BJ407" s="89" t="s">
        <v>646</v>
      </c>
      <c r="BK407" s="89" t="s">
        <v>646</v>
      </c>
      <c r="BL407" s="89">
        <v>754</v>
      </c>
      <c r="BM407" s="89">
        <v>770</v>
      </c>
      <c r="BN407" s="89" t="s">
        <v>646</v>
      </c>
      <c r="BO407" s="89" t="str">
        <f>HYPERLINK("http://dx.doi.org/10.1177/0022022117699278","http://dx.doi.org/10.1177/0022022117699278")</f>
        <v>http://dx.doi.org/10.1177/0022022117699278</v>
      </c>
      <c r="BP407" s="89" t="s">
        <v>646</v>
      </c>
      <c r="BQ407" s="89" t="s">
        <v>646</v>
      </c>
      <c r="BR407" s="89" t="s">
        <v>646</v>
      </c>
      <c r="BS407" s="89" t="s">
        <v>646</v>
      </c>
      <c r="BT407" s="89" t="s">
        <v>646</v>
      </c>
      <c r="BU407" s="89" t="s">
        <v>646</v>
      </c>
      <c r="BV407" s="89" t="s">
        <v>646</v>
      </c>
      <c r="BW407" s="89" t="s">
        <v>646</v>
      </c>
      <c r="BX407" s="89" t="s">
        <v>646</v>
      </c>
      <c r="BY407" s="89" t="s">
        <v>646</v>
      </c>
      <c r="BZ407" s="89" t="s">
        <v>646</v>
      </c>
      <c r="CA407" s="89" t="s">
        <v>646</v>
      </c>
      <c r="CB407" s="89" t="s">
        <v>20966</v>
      </c>
      <c r="CC407" s="89" t="str">
        <f>HYPERLINK("https%3A%2F%2Fwww.webofscience.com%2Fwos%2Fwoscc%2Ffull-record%2FWOS:000401007400008","View Full Record in Web of Science")</f>
        <v>View Full Record in Web of Science</v>
      </c>
    </row>
    <row r="408" spans="1:81" ht="13.2" hidden="1" x14ac:dyDescent="0.25">
      <c r="A408" s="89" t="s">
        <v>9444</v>
      </c>
      <c r="B408" s="89" t="e">
        <f>+#REF!</f>
        <v>#REF!</v>
      </c>
      <c r="C408" s="89"/>
      <c r="D408" s="91" t="s">
        <v>717</v>
      </c>
      <c r="E408" s="90" t="e">
        <v>#REF!</v>
      </c>
      <c r="F408" s="89"/>
      <c r="G408" s="89"/>
      <c r="H408" s="89" t="s">
        <v>9445</v>
      </c>
      <c r="I408" s="89" t="s">
        <v>20967</v>
      </c>
      <c r="J408" s="89" t="s">
        <v>20970</v>
      </c>
      <c r="K408" s="89" t="s">
        <v>20969</v>
      </c>
      <c r="M408" s="89">
        <v>2022</v>
      </c>
      <c r="N408" s="89" t="s">
        <v>20968</v>
      </c>
      <c r="O408" s="89" t="s">
        <v>646</v>
      </c>
      <c r="P408" s="89" t="str">
        <f>HYPERLINK("http://dx.doi.org/10.17645/mac.v10i1.4640","http://dx.doi.org/10.17645/mac.v10i1.4640")</f>
        <v>http://dx.doi.org/10.17645/mac.v10i1.4640</v>
      </c>
      <c r="S408" s="89" t="s">
        <v>646</v>
      </c>
      <c r="U408" s="89" t="s">
        <v>17462</v>
      </c>
      <c r="W408" s="89" t="s">
        <v>646</v>
      </c>
      <c r="X408" s="89" t="s">
        <v>646</v>
      </c>
      <c r="Y408" s="89" t="s">
        <v>646</v>
      </c>
      <c r="Z408" s="89" t="s">
        <v>646</v>
      </c>
      <c r="AA408" s="89" t="s">
        <v>646</v>
      </c>
      <c r="AB408" s="89" t="s">
        <v>646</v>
      </c>
      <c r="AC408" s="89" t="s">
        <v>646</v>
      </c>
      <c r="AD408" s="89" t="s">
        <v>646</v>
      </c>
      <c r="AE408" s="89" t="s">
        <v>646</v>
      </c>
      <c r="AF408" s="89" t="s">
        <v>20969</v>
      </c>
      <c r="AG408" s="89" t="s">
        <v>646</v>
      </c>
      <c r="AH408" s="89" t="s">
        <v>646</v>
      </c>
      <c r="AI408" s="89" t="s">
        <v>646</v>
      </c>
      <c r="AJ408" s="89" t="s">
        <v>646</v>
      </c>
      <c r="AK408" s="89" t="s">
        <v>20970</v>
      </c>
      <c r="AL408" s="89" t="s">
        <v>20971</v>
      </c>
      <c r="AM408" s="89" t="s">
        <v>646</v>
      </c>
      <c r="AN408" s="89" t="s">
        <v>646</v>
      </c>
      <c r="AO408" s="89" t="s">
        <v>646</v>
      </c>
      <c r="AP408" s="89" t="s">
        <v>646</v>
      </c>
      <c r="AQ408" s="89" t="s">
        <v>646</v>
      </c>
      <c r="AR408" s="89" t="s">
        <v>646</v>
      </c>
      <c r="AS408" s="89" t="s">
        <v>646</v>
      </c>
      <c r="AT408" s="89" t="s">
        <v>646</v>
      </c>
      <c r="AU408" s="89" t="s">
        <v>646</v>
      </c>
      <c r="AV408" s="89" t="s">
        <v>646</v>
      </c>
      <c r="AW408" s="89" t="s">
        <v>646</v>
      </c>
      <c r="AX408" s="89" t="s">
        <v>646</v>
      </c>
      <c r="AY408" s="89" t="s">
        <v>20972</v>
      </c>
      <c r="AZ408" s="89" t="s">
        <v>646</v>
      </c>
      <c r="BA408" s="89" t="s">
        <v>646</v>
      </c>
      <c r="BB408" s="89" t="s">
        <v>646</v>
      </c>
      <c r="BC408" s="89" t="s">
        <v>646</v>
      </c>
      <c r="BD408" s="89" t="s">
        <v>646</v>
      </c>
      <c r="BE408" s="89">
        <v>2022</v>
      </c>
      <c r="BF408" s="89">
        <v>10</v>
      </c>
      <c r="BG408" s="89">
        <v>1</v>
      </c>
      <c r="BH408" s="89" t="s">
        <v>646</v>
      </c>
      <c r="BI408" s="89" t="s">
        <v>646</v>
      </c>
      <c r="BJ408" s="89" t="s">
        <v>646</v>
      </c>
      <c r="BK408" s="89" t="s">
        <v>646</v>
      </c>
      <c r="BL408" s="89">
        <v>124</v>
      </c>
      <c r="BM408" s="89">
        <v>135</v>
      </c>
      <c r="BN408" s="89" t="s">
        <v>646</v>
      </c>
      <c r="BO408" s="89" t="str">
        <f>HYPERLINK("http://dx.doi.org/10.17645/mac.v10i1.4640","http://dx.doi.org/10.17645/mac.v10i1.4640")</f>
        <v>http://dx.doi.org/10.17645/mac.v10i1.4640</v>
      </c>
      <c r="BP408" s="89" t="s">
        <v>646</v>
      </c>
      <c r="BQ408" s="89" t="s">
        <v>646</v>
      </c>
      <c r="BR408" s="89" t="s">
        <v>646</v>
      </c>
      <c r="BS408" s="89" t="s">
        <v>646</v>
      </c>
      <c r="BT408" s="89" t="s">
        <v>646</v>
      </c>
      <c r="BU408" s="89" t="s">
        <v>646</v>
      </c>
      <c r="BV408" s="89" t="s">
        <v>646</v>
      </c>
      <c r="BW408" s="89" t="s">
        <v>646</v>
      </c>
      <c r="BX408" s="89" t="s">
        <v>646</v>
      </c>
      <c r="BY408" s="89" t="s">
        <v>646</v>
      </c>
      <c r="BZ408" s="89" t="s">
        <v>646</v>
      </c>
      <c r="CA408" s="89" t="s">
        <v>646</v>
      </c>
      <c r="CB408" s="89" t="s">
        <v>20973</v>
      </c>
      <c r="CC408" s="89" t="str">
        <f>HYPERLINK("https%3A%2F%2Fwww.webofscience.com%2Fwos%2Fwoscc%2Ffull-record%2FWOS:000762434300002","View Full Record in Web of Science")</f>
        <v>View Full Record in Web of Science</v>
      </c>
    </row>
    <row r="409" spans="1:81" ht="13.2" hidden="1" x14ac:dyDescent="0.25">
      <c r="A409" s="89" t="s">
        <v>12531</v>
      </c>
      <c r="B409" s="89" t="e">
        <f>+#REF!</f>
        <v>#REF!</v>
      </c>
      <c r="C409" s="89"/>
      <c r="D409" s="91" t="s">
        <v>717</v>
      </c>
      <c r="E409" s="90" t="e">
        <v>#REF!</v>
      </c>
      <c r="F409" s="89"/>
      <c r="G409" s="89"/>
      <c r="H409" s="89" t="s">
        <v>12532</v>
      </c>
      <c r="I409" s="89" t="s">
        <v>20974</v>
      </c>
      <c r="J409" s="89" t="s">
        <v>20977</v>
      </c>
      <c r="K409" s="89" t="s">
        <v>20976</v>
      </c>
      <c r="M409" s="89">
        <v>2016</v>
      </c>
      <c r="N409" s="89" t="s">
        <v>20975</v>
      </c>
      <c r="O409" s="89" t="s">
        <v>646</v>
      </c>
      <c r="P409" s="89" t="str">
        <f>HYPERLINK("http://dx.doi.org/10.1037/tra0000148","http://dx.doi.org/10.1037/tra0000148")</f>
        <v>http://dx.doi.org/10.1037/tra0000148</v>
      </c>
      <c r="S409" s="89" t="s">
        <v>646</v>
      </c>
      <c r="U409" s="89" t="s">
        <v>17462</v>
      </c>
      <c r="W409" s="89" t="s">
        <v>646</v>
      </c>
      <c r="X409" s="89" t="s">
        <v>646</v>
      </c>
      <c r="Y409" s="89" t="s">
        <v>646</v>
      </c>
      <c r="Z409" s="89" t="s">
        <v>646</v>
      </c>
      <c r="AA409" s="89" t="s">
        <v>646</v>
      </c>
      <c r="AB409" s="89" t="s">
        <v>646</v>
      </c>
      <c r="AC409" s="89" t="s">
        <v>646</v>
      </c>
      <c r="AD409" s="89" t="s">
        <v>646</v>
      </c>
      <c r="AE409" s="89" t="s">
        <v>646</v>
      </c>
      <c r="AF409" s="89" t="s">
        <v>20976</v>
      </c>
      <c r="AG409" s="89" t="s">
        <v>646</v>
      </c>
      <c r="AH409" s="89" t="s">
        <v>646</v>
      </c>
      <c r="AI409" s="89" t="s">
        <v>646</v>
      </c>
      <c r="AJ409" s="89" t="s">
        <v>646</v>
      </c>
      <c r="AK409" s="89" t="s">
        <v>20977</v>
      </c>
      <c r="AL409" s="89" t="s">
        <v>20978</v>
      </c>
      <c r="AM409" s="89" t="s">
        <v>646</v>
      </c>
      <c r="AN409" s="89" t="s">
        <v>646</v>
      </c>
      <c r="AO409" s="89" t="s">
        <v>646</v>
      </c>
      <c r="AP409" s="89" t="s">
        <v>646</v>
      </c>
      <c r="AQ409" s="89" t="s">
        <v>646</v>
      </c>
      <c r="AR409" s="89" t="s">
        <v>646</v>
      </c>
      <c r="AS409" s="89" t="s">
        <v>646</v>
      </c>
      <c r="AT409" s="89" t="s">
        <v>646</v>
      </c>
      <c r="AU409" s="89" t="s">
        <v>646</v>
      </c>
      <c r="AV409" s="89" t="s">
        <v>646</v>
      </c>
      <c r="AW409" s="89" t="s">
        <v>646</v>
      </c>
      <c r="AX409" s="89" t="s">
        <v>646</v>
      </c>
      <c r="AY409" s="89" t="s">
        <v>20979</v>
      </c>
      <c r="AZ409" s="89" t="s">
        <v>20980</v>
      </c>
      <c r="BA409" s="89" t="s">
        <v>646</v>
      </c>
      <c r="BB409" s="89" t="s">
        <v>646</v>
      </c>
      <c r="BC409" s="89" t="s">
        <v>646</v>
      </c>
      <c r="BD409" s="89" t="s">
        <v>17739</v>
      </c>
      <c r="BE409" s="89">
        <v>2016</v>
      </c>
      <c r="BF409" s="89">
        <v>8</v>
      </c>
      <c r="BG409" s="89">
        <v>5</v>
      </c>
      <c r="BH409" s="89" t="s">
        <v>646</v>
      </c>
      <c r="BI409" s="89" t="s">
        <v>646</v>
      </c>
      <c r="BJ409" s="89" t="s">
        <v>646</v>
      </c>
      <c r="BK409" s="89" t="s">
        <v>646</v>
      </c>
      <c r="BL409" s="89">
        <v>601</v>
      </c>
      <c r="BM409" s="89">
        <v>608</v>
      </c>
      <c r="BN409" s="89" t="s">
        <v>646</v>
      </c>
      <c r="BO409" s="89" t="str">
        <f>HYPERLINK("http://dx.doi.org/10.1037/tra0000148","http://dx.doi.org/10.1037/tra0000148")</f>
        <v>http://dx.doi.org/10.1037/tra0000148</v>
      </c>
      <c r="BP409" s="89" t="s">
        <v>646</v>
      </c>
      <c r="BQ409" s="89" t="s">
        <v>646</v>
      </c>
      <c r="BR409" s="89" t="s">
        <v>646</v>
      </c>
      <c r="BS409" s="89" t="s">
        <v>646</v>
      </c>
      <c r="BT409" s="89" t="s">
        <v>646</v>
      </c>
      <c r="BU409" s="89" t="s">
        <v>646</v>
      </c>
      <c r="BV409" s="89" t="s">
        <v>646</v>
      </c>
      <c r="BW409" s="89">
        <v>27213680</v>
      </c>
      <c r="BX409" s="89" t="s">
        <v>646</v>
      </c>
      <c r="BY409" s="89" t="s">
        <v>646</v>
      </c>
      <c r="BZ409" s="89" t="s">
        <v>646</v>
      </c>
      <c r="CA409" s="89" t="s">
        <v>646</v>
      </c>
      <c r="CB409" s="89" t="s">
        <v>20981</v>
      </c>
      <c r="CC409" s="89" t="str">
        <f>HYPERLINK("https%3A%2F%2Fwww.webofscience.com%2Fwos%2Fwoscc%2Ffull-record%2FWOS:000383254000008","View Full Record in Web of Science")</f>
        <v>View Full Record in Web of Science</v>
      </c>
    </row>
    <row r="410" spans="1:81" ht="13.2" hidden="1" x14ac:dyDescent="0.25">
      <c r="A410" s="89" t="s">
        <v>12540</v>
      </c>
      <c r="B410" s="89" t="e">
        <f>+#REF!</f>
        <v>#REF!</v>
      </c>
      <c r="C410" s="89"/>
      <c r="D410" s="91" t="s">
        <v>717</v>
      </c>
      <c r="E410" s="90" t="e">
        <v>#REF!</v>
      </c>
      <c r="F410" s="89"/>
      <c r="G410" s="89"/>
      <c r="H410" s="89" t="s">
        <v>12541</v>
      </c>
      <c r="I410" s="89" t="s">
        <v>20982</v>
      </c>
      <c r="J410" s="89" t="s">
        <v>646</v>
      </c>
      <c r="K410" s="89" t="s">
        <v>20983</v>
      </c>
      <c r="M410" s="89">
        <v>2019</v>
      </c>
      <c r="N410" s="89" t="s">
        <v>19578</v>
      </c>
      <c r="O410" s="89" t="s">
        <v>646</v>
      </c>
      <c r="P410" s="89" t="str">
        <f>HYPERLINK("http://dx.doi.org/10.1109/TKDE.2016.2611509","http://dx.doi.org/10.1109/TKDE.2016.2611509")</f>
        <v>http://dx.doi.org/10.1109/TKDE.2016.2611509</v>
      </c>
      <c r="S410" s="89" t="s">
        <v>646</v>
      </c>
      <c r="U410" s="89" t="s">
        <v>17462</v>
      </c>
      <c r="W410" s="89" t="s">
        <v>646</v>
      </c>
      <c r="X410" s="89" t="s">
        <v>646</v>
      </c>
      <c r="Y410" s="89" t="s">
        <v>646</v>
      </c>
      <c r="Z410" s="89" t="s">
        <v>646</v>
      </c>
      <c r="AA410" s="89" t="s">
        <v>646</v>
      </c>
      <c r="AB410" s="89" t="s">
        <v>646</v>
      </c>
      <c r="AC410" s="89" t="s">
        <v>646</v>
      </c>
      <c r="AD410" s="89" t="s">
        <v>646</v>
      </c>
      <c r="AE410" s="89" t="s">
        <v>646</v>
      </c>
      <c r="AF410" s="89" t="s">
        <v>20983</v>
      </c>
      <c r="AG410" s="89" t="s">
        <v>646</v>
      </c>
      <c r="AH410" s="89" t="s">
        <v>646</v>
      </c>
      <c r="AI410" s="89" t="s">
        <v>646</v>
      </c>
      <c r="AJ410" s="89" t="s">
        <v>646</v>
      </c>
      <c r="AK410" s="89" t="s">
        <v>646</v>
      </c>
      <c r="AL410" s="89" t="s">
        <v>646</v>
      </c>
      <c r="AM410" s="89" t="s">
        <v>646</v>
      </c>
      <c r="AN410" s="89" t="s">
        <v>646</v>
      </c>
      <c r="AO410" s="89" t="s">
        <v>646</v>
      </c>
      <c r="AP410" s="89" t="s">
        <v>646</v>
      </c>
      <c r="AQ410" s="89" t="s">
        <v>646</v>
      </c>
      <c r="AR410" s="89" t="s">
        <v>646</v>
      </c>
      <c r="AS410" s="89" t="s">
        <v>646</v>
      </c>
      <c r="AT410" s="89" t="s">
        <v>646</v>
      </c>
      <c r="AU410" s="89" t="s">
        <v>646</v>
      </c>
      <c r="AV410" s="89" t="s">
        <v>646</v>
      </c>
      <c r="AW410" s="89" t="s">
        <v>646</v>
      </c>
      <c r="AX410" s="89" t="s">
        <v>646</v>
      </c>
      <c r="AY410" s="89" t="s">
        <v>19582</v>
      </c>
      <c r="AZ410" s="89" t="s">
        <v>19583</v>
      </c>
      <c r="BA410" s="89" t="s">
        <v>646</v>
      </c>
      <c r="BB410" s="89" t="s">
        <v>646</v>
      </c>
      <c r="BC410" s="89" t="s">
        <v>646</v>
      </c>
      <c r="BD410" s="89" t="s">
        <v>17676</v>
      </c>
      <c r="BE410" s="89">
        <v>2019</v>
      </c>
      <c r="BF410" s="89">
        <v>31</v>
      </c>
      <c r="BG410" s="89">
        <v>7</v>
      </c>
      <c r="BH410" s="89" t="s">
        <v>646</v>
      </c>
      <c r="BI410" s="89" t="s">
        <v>646</v>
      </c>
      <c r="BJ410" s="89" t="s">
        <v>646</v>
      </c>
      <c r="BK410" s="89" t="s">
        <v>646</v>
      </c>
      <c r="BL410" s="89">
        <v>1312</v>
      </c>
      <c r="BM410" s="89">
        <v>1326</v>
      </c>
      <c r="BN410" s="89" t="s">
        <v>646</v>
      </c>
      <c r="BO410" s="89" t="str">
        <f>HYPERLINK("http://dx.doi.org/10.1109/TKDE.2016.2611509","http://dx.doi.org/10.1109/TKDE.2016.2611509")</f>
        <v>http://dx.doi.org/10.1109/TKDE.2016.2611509</v>
      </c>
      <c r="BP410" s="89" t="s">
        <v>646</v>
      </c>
      <c r="BQ410" s="89" t="s">
        <v>646</v>
      </c>
      <c r="BR410" s="89" t="s">
        <v>646</v>
      </c>
      <c r="BS410" s="89" t="s">
        <v>646</v>
      </c>
      <c r="BT410" s="89" t="s">
        <v>646</v>
      </c>
      <c r="BU410" s="89" t="s">
        <v>646</v>
      </c>
      <c r="BV410" s="89" t="s">
        <v>646</v>
      </c>
      <c r="BW410" s="89" t="s">
        <v>646</v>
      </c>
      <c r="BX410" s="89" t="s">
        <v>646</v>
      </c>
      <c r="BY410" s="89" t="s">
        <v>646</v>
      </c>
      <c r="BZ410" s="89" t="s">
        <v>646</v>
      </c>
      <c r="CA410" s="89" t="s">
        <v>646</v>
      </c>
      <c r="CB410" s="89" t="s">
        <v>20984</v>
      </c>
      <c r="CC410" s="89" t="str">
        <f>HYPERLINK("https%3A%2F%2Fwww.webofscience.com%2Fwos%2Fwoscc%2Ffull-record%2FWOS:000471001800008","View Full Record in Web of Science")</f>
        <v>View Full Record in Web of Science</v>
      </c>
    </row>
    <row r="411" spans="1:81" ht="13.2" hidden="1" x14ac:dyDescent="0.25">
      <c r="A411" s="89" t="s">
        <v>20985</v>
      </c>
      <c r="B411" s="89" t="e">
        <f>+#REF!</f>
        <v>#REF!</v>
      </c>
      <c r="C411" s="89"/>
      <c r="D411" s="91" t="s">
        <v>717</v>
      </c>
      <c r="E411" s="90" t="e">
        <v>#REF!</v>
      </c>
      <c r="F411" s="89"/>
      <c r="G411" s="89"/>
      <c r="H411" s="89" t="s">
        <v>12549</v>
      </c>
      <c r="I411" s="89" t="s">
        <v>20987</v>
      </c>
      <c r="J411" s="89" t="s">
        <v>646</v>
      </c>
      <c r="K411" s="89" t="s">
        <v>20992</v>
      </c>
      <c r="M411" s="89">
        <v>2016</v>
      </c>
      <c r="N411" s="89" t="s">
        <v>20988</v>
      </c>
      <c r="O411" s="89" t="s">
        <v>20986</v>
      </c>
      <c r="P411" s="89" t="str">
        <f>HYPERLINK("http://dx.doi.org/10.1007/978-3-319-47413-7_16","http://dx.doi.org/10.1007/978-3-319-47413-7_16")</f>
        <v>http://dx.doi.org/10.1007/978-3-319-47413-7_16</v>
      </c>
      <c r="S411" s="89" t="s">
        <v>646</v>
      </c>
      <c r="U411" s="89" t="s">
        <v>17474</v>
      </c>
      <c r="W411" s="89" t="s">
        <v>646</v>
      </c>
      <c r="X411" s="89" t="s">
        <v>646</v>
      </c>
      <c r="Y411" s="89" t="s">
        <v>20989</v>
      </c>
      <c r="Z411" s="89" t="s">
        <v>20990</v>
      </c>
      <c r="AA411" s="89" t="s">
        <v>20991</v>
      </c>
      <c r="AB411" s="89" t="s">
        <v>646</v>
      </c>
      <c r="AC411" s="89" t="s">
        <v>646</v>
      </c>
      <c r="AD411" s="89" t="s">
        <v>646</v>
      </c>
      <c r="AE411" s="89" t="s">
        <v>646</v>
      </c>
      <c r="AF411" s="89" t="s">
        <v>20992</v>
      </c>
      <c r="AG411" s="89" t="s">
        <v>646</v>
      </c>
      <c r="AH411" s="89" t="s">
        <v>646</v>
      </c>
      <c r="AI411" s="89" t="s">
        <v>646</v>
      </c>
      <c r="AJ411" s="89" t="s">
        <v>646</v>
      </c>
      <c r="AK411" s="89" t="s">
        <v>646</v>
      </c>
      <c r="AL411" s="89" t="s">
        <v>646</v>
      </c>
      <c r="AM411" s="89" t="s">
        <v>646</v>
      </c>
      <c r="AN411" s="89" t="s">
        <v>646</v>
      </c>
      <c r="AO411" s="89" t="s">
        <v>646</v>
      </c>
      <c r="AP411" s="89" t="s">
        <v>646</v>
      </c>
      <c r="AQ411" s="89" t="s">
        <v>646</v>
      </c>
      <c r="AR411" s="89" t="s">
        <v>646</v>
      </c>
      <c r="AS411" s="89" t="s">
        <v>646</v>
      </c>
      <c r="AT411" s="89" t="s">
        <v>646</v>
      </c>
      <c r="AU411" s="89" t="s">
        <v>646</v>
      </c>
      <c r="AV411" s="89" t="s">
        <v>646</v>
      </c>
      <c r="AW411" s="89" t="s">
        <v>646</v>
      </c>
      <c r="AX411" s="89" t="s">
        <v>646</v>
      </c>
      <c r="AY411" s="89" t="s">
        <v>18367</v>
      </c>
      <c r="AZ411" s="89" t="s">
        <v>18884</v>
      </c>
      <c r="BA411" s="89" t="s">
        <v>20993</v>
      </c>
      <c r="BB411" s="89" t="s">
        <v>646</v>
      </c>
      <c r="BC411" s="89" t="s">
        <v>646</v>
      </c>
      <c r="BD411" s="89" t="s">
        <v>646</v>
      </c>
      <c r="BE411" s="89">
        <v>2016</v>
      </c>
      <c r="BF411" s="89">
        <v>9996</v>
      </c>
      <c r="BG411" s="89" t="s">
        <v>646</v>
      </c>
      <c r="BH411" s="89" t="s">
        <v>646</v>
      </c>
      <c r="BI411" s="89" t="s">
        <v>646</v>
      </c>
      <c r="BJ411" s="89" t="s">
        <v>646</v>
      </c>
      <c r="BK411" s="89" t="s">
        <v>646</v>
      </c>
      <c r="BL411" s="89">
        <v>272</v>
      </c>
      <c r="BM411" s="89">
        <v>293</v>
      </c>
      <c r="BN411" s="89" t="s">
        <v>646</v>
      </c>
      <c r="BO411" s="89" t="str">
        <f>HYPERLINK("http://dx.doi.org/10.1007/978-3-319-47413-7_16","http://dx.doi.org/10.1007/978-3-319-47413-7_16")</f>
        <v>http://dx.doi.org/10.1007/978-3-319-47413-7_16</v>
      </c>
      <c r="BP411" s="89" t="s">
        <v>646</v>
      </c>
      <c r="BQ411" s="89" t="s">
        <v>646</v>
      </c>
      <c r="BR411" s="89" t="s">
        <v>646</v>
      </c>
      <c r="BS411" s="89" t="s">
        <v>646</v>
      </c>
      <c r="BT411" s="89" t="s">
        <v>646</v>
      </c>
      <c r="BU411" s="89" t="s">
        <v>646</v>
      </c>
      <c r="BV411" s="89" t="s">
        <v>646</v>
      </c>
      <c r="BW411" s="89" t="s">
        <v>646</v>
      </c>
      <c r="BX411" s="89" t="s">
        <v>646</v>
      </c>
      <c r="BY411" s="89" t="s">
        <v>646</v>
      </c>
      <c r="BZ411" s="89" t="s">
        <v>646</v>
      </c>
      <c r="CA411" s="89" t="s">
        <v>646</v>
      </c>
      <c r="CB411" s="89" t="s">
        <v>20994</v>
      </c>
      <c r="CC411" s="89" t="str">
        <f>HYPERLINK("https%3A%2F%2Fwww.webofscience.com%2Fwos%2Fwoscc%2Ffull-record%2FWOS:000389821200016","View Full Record in Web of Science")</f>
        <v>View Full Record in Web of Science</v>
      </c>
    </row>
    <row r="412" spans="1:81" ht="13.2" hidden="1" x14ac:dyDescent="0.25">
      <c r="A412" s="89" t="s">
        <v>9454</v>
      </c>
      <c r="B412" s="89" t="e">
        <f>+#REF!</f>
        <v>#REF!</v>
      </c>
      <c r="C412" s="89"/>
      <c r="D412" s="91" t="s">
        <v>717</v>
      </c>
      <c r="E412" s="90" t="e">
        <v>#REF!</v>
      </c>
      <c r="F412" s="89"/>
      <c r="G412" s="89"/>
      <c r="H412" s="89" t="s">
        <v>9455</v>
      </c>
      <c r="I412" s="89" t="s">
        <v>20995</v>
      </c>
      <c r="J412" s="89" t="s">
        <v>646</v>
      </c>
      <c r="K412" s="89" t="s">
        <v>20996</v>
      </c>
      <c r="M412" s="89">
        <v>2021</v>
      </c>
      <c r="N412" s="89" t="s">
        <v>20176</v>
      </c>
      <c r="O412" s="89" t="s">
        <v>646</v>
      </c>
      <c r="P412" s="89" t="str">
        <f>HYPERLINK("http://dx.doi.org/10.3758/s13428-021-01573-x","http://dx.doi.org/10.3758/s13428-021-01573-x")</f>
        <v>http://dx.doi.org/10.3758/s13428-021-01573-x</v>
      </c>
      <c r="S412" s="89" t="s">
        <v>646</v>
      </c>
      <c r="U412" s="89" t="s">
        <v>17462</v>
      </c>
      <c r="W412" s="89" t="s">
        <v>646</v>
      </c>
      <c r="X412" s="89" t="s">
        <v>646</v>
      </c>
      <c r="Y412" s="89" t="s">
        <v>646</v>
      </c>
      <c r="Z412" s="89" t="s">
        <v>646</v>
      </c>
      <c r="AA412" s="89" t="s">
        <v>646</v>
      </c>
      <c r="AB412" s="89" t="s">
        <v>646</v>
      </c>
      <c r="AC412" s="89" t="s">
        <v>646</v>
      </c>
      <c r="AD412" s="89" t="s">
        <v>646</v>
      </c>
      <c r="AE412" s="89" t="s">
        <v>646</v>
      </c>
      <c r="AF412" s="89" t="s">
        <v>20996</v>
      </c>
      <c r="AG412" s="89" t="s">
        <v>646</v>
      </c>
      <c r="AH412" s="89" t="s">
        <v>646</v>
      </c>
      <c r="AI412" s="89" t="s">
        <v>646</v>
      </c>
      <c r="AJ412" s="89" t="s">
        <v>646</v>
      </c>
      <c r="AK412" s="89" t="s">
        <v>646</v>
      </c>
      <c r="AL412" s="89" t="s">
        <v>20997</v>
      </c>
      <c r="AM412" s="89" t="s">
        <v>646</v>
      </c>
      <c r="AN412" s="89" t="s">
        <v>646</v>
      </c>
      <c r="AO412" s="89" t="s">
        <v>646</v>
      </c>
      <c r="AP412" s="89" t="s">
        <v>646</v>
      </c>
      <c r="AQ412" s="89" t="s">
        <v>646</v>
      </c>
      <c r="AR412" s="89" t="s">
        <v>646</v>
      </c>
      <c r="AS412" s="89" t="s">
        <v>646</v>
      </c>
      <c r="AT412" s="89" t="s">
        <v>646</v>
      </c>
      <c r="AU412" s="89" t="s">
        <v>646</v>
      </c>
      <c r="AV412" s="89" t="s">
        <v>646</v>
      </c>
      <c r="AW412" s="89" t="s">
        <v>646</v>
      </c>
      <c r="AX412" s="89" t="s">
        <v>646</v>
      </c>
      <c r="AY412" s="89" t="s">
        <v>20178</v>
      </c>
      <c r="AZ412" s="89" t="s">
        <v>20179</v>
      </c>
      <c r="BA412" s="89" t="s">
        <v>646</v>
      </c>
      <c r="BB412" s="89" t="s">
        <v>646</v>
      </c>
      <c r="BC412" s="89" t="s">
        <v>646</v>
      </c>
      <c r="BD412" s="89" t="s">
        <v>17615</v>
      </c>
      <c r="BE412" s="89">
        <v>2021</v>
      </c>
      <c r="BF412" s="89">
        <v>53</v>
      </c>
      <c r="BG412" s="89">
        <v>6</v>
      </c>
      <c r="BH412" s="89" t="s">
        <v>646</v>
      </c>
      <c r="BI412" s="89" t="s">
        <v>646</v>
      </c>
      <c r="BJ412" s="89" t="s">
        <v>646</v>
      </c>
      <c r="BK412" s="89" t="s">
        <v>646</v>
      </c>
      <c r="BL412" s="89">
        <v>2302</v>
      </c>
      <c r="BM412" s="89">
        <v>2325</v>
      </c>
      <c r="BN412" s="89" t="s">
        <v>646</v>
      </c>
      <c r="BO412" s="89" t="str">
        <f>HYPERLINK("http://dx.doi.org/10.3758/s13428-021-01573-x","http://dx.doi.org/10.3758/s13428-021-01573-x")</f>
        <v>http://dx.doi.org/10.3758/s13428-021-01573-x</v>
      </c>
      <c r="BP412" s="89" t="s">
        <v>646</v>
      </c>
      <c r="BQ412" s="89" t="s">
        <v>19283</v>
      </c>
      <c r="BR412" s="89" t="s">
        <v>646</v>
      </c>
      <c r="BS412" s="89" t="s">
        <v>646</v>
      </c>
      <c r="BT412" s="89" t="s">
        <v>646</v>
      </c>
      <c r="BU412" s="89" t="s">
        <v>646</v>
      </c>
      <c r="BV412" s="89" t="s">
        <v>646</v>
      </c>
      <c r="BW412" s="89">
        <v>33825128</v>
      </c>
      <c r="BX412" s="89" t="s">
        <v>646</v>
      </c>
      <c r="BY412" s="89" t="s">
        <v>646</v>
      </c>
      <c r="BZ412" s="89" t="s">
        <v>646</v>
      </c>
      <c r="CA412" s="89" t="s">
        <v>646</v>
      </c>
      <c r="CB412" s="89" t="s">
        <v>20998</v>
      </c>
      <c r="CC412" s="89" t="str">
        <f>HYPERLINK("https%3A%2F%2Fwww.webofscience.com%2Fwos%2Fwoscc%2Ffull-record%2FWOS:000637474500001","View Full Record in Web of Science")</f>
        <v>View Full Record in Web of Science</v>
      </c>
    </row>
    <row r="413" spans="1:81" ht="13.2" hidden="1" x14ac:dyDescent="0.25">
      <c r="A413" s="89" t="s">
        <v>20999</v>
      </c>
      <c r="B413" s="89" t="e">
        <f>+#REF!</f>
        <v>#REF!</v>
      </c>
      <c r="C413" s="89"/>
      <c r="D413" s="91" t="s">
        <v>717</v>
      </c>
      <c r="E413" s="90" t="e">
        <v>#REF!</v>
      </c>
      <c r="F413" s="89"/>
      <c r="G413" s="89"/>
      <c r="H413" s="89" t="s">
        <v>12558</v>
      </c>
      <c r="I413" s="89" t="s">
        <v>21000</v>
      </c>
      <c r="J413" s="89" t="s">
        <v>646</v>
      </c>
      <c r="K413" s="89" t="s">
        <v>21002</v>
      </c>
      <c r="M413" s="89">
        <v>2017</v>
      </c>
      <c r="N413" s="89" t="s">
        <v>21001</v>
      </c>
      <c r="O413" s="89" t="s">
        <v>646</v>
      </c>
      <c r="P413" s="89" t="str">
        <f>HYPERLINK("http://dx.doi.org/10.1177/1474704917694367","http://dx.doi.org/10.1177/1474704917694367")</f>
        <v>http://dx.doi.org/10.1177/1474704917694367</v>
      </c>
      <c r="S413" s="89" t="s">
        <v>646</v>
      </c>
      <c r="U413" s="89" t="s">
        <v>17462</v>
      </c>
      <c r="W413" s="89" t="s">
        <v>646</v>
      </c>
      <c r="X413" s="89" t="s">
        <v>646</v>
      </c>
      <c r="Y413" s="89" t="s">
        <v>646</v>
      </c>
      <c r="Z413" s="89" t="s">
        <v>646</v>
      </c>
      <c r="AA413" s="89" t="s">
        <v>646</v>
      </c>
      <c r="AB413" s="89" t="s">
        <v>646</v>
      </c>
      <c r="AC413" s="89" t="s">
        <v>646</v>
      </c>
      <c r="AD413" s="89" t="s">
        <v>646</v>
      </c>
      <c r="AE413" s="89" t="s">
        <v>646</v>
      </c>
      <c r="AF413" s="89" t="s">
        <v>21002</v>
      </c>
      <c r="AG413" s="89" t="s">
        <v>646</v>
      </c>
      <c r="AH413" s="89" t="s">
        <v>646</v>
      </c>
      <c r="AI413" s="89" t="s">
        <v>646</v>
      </c>
      <c r="AJ413" s="89" t="s">
        <v>646</v>
      </c>
      <c r="AK413" s="89" t="s">
        <v>646</v>
      </c>
      <c r="AL413" s="89" t="s">
        <v>21003</v>
      </c>
      <c r="AM413" s="89" t="s">
        <v>646</v>
      </c>
      <c r="AN413" s="89" t="s">
        <v>646</v>
      </c>
      <c r="AO413" s="89" t="s">
        <v>646</v>
      </c>
      <c r="AP413" s="89" t="s">
        <v>646</v>
      </c>
      <c r="AQ413" s="89" t="s">
        <v>646</v>
      </c>
      <c r="AR413" s="89" t="s">
        <v>646</v>
      </c>
      <c r="AS413" s="89" t="s">
        <v>646</v>
      </c>
      <c r="AT413" s="89" t="s">
        <v>646</v>
      </c>
      <c r="AU413" s="89" t="s">
        <v>646</v>
      </c>
      <c r="AV413" s="89" t="s">
        <v>646</v>
      </c>
      <c r="AW413" s="89" t="s">
        <v>646</v>
      </c>
      <c r="AX413" s="89" t="s">
        <v>646</v>
      </c>
      <c r="AY413" s="89" t="s">
        <v>21004</v>
      </c>
      <c r="AZ413" s="89" t="s">
        <v>646</v>
      </c>
      <c r="BA413" s="89" t="s">
        <v>646</v>
      </c>
      <c r="BB413" s="89" t="s">
        <v>646</v>
      </c>
      <c r="BC413" s="89" t="s">
        <v>646</v>
      </c>
      <c r="BD413" s="89" t="s">
        <v>17513</v>
      </c>
      <c r="BE413" s="89">
        <v>2017</v>
      </c>
      <c r="BF413" s="89">
        <v>15</v>
      </c>
      <c r="BG413" s="89">
        <v>1</v>
      </c>
      <c r="BH413" s="89" t="s">
        <v>646</v>
      </c>
      <c r="BI413" s="89" t="s">
        <v>646</v>
      </c>
      <c r="BJ413" s="89" t="s">
        <v>646</v>
      </c>
      <c r="BK413" s="89" t="s">
        <v>646</v>
      </c>
      <c r="BL413" s="89" t="s">
        <v>646</v>
      </c>
      <c r="BM413" s="89" t="s">
        <v>646</v>
      </c>
      <c r="BN413" s="89" t="s">
        <v>646</v>
      </c>
      <c r="BO413" s="89" t="str">
        <f>HYPERLINK("http://dx.doi.org/10.1177/1474704917694367","http://dx.doi.org/10.1177/1474704917694367")</f>
        <v>http://dx.doi.org/10.1177/1474704917694367</v>
      </c>
      <c r="BP413" s="89" t="s">
        <v>646</v>
      </c>
      <c r="BQ413" s="89" t="s">
        <v>646</v>
      </c>
      <c r="BR413" s="89" t="s">
        <v>646</v>
      </c>
      <c r="BS413" s="89" t="s">
        <v>646</v>
      </c>
      <c r="BT413" s="89" t="s">
        <v>646</v>
      </c>
      <c r="BU413" s="89" t="s">
        <v>646</v>
      </c>
      <c r="BV413" s="89" t="s">
        <v>646</v>
      </c>
      <c r="BW413" s="89">
        <v>28229624</v>
      </c>
      <c r="BX413" s="89" t="s">
        <v>646</v>
      </c>
      <c r="BY413" s="89" t="s">
        <v>646</v>
      </c>
      <c r="BZ413" s="89" t="s">
        <v>646</v>
      </c>
      <c r="CA413" s="89" t="s">
        <v>646</v>
      </c>
      <c r="CB413" s="89" t="s">
        <v>21005</v>
      </c>
      <c r="CC413" s="89" t="str">
        <f>HYPERLINK("https%3A%2F%2Fwww.webofscience.com%2Fwos%2Fwoscc%2Ffull-record%2FWOS:000394688300013","View Full Record in Web of Science")</f>
        <v>View Full Record in Web of Science</v>
      </c>
    </row>
    <row r="414" spans="1:81" ht="13.2" hidden="1" x14ac:dyDescent="0.25">
      <c r="A414" s="89" t="s">
        <v>9463</v>
      </c>
      <c r="B414" s="89" t="e">
        <f>+#REF!</f>
        <v>#REF!</v>
      </c>
      <c r="C414" s="89"/>
      <c r="D414" s="91" t="s">
        <v>717</v>
      </c>
      <c r="E414" s="90" t="e">
        <v>#REF!</v>
      </c>
      <c r="F414" s="89"/>
      <c r="G414" s="89"/>
      <c r="H414" s="89" t="s">
        <v>9464</v>
      </c>
      <c r="I414" s="89" t="s">
        <v>21006</v>
      </c>
      <c r="J414" s="89" t="s">
        <v>646</v>
      </c>
      <c r="K414" s="89" t="s">
        <v>21008</v>
      </c>
      <c r="M414" s="89">
        <v>2021</v>
      </c>
      <c r="N414" s="89" t="s">
        <v>21007</v>
      </c>
      <c r="O414" s="89" t="s">
        <v>646</v>
      </c>
      <c r="P414" s="89" t="str">
        <f>HYPERLINK("http://dx.doi.org/10.1016/j.healthpol.2021.01.005","http://dx.doi.org/10.1016/j.healthpol.2021.01.005")</f>
        <v>http://dx.doi.org/10.1016/j.healthpol.2021.01.005</v>
      </c>
      <c r="S414" s="89" t="s">
        <v>646</v>
      </c>
      <c r="U414" s="89" t="s">
        <v>17462</v>
      </c>
      <c r="W414" s="89" t="s">
        <v>646</v>
      </c>
      <c r="X414" s="89" t="s">
        <v>646</v>
      </c>
      <c r="Y414" s="89" t="s">
        <v>646</v>
      </c>
      <c r="Z414" s="89" t="s">
        <v>646</v>
      </c>
      <c r="AA414" s="89" t="s">
        <v>646</v>
      </c>
      <c r="AB414" s="89" t="s">
        <v>646</v>
      </c>
      <c r="AC414" s="89" t="s">
        <v>646</v>
      </c>
      <c r="AD414" s="89" t="s">
        <v>646</v>
      </c>
      <c r="AE414" s="89" t="s">
        <v>646</v>
      </c>
      <c r="AF414" s="89" t="s">
        <v>21008</v>
      </c>
      <c r="AG414" s="89" t="s">
        <v>646</v>
      </c>
      <c r="AH414" s="89" t="s">
        <v>646</v>
      </c>
      <c r="AI414" s="89" t="s">
        <v>646</v>
      </c>
      <c r="AJ414" s="89" t="s">
        <v>646</v>
      </c>
      <c r="AK414" s="89" t="s">
        <v>646</v>
      </c>
      <c r="AL414" s="89" t="s">
        <v>646</v>
      </c>
      <c r="AM414" s="89" t="s">
        <v>646</v>
      </c>
      <c r="AN414" s="89" t="s">
        <v>646</v>
      </c>
      <c r="AO414" s="89" t="s">
        <v>646</v>
      </c>
      <c r="AP414" s="89" t="s">
        <v>646</v>
      </c>
      <c r="AQ414" s="89" t="s">
        <v>646</v>
      </c>
      <c r="AR414" s="89" t="s">
        <v>646</v>
      </c>
      <c r="AS414" s="89" t="s">
        <v>646</v>
      </c>
      <c r="AT414" s="89" t="s">
        <v>646</v>
      </c>
      <c r="AU414" s="89" t="s">
        <v>646</v>
      </c>
      <c r="AV414" s="89" t="s">
        <v>646</v>
      </c>
      <c r="AW414" s="89" t="s">
        <v>646</v>
      </c>
      <c r="AX414" s="89" t="s">
        <v>646</v>
      </c>
      <c r="AY414" s="89" t="s">
        <v>21009</v>
      </c>
      <c r="AZ414" s="89" t="s">
        <v>21010</v>
      </c>
      <c r="BA414" s="89" t="s">
        <v>646</v>
      </c>
      <c r="BB414" s="89" t="s">
        <v>646</v>
      </c>
      <c r="BC414" s="89" t="s">
        <v>646</v>
      </c>
      <c r="BD414" s="89" t="s">
        <v>17823</v>
      </c>
      <c r="BE414" s="89">
        <v>2021</v>
      </c>
      <c r="BF414" s="89">
        <v>125</v>
      </c>
      <c r="BG414" s="89">
        <v>4</v>
      </c>
      <c r="BH414" s="89" t="s">
        <v>646</v>
      </c>
      <c r="BI414" s="89" t="s">
        <v>646</v>
      </c>
      <c r="BJ414" s="89" t="s">
        <v>646</v>
      </c>
      <c r="BK414" s="89" t="s">
        <v>646</v>
      </c>
      <c r="BL414" s="89">
        <v>450</v>
      </c>
      <c r="BM414" s="89">
        <v>458</v>
      </c>
      <c r="BN414" s="89" t="s">
        <v>646</v>
      </c>
      <c r="BO414" s="89" t="str">
        <f>HYPERLINK("http://dx.doi.org/10.1016/j.healthpol.2021.01.005","http://dx.doi.org/10.1016/j.healthpol.2021.01.005")</f>
        <v>http://dx.doi.org/10.1016/j.healthpol.2021.01.005</v>
      </c>
      <c r="BP414" s="89" t="s">
        <v>646</v>
      </c>
      <c r="BQ414" s="89" t="s">
        <v>20147</v>
      </c>
      <c r="BR414" s="89" t="s">
        <v>646</v>
      </c>
      <c r="BS414" s="89" t="s">
        <v>646</v>
      </c>
      <c r="BT414" s="89" t="s">
        <v>646</v>
      </c>
      <c r="BU414" s="89" t="s">
        <v>646</v>
      </c>
      <c r="BV414" s="89" t="s">
        <v>646</v>
      </c>
      <c r="BW414" s="89">
        <v>33551204</v>
      </c>
      <c r="BX414" s="89" t="s">
        <v>646</v>
      </c>
      <c r="BY414" s="89" t="s">
        <v>646</v>
      </c>
      <c r="BZ414" s="89" t="s">
        <v>646</v>
      </c>
      <c r="CA414" s="89" t="s">
        <v>646</v>
      </c>
      <c r="CB414" s="89" t="s">
        <v>21011</v>
      </c>
      <c r="CC414" s="89" t="str">
        <f>HYPERLINK("https%3A%2F%2Fwww.webofscience.com%2Fwos%2Fwoscc%2Ffull-record%2FWOS:000632729500004","View Full Record in Web of Science")</f>
        <v>View Full Record in Web of Science</v>
      </c>
    </row>
    <row r="415" spans="1:81" ht="13.2" hidden="1" x14ac:dyDescent="0.25">
      <c r="A415" s="89" t="s">
        <v>21012</v>
      </c>
      <c r="B415" s="89" t="e">
        <f>+#REF!</f>
        <v>#REF!</v>
      </c>
      <c r="C415" s="89"/>
      <c r="D415" s="91" t="s">
        <v>717</v>
      </c>
      <c r="E415" s="90" t="e">
        <v>#REF!</v>
      </c>
      <c r="F415" s="89"/>
      <c r="G415" s="89"/>
      <c r="H415" s="89" t="s">
        <v>9474</v>
      </c>
      <c r="I415" s="89" t="s">
        <v>21013</v>
      </c>
      <c r="J415" s="89" t="s">
        <v>21015</v>
      </c>
      <c r="K415" s="89" t="s">
        <v>21014</v>
      </c>
      <c r="M415" s="89">
        <v>2022</v>
      </c>
      <c r="N415" s="89" t="s">
        <v>19218</v>
      </c>
      <c r="O415" s="89" t="s">
        <v>646</v>
      </c>
      <c r="P415" s="89" t="str">
        <f>HYPERLINK("http://dx.doi.org/10.3390/su14106155","http://dx.doi.org/10.3390/su14106155")</f>
        <v>http://dx.doi.org/10.3390/su14106155</v>
      </c>
      <c r="S415" s="89" t="s">
        <v>646</v>
      </c>
      <c r="U415" s="89" t="s">
        <v>17462</v>
      </c>
      <c r="W415" s="89" t="s">
        <v>646</v>
      </c>
      <c r="X415" s="89" t="s">
        <v>646</v>
      </c>
      <c r="Y415" s="89" t="s">
        <v>646</v>
      </c>
      <c r="Z415" s="89" t="s">
        <v>646</v>
      </c>
      <c r="AA415" s="89" t="s">
        <v>646</v>
      </c>
      <c r="AB415" s="89" t="s">
        <v>646</v>
      </c>
      <c r="AC415" s="89" t="s">
        <v>646</v>
      </c>
      <c r="AD415" s="89" t="s">
        <v>646</v>
      </c>
      <c r="AE415" s="89" t="s">
        <v>646</v>
      </c>
      <c r="AF415" s="89" t="s">
        <v>21014</v>
      </c>
      <c r="AG415" s="89" t="s">
        <v>646</v>
      </c>
      <c r="AH415" s="89" t="s">
        <v>646</v>
      </c>
      <c r="AI415" s="89" t="s">
        <v>646</v>
      </c>
      <c r="AJ415" s="89" t="s">
        <v>646</v>
      </c>
      <c r="AK415" s="89" t="s">
        <v>21015</v>
      </c>
      <c r="AL415" s="89" t="s">
        <v>21016</v>
      </c>
      <c r="AM415" s="89" t="s">
        <v>646</v>
      </c>
      <c r="AN415" s="89" t="s">
        <v>646</v>
      </c>
      <c r="AO415" s="89" t="s">
        <v>646</v>
      </c>
      <c r="AP415" s="89" t="s">
        <v>646</v>
      </c>
      <c r="AQ415" s="89" t="s">
        <v>646</v>
      </c>
      <c r="AR415" s="89" t="s">
        <v>646</v>
      </c>
      <c r="AS415" s="89" t="s">
        <v>646</v>
      </c>
      <c r="AT415" s="89" t="s">
        <v>646</v>
      </c>
      <c r="AU415" s="89" t="s">
        <v>646</v>
      </c>
      <c r="AV415" s="89" t="s">
        <v>646</v>
      </c>
      <c r="AW415" s="89" t="s">
        <v>646</v>
      </c>
      <c r="AX415" s="89" t="s">
        <v>646</v>
      </c>
      <c r="AY415" s="89" t="s">
        <v>646</v>
      </c>
      <c r="AZ415" s="89" t="s">
        <v>19222</v>
      </c>
      <c r="BA415" s="89" t="s">
        <v>646</v>
      </c>
      <c r="BB415" s="89" t="s">
        <v>646</v>
      </c>
      <c r="BC415" s="89" t="s">
        <v>646</v>
      </c>
      <c r="BD415" s="89" t="s">
        <v>18436</v>
      </c>
      <c r="BE415" s="89">
        <v>2022</v>
      </c>
      <c r="BF415" s="89">
        <v>14</v>
      </c>
      <c r="BG415" s="89">
        <v>10</v>
      </c>
      <c r="BH415" s="89" t="s">
        <v>646</v>
      </c>
      <c r="BI415" s="89" t="s">
        <v>646</v>
      </c>
      <c r="BJ415" s="89" t="s">
        <v>646</v>
      </c>
      <c r="BK415" s="89" t="s">
        <v>646</v>
      </c>
      <c r="BL415" s="89" t="s">
        <v>646</v>
      </c>
      <c r="BM415" s="89" t="s">
        <v>646</v>
      </c>
      <c r="BN415" s="89">
        <v>6155</v>
      </c>
      <c r="BO415" s="89" t="str">
        <f>HYPERLINK("http://dx.doi.org/10.3390/su14106155","http://dx.doi.org/10.3390/su14106155")</f>
        <v>http://dx.doi.org/10.3390/su14106155</v>
      </c>
      <c r="BP415" s="89" t="s">
        <v>646</v>
      </c>
      <c r="BQ415" s="89" t="s">
        <v>646</v>
      </c>
      <c r="BR415" s="89" t="s">
        <v>646</v>
      </c>
      <c r="BS415" s="89" t="s">
        <v>646</v>
      </c>
      <c r="BT415" s="89" t="s">
        <v>646</v>
      </c>
      <c r="BU415" s="89" t="s">
        <v>646</v>
      </c>
      <c r="BV415" s="89" t="s">
        <v>646</v>
      </c>
      <c r="BW415" s="89" t="s">
        <v>646</v>
      </c>
      <c r="BX415" s="89" t="s">
        <v>646</v>
      </c>
      <c r="BY415" s="89" t="s">
        <v>646</v>
      </c>
      <c r="BZ415" s="89" t="s">
        <v>646</v>
      </c>
      <c r="CA415" s="89" t="s">
        <v>646</v>
      </c>
      <c r="CB415" s="89" t="s">
        <v>21017</v>
      </c>
      <c r="CC415" s="89" t="str">
        <f>HYPERLINK("https%3A%2F%2Fwww.webofscience.com%2Fwos%2Fwoscc%2Ffull-record%2FWOS:000801425000001","View Full Record in Web of Science")</f>
        <v>View Full Record in Web of Science</v>
      </c>
    </row>
    <row r="416" spans="1:81" ht="13.2" hidden="1" x14ac:dyDescent="0.25">
      <c r="A416" s="89" t="s">
        <v>12567</v>
      </c>
      <c r="B416" s="89" t="e">
        <f>+#REF!</f>
        <v>#REF!</v>
      </c>
      <c r="C416" s="89"/>
      <c r="D416" s="91" t="s">
        <v>717</v>
      </c>
      <c r="E416" s="90" t="e">
        <v>#REF!</v>
      </c>
      <c r="F416" s="89"/>
      <c r="G416" s="89"/>
      <c r="H416" s="89" t="s">
        <v>12568</v>
      </c>
      <c r="I416" s="89" t="s">
        <v>21018</v>
      </c>
      <c r="J416" s="89" t="s">
        <v>21021</v>
      </c>
      <c r="K416" s="89" t="s">
        <v>21020</v>
      </c>
      <c r="M416" s="89">
        <v>2020</v>
      </c>
      <c r="N416" s="89" t="s">
        <v>21019</v>
      </c>
      <c r="O416" s="89" t="s">
        <v>646</v>
      </c>
      <c r="P416" s="89" t="str">
        <f>HYPERLINK("http://dx.doi.org/10.1007/s00187-020-00294-0","http://dx.doi.org/10.1007/s00187-020-00294-0")</f>
        <v>http://dx.doi.org/10.1007/s00187-020-00294-0</v>
      </c>
      <c r="S416" s="89" t="s">
        <v>646</v>
      </c>
      <c r="U416" s="89" t="s">
        <v>17462</v>
      </c>
      <c r="W416" s="89" t="s">
        <v>646</v>
      </c>
      <c r="X416" s="89" t="s">
        <v>646</v>
      </c>
      <c r="Y416" s="89" t="s">
        <v>646</v>
      </c>
      <c r="Z416" s="89" t="s">
        <v>646</v>
      </c>
      <c r="AA416" s="89" t="s">
        <v>646</v>
      </c>
      <c r="AB416" s="89" t="s">
        <v>646</v>
      </c>
      <c r="AC416" s="89" t="s">
        <v>646</v>
      </c>
      <c r="AD416" s="89" t="s">
        <v>646</v>
      </c>
      <c r="AE416" s="89" t="s">
        <v>646</v>
      </c>
      <c r="AF416" s="89" t="s">
        <v>21020</v>
      </c>
      <c r="AG416" s="89" t="s">
        <v>646</v>
      </c>
      <c r="AH416" s="89" t="s">
        <v>646</v>
      </c>
      <c r="AI416" s="89" t="s">
        <v>646</v>
      </c>
      <c r="AJ416" s="89" t="s">
        <v>646</v>
      </c>
      <c r="AK416" s="89" t="s">
        <v>21021</v>
      </c>
      <c r="AL416" s="89" t="s">
        <v>21022</v>
      </c>
      <c r="AM416" s="89" t="s">
        <v>646</v>
      </c>
      <c r="AN416" s="89" t="s">
        <v>646</v>
      </c>
      <c r="AO416" s="89" t="s">
        <v>646</v>
      </c>
      <c r="AP416" s="89" t="s">
        <v>646</v>
      </c>
      <c r="AQ416" s="89" t="s">
        <v>646</v>
      </c>
      <c r="AR416" s="89" t="s">
        <v>646</v>
      </c>
      <c r="AS416" s="89" t="s">
        <v>646</v>
      </c>
      <c r="AT416" s="89" t="s">
        <v>646</v>
      </c>
      <c r="AU416" s="89" t="s">
        <v>646</v>
      </c>
      <c r="AV416" s="89" t="s">
        <v>646</v>
      </c>
      <c r="AW416" s="89" t="s">
        <v>646</v>
      </c>
      <c r="AX416" s="89" t="s">
        <v>646</v>
      </c>
      <c r="AY416" s="89" t="s">
        <v>21023</v>
      </c>
      <c r="AZ416" s="89" t="s">
        <v>21024</v>
      </c>
      <c r="BA416" s="89" t="s">
        <v>646</v>
      </c>
      <c r="BB416" s="89" t="s">
        <v>646</v>
      </c>
      <c r="BC416" s="89" t="s">
        <v>646</v>
      </c>
      <c r="BD416" s="89" t="s">
        <v>17823</v>
      </c>
      <c r="BE416" s="89">
        <v>2020</v>
      </c>
      <c r="BF416" s="89">
        <v>31</v>
      </c>
      <c r="BG416" s="89" t="s">
        <v>21025</v>
      </c>
      <c r="BH416" s="89" t="s">
        <v>646</v>
      </c>
      <c r="BI416" s="89" t="s">
        <v>646</v>
      </c>
      <c r="BJ416" s="89" t="s">
        <v>17555</v>
      </c>
      <c r="BK416" s="89" t="s">
        <v>646</v>
      </c>
      <c r="BL416" s="89">
        <v>55</v>
      </c>
      <c r="BM416" s="89">
        <v>95</v>
      </c>
      <c r="BN416" s="89" t="s">
        <v>646</v>
      </c>
      <c r="BO416" s="89" t="str">
        <f>HYPERLINK("http://dx.doi.org/10.1007/s00187-020-00294-0","http://dx.doi.org/10.1007/s00187-020-00294-0")</f>
        <v>http://dx.doi.org/10.1007/s00187-020-00294-0</v>
      </c>
      <c r="BP416" s="89" t="s">
        <v>646</v>
      </c>
      <c r="BQ416" s="89" t="s">
        <v>18581</v>
      </c>
      <c r="BR416" s="89" t="s">
        <v>646</v>
      </c>
      <c r="BS416" s="89" t="s">
        <v>646</v>
      </c>
      <c r="BT416" s="89" t="s">
        <v>646</v>
      </c>
      <c r="BU416" s="89" t="s">
        <v>646</v>
      </c>
      <c r="BV416" s="89" t="s">
        <v>646</v>
      </c>
      <c r="BW416" s="89" t="s">
        <v>646</v>
      </c>
      <c r="BX416" s="89" t="s">
        <v>646</v>
      </c>
      <c r="BY416" s="89" t="s">
        <v>646</v>
      </c>
      <c r="BZ416" s="89" t="s">
        <v>646</v>
      </c>
      <c r="CA416" s="89" t="s">
        <v>646</v>
      </c>
      <c r="CB416" s="89" t="s">
        <v>21026</v>
      </c>
      <c r="CC416" s="89" t="str">
        <f>HYPERLINK("https%3A%2F%2Fwww.webofscience.com%2Fwos%2Fwoscc%2Ffull-record%2FWOS:000517100300001","View Full Record in Web of Science")</f>
        <v>View Full Record in Web of Science</v>
      </c>
    </row>
    <row r="417" spans="1:81" ht="13.2" hidden="1" x14ac:dyDescent="0.25">
      <c r="A417" s="89" t="s">
        <v>21027</v>
      </c>
      <c r="B417" s="89" t="e">
        <f>+#REF!</f>
        <v>#REF!</v>
      </c>
      <c r="C417" s="89"/>
      <c r="D417" s="91" t="s">
        <v>717</v>
      </c>
      <c r="E417" s="90" t="e">
        <v>#REF!</v>
      </c>
      <c r="F417" s="89"/>
      <c r="G417" s="89"/>
      <c r="H417" s="89" t="s">
        <v>12578</v>
      </c>
      <c r="I417" s="89" t="s">
        <v>21028</v>
      </c>
      <c r="J417" s="89" t="s">
        <v>21031</v>
      </c>
      <c r="K417" s="89" t="s">
        <v>21030</v>
      </c>
      <c r="M417" s="89">
        <v>2014</v>
      </c>
      <c r="N417" s="89" t="s">
        <v>21029</v>
      </c>
      <c r="O417" s="89" t="s">
        <v>646</v>
      </c>
      <c r="P417" s="89" t="str">
        <f>HYPERLINK("http://dx.doi.org/10.1145/2670534","http://dx.doi.org/10.1145/2670534")</f>
        <v>http://dx.doi.org/10.1145/2670534</v>
      </c>
      <c r="S417" s="89" t="s">
        <v>646</v>
      </c>
      <c r="U417" s="89" t="s">
        <v>17462</v>
      </c>
      <c r="W417" s="89" t="s">
        <v>646</v>
      </c>
      <c r="X417" s="89" t="s">
        <v>646</v>
      </c>
      <c r="Y417" s="89" t="s">
        <v>646</v>
      </c>
      <c r="Z417" s="89" t="s">
        <v>646</v>
      </c>
      <c r="AA417" s="89" t="s">
        <v>646</v>
      </c>
      <c r="AB417" s="89" t="s">
        <v>646</v>
      </c>
      <c r="AC417" s="89" t="s">
        <v>646</v>
      </c>
      <c r="AD417" s="89" t="s">
        <v>646</v>
      </c>
      <c r="AE417" s="89" t="s">
        <v>646</v>
      </c>
      <c r="AF417" s="89" t="s">
        <v>21030</v>
      </c>
      <c r="AG417" s="89" t="s">
        <v>646</v>
      </c>
      <c r="AH417" s="89" t="s">
        <v>646</v>
      </c>
      <c r="AI417" s="89" t="s">
        <v>646</v>
      </c>
      <c r="AJ417" s="89" t="s">
        <v>646</v>
      </c>
      <c r="AK417" s="89" t="s">
        <v>21031</v>
      </c>
      <c r="AL417" s="89" t="s">
        <v>21032</v>
      </c>
      <c r="AM417" s="89" t="s">
        <v>646</v>
      </c>
      <c r="AN417" s="89" t="s">
        <v>646</v>
      </c>
      <c r="AO417" s="89" t="s">
        <v>646</v>
      </c>
      <c r="AP417" s="89" t="s">
        <v>646</v>
      </c>
      <c r="AQ417" s="89" t="s">
        <v>646</v>
      </c>
      <c r="AR417" s="89" t="s">
        <v>646</v>
      </c>
      <c r="AS417" s="89" t="s">
        <v>646</v>
      </c>
      <c r="AT417" s="89" t="s">
        <v>646</v>
      </c>
      <c r="AU417" s="89" t="s">
        <v>646</v>
      </c>
      <c r="AV417" s="89" t="s">
        <v>646</v>
      </c>
      <c r="AW417" s="89" t="s">
        <v>646</v>
      </c>
      <c r="AX417" s="89" t="s">
        <v>646</v>
      </c>
      <c r="AY417" s="89" t="s">
        <v>21033</v>
      </c>
      <c r="AZ417" s="89" t="s">
        <v>21034</v>
      </c>
      <c r="BA417" s="89" t="s">
        <v>646</v>
      </c>
      <c r="BB417" s="89" t="s">
        <v>646</v>
      </c>
      <c r="BC417" s="89" t="s">
        <v>646</v>
      </c>
      <c r="BD417" s="89" t="s">
        <v>18292</v>
      </c>
      <c r="BE417" s="89">
        <v>2014</v>
      </c>
      <c r="BF417" s="89">
        <v>21</v>
      </c>
      <c r="BG417" s="89">
        <v>5</v>
      </c>
      <c r="BH417" s="89" t="s">
        <v>646</v>
      </c>
      <c r="BI417" s="89" t="s">
        <v>646</v>
      </c>
      <c r="BJ417" s="89" t="s">
        <v>646</v>
      </c>
      <c r="BK417" s="89" t="s">
        <v>646</v>
      </c>
      <c r="BL417" s="89" t="s">
        <v>646</v>
      </c>
      <c r="BM417" s="89" t="s">
        <v>646</v>
      </c>
      <c r="BN417" s="89">
        <v>27</v>
      </c>
      <c r="BO417" s="89" t="str">
        <f>HYPERLINK("http://dx.doi.org/10.1145/2670534","http://dx.doi.org/10.1145/2670534")</f>
        <v>http://dx.doi.org/10.1145/2670534</v>
      </c>
      <c r="BP417" s="89" t="s">
        <v>646</v>
      </c>
      <c r="BQ417" s="89" t="s">
        <v>646</v>
      </c>
      <c r="BR417" s="89" t="s">
        <v>646</v>
      </c>
      <c r="BS417" s="89" t="s">
        <v>646</v>
      </c>
      <c r="BT417" s="89" t="s">
        <v>646</v>
      </c>
      <c r="BU417" s="89" t="s">
        <v>646</v>
      </c>
      <c r="BV417" s="89" t="s">
        <v>646</v>
      </c>
      <c r="BW417" s="89" t="s">
        <v>646</v>
      </c>
      <c r="BX417" s="89" t="s">
        <v>646</v>
      </c>
      <c r="BY417" s="89" t="s">
        <v>646</v>
      </c>
      <c r="BZ417" s="89" t="s">
        <v>646</v>
      </c>
      <c r="CA417" s="89" t="s">
        <v>646</v>
      </c>
      <c r="CB417" s="89" t="s">
        <v>21035</v>
      </c>
      <c r="CC417" s="89" t="str">
        <f>HYPERLINK("https%3A%2F%2Fwww.webofscience.com%2Fwos%2Fwoscc%2Ffull-record%2FWOS:000345630500003","View Full Record in Web of Science")</f>
        <v>View Full Record in Web of Science</v>
      </c>
    </row>
    <row r="418" spans="1:81" ht="13.2" hidden="1" x14ac:dyDescent="0.25">
      <c r="A418" s="89" t="s">
        <v>9482</v>
      </c>
      <c r="B418" s="89" t="e">
        <f>+#REF!</f>
        <v>#REF!</v>
      </c>
      <c r="C418" s="89"/>
      <c r="D418" s="91" t="s">
        <v>717</v>
      </c>
      <c r="E418" s="90" t="e">
        <v>#REF!</v>
      </c>
      <c r="F418" s="89"/>
      <c r="G418" s="89"/>
      <c r="H418" s="89" t="s">
        <v>9483</v>
      </c>
      <c r="I418" s="89" t="s">
        <v>21036</v>
      </c>
      <c r="J418" s="89" t="s">
        <v>646</v>
      </c>
      <c r="K418" s="89" t="s">
        <v>21038</v>
      </c>
      <c r="M418" s="89">
        <v>2022</v>
      </c>
      <c r="N418" s="89" t="s">
        <v>21037</v>
      </c>
      <c r="O418" s="89" t="s">
        <v>646</v>
      </c>
      <c r="P418" s="89" t="str">
        <f>HYPERLINK("http://dx.doi.org/10.1080/1528008X.2021.1913692","http://dx.doi.org/10.1080/1528008X.2021.1913692")</f>
        <v>http://dx.doi.org/10.1080/1528008X.2021.1913692</v>
      </c>
      <c r="S418" s="89" t="s">
        <v>646</v>
      </c>
      <c r="U418" s="89" t="s">
        <v>17462</v>
      </c>
      <c r="W418" s="89" t="s">
        <v>646</v>
      </c>
      <c r="X418" s="89" t="s">
        <v>646</v>
      </c>
      <c r="Y418" s="89" t="s">
        <v>646</v>
      </c>
      <c r="Z418" s="89" t="s">
        <v>646</v>
      </c>
      <c r="AA418" s="89" t="s">
        <v>646</v>
      </c>
      <c r="AB418" s="89" t="s">
        <v>646</v>
      </c>
      <c r="AC418" s="89" t="s">
        <v>646</v>
      </c>
      <c r="AD418" s="89" t="s">
        <v>646</v>
      </c>
      <c r="AE418" s="89" t="s">
        <v>646</v>
      </c>
      <c r="AF418" s="89" t="s">
        <v>21038</v>
      </c>
      <c r="AG418" s="89" t="s">
        <v>646</v>
      </c>
      <c r="AH418" s="89" t="s">
        <v>646</v>
      </c>
      <c r="AI418" s="89" t="s">
        <v>646</v>
      </c>
      <c r="AJ418" s="89" t="s">
        <v>646</v>
      </c>
      <c r="AK418" s="89" t="s">
        <v>646</v>
      </c>
      <c r="AL418" s="89" t="s">
        <v>21039</v>
      </c>
      <c r="AM418" s="89" t="s">
        <v>646</v>
      </c>
      <c r="AN418" s="89" t="s">
        <v>646</v>
      </c>
      <c r="AO418" s="89" t="s">
        <v>646</v>
      </c>
      <c r="AP418" s="89" t="s">
        <v>646</v>
      </c>
      <c r="AQ418" s="89" t="s">
        <v>646</v>
      </c>
      <c r="AR418" s="89" t="s">
        <v>646</v>
      </c>
      <c r="AS418" s="89" t="s">
        <v>646</v>
      </c>
      <c r="AT418" s="89" t="s">
        <v>646</v>
      </c>
      <c r="AU418" s="89" t="s">
        <v>646</v>
      </c>
      <c r="AV418" s="89" t="s">
        <v>646</v>
      </c>
      <c r="AW418" s="89" t="s">
        <v>646</v>
      </c>
      <c r="AX418" s="89" t="s">
        <v>646</v>
      </c>
      <c r="AY418" s="89" t="s">
        <v>21040</v>
      </c>
      <c r="AZ418" s="89" t="s">
        <v>21041</v>
      </c>
      <c r="BA418" s="89" t="s">
        <v>646</v>
      </c>
      <c r="BB418" s="89" t="s">
        <v>646</v>
      </c>
      <c r="BC418" s="89" t="s">
        <v>646</v>
      </c>
      <c r="BD418" s="89" t="s">
        <v>17554</v>
      </c>
      <c r="BE418" s="89">
        <v>2022</v>
      </c>
      <c r="BF418" s="89">
        <v>23</v>
      </c>
      <c r="BG418" s="89">
        <v>3</v>
      </c>
      <c r="BH418" s="89" t="s">
        <v>646</v>
      </c>
      <c r="BI418" s="89" t="s">
        <v>646</v>
      </c>
      <c r="BJ418" s="89" t="s">
        <v>646</v>
      </c>
      <c r="BK418" s="89" t="s">
        <v>646</v>
      </c>
      <c r="BL418" s="89">
        <v>771</v>
      </c>
      <c r="BM418" s="89">
        <v>795</v>
      </c>
      <c r="BN418" s="89" t="s">
        <v>646</v>
      </c>
      <c r="BO418" s="89" t="str">
        <f>HYPERLINK("http://dx.doi.org/10.1080/1528008X.2021.1913692","http://dx.doi.org/10.1080/1528008X.2021.1913692")</f>
        <v>http://dx.doi.org/10.1080/1528008X.2021.1913692</v>
      </c>
      <c r="BP418" s="89" t="s">
        <v>646</v>
      </c>
      <c r="BQ418" s="89" t="s">
        <v>19283</v>
      </c>
      <c r="BR418" s="89" t="s">
        <v>646</v>
      </c>
      <c r="BS418" s="89" t="s">
        <v>646</v>
      </c>
      <c r="BT418" s="89" t="s">
        <v>646</v>
      </c>
      <c r="BU418" s="89" t="s">
        <v>646</v>
      </c>
      <c r="BV418" s="89" t="s">
        <v>646</v>
      </c>
      <c r="BW418" s="89" t="s">
        <v>646</v>
      </c>
      <c r="BX418" s="89" t="s">
        <v>646</v>
      </c>
      <c r="BY418" s="89" t="s">
        <v>646</v>
      </c>
      <c r="BZ418" s="89" t="s">
        <v>646</v>
      </c>
      <c r="CA418" s="89" t="s">
        <v>646</v>
      </c>
      <c r="CB418" s="89" t="s">
        <v>21042</v>
      </c>
      <c r="CC418" s="89" t="str">
        <f>HYPERLINK("https%3A%2F%2Fwww.webofscience.com%2Fwos%2Fwoscc%2Ffull-record%2FWOS:000643816300001","View Full Record in Web of Science")</f>
        <v>View Full Record in Web of Science</v>
      </c>
    </row>
    <row r="419" spans="1:81" ht="13.2" hidden="1" x14ac:dyDescent="0.25">
      <c r="A419" s="89" t="s">
        <v>12585</v>
      </c>
      <c r="B419" s="89" t="e">
        <f>+#REF!</f>
        <v>#REF!</v>
      </c>
      <c r="C419" s="89"/>
      <c r="D419" s="91" t="s">
        <v>717</v>
      </c>
      <c r="E419" s="90" t="e">
        <v>#REF!</v>
      </c>
      <c r="F419" s="89"/>
      <c r="G419" s="89"/>
      <c r="H419" s="89" t="s">
        <v>12586</v>
      </c>
      <c r="I419" s="89" t="s">
        <v>21043</v>
      </c>
      <c r="J419" s="89" t="s">
        <v>646</v>
      </c>
      <c r="K419" s="89" t="s">
        <v>21049</v>
      </c>
      <c r="M419" s="89">
        <v>2019</v>
      </c>
      <c r="N419" s="89" t="s">
        <v>21044</v>
      </c>
      <c r="O419" s="89" t="s">
        <v>646</v>
      </c>
      <c r="P419" s="89" t="str">
        <f>HYPERLINK("http://dx.doi.org/10.1016/j.labeco.2019.03.001","http://dx.doi.org/10.1016/j.labeco.2019.03.001")</f>
        <v>http://dx.doi.org/10.1016/j.labeco.2019.03.001</v>
      </c>
      <c r="S419" s="89" t="s">
        <v>646</v>
      </c>
      <c r="U419" s="89" t="s">
        <v>17462</v>
      </c>
      <c r="W419" s="89" t="s">
        <v>646</v>
      </c>
      <c r="X419" s="89" t="s">
        <v>646</v>
      </c>
      <c r="Y419" s="89" t="s">
        <v>21045</v>
      </c>
      <c r="Z419" s="89" t="s">
        <v>21046</v>
      </c>
      <c r="AA419" s="89" t="s">
        <v>21047</v>
      </c>
      <c r="AB419" s="89" t="s">
        <v>21048</v>
      </c>
      <c r="AC419" s="89" t="s">
        <v>646</v>
      </c>
      <c r="AD419" s="89" t="s">
        <v>646</v>
      </c>
      <c r="AE419" s="89" t="s">
        <v>646</v>
      </c>
      <c r="AF419" s="89" t="s">
        <v>21049</v>
      </c>
      <c r="AG419" s="89" t="s">
        <v>646</v>
      </c>
      <c r="AH419" s="89" t="s">
        <v>646</v>
      </c>
      <c r="AI419" s="89" t="s">
        <v>646</v>
      </c>
      <c r="AJ419" s="89" t="s">
        <v>646</v>
      </c>
      <c r="AK419" s="89" t="s">
        <v>646</v>
      </c>
      <c r="AL419" s="89" t="s">
        <v>646</v>
      </c>
      <c r="AM419" s="89" t="s">
        <v>646</v>
      </c>
      <c r="AN419" s="89" t="s">
        <v>646</v>
      </c>
      <c r="AO419" s="89" t="s">
        <v>646</v>
      </c>
      <c r="AP419" s="89" t="s">
        <v>646</v>
      </c>
      <c r="AQ419" s="89" t="s">
        <v>646</v>
      </c>
      <c r="AR419" s="89" t="s">
        <v>646</v>
      </c>
      <c r="AS419" s="89" t="s">
        <v>646</v>
      </c>
      <c r="AT419" s="89" t="s">
        <v>646</v>
      </c>
      <c r="AU419" s="89" t="s">
        <v>646</v>
      </c>
      <c r="AV419" s="89" t="s">
        <v>646</v>
      </c>
      <c r="AW419" s="89" t="s">
        <v>646</v>
      </c>
      <c r="AX419" s="89" t="s">
        <v>646</v>
      </c>
      <c r="AY419" s="89" t="s">
        <v>21050</v>
      </c>
      <c r="AZ419" s="89" t="s">
        <v>21051</v>
      </c>
      <c r="BA419" s="89" t="s">
        <v>646</v>
      </c>
      <c r="BB419" s="89" t="s">
        <v>646</v>
      </c>
      <c r="BC419" s="89" t="s">
        <v>646</v>
      </c>
      <c r="BD419" s="89" t="s">
        <v>18655</v>
      </c>
      <c r="BE419" s="89">
        <v>2019</v>
      </c>
      <c r="BF419" s="89">
        <v>59</v>
      </c>
      <c r="BG419" s="89" t="s">
        <v>646</v>
      </c>
      <c r="BH419" s="89" t="s">
        <v>646</v>
      </c>
      <c r="BI419" s="89" t="s">
        <v>646</v>
      </c>
      <c r="BJ419" s="89" t="s">
        <v>646</v>
      </c>
      <c r="BK419" s="89" t="s">
        <v>646</v>
      </c>
      <c r="BL419" s="89">
        <v>123</v>
      </c>
      <c r="BM419" s="89">
        <v>138</v>
      </c>
      <c r="BN419" s="89" t="s">
        <v>646</v>
      </c>
      <c r="BO419" s="89" t="str">
        <f>HYPERLINK("http://dx.doi.org/10.1016/j.labeco.2019.03.001","http://dx.doi.org/10.1016/j.labeco.2019.03.001")</f>
        <v>http://dx.doi.org/10.1016/j.labeco.2019.03.001</v>
      </c>
      <c r="BP419" s="89" t="s">
        <v>646</v>
      </c>
      <c r="BQ419" s="89" t="s">
        <v>646</v>
      </c>
      <c r="BR419" s="89" t="s">
        <v>646</v>
      </c>
      <c r="BS419" s="89" t="s">
        <v>646</v>
      </c>
      <c r="BT419" s="89" t="s">
        <v>646</v>
      </c>
      <c r="BU419" s="89" t="s">
        <v>646</v>
      </c>
      <c r="BV419" s="89" t="s">
        <v>646</v>
      </c>
      <c r="BW419" s="89" t="s">
        <v>646</v>
      </c>
      <c r="BX419" s="89" t="s">
        <v>646</v>
      </c>
      <c r="BY419" s="89" t="s">
        <v>646</v>
      </c>
      <c r="BZ419" s="89" t="s">
        <v>646</v>
      </c>
      <c r="CA419" s="89" t="s">
        <v>646</v>
      </c>
      <c r="CB419" s="89" t="s">
        <v>21052</v>
      </c>
      <c r="CC419" s="89" t="str">
        <f>HYPERLINK("https%3A%2F%2Fwww.webofscience.com%2Fwos%2Fwoscc%2Ffull-record%2FWOS:000484654300009","View Full Record in Web of Science")</f>
        <v>View Full Record in Web of Science</v>
      </c>
    </row>
    <row r="420" spans="1:81" ht="13.2" hidden="1" x14ac:dyDescent="0.25">
      <c r="A420" s="89" t="s">
        <v>21053</v>
      </c>
      <c r="B420" s="89" t="e">
        <f>+#REF!</f>
        <v>#REF!</v>
      </c>
      <c r="C420" s="89"/>
      <c r="D420" s="91" t="s">
        <v>717</v>
      </c>
      <c r="E420" s="90" t="e">
        <v>#REF!</v>
      </c>
      <c r="F420" s="89"/>
      <c r="G420" s="89"/>
      <c r="H420" s="89" t="s">
        <v>646</v>
      </c>
      <c r="I420" s="89" t="s">
        <v>21054</v>
      </c>
      <c r="J420" s="89" t="s">
        <v>18237</v>
      </c>
      <c r="K420" s="89" t="s">
        <v>21055</v>
      </c>
      <c r="M420" s="89">
        <v>2019</v>
      </c>
      <c r="N420" s="89" t="s">
        <v>18230</v>
      </c>
      <c r="O420" s="89" t="s">
        <v>646</v>
      </c>
      <c r="P420" s="89" t="s">
        <v>646</v>
      </c>
      <c r="S420" s="89" t="s">
        <v>17475</v>
      </c>
      <c r="U420" s="89" t="s">
        <v>17474</v>
      </c>
      <c r="W420" s="89" t="s">
        <v>646</v>
      </c>
      <c r="X420" s="89" t="s">
        <v>646</v>
      </c>
      <c r="Y420" s="89" t="s">
        <v>18231</v>
      </c>
      <c r="Z420" s="89" t="s">
        <v>18232</v>
      </c>
      <c r="AA420" s="89" t="s">
        <v>18233</v>
      </c>
      <c r="AB420" s="89" t="s">
        <v>18234</v>
      </c>
      <c r="AC420" s="89" t="s">
        <v>18235</v>
      </c>
      <c r="AD420" s="89" t="s">
        <v>646</v>
      </c>
      <c r="AE420" s="89" t="s">
        <v>646</v>
      </c>
      <c r="AF420" s="89" t="s">
        <v>21055</v>
      </c>
      <c r="AG420" s="89" t="s">
        <v>646</v>
      </c>
      <c r="AH420" s="89" t="s">
        <v>646</v>
      </c>
      <c r="AI420" s="89" t="s">
        <v>646</v>
      </c>
      <c r="AJ420" s="89" t="s">
        <v>646</v>
      </c>
      <c r="AK420" s="89" t="s">
        <v>18237</v>
      </c>
      <c r="AL420" s="89" t="s">
        <v>18238</v>
      </c>
      <c r="AM420" s="89" t="s">
        <v>646</v>
      </c>
      <c r="AN420" s="89" t="s">
        <v>646</v>
      </c>
      <c r="AO420" s="89" t="s">
        <v>646</v>
      </c>
      <c r="AP420" s="89" t="s">
        <v>646</v>
      </c>
      <c r="AQ420" s="89" t="s">
        <v>646</v>
      </c>
      <c r="AR420" s="89" t="s">
        <v>646</v>
      </c>
      <c r="AS420" s="89" t="s">
        <v>646</v>
      </c>
      <c r="AT420" s="89" t="s">
        <v>646</v>
      </c>
      <c r="AU420" s="89" t="s">
        <v>646</v>
      </c>
      <c r="AV420" s="89" t="s">
        <v>646</v>
      </c>
      <c r="AW420" s="89" t="s">
        <v>646</v>
      </c>
      <c r="AX420" s="89" t="s">
        <v>646</v>
      </c>
      <c r="AY420" s="89" t="s">
        <v>18239</v>
      </c>
      <c r="AZ420" s="89" t="s">
        <v>646</v>
      </c>
      <c r="BA420" s="89" t="s">
        <v>18240</v>
      </c>
      <c r="BB420" s="89" t="s">
        <v>646</v>
      </c>
      <c r="BC420" s="89" t="s">
        <v>646</v>
      </c>
      <c r="BD420" s="89" t="s">
        <v>646</v>
      </c>
      <c r="BE420" s="89">
        <v>2019</v>
      </c>
      <c r="BF420" s="89" t="s">
        <v>646</v>
      </c>
      <c r="BG420" s="89" t="s">
        <v>646</v>
      </c>
      <c r="BH420" s="89" t="s">
        <v>646</v>
      </c>
      <c r="BI420" s="89" t="s">
        <v>646</v>
      </c>
      <c r="BJ420" s="89" t="s">
        <v>646</v>
      </c>
      <c r="BK420" s="89" t="s">
        <v>646</v>
      </c>
      <c r="BL420" s="89">
        <v>343</v>
      </c>
      <c r="BM420" s="89">
        <v>348</v>
      </c>
      <c r="BN420" s="89" t="s">
        <v>646</v>
      </c>
      <c r="BO420" s="89" t="s">
        <v>646</v>
      </c>
      <c r="BP420" s="89" t="s">
        <v>646</v>
      </c>
      <c r="BQ420" s="89" t="s">
        <v>646</v>
      </c>
      <c r="BR420" s="89" t="s">
        <v>646</v>
      </c>
      <c r="BS420" s="89" t="s">
        <v>646</v>
      </c>
      <c r="BT420" s="89" t="s">
        <v>646</v>
      </c>
      <c r="BU420" s="89" t="s">
        <v>646</v>
      </c>
      <c r="BV420" s="89" t="s">
        <v>646</v>
      </c>
      <c r="BW420" s="89" t="s">
        <v>646</v>
      </c>
      <c r="BX420" s="89" t="s">
        <v>646</v>
      </c>
      <c r="BY420" s="89" t="s">
        <v>646</v>
      </c>
      <c r="BZ420" s="89" t="s">
        <v>646</v>
      </c>
      <c r="CA420" s="89" t="s">
        <v>646</v>
      </c>
      <c r="CB420" s="89" t="s">
        <v>21056</v>
      </c>
      <c r="CC420" s="89" t="str">
        <f>HYPERLINK("https%3A%2F%2Fwww.webofscience.com%2Fwos%2Fwoscc%2Ffull-record%2FWOS:000542028400055","View Full Record in Web of Science")</f>
        <v>View Full Record in Web of Science</v>
      </c>
    </row>
    <row r="421" spans="1:81" ht="13.2" hidden="1" x14ac:dyDescent="0.25">
      <c r="A421" s="89" t="s">
        <v>12602</v>
      </c>
      <c r="B421" s="89" t="e">
        <f>+#REF!</f>
        <v>#REF!</v>
      </c>
      <c r="C421" s="89"/>
      <c r="D421" s="91" t="s">
        <v>717</v>
      </c>
      <c r="E421" s="90" t="e">
        <v>#REF!</v>
      </c>
      <c r="F421" s="89"/>
      <c r="G421" s="89"/>
      <c r="H421" s="89" t="s">
        <v>12603</v>
      </c>
      <c r="I421" s="89" t="s">
        <v>21057</v>
      </c>
      <c r="J421" s="89" t="s">
        <v>21060</v>
      </c>
      <c r="K421" s="89" t="s">
        <v>21059</v>
      </c>
      <c r="M421" s="89">
        <v>2019</v>
      </c>
      <c r="N421" s="89" t="s">
        <v>21058</v>
      </c>
      <c r="O421" s="89" t="s">
        <v>646</v>
      </c>
      <c r="P421" s="89" t="str">
        <f>HYPERLINK("http://dx.doi.org/10.1108/JPBM-07-2018-1948","http://dx.doi.org/10.1108/JPBM-07-2018-1948")</f>
        <v>http://dx.doi.org/10.1108/JPBM-07-2018-1948</v>
      </c>
      <c r="S421" s="89" t="s">
        <v>646</v>
      </c>
      <c r="U421" s="89" t="s">
        <v>17462</v>
      </c>
      <c r="W421" s="89" t="s">
        <v>646</v>
      </c>
      <c r="X421" s="89" t="s">
        <v>646</v>
      </c>
      <c r="Y421" s="89" t="s">
        <v>646</v>
      </c>
      <c r="Z421" s="89" t="s">
        <v>646</v>
      </c>
      <c r="AA421" s="89" t="s">
        <v>646</v>
      </c>
      <c r="AB421" s="89" t="s">
        <v>646</v>
      </c>
      <c r="AC421" s="89" t="s">
        <v>646</v>
      </c>
      <c r="AD421" s="89" t="s">
        <v>646</v>
      </c>
      <c r="AE421" s="89" t="s">
        <v>646</v>
      </c>
      <c r="AF421" s="89" t="s">
        <v>21059</v>
      </c>
      <c r="AG421" s="89" t="s">
        <v>646</v>
      </c>
      <c r="AH421" s="89" t="s">
        <v>646</v>
      </c>
      <c r="AI421" s="89" t="s">
        <v>646</v>
      </c>
      <c r="AJ421" s="89" t="s">
        <v>646</v>
      </c>
      <c r="AK421" s="89" t="s">
        <v>21060</v>
      </c>
      <c r="AL421" s="89" t="s">
        <v>21061</v>
      </c>
      <c r="AM421" s="89" t="s">
        <v>646</v>
      </c>
      <c r="AN421" s="89" t="s">
        <v>646</v>
      </c>
      <c r="AO421" s="89" t="s">
        <v>646</v>
      </c>
      <c r="AP421" s="89" t="s">
        <v>646</v>
      </c>
      <c r="AQ421" s="89" t="s">
        <v>646</v>
      </c>
      <c r="AR421" s="89" t="s">
        <v>646</v>
      </c>
      <c r="AS421" s="89" t="s">
        <v>646</v>
      </c>
      <c r="AT421" s="89" t="s">
        <v>646</v>
      </c>
      <c r="AU421" s="89" t="s">
        <v>646</v>
      </c>
      <c r="AV421" s="89" t="s">
        <v>646</v>
      </c>
      <c r="AW421" s="89" t="s">
        <v>646</v>
      </c>
      <c r="AX421" s="89" t="s">
        <v>646</v>
      </c>
      <c r="AY421" s="89" t="s">
        <v>21062</v>
      </c>
      <c r="AZ421" s="89" t="s">
        <v>21063</v>
      </c>
      <c r="BA421" s="89" t="s">
        <v>646</v>
      </c>
      <c r="BB421" s="89" t="s">
        <v>646</v>
      </c>
      <c r="BC421" s="89" t="s">
        <v>646</v>
      </c>
      <c r="BD421" s="89" t="s">
        <v>646</v>
      </c>
      <c r="BE421" s="89">
        <v>2019</v>
      </c>
      <c r="BF421" s="89">
        <v>28</v>
      </c>
      <c r="BG421" s="89">
        <v>7</v>
      </c>
      <c r="BH421" s="89" t="s">
        <v>646</v>
      </c>
      <c r="BI421" s="89" t="s">
        <v>646</v>
      </c>
      <c r="BJ421" s="89" t="s">
        <v>646</v>
      </c>
      <c r="BK421" s="89" t="s">
        <v>646</v>
      </c>
      <c r="BL421" s="89">
        <v>773</v>
      </c>
      <c r="BM421" s="89">
        <v>786</v>
      </c>
      <c r="BN421" s="89" t="s">
        <v>646</v>
      </c>
      <c r="BO421" s="89" t="str">
        <f>HYPERLINK("http://dx.doi.org/10.1108/JPBM-07-2018-1948","http://dx.doi.org/10.1108/JPBM-07-2018-1948")</f>
        <v>http://dx.doi.org/10.1108/JPBM-07-2018-1948</v>
      </c>
      <c r="BP421" s="89" t="s">
        <v>646</v>
      </c>
      <c r="BQ421" s="89" t="s">
        <v>646</v>
      </c>
      <c r="BR421" s="89" t="s">
        <v>646</v>
      </c>
      <c r="BS421" s="89" t="s">
        <v>646</v>
      </c>
      <c r="BT421" s="89" t="s">
        <v>646</v>
      </c>
      <c r="BU421" s="89" t="s">
        <v>646</v>
      </c>
      <c r="BV421" s="89" t="s">
        <v>646</v>
      </c>
      <c r="BW421" s="89" t="s">
        <v>646</v>
      </c>
      <c r="BX421" s="89" t="s">
        <v>646</v>
      </c>
      <c r="BY421" s="89" t="s">
        <v>646</v>
      </c>
      <c r="BZ421" s="89" t="s">
        <v>646</v>
      </c>
      <c r="CA421" s="89" t="s">
        <v>646</v>
      </c>
      <c r="CB421" s="89" t="s">
        <v>21064</v>
      </c>
      <c r="CC421" s="89" t="str">
        <f>HYPERLINK("https%3A%2F%2Fwww.webofscience.com%2Fwos%2Fwoscc%2Ffull-record%2FWOS:000521332000001","View Full Record in Web of Science")</f>
        <v>View Full Record in Web of Science</v>
      </c>
    </row>
    <row r="422" spans="1:81" ht="13.2" hidden="1" x14ac:dyDescent="0.25">
      <c r="A422" s="89" t="s">
        <v>9492</v>
      </c>
      <c r="B422" s="89" t="e">
        <f>+#REF!</f>
        <v>#REF!</v>
      </c>
      <c r="C422" s="89"/>
      <c r="D422" s="91" t="s">
        <v>717</v>
      </c>
      <c r="E422" s="90" t="e">
        <v>#REF!</v>
      </c>
      <c r="F422" s="89"/>
      <c r="G422" s="89"/>
      <c r="H422" s="89" t="s">
        <v>646</v>
      </c>
      <c r="I422" s="89" t="s">
        <v>21065</v>
      </c>
      <c r="J422" s="89" t="s">
        <v>646</v>
      </c>
      <c r="K422" s="89" t="s">
        <v>21067</v>
      </c>
      <c r="M422" s="89">
        <v>2022</v>
      </c>
      <c r="N422" s="89" t="s">
        <v>21066</v>
      </c>
      <c r="O422" s="89" t="s">
        <v>646</v>
      </c>
      <c r="P422" s="89" t="s">
        <v>646</v>
      </c>
      <c r="S422" s="89" t="s">
        <v>646</v>
      </c>
      <c r="U422" s="89" t="s">
        <v>17462</v>
      </c>
      <c r="W422" s="89" t="s">
        <v>646</v>
      </c>
      <c r="X422" s="89" t="s">
        <v>646</v>
      </c>
      <c r="Y422" s="89" t="s">
        <v>646</v>
      </c>
      <c r="Z422" s="89" t="s">
        <v>646</v>
      </c>
      <c r="AA422" s="89" t="s">
        <v>646</v>
      </c>
      <c r="AB422" s="89" t="s">
        <v>646</v>
      </c>
      <c r="AC422" s="89" t="s">
        <v>646</v>
      </c>
      <c r="AD422" s="89" t="s">
        <v>646</v>
      </c>
      <c r="AE422" s="89" t="s">
        <v>646</v>
      </c>
      <c r="AF422" s="89" t="s">
        <v>21067</v>
      </c>
      <c r="AG422" s="89" t="s">
        <v>646</v>
      </c>
      <c r="AH422" s="89" t="s">
        <v>646</v>
      </c>
      <c r="AI422" s="89" t="s">
        <v>646</v>
      </c>
      <c r="AJ422" s="89" t="s">
        <v>646</v>
      </c>
      <c r="AK422" s="89" t="s">
        <v>646</v>
      </c>
      <c r="AL422" s="89" t="s">
        <v>646</v>
      </c>
      <c r="AM422" s="89" t="s">
        <v>646</v>
      </c>
      <c r="AN422" s="89" t="s">
        <v>646</v>
      </c>
      <c r="AO422" s="89" t="s">
        <v>646</v>
      </c>
      <c r="AP422" s="89" t="s">
        <v>646</v>
      </c>
      <c r="AQ422" s="89" t="s">
        <v>646</v>
      </c>
      <c r="AR422" s="89" t="s">
        <v>646</v>
      </c>
      <c r="AS422" s="89" t="s">
        <v>646</v>
      </c>
      <c r="AT422" s="89" t="s">
        <v>646</v>
      </c>
      <c r="AU422" s="89" t="s">
        <v>646</v>
      </c>
      <c r="AV422" s="89" t="s">
        <v>646</v>
      </c>
      <c r="AW422" s="89" t="s">
        <v>646</v>
      </c>
      <c r="AX422" s="89" t="s">
        <v>646</v>
      </c>
      <c r="AY422" s="89" t="s">
        <v>21068</v>
      </c>
      <c r="AZ422" s="89" t="s">
        <v>21069</v>
      </c>
      <c r="BA422" s="89" t="s">
        <v>646</v>
      </c>
      <c r="BB422" s="89" t="s">
        <v>646</v>
      </c>
      <c r="BC422" s="89" t="s">
        <v>646</v>
      </c>
      <c r="BD422" s="89" t="s">
        <v>646</v>
      </c>
      <c r="BE422" s="89">
        <v>2022</v>
      </c>
      <c r="BF422" s="89">
        <v>73</v>
      </c>
      <c r="BG422" s="89" t="s">
        <v>646</v>
      </c>
      <c r="BH422" s="89" t="s">
        <v>646</v>
      </c>
      <c r="BI422" s="89" t="s">
        <v>646</v>
      </c>
      <c r="BJ422" s="89" t="s">
        <v>646</v>
      </c>
      <c r="BK422" s="89" t="s">
        <v>646</v>
      </c>
      <c r="BL422" s="89">
        <v>209</v>
      </c>
      <c r="BM422" s="89">
        <v>229</v>
      </c>
      <c r="BN422" s="89" t="s">
        <v>646</v>
      </c>
      <c r="BO422" s="89" t="s">
        <v>646</v>
      </c>
      <c r="BP422" s="89" t="s">
        <v>646</v>
      </c>
      <c r="BQ422" s="89" t="s">
        <v>646</v>
      </c>
      <c r="BR422" s="89" t="s">
        <v>646</v>
      </c>
      <c r="BS422" s="89" t="s">
        <v>646</v>
      </c>
      <c r="BT422" s="89" t="s">
        <v>646</v>
      </c>
      <c r="BU422" s="89" t="s">
        <v>646</v>
      </c>
      <c r="BV422" s="89" t="s">
        <v>646</v>
      </c>
      <c r="BW422" s="89" t="s">
        <v>646</v>
      </c>
      <c r="BX422" s="89" t="s">
        <v>646</v>
      </c>
      <c r="BY422" s="89" t="s">
        <v>646</v>
      </c>
      <c r="BZ422" s="89" t="s">
        <v>646</v>
      </c>
      <c r="CA422" s="89" t="s">
        <v>646</v>
      </c>
      <c r="CB422" s="89" t="s">
        <v>21070</v>
      </c>
      <c r="CC422" s="89" t="str">
        <f>HYPERLINK("https%3A%2F%2Fwww.webofscience.com%2Fwos%2Fwoscc%2Ffull-record%2FWOS:000744204800001","View Full Record in Web of Science")</f>
        <v>View Full Record in Web of Science</v>
      </c>
    </row>
    <row r="423" spans="1:81" ht="13.2" hidden="1" x14ac:dyDescent="0.25">
      <c r="A423" s="89" t="s">
        <v>16414</v>
      </c>
      <c r="B423" s="89" t="e">
        <f>+#REF!</f>
        <v>#REF!</v>
      </c>
      <c r="C423" s="89"/>
      <c r="D423" s="91" t="s">
        <v>717</v>
      </c>
      <c r="E423" s="90" t="e">
        <v>#REF!</v>
      </c>
      <c r="F423" s="89"/>
      <c r="G423" s="89"/>
      <c r="H423" s="89" t="s">
        <v>16415</v>
      </c>
      <c r="I423" s="89" t="s">
        <v>21071</v>
      </c>
      <c r="J423" s="89" t="s">
        <v>646</v>
      </c>
      <c r="K423" s="89" t="s">
        <v>21073</v>
      </c>
      <c r="M423" s="89">
        <v>2020</v>
      </c>
      <c r="N423" s="89" t="s">
        <v>21072</v>
      </c>
      <c r="O423" s="89" t="s">
        <v>646</v>
      </c>
      <c r="P423" s="89" t="str">
        <f>HYPERLINK("http://dx.doi.org/10.1016/j.psychres.2020.113529","http://dx.doi.org/10.1016/j.psychres.2020.113529")</f>
        <v>http://dx.doi.org/10.1016/j.psychres.2020.113529</v>
      </c>
      <c r="S423" s="89" t="s">
        <v>646</v>
      </c>
      <c r="U423" s="89" t="s">
        <v>17462</v>
      </c>
      <c r="W423" s="89" t="s">
        <v>646</v>
      </c>
      <c r="X423" s="89" t="s">
        <v>646</v>
      </c>
      <c r="Y423" s="89" t="s">
        <v>646</v>
      </c>
      <c r="Z423" s="89" t="s">
        <v>646</v>
      </c>
      <c r="AA423" s="89" t="s">
        <v>646</v>
      </c>
      <c r="AB423" s="89" t="s">
        <v>646</v>
      </c>
      <c r="AC423" s="89" t="s">
        <v>646</v>
      </c>
      <c r="AD423" s="89" t="s">
        <v>646</v>
      </c>
      <c r="AE423" s="89" t="s">
        <v>646</v>
      </c>
      <c r="AF423" s="89" t="s">
        <v>21073</v>
      </c>
      <c r="AG423" s="89" t="s">
        <v>646</v>
      </c>
      <c r="AH423" s="89" t="s">
        <v>646</v>
      </c>
      <c r="AI423" s="89" t="s">
        <v>646</v>
      </c>
      <c r="AJ423" s="89" t="s">
        <v>646</v>
      </c>
      <c r="AK423" s="89" t="s">
        <v>646</v>
      </c>
      <c r="AL423" s="89" t="s">
        <v>646</v>
      </c>
      <c r="AM423" s="89" t="s">
        <v>646</v>
      </c>
      <c r="AN423" s="89" t="s">
        <v>646</v>
      </c>
      <c r="AO423" s="89" t="s">
        <v>646</v>
      </c>
      <c r="AP423" s="89" t="s">
        <v>646</v>
      </c>
      <c r="AQ423" s="89" t="s">
        <v>646</v>
      </c>
      <c r="AR423" s="89" t="s">
        <v>646</v>
      </c>
      <c r="AS423" s="89" t="s">
        <v>646</v>
      </c>
      <c r="AT423" s="89" t="s">
        <v>646</v>
      </c>
      <c r="AU423" s="89" t="s">
        <v>646</v>
      </c>
      <c r="AV423" s="89" t="s">
        <v>646</v>
      </c>
      <c r="AW423" s="89" t="s">
        <v>646</v>
      </c>
      <c r="AX423" s="89" t="s">
        <v>646</v>
      </c>
      <c r="AY423" s="89" t="s">
        <v>21074</v>
      </c>
      <c r="AZ423" s="89" t="s">
        <v>21075</v>
      </c>
      <c r="BA423" s="89" t="s">
        <v>646</v>
      </c>
      <c r="BB423" s="89" t="s">
        <v>646</v>
      </c>
      <c r="BC423" s="89" t="s">
        <v>646</v>
      </c>
      <c r="BD423" s="89" t="s">
        <v>17615</v>
      </c>
      <c r="BE423" s="89">
        <v>2020</v>
      </c>
      <c r="BF423" s="89">
        <v>294</v>
      </c>
      <c r="BG423" s="89" t="s">
        <v>646</v>
      </c>
      <c r="BH423" s="89" t="s">
        <v>646</v>
      </c>
      <c r="BI423" s="89" t="s">
        <v>646</v>
      </c>
      <c r="BJ423" s="89" t="s">
        <v>646</v>
      </c>
      <c r="BK423" s="89" t="s">
        <v>646</v>
      </c>
      <c r="BL423" s="89" t="s">
        <v>646</v>
      </c>
      <c r="BM423" s="89" t="s">
        <v>646</v>
      </c>
      <c r="BN423" s="89">
        <v>113529</v>
      </c>
      <c r="BO423" s="89" t="str">
        <f>HYPERLINK("http://dx.doi.org/10.1016/j.psychres.2020.113529","http://dx.doi.org/10.1016/j.psychres.2020.113529")</f>
        <v>http://dx.doi.org/10.1016/j.psychres.2020.113529</v>
      </c>
      <c r="BP423" s="89" t="s">
        <v>646</v>
      </c>
      <c r="BQ423" s="89" t="s">
        <v>646</v>
      </c>
      <c r="BR423" s="89" t="s">
        <v>646</v>
      </c>
      <c r="BS423" s="89" t="s">
        <v>646</v>
      </c>
      <c r="BT423" s="89" t="s">
        <v>646</v>
      </c>
      <c r="BU423" s="89" t="s">
        <v>646</v>
      </c>
      <c r="BV423" s="89" t="s">
        <v>646</v>
      </c>
      <c r="BW423" s="89">
        <v>33137552</v>
      </c>
      <c r="BX423" s="89" t="s">
        <v>646</v>
      </c>
      <c r="BY423" s="89" t="s">
        <v>646</v>
      </c>
      <c r="BZ423" s="89" t="s">
        <v>646</v>
      </c>
      <c r="CA423" s="89" t="s">
        <v>646</v>
      </c>
      <c r="CB423" s="89" t="s">
        <v>21076</v>
      </c>
      <c r="CC423" s="89" t="str">
        <f>HYPERLINK("https%3A%2F%2Fwww.webofscience.com%2Fwos%2Fwoscc%2Ffull-record%2FWOS:000596091100022","View Full Record in Web of Science")</f>
        <v>View Full Record in Web of Science</v>
      </c>
    </row>
    <row r="424" spans="1:81" ht="13.2" hidden="1" x14ac:dyDescent="0.25">
      <c r="A424" s="89" t="s">
        <v>12611</v>
      </c>
      <c r="B424" s="89" t="e">
        <f>+#REF!</f>
        <v>#REF!</v>
      </c>
      <c r="C424" s="89"/>
      <c r="D424" s="91" t="s">
        <v>717</v>
      </c>
      <c r="E424" s="90" t="e">
        <v>#REF!</v>
      </c>
      <c r="F424" s="89"/>
      <c r="G424" s="89"/>
      <c r="H424" s="89" t="s">
        <v>12612</v>
      </c>
      <c r="I424" s="89" t="s">
        <v>21077</v>
      </c>
      <c r="J424" s="89" t="s">
        <v>646</v>
      </c>
      <c r="K424" s="89" t="s">
        <v>21078</v>
      </c>
      <c r="M424" s="89">
        <v>2020</v>
      </c>
      <c r="N424" s="89" t="s">
        <v>20024</v>
      </c>
      <c r="O424" s="89" t="s">
        <v>646</v>
      </c>
      <c r="P424" s="89" t="str">
        <f>HYPERLINK("http://dx.doi.org/10.1111/ntwe.12160","http://dx.doi.org/10.1111/ntwe.12160")</f>
        <v>http://dx.doi.org/10.1111/ntwe.12160</v>
      </c>
      <c r="S424" s="89" t="s">
        <v>646</v>
      </c>
      <c r="U424" s="89" t="s">
        <v>17462</v>
      </c>
      <c r="W424" s="89" t="s">
        <v>646</v>
      </c>
      <c r="X424" s="89" t="s">
        <v>646</v>
      </c>
      <c r="Y424" s="89" t="s">
        <v>646</v>
      </c>
      <c r="Z424" s="89" t="s">
        <v>646</v>
      </c>
      <c r="AA424" s="89" t="s">
        <v>646</v>
      </c>
      <c r="AB424" s="89" t="s">
        <v>646</v>
      </c>
      <c r="AC424" s="89" t="s">
        <v>646</v>
      </c>
      <c r="AD424" s="89" t="s">
        <v>646</v>
      </c>
      <c r="AE424" s="89" t="s">
        <v>646</v>
      </c>
      <c r="AF424" s="89" t="s">
        <v>21078</v>
      </c>
      <c r="AG424" s="89" t="s">
        <v>646</v>
      </c>
      <c r="AH424" s="89" t="s">
        <v>646</v>
      </c>
      <c r="AI424" s="89" t="s">
        <v>646</v>
      </c>
      <c r="AJ424" s="89" t="s">
        <v>646</v>
      </c>
      <c r="AK424" s="89" t="s">
        <v>646</v>
      </c>
      <c r="AL424" s="89" t="s">
        <v>646</v>
      </c>
      <c r="AM424" s="89" t="s">
        <v>646</v>
      </c>
      <c r="AN424" s="89" t="s">
        <v>646</v>
      </c>
      <c r="AO424" s="89" t="s">
        <v>646</v>
      </c>
      <c r="AP424" s="89" t="s">
        <v>646</v>
      </c>
      <c r="AQ424" s="89" t="s">
        <v>646</v>
      </c>
      <c r="AR424" s="89" t="s">
        <v>646</v>
      </c>
      <c r="AS424" s="89" t="s">
        <v>646</v>
      </c>
      <c r="AT424" s="89" t="s">
        <v>646</v>
      </c>
      <c r="AU424" s="89" t="s">
        <v>646</v>
      </c>
      <c r="AV424" s="89" t="s">
        <v>646</v>
      </c>
      <c r="AW424" s="89" t="s">
        <v>646</v>
      </c>
      <c r="AX424" s="89" t="s">
        <v>646</v>
      </c>
      <c r="AY424" s="89" t="s">
        <v>20027</v>
      </c>
      <c r="AZ424" s="89" t="s">
        <v>20028</v>
      </c>
      <c r="BA424" s="89" t="s">
        <v>646</v>
      </c>
      <c r="BB424" s="89" t="s">
        <v>646</v>
      </c>
      <c r="BC424" s="89" t="s">
        <v>646</v>
      </c>
      <c r="BD424" s="89" t="s">
        <v>17676</v>
      </c>
      <c r="BE424" s="89">
        <v>2020</v>
      </c>
      <c r="BF424" s="89">
        <v>35</v>
      </c>
      <c r="BG424" s="89">
        <v>2</v>
      </c>
      <c r="BH424" s="89" t="s">
        <v>646</v>
      </c>
      <c r="BI424" s="89" t="s">
        <v>646</v>
      </c>
      <c r="BJ424" s="89" t="s">
        <v>646</v>
      </c>
      <c r="BK424" s="89" t="s">
        <v>646</v>
      </c>
      <c r="BL424" s="89">
        <v>162</v>
      </c>
      <c r="BM424" s="89">
        <v>177</v>
      </c>
      <c r="BN424" s="89" t="s">
        <v>646</v>
      </c>
      <c r="BO424" s="89" t="str">
        <f>HYPERLINK("http://dx.doi.org/10.1111/ntwe.12160","http://dx.doi.org/10.1111/ntwe.12160")</f>
        <v>http://dx.doi.org/10.1111/ntwe.12160</v>
      </c>
      <c r="BP424" s="89" t="s">
        <v>646</v>
      </c>
      <c r="BQ424" s="89" t="s">
        <v>18581</v>
      </c>
      <c r="BR424" s="89" t="s">
        <v>646</v>
      </c>
      <c r="BS424" s="89" t="s">
        <v>646</v>
      </c>
      <c r="BT424" s="89" t="s">
        <v>646</v>
      </c>
      <c r="BU424" s="89" t="s">
        <v>646</v>
      </c>
      <c r="BV424" s="89" t="s">
        <v>646</v>
      </c>
      <c r="BW424" s="89" t="s">
        <v>646</v>
      </c>
      <c r="BX424" s="89" t="s">
        <v>646</v>
      </c>
      <c r="BY424" s="89" t="s">
        <v>646</v>
      </c>
      <c r="BZ424" s="89" t="s">
        <v>646</v>
      </c>
      <c r="CA424" s="89" t="s">
        <v>646</v>
      </c>
      <c r="CB424" s="89" t="s">
        <v>21079</v>
      </c>
      <c r="CC424" s="89" t="str">
        <f>HYPERLINK("https%3A%2F%2Fwww.webofscience.com%2Fwos%2Fwoscc%2Ffull-record%2FWOS:000514613000001","View Full Record in Web of Science")</f>
        <v>View Full Record in Web of Science</v>
      </c>
    </row>
    <row r="425" spans="1:81" ht="13.2" hidden="1" x14ac:dyDescent="0.25">
      <c r="A425" s="89" t="s">
        <v>1245</v>
      </c>
      <c r="B425" s="89" t="e">
        <f>+#REF!</f>
        <v>#REF!</v>
      </c>
      <c r="C425" s="89"/>
      <c r="D425" s="91" t="s">
        <v>717</v>
      </c>
      <c r="E425" s="90" t="e">
        <v>#REF!</v>
      </c>
      <c r="F425" s="89"/>
      <c r="G425" s="89"/>
      <c r="H425" s="89" t="s">
        <v>1247</v>
      </c>
      <c r="I425" s="89" t="s">
        <v>21080</v>
      </c>
      <c r="J425" s="89" t="s">
        <v>646</v>
      </c>
      <c r="K425" s="89" t="s">
        <v>21081</v>
      </c>
      <c r="M425" s="89">
        <v>2017</v>
      </c>
      <c r="N425" s="89" t="s">
        <v>18837</v>
      </c>
      <c r="O425" s="89" t="s">
        <v>646</v>
      </c>
      <c r="P425" s="89" t="str">
        <f>HYPERLINK("http://dx.doi.org/10.1002/smr.1832","http://dx.doi.org/10.1002/smr.1832")</f>
        <v>http://dx.doi.org/10.1002/smr.1832</v>
      </c>
      <c r="S425" s="89" t="s">
        <v>646</v>
      </c>
      <c r="U425" s="89" t="s">
        <v>17462</v>
      </c>
      <c r="W425" s="89" t="s">
        <v>646</v>
      </c>
      <c r="X425" s="89" t="s">
        <v>646</v>
      </c>
      <c r="Y425" s="89" t="s">
        <v>646</v>
      </c>
      <c r="Z425" s="89" t="s">
        <v>646</v>
      </c>
      <c r="AA425" s="89" t="s">
        <v>646</v>
      </c>
      <c r="AB425" s="89" t="s">
        <v>646</v>
      </c>
      <c r="AC425" s="89" t="s">
        <v>646</v>
      </c>
      <c r="AD425" s="89" t="s">
        <v>646</v>
      </c>
      <c r="AE425" s="89" t="s">
        <v>646</v>
      </c>
      <c r="AF425" s="89" t="s">
        <v>21081</v>
      </c>
      <c r="AG425" s="89" t="s">
        <v>646</v>
      </c>
      <c r="AH425" s="89" t="s">
        <v>646</v>
      </c>
      <c r="AI425" s="89" t="s">
        <v>646</v>
      </c>
      <c r="AJ425" s="89" t="s">
        <v>646</v>
      </c>
      <c r="AK425" s="89" t="s">
        <v>646</v>
      </c>
      <c r="AL425" s="89" t="s">
        <v>646</v>
      </c>
      <c r="AM425" s="89" t="s">
        <v>646</v>
      </c>
      <c r="AN425" s="89" t="s">
        <v>646</v>
      </c>
      <c r="AO425" s="89" t="s">
        <v>646</v>
      </c>
      <c r="AP425" s="89" t="s">
        <v>646</v>
      </c>
      <c r="AQ425" s="89" t="s">
        <v>646</v>
      </c>
      <c r="AR425" s="89" t="s">
        <v>646</v>
      </c>
      <c r="AS425" s="89" t="s">
        <v>646</v>
      </c>
      <c r="AT425" s="89" t="s">
        <v>646</v>
      </c>
      <c r="AU425" s="89" t="s">
        <v>646</v>
      </c>
      <c r="AV425" s="89" t="s">
        <v>646</v>
      </c>
      <c r="AW425" s="89" t="s">
        <v>646</v>
      </c>
      <c r="AX425" s="89" t="s">
        <v>646</v>
      </c>
      <c r="AY425" s="89" t="s">
        <v>18839</v>
      </c>
      <c r="AZ425" s="89" t="s">
        <v>18840</v>
      </c>
      <c r="BA425" s="89" t="s">
        <v>646</v>
      </c>
      <c r="BB425" s="89" t="s">
        <v>646</v>
      </c>
      <c r="BC425" s="89" t="s">
        <v>646</v>
      </c>
      <c r="BD425" s="89" t="s">
        <v>17513</v>
      </c>
      <c r="BE425" s="89">
        <v>2017</v>
      </c>
      <c r="BF425" s="89">
        <v>29</v>
      </c>
      <c r="BG425" s="89">
        <v>1</v>
      </c>
      <c r="BH425" s="89" t="s">
        <v>646</v>
      </c>
      <c r="BI425" s="89" t="s">
        <v>646</v>
      </c>
      <c r="BJ425" s="89" t="s">
        <v>646</v>
      </c>
      <c r="BK425" s="89" t="s">
        <v>646</v>
      </c>
      <c r="BL425" s="89" t="s">
        <v>646</v>
      </c>
      <c r="BM425" s="89" t="s">
        <v>646</v>
      </c>
      <c r="BN425" s="89" t="s">
        <v>21082</v>
      </c>
      <c r="BO425" s="89" t="str">
        <f>HYPERLINK("http://dx.doi.org/10.1002/smr.1832","http://dx.doi.org/10.1002/smr.1832")</f>
        <v>http://dx.doi.org/10.1002/smr.1832</v>
      </c>
      <c r="BP425" s="89" t="s">
        <v>646</v>
      </c>
      <c r="BQ425" s="89" t="s">
        <v>646</v>
      </c>
      <c r="BR425" s="89" t="s">
        <v>646</v>
      </c>
      <c r="BS425" s="89" t="s">
        <v>646</v>
      </c>
      <c r="BT425" s="89" t="s">
        <v>646</v>
      </c>
      <c r="BU425" s="89" t="s">
        <v>646</v>
      </c>
      <c r="BV425" s="89" t="s">
        <v>646</v>
      </c>
      <c r="BW425" s="89" t="s">
        <v>646</v>
      </c>
      <c r="BX425" s="89" t="s">
        <v>646</v>
      </c>
      <c r="BY425" s="89" t="s">
        <v>646</v>
      </c>
      <c r="BZ425" s="89" t="s">
        <v>646</v>
      </c>
      <c r="CA425" s="89" t="s">
        <v>646</v>
      </c>
      <c r="CB425" s="89" t="s">
        <v>21083</v>
      </c>
      <c r="CC425" s="89" t="str">
        <f>HYPERLINK("https%3A%2F%2Fwww.webofscience.com%2Fwos%2Fwoscc%2Ffull-record%2FWOS:000393872000003","View Full Record in Web of Science")</f>
        <v>View Full Record in Web of Science</v>
      </c>
    </row>
    <row r="426" spans="1:81" ht="13.2" hidden="1" x14ac:dyDescent="0.25">
      <c r="A426" s="89" t="s">
        <v>12621</v>
      </c>
      <c r="B426" s="89" t="e">
        <f>+#REF!</f>
        <v>#REF!</v>
      </c>
      <c r="C426" s="89"/>
      <c r="D426" s="91" t="s">
        <v>717</v>
      </c>
      <c r="E426" s="90" t="e">
        <v>#REF!</v>
      </c>
      <c r="F426" s="89"/>
      <c r="G426" s="89"/>
      <c r="H426" s="89" t="s">
        <v>12622</v>
      </c>
      <c r="I426" s="89" t="s">
        <v>21084</v>
      </c>
      <c r="J426" s="89" t="s">
        <v>21087</v>
      </c>
      <c r="K426" s="89" t="s">
        <v>21086</v>
      </c>
      <c r="M426" s="89">
        <v>2019</v>
      </c>
      <c r="N426" s="89" t="s">
        <v>21085</v>
      </c>
      <c r="O426" s="89" t="s">
        <v>646</v>
      </c>
      <c r="P426" s="89" t="str">
        <f>HYPERLINK("http://dx.doi.org/10.1016/j.chiabu.2019.104029","http://dx.doi.org/10.1016/j.chiabu.2019.104029")</f>
        <v>http://dx.doi.org/10.1016/j.chiabu.2019.104029</v>
      </c>
      <c r="S426" s="89" t="s">
        <v>646</v>
      </c>
      <c r="U426" s="89" t="s">
        <v>17462</v>
      </c>
      <c r="W426" s="89" t="s">
        <v>646</v>
      </c>
      <c r="X426" s="89" t="s">
        <v>646</v>
      </c>
      <c r="Y426" s="89" t="s">
        <v>646</v>
      </c>
      <c r="Z426" s="89" t="s">
        <v>646</v>
      </c>
      <c r="AA426" s="89" t="s">
        <v>646</v>
      </c>
      <c r="AB426" s="89" t="s">
        <v>646</v>
      </c>
      <c r="AC426" s="89" t="s">
        <v>646</v>
      </c>
      <c r="AD426" s="89" t="s">
        <v>646</v>
      </c>
      <c r="AE426" s="89" t="s">
        <v>646</v>
      </c>
      <c r="AF426" s="89" t="s">
        <v>21086</v>
      </c>
      <c r="AG426" s="89" t="s">
        <v>646</v>
      </c>
      <c r="AH426" s="89" t="s">
        <v>646</v>
      </c>
      <c r="AI426" s="89" t="s">
        <v>646</v>
      </c>
      <c r="AJ426" s="89" t="s">
        <v>646</v>
      </c>
      <c r="AK426" s="89" t="s">
        <v>21087</v>
      </c>
      <c r="AL426" s="89" t="s">
        <v>21088</v>
      </c>
      <c r="AM426" s="89" t="s">
        <v>646</v>
      </c>
      <c r="AN426" s="89" t="s">
        <v>646</v>
      </c>
      <c r="AO426" s="89" t="s">
        <v>646</v>
      </c>
      <c r="AP426" s="89" t="s">
        <v>646</v>
      </c>
      <c r="AQ426" s="89" t="s">
        <v>646</v>
      </c>
      <c r="AR426" s="89" t="s">
        <v>646</v>
      </c>
      <c r="AS426" s="89" t="s">
        <v>646</v>
      </c>
      <c r="AT426" s="89" t="s">
        <v>646</v>
      </c>
      <c r="AU426" s="89" t="s">
        <v>646</v>
      </c>
      <c r="AV426" s="89" t="s">
        <v>646</v>
      </c>
      <c r="AW426" s="89" t="s">
        <v>646</v>
      </c>
      <c r="AX426" s="89" t="s">
        <v>646</v>
      </c>
      <c r="AY426" s="89" t="s">
        <v>21089</v>
      </c>
      <c r="AZ426" s="89" t="s">
        <v>21090</v>
      </c>
      <c r="BA426" s="89" t="s">
        <v>646</v>
      </c>
      <c r="BB426" s="89" t="s">
        <v>646</v>
      </c>
      <c r="BC426" s="89" t="s">
        <v>646</v>
      </c>
      <c r="BD426" s="89" t="s">
        <v>18655</v>
      </c>
      <c r="BE426" s="89">
        <v>2019</v>
      </c>
      <c r="BF426" s="89">
        <v>94</v>
      </c>
      <c r="BG426" s="89" t="s">
        <v>646</v>
      </c>
      <c r="BH426" s="89" t="s">
        <v>646</v>
      </c>
      <c r="BI426" s="89" t="s">
        <v>646</v>
      </c>
      <c r="BJ426" s="89" t="s">
        <v>646</v>
      </c>
      <c r="BK426" s="89" t="s">
        <v>646</v>
      </c>
      <c r="BL426" s="89" t="s">
        <v>646</v>
      </c>
      <c r="BM426" s="89" t="s">
        <v>646</v>
      </c>
      <c r="BN426" s="89">
        <v>104029</v>
      </c>
      <c r="BO426" s="89" t="str">
        <f>HYPERLINK("http://dx.doi.org/10.1016/j.chiabu.2019.104029","http://dx.doi.org/10.1016/j.chiabu.2019.104029")</f>
        <v>http://dx.doi.org/10.1016/j.chiabu.2019.104029</v>
      </c>
      <c r="BP426" s="89" t="s">
        <v>646</v>
      </c>
      <c r="BQ426" s="89" t="s">
        <v>646</v>
      </c>
      <c r="BR426" s="89" t="s">
        <v>646</v>
      </c>
      <c r="BS426" s="89" t="s">
        <v>646</v>
      </c>
      <c r="BT426" s="89" t="s">
        <v>646</v>
      </c>
      <c r="BU426" s="89" t="s">
        <v>646</v>
      </c>
      <c r="BV426" s="89" t="s">
        <v>646</v>
      </c>
      <c r="BW426" s="89">
        <v>31207572</v>
      </c>
      <c r="BX426" s="89" t="s">
        <v>646</v>
      </c>
      <c r="BY426" s="89" t="s">
        <v>646</v>
      </c>
      <c r="BZ426" s="89" t="s">
        <v>646</v>
      </c>
      <c r="CA426" s="89" t="s">
        <v>646</v>
      </c>
      <c r="CB426" s="89" t="s">
        <v>21091</v>
      </c>
      <c r="CC426" s="89" t="str">
        <f>HYPERLINK("https%3A%2F%2Fwww.webofscience.com%2Fwos%2Fwoscc%2Ffull-record%2FWOS:000478106700014","View Full Record in Web of Science")</f>
        <v>View Full Record in Web of Science</v>
      </c>
    </row>
    <row r="427" spans="1:81" ht="13.2" hidden="1" x14ac:dyDescent="0.25">
      <c r="A427" s="89" t="s">
        <v>21092</v>
      </c>
      <c r="B427" s="89" t="e">
        <f>+#REF!</f>
        <v>#REF!</v>
      </c>
      <c r="C427" s="89"/>
      <c r="D427" s="91" t="s">
        <v>717</v>
      </c>
      <c r="E427" s="90" t="e">
        <v>#REF!</v>
      </c>
      <c r="F427" s="89"/>
      <c r="G427" s="89"/>
      <c r="H427" s="89" t="s">
        <v>12632</v>
      </c>
      <c r="I427" s="89" t="s">
        <v>21093</v>
      </c>
      <c r="J427" s="89" t="s">
        <v>646</v>
      </c>
      <c r="K427" s="89" t="s">
        <v>12634</v>
      </c>
      <c r="M427" s="89">
        <v>2014</v>
      </c>
      <c r="N427" s="89" t="s">
        <v>21094</v>
      </c>
      <c r="O427" s="89" t="s">
        <v>646</v>
      </c>
      <c r="P427" s="89" t="str">
        <f>HYPERLINK("http://dx.doi.org/10.1145/2556288.2557322","http://dx.doi.org/10.1145/2556288.2557322")</f>
        <v>http://dx.doi.org/10.1145/2556288.2557322</v>
      </c>
      <c r="S427" s="89" t="s">
        <v>19206</v>
      </c>
      <c r="U427" s="89" t="s">
        <v>17474</v>
      </c>
      <c r="W427" s="89" t="s">
        <v>646</v>
      </c>
      <c r="X427" s="89" t="s">
        <v>646</v>
      </c>
      <c r="Y427" s="89" t="s">
        <v>21095</v>
      </c>
      <c r="Z427" s="89" t="s">
        <v>21096</v>
      </c>
      <c r="AA427" s="89" t="s">
        <v>19385</v>
      </c>
      <c r="AB427" s="89" t="s">
        <v>21097</v>
      </c>
      <c r="AC427" s="89" t="s">
        <v>646</v>
      </c>
      <c r="AD427" s="89" t="s">
        <v>646</v>
      </c>
      <c r="AE427" s="89" t="s">
        <v>646</v>
      </c>
      <c r="AF427" s="89" t="s">
        <v>12634</v>
      </c>
      <c r="AG427" s="89" t="s">
        <v>646</v>
      </c>
      <c r="AH427" s="89" t="s">
        <v>646</v>
      </c>
      <c r="AI427" s="89" t="s">
        <v>646</v>
      </c>
      <c r="AJ427" s="89" t="s">
        <v>646</v>
      </c>
      <c r="AK427" s="89" t="s">
        <v>646</v>
      </c>
      <c r="AL427" s="89" t="s">
        <v>646</v>
      </c>
      <c r="AM427" s="89" t="s">
        <v>646</v>
      </c>
      <c r="AN427" s="89" t="s">
        <v>646</v>
      </c>
      <c r="AO427" s="89" t="s">
        <v>646</v>
      </c>
      <c r="AP427" s="89" t="s">
        <v>646</v>
      </c>
      <c r="AQ427" s="89" t="s">
        <v>646</v>
      </c>
      <c r="AR427" s="89" t="s">
        <v>646</v>
      </c>
      <c r="AS427" s="89" t="s">
        <v>646</v>
      </c>
      <c r="AT427" s="89" t="s">
        <v>646</v>
      </c>
      <c r="AU427" s="89" t="s">
        <v>646</v>
      </c>
      <c r="AV427" s="89" t="s">
        <v>646</v>
      </c>
      <c r="AW427" s="89" t="s">
        <v>646</v>
      </c>
      <c r="AX427" s="89" t="s">
        <v>646</v>
      </c>
      <c r="AY427" s="89" t="s">
        <v>646</v>
      </c>
      <c r="AZ427" s="89" t="s">
        <v>646</v>
      </c>
      <c r="BA427" s="89" t="s">
        <v>21098</v>
      </c>
      <c r="BB427" s="89" t="s">
        <v>646</v>
      </c>
      <c r="BC427" s="89" t="s">
        <v>646</v>
      </c>
      <c r="BD427" s="89" t="s">
        <v>646</v>
      </c>
      <c r="BE427" s="89">
        <v>2014</v>
      </c>
      <c r="BF427" s="89" t="s">
        <v>646</v>
      </c>
      <c r="BG427" s="89" t="s">
        <v>646</v>
      </c>
      <c r="BH427" s="89" t="s">
        <v>646</v>
      </c>
      <c r="BI427" s="89" t="s">
        <v>646</v>
      </c>
      <c r="BJ427" s="89" t="s">
        <v>646</v>
      </c>
      <c r="BK427" s="89" t="s">
        <v>646</v>
      </c>
      <c r="BL427" s="89">
        <v>2637</v>
      </c>
      <c r="BM427" s="89">
        <v>2646</v>
      </c>
      <c r="BN427" s="89" t="s">
        <v>646</v>
      </c>
      <c r="BO427" s="89" t="str">
        <f>HYPERLINK("http://dx.doi.org/10.1145/2556288.2557322","http://dx.doi.org/10.1145/2556288.2557322")</f>
        <v>http://dx.doi.org/10.1145/2556288.2557322</v>
      </c>
      <c r="BP427" s="89" t="s">
        <v>646</v>
      </c>
      <c r="BQ427" s="89" t="s">
        <v>646</v>
      </c>
      <c r="BR427" s="89" t="s">
        <v>646</v>
      </c>
      <c r="BS427" s="89" t="s">
        <v>646</v>
      </c>
      <c r="BT427" s="89" t="s">
        <v>646</v>
      </c>
      <c r="BU427" s="89" t="s">
        <v>646</v>
      </c>
      <c r="BV427" s="89" t="s">
        <v>646</v>
      </c>
      <c r="BW427" s="89" t="s">
        <v>646</v>
      </c>
      <c r="BX427" s="89" t="s">
        <v>646</v>
      </c>
      <c r="BY427" s="89" t="s">
        <v>646</v>
      </c>
      <c r="BZ427" s="89" t="s">
        <v>646</v>
      </c>
      <c r="CA427" s="89" t="s">
        <v>646</v>
      </c>
      <c r="CB427" s="89" t="s">
        <v>21099</v>
      </c>
      <c r="CC427" s="89" t="str">
        <f>HYPERLINK("https%3A%2F%2Fwww.webofscience.com%2Fwos%2Fwoscc%2Ffull-record%2FWOS:000773858602080","View Full Record in Web of Science")</f>
        <v>View Full Record in Web of Science</v>
      </c>
    </row>
    <row r="428" spans="1:81" ht="13.2" hidden="1" x14ac:dyDescent="0.25">
      <c r="A428" s="89" t="s">
        <v>12639</v>
      </c>
      <c r="B428" s="89" t="e">
        <f>+#REF!</f>
        <v>#REF!</v>
      </c>
      <c r="C428" s="89"/>
      <c r="D428" s="91" t="s">
        <v>717</v>
      </c>
      <c r="E428" s="90" t="e">
        <v>#REF!</v>
      </c>
      <c r="F428" s="89"/>
      <c r="G428" s="89"/>
      <c r="H428" s="89" t="s">
        <v>12640</v>
      </c>
      <c r="I428" s="89" t="s">
        <v>21100</v>
      </c>
      <c r="J428" s="89" t="s">
        <v>646</v>
      </c>
      <c r="K428" s="89" t="s">
        <v>21102</v>
      </c>
      <c r="M428" s="89">
        <v>2018</v>
      </c>
      <c r="N428" s="89" t="s">
        <v>21101</v>
      </c>
      <c r="O428" s="89" t="s">
        <v>646</v>
      </c>
      <c r="P428" s="89" t="str">
        <f>HYPERLINK("http://dx.doi.org/10.1016/j.appet.2018.02.022","http://dx.doi.org/10.1016/j.appet.2018.02.022")</f>
        <v>http://dx.doi.org/10.1016/j.appet.2018.02.022</v>
      </c>
      <c r="S428" s="89" t="s">
        <v>646</v>
      </c>
      <c r="U428" s="89" t="s">
        <v>17462</v>
      </c>
      <c r="W428" s="89" t="s">
        <v>646</v>
      </c>
      <c r="X428" s="89" t="s">
        <v>646</v>
      </c>
      <c r="Y428" s="89" t="s">
        <v>646</v>
      </c>
      <c r="Z428" s="89" t="s">
        <v>646</v>
      </c>
      <c r="AA428" s="89" t="s">
        <v>646</v>
      </c>
      <c r="AB428" s="89" t="s">
        <v>646</v>
      </c>
      <c r="AC428" s="89" t="s">
        <v>646</v>
      </c>
      <c r="AD428" s="89" t="s">
        <v>646</v>
      </c>
      <c r="AE428" s="89" t="s">
        <v>646</v>
      </c>
      <c r="AF428" s="89" t="s">
        <v>21102</v>
      </c>
      <c r="AG428" s="89" t="s">
        <v>646</v>
      </c>
      <c r="AH428" s="89" t="s">
        <v>646</v>
      </c>
      <c r="AI428" s="89" t="s">
        <v>646</v>
      </c>
      <c r="AJ428" s="89" t="s">
        <v>646</v>
      </c>
      <c r="AK428" s="89" t="s">
        <v>646</v>
      </c>
      <c r="AL428" s="89" t="s">
        <v>21103</v>
      </c>
      <c r="AM428" s="89" t="s">
        <v>646</v>
      </c>
      <c r="AN428" s="89" t="s">
        <v>646</v>
      </c>
      <c r="AO428" s="89" t="s">
        <v>646</v>
      </c>
      <c r="AP428" s="89" t="s">
        <v>646</v>
      </c>
      <c r="AQ428" s="89" t="s">
        <v>646</v>
      </c>
      <c r="AR428" s="89" t="s">
        <v>646</v>
      </c>
      <c r="AS428" s="89" t="s">
        <v>646</v>
      </c>
      <c r="AT428" s="89" t="s">
        <v>646</v>
      </c>
      <c r="AU428" s="89" t="s">
        <v>646</v>
      </c>
      <c r="AV428" s="89" t="s">
        <v>646</v>
      </c>
      <c r="AW428" s="89" t="s">
        <v>646</v>
      </c>
      <c r="AX428" s="89" t="s">
        <v>646</v>
      </c>
      <c r="AY428" s="89" t="s">
        <v>21104</v>
      </c>
      <c r="AZ428" s="89" t="s">
        <v>21105</v>
      </c>
      <c r="BA428" s="89" t="s">
        <v>646</v>
      </c>
      <c r="BB428" s="89" t="s">
        <v>646</v>
      </c>
      <c r="BC428" s="89" t="s">
        <v>646</v>
      </c>
      <c r="BD428" s="89" t="s">
        <v>20319</v>
      </c>
      <c r="BE428" s="89">
        <v>2018</v>
      </c>
      <c r="BF428" s="89">
        <v>125</v>
      </c>
      <c r="BG428" s="89" t="s">
        <v>646</v>
      </c>
      <c r="BH428" s="89" t="s">
        <v>646</v>
      </c>
      <c r="BI428" s="89" t="s">
        <v>646</v>
      </c>
      <c r="BJ428" s="89" t="s">
        <v>646</v>
      </c>
      <c r="BK428" s="89" t="s">
        <v>646</v>
      </c>
      <c r="BL428" s="89">
        <v>410</v>
      </c>
      <c r="BM428" s="89">
        <v>417</v>
      </c>
      <c r="BN428" s="89" t="s">
        <v>646</v>
      </c>
      <c r="BO428" s="89" t="str">
        <f>HYPERLINK("http://dx.doi.org/10.1016/j.appet.2018.02.022","http://dx.doi.org/10.1016/j.appet.2018.02.022")</f>
        <v>http://dx.doi.org/10.1016/j.appet.2018.02.022</v>
      </c>
      <c r="BP428" s="89" t="s">
        <v>646</v>
      </c>
      <c r="BQ428" s="89" t="s">
        <v>646</v>
      </c>
      <c r="BR428" s="89" t="s">
        <v>646</v>
      </c>
      <c r="BS428" s="89" t="s">
        <v>646</v>
      </c>
      <c r="BT428" s="89" t="s">
        <v>646</v>
      </c>
      <c r="BU428" s="89" t="s">
        <v>646</v>
      </c>
      <c r="BV428" s="89" t="s">
        <v>646</v>
      </c>
      <c r="BW428" s="89">
        <v>29476800</v>
      </c>
      <c r="BX428" s="89" t="s">
        <v>646</v>
      </c>
      <c r="BY428" s="89" t="s">
        <v>646</v>
      </c>
      <c r="BZ428" s="89" t="s">
        <v>646</v>
      </c>
      <c r="CA428" s="89" t="s">
        <v>646</v>
      </c>
      <c r="CB428" s="89" t="s">
        <v>21106</v>
      </c>
      <c r="CC428" s="89" t="str">
        <f>HYPERLINK("https%3A%2F%2Fwww.webofscience.com%2Fwos%2Fwoscc%2Ffull-record%2FWOS:000430777900044","View Full Record in Web of Science")</f>
        <v>View Full Record in Web of Science</v>
      </c>
    </row>
    <row r="429" spans="1:81" ht="13.2" hidden="1" x14ac:dyDescent="0.25">
      <c r="A429" s="89" t="s">
        <v>9501</v>
      </c>
      <c r="B429" s="89" t="e">
        <f>+#REF!</f>
        <v>#REF!</v>
      </c>
      <c r="C429" s="89"/>
      <c r="D429" s="91" t="s">
        <v>717</v>
      </c>
      <c r="E429" s="90" t="e">
        <v>#REF!</v>
      </c>
      <c r="F429" s="89"/>
      <c r="G429" s="89"/>
      <c r="H429" s="89" t="s">
        <v>9502</v>
      </c>
      <c r="I429" s="89" t="s">
        <v>21107</v>
      </c>
      <c r="J429" s="89" t="s">
        <v>646</v>
      </c>
      <c r="K429" s="89" t="s">
        <v>21109</v>
      </c>
      <c r="M429" s="89">
        <v>2021</v>
      </c>
      <c r="N429" s="89" t="s">
        <v>21108</v>
      </c>
      <c r="O429" s="89" t="s">
        <v>646</v>
      </c>
      <c r="P429" s="89" t="str">
        <f>HYPERLINK("http://dx.doi.org/10.1016/j.jdmm.2021.100602","http://dx.doi.org/10.1016/j.jdmm.2021.100602")</f>
        <v>http://dx.doi.org/10.1016/j.jdmm.2021.100602</v>
      </c>
      <c r="S429" s="89" t="s">
        <v>646</v>
      </c>
      <c r="U429" s="89" t="s">
        <v>17462</v>
      </c>
      <c r="W429" s="89" t="s">
        <v>646</v>
      </c>
      <c r="X429" s="89" t="s">
        <v>646</v>
      </c>
      <c r="Y429" s="89" t="s">
        <v>646</v>
      </c>
      <c r="Z429" s="89" t="s">
        <v>646</v>
      </c>
      <c r="AA429" s="89" t="s">
        <v>646</v>
      </c>
      <c r="AB429" s="89" t="s">
        <v>646</v>
      </c>
      <c r="AC429" s="89" t="s">
        <v>646</v>
      </c>
      <c r="AD429" s="89" t="s">
        <v>646</v>
      </c>
      <c r="AE429" s="89" t="s">
        <v>646</v>
      </c>
      <c r="AF429" s="89" t="s">
        <v>21109</v>
      </c>
      <c r="AG429" s="89" t="s">
        <v>646</v>
      </c>
      <c r="AH429" s="89" t="s">
        <v>646</v>
      </c>
      <c r="AI429" s="89" t="s">
        <v>646</v>
      </c>
      <c r="AJ429" s="89" t="s">
        <v>646</v>
      </c>
      <c r="AK429" s="89" t="s">
        <v>646</v>
      </c>
      <c r="AL429" s="89" t="s">
        <v>21110</v>
      </c>
      <c r="AM429" s="89" t="s">
        <v>646</v>
      </c>
      <c r="AN429" s="89" t="s">
        <v>646</v>
      </c>
      <c r="AO429" s="89" t="s">
        <v>646</v>
      </c>
      <c r="AP429" s="89" t="s">
        <v>646</v>
      </c>
      <c r="AQ429" s="89" t="s">
        <v>646</v>
      </c>
      <c r="AR429" s="89" t="s">
        <v>646</v>
      </c>
      <c r="AS429" s="89" t="s">
        <v>646</v>
      </c>
      <c r="AT429" s="89" t="s">
        <v>646</v>
      </c>
      <c r="AU429" s="89" t="s">
        <v>646</v>
      </c>
      <c r="AV429" s="89" t="s">
        <v>646</v>
      </c>
      <c r="AW429" s="89" t="s">
        <v>646</v>
      </c>
      <c r="AX429" s="89" t="s">
        <v>646</v>
      </c>
      <c r="AY429" s="89" t="s">
        <v>21111</v>
      </c>
      <c r="AZ429" s="89" t="s">
        <v>21112</v>
      </c>
      <c r="BA429" s="89" t="s">
        <v>646</v>
      </c>
      <c r="BB429" s="89" t="s">
        <v>646</v>
      </c>
      <c r="BC429" s="89" t="s">
        <v>646</v>
      </c>
      <c r="BD429" s="89" t="s">
        <v>17772</v>
      </c>
      <c r="BE429" s="89">
        <v>2021</v>
      </c>
      <c r="BF429" s="89">
        <v>20</v>
      </c>
      <c r="BG429" s="89" t="s">
        <v>646</v>
      </c>
      <c r="BH429" s="89" t="s">
        <v>646</v>
      </c>
      <c r="BI429" s="89" t="s">
        <v>646</v>
      </c>
      <c r="BJ429" s="89" t="s">
        <v>646</v>
      </c>
      <c r="BK429" s="89" t="s">
        <v>646</v>
      </c>
      <c r="BL429" s="89" t="s">
        <v>646</v>
      </c>
      <c r="BM429" s="89" t="s">
        <v>646</v>
      </c>
      <c r="BN429" s="89">
        <v>100602</v>
      </c>
      <c r="BO429" s="89" t="str">
        <f>HYPERLINK("http://dx.doi.org/10.1016/j.jdmm.2021.100602","http://dx.doi.org/10.1016/j.jdmm.2021.100602")</f>
        <v>http://dx.doi.org/10.1016/j.jdmm.2021.100602</v>
      </c>
      <c r="BP429" s="89" t="s">
        <v>646</v>
      </c>
      <c r="BQ429" s="89" t="s">
        <v>19283</v>
      </c>
      <c r="BR429" s="89" t="s">
        <v>646</v>
      </c>
      <c r="BS429" s="89" t="s">
        <v>646</v>
      </c>
      <c r="BT429" s="89" t="s">
        <v>646</v>
      </c>
      <c r="BU429" s="89" t="s">
        <v>646</v>
      </c>
      <c r="BV429" s="89" t="s">
        <v>646</v>
      </c>
      <c r="BW429" s="89" t="s">
        <v>646</v>
      </c>
      <c r="BX429" s="89" t="s">
        <v>646</v>
      </c>
      <c r="BY429" s="89" t="s">
        <v>646</v>
      </c>
      <c r="BZ429" s="89" t="s">
        <v>646</v>
      </c>
      <c r="CA429" s="89" t="s">
        <v>646</v>
      </c>
      <c r="CB429" s="89" t="s">
        <v>21113</v>
      </c>
      <c r="CC429" s="89" t="str">
        <f>HYPERLINK("https%3A%2F%2Fwww.webofscience.com%2Fwos%2Fwoscc%2Ffull-record%2FWOS:000663555800008","View Full Record in Web of Science")</f>
        <v>View Full Record in Web of Science</v>
      </c>
    </row>
    <row r="430" spans="1:81" ht="13.2" hidden="1" x14ac:dyDescent="0.25">
      <c r="A430" s="89" t="s">
        <v>21114</v>
      </c>
      <c r="B430" s="89" t="e">
        <f>+#REF!</f>
        <v>#REF!</v>
      </c>
      <c r="C430" s="89"/>
      <c r="D430" s="91" t="s">
        <v>717</v>
      </c>
      <c r="E430" s="90" t="e">
        <v>#REF!</v>
      </c>
      <c r="F430" s="89"/>
      <c r="G430" s="89"/>
      <c r="H430" s="89" t="s">
        <v>12645</v>
      </c>
      <c r="I430" s="89" t="s">
        <v>21115</v>
      </c>
      <c r="J430" s="89" t="s">
        <v>646</v>
      </c>
      <c r="K430" s="89" t="s">
        <v>21117</v>
      </c>
      <c r="M430" s="89">
        <v>2020</v>
      </c>
      <c r="N430" s="89" t="s">
        <v>21116</v>
      </c>
      <c r="O430" s="89" t="s">
        <v>646</v>
      </c>
      <c r="P430" s="89" t="str">
        <f>HYPERLINK("http://dx.doi.org/10.1001/jamanetworkopen.2019.20511","http://dx.doi.org/10.1001/jamanetworkopen.2019.20511")</f>
        <v>http://dx.doi.org/10.1001/jamanetworkopen.2019.20511</v>
      </c>
      <c r="S430" s="89" t="s">
        <v>646</v>
      </c>
      <c r="U430" s="89" t="s">
        <v>17462</v>
      </c>
      <c r="W430" s="89" t="s">
        <v>646</v>
      </c>
      <c r="X430" s="89" t="s">
        <v>646</v>
      </c>
      <c r="Y430" s="89" t="s">
        <v>646</v>
      </c>
      <c r="Z430" s="89" t="s">
        <v>646</v>
      </c>
      <c r="AA430" s="89" t="s">
        <v>646</v>
      </c>
      <c r="AB430" s="89" t="s">
        <v>646</v>
      </c>
      <c r="AC430" s="89" t="s">
        <v>646</v>
      </c>
      <c r="AD430" s="89" t="s">
        <v>646</v>
      </c>
      <c r="AE430" s="89" t="s">
        <v>646</v>
      </c>
      <c r="AF430" s="89" t="s">
        <v>21117</v>
      </c>
      <c r="AG430" s="89" t="s">
        <v>646</v>
      </c>
      <c r="AH430" s="89" t="s">
        <v>646</v>
      </c>
      <c r="AI430" s="89" t="s">
        <v>646</v>
      </c>
      <c r="AJ430" s="89" t="s">
        <v>646</v>
      </c>
      <c r="AK430" s="89" t="s">
        <v>646</v>
      </c>
      <c r="AL430" s="89" t="s">
        <v>21118</v>
      </c>
      <c r="AM430" s="89" t="s">
        <v>646</v>
      </c>
      <c r="AN430" s="89" t="s">
        <v>646</v>
      </c>
      <c r="AO430" s="89" t="s">
        <v>646</v>
      </c>
      <c r="AP430" s="89" t="s">
        <v>646</v>
      </c>
      <c r="AQ430" s="89" t="s">
        <v>646</v>
      </c>
      <c r="AR430" s="89" t="s">
        <v>646</v>
      </c>
      <c r="AS430" s="89" t="s">
        <v>646</v>
      </c>
      <c r="AT430" s="89" t="s">
        <v>646</v>
      </c>
      <c r="AU430" s="89" t="s">
        <v>646</v>
      </c>
      <c r="AV430" s="89" t="s">
        <v>646</v>
      </c>
      <c r="AW430" s="89" t="s">
        <v>646</v>
      </c>
      <c r="AX430" s="89" t="s">
        <v>646</v>
      </c>
      <c r="AY430" s="89" t="s">
        <v>21119</v>
      </c>
      <c r="AZ430" s="89" t="s">
        <v>646</v>
      </c>
      <c r="BA430" s="89" t="s">
        <v>646</v>
      </c>
      <c r="BB430" s="89" t="s">
        <v>646</v>
      </c>
      <c r="BC430" s="89" t="s">
        <v>646</v>
      </c>
      <c r="BD430" s="89" t="s">
        <v>21120</v>
      </c>
      <c r="BE430" s="89">
        <v>2020</v>
      </c>
      <c r="BF430" s="89">
        <v>3</v>
      </c>
      <c r="BG430" s="89">
        <v>2</v>
      </c>
      <c r="BH430" s="89" t="s">
        <v>646</v>
      </c>
      <c r="BI430" s="89" t="s">
        <v>646</v>
      </c>
      <c r="BJ430" s="89" t="s">
        <v>646</v>
      </c>
      <c r="BK430" s="89" t="s">
        <v>646</v>
      </c>
      <c r="BL430" s="89" t="s">
        <v>646</v>
      </c>
      <c r="BM430" s="89" t="s">
        <v>646</v>
      </c>
      <c r="BN430" s="89" t="s">
        <v>21121</v>
      </c>
      <c r="BO430" s="89" t="str">
        <f>HYPERLINK("http://dx.doi.org/10.1001/jamanetworkopen.2019.20511","http://dx.doi.org/10.1001/jamanetworkopen.2019.20511")</f>
        <v>http://dx.doi.org/10.1001/jamanetworkopen.2019.20511</v>
      </c>
      <c r="BP430" s="89" t="s">
        <v>646</v>
      </c>
      <c r="BQ430" s="89" t="s">
        <v>646</v>
      </c>
      <c r="BR430" s="89" t="s">
        <v>646</v>
      </c>
      <c r="BS430" s="89" t="s">
        <v>646</v>
      </c>
      <c r="BT430" s="89" t="s">
        <v>646</v>
      </c>
      <c r="BU430" s="89" t="s">
        <v>646</v>
      </c>
      <c r="BV430" s="89" t="s">
        <v>646</v>
      </c>
      <c r="BW430" s="89">
        <v>32083686</v>
      </c>
      <c r="BX430" s="89" t="s">
        <v>646</v>
      </c>
      <c r="BY430" s="89" t="s">
        <v>646</v>
      </c>
      <c r="BZ430" s="89" t="s">
        <v>646</v>
      </c>
      <c r="CA430" s="89" t="s">
        <v>646</v>
      </c>
      <c r="CB430" s="89" t="s">
        <v>21122</v>
      </c>
      <c r="CC430" s="89" t="str">
        <f>HYPERLINK("https%3A%2F%2Fwww.webofscience.com%2Fwos%2Fwoscc%2Ffull-record%2FWOS:000517982900001","View Full Record in Web of Science")</f>
        <v>View Full Record in Web of Science</v>
      </c>
    </row>
    <row r="431" spans="1:81" ht="13.2" hidden="1" x14ac:dyDescent="0.25">
      <c r="A431" s="89" t="s">
        <v>21123</v>
      </c>
      <c r="B431" s="89" t="e">
        <f>+#REF!</f>
        <v>#REF!</v>
      </c>
      <c r="C431" s="89"/>
      <c r="D431" s="91" t="s">
        <v>717</v>
      </c>
      <c r="E431" s="90" t="e">
        <v>#REF!</v>
      </c>
      <c r="F431" s="89"/>
      <c r="G431" s="89"/>
      <c r="H431" s="89" t="s">
        <v>12654</v>
      </c>
      <c r="I431" s="89" t="s">
        <v>21124</v>
      </c>
      <c r="J431" s="89" t="s">
        <v>21126</v>
      </c>
      <c r="K431" s="89" t="s">
        <v>21125</v>
      </c>
      <c r="M431" s="89">
        <v>2018</v>
      </c>
      <c r="N431" s="89" t="s">
        <v>18423</v>
      </c>
      <c r="O431" s="89" t="s">
        <v>646</v>
      </c>
      <c r="P431" s="89" t="str">
        <f>HYPERLINK("http://dx.doi.org/10.1109/ACCESS.2018.2834473","http://dx.doi.org/10.1109/ACCESS.2018.2834473")</f>
        <v>http://dx.doi.org/10.1109/ACCESS.2018.2834473</v>
      </c>
      <c r="S431" s="89" t="s">
        <v>646</v>
      </c>
      <c r="U431" s="89" t="s">
        <v>17462</v>
      </c>
      <c r="W431" s="89" t="s">
        <v>646</v>
      </c>
      <c r="X431" s="89" t="s">
        <v>646</v>
      </c>
      <c r="Y431" s="89" t="s">
        <v>646</v>
      </c>
      <c r="Z431" s="89" t="s">
        <v>646</v>
      </c>
      <c r="AA431" s="89" t="s">
        <v>646</v>
      </c>
      <c r="AB431" s="89" t="s">
        <v>646</v>
      </c>
      <c r="AC431" s="89" t="s">
        <v>646</v>
      </c>
      <c r="AD431" s="89" t="s">
        <v>646</v>
      </c>
      <c r="AE431" s="89" t="s">
        <v>646</v>
      </c>
      <c r="AF431" s="89" t="s">
        <v>21125</v>
      </c>
      <c r="AG431" s="89" t="s">
        <v>646</v>
      </c>
      <c r="AH431" s="89" t="s">
        <v>646</v>
      </c>
      <c r="AI431" s="89" t="s">
        <v>646</v>
      </c>
      <c r="AJ431" s="89" t="s">
        <v>646</v>
      </c>
      <c r="AK431" s="89" t="s">
        <v>21126</v>
      </c>
      <c r="AL431" s="89" t="s">
        <v>21127</v>
      </c>
      <c r="AM431" s="89" t="s">
        <v>646</v>
      </c>
      <c r="AN431" s="89" t="s">
        <v>646</v>
      </c>
      <c r="AO431" s="89" t="s">
        <v>646</v>
      </c>
      <c r="AP431" s="89" t="s">
        <v>646</v>
      </c>
      <c r="AQ431" s="89" t="s">
        <v>646</v>
      </c>
      <c r="AR431" s="89" t="s">
        <v>646</v>
      </c>
      <c r="AS431" s="89" t="s">
        <v>646</v>
      </c>
      <c r="AT431" s="89" t="s">
        <v>646</v>
      </c>
      <c r="AU431" s="89" t="s">
        <v>646</v>
      </c>
      <c r="AV431" s="89" t="s">
        <v>646</v>
      </c>
      <c r="AW431" s="89" t="s">
        <v>646</v>
      </c>
      <c r="AX431" s="89" t="s">
        <v>646</v>
      </c>
      <c r="AY431" s="89" t="s">
        <v>18427</v>
      </c>
      <c r="AZ431" s="89" t="s">
        <v>646</v>
      </c>
      <c r="BA431" s="89" t="s">
        <v>646</v>
      </c>
      <c r="BB431" s="89" t="s">
        <v>646</v>
      </c>
      <c r="BC431" s="89" t="s">
        <v>646</v>
      </c>
      <c r="BD431" s="89" t="s">
        <v>646</v>
      </c>
      <c r="BE431" s="89">
        <v>2018</v>
      </c>
      <c r="BF431" s="89">
        <v>6</v>
      </c>
      <c r="BG431" s="89" t="s">
        <v>646</v>
      </c>
      <c r="BH431" s="89" t="s">
        <v>646</v>
      </c>
      <c r="BI431" s="89" t="s">
        <v>646</v>
      </c>
      <c r="BJ431" s="89" t="s">
        <v>646</v>
      </c>
      <c r="BK431" s="89" t="s">
        <v>646</v>
      </c>
      <c r="BL431" s="89">
        <v>25747</v>
      </c>
      <c r="BM431" s="89">
        <v>25763</v>
      </c>
      <c r="BN431" s="89" t="s">
        <v>646</v>
      </c>
      <c r="BO431" s="89" t="str">
        <f>HYPERLINK("http://dx.doi.org/10.1109/ACCESS.2018.2834473","http://dx.doi.org/10.1109/ACCESS.2018.2834473")</f>
        <v>http://dx.doi.org/10.1109/ACCESS.2018.2834473</v>
      </c>
      <c r="BP431" s="89" t="s">
        <v>646</v>
      </c>
      <c r="BQ431" s="89" t="s">
        <v>646</v>
      </c>
      <c r="BR431" s="89" t="s">
        <v>646</v>
      </c>
      <c r="BS431" s="89" t="s">
        <v>646</v>
      </c>
      <c r="BT431" s="89" t="s">
        <v>646</v>
      </c>
      <c r="BU431" s="89" t="s">
        <v>646</v>
      </c>
      <c r="BV431" s="89" t="s">
        <v>646</v>
      </c>
      <c r="BW431" s="89" t="s">
        <v>646</v>
      </c>
      <c r="BX431" s="89" t="s">
        <v>646</v>
      </c>
      <c r="BY431" s="89" t="s">
        <v>646</v>
      </c>
      <c r="BZ431" s="89" t="s">
        <v>646</v>
      </c>
      <c r="CA431" s="89" t="s">
        <v>646</v>
      </c>
      <c r="CB431" s="89" t="s">
        <v>21128</v>
      </c>
      <c r="CC431" s="89" t="str">
        <f>HYPERLINK("https%3A%2F%2Fwww.webofscience.com%2Fwos%2Fwoscc%2Ffull-record%2FWOS:000434934100001","View Full Record in Web of Science")</f>
        <v>View Full Record in Web of Science</v>
      </c>
    </row>
    <row r="432" spans="1:81" ht="13.2" hidden="1" x14ac:dyDescent="0.25">
      <c r="A432" s="89" t="s">
        <v>12662</v>
      </c>
      <c r="B432" s="89" t="e">
        <f>+#REF!</f>
        <v>#REF!</v>
      </c>
      <c r="C432" s="89"/>
      <c r="D432" s="91" t="s">
        <v>717</v>
      </c>
      <c r="E432" s="90" t="e">
        <v>#REF!</v>
      </c>
      <c r="F432" s="89"/>
      <c r="G432" s="89"/>
      <c r="H432" s="89" t="s">
        <v>12663</v>
      </c>
      <c r="I432" s="89" t="s">
        <v>21129</v>
      </c>
      <c r="J432" s="89" t="s">
        <v>646</v>
      </c>
      <c r="K432" s="89" t="s">
        <v>21131</v>
      </c>
      <c r="M432" s="89">
        <v>2012</v>
      </c>
      <c r="N432" s="89" t="s">
        <v>21130</v>
      </c>
      <c r="O432" s="89" t="s">
        <v>646</v>
      </c>
      <c r="P432" s="89" t="str">
        <f>HYPERLINK("http://dx.doi.org/10.1016/j.compedu.2011.08.010","http://dx.doi.org/10.1016/j.compedu.2011.08.010")</f>
        <v>http://dx.doi.org/10.1016/j.compedu.2011.08.010</v>
      </c>
      <c r="S432" s="89" t="s">
        <v>646</v>
      </c>
      <c r="U432" s="89" t="s">
        <v>17462</v>
      </c>
      <c r="W432" s="89" t="s">
        <v>646</v>
      </c>
      <c r="X432" s="89" t="s">
        <v>646</v>
      </c>
      <c r="Y432" s="89" t="s">
        <v>646</v>
      </c>
      <c r="Z432" s="89" t="s">
        <v>646</v>
      </c>
      <c r="AA432" s="89" t="s">
        <v>646</v>
      </c>
      <c r="AB432" s="89" t="s">
        <v>646</v>
      </c>
      <c r="AC432" s="89" t="s">
        <v>646</v>
      </c>
      <c r="AD432" s="89" t="s">
        <v>646</v>
      </c>
      <c r="AE432" s="89" t="s">
        <v>646</v>
      </c>
      <c r="AF432" s="89" t="s">
        <v>21131</v>
      </c>
      <c r="AG432" s="89" t="s">
        <v>646</v>
      </c>
      <c r="AH432" s="89" t="s">
        <v>646</v>
      </c>
      <c r="AI432" s="89" t="s">
        <v>646</v>
      </c>
      <c r="AJ432" s="89" t="s">
        <v>646</v>
      </c>
      <c r="AK432" s="89" t="s">
        <v>646</v>
      </c>
      <c r="AL432" s="89" t="s">
        <v>21132</v>
      </c>
      <c r="AM432" s="89" t="s">
        <v>646</v>
      </c>
      <c r="AN432" s="89" t="s">
        <v>646</v>
      </c>
      <c r="AO432" s="89" t="s">
        <v>646</v>
      </c>
      <c r="AP432" s="89" t="s">
        <v>646</v>
      </c>
      <c r="AQ432" s="89" t="s">
        <v>646</v>
      </c>
      <c r="AR432" s="89" t="s">
        <v>646</v>
      </c>
      <c r="AS432" s="89" t="s">
        <v>646</v>
      </c>
      <c r="AT432" s="89" t="s">
        <v>646</v>
      </c>
      <c r="AU432" s="89" t="s">
        <v>646</v>
      </c>
      <c r="AV432" s="89" t="s">
        <v>646</v>
      </c>
      <c r="AW432" s="89" t="s">
        <v>646</v>
      </c>
      <c r="AX432" s="89" t="s">
        <v>646</v>
      </c>
      <c r="AY432" s="89" t="s">
        <v>21133</v>
      </c>
      <c r="AZ432" s="89" t="s">
        <v>646</v>
      </c>
      <c r="BA432" s="89" t="s">
        <v>646</v>
      </c>
      <c r="BB432" s="89" t="s">
        <v>646</v>
      </c>
      <c r="BC432" s="89" t="s">
        <v>646</v>
      </c>
      <c r="BD432" s="89" t="s">
        <v>17513</v>
      </c>
      <c r="BE432" s="89">
        <v>2012</v>
      </c>
      <c r="BF432" s="89">
        <v>58</v>
      </c>
      <c r="BG432" s="89">
        <v>1</v>
      </c>
      <c r="BH432" s="89" t="s">
        <v>646</v>
      </c>
      <c r="BI432" s="89" t="s">
        <v>646</v>
      </c>
      <c r="BJ432" s="89" t="s">
        <v>646</v>
      </c>
      <c r="BK432" s="89" t="s">
        <v>646</v>
      </c>
      <c r="BL432" s="89">
        <v>197</v>
      </c>
      <c r="BM432" s="89">
        <v>208</v>
      </c>
      <c r="BN432" s="89" t="s">
        <v>646</v>
      </c>
      <c r="BO432" s="89" t="str">
        <f>HYPERLINK("http://dx.doi.org/10.1016/j.compedu.2011.08.010","http://dx.doi.org/10.1016/j.compedu.2011.08.010")</f>
        <v>http://dx.doi.org/10.1016/j.compedu.2011.08.010</v>
      </c>
      <c r="BP432" s="89" t="s">
        <v>646</v>
      </c>
      <c r="BQ432" s="89" t="s">
        <v>646</v>
      </c>
      <c r="BR432" s="89" t="s">
        <v>646</v>
      </c>
      <c r="BS432" s="89" t="s">
        <v>646</v>
      </c>
      <c r="BT432" s="89" t="s">
        <v>646</v>
      </c>
      <c r="BU432" s="89" t="s">
        <v>646</v>
      </c>
      <c r="BV432" s="89" t="s">
        <v>646</v>
      </c>
      <c r="BW432" s="89" t="s">
        <v>646</v>
      </c>
      <c r="BX432" s="89" t="s">
        <v>646</v>
      </c>
      <c r="BY432" s="89" t="s">
        <v>646</v>
      </c>
      <c r="BZ432" s="89" t="s">
        <v>646</v>
      </c>
      <c r="CA432" s="89" t="s">
        <v>646</v>
      </c>
      <c r="CB432" s="89" t="s">
        <v>21134</v>
      </c>
      <c r="CC432" s="89" t="str">
        <f>HYPERLINK("https%3A%2F%2Fwww.webofscience.com%2Fwos%2Fwoscc%2Ffull-record%2FWOS:000298524300019","View Full Record in Web of Science")</f>
        <v>View Full Record in Web of Science</v>
      </c>
    </row>
    <row r="433" spans="1:81" ht="13.2" hidden="1" x14ac:dyDescent="0.25">
      <c r="A433" s="89" t="s">
        <v>12672</v>
      </c>
      <c r="B433" s="89" t="e">
        <f>+#REF!</f>
        <v>#REF!</v>
      </c>
      <c r="C433" s="89"/>
      <c r="D433" s="91" t="s">
        <v>717</v>
      </c>
      <c r="E433" s="90" t="e">
        <v>#REF!</v>
      </c>
      <c r="F433" s="89"/>
      <c r="G433" s="89"/>
      <c r="H433" s="89" t="s">
        <v>12673</v>
      </c>
      <c r="I433" s="89" t="s">
        <v>21135</v>
      </c>
      <c r="J433" s="89" t="s">
        <v>21137</v>
      </c>
      <c r="K433" s="89" t="s">
        <v>21136</v>
      </c>
      <c r="M433" s="89">
        <v>2018</v>
      </c>
      <c r="N433" s="89" t="s">
        <v>20254</v>
      </c>
      <c r="O433" s="89" t="s">
        <v>646</v>
      </c>
      <c r="P433" s="89" t="str">
        <f>HYPERLINK("http://dx.doi.org/10.1108/EJM-06-2017-0389","http://dx.doi.org/10.1108/EJM-06-2017-0389")</f>
        <v>http://dx.doi.org/10.1108/EJM-06-2017-0389</v>
      </c>
      <c r="S433" s="89" t="s">
        <v>646</v>
      </c>
      <c r="U433" s="89" t="s">
        <v>17462</v>
      </c>
      <c r="W433" s="89" t="s">
        <v>646</v>
      </c>
      <c r="X433" s="89" t="s">
        <v>646</v>
      </c>
      <c r="Y433" s="89" t="s">
        <v>646</v>
      </c>
      <c r="Z433" s="89" t="s">
        <v>646</v>
      </c>
      <c r="AA433" s="89" t="s">
        <v>646</v>
      </c>
      <c r="AB433" s="89" t="s">
        <v>646</v>
      </c>
      <c r="AC433" s="89" t="s">
        <v>646</v>
      </c>
      <c r="AD433" s="89" t="s">
        <v>646</v>
      </c>
      <c r="AE433" s="89" t="s">
        <v>646</v>
      </c>
      <c r="AF433" s="89" t="s">
        <v>21136</v>
      </c>
      <c r="AG433" s="89" t="s">
        <v>646</v>
      </c>
      <c r="AH433" s="89" t="s">
        <v>646</v>
      </c>
      <c r="AI433" s="89" t="s">
        <v>646</v>
      </c>
      <c r="AJ433" s="89" t="s">
        <v>646</v>
      </c>
      <c r="AK433" s="89" t="s">
        <v>21137</v>
      </c>
      <c r="AL433" s="89" t="s">
        <v>21138</v>
      </c>
      <c r="AM433" s="89" t="s">
        <v>646</v>
      </c>
      <c r="AN433" s="89" t="s">
        <v>646</v>
      </c>
      <c r="AO433" s="89" t="s">
        <v>646</v>
      </c>
      <c r="AP433" s="89" t="s">
        <v>646</v>
      </c>
      <c r="AQ433" s="89" t="s">
        <v>646</v>
      </c>
      <c r="AR433" s="89" t="s">
        <v>646</v>
      </c>
      <c r="AS433" s="89" t="s">
        <v>646</v>
      </c>
      <c r="AT433" s="89" t="s">
        <v>646</v>
      </c>
      <c r="AU433" s="89" t="s">
        <v>646</v>
      </c>
      <c r="AV433" s="89" t="s">
        <v>646</v>
      </c>
      <c r="AW433" s="89" t="s">
        <v>646</v>
      </c>
      <c r="AX433" s="89" t="s">
        <v>646</v>
      </c>
      <c r="AY433" s="89" t="s">
        <v>20256</v>
      </c>
      <c r="AZ433" s="89" t="s">
        <v>20257</v>
      </c>
      <c r="BA433" s="89" t="s">
        <v>646</v>
      </c>
      <c r="BB433" s="89" t="s">
        <v>646</v>
      </c>
      <c r="BC433" s="89" t="s">
        <v>646</v>
      </c>
      <c r="BD433" s="89" t="s">
        <v>646</v>
      </c>
      <c r="BE433" s="89">
        <v>2018</v>
      </c>
      <c r="BF433" s="89">
        <v>52</v>
      </c>
      <c r="BG433" s="89" t="s">
        <v>21139</v>
      </c>
      <c r="BH433" s="89" t="s">
        <v>646</v>
      </c>
      <c r="BI433" s="89" t="s">
        <v>646</v>
      </c>
      <c r="BJ433" s="89" t="s">
        <v>646</v>
      </c>
      <c r="BK433" s="89" t="s">
        <v>646</v>
      </c>
      <c r="BL433" s="89">
        <v>2128</v>
      </c>
      <c r="BM433" s="89">
        <v>2150</v>
      </c>
      <c r="BN433" s="89" t="s">
        <v>646</v>
      </c>
      <c r="BO433" s="89" t="str">
        <f>HYPERLINK("http://dx.doi.org/10.1108/EJM-06-2017-0389","http://dx.doi.org/10.1108/EJM-06-2017-0389")</f>
        <v>http://dx.doi.org/10.1108/EJM-06-2017-0389</v>
      </c>
      <c r="BP433" s="89" t="s">
        <v>646</v>
      </c>
      <c r="BQ433" s="89" t="s">
        <v>646</v>
      </c>
      <c r="BR433" s="89" t="s">
        <v>646</v>
      </c>
      <c r="BS433" s="89" t="s">
        <v>646</v>
      </c>
      <c r="BT433" s="89" t="s">
        <v>646</v>
      </c>
      <c r="BU433" s="89" t="s">
        <v>646</v>
      </c>
      <c r="BV433" s="89" t="s">
        <v>646</v>
      </c>
      <c r="BW433" s="89" t="s">
        <v>646</v>
      </c>
      <c r="BX433" s="89" t="s">
        <v>646</v>
      </c>
      <c r="BY433" s="89" t="s">
        <v>646</v>
      </c>
      <c r="BZ433" s="89" t="s">
        <v>646</v>
      </c>
      <c r="CA433" s="89" t="s">
        <v>646</v>
      </c>
      <c r="CB433" s="89" t="s">
        <v>21140</v>
      </c>
      <c r="CC433" s="89" t="str">
        <f>HYPERLINK("https%3A%2F%2Fwww.webofscience.com%2Fwos%2Fwoscc%2Ffull-record%2FWOS:000447169800016","View Full Record in Web of Science")</f>
        <v>View Full Record in Web of Science</v>
      </c>
    </row>
    <row r="434" spans="1:81" ht="13.2" hidden="1" x14ac:dyDescent="0.25">
      <c r="A434" s="89" t="s">
        <v>21141</v>
      </c>
      <c r="B434" s="89" t="e">
        <f>+#REF!</f>
        <v>#REF!</v>
      </c>
      <c r="C434" s="89"/>
      <c r="D434" s="91" t="s">
        <v>717</v>
      </c>
      <c r="E434" s="90" t="e">
        <v>#REF!</v>
      </c>
      <c r="F434" s="89"/>
      <c r="G434" s="89"/>
      <c r="H434" s="89" t="s">
        <v>12682</v>
      </c>
      <c r="I434" s="89" t="s">
        <v>21142</v>
      </c>
      <c r="J434" s="89" t="s">
        <v>646</v>
      </c>
      <c r="K434" s="89" t="s">
        <v>21146</v>
      </c>
      <c r="M434" s="89">
        <v>2014</v>
      </c>
      <c r="N434" s="89" t="s">
        <v>21143</v>
      </c>
      <c r="O434" s="89" t="s">
        <v>646</v>
      </c>
      <c r="P434" s="89" t="str">
        <f>HYPERLINK("http://dx.doi.org/10.4108/icst.collaboratecom.2014.257332","http://dx.doi.org/10.4108/icst.collaboratecom.2014.257332")</f>
        <v>http://dx.doi.org/10.4108/icst.collaboratecom.2014.257332</v>
      </c>
      <c r="S434" s="89" t="s">
        <v>17475</v>
      </c>
      <c r="U434" s="89" t="s">
        <v>17474</v>
      </c>
      <c r="W434" s="89" t="s">
        <v>646</v>
      </c>
      <c r="X434" s="89" t="s">
        <v>646</v>
      </c>
      <c r="Y434" s="89" t="s">
        <v>21144</v>
      </c>
      <c r="Z434" s="89" t="s">
        <v>21145</v>
      </c>
      <c r="AA434" s="89" t="s">
        <v>17925</v>
      </c>
      <c r="AB434" s="89" t="s">
        <v>646</v>
      </c>
      <c r="AC434" s="89" t="s">
        <v>646</v>
      </c>
      <c r="AD434" s="89" t="s">
        <v>646</v>
      </c>
      <c r="AE434" s="89" t="s">
        <v>646</v>
      </c>
      <c r="AF434" s="89" t="s">
        <v>21146</v>
      </c>
      <c r="AG434" s="89" t="s">
        <v>646</v>
      </c>
      <c r="AH434" s="89" t="s">
        <v>646</v>
      </c>
      <c r="AI434" s="89" t="s">
        <v>646</v>
      </c>
      <c r="AJ434" s="89" t="s">
        <v>646</v>
      </c>
      <c r="AK434" s="89" t="s">
        <v>646</v>
      </c>
      <c r="AL434" s="89" t="s">
        <v>646</v>
      </c>
      <c r="AM434" s="89" t="s">
        <v>646</v>
      </c>
      <c r="AN434" s="89" t="s">
        <v>646</v>
      </c>
      <c r="AO434" s="89" t="s">
        <v>646</v>
      </c>
      <c r="AP434" s="89" t="s">
        <v>646</v>
      </c>
      <c r="AQ434" s="89" t="s">
        <v>646</v>
      </c>
      <c r="AR434" s="89" t="s">
        <v>646</v>
      </c>
      <c r="AS434" s="89" t="s">
        <v>646</v>
      </c>
      <c r="AT434" s="89" t="s">
        <v>646</v>
      </c>
      <c r="AU434" s="89" t="s">
        <v>646</v>
      </c>
      <c r="AV434" s="89" t="s">
        <v>646</v>
      </c>
      <c r="AW434" s="89" t="s">
        <v>646</v>
      </c>
      <c r="AX434" s="89" t="s">
        <v>646</v>
      </c>
      <c r="AY434" s="89" t="s">
        <v>646</v>
      </c>
      <c r="AZ434" s="89" t="s">
        <v>646</v>
      </c>
      <c r="BA434" s="89" t="s">
        <v>21147</v>
      </c>
      <c r="BB434" s="89" t="s">
        <v>646</v>
      </c>
      <c r="BC434" s="89" t="s">
        <v>646</v>
      </c>
      <c r="BD434" s="89" t="s">
        <v>646</v>
      </c>
      <c r="BE434" s="89">
        <v>2014</v>
      </c>
      <c r="BF434" s="89" t="s">
        <v>646</v>
      </c>
      <c r="BG434" s="89" t="s">
        <v>646</v>
      </c>
      <c r="BH434" s="89" t="s">
        <v>646</v>
      </c>
      <c r="BI434" s="89" t="s">
        <v>646</v>
      </c>
      <c r="BJ434" s="89" t="s">
        <v>646</v>
      </c>
      <c r="BK434" s="89" t="s">
        <v>646</v>
      </c>
      <c r="BL434" s="89">
        <v>74</v>
      </c>
      <c r="BM434" s="89">
        <v>83</v>
      </c>
      <c r="BN434" s="89" t="s">
        <v>646</v>
      </c>
      <c r="BO434" s="89" t="str">
        <f>HYPERLINK("http://dx.doi.org/10.4108/icst.collaboratecom.2014.257332","http://dx.doi.org/10.4108/icst.collaboratecom.2014.257332")</f>
        <v>http://dx.doi.org/10.4108/icst.collaboratecom.2014.257332</v>
      </c>
      <c r="BP434" s="89" t="s">
        <v>646</v>
      </c>
      <c r="BQ434" s="89" t="s">
        <v>646</v>
      </c>
      <c r="BR434" s="89" t="s">
        <v>646</v>
      </c>
      <c r="BS434" s="89" t="s">
        <v>646</v>
      </c>
      <c r="BT434" s="89" t="s">
        <v>646</v>
      </c>
      <c r="BU434" s="89" t="s">
        <v>646</v>
      </c>
      <c r="BV434" s="89" t="s">
        <v>646</v>
      </c>
      <c r="BW434" s="89" t="s">
        <v>646</v>
      </c>
      <c r="BX434" s="89" t="s">
        <v>646</v>
      </c>
      <c r="BY434" s="89" t="s">
        <v>646</v>
      </c>
      <c r="BZ434" s="89" t="s">
        <v>646</v>
      </c>
      <c r="CA434" s="89" t="s">
        <v>646</v>
      </c>
      <c r="CB434" s="89" t="s">
        <v>21148</v>
      </c>
      <c r="CC434" s="89" t="str">
        <f>HYPERLINK("https%3A%2F%2Fwww.webofscience.com%2Fwos%2Fwoscc%2Ffull-record%2FWOS:000380476700009","View Full Record in Web of Science")</f>
        <v>View Full Record in Web of Science</v>
      </c>
    </row>
    <row r="435" spans="1:81" ht="13.2" hidden="1" x14ac:dyDescent="0.25">
      <c r="A435" s="89" t="s">
        <v>21149</v>
      </c>
      <c r="B435" s="89" t="e">
        <f>+#REF!</f>
        <v>#REF!</v>
      </c>
      <c r="C435" s="89"/>
      <c r="D435" s="91" t="s">
        <v>717</v>
      </c>
      <c r="E435" s="90" t="e">
        <v>#REF!</v>
      </c>
      <c r="F435" s="89"/>
      <c r="G435" s="89"/>
      <c r="H435" s="89" t="s">
        <v>12692</v>
      </c>
      <c r="I435" s="89" t="s">
        <v>21150</v>
      </c>
      <c r="J435" s="89" t="s">
        <v>646</v>
      </c>
      <c r="K435" s="89" t="s">
        <v>21152</v>
      </c>
      <c r="M435" s="89">
        <v>2019</v>
      </c>
      <c r="N435" s="89" t="s">
        <v>21151</v>
      </c>
      <c r="O435" s="89" t="s">
        <v>646</v>
      </c>
      <c r="P435" s="89" t="str">
        <f>HYPERLINK("http://dx.doi.org/10.1097/AOG.0000000000003012","http://dx.doi.org/10.1097/AOG.0000000000003012")</f>
        <v>http://dx.doi.org/10.1097/AOG.0000000000003012</v>
      </c>
      <c r="S435" s="89" t="s">
        <v>646</v>
      </c>
      <c r="U435" s="89" t="s">
        <v>17462</v>
      </c>
      <c r="W435" s="89" t="s">
        <v>646</v>
      </c>
      <c r="X435" s="89" t="s">
        <v>646</v>
      </c>
      <c r="Y435" s="89" t="s">
        <v>646</v>
      </c>
      <c r="Z435" s="89" t="s">
        <v>646</v>
      </c>
      <c r="AA435" s="89" t="s">
        <v>646</v>
      </c>
      <c r="AB435" s="89" t="s">
        <v>646</v>
      </c>
      <c r="AC435" s="89" t="s">
        <v>646</v>
      </c>
      <c r="AD435" s="89" t="s">
        <v>646</v>
      </c>
      <c r="AE435" s="89" t="s">
        <v>646</v>
      </c>
      <c r="AF435" s="89" t="s">
        <v>21152</v>
      </c>
      <c r="AG435" s="89" t="s">
        <v>646</v>
      </c>
      <c r="AH435" s="89" t="s">
        <v>646</v>
      </c>
      <c r="AI435" s="89" t="s">
        <v>646</v>
      </c>
      <c r="AJ435" s="89" t="s">
        <v>646</v>
      </c>
      <c r="AK435" s="89" t="s">
        <v>646</v>
      </c>
      <c r="AL435" s="89" t="s">
        <v>21153</v>
      </c>
      <c r="AM435" s="89" t="s">
        <v>646</v>
      </c>
      <c r="AN435" s="89" t="s">
        <v>646</v>
      </c>
      <c r="AO435" s="89" t="s">
        <v>646</v>
      </c>
      <c r="AP435" s="89" t="s">
        <v>646</v>
      </c>
      <c r="AQ435" s="89" t="s">
        <v>646</v>
      </c>
      <c r="AR435" s="89" t="s">
        <v>646</v>
      </c>
      <c r="AS435" s="89" t="s">
        <v>646</v>
      </c>
      <c r="AT435" s="89" t="s">
        <v>646</v>
      </c>
      <c r="AU435" s="89" t="s">
        <v>646</v>
      </c>
      <c r="AV435" s="89" t="s">
        <v>646</v>
      </c>
      <c r="AW435" s="89" t="s">
        <v>646</v>
      </c>
      <c r="AX435" s="89" t="s">
        <v>646</v>
      </c>
      <c r="AY435" s="89" t="s">
        <v>21154</v>
      </c>
      <c r="AZ435" s="89" t="s">
        <v>646</v>
      </c>
      <c r="BA435" s="89" t="s">
        <v>646</v>
      </c>
      <c r="BB435" s="89" t="s">
        <v>646</v>
      </c>
      <c r="BC435" s="89" t="s">
        <v>646</v>
      </c>
      <c r="BD435" s="89" t="s">
        <v>17513</v>
      </c>
      <c r="BE435" s="89">
        <v>2019</v>
      </c>
      <c r="BF435" s="89">
        <v>133</v>
      </c>
      <c r="BG435" s="89">
        <v>1</v>
      </c>
      <c r="BH435" s="89" t="s">
        <v>646</v>
      </c>
      <c r="BI435" s="89" t="s">
        <v>646</v>
      </c>
      <c r="BJ435" s="89" t="s">
        <v>646</v>
      </c>
      <c r="BK435" s="89" t="s">
        <v>646</v>
      </c>
      <c r="BL435" s="89">
        <v>53</v>
      </c>
      <c r="BM435" s="89">
        <v>62</v>
      </c>
      <c r="BN435" s="89" t="s">
        <v>646</v>
      </c>
      <c r="BO435" s="89" t="str">
        <f>HYPERLINK("http://dx.doi.org/10.1097/AOG.0000000000003012","http://dx.doi.org/10.1097/AOG.0000000000003012")</f>
        <v>http://dx.doi.org/10.1097/AOG.0000000000003012</v>
      </c>
      <c r="BP435" s="89" t="s">
        <v>646</v>
      </c>
      <c r="BQ435" s="89" t="s">
        <v>646</v>
      </c>
      <c r="BR435" s="89" t="s">
        <v>646</v>
      </c>
      <c r="BS435" s="89" t="s">
        <v>646</v>
      </c>
      <c r="BT435" s="89" t="s">
        <v>646</v>
      </c>
      <c r="BU435" s="89" t="s">
        <v>646</v>
      </c>
      <c r="BV435" s="89" t="s">
        <v>646</v>
      </c>
      <c r="BW435" s="89">
        <v>30531560</v>
      </c>
      <c r="BX435" s="89" t="s">
        <v>646</v>
      </c>
      <c r="BY435" s="89" t="s">
        <v>646</v>
      </c>
      <c r="BZ435" s="89" t="s">
        <v>646</v>
      </c>
      <c r="CA435" s="89" t="s">
        <v>646</v>
      </c>
      <c r="CB435" s="89" t="s">
        <v>21155</v>
      </c>
      <c r="CC435" s="89" t="str">
        <f>HYPERLINK("https%3A%2F%2Fwww.webofscience.com%2Fwos%2Fwoscc%2Ffull-record%2FWOS:000460486800012","View Full Record in Web of Science")</f>
        <v>View Full Record in Web of Science</v>
      </c>
    </row>
    <row r="436" spans="1:81" ht="13.2" hidden="1" x14ac:dyDescent="0.25">
      <c r="A436" s="89" t="s">
        <v>21156</v>
      </c>
      <c r="B436" s="89" t="e">
        <f>+#REF!</f>
        <v>#REF!</v>
      </c>
      <c r="C436" s="89"/>
      <c r="D436" s="91" t="s">
        <v>717</v>
      </c>
      <c r="E436" s="90" t="e">
        <v>#REF!</v>
      </c>
      <c r="F436" s="89"/>
      <c r="G436" s="89"/>
      <c r="H436" s="89" t="s">
        <v>12702</v>
      </c>
      <c r="I436" s="89" t="s">
        <v>21157</v>
      </c>
      <c r="J436" s="89" t="s">
        <v>21159</v>
      </c>
      <c r="K436" s="89" t="s">
        <v>21158</v>
      </c>
      <c r="M436" s="89">
        <v>2018</v>
      </c>
      <c r="N436" s="89" t="s">
        <v>18693</v>
      </c>
      <c r="O436" s="89" t="s">
        <v>646</v>
      </c>
      <c r="P436" s="89" t="str">
        <f>HYPERLINK("http://dx.doi.org/10.3390/ijerph15020347","http://dx.doi.org/10.3390/ijerph15020347")</f>
        <v>http://dx.doi.org/10.3390/ijerph15020347</v>
      </c>
      <c r="S436" s="89" t="s">
        <v>646</v>
      </c>
      <c r="U436" s="89" t="s">
        <v>17462</v>
      </c>
      <c r="W436" s="89" t="s">
        <v>646</v>
      </c>
      <c r="X436" s="89" t="s">
        <v>646</v>
      </c>
      <c r="Y436" s="89" t="s">
        <v>646</v>
      </c>
      <c r="Z436" s="89" t="s">
        <v>646</v>
      </c>
      <c r="AA436" s="89" t="s">
        <v>646</v>
      </c>
      <c r="AB436" s="89" t="s">
        <v>646</v>
      </c>
      <c r="AC436" s="89" t="s">
        <v>646</v>
      </c>
      <c r="AD436" s="89" t="s">
        <v>646</v>
      </c>
      <c r="AE436" s="89" t="s">
        <v>646</v>
      </c>
      <c r="AF436" s="89" t="s">
        <v>21158</v>
      </c>
      <c r="AG436" s="89" t="s">
        <v>646</v>
      </c>
      <c r="AH436" s="89" t="s">
        <v>646</v>
      </c>
      <c r="AI436" s="89" t="s">
        <v>646</v>
      </c>
      <c r="AJ436" s="89" t="s">
        <v>646</v>
      </c>
      <c r="AK436" s="89" t="s">
        <v>21159</v>
      </c>
      <c r="AL436" s="89" t="s">
        <v>21160</v>
      </c>
      <c r="AM436" s="89" t="s">
        <v>646</v>
      </c>
      <c r="AN436" s="89" t="s">
        <v>646</v>
      </c>
      <c r="AO436" s="89" t="s">
        <v>646</v>
      </c>
      <c r="AP436" s="89" t="s">
        <v>646</v>
      </c>
      <c r="AQ436" s="89" t="s">
        <v>646</v>
      </c>
      <c r="AR436" s="89" t="s">
        <v>646</v>
      </c>
      <c r="AS436" s="89" t="s">
        <v>646</v>
      </c>
      <c r="AT436" s="89" t="s">
        <v>646</v>
      </c>
      <c r="AU436" s="89" t="s">
        <v>646</v>
      </c>
      <c r="AV436" s="89" t="s">
        <v>646</v>
      </c>
      <c r="AW436" s="89" t="s">
        <v>646</v>
      </c>
      <c r="AX436" s="89" t="s">
        <v>646</v>
      </c>
      <c r="AY436" s="89" t="s">
        <v>18697</v>
      </c>
      <c r="AZ436" s="89" t="s">
        <v>646</v>
      </c>
      <c r="BA436" s="89" t="s">
        <v>646</v>
      </c>
      <c r="BB436" s="89" t="s">
        <v>646</v>
      </c>
      <c r="BC436" s="89" t="s">
        <v>646</v>
      </c>
      <c r="BD436" s="89" t="s">
        <v>17658</v>
      </c>
      <c r="BE436" s="89">
        <v>2018</v>
      </c>
      <c r="BF436" s="89">
        <v>15</v>
      </c>
      <c r="BG436" s="89">
        <v>2</v>
      </c>
      <c r="BH436" s="89" t="s">
        <v>646</v>
      </c>
      <c r="BI436" s="89" t="s">
        <v>646</v>
      </c>
      <c r="BJ436" s="89" t="s">
        <v>646</v>
      </c>
      <c r="BK436" s="89" t="s">
        <v>646</v>
      </c>
      <c r="BL436" s="89" t="s">
        <v>646</v>
      </c>
      <c r="BM436" s="89" t="s">
        <v>646</v>
      </c>
      <c r="BN436" s="89">
        <v>347</v>
      </c>
      <c r="BO436" s="89" t="str">
        <f>HYPERLINK("http://dx.doi.org/10.3390/ijerph15020347","http://dx.doi.org/10.3390/ijerph15020347")</f>
        <v>http://dx.doi.org/10.3390/ijerph15020347</v>
      </c>
      <c r="BP436" s="89" t="s">
        <v>646</v>
      </c>
      <c r="BQ436" s="89" t="s">
        <v>646</v>
      </c>
      <c r="BR436" s="89" t="s">
        <v>646</v>
      </c>
      <c r="BS436" s="89" t="s">
        <v>646</v>
      </c>
      <c r="BT436" s="89" t="s">
        <v>646</v>
      </c>
      <c r="BU436" s="89" t="s">
        <v>646</v>
      </c>
      <c r="BV436" s="89" t="s">
        <v>646</v>
      </c>
      <c r="BW436" s="89">
        <v>29462863</v>
      </c>
      <c r="BX436" s="89" t="s">
        <v>646</v>
      </c>
      <c r="BY436" s="89" t="s">
        <v>646</v>
      </c>
      <c r="BZ436" s="89" t="s">
        <v>646</v>
      </c>
      <c r="CA436" s="89" t="s">
        <v>646</v>
      </c>
      <c r="CB436" s="89" t="s">
        <v>21161</v>
      </c>
      <c r="CC436" s="89" t="str">
        <f>HYPERLINK("https%3A%2F%2Fwww.webofscience.com%2Fwos%2Fwoscc%2Ffull-record%2FWOS:000426721400172","View Full Record in Web of Science")</f>
        <v>View Full Record in Web of Science</v>
      </c>
    </row>
    <row r="437" spans="1:81" ht="13.2" hidden="1" x14ac:dyDescent="0.25">
      <c r="A437" s="89" t="s">
        <v>21162</v>
      </c>
      <c r="B437" s="89" t="e">
        <f>+#REF!</f>
        <v>#REF!</v>
      </c>
      <c r="C437" s="89"/>
      <c r="D437" s="91" t="s">
        <v>717</v>
      </c>
      <c r="E437" s="90" t="e">
        <v>#REF!</v>
      </c>
      <c r="F437" s="89"/>
      <c r="G437" s="89"/>
      <c r="H437" s="89" t="s">
        <v>16424</v>
      </c>
      <c r="I437" s="89" t="s">
        <v>21163</v>
      </c>
      <c r="J437" s="89" t="s">
        <v>646</v>
      </c>
      <c r="K437" s="89" t="s">
        <v>21164</v>
      </c>
      <c r="M437" s="89">
        <v>2021</v>
      </c>
      <c r="N437" s="89" t="s">
        <v>19023</v>
      </c>
      <c r="O437" s="89" t="s">
        <v>646</v>
      </c>
      <c r="P437" s="89" t="str">
        <f>HYPERLINK("http://dx.doi.org/10.2196/18299","http://dx.doi.org/10.2196/18299")</f>
        <v>http://dx.doi.org/10.2196/18299</v>
      </c>
      <c r="S437" s="89" t="s">
        <v>646</v>
      </c>
      <c r="U437" s="89" t="s">
        <v>17462</v>
      </c>
      <c r="W437" s="89" t="s">
        <v>646</v>
      </c>
      <c r="X437" s="89" t="s">
        <v>646</v>
      </c>
      <c r="Y437" s="89" t="s">
        <v>646</v>
      </c>
      <c r="Z437" s="89" t="s">
        <v>646</v>
      </c>
      <c r="AA437" s="89" t="s">
        <v>646</v>
      </c>
      <c r="AB437" s="89" t="s">
        <v>646</v>
      </c>
      <c r="AC437" s="89" t="s">
        <v>646</v>
      </c>
      <c r="AD437" s="89" t="s">
        <v>646</v>
      </c>
      <c r="AE437" s="89" t="s">
        <v>646</v>
      </c>
      <c r="AF437" s="89" t="s">
        <v>21164</v>
      </c>
      <c r="AG437" s="89" t="s">
        <v>646</v>
      </c>
      <c r="AH437" s="89" t="s">
        <v>646</v>
      </c>
      <c r="AI437" s="89" t="s">
        <v>646</v>
      </c>
      <c r="AJ437" s="89" t="s">
        <v>646</v>
      </c>
      <c r="AK437" s="89" t="s">
        <v>646</v>
      </c>
      <c r="AL437" s="89" t="s">
        <v>21165</v>
      </c>
      <c r="AM437" s="89" t="s">
        <v>646</v>
      </c>
      <c r="AN437" s="89" t="s">
        <v>646</v>
      </c>
      <c r="AO437" s="89" t="s">
        <v>646</v>
      </c>
      <c r="AP437" s="89" t="s">
        <v>646</v>
      </c>
      <c r="AQ437" s="89" t="s">
        <v>646</v>
      </c>
      <c r="AR437" s="89" t="s">
        <v>646</v>
      </c>
      <c r="AS437" s="89" t="s">
        <v>646</v>
      </c>
      <c r="AT437" s="89" t="s">
        <v>646</v>
      </c>
      <c r="AU437" s="89" t="s">
        <v>646</v>
      </c>
      <c r="AV437" s="89" t="s">
        <v>646</v>
      </c>
      <c r="AW437" s="89" t="s">
        <v>646</v>
      </c>
      <c r="AX437" s="89" t="s">
        <v>646</v>
      </c>
      <c r="AY437" s="89" t="s">
        <v>19026</v>
      </c>
      <c r="AZ437" s="89" t="s">
        <v>646</v>
      </c>
      <c r="BA437" s="89" t="s">
        <v>646</v>
      </c>
      <c r="BB437" s="89" t="s">
        <v>646</v>
      </c>
      <c r="BC437" s="89" t="s">
        <v>646</v>
      </c>
      <c r="BD437" s="89" t="s">
        <v>21166</v>
      </c>
      <c r="BE437" s="89">
        <v>2021</v>
      </c>
      <c r="BF437" s="89">
        <v>23</v>
      </c>
      <c r="BG437" s="89">
        <v>1</v>
      </c>
      <c r="BH437" s="89" t="s">
        <v>646</v>
      </c>
      <c r="BI437" s="89" t="s">
        <v>646</v>
      </c>
      <c r="BJ437" s="89" t="s">
        <v>646</v>
      </c>
      <c r="BK437" s="89" t="s">
        <v>646</v>
      </c>
      <c r="BL437" s="89" t="s">
        <v>646</v>
      </c>
      <c r="BM437" s="89" t="s">
        <v>646</v>
      </c>
      <c r="BN437" s="89" t="s">
        <v>21167</v>
      </c>
      <c r="BO437" s="89" t="str">
        <f>HYPERLINK("http://dx.doi.org/10.2196/18299","http://dx.doi.org/10.2196/18299")</f>
        <v>http://dx.doi.org/10.2196/18299</v>
      </c>
      <c r="BP437" s="89" t="s">
        <v>646</v>
      </c>
      <c r="BQ437" s="89" t="s">
        <v>646</v>
      </c>
      <c r="BR437" s="89" t="s">
        <v>646</v>
      </c>
      <c r="BS437" s="89" t="s">
        <v>646</v>
      </c>
      <c r="BT437" s="89" t="s">
        <v>646</v>
      </c>
      <c r="BU437" s="89" t="s">
        <v>646</v>
      </c>
      <c r="BV437" s="89" t="s">
        <v>646</v>
      </c>
      <c r="BW437" s="89">
        <v>33439131</v>
      </c>
      <c r="BX437" s="89" t="s">
        <v>646</v>
      </c>
      <c r="BY437" s="89" t="s">
        <v>646</v>
      </c>
      <c r="BZ437" s="89" t="s">
        <v>646</v>
      </c>
      <c r="CA437" s="89" t="s">
        <v>646</v>
      </c>
      <c r="CB437" s="89" t="s">
        <v>21168</v>
      </c>
      <c r="CC437" s="89" t="str">
        <f>HYPERLINK("https%3A%2F%2Fwww.webofscience.com%2Fwos%2Fwoscc%2Ffull-record%2FWOS:000607468500001","View Full Record in Web of Science")</f>
        <v>View Full Record in Web of Science</v>
      </c>
    </row>
    <row r="438" spans="1:81" ht="13.2" hidden="1" x14ac:dyDescent="0.25">
      <c r="A438" s="89" t="s">
        <v>21169</v>
      </c>
      <c r="B438" s="89" t="e">
        <f>+#REF!</f>
        <v>#REF!</v>
      </c>
      <c r="C438" s="89"/>
      <c r="D438" s="91" t="s">
        <v>717</v>
      </c>
      <c r="E438" s="90" t="e">
        <v>#REF!</v>
      </c>
      <c r="F438" s="89"/>
      <c r="G438" s="89"/>
      <c r="H438" s="89" t="s">
        <v>12711</v>
      </c>
      <c r="I438" s="89" t="s">
        <v>21170</v>
      </c>
      <c r="J438" s="89" t="s">
        <v>646</v>
      </c>
      <c r="K438" s="89" t="s">
        <v>21171</v>
      </c>
      <c r="M438" s="89">
        <v>2013</v>
      </c>
      <c r="N438" s="89" t="s">
        <v>18417</v>
      </c>
      <c r="O438" s="89" t="s">
        <v>646</v>
      </c>
      <c r="P438" s="89" t="str">
        <f>HYPERLINK("http://dx.doi.org/10.1007/s11263-012-0564-1","http://dx.doi.org/10.1007/s11263-012-0564-1")</f>
        <v>http://dx.doi.org/10.1007/s11263-012-0564-1</v>
      </c>
      <c r="S438" s="89" t="s">
        <v>646</v>
      </c>
      <c r="U438" s="89" t="s">
        <v>17462</v>
      </c>
      <c r="W438" s="89" t="s">
        <v>646</v>
      </c>
      <c r="X438" s="89" t="s">
        <v>646</v>
      </c>
      <c r="Y438" s="89" t="s">
        <v>646</v>
      </c>
      <c r="Z438" s="89" t="s">
        <v>646</v>
      </c>
      <c r="AA438" s="89" t="s">
        <v>646</v>
      </c>
      <c r="AB438" s="89" t="s">
        <v>646</v>
      </c>
      <c r="AC438" s="89" t="s">
        <v>646</v>
      </c>
      <c r="AD438" s="89" t="s">
        <v>646</v>
      </c>
      <c r="AE438" s="89" t="s">
        <v>646</v>
      </c>
      <c r="AF438" s="89" t="s">
        <v>21171</v>
      </c>
      <c r="AG438" s="89" t="s">
        <v>646</v>
      </c>
      <c r="AH438" s="89" t="s">
        <v>646</v>
      </c>
      <c r="AI438" s="89" t="s">
        <v>646</v>
      </c>
      <c r="AJ438" s="89" t="s">
        <v>646</v>
      </c>
      <c r="AK438" s="89" t="s">
        <v>646</v>
      </c>
      <c r="AL438" s="89" t="s">
        <v>21172</v>
      </c>
      <c r="AM438" s="89" t="s">
        <v>646</v>
      </c>
      <c r="AN438" s="89" t="s">
        <v>646</v>
      </c>
      <c r="AO438" s="89" t="s">
        <v>646</v>
      </c>
      <c r="AP438" s="89" t="s">
        <v>646</v>
      </c>
      <c r="AQ438" s="89" t="s">
        <v>646</v>
      </c>
      <c r="AR438" s="89" t="s">
        <v>646</v>
      </c>
      <c r="AS438" s="89" t="s">
        <v>646</v>
      </c>
      <c r="AT438" s="89" t="s">
        <v>646</v>
      </c>
      <c r="AU438" s="89" t="s">
        <v>646</v>
      </c>
      <c r="AV438" s="89" t="s">
        <v>646</v>
      </c>
      <c r="AW438" s="89" t="s">
        <v>646</v>
      </c>
      <c r="AX438" s="89" t="s">
        <v>646</v>
      </c>
      <c r="AY438" s="89" t="s">
        <v>18419</v>
      </c>
      <c r="AZ438" s="89" t="s">
        <v>18420</v>
      </c>
      <c r="BA438" s="89" t="s">
        <v>646</v>
      </c>
      <c r="BB438" s="89" t="s">
        <v>646</v>
      </c>
      <c r="BC438" s="89" t="s">
        <v>646</v>
      </c>
      <c r="BD438" s="89" t="s">
        <v>17513</v>
      </c>
      <c r="BE438" s="89">
        <v>2013</v>
      </c>
      <c r="BF438" s="89">
        <v>101</v>
      </c>
      <c r="BG438" s="89">
        <v>1</v>
      </c>
      <c r="BH438" s="89" t="s">
        <v>646</v>
      </c>
      <c r="BI438" s="89" t="s">
        <v>646</v>
      </c>
      <c r="BJ438" s="89" t="s">
        <v>646</v>
      </c>
      <c r="BK438" s="89" t="s">
        <v>646</v>
      </c>
      <c r="BL438" s="89">
        <v>184</v>
      </c>
      <c r="BM438" s="89">
        <v>204</v>
      </c>
      <c r="BN438" s="89" t="s">
        <v>646</v>
      </c>
      <c r="BO438" s="89" t="str">
        <f>HYPERLINK("http://dx.doi.org/10.1007/s11263-012-0564-1","http://dx.doi.org/10.1007/s11263-012-0564-1")</f>
        <v>http://dx.doi.org/10.1007/s11263-012-0564-1</v>
      </c>
      <c r="BP438" s="89" t="s">
        <v>646</v>
      </c>
      <c r="BQ438" s="89" t="s">
        <v>646</v>
      </c>
      <c r="BR438" s="89" t="s">
        <v>646</v>
      </c>
      <c r="BS438" s="89" t="s">
        <v>646</v>
      </c>
      <c r="BT438" s="89" t="s">
        <v>646</v>
      </c>
      <c r="BU438" s="89" t="s">
        <v>646</v>
      </c>
      <c r="BV438" s="89" t="s">
        <v>646</v>
      </c>
      <c r="BW438" s="89" t="s">
        <v>646</v>
      </c>
      <c r="BX438" s="89" t="s">
        <v>646</v>
      </c>
      <c r="BY438" s="89" t="s">
        <v>646</v>
      </c>
      <c r="BZ438" s="89" t="s">
        <v>646</v>
      </c>
      <c r="CA438" s="89" t="s">
        <v>646</v>
      </c>
      <c r="CB438" s="89" t="s">
        <v>21173</v>
      </c>
      <c r="CC438" s="89" t="str">
        <f>HYPERLINK("https%3A%2F%2Fwww.webofscience.com%2Fwos%2Fwoscc%2Ffull-record%2FWOS:000314278500008","View Full Record in Web of Science")</f>
        <v>View Full Record in Web of Science</v>
      </c>
    </row>
    <row r="439" spans="1:81" ht="13.2" hidden="1" x14ac:dyDescent="0.25">
      <c r="A439" s="89" t="s">
        <v>21174</v>
      </c>
      <c r="B439" s="89" t="e">
        <f>+#REF!</f>
        <v>#REF!</v>
      </c>
      <c r="C439" s="89"/>
      <c r="D439" s="91" t="s">
        <v>717</v>
      </c>
      <c r="E439" s="90" t="e">
        <v>#REF!</v>
      </c>
      <c r="F439" s="89"/>
      <c r="G439" s="89"/>
      <c r="H439" s="89" t="s">
        <v>12720</v>
      </c>
      <c r="I439" s="89" t="s">
        <v>21175</v>
      </c>
      <c r="J439" s="89" t="s">
        <v>21177</v>
      </c>
      <c r="K439" s="89" t="s">
        <v>21176</v>
      </c>
      <c r="M439" s="89">
        <v>2018</v>
      </c>
      <c r="N439" s="89" t="s">
        <v>18448</v>
      </c>
      <c r="O439" s="89" t="s">
        <v>646</v>
      </c>
      <c r="P439" s="89" t="str">
        <f>HYPERLINK("http://dx.doi.org/10.15288/jsad.2018.79.929","http://dx.doi.org/10.15288/jsad.2018.79.929")</f>
        <v>http://dx.doi.org/10.15288/jsad.2018.79.929</v>
      </c>
      <c r="S439" s="89" t="s">
        <v>646</v>
      </c>
      <c r="U439" s="89" t="s">
        <v>17462</v>
      </c>
      <c r="W439" s="89" t="s">
        <v>646</v>
      </c>
      <c r="X439" s="89" t="s">
        <v>646</v>
      </c>
      <c r="Y439" s="89" t="s">
        <v>646</v>
      </c>
      <c r="Z439" s="89" t="s">
        <v>646</v>
      </c>
      <c r="AA439" s="89" t="s">
        <v>646</v>
      </c>
      <c r="AB439" s="89" t="s">
        <v>646</v>
      </c>
      <c r="AC439" s="89" t="s">
        <v>646</v>
      </c>
      <c r="AD439" s="89" t="s">
        <v>646</v>
      </c>
      <c r="AE439" s="89" t="s">
        <v>646</v>
      </c>
      <c r="AF439" s="89" t="s">
        <v>21176</v>
      </c>
      <c r="AG439" s="89" t="s">
        <v>646</v>
      </c>
      <c r="AH439" s="89" t="s">
        <v>646</v>
      </c>
      <c r="AI439" s="89" t="s">
        <v>646</v>
      </c>
      <c r="AJ439" s="89" t="s">
        <v>646</v>
      </c>
      <c r="AK439" s="89" t="s">
        <v>21177</v>
      </c>
      <c r="AL439" s="89" t="s">
        <v>21178</v>
      </c>
      <c r="AM439" s="89" t="s">
        <v>646</v>
      </c>
      <c r="AN439" s="89" t="s">
        <v>646</v>
      </c>
      <c r="AO439" s="89" t="s">
        <v>646</v>
      </c>
      <c r="AP439" s="89" t="s">
        <v>646</v>
      </c>
      <c r="AQ439" s="89" t="s">
        <v>646</v>
      </c>
      <c r="AR439" s="89" t="s">
        <v>646</v>
      </c>
      <c r="AS439" s="89" t="s">
        <v>646</v>
      </c>
      <c r="AT439" s="89" t="s">
        <v>646</v>
      </c>
      <c r="AU439" s="89" t="s">
        <v>646</v>
      </c>
      <c r="AV439" s="89" t="s">
        <v>646</v>
      </c>
      <c r="AW439" s="89" t="s">
        <v>646</v>
      </c>
      <c r="AX439" s="89" t="s">
        <v>646</v>
      </c>
      <c r="AY439" s="89" t="s">
        <v>18452</v>
      </c>
      <c r="AZ439" s="89" t="s">
        <v>18453</v>
      </c>
      <c r="BA439" s="89" t="s">
        <v>646</v>
      </c>
      <c r="BB439" s="89" t="s">
        <v>646</v>
      </c>
      <c r="BC439" s="89" t="s">
        <v>646</v>
      </c>
      <c r="BD439" s="89" t="s">
        <v>18292</v>
      </c>
      <c r="BE439" s="89">
        <v>2018</v>
      </c>
      <c r="BF439" s="89">
        <v>79</v>
      </c>
      <c r="BG439" s="89">
        <v>6</v>
      </c>
      <c r="BH439" s="89" t="s">
        <v>646</v>
      </c>
      <c r="BI439" s="89" t="s">
        <v>646</v>
      </c>
      <c r="BJ439" s="89" t="s">
        <v>646</v>
      </c>
      <c r="BK439" s="89" t="s">
        <v>646</v>
      </c>
      <c r="BL439" s="89">
        <v>929</v>
      </c>
      <c r="BM439" s="89">
        <v>934</v>
      </c>
      <c r="BN439" s="89" t="s">
        <v>646</v>
      </c>
      <c r="BO439" s="89" t="str">
        <f>HYPERLINK("http://dx.doi.org/10.15288/jsad.2018.79.929","http://dx.doi.org/10.15288/jsad.2018.79.929")</f>
        <v>http://dx.doi.org/10.15288/jsad.2018.79.929</v>
      </c>
      <c r="BP439" s="89" t="s">
        <v>646</v>
      </c>
      <c r="BQ439" s="89" t="s">
        <v>646</v>
      </c>
      <c r="BR439" s="89" t="s">
        <v>646</v>
      </c>
      <c r="BS439" s="89" t="s">
        <v>646</v>
      </c>
      <c r="BT439" s="89" t="s">
        <v>646</v>
      </c>
      <c r="BU439" s="89" t="s">
        <v>646</v>
      </c>
      <c r="BV439" s="89" t="s">
        <v>646</v>
      </c>
      <c r="BW439" s="89">
        <v>30573024</v>
      </c>
      <c r="BX439" s="89" t="s">
        <v>646</v>
      </c>
      <c r="BY439" s="89" t="s">
        <v>646</v>
      </c>
      <c r="BZ439" s="89" t="s">
        <v>646</v>
      </c>
      <c r="CA439" s="89" t="s">
        <v>646</v>
      </c>
      <c r="CB439" s="89" t="s">
        <v>21179</v>
      </c>
      <c r="CC439" s="89" t="str">
        <f>HYPERLINK("https%3A%2F%2Fwww.webofscience.com%2Fwos%2Fwoscc%2Ffull-record%2FWOS:000454777200014","View Full Record in Web of Science")</f>
        <v>View Full Record in Web of Science</v>
      </c>
    </row>
    <row r="440" spans="1:81" ht="13.2" hidden="1" x14ac:dyDescent="0.25">
      <c r="A440" s="89" t="s">
        <v>12729</v>
      </c>
      <c r="B440" s="89" t="e">
        <f>+#REF!</f>
        <v>#REF!</v>
      </c>
      <c r="C440" s="89"/>
      <c r="D440" s="91" t="s">
        <v>717</v>
      </c>
      <c r="E440" s="90" t="e">
        <v>#REF!</v>
      </c>
      <c r="F440" s="89"/>
      <c r="G440" s="89"/>
      <c r="H440" s="89" t="s">
        <v>12730</v>
      </c>
      <c r="I440" s="89" t="s">
        <v>21180</v>
      </c>
      <c r="J440" s="89" t="s">
        <v>646</v>
      </c>
      <c r="K440" s="89" t="s">
        <v>21182</v>
      </c>
      <c r="M440" s="89">
        <v>2019</v>
      </c>
      <c r="N440" s="89" t="s">
        <v>21181</v>
      </c>
      <c r="O440" s="89" t="s">
        <v>646</v>
      </c>
      <c r="P440" s="89" t="str">
        <f>HYPERLINK("http://dx.doi.org/10.1037/pha0000240","http://dx.doi.org/10.1037/pha0000240")</f>
        <v>http://dx.doi.org/10.1037/pha0000240</v>
      </c>
      <c r="S440" s="89" t="s">
        <v>646</v>
      </c>
      <c r="U440" s="89" t="s">
        <v>17462</v>
      </c>
      <c r="W440" s="89" t="s">
        <v>646</v>
      </c>
      <c r="X440" s="89" t="s">
        <v>646</v>
      </c>
      <c r="Y440" s="89" t="s">
        <v>646</v>
      </c>
      <c r="Z440" s="89" t="s">
        <v>646</v>
      </c>
      <c r="AA440" s="89" t="s">
        <v>646</v>
      </c>
      <c r="AB440" s="89" t="s">
        <v>646</v>
      </c>
      <c r="AC440" s="89" t="s">
        <v>646</v>
      </c>
      <c r="AD440" s="89" t="s">
        <v>646</v>
      </c>
      <c r="AE440" s="89" t="s">
        <v>646</v>
      </c>
      <c r="AF440" s="89" t="s">
        <v>21182</v>
      </c>
      <c r="AG440" s="89" t="s">
        <v>646</v>
      </c>
      <c r="AH440" s="89" t="s">
        <v>646</v>
      </c>
      <c r="AI440" s="89" t="s">
        <v>646</v>
      </c>
      <c r="AJ440" s="89" t="s">
        <v>646</v>
      </c>
      <c r="AK440" s="89" t="s">
        <v>646</v>
      </c>
      <c r="AL440" s="89" t="s">
        <v>646</v>
      </c>
      <c r="AM440" s="89" t="s">
        <v>646</v>
      </c>
      <c r="AN440" s="89" t="s">
        <v>646</v>
      </c>
      <c r="AO440" s="89" t="s">
        <v>646</v>
      </c>
      <c r="AP440" s="89" t="s">
        <v>646</v>
      </c>
      <c r="AQ440" s="89" t="s">
        <v>646</v>
      </c>
      <c r="AR440" s="89" t="s">
        <v>646</v>
      </c>
      <c r="AS440" s="89" t="s">
        <v>646</v>
      </c>
      <c r="AT440" s="89" t="s">
        <v>646</v>
      </c>
      <c r="AU440" s="89" t="s">
        <v>646</v>
      </c>
      <c r="AV440" s="89" t="s">
        <v>646</v>
      </c>
      <c r="AW440" s="89" t="s">
        <v>646</v>
      </c>
      <c r="AX440" s="89" t="s">
        <v>646</v>
      </c>
      <c r="AY440" s="89" t="s">
        <v>21183</v>
      </c>
      <c r="AZ440" s="89" t="s">
        <v>21184</v>
      </c>
      <c r="BA440" s="89" t="s">
        <v>646</v>
      </c>
      <c r="BB440" s="89" t="s">
        <v>646</v>
      </c>
      <c r="BC440" s="89" t="s">
        <v>646</v>
      </c>
      <c r="BD440" s="89" t="s">
        <v>17823</v>
      </c>
      <c r="BE440" s="89">
        <v>2019</v>
      </c>
      <c r="BF440" s="89">
        <v>27</v>
      </c>
      <c r="BG440" s="89">
        <v>2</v>
      </c>
      <c r="BH440" s="89" t="s">
        <v>646</v>
      </c>
      <c r="BI440" s="89" t="s">
        <v>646</v>
      </c>
      <c r="BJ440" s="89" t="s">
        <v>646</v>
      </c>
      <c r="BK440" s="89" t="s">
        <v>646</v>
      </c>
      <c r="BL440" s="89">
        <v>109</v>
      </c>
      <c r="BM440" s="89">
        <v>114</v>
      </c>
      <c r="BN440" s="89" t="s">
        <v>646</v>
      </c>
      <c r="BO440" s="89" t="str">
        <f>HYPERLINK("http://dx.doi.org/10.1037/pha0000240","http://dx.doi.org/10.1037/pha0000240")</f>
        <v>http://dx.doi.org/10.1037/pha0000240</v>
      </c>
      <c r="BP440" s="89" t="s">
        <v>646</v>
      </c>
      <c r="BQ440" s="89" t="s">
        <v>646</v>
      </c>
      <c r="BR440" s="89" t="s">
        <v>646</v>
      </c>
      <c r="BS440" s="89" t="s">
        <v>646</v>
      </c>
      <c r="BT440" s="89" t="s">
        <v>646</v>
      </c>
      <c r="BU440" s="89" t="s">
        <v>646</v>
      </c>
      <c r="BV440" s="89" t="s">
        <v>646</v>
      </c>
      <c r="BW440" s="89">
        <v>30475012</v>
      </c>
      <c r="BX440" s="89" t="s">
        <v>646</v>
      </c>
      <c r="BY440" s="89" t="s">
        <v>646</v>
      </c>
      <c r="BZ440" s="89" t="s">
        <v>646</v>
      </c>
      <c r="CA440" s="89" t="s">
        <v>646</v>
      </c>
      <c r="CB440" s="89" t="s">
        <v>21185</v>
      </c>
      <c r="CC440" s="89" t="str">
        <f>HYPERLINK("https%3A%2F%2Fwww.webofscience.com%2Fwos%2Fwoscc%2Ffull-record%2FWOS:000462868100002","View Full Record in Web of Science")</f>
        <v>View Full Record in Web of Science</v>
      </c>
    </row>
    <row r="441" spans="1:81" ht="13.2" hidden="1" x14ac:dyDescent="0.25">
      <c r="A441" s="89" t="s">
        <v>21186</v>
      </c>
      <c r="B441" s="89" t="e">
        <f>+#REF!</f>
        <v>#REF!</v>
      </c>
      <c r="C441" s="89"/>
      <c r="D441" s="91" t="s">
        <v>717</v>
      </c>
      <c r="E441" s="90" t="e">
        <v>#REF!</v>
      </c>
      <c r="F441" s="89"/>
      <c r="G441" s="89"/>
      <c r="H441" s="89" t="s">
        <v>12739</v>
      </c>
      <c r="I441" s="89" t="s">
        <v>21187</v>
      </c>
      <c r="J441" s="89" t="s">
        <v>646</v>
      </c>
      <c r="K441" s="89" t="s">
        <v>21188</v>
      </c>
      <c r="M441" s="89">
        <v>2015</v>
      </c>
      <c r="N441" s="89" t="s">
        <v>19023</v>
      </c>
      <c r="O441" s="89" t="s">
        <v>646</v>
      </c>
      <c r="P441" s="89" t="str">
        <f>HYPERLINK("http://dx.doi.org/10.2196/jmir.3558","http://dx.doi.org/10.2196/jmir.3558")</f>
        <v>http://dx.doi.org/10.2196/jmir.3558</v>
      </c>
      <c r="S441" s="89" t="s">
        <v>646</v>
      </c>
      <c r="U441" s="89" t="s">
        <v>17462</v>
      </c>
      <c r="W441" s="89" t="s">
        <v>646</v>
      </c>
      <c r="X441" s="89" t="s">
        <v>646</v>
      </c>
      <c r="Y441" s="89" t="s">
        <v>646</v>
      </c>
      <c r="Z441" s="89" t="s">
        <v>646</v>
      </c>
      <c r="AA441" s="89" t="s">
        <v>646</v>
      </c>
      <c r="AB441" s="89" t="s">
        <v>646</v>
      </c>
      <c r="AC441" s="89" t="s">
        <v>646</v>
      </c>
      <c r="AD441" s="89" t="s">
        <v>646</v>
      </c>
      <c r="AE441" s="89" t="s">
        <v>646</v>
      </c>
      <c r="AF441" s="89" t="s">
        <v>21188</v>
      </c>
      <c r="AG441" s="89" t="s">
        <v>646</v>
      </c>
      <c r="AH441" s="89" t="s">
        <v>646</v>
      </c>
      <c r="AI441" s="89" t="s">
        <v>646</v>
      </c>
      <c r="AJ441" s="89" t="s">
        <v>646</v>
      </c>
      <c r="AK441" s="89" t="s">
        <v>646</v>
      </c>
      <c r="AL441" s="89" t="s">
        <v>646</v>
      </c>
      <c r="AM441" s="89" t="s">
        <v>646</v>
      </c>
      <c r="AN441" s="89" t="s">
        <v>646</v>
      </c>
      <c r="AO441" s="89" t="s">
        <v>646</v>
      </c>
      <c r="AP441" s="89" t="s">
        <v>646</v>
      </c>
      <c r="AQ441" s="89" t="s">
        <v>646</v>
      </c>
      <c r="AR441" s="89" t="s">
        <v>646</v>
      </c>
      <c r="AS441" s="89" t="s">
        <v>646</v>
      </c>
      <c r="AT441" s="89" t="s">
        <v>646</v>
      </c>
      <c r="AU441" s="89" t="s">
        <v>646</v>
      </c>
      <c r="AV441" s="89" t="s">
        <v>646</v>
      </c>
      <c r="AW441" s="89" t="s">
        <v>646</v>
      </c>
      <c r="AX441" s="89" t="s">
        <v>646</v>
      </c>
      <c r="AY441" s="89" t="s">
        <v>19026</v>
      </c>
      <c r="AZ441" s="89" t="s">
        <v>646</v>
      </c>
      <c r="BA441" s="89" t="s">
        <v>646</v>
      </c>
      <c r="BB441" s="89" t="s">
        <v>646</v>
      </c>
      <c r="BC441" s="89" t="s">
        <v>646</v>
      </c>
      <c r="BD441" s="89" t="s">
        <v>17823</v>
      </c>
      <c r="BE441" s="89">
        <v>2015</v>
      </c>
      <c r="BF441" s="89">
        <v>17</v>
      </c>
      <c r="BG441" s="89">
        <v>4</v>
      </c>
      <c r="BH441" s="89" t="s">
        <v>646</v>
      </c>
      <c r="BI441" s="89" t="s">
        <v>646</v>
      </c>
      <c r="BJ441" s="89" t="s">
        <v>646</v>
      </c>
      <c r="BK441" s="89" t="s">
        <v>646</v>
      </c>
      <c r="BL441" s="89" t="s">
        <v>646</v>
      </c>
      <c r="BM441" s="89" t="s">
        <v>646</v>
      </c>
      <c r="BN441" s="89" t="s">
        <v>21189</v>
      </c>
      <c r="BO441" s="89" t="str">
        <f>HYPERLINK("http://dx.doi.org/10.2196/jmir.3558","http://dx.doi.org/10.2196/jmir.3558")</f>
        <v>http://dx.doi.org/10.2196/jmir.3558</v>
      </c>
      <c r="BP441" s="89" t="s">
        <v>646</v>
      </c>
      <c r="BQ441" s="89" t="s">
        <v>646</v>
      </c>
      <c r="BR441" s="89" t="s">
        <v>646</v>
      </c>
      <c r="BS441" s="89" t="s">
        <v>646</v>
      </c>
      <c r="BT441" s="89" t="s">
        <v>646</v>
      </c>
      <c r="BU441" s="89" t="s">
        <v>646</v>
      </c>
      <c r="BV441" s="89" t="s">
        <v>646</v>
      </c>
      <c r="BW441" s="89">
        <v>25896033</v>
      </c>
      <c r="BX441" s="89" t="s">
        <v>646</v>
      </c>
      <c r="BY441" s="89" t="s">
        <v>646</v>
      </c>
      <c r="BZ441" s="89" t="s">
        <v>646</v>
      </c>
      <c r="CA441" s="89" t="s">
        <v>646</v>
      </c>
      <c r="CB441" s="89" t="s">
        <v>21190</v>
      </c>
      <c r="CC441" s="89" t="str">
        <f>HYPERLINK("https%3A%2F%2Fwww.webofscience.com%2Fwos%2Fwoscc%2Ffull-record%2FWOS:000353928600005","View Full Record in Web of Science")</f>
        <v>View Full Record in Web of Science</v>
      </c>
    </row>
    <row r="442" spans="1:81" ht="13.2" hidden="1" x14ac:dyDescent="0.25">
      <c r="A442" s="89" t="s">
        <v>21191</v>
      </c>
      <c r="B442" s="89" t="e">
        <f>+#REF!</f>
        <v>#REF!</v>
      </c>
      <c r="C442" s="89"/>
      <c r="D442" s="91" t="s">
        <v>717</v>
      </c>
      <c r="E442" s="90" t="e">
        <v>#REF!</v>
      </c>
      <c r="F442" s="89"/>
      <c r="G442" s="89"/>
      <c r="H442" s="89" t="s">
        <v>12748</v>
      </c>
      <c r="I442" s="89" t="s">
        <v>21192</v>
      </c>
      <c r="J442" s="89" t="s">
        <v>21194</v>
      </c>
      <c r="K442" s="89" t="s">
        <v>21193</v>
      </c>
      <c r="M442" s="89">
        <v>2021</v>
      </c>
      <c r="N442" s="89" t="s">
        <v>18712</v>
      </c>
      <c r="O442" s="89" t="s">
        <v>646</v>
      </c>
      <c r="P442" s="89" t="str">
        <f>HYPERLINK("http://dx.doi.org/10.1111/bjir.12563","http://dx.doi.org/10.1111/bjir.12563")</f>
        <v>http://dx.doi.org/10.1111/bjir.12563</v>
      </c>
      <c r="S442" s="89" t="s">
        <v>646</v>
      </c>
      <c r="U442" s="89" t="s">
        <v>17462</v>
      </c>
      <c r="W442" s="89" t="s">
        <v>646</v>
      </c>
      <c r="X442" s="89" t="s">
        <v>646</v>
      </c>
      <c r="Y442" s="89" t="s">
        <v>646</v>
      </c>
      <c r="Z442" s="89" t="s">
        <v>646</v>
      </c>
      <c r="AA442" s="89" t="s">
        <v>646</v>
      </c>
      <c r="AB442" s="89" t="s">
        <v>646</v>
      </c>
      <c r="AC442" s="89" t="s">
        <v>646</v>
      </c>
      <c r="AD442" s="89" t="s">
        <v>646</v>
      </c>
      <c r="AE442" s="89" t="s">
        <v>646</v>
      </c>
      <c r="AF442" s="89" t="s">
        <v>21193</v>
      </c>
      <c r="AG442" s="89" t="s">
        <v>646</v>
      </c>
      <c r="AH442" s="89" t="s">
        <v>646</v>
      </c>
      <c r="AI442" s="89" t="s">
        <v>646</v>
      </c>
      <c r="AJ442" s="89" t="s">
        <v>646</v>
      </c>
      <c r="AK442" s="89" t="s">
        <v>21194</v>
      </c>
      <c r="AL442" s="89" t="s">
        <v>21195</v>
      </c>
      <c r="AM442" s="89" t="s">
        <v>646</v>
      </c>
      <c r="AN442" s="89" t="s">
        <v>646</v>
      </c>
      <c r="AO442" s="89" t="s">
        <v>646</v>
      </c>
      <c r="AP442" s="89" t="s">
        <v>646</v>
      </c>
      <c r="AQ442" s="89" t="s">
        <v>646</v>
      </c>
      <c r="AR442" s="89" t="s">
        <v>646</v>
      </c>
      <c r="AS442" s="89" t="s">
        <v>646</v>
      </c>
      <c r="AT442" s="89" t="s">
        <v>646</v>
      </c>
      <c r="AU442" s="89" t="s">
        <v>646</v>
      </c>
      <c r="AV442" s="89" t="s">
        <v>646</v>
      </c>
      <c r="AW442" s="89" t="s">
        <v>646</v>
      </c>
      <c r="AX442" s="89" t="s">
        <v>646</v>
      </c>
      <c r="AY442" s="89" t="s">
        <v>18716</v>
      </c>
      <c r="AZ442" s="89" t="s">
        <v>18717</v>
      </c>
      <c r="BA442" s="89" t="s">
        <v>646</v>
      </c>
      <c r="BB442" s="89" t="s">
        <v>646</v>
      </c>
      <c r="BC442" s="89" t="s">
        <v>646</v>
      </c>
      <c r="BD442" s="89" t="s">
        <v>17772</v>
      </c>
      <c r="BE442" s="89">
        <v>2021</v>
      </c>
      <c r="BF442" s="89">
        <v>59</v>
      </c>
      <c r="BG442" s="89">
        <v>2</v>
      </c>
      <c r="BH442" s="89" t="s">
        <v>646</v>
      </c>
      <c r="BI442" s="89" t="s">
        <v>646</v>
      </c>
      <c r="BJ442" s="89" t="s">
        <v>646</v>
      </c>
      <c r="BK442" s="89" t="s">
        <v>646</v>
      </c>
      <c r="BL442" s="89">
        <v>444</v>
      </c>
      <c r="BM442" s="89">
        <v>473</v>
      </c>
      <c r="BN442" s="89" t="s">
        <v>646</v>
      </c>
      <c r="BO442" s="89" t="str">
        <f>HYPERLINK("http://dx.doi.org/10.1111/bjir.12563","http://dx.doi.org/10.1111/bjir.12563")</f>
        <v>http://dx.doi.org/10.1111/bjir.12563</v>
      </c>
      <c r="BP442" s="89" t="s">
        <v>646</v>
      </c>
      <c r="BQ442" s="89" t="s">
        <v>18873</v>
      </c>
      <c r="BR442" s="89" t="s">
        <v>646</v>
      </c>
      <c r="BS442" s="89" t="s">
        <v>646</v>
      </c>
      <c r="BT442" s="89" t="s">
        <v>646</v>
      </c>
      <c r="BU442" s="89" t="s">
        <v>646</v>
      </c>
      <c r="BV442" s="89" t="s">
        <v>646</v>
      </c>
      <c r="BW442" s="89" t="s">
        <v>646</v>
      </c>
      <c r="BX442" s="89" t="s">
        <v>646</v>
      </c>
      <c r="BY442" s="89" t="s">
        <v>646</v>
      </c>
      <c r="BZ442" s="89" t="s">
        <v>646</v>
      </c>
      <c r="CA442" s="89" t="s">
        <v>646</v>
      </c>
      <c r="CB442" s="89" t="s">
        <v>21196</v>
      </c>
      <c r="CC442" s="89" t="str">
        <f>HYPERLINK("https%3A%2F%2Fwww.webofscience.com%2Fwos%2Fwoscc%2Ffull-record%2FWOS:000550569500001","View Full Record in Web of Science")</f>
        <v>View Full Record in Web of Science</v>
      </c>
    </row>
    <row r="443" spans="1:81" ht="13.2" hidden="1" x14ac:dyDescent="0.25">
      <c r="A443" s="89" t="s">
        <v>21197</v>
      </c>
      <c r="B443" s="89" t="e">
        <f>+#REF!</f>
        <v>#REF!</v>
      </c>
      <c r="C443" s="89"/>
      <c r="D443" s="91" t="s">
        <v>717</v>
      </c>
      <c r="E443" s="90" t="e">
        <v>#REF!</v>
      </c>
      <c r="F443" s="89"/>
      <c r="G443" s="89"/>
      <c r="H443" s="89" t="s">
        <v>12758</v>
      </c>
      <c r="I443" s="89" t="s">
        <v>21198</v>
      </c>
      <c r="J443" s="89" t="s">
        <v>646</v>
      </c>
      <c r="K443" s="89" t="s">
        <v>12760</v>
      </c>
      <c r="M443" s="89">
        <v>2014</v>
      </c>
      <c r="N443" s="89" t="s">
        <v>21199</v>
      </c>
      <c r="O443" s="89" t="s">
        <v>646</v>
      </c>
      <c r="P443" s="89" t="str">
        <f>HYPERLINK("http://dx.doi.org/10.1145/2647868.2655019","http://dx.doi.org/10.1145/2647868.2655019")</f>
        <v>http://dx.doi.org/10.1145/2647868.2655019</v>
      </c>
      <c r="S443" s="89" t="s">
        <v>19206</v>
      </c>
      <c r="U443" s="89" t="s">
        <v>17474</v>
      </c>
      <c r="W443" s="89" t="s">
        <v>646</v>
      </c>
      <c r="X443" s="89" t="s">
        <v>646</v>
      </c>
      <c r="Y443" s="89" t="s">
        <v>21200</v>
      </c>
      <c r="Z443" s="89" t="s">
        <v>21201</v>
      </c>
      <c r="AA443" s="89" t="s">
        <v>21202</v>
      </c>
      <c r="AB443" s="89" t="s">
        <v>21203</v>
      </c>
      <c r="AC443" s="89" t="s">
        <v>21204</v>
      </c>
      <c r="AD443" s="89" t="s">
        <v>646</v>
      </c>
      <c r="AE443" s="89" t="s">
        <v>646</v>
      </c>
      <c r="AF443" s="89" t="s">
        <v>12760</v>
      </c>
      <c r="AG443" s="89" t="s">
        <v>646</v>
      </c>
      <c r="AH443" s="89" t="s">
        <v>646</v>
      </c>
      <c r="AI443" s="89" t="s">
        <v>646</v>
      </c>
      <c r="AJ443" s="89" t="s">
        <v>646</v>
      </c>
      <c r="AK443" s="89" t="s">
        <v>646</v>
      </c>
      <c r="AL443" s="89" t="s">
        <v>646</v>
      </c>
      <c r="AM443" s="89" t="s">
        <v>646</v>
      </c>
      <c r="AN443" s="89" t="s">
        <v>646</v>
      </c>
      <c r="AO443" s="89" t="s">
        <v>646</v>
      </c>
      <c r="AP443" s="89" t="s">
        <v>646</v>
      </c>
      <c r="AQ443" s="89" t="s">
        <v>646</v>
      </c>
      <c r="AR443" s="89" t="s">
        <v>646</v>
      </c>
      <c r="AS443" s="89" t="s">
        <v>646</v>
      </c>
      <c r="AT443" s="89" t="s">
        <v>646</v>
      </c>
      <c r="AU443" s="89" t="s">
        <v>646</v>
      </c>
      <c r="AV443" s="89" t="s">
        <v>646</v>
      </c>
      <c r="AW443" s="89" t="s">
        <v>646</v>
      </c>
      <c r="AX443" s="89" t="s">
        <v>646</v>
      </c>
      <c r="AY443" s="89" t="s">
        <v>646</v>
      </c>
      <c r="AZ443" s="89" t="s">
        <v>646</v>
      </c>
      <c r="BA443" s="89" t="s">
        <v>21205</v>
      </c>
      <c r="BB443" s="89" t="s">
        <v>646</v>
      </c>
      <c r="BC443" s="89" t="s">
        <v>646</v>
      </c>
      <c r="BD443" s="89" t="s">
        <v>646</v>
      </c>
      <c r="BE443" s="89">
        <v>2014</v>
      </c>
      <c r="BF443" s="89" t="s">
        <v>646</v>
      </c>
      <c r="BG443" s="89" t="s">
        <v>646</v>
      </c>
      <c r="BH443" s="89" t="s">
        <v>646</v>
      </c>
      <c r="BI443" s="89" t="s">
        <v>646</v>
      </c>
      <c r="BJ443" s="89" t="s">
        <v>646</v>
      </c>
      <c r="BK443" s="89" t="s">
        <v>646</v>
      </c>
      <c r="BL443" s="89">
        <v>1161</v>
      </c>
      <c r="BM443" s="89">
        <v>1164</v>
      </c>
      <c r="BN443" s="89" t="s">
        <v>646</v>
      </c>
      <c r="BO443" s="89" t="str">
        <f>HYPERLINK("http://dx.doi.org/10.1145/2647868.2655019","http://dx.doi.org/10.1145/2647868.2655019")</f>
        <v>http://dx.doi.org/10.1145/2647868.2655019</v>
      </c>
      <c r="BP443" s="89" t="s">
        <v>646</v>
      </c>
      <c r="BQ443" s="89" t="s">
        <v>646</v>
      </c>
      <c r="BR443" s="89" t="s">
        <v>646</v>
      </c>
      <c r="BS443" s="89" t="s">
        <v>646</v>
      </c>
      <c r="BT443" s="89" t="s">
        <v>646</v>
      </c>
      <c r="BU443" s="89" t="s">
        <v>646</v>
      </c>
      <c r="BV443" s="89" t="s">
        <v>646</v>
      </c>
      <c r="BW443" s="89" t="s">
        <v>646</v>
      </c>
      <c r="BX443" s="89" t="s">
        <v>646</v>
      </c>
      <c r="BY443" s="89" t="s">
        <v>646</v>
      </c>
      <c r="BZ443" s="89" t="s">
        <v>646</v>
      </c>
      <c r="CA443" s="89" t="s">
        <v>646</v>
      </c>
      <c r="CB443" s="89" t="s">
        <v>21206</v>
      </c>
      <c r="CC443" s="89" t="str">
        <f>HYPERLINK("https%3A%2F%2Fwww.webofscience.com%2Fwos%2Fwoscc%2Ffull-record%2FWOS:000482104200216","View Full Record in Web of Science")</f>
        <v>View Full Record in Web of Science</v>
      </c>
    </row>
    <row r="444" spans="1:81" ht="13.2" hidden="1" x14ac:dyDescent="0.25">
      <c r="A444" s="89" t="s">
        <v>21207</v>
      </c>
      <c r="B444" s="89" t="e">
        <f>+#REF!</f>
        <v>#REF!</v>
      </c>
      <c r="C444" s="89"/>
      <c r="D444" s="91" t="s">
        <v>717</v>
      </c>
      <c r="E444" s="90" t="e">
        <v>#REF!</v>
      </c>
      <c r="F444" s="89"/>
      <c r="G444" s="89"/>
      <c r="H444" s="89" t="s">
        <v>16433</v>
      </c>
      <c r="I444" s="89" t="s">
        <v>21208</v>
      </c>
      <c r="J444" s="89" t="s">
        <v>646</v>
      </c>
      <c r="K444" s="89" t="s">
        <v>21210</v>
      </c>
      <c r="M444" s="89">
        <v>2021</v>
      </c>
      <c r="N444" s="89" t="s">
        <v>21209</v>
      </c>
      <c r="O444" s="89" t="s">
        <v>646</v>
      </c>
      <c r="P444" s="89" t="str">
        <f>HYPERLINK("http://dx.doi.org/10.1002/nvsm.1695","http://dx.doi.org/10.1002/nvsm.1695")</f>
        <v>http://dx.doi.org/10.1002/nvsm.1695</v>
      </c>
      <c r="S444" s="89" t="s">
        <v>646</v>
      </c>
      <c r="U444" s="89" t="s">
        <v>17462</v>
      </c>
      <c r="W444" s="89" t="s">
        <v>646</v>
      </c>
      <c r="X444" s="89" t="s">
        <v>646</v>
      </c>
      <c r="Y444" s="89" t="s">
        <v>646</v>
      </c>
      <c r="Z444" s="89" t="s">
        <v>646</v>
      </c>
      <c r="AA444" s="89" t="s">
        <v>646</v>
      </c>
      <c r="AB444" s="89" t="s">
        <v>646</v>
      </c>
      <c r="AC444" s="89" t="s">
        <v>646</v>
      </c>
      <c r="AD444" s="89" t="s">
        <v>646</v>
      </c>
      <c r="AE444" s="89" t="s">
        <v>646</v>
      </c>
      <c r="AF444" s="89" t="s">
        <v>21210</v>
      </c>
      <c r="AG444" s="89" t="s">
        <v>646</v>
      </c>
      <c r="AH444" s="89" t="s">
        <v>646</v>
      </c>
      <c r="AI444" s="89" t="s">
        <v>646</v>
      </c>
      <c r="AJ444" s="89" t="s">
        <v>646</v>
      </c>
      <c r="AK444" s="89" t="s">
        <v>646</v>
      </c>
      <c r="AL444" s="89" t="s">
        <v>21211</v>
      </c>
      <c r="AM444" s="89" t="s">
        <v>646</v>
      </c>
      <c r="AN444" s="89" t="s">
        <v>646</v>
      </c>
      <c r="AO444" s="89" t="s">
        <v>646</v>
      </c>
      <c r="AP444" s="89" t="s">
        <v>646</v>
      </c>
      <c r="AQ444" s="89" t="s">
        <v>646</v>
      </c>
      <c r="AR444" s="89" t="s">
        <v>646</v>
      </c>
      <c r="AS444" s="89" t="s">
        <v>646</v>
      </c>
      <c r="AT444" s="89" t="s">
        <v>646</v>
      </c>
      <c r="AU444" s="89" t="s">
        <v>646</v>
      </c>
      <c r="AV444" s="89" t="s">
        <v>646</v>
      </c>
      <c r="AW444" s="89" t="s">
        <v>646</v>
      </c>
      <c r="AX444" s="89" t="s">
        <v>646</v>
      </c>
      <c r="AY444" s="89" t="s">
        <v>21212</v>
      </c>
      <c r="AZ444" s="89" t="s">
        <v>21213</v>
      </c>
      <c r="BA444" s="89" t="s">
        <v>646</v>
      </c>
      <c r="BB444" s="89" t="s">
        <v>646</v>
      </c>
      <c r="BC444" s="89" t="s">
        <v>646</v>
      </c>
      <c r="BD444" s="89" t="s">
        <v>18655</v>
      </c>
      <c r="BE444" s="89">
        <v>2021</v>
      </c>
      <c r="BF444" s="89">
        <v>26</v>
      </c>
      <c r="BG444" s="89">
        <v>3</v>
      </c>
      <c r="BH444" s="89" t="s">
        <v>646</v>
      </c>
      <c r="BI444" s="89" t="s">
        <v>646</v>
      </c>
      <c r="BJ444" s="89" t="s">
        <v>646</v>
      </c>
      <c r="BK444" s="89" t="s">
        <v>646</v>
      </c>
      <c r="BL444" s="89" t="s">
        <v>646</v>
      </c>
      <c r="BM444" s="89" t="s">
        <v>646</v>
      </c>
      <c r="BN444" s="89" t="s">
        <v>21214</v>
      </c>
      <c r="BO444" s="89" t="str">
        <f>HYPERLINK("http://dx.doi.org/10.1002/nvsm.1695","http://dx.doi.org/10.1002/nvsm.1695")</f>
        <v>http://dx.doi.org/10.1002/nvsm.1695</v>
      </c>
      <c r="BP444" s="89" t="s">
        <v>646</v>
      </c>
      <c r="BQ444" s="89" t="s">
        <v>19874</v>
      </c>
      <c r="BR444" s="89" t="s">
        <v>646</v>
      </c>
      <c r="BS444" s="89" t="s">
        <v>646</v>
      </c>
      <c r="BT444" s="89" t="s">
        <v>646</v>
      </c>
      <c r="BU444" s="89" t="s">
        <v>646</v>
      </c>
      <c r="BV444" s="89" t="s">
        <v>646</v>
      </c>
      <c r="BW444" s="89" t="s">
        <v>646</v>
      </c>
      <c r="BX444" s="89" t="s">
        <v>646</v>
      </c>
      <c r="BY444" s="89" t="s">
        <v>646</v>
      </c>
      <c r="BZ444" s="89" t="s">
        <v>646</v>
      </c>
      <c r="CA444" s="89" t="s">
        <v>646</v>
      </c>
      <c r="CB444" s="89" t="s">
        <v>21215</v>
      </c>
      <c r="CC444" s="89" t="str">
        <f>HYPERLINK("https%3A%2F%2Fwww.webofscience.com%2Fwos%2Fwoscc%2Ffull-record%2FWOS:000571416700001","View Full Record in Web of Science")</f>
        <v>View Full Record in Web of Science</v>
      </c>
    </row>
    <row r="445" spans="1:81" ht="13.2" hidden="1" x14ac:dyDescent="0.25">
      <c r="A445" s="89" t="s">
        <v>12766</v>
      </c>
      <c r="B445" s="89" t="e">
        <f>+#REF!</f>
        <v>#REF!</v>
      </c>
      <c r="C445" s="89"/>
      <c r="D445" s="91" t="s">
        <v>717</v>
      </c>
      <c r="E445" s="90" t="e">
        <v>#REF!</v>
      </c>
      <c r="F445" s="89"/>
      <c r="G445" s="89"/>
      <c r="H445" s="89" t="s">
        <v>12767</v>
      </c>
      <c r="I445" s="89" t="s">
        <v>21216</v>
      </c>
      <c r="J445" s="89" t="s">
        <v>21218</v>
      </c>
      <c r="K445" s="89" t="s">
        <v>21217</v>
      </c>
      <c r="M445" s="89">
        <v>2009</v>
      </c>
      <c r="N445" s="89" t="s">
        <v>18779</v>
      </c>
      <c r="O445" s="89" t="s">
        <v>646</v>
      </c>
      <c r="P445" s="89" t="str">
        <f>HYPERLINK("http://dx.doi.org/10.1016/j.infsof.2009.05.002","http://dx.doi.org/10.1016/j.infsof.2009.05.002")</f>
        <v>http://dx.doi.org/10.1016/j.infsof.2009.05.002</v>
      </c>
      <c r="S445" s="89" t="s">
        <v>646</v>
      </c>
      <c r="U445" s="89" t="s">
        <v>17462</v>
      </c>
      <c r="W445" s="89" t="s">
        <v>646</v>
      </c>
      <c r="X445" s="89" t="s">
        <v>646</v>
      </c>
      <c r="Y445" s="89" t="s">
        <v>646</v>
      </c>
      <c r="Z445" s="89" t="s">
        <v>646</v>
      </c>
      <c r="AA445" s="89" t="s">
        <v>646</v>
      </c>
      <c r="AB445" s="89" t="s">
        <v>646</v>
      </c>
      <c r="AC445" s="89" t="s">
        <v>646</v>
      </c>
      <c r="AD445" s="89" t="s">
        <v>646</v>
      </c>
      <c r="AE445" s="89" t="s">
        <v>646</v>
      </c>
      <c r="AF445" s="89" t="s">
        <v>21217</v>
      </c>
      <c r="AG445" s="89" t="s">
        <v>646</v>
      </c>
      <c r="AH445" s="89" t="s">
        <v>646</v>
      </c>
      <c r="AI445" s="89" t="s">
        <v>646</v>
      </c>
      <c r="AJ445" s="89" t="s">
        <v>646</v>
      </c>
      <c r="AK445" s="89" t="s">
        <v>21218</v>
      </c>
      <c r="AL445" s="89" t="s">
        <v>21219</v>
      </c>
      <c r="AM445" s="89" t="s">
        <v>646</v>
      </c>
      <c r="AN445" s="89" t="s">
        <v>646</v>
      </c>
      <c r="AO445" s="89" t="s">
        <v>646</v>
      </c>
      <c r="AP445" s="89" t="s">
        <v>646</v>
      </c>
      <c r="AQ445" s="89" t="s">
        <v>646</v>
      </c>
      <c r="AR445" s="89" t="s">
        <v>646</v>
      </c>
      <c r="AS445" s="89" t="s">
        <v>646</v>
      </c>
      <c r="AT445" s="89" t="s">
        <v>646</v>
      </c>
      <c r="AU445" s="89" t="s">
        <v>646</v>
      </c>
      <c r="AV445" s="89" t="s">
        <v>646</v>
      </c>
      <c r="AW445" s="89" t="s">
        <v>646</v>
      </c>
      <c r="AX445" s="89" t="s">
        <v>646</v>
      </c>
      <c r="AY445" s="89" t="s">
        <v>18782</v>
      </c>
      <c r="AZ445" s="89" t="s">
        <v>18783</v>
      </c>
      <c r="BA445" s="89" t="s">
        <v>646</v>
      </c>
      <c r="BB445" s="89" t="s">
        <v>646</v>
      </c>
      <c r="BC445" s="89" t="s">
        <v>646</v>
      </c>
      <c r="BD445" s="89" t="s">
        <v>17739</v>
      </c>
      <c r="BE445" s="89">
        <v>2009</v>
      </c>
      <c r="BF445" s="89">
        <v>51</v>
      </c>
      <c r="BG445" s="89">
        <v>9</v>
      </c>
      <c r="BH445" s="89" t="s">
        <v>646</v>
      </c>
      <c r="BI445" s="89" t="s">
        <v>646</v>
      </c>
      <c r="BJ445" s="89" t="s">
        <v>646</v>
      </c>
      <c r="BK445" s="89" t="s">
        <v>646</v>
      </c>
      <c r="BL445" s="89">
        <v>1351</v>
      </c>
      <c r="BM445" s="89">
        <v>1364</v>
      </c>
      <c r="BN445" s="89" t="s">
        <v>646</v>
      </c>
      <c r="BO445" s="89" t="str">
        <f>HYPERLINK("http://dx.doi.org/10.1016/j.infsof.2009.05.002","http://dx.doi.org/10.1016/j.infsof.2009.05.002")</f>
        <v>http://dx.doi.org/10.1016/j.infsof.2009.05.002</v>
      </c>
      <c r="BP445" s="89" t="s">
        <v>646</v>
      </c>
      <c r="BQ445" s="89" t="s">
        <v>646</v>
      </c>
      <c r="BR445" s="89" t="s">
        <v>646</v>
      </c>
      <c r="BS445" s="89" t="s">
        <v>646</v>
      </c>
      <c r="BT445" s="89" t="s">
        <v>646</v>
      </c>
      <c r="BU445" s="89" t="s">
        <v>646</v>
      </c>
      <c r="BV445" s="89" t="s">
        <v>646</v>
      </c>
      <c r="BW445" s="89" t="s">
        <v>646</v>
      </c>
      <c r="BX445" s="89" t="s">
        <v>646</v>
      </c>
      <c r="BY445" s="89" t="s">
        <v>646</v>
      </c>
      <c r="BZ445" s="89" t="s">
        <v>646</v>
      </c>
      <c r="CA445" s="89" t="s">
        <v>646</v>
      </c>
      <c r="CB445" s="89" t="s">
        <v>21220</v>
      </c>
      <c r="CC445" s="89" t="str">
        <f>HYPERLINK("https%3A%2F%2Fwww.webofscience.com%2Fwos%2Fwoscc%2Ffull-record%2FWOS:000268561700006","View Full Record in Web of Science")</f>
        <v>View Full Record in Web of Science</v>
      </c>
    </row>
    <row r="446" spans="1:81" ht="13.2" hidden="1" x14ac:dyDescent="0.25">
      <c r="A446" s="89" t="s">
        <v>963</v>
      </c>
      <c r="B446" s="89" t="e">
        <f>+#REF!</f>
        <v>#REF!</v>
      </c>
      <c r="C446" s="89"/>
      <c r="D446" s="91" t="s">
        <v>717</v>
      </c>
      <c r="E446" s="90" t="e">
        <v>#REF!</v>
      </c>
      <c r="F446" s="89"/>
      <c r="G446" s="89"/>
      <c r="H446" s="89" t="s">
        <v>965</v>
      </c>
      <c r="I446" s="89" t="s">
        <v>21221</v>
      </c>
      <c r="J446" s="89" t="s">
        <v>646</v>
      </c>
      <c r="K446" s="89" t="s">
        <v>21222</v>
      </c>
      <c r="M446" s="89">
        <v>2018</v>
      </c>
      <c r="N446" s="89" t="s">
        <v>18779</v>
      </c>
      <c r="O446" s="89" t="s">
        <v>646</v>
      </c>
      <c r="P446" s="89" t="str">
        <f>HYPERLINK("http://dx.doi.org/10.1016/j.infsof.2017.08.011","http://dx.doi.org/10.1016/j.infsof.2017.08.011")</f>
        <v>http://dx.doi.org/10.1016/j.infsof.2017.08.011</v>
      </c>
      <c r="S446" s="89" t="s">
        <v>646</v>
      </c>
      <c r="U446" s="89" t="s">
        <v>17462</v>
      </c>
      <c r="W446" s="89" t="s">
        <v>646</v>
      </c>
      <c r="X446" s="89" t="s">
        <v>646</v>
      </c>
      <c r="Y446" s="89" t="s">
        <v>646</v>
      </c>
      <c r="Z446" s="89" t="s">
        <v>646</v>
      </c>
      <c r="AA446" s="89" t="s">
        <v>646</v>
      </c>
      <c r="AB446" s="89" t="s">
        <v>646</v>
      </c>
      <c r="AC446" s="89" t="s">
        <v>646</v>
      </c>
      <c r="AD446" s="89" t="s">
        <v>646</v>
      </c>
      <c r="AE446" s="89" t="s">
        <v>646</v>
      </c>
      <c r="AF446" s="89" t="s">
        <v>21222</v>
      </c>
      <c r="AG446" s="89" t="s">
        <v>646</v>
      </c>
      <c r="AH446" s="89" t="s">
        <v>646</v>
      </c>
      <c r="AI446" s="89" t="s">
        <v>646</v>
      </c>
      <c r="AJ446" s="89" t="s">
        <v>646</v>
      </c>
      <c r="AK446" s="89" t="s">
        <v>646</v>
      </c>
      <c r="AL446" s="89" t="s">
        <v>21223</v>
      </c>
      <c r="AM446" s="89" t="s">
        <v>646</v>
      </c>
      <c r="AN446" s="89" t="s">
        <v>646</v>
      </c>
      <c r="AO446" s="89" t="s">
        <v>646</v>
      </c>
      <c r="AP446" s="89" t="s">
        <v>646</v>
      </c>
      <c r="AQ446" s="89" t="s">
        <v>646</v>
      </c>
      <c r="AR446" s="89" t="s">
        <v>646</v>
      </c>
      <c r="AS446" s="89" t="s">
        <v>646</v>
      </c>
      <c r="AT446" s="89" t="s">
        <v>646</v>
      </c>
      <c r="AU446" s="89" t="s">
        <v>646</v>
      </c>
      <c r="AV446" s="89" t="s">
        <v>646</v>
      </c>
      <c r="AW446" s="89" t="s">
        <v>646</v>
      </c>
      <c r="AX446" s="89" t="s">
        <v>646</v>
      </c>
      <c r="AY446" s="89" t="s">
        <v>18782</v>
      </c>
      <c r="AZ446" s="89" t="s">
        <v>18783</v>
      </c>
      <c r="BA446" s="89" t="s">
        <v>646</v>
      </c>
      <c r="BB446" s="89" t="s">
        <v>646</v>
      </c>
      <c r="BC446" s="89" t="s">
        <v>646</v>
      </c>
      <c r="BD446" s="89" t="s">
        <v>17513</v>
      </c>
      <c r="BE446" s="89">
        <v>2018</v>
      </c>
      <c r="BF446" s="89">
        <v>93</v>
      </c>
      <c r="BG446" s="89" t="s">
        <v>646</v>
      </c>
      <c r="BH446" s="89" t="s">
        <v>646</v>
      </c>
      <c r="BI446" s="89" t="s">
        <v>646</v>
      </c>
      <c r="BJ446" s="89" t="s">
        <v>646</v>
      </c>
      <c r="BK446" s="89" t="s">
        <v>646</v>
      </c>
      <c r="BL446" s="89">
        <v>30</v>
      </c>
      <c r="BM446" s="89">
        <v>44</v>
      </c>
      <c r="BN446" s="89" t="s">
        <v>646</v>
      </c>
      <c r="BO446" s="89" t="str">
        <f>HYPERLINK("http://dx.doi.org/10.1016/j.infsof.2017.08.011","http://dx.doi.org/10.1016/j.infsof.2017.08.011")</f>
        <v>http://dx.doi.org/10.1016/j.infsof.2017.08.011</v>
      </c>
      <c r="BP446" s="89" t="s">
        <v>646</v>
      </c>
      <c r="BQ446" s="89" t="s">
        <v>646</v>
      </c>
      <c r="BR446" s="89" t="s">
        <v>646</v>
      </c>
      <c r="BS446" s="89" t="s">
        <v>646</v>
      </c>
      <c r="BT446" s="89" t="s">
        <v>646</v>
      </c>
      <c r="BU446" s="89" t="s">
        <v>646</v>
      </c>
      <c r="BV446" s="89" t="s">
        <v>646</v>
      </c>
      <c r="BW446" s="89" t="s">
        <v>646</v>
      </c>
      <c r="BX446" s="89" t="s">
        <v>646</v>
      </c>
      <c r="BY446" s="89" t="s">
        <v>646</v>
      </c>
      <c r="BZ446" s="89" t="s">
        <v>646</v>
      </c>
      <c r="CA446" s="89" t="s">
        <v>646</v>
      </c>
      <c r="CB446" s="89" t="s">
        <v>21224</v>
      </c>
      <c r="CC446" s="89" t="str">
        <f>HYPERLINK("https%3A%2F%2Fwww.webofscience.com%2Fwos%2Fwoscc%2Ffull-record%2FWOS:000414878200003","View Full Record in Web of Science")</f>
        <v>View Full Record in Web of Science</v>
      </c>
    </row>
    <row r="447" spans="1:81" ht="13.2" hidden="1" x14ac:dyDescent="0.25">
      <c r="A447" s="89" t="s">
        <v>9512</v>
      </c>
      <c r="B447" s="89" t="e">
        <f>+#REF!</f>
        <v>#REF!</v>
      </c>
      <c r="C447" s="89"/>
      <c r="D447" s="91" t="s">
        <v>717</v>
      </c>
      <c r="E447" s="90" t="e">
        <v>#REF!</v>
      </c>
      <c r="F447" s="89"/>
      <c r="G447" s="89"/>
      <c r="H447" s="89" t="s">
        <v>9513</v>
      </c>
      <c r="I447" s="89" t="s">
        <v>21225</v>
      </c>
      <c r="J447" s="89" t="s">
        <v>21227</v>
      </c>
      <c r="K447" s="89" t="s">
        <v>21226</v>
      </c>
      <c r="M447" s="89">
        <v>2021</v>
      </c>
      <c r="N447" s="89" t="s">
        <v>18423</v>
      </c>
      <c r="O447" s="89" t="s">
        <v>646</v>
      </c>
      <c r="P447" s="89" t="str">
        <f>HYPERLINK("http://dx.doi.org/10.1109/ACCESS.2021.3073315","http://dx.doi.org/10.1109/ACCESS.2021.3073315")</f>
        <v>http://dx.doi.org/10.1109/ACCESS.2021.3073315</v>
      </c>
      <c r="S447" s="89" t="s">
        <v>646</v>
      </c>
      <c r="U447" s="89" t="s">
        <v>17462</v>
      </c>
      <c r="W447" s="89" t="s">
        <v>646</v>
      </c>
      <c r="X447" s="89" t="s">
        <v>646</v>
      </c>
      <c r="Y447" s="89" t="s">
        <v>646</v>
      </c>
      <c r="Z447" s="89" t="s">
        <v>646</v>
      </c>
      <c r="AA447" s="89" t="s">
        <v>646</v>
      </c>
      <c r="AB447" s="89" t="s">
        <v>646</v>
      </c>
      <c r="AC447" s="89" t="s">
        <v>646</v>
      </c>
      <c r="AD447" s="89" t="s">
        <v>646</v>
      </c>
      <c r="AE447" s="89" t="s">
        <v>646</v>
      </c>
      <c r="AF447" s="89" t="s">
        <v>21226</v>
      </c>
      <c r="AG447" s="89" t="s">
        <v>646</v>
      </c>
      <c r="AH447" s="89" t="s">
        <v>646</v>
      </c>
      <c r="AI447" s="89" t="s">
        <v>646</v>
      </c>
      <c r="AJ447" s="89" t="s">
        <v>646</v>
      </c>
      <c r="AK447" s="89" t="s">
        <v>21227</v>
      </c>
      <c r="AL447" s="89" t="s">
        <v>21228</v>
      </c>
      <c r="AM447" s="89" t="s">
        <v>646</v>
      </c>
      <c r="AN447" s="89" t="s">
        <v>646</v>
      </c>
      <c r="AO447" s="89" t="s">
        <v>646</v>
      </c>
      <c r="AP447" s="89" t="s">
        <v>646</v>
      </c>
      <c r="AQ447" s="89" t="s">
        <v>646</v>
      </c>
      <c r="AR447" s="89" t="s">
        <v>646</v>
      </c>
      <c r="AS447" s="89" t="s">
        <v>646</v>
      </c>
      <c r="AT447" s="89" t="s">
        <v>646</v>
      </c>
      <c r="AU447" s="89" t="s">
        <v>646</v>
      </c>
      <c r="AV447" s="89" t="s">
        <v>646</v>
      </c>
      <c r="AW447" s="89" t="s">
        <v>646</v>
      </c>
      <c r="AX447" s="89" t="s">
        <v>646</v>
      </c>
      <c r="AY447" s="89" t="s">
        <v>18427</v>
      </c>
      <c r="AZ447" s="89" t="s">
        <v>646</v>
      </c>
      <c r="BA447" s="89" t="s">
        <v>646</v>
      </c>
      <c r="BB447" s="89" t="s">
        <v>646</v>
      </c>
      <c r="BC447" s="89" t="s">
        <v>646</v>
      </c>
      <c r="BD447" s="89" t="s">
        <v>646</v>
      </c>
      <c r="BE447" s="89">
        <v>2021</v>
      </c>
      <c r="BF447" s="89">
        <v>9</v>
      </c>
      <c r="BG447" s="89" t="s">
        <v>646</v>
      </c>
      <c r="BH447" s="89" t="s">
        <v>646</v>
      </c>
      <c r="BI447" s="89" t="s">
        <v>646</v>
      </c>
      <c r="BJ447" s="89" t="s">
        <v>646</v>
      </c>
      <c r="BK447" s="89" t="s">
        <v>646</v>
      </c>
      <c r="BL447" s="89">
        <v>58589</v>
      </c>
      <c r="BM447" s="89">
        <v>58608</v>
      </c>
      <c r="BN447" s="89" t="s">
        <v>646</v>
      </c>
      <c r="BO447" s="89" t="str">
        <f>HYPERLINK("http://dx.doi.org/10.1109/ACCESS.2021.3073315","http://dx.doi.org/10.1109/ACCESS.2021.3073315")</f>
        <v>http://dx.doi.org/10.1109/ACCESS.2021.3073315</v>
      </c>
      <c r="BP447" s="89" t="s">
        <v>646</v>
      </c>
      <c r="BQ447" s="89" t="s">
        <v>646</v>
      </c>
      <c r="BR447" s="89" t="s">
        <v>646</v>
      </c>
      <c r="BS447" s="89" t="s">
        <v>646</v>
      </c>
      <c r="BT447" s="89" t="s">
        <v>646</v>
      </c>
      <c r="BU447" s="89" t="s">
        <v>646</v>
      </c>
      <c r="BV447" s="89" t="s">
        <v>646</v>
      </c>
      <c r="BW447" s="89" t="s">
        <v>646</v>
      </c>
      <c r="BX447" s="89" t="s">
        <v>646</v>
      </c>
      <c r="BY447" s="89" t="s">
        <v>646</v>
      </c>
      <c r="BZ447" s="89" t="s">
        <v>646</v>
      </c>
      <c r="CA447" s="89" t="s">
        <v>646</v>
      </c>
      <c r="CB447" s="89" t="s">
        <v>21229</v>
      </c>
      <c r="CC447" s="89" t="str">
        <f>HYPERLINK("https%3A%2F%2Fwww.webofscience.com%2Fwos%2Fwoscc%2Ffull-record%2FWOS:000641950800001","View Full Record in Web of Science")</f>
        <v>View Full Record in Web of Science</v>
      </c>
    </row>
    <row r="448" spans="1:81" ht="13.2" hidden="1" x14ac:dyDescent="0.25">
      <c r="A448" s="89" t="s">
        <v>21230</v>
      </c>
      <c r="B448" s="89" t="e">
        <f>+#REF!</f>
        <v>#REF!</v>
      </c>
      <c r="C448" s="89"/>
      <c r="D448" s="91" t="s">
        <v>717</v>
      </c>
      <c r="E448" s="90" t="e">
        <v>#REF!</v>
      </c>
      <c r="F448" s="89"/>
      <c r="G448" s="89"/>
      <c r="H448" s="89" t="s">
        <v>646</v>
      </c>
      <c r="I448" s="89" t="s">
        <v>21231</v>
      </c>
      <c r="J448" s="89" t="s">
        <v>21237</v>
      </c>
      <c r="K448" s="89" t="s">
        <v>21236</v>
      </c>
      <c r="M448" s="89">
        <v>2019</v>
      </c>
      <c r="N448" s="89" t="s">
        <v>21232</v>
      </c>
      <c r="O448" s="89" t="s">
        <v>646</v>
      </c>
      <c r="P448" s="89" t="s">
        <v>646</v>
      </c>
      <c r="S448" s="89" t="s">
        <v>17475</v>
      </c>
      <c r="U448" s="89" t="s">
        <v>17474</v>
      </c>
      <c r="W448" s="89" t="s">
        <v>646</v>
      </c>
      <c r="X448" s="89" t="s">
        <v>646</v>
      </c>
      <c r="Y448" s="89" t="s">
        <v>21233</v>
      </c>
      <c r="Z448" s="89" t="s">
        <v>21234</v>
      </c>
      <c r="AA448" s="89" t="s">
        <v>18130</v>
      </c>
      <c r="AB448" s="89" t="s">
        <v>21235</v>
      </c>
      <c r="AC448" s="89" t="s">
        <v>646</v>
      </c>
      <c r="AD448" s="89" t="s">
        <v>646</v>
      </c>
      <c r="AE448" s="89" t="s">
        <v>646</v>
      </c>
      <c r="AF448" s="89" t="s">
        <v>21236</v>
      </c>
      <c r="AG448" s="89" t="s">
        <v>646</v>
      </c>
      <c r="AH448" s="89" t="s">
        <v>646</v>
      </c>
      <c r="AI448" s="89" t="s">
        <v>646</v>
      </c>
      <c r="AJ448" s="89" t="s">
        <v>646</v>
      </c>
      <c r="AK448" s="89" t="s">
        <v>21237</v>
      </c>
      <c r="AL448" s="89" t="s">
        <v>21238</v>
      </c>
      <c r="AM448" s="89" t="s">
        <v>646</v>
      </c>
      <c r="AN448" s="89" t="s">
        <v>646</v>
      </c>
      <c r="AO448" s="89" t="s">
        <v>646</v>
      </c>
      <c r="AP448" s="89" t="s">
        <v>646</v>
      </c>
      <c r="AQ448" s="89" t="s">
        <v>646</v>
      </c>
      <c r="AR448" s="89" t="s">
        <v>646</v>
      </c>
      <c r="AS448" s="89" t="s">
        <v>646</v>
      </c>
      <c r="AT448" s="89" t="s">
        <v>646</v>
      </c>
      <c r="AU448" s="89" t="s">
        <v>646</v>
      </c>
      <c r="AV448" s="89" t="s">
        <v>646</v>
      </c>
      <c r="AW448" s="89" t="s">
        <v>646</v>
      </c>
      <c r="AX448" s="89" t="s">
        <v>646</v>
      </c>
      <c r="AY448" s="89" t="s">
        <v>21239</v>
      </c>
      <c r="AZ448" s="89" t="s">
        <v>646</v>
      </c>
      <c r="BA448" s="89" t="s">
        <v>21240</v>
      </c>
      <c r="BB448" s="89" t="s">
        <v>646</v>
      </c>
      <c r="BC448" s="89" t="s">
        <v>646</v>
      </c>
      <c r="BD448" s="89" t="s">
        <v>646</v>
      </c>
      <c r="BE448" s="89">
        <v>2019</v>
      </c>
      <c r="BF448" s="89" t="s">
        <v>646</v>
      </c>
      <c r="BG448" s="89" t="s">
        <v>646</v>
      </c>
      <c r="BH448" s="89" t="s">
        <v>646</v>
      </c>
      <c r="BI448" s="89" t="s">
        <v>646</v>
      </c>
      <c r="BJ448" s="89" t="s">
        <v>646</v>
      </c>
      <c r="BK448" s="89" t="s">
        <v>646</v>
      </c>
      <c r="BL448" s="89" t="s">
        <v>646</v>
      </c>
      <c r="BM448" s="89" t="s">
        <v>646</v>
      </c>
      <c r="BN448" s="89" t="s">
        <v>646</v>
      </c>
      <c r="BO448" s="89" t="s">
        <v>646</v>
      </c>
      <c r="BP448" s="89" t="s">
        <v>646</v>
      </c>
      <c r="BQ448" s="89" t="s">
        <v>646</v>
      </c>
      <c r="BR448" s="89" t="s">
        <v>646</v>
      </c>
      <c r="BS448" s="89" t="s">
        <v>646</v>
      </c>
      <c r="BT448" s="89" t="s">
        <v>646</v>
      </c>
      <c r="BU448" s="89" t="s">
        <v>646</v>
      </c>
      <c r="BV448" s="89" t="s">
        <v>646</v>
      </c>
      <c r="BW448" s="89" t="s">
        <v>646</v>
      </c>
      <c r="BX448" s="89" t="s">
        <v>646</v>
      </c>
      <c r="BY448" s="89" t="s">
        <v>646</v>
      </c>
      <c r="BZ448" s="89" t="s">
        <v>646</v>
      </c>
      <c r="CA448" s="89" t="s">
        <v>646</v>
      </c>
      <c r="CB448" s="89" t="s">
        <v>21241</v>
      </c>
      <c r="CC448" s="89" t="str">
        <f>HYPERLINK("https%3A%2F%2Fwww.webofscience.com%2Fwos%2Fwoscc%2Ffull-record%2FWOS:000533348400038","View Full Record in Web of Science")</f>
        <v>View Full Record in Web of Science</v>
      </c>
    </row>
    <row r="449" spans="1:81" ht="13.2" hidden="1" x14ac:dyDescent="0.25">
      <c r="A449" s="89" t="s">
        <v>21242</v>
      </c>
      <c r="B449" s="89" t="e">
        <f>+#REF!</f>
        <v>#REF!</v>
      </c>
      <c r="C449" s="89"/>
      <c r="D449" s="91" t="s">
        <v>717</v>
      </c>
      <c r="E449" s="90" t="e">
        <v>#REF!</v>
      </c>
      <c r="F449" s="89"/>
      <c r="G449" s="89"/>
      <c r="H449" s="89" t="s">
        <v>9522</v>
      </c>
      <c r="I449" s="89" t="s">
        <v>21243</v>
      </c>
      <c r="J449" s="89" t="s">
        <v>646</v>
      </c>
      <c r="K449" s="89" t="s">
        <v>21245</v>
      </c>
      <c r="M449" s="89">
        <v>2021</v>
      </c>
      <c r="N449" s="89" t="s">
        <v>21244</v>
      </c>
      <c r="O449" s="89" t="s">
        <v>646</v>
      </c>
      <c r="P449" s="89" t="str">
        <f>HYPERLINK("http://dx.doi.org/10.3390/info12080293","http://dx.doi.org/10.3390/info12080293")</f>
        <v>http://dx.doi.org/10.3390/info12080293</v>
      </c>
      <c r="S449" s="89" t="s">
        <v>646</v>
      </c>
      <c r="U449" s="89" t="s">
        <v>17462</v>
      </c>
      <c r="W449" s="89" t="s">
        <v>646</v>
      </c>
      <c r="X449" s="89" t="s">
        <v>646</v>
      </c>
      <c r="Y449" s="89" t="s">
        <v>646</v>
      </c>
      <c r="Z449" s="89" t="s">
        <v>646</v>
      </c>
      <c r="AA449" s="89" t="s">
        <v>646</v>
      </c>
      <c r="AB449" s="89" t="s">
        <v>646</v>
      </c>
      <c r="AC449" s="89" t="s">
        <v>646</v>
      </c>
      <c r="AD449" s="89" t="s">
        <v>646</v>
      </c>
      <c r="AE449" s="89" t="s">
        <v>646</v>
      </c>
      <c r="AF449" s="89" t="s">
        <v>21245</v>
      </c>
      <c r="AG449" s="89" t="s">
        <v>646</v>
      </c>
      <c r="AH449" s="89" t="s">
        <v>646</v>
      </c>
      <c r="AI449" s="89" t="s">
        <v>646</v>
      </c>
      <c r="AJ449" s="89" t="s">
        <v>646</v>
      </c>
      <c r="AK449" s="89" t="s">
        <v>646</v>
      </c>
      <c r="AL449" s="89" t="s">
        <v>21246</v>
      </c>
      <c r="AM449" s="89" t="s">
        <v>646</v>
      </c>
      <c r="AN449" s="89" t="s">
        <v>646</v>
      </c>
      <c r="AO449" s="89" t="s">
        <v>646</v>
      </c>
      <c r="AP449" s="89" t="s">
        <v>646</v>
      </c>
      <c r="AQ449" s="89" t="s">
        <v>646</v>
      </c>
      <c r="AR449" s="89" t="s">
        <v>646</v>
      </c>
      <c r="AS449" s="89" t="s">
        <v>646</v>
      </c>
      <c r="AT449" s="89" t="s">
        <v>646</v>
      </c>
      <c r="AU449" s="89" t="s">
        <v>646</v>
      </c>
      <c r="AV449" s="89" t="s">
        <v>646</v>
      </c>
      <c r="AW449" s="89" t="s">
        <v>646</v>
      </c>
      <c r="AX449" s="89" t="s">
        <v>646</v>
      </c>
      <c r="AY449" s="89" t="s">
        <v>646</v>
      </c>
      <c r="AZ449" s="89" t="s">
        <v>21247</v>
      </c>
      <c r="BA449" s="89" t="s">
        <v>646</v>
      </c>
      <c r="BB449" s="89" t="s">
        <v>646</v>
      </c>
      <c r="BC449" s="89" t="s">
        <v>646</v>
      </c>
      <c r="BD449" s="89" t="s">
        <v>18655</v>
      </c>
      <c r="BE449" s="89">
        <v>2021</v>
      </c>
      <c r="BF449" s="89">
        <v>12</v>
      </c>
      <c r="BG449" s="89">
        <v>8</v>
      </c>
      <c r="BH449" s="89" t="s">
        <v>646</v>
      </c>
      <c r="BI449" s="89" t="s">
        <v>646</v>
      </c>
      <c r="BJ449" s="89" t="s">
        <v>646</v>
      </c>
      <c r="BK449" s="89" t="s">
        <v>646</v>
      </c>
      <c r="BL449" s="89" t="s">
        <v>646</v>
      </c>
      <c r="BM449" s="89" t="s">
        <v>646</v>
      </c>
      <c r="BN449" s="89">
        <v>293</v>
      </c>
      <c r="BO449" s="89" t="str">
        <f>HYPERLINK("http://dx.doi.org/10.3390/info12080293","http://dx.doi.org/10.3390/info12080293")</f>
        <v>http://dx.doi.org/10.3390/info12080293</v>
      </c>
      <c r="BP449" s="89" t="s">
        <v>646</v>
      </c>
      <c r="BQ449" s="89" t="s">
        <v>646</v>
      </c>
      <c r="BR449" s="89" t="s">
        <v>646</v>
      </c>
      <c r="BS449" s="89" t="s">
        <v>646</v>
      </c>
      <c r="BT449" s="89" t="s">
        <v>646</v>
      </c>
      <c r="BU449" s="89" t="s">
        <v>646</v>
      </c>
      <c r="BV449" s="89" t="s">
        <v>646</v>
      </c>
      <c r="BW449" s="89" t="s">
        <v>646</v>
      </c>
      <c r="BX449" s="89" t="s">
        <v>646</v>
      </c>
      <c r="BY449" s="89" t="s">
        <v>646</v>
      </c>
      <c r="BZ449" s="89" t="s">
        <v>646</v>
      </c>
      <c r="CA449" s="89" t="s">
        <v>646</v>
      </c>
      <c r="CB449" s="89" t="s">
        <v>21248</v>
      </c>
      <c r="CC449" s="89" t="str">
        <f>HYPERLINK("https%3A%2F%2Fwww.webofscience.com%2Fwos%2Fwoscc%2Ffull-record%2FWOS:000689101300001","View Full Record in Web of Science")</f>
        <v>View Full Record in Web of Science</v>
      </c>
    </row>
    <row r="450" spans="1:81" ht="13.2" hidden="1" x14ac:dyDescent="0.25">
      <c r="A450" s="89" t="s">
        <v>12775</v>
      </c>
      <c r="B450" s="89" t="e">
        <f>+#REF!</f>
        <v>#REF!</v>
      </c>
      <c r="C450" s="89"/>
      <c r="D450" s="91" t="s">
        <v>717</v>
      </c>
      <c r="E450" s="90" t="e">
        <v>#REF!</v>
      </c>
      <c r="F450" s="89"/>
      <c r="G450" s="89"/>
      <c r="H450" s="89" t="s">
        <v>12776</v>
      </c>
      <c r="I450" s="89" t="s">
        <v>21249</v>
      </c>
      <c r="J450" s="89" t="s">
        <v>646</v>
      </c>
      <c r="K450" s="89" t="s">
        <v>21250</v>
      </c>
      <c r="M450" s="89">
        <v>2017</v>
      </c>
      <c r="N450" s="89" t="s">
        <v>19122</v>
      </c>
      <c r="O450" s="89" t="s">
        <v>646</v>
      </c>
      <c r="P450" s="89" t="str">
        <f>HYPERLINK("http://dx.doi.org/10.1016/j.ssci.2017.05.003","http://dx.doi.org/10.1016/j.ssci.2017.05.003")</f>
        <v>http://dx.doi.org/10.1016/j.ssci.2017.05.003</v>
      </c>
      <c r="S450" s="89" t="s">
        <v>646</v>
      </c>
      <c r="U450" s="89" t="s">
        <v>17462</v>
      </c>
      <c r="W450" s="89" t="s">
        <v>646</v>
      </c>
      <c r="X450" s="89" t="s">
        <v>646</v>
      </c>
      <c r="Y450" s="89" t="s">
        <v>646</v>
      </c>
      <c r="Z450" s="89" t="s">
        <v>646</v>
      </c>
      <c r="AA450" s="89" t="s">
        <v>646</v>
      </c>
      <c r="AB450" s="89" t="s">
        <v>646</v>
      </c>
      <c r="AC450" s="89" t="s">
        <v>646</v>
      </c>
      <c r="AD450" s="89" t="s">
        <v>646</v>
      </c>
      <c r="AE450" s="89" t="s">
        <v>646</v>
      </c>
      <c r="AF450" s="89" t="s">
        <v>21250</v>
      </c>
      <c r="AG450" s="89" t="s">
        <v>646</v>
      </c>
      <c r="AH450" s="89" t="s">
        <v>646</v>
      </c>
      <c r="AI450" s="89" t="s">
        <v>646</v>
      </c>
      <c r="AJ450" s="89" t="s">
        <v>646</v>
      </c>
      <c r="AK450" s="89" t="s">
        <v>646</v>
      </c>
      <c r="AL450" s="89" t="s">
        <v>646</v>
      </c>
      <c r="AM450" s="89" t="s">
        <v>646</v>
      </c>
      <c r="AN450" s="89" t="s">
        <v>646</v>
      </c>
      <c r="AO450" s="89" t="s">
        <v>646</v>
      </c>
      <c r="AP450" s="89" t="s">
        <v>646</v>
      </c>
      <c r="AQ450" s="89" t="s">
        <v>646</v>
      </c>
      <c r="AR450" s="89" t="s">
        <v>646</v>
      </c>
      <c r="AS450" s="89" t="s">
        <v>646</v>
      </c>
      <c r="AT450" s="89" t="s">
        <v>646</v>
      </c>
      <c r="AU450" s="89" t="s">
        <v>646</v>
      </c>
      <c r="AV450" s="89" t="s">
        <v>646</v>
      </c>
      <c r="AW450" s="89" t="s">
        <v>646</v>
      </c>
      <c r="AX450" s="89" t="s">
        <v>646</v>
      </c>
      <c r="AY450" s="89" t="s">
        <v>19125</v>
      </c>
      <c r="AZ450" s="89" t="s">
        <v>19126</v>
      </c>
      <c r="BA450" s="89" t="s">
        <v>646</v>
      </c>
      <c r="BB450" s="89" t="s">
        <v>646</v>
      </c>
      <c r="BC450" s="89" t="s">
        <v>646</v>
      </c>
      <c r="BD450" s="89" t="s">
        <v>17615</v>
      </c>
      <c r="BE450" s="89">
        <v>2017</v>
      </c>
      <c r="BF450" s="89">
        <v>100</v>
      </c>
      <c r="BG450" s="89" t="s">
        <v>646</v>
      </c>
      <c r="BH450" s="89" t="s">
        <v>19078</v>
      </c>
      <c r="BI450" s="89" t="s">
        <v>646</v>
      </c>
      <c r="BJ450" s="89" t="s">
        <v>17555</v>
      </c>
      <c r="BK450" s="89" t="s">
        <v>646</v>
      </c>
      <c r="BL450" s="89">
        <v>46</v>
      </c>
      <c r="BM450" s="89">
        <v>56</v>
      </c>
      <c r="BN450" s="89" t="s">
        <v>646</v>
      </c>
      <c r="BO450" s="89" t="str">
        <f>HYPERLINK("http://dx.doi.org/10.1016/j.ssci.2017.05.003","http://dx.doi.org/10.1016/j.ssci.2017.05.003")</f>
        <v>http://dx.doi.org/10.1016/j.ssci.2017.05.003</v>
      </c>
      <c r="BP450" s="89" t="s">
        <v>646</v>
      </c>
      <c r="BQ450" s="89" t="s">
        <v>646</v>
      </c>
      <c r="BR450" s="89" t="s">
        <v>646</v>
      </c>
      <c r="BS450" s="89" t="s">
        <v>646</v>
      </c>
      <c r="BT450" s="89" t="s">
        <v>646</v>
      </c>
      <c r="BU450" s="89" t="s">
        <v>646</v>
      </c>
      <c r="BV450" s="89" t="s">
        <v>646</v>
      </c>
      <c r="BW450" s="89">
        <v>29097848</v>
      </c>
      <c r="BX450" s="89" t="s">
        <v>646</v>
      </c>
      <c r="BY450" s="89" t="s">
        <v>646</v>
      </c>
      <c r="BZ450" s="89" t="s">
        <v>646</v>
      </c>
      <c r="CA450" s="89" t="s">
        <v>646</v>
      </c>
      <c r="CB450" s="89" t="s">
        <v>21251</v>
      </c>
      <c r="CC450" s="89" t="str">
        <f>HYPERLINK("https%3A%2F%2Fwww.webofscience.com%2Fwos%2Fwoscc%2Ffull-record%2FWOS:000412962400007","View Full Record in Web of Science")</f>
        <v>View Full Record in Web of Science</v>
      </c>
    </row>
    <row r="451" spans="1:81" ht="13.2" hidden="1" x14ac:dyDescent="0.25">
      <c r="A451" s="89" t="s">
        <v>21252</v>
      </c>
      <c r="B451" s="89" t="e">
        <f>+#REF!</f>
        <v>#REF!</v>
      </c>
      <c r="C451" s="89"/>
      <c r="D451" s="91" t="s">
        <v>717</v>
      </c>
      <c r="E451" s="90" t="e">
        <v>#REF!</v>
      </c>
      <c r="F451" s="89"/>
      <c r="G451" s="89"/>
      <c r="H451" s="89" t="s">
        <v>21253</v>
      </c>
      <c r="I451" s="89" t="s">
        <v>21254</v>
      </c>
      <c r="J451" s="89" t="s">
        <v>21257</v>
      </c>
      <c r="K451" s="89" t="s">
        <v>21256</v>
      </c>
      <c r="M451" s="89">
        <v>2017</v>
      </c>
      <c r="N451" s="89" t="s">
        <v>21255</v>
      </c>
      <c r="O451" s="89" t="s">
        <v>646</v>
      </c>
      <c r="P451" s="89" t="str">
        <f>HYPERLINK("http://dx.doi.org/10.2991/ijndc.2017.5.4.4","http://dx.doi.org/10.2991/ijndc.2017.5.4.4")</f>
        <v>http://dx.doi.org/10.2991/ijndc.2017.5.4.4</v>
      </c>
      <c r="S451" s="89" t="s">
        <v>646</v>
      </c>
      <c r="U451" s="89" t="s">
        <v>17462</v>
      </c>
      <c r="W451" s="89" t="s">
        <v>646</v>
      </c>
      <c r="X451" s="89" t="s">
        <v>646</v>
      </c>
      <c r="Y451" s="89" t="s">
        <v>646</v>
      </c>
      <c r="Z451" s="89" t="s">
        <v>646</v>
      </c>
      <c r="AA451" s="89" t="s">
        <v>646</v>
      </c>
      <c r="AB451" s="89" t="s">
        <v>646</v>
      </c>
      <c r="AC451" s="89" t="s">
        <v>646</v>
      </c>
      <c r="AD451" s="89" t="s">
        <v>646</v>
      </c>
      <c r="AE451" s="89" t="s">
        <v>646</v>
      </c>
      <c r="AF451" s="89" t="s">
        <v>21256</v>
      </c>
      <c r="AG451" s="89" t="s">
        <v>646</v>
      </c>
      <c r="AH451" s="89" t="s">
        <v>646</v>
      </c>
      <c r="AI451" s="89" t="s">
        <v>646</v>
      </c>
      <c r="AJ451" s="89" t="s">
        <v>646</v>
      </c>
      <c r="AK451" s="89" t="s">
        <v>21257</v>
      </c>
      <c r="AL451" s="89" t="s">
        <v>646</v>
      </c>
      <c r="AM451" s="89" t="s">
        <v>646</v>
      </c>
      <c r="AN451" s="89" t="s">
        <v>646</v>
      </c>
      <c r="AO451" s="89" t="s">
        <v>646</v>
      </c>
      <c r="AP451" s="89" t="s">
        <v>646</v>
      </c>
      <c r="AQ451" s="89" t="s">
        <v>646</v>
      </c>
      <c r="AR451" s="89" t="s">
        <v>646</v>
      </c>
      <c r="AS451" s="89" t="s">
        <v>646</v>
      </c>
      <c r="AT451" s="89" t="s">
        <v>646</v>
      </c>
      <c r="AU451" s="89" t="s">
        <v>646</v>
      </c>
      <c r="AV451" s="89" t="s">
        <v>646</v>
      </c>
      <c r="AW451" s="89" t="s">
        <v>646</v>
      </c>
      <c r="AX451" s="89" t="s">
        <v>646</v>
      </c>
      <c r="AY451" s="89" t="s">
        <v>21258</v>
      </c>
      <c r="AZ451" s="89" t="s">
        <v>21259</v>
      </c>
      <c r="BA451" s="89" t="s">
        <v>646</v>
      </c>
      <c r="BB451" s="89" t="s">
        <v>646</v>
      </c>
      <c r="BC451" s="89" t="s">
        <v>646</v>
      </c>
      <c r="BD451" s="89" t="s">
        <v>17687</v>
      </c>
      <c r="BE451" s="89">
        <v>2017</v>
      </c>
      <c r="BF451" s="89">
        <v>5</v>
      </c>
      <c r="BG451" s="89">
        <v>4</v>
      </c>
      <c r="BH451" s="89" t="s">
        <v>646</v>
      </c>
      <c r="BI451" s="89" t="s">
        <v>646</v>
      </c>
      <c r="BJ451" s="89" t="s">
        <v>646</v>
      </c>
      <c r="BK451" s="89" t="s">
        <v>646</v>
      </c>
      <c r="BL451" s="89">
        <v>221</v>
      </c>
      <c r="BM451" s="89">
        <v>232</v>
      </c>
      <c r="BN451" s="89" t="s">
        <v>646</v>
      </c>
      <c r="BO451" s="89" t="str">
        <f>HYPERLINK("http://dx.doi.org/10.2991/ijndc.2017.5.4.4","http://dx.doi.org/10.2991/ijndc.2017.5.4.4")</f>
        <v>http://dx.doi.org/10.2991/ijndc.2017.5.4.4</v>
      </c>
      <c r="BP451" s="89" t="s">
        <v>646</v>
      </c>
      <c r="BQ451" s="89" t="s">
        <v>646</v>
      </c>
      <c r="BR451" s="89" t="s">
        <v>646</v>
      </c>
      <c r="BS451" s="89" t="s">
        <v>646</v>
      </c>
      <c r="BT451" s="89" t="s">
        <v>646</v>
      </c>
      <c r="BU451" s="89" t="s">
        <v>646</v>
      </c>
      <c r="BV451" s="89" t="s">
        <v>646</v>
      </c>
      <c r="BW451" s="89" t="s">
        <v>646</v>
      </c>
      <c r="BX451" s="89" t="s">
        <v>646</v>
      </c>
      <c r="BY451" s="89" t="s">
        <v>646</v>
      </c>
      <c r="BZ451" s="89" t="s">
        <v>646</v>
      </c>
      <c r="CA451" s="89" t="s">
        <v>646</v>
      </c>
      <c r="CB451" s="89" t="s">
        <v>21260</v>
      </c>
      <c r="CC451" s="89" t="str">
        <f>HYPERLINK("https%3A%2F%2Fwww.webofscience.com%2Fwos%2Fwoscc%2Ffull-record%2FWOS:000419744900004","View Full Record in Web of Science")</f>
        <v>View Full Record in Web of Science</v>
      </c>
    </row>
    <row r="452" spans="1:81" ht="13.2" hidden="1" x14ac:dyDescent="0.25">
      <c r="A452" s="89" t="s">
        <v>12793</v>
      </c>
      <c r="B452" s="89" t="e">
        <f>+#REF!</f>
        <v>#REF!</v>
      </c>
      <c r="C452" s="89"/>
      <c r="D452" s="91" t="s">
        <v>717</v>
      </c>
      <c r="E452" s="90" t="e">
        <v>#REF!</v>
      </c>
      <c r="F452" s="89"/>
      <c r="G452" s="89"/>
      <c r="H452" s="89" t="s">
        <v>12794</v>
      </c>
      <c r="I452" s="89" t="s">
        <v>21261</v>
      </c>
      <c r="J452" s="89" t="s">
        <v>646</v>
      </c>
      <c r="K452" s="89" t="s">
        <v>21263</v>
      </c>
      <c r="M452" s="89">
        <v>2021</v>
      </c>
      <c r="N452" s="89" t="s">
        <v>21262</v>
      </c>
      <c r="O452" s="89" t="s">
        <v>646</v>
      </c>
      <c r="P452" s="89" t="str">
        <f>HYPERLINK("http://dx.doi.org/10.1080/00918369.2019.1651109","http://dx.doi.org/10.1080/00918369.2019.1651109")</f>
        <v>http://dx.doi.org/10.1080/00918369.2019.1651109</v>
      </c>
      <c r="S452" s="89" t="s">
        <v>646</v>
      </c>
      <c r="U452" s="89" t="s">
        <v>17462</v>
      </c>
      <c r="W452" s="89" t="s">
        <v>646</v>
      </c>
      <c r="X452" s="89" t="s">
        <v>646</v>
      </c>
      <c r="Y452" s="89" t="s">
        <v>646</v>
      </c>
      <c r="Z452" s="89" t="s">
        <v>646</v>
      </c>
      <c r="AA452" s="89" t="s">
        <v>646</v>
      </c>
      <c r="AB452" s="89" t="s">
        <v>646</v>
      </c>
      <c r="AC452" s="89" t="s">
        <v>646</v>
      </c>
      <c r="AD452" s="89" t="s">
        <v>646</v>
      </c>
      <c r="AE452" s="89" t="s">
        <v>646</v>
      </c>
      <c r="AF452" s="89" t="s">
        <v>21263</v>
      </c>
      <c r="AG452" s="89" t="s">
        <v>646</v>
      </c>
      <c r="AH452" s="89" t="s">
        <v>646</v>
      </c>
      <c r="AI452" s="89" t="s">
        <v>646</v>
      </c>
      <c r="AJ452" s="89" t="s">
        <v>646</v>
      </c>
      <c r="AK452" s="89" t="s">
        <v>646</v>
      </c>
      <c r="AL452" s="89" t="s">
        <v>646</v>
      </c>
      <c r="AM452" s="89" t="s">
        <v>646</v>
      </c>
      <c r="AN452" s="89" t="s">
        <v>646</v>
      </c>
      <c r="AO452" s="89" t="s">
        <v>646</v>
      </c>
      <c r="AP452" s="89" t="s">
        <v>646</v>
      </c>
      <c r="AQ452" s="89" t="s">
        <v>646</v>
      </c>
      <c r="AR452" s="89" t="s">
        <v>646</v>
      </c>
      <c r="AS452" s="89" t="s">
        <v>646</v>
      </c>
      <c r="AT452" s="89" t="s">
        <v>646</v>
      </c>
      <c r="AU452" s="89" t="s">
        <v>646</v>
      </c>
      <c r="AV452" s="89" t="s">
        <v>646</v>
      </c>
      <c r="AW452" s="89" t="s">
        <v>646</v>
      </c>
      <c r="AX452" s="89" t="s">
        <v>646</v>
      </c>
      <c r="AY452" s="89" t="s">
        <v>21264</v>
      </c>
      <c r="AZ452" s="89" t="s">
        <v>21265</v>
      </c>
      <c r="BA452" s="89" t="s">
        <v>646</v>
      </c>
      <c r="BB452" s="89" t="s">
        <v>646</v>
      </c>
      <c r="BC452" s="89" t="s">
        <v>646</v>
      </c>
      <c r="BD452" s="89" t="s">
        <v>21266</v>
      </c>
      <c r="BE452" s="89">
        <v>2021</v>
      </c>
      <c r="BF452" s="89">
        <v>68</v>
      </c>
      <c r="BG452" s="89">
        <v>2</v>
      </c>
      <c r="BH452" s="89" t="s">
        <v>646</v>
      </c>
      <c r="BI452" s="89" t="s">
        <v>646</v>
      </c>
      <c r="BJ452" s="89" t="s">
        <v>646</v>
      </c>
      <c r="BK452" s="89" t="s">
        <v>646</v>
      </c>
      <c r="BL452" s="89">
        <v>185</v>
      </c>
      <c r="BM452" s="89">
        <v>202</v>
      </c>
      <c r="BN452" s="89" t="s">
        <v>646</v>
      </c>
      <c r="BO452" s="89" t="str">
        <f>HYPERLINK("http://dx.doi.org/10.1080/00918369.2019.1651109","http://dx.doi.org/10.1080/00918369.2019.1651109")</f>
        <v>http://dx.doi.org/10.1080/00918369.2019.1651109</v>
      </c>
      <c r="BP452" s="89" t="s">
        <v>646</v>
      </c>
      <c r="BQ452" s="89" t="s">
        <v>21267</v>
      </c>
      <c r="BR452" s="89" t="s">
        <v>646</v>
      </c>
      <c r="BS452" s="89" t="s">
        <v>646</v>
      </c>
      <c r="BT452" s="89" t="s">
        <v>646</v>
      </c>
      <c r="BU452" s="89" t="s">
        <v>646</v>
      </c>
      <c r="BV452" s="89" t="s">
        <v>646</v>
      </c>
      <c r="BW452" s="89">
        <v>31411935</v>
      </c>
      <c r="BX452" s="89" t="s">
        <v>646</v>
      </c>
      <c r="BY452" s="89" t="s">
        <v>646</v>
      </c>
      <c r="BZ452" s="89" t="s">
        <v>646</v>
      </c>
      <c r="CA452" s="89" t="s">
        <v>646</v>
      </c>
      <c r="CB452" s="89" t="s">
        <v>21268</v>
      </c>
      <c r="CC452" s="89" t="str">
        <f>HYPERLINK("https%3A%2F%2Fwww.webofscience.com%2Fwos%2Fwoscc%2Ffull-record%2FWOS:000480748700001","View Full Record in Web of Science")</f>
        <v>View Full Record in Web of Science</v>
      </c>
    </row>
    <row r="453" spans="1:81" ht="13.2" hidden="1" x14ac:dyDescent="0.25">
      <c r="A453" s="89" t="s">
        <v>21269</v>
      </c>
      <c r="B453" s="89" t="e">
        <f>+#REF!</f>
        <v>#REF!</v>
      </c>
      <c r="C453" s="89"/>
      <c r="D453" s="91" t="s">
        <v>717</v>
      </c>
      <c r="E453" s="90" t="e">
        <v>#REF!</v>
      </c>
      <c r="F453" s="89"/>
      <c r="G453" s="89"/>
      <c r="H453" s="89" t="s">
        <v>21270</v>
      </c>
      <c r="I453" s="89" t="s">
        <v>21271</v>
      </c>
      <c r="J453" s="89" t="s">
        <v>646</v>
      </c>
      <c r="K453" s="89" t="s">
        <v>21273</v>
      </c>
      <c r="M453" s="89">
        <v>2020</v>
      </c>
      <c r="N453" s="89" t="s">
        <v>21272</v>
      </c>
      <c r="O453" s="89" t="s">
        <v>646</v>
      </c>
      <c r="P453" s="89" t="str">
        <f>HYPERLINK("http://dx.doi.org/10.25300/MISQ/2020/14870","http://dx.doi.org/10.25300/MISQ/2020/14870")</f>
        <v>http://dx.doi.org/10.25300/MISQ/2020/14870</v>
      </c>
      <c r="S453" s="89" t="s">
        <v>646</v>
      </c>
      <c r="U453" s="89" t="s">
        <v>17462</v>
      </c>
      <c r="W453" s="89" t="s">
        <v>646</v>
      </c>
      <c r="X453" s="89" t="s">
        <v>646</v>
      </c>
      <c r="Y453" s="89" t="s">
        <v>646</v>
      </c>
      <c r="Z453" s="89" t="s">
        <v>646</v>
      </c>
      <c r="AA453" s="89" t="s">
        <v>646</v>
      </c>
      <c r="AB453" s="89" t="s">
        <v>646</v>
      </c>
      <c r="AC453" s="89" t="s">
        <v>646</v>
      </c>
      <c r="AD453" s="89" t="s">
        <v>646</v>
      </c>
      <c r="AE453" s="89" t="s">
        <v>646</v>
      </c>
      <c r="AF453" s="89" t="s">
        <v>21273</v>
      </c>
      <c r="AG453" s="89" t="s">
        <v>646</v>
      </c>
      <c r="AH453" s="89" t="s">
        <v>646</v>
      </c>
      <c r="AI453" s="89" t="s">
        <v>646</v>
      </c>
      <c r="AJ453" s="89" t="s">
        <v>646</v>
      </c>
      <c r="AK453" s="89" t="s">
        <v>646</v>
      </c>
      <c r="AL453" s="89" t="s">
        <v>21274</v>
      </c>
      <c r="AM453" s="89" t="s">
        <v>646</v>
      </c>
      <c r="AN453" s="89" t="s">
        <v>646</v>
      </c>
      <c r="AO453" s="89" t="s">
        <v>646</v>
      </c>
      <c r="AP453" s="89" t="s">
        <v>646</v>
      </c>
      <c r="AQ453" s="89" t="s">
        <v>646</v>
      </c>
      <c r="AR453" s="89" t="s">
        <v>646</v>
      </c>
      <c r="AS453" s="89" t="s">
        <v>646</v>
      </c>
      <c r="AT453" s="89" t="s">
        <v>646</v>
      </c>
      <c r="AU453" s="89" t="s">
        <v>646</v>
      </c>
      <c r="AV453" s="89" t="s">
        <v>646</v>
      </c>
      <c r="AW453" s="89" t="s">
        <v>646</v>
      </c>
      <c r="AX453" s="89" t="s">
        <v>646</v>
      </c>
      <c r="AY453" s="89" t="s">
        <v>21275</v>
      </c>
      <c r="AZ453" s="89" t="s">
        <v>646</v>
      </c>
      <c r="BA453" s="89" t="s">
        <v>646</v>
      </c>
      <c r="BB453" s="89" t="s">
        <v>646</v>
      </c>
      <c r="BC453" s="89" t="s">
        <v>646</v>
      </c>
      <c r="BD453" s="89" t="s">
        <v>17615</v>
      </c>
      <c r="BE453" s="89">
        <v>2020</v>
      </c>
      <c r="BF453" s="89">
        <v>44</v>
      </c>
      <c r="BG453" s="89">
        <v>4</v>
      </c>
      <c r="BH453" s="89" t="s">
        <v>646</v>
      </c>
      <c r="BI453" s="89" t="s">
        <v>646</v>
      </c>
      <c r="BJ453" s="89" t="s">
        <v>646</v>
      </c>
      <c r="BK453" s="89" t="s">
        <v>646</v>
      </c>
      <c r="BL453" s="89">
        <v>1459</v>
      </c>
      <c r="BM453" s="89">
        <v>1492</v>
      </c>
      <c r="BN453" s="89" t="s">
        <v>646</v>
      </c>
      <c r="BO453" s="89" t="str">
        <f>HYPERLINK("http://dx.doi.org/10.25300/MISQ/2020/14870","http://dx.doi.org/10.25300/MISQ/2020/14870")</f>
        <v>http://dx.doi.org/10.25300/MISQ/2020/14870</v>
      </c>
      <c r="BP453" s="89" t="s">
        <v>646</v>
      </c>
      <c r="BQ453" s="89" t="s">
        <v>646</v>
      </c>
      <c r="BR453" s="89" t="s">
        <v>646</v>
      </c>
      <c r="BS453" s="89" t="s">
        <v>646</v>
      </c>
      <c r="BT453" s="89" t="s">
        <v>646</v>
      </c>
      <c r="BU453" s="89" t="s">
        <v>646</v>
      </c>
      <c r="BV453" s="89" t="s">
        <v>646</v>
      </c>
      <c r="BW453" s="89" t="s">
        <v>646</v>
      </c>
      <c r="BX453" s="89" t="s">
        <v>646</v>
      </c>
      <c r="BY453" s="89" t="s">
        <v>646</v>
      </c>
      <c r="BZ453" s="89" t="s">
        <v>646</v>
      </c>
      <c r="CA453" s="89" t="s">
        <v>646</v>
      </c>
      <c r="CB453" s="89" t="s">
        <v>21276</v>
      </c>
      <c r="CC453" s="89" t="str">
        <f>HYPERLINK("https%3A%2F%2Fwww.webofscience.com%2Fwos%2Fwoscc%2Ffull-record%2FWOS:000596039600001","View Full Record in Web of Science")</f>
        <v>View Full Record in Web of Science</v>
      </c>
    </row>
    <row r="454" spans="1:81" ht="13.2" hidden="1" x14ac:dyDescent="0.25">
      <c r="A454" s="89" t="s">
        <v>21277</v>
      </c>
      <c r="B454" s="89" t="e">
        <f>+#REF!</f>
        <v>#REF!</v>
      </c>
      <c r="C454" s="89"/>
      <c r="D454" s="91" t="s">
        <v>717</v>
      </c>
      <c r="E454" s="90" t="e">
        <v>#REF!</v>
      </c>
      <c r="F454" s="89"/>
      <c r="G454" s="89"/>
      <c r="H454" s="89" t="s">
        <v>12804</v>
      </c>
      <c r="I454" s="89" t="s">
        <v>21278</v>
      </c>
      <c r="J454" s="89" t="s">
        <v>646</v>
      </c>
      <c r="K454" s="89" t="s">
        <v>21280</v>
      </c>
      <c r="M454" s="89">
        <v>2020</v>
      </c>
      <c r="N454" s="89" t="s">
        <v>21279</v>
      </c>
      <c r="O454" s="89" t="s">
        <v>646</v>
      </c>
      <c r="P454" s="89" t="str">
        <f>HYPERLINK("http://dx.doi.org/10.23804/ejpd.2020.21.03.11","http://dx.doi.org/10.23804/ejpd.2020.21.03.11")</f>
        <v>http://dx.doi.org/10.23804/ejpd.2020.21.03.11</v>
      </c>
      <c r="S454" s="89" t="s">
        <v>646</v>
      </c>
      <c r="U454" s="89" t="s">
        <v>17462</v>
      </c>
      <c r="W454" s="89" t="s">
        <v>646</v>
      </c>
      <c r="X454" s="89" t="s">
        <v>646</v>
      </c>
      <c r="Y454" s="89" t="s">
        <v>646</v>
      </c>
      <c r="Z454" s="89" t="s">
        <v>646</v>
      </c>
      <c r="AA454" s="89" t="s">
        <v>646</v>
      </c>
      <c r="AB454" s="89" t="s">
        <v>646</v>
      </c>
      <c r="AC454" s="89" t="s">
        <v>646</v>
      </c>
      <c r="AD454" s="89" t="s">
        <v>646</v>
      </c>
      <c r="AE454" s="89" t="s">
        <v>646</v>
      </c>
      <c r="AF454" s="89" t="s">
        <v>21280</v>
      </c>
      <c r="AG454" s="89" t="s">
        <v>646</v>
      </c>
      <c r="AH454" s="89" t="s">
        <v>646</v>
      </c>
      <c r="AI454" s="89" t="s">
        <v>646</v>
      </c>
      <c r="AJ454" s="89" t="s">
        <v>646</v>
      </c>
      <c r="AK454" s="89" t="s">
        <v>646</v>
      </c>
      <c r="AL454" s="89" t="s">
        <v>21281</v>
      </c>
      <c r="AM454" s="89" t="s">
        <v>646</v>
      </c>
      <c r="AN454" s="89" t="s">
        <v>646</v>
      </c>
      <c r="AO454" s="89" t="s">
        <v>646</v>
      </c>
      <c r="AP454" s="89" t="s">
        <v>646</v>
      </c>
      <c r="AQ454" s="89" t="s">
        <v>646</v>
      </c>
      <c r="AR454" s="89" t="s">
        <v>646</v>
      </c>
      <c r="AS454" s="89" t="s">
        <v>646</v>
      </c>
      <c r="AT454" s="89" t="s">
        <v>646</v>
      </c>
      <c r="AU454" s="89" t="s">
        <v>646</v>
      </c>
      <c r="AV454" s="89" t="s">
        <v>646</v>
      </c>
      <c r="AW454" s="89" t="s">
        <v>646</v>
      </c>
      <c r="AX454" s="89" t="s">
        <v>646</v>
      </c>
      <c r="AY454" s="89" t="s">
        <v>21282</v>
      </c>
      <c r="AZ454" s="89" t="s">
        <v>21283</v>
      </c>
      <c r="BA454" s="89" t="s">
        <v>646</v>
      </c>
      <c r="BB454" s="89" t="s">
        <v>646</v>
      </c>
      <c r="BC454" s="89" t="s">
        <v>646</v>
      </c>
      <c r="BD454" s="89" t="s">
        <v>646</v>
      </c>
      <c r="BE454" s="89">
        <v>2020</v>
      </c>
      <c r="BF454" s="89">
        <v>21</v>
      </c>
      <c r="BG454" s="89">
        <v>3</v>
      </c>
      <c r="BH454" s="89" t="s">
        <v>646</v>
      </c>
      <c r="BI454" s="89" t="s">
        <v>646</v>
      </c>
      <c r="BJ454" s="89" t="s">
        <v>646</v>
      </c>
      <c r="BK454" s="89" t="s">
        <v>646</v>
      </c>
      <c r="BL454" s="89">
        <v>213</v>
      </c>
      <c r="BM454" s="89">
        <v>218</v>
      </c>
      <c r="BN454" s="89" t="s">
        <v>646</v>
      </c>
      <c r="BO454" s="89" t="str">
        <f>HYPERLINK("http://dx.doi.org/10.23804/ejpd.2020.21.03.11","http://dx.doi.org/10.23804/ejpd.2020.21.03.11")</f>
        <v>http://dx.doi.org/10.23804/ejpd.2020.21.03.11</v>
      </c>
      <c r="BP454" s="89" t="s">
        <v>646</v>
      </c>
      <c r="BQ454" s="89" t="s">
        <v>646</v>
      </c>
      <c r="BR454" s="89" t="s">
        <v>646</v>
      </c>
      <c r="BS454" s="89" t="s">
        <v>646</v>
      </c>
      <c r="BT454" s="89" t="s">
        <v>646</v>
      </c>
      <c r="BU454" s="89" t="s">
        <v>646</v>
      </c>
      <c r="BV454" s="89" t="s">
        <v>646</v>
      </c>
      <c r="BW454" s="89">
        <v>32893655</v>
      </c>
      <c r="BX454" s="89" t="s">
        <v>646</v>
      </c>
      <c r="BY454" s="89" t="s">
        <v>646</v>
      </c>
      <c r="BZ454" s="89" t="s">
        <v>646</v>
      </c>
      <c r="CA454" s="89" t="s">
        <v>646</v>
      </c>
      <c r="CB454" s="89" t="s">
        <v>21284</v>
      </c>
      <c r="CC454" s="89" t="str">
        <f>HYPERLINK("https%3A%2F%2Fwww.webofscience.com%2Fwos%2Fwoscc%2Ffull-record%2FWOS:000582569000011","View Full Record in Web of Science")</f>
        <v>View Full Record in Web of Science</v>
      </c>
    </row>
    <row r="455" spans="1:81" ht="13.2" hidden="1" x14ac:dyDescent="0.25">
      <c r="A455" s="89" t="s">
        <v>21285</v>
      </c>
      <c r="B455" s="89" t="e">
        <f>+#REF!</f>
        <v>#REF!</v>
      </c>
      <c r="C455" s="89"/>
      <c r="D455" s="91" t="s">
        <v>717</v>
      </c>
      <c r="E455" s="90" t="e">
        <v>#REF!</v>
      </c>
      <c r="F455" s="89"/>
      <c r="G455" s="89"/>
      <c r="H455" s="89" t="s">
        <v>9540</v>
      </c>
      <c r="I455" s="89" t="s">
        <v>21286</v>
      </c>
      <c r="J455" s="89" t="s">
        <v>646</v>
      </c>
      <c r="K455" s="89" t="s">
        <v>21288</v>
      </c>
      <c r="M455" s="89">
        <v>2022</v>
      </c>
      <c r="N455" s="89" t="s">
        <v>21287</v>
      </c>
      <c r="O455" s="89" t="s">
        <v>646</v>
      </c>
      <c r="P455" s="89" t="str">
        <f>HYPERLINK("http://dx.doi.org/10.5295/cdg.211580am","http://dx.doi.org/10.5295/cdg.211580am")</f>
        <v>http://dx.doi.org/10.5295/cdg.211580am</v>
      </c>
      <c r="S455" s="89" t="s">
        <v>646</v>
      </c>
      <c r="U455" s="89" t="s">
        <v>17462</v>
      </c>
      <c r="W455" s="89" t="s">
        <v>646</v>
      </c>
      <c r="X455" s="89" t="s">
        <v>646</v>
      </c>
      <c r="Y455" s="89" t="s">
        <v>646</v>
      </c>
      <c r="Z455" s="89" t="s">
        <v>646</v>
      </c>
      <c r="AA455" s="89" t="s">
        <v>646</v>
      </c>
      <c r="AB455" s="89" t="s">
        <v>646</v>
      </c>
      <c r="AC455" s="89" t="s">
        <v>646</v>
      </c>
      <c r="AD455" s="89" t="s">
        <v>646</v>
      </c>
      <c r="AE455" s="89" t="s">
        <v>646</v>
      </c>
      <c r="AF455" s="89" t="s">
        <v>21288</v>
      </c>
      <c r="AG455" s="89" t="s">
        <v>646</v>
      </c>
      <c r="AH455" s="89" t="s">
        <v>646</v>
      </c>
      <c r="AI455" s="89" t="s">
        <v>646</v>
      </c>
      <c r="AJ455" s="89" t="s">
        <v>646</v>
      </c>
      <c r="AK455" s="89" t="s">
        <v>646</v>
      </c>
      <c r="AL455" s="89" t="s">
        <v>21289</v>
      </c>
      <c r="AM455" s="89" t="s">
        <v>646</v>
      </c>
      <c r="AN455" s="89" t="s">
        <v>646</v>
      </c>
      <c r="AO455" s="89" t="s">
        <v>646</v>
      </c>
      <c r="AP455" s="89" t="s">
        <v>646</v>
      </c>
      <c r="AQ455" s="89" t="s">
        <v>646</v>
      </c>
      <c r="AR455" s="89" t="s">
        <v>646</v>
      </c>
      <c r="AS455" s="89" t="s">
        <v>646</v>
      </c>
      <c r="AT455" s="89" t="s">
        <v>646</v>
      </c>
      <c r="AU455" s="89" t="s">
        <v>646</v>
      </c>
      <c r="AV455" s="89" t="s">
        <v>646</v>
      </c>
      <c r="AW455" s="89" t="s">
        <v>646</v>
      </c>
      <c r="AX455" s="89" t="s">
        <v>646</v>
      </c>
      <c r="AY455" s="89" t="s">
        <v>21290</v>
      </c>
      <c r="AZ455" s="89" t="s">
        <v>21291</v>
      </c>
      <c r="BA455" s="89" t="s">
        <v>646</v>
      </c>
      <c r="BB455" s="89" t="s">
        <v>646</v>
      </c>
      <c r="BC455" s="89" t="s">
        <v>646</v>
      </c>
      <c r="BD455" s="89" t="s">
        <v>646</v>
      </c>
      <c r="BE455" s="89">
        <v>2022</v>
      </c>
      <c r="BF455" s="89">
        <v>22</v>
      </c>
      <c r="BG455" s="89">
        <v>2</v>
      </c>
      <c r="BH455" s="89" t="s">
        <v>646</v>
      </c>
      <c r="BI455" s="89" t="s">
        <v>646</v>
      </c>
      <c r="BJ455" s="89" t="s">
        <v>646</v>
      </c>
      <c r="BK455" s="89" t="s">
        <v>646</v>
      </c>
      <c r="BL455" s="89">
        <v>23</v>
      </c>
      <c r="BM455" s="89">
        <v>44</v>
      </c>
      <c r="BN455" s="89" t="s">
        <v>646</v>
      </c>
      <c r="BO455" s="89" t="str">
        <f>HYPERLINK("http://dx.doi.org/10.5295/cdg.211580am","http://dx.doi.org/10.5295/cdg.211580am")</f>
        <v>http://dx.doi.org/10.5295/cdg.211580am</v>
      </c>
      <c r="BP455" s="89" t="s">
        <v>646</v>
      </c>
      <c r="BQ455" s="89" t="s">
        <v>646</v>
      </c>
      <c r="BR455" s="89" t="s">
        <v>646</v>
      </c>
      <c r="BS455" s="89" t="s">
        <v>646</v>
      </c>
      <c r="BT455" s="89" t="s">
        <v>646</v>
      </c>
      <c r="BU455" s="89" t="s">
        <v>646</v>
      </c>
      <c r="BV455" s="89" t="s">
        <v>646</v>
      </c>
      <c r="BW455" s="89" t="s">
        <v>646</v>
      </c>
      <c r="BX455" s="89" t="s">
        <v>646</v>
      </c>
      <c r="BY455" s="89" t="s">
        <v>646</v>
      </c>
      <c r="BZ455" s="89" t="s">
        <v>646</v>
      </c>
      <c r="CA455" s="89" t="s">
        <v>646</v>
      </c>
      <c r="CB455" s="89" t="s">
        <v>21292</v>
      </c>
      <c r="CC455" s="89" t="str">
        <f>HYPERLINK("https%3A%2F%2Fwww.webofscience.com%2Fwos%2Fwoscc%2Ffull-record%2FWOS:000798554800002","View Full Record in Web of Science")</f>
        <v>View Full Record in Web of Science</v>
      </c>
    </row>
    <row r="456" spans="1:81" ht="13.2" hidden="1" x14ac:dyDescent="0.25">
      <c r="A456" s="89" t="s">
        <v>21293</v>
      </c>
      <c r="B456" s="89" t="e">
        <f>+#REF!</f>
        <v>#REF!</v>
      </c>
      <c r="C456" s="89"/>
      <c r="D456" s="91" t="s">
        <v>717</v>
      </c>
      <c r="E456" s="90" t="e">
        <v>#REF!</v>
      </c>
      <c r="F456" s="89"/>
      <c r="G456" s="89"/>
      <c r="H456" s="89" t="s">
        <v>12814</v>
      </c>
      <c r="I456" s="89" t="s">
        <v>21294</v>
      </c>
      <c r="J456" s="89" t="s">
        <v>21297</v>
      </c>
      <c r="K456" s="89" t="s">
        <v>21296</v>
      </c>
      <c r="M456" s="89">
        <v>2019</v>
      </c>
      <c r="N456" s="89" t="s">
        <v>21295</v>
      </c>
      <c r="O456" s="89" t="s">
        <v>646</v>
      </c>
      <c r="P456" s="89" t="str">
        <f>HYPERLINK("http://dx.doi.org/10.3390/e21121201","http://dx.doi.org/10.3390/e21121201")</f>
        <v>http://dx.doi.org/10.3390/e21121201</v>
      </c>
      <c r="S456" s="89" t="s">
        <v>646</v>
      </c>
      <c r="U456" s="89" t="s">
        <v>17462</v>
      </c>
      <c r="W456" s="89" t="s">
        <v>646</v>
      </c>
      <c r="X456" s="89" t="s">
        <v>646</v>
      </c>
      <c r="Y456" s="89" t="s">
        <v>646</v>
      </c>
      <c r="Z456" s="89" t="s">
        <v>646</v>
      </c>
      <c r="AA456" s="89" t="s">
        <v>646</v>
      </c>
      <c r="AB456" s="89" t="s">
        <v>646</v>
      </c>
      <c r="AC456" s="89" t="s">
        <v>646</v>
      </c>
      <c r="AD456" s="89" t="s">
        <v>646</v>
      </c>
      <c r="AE456" s="89" t="s">
        <v>646</v>
      </c>
      <c r="AF456" s="89" t="s">
        <v>21296</v>
      </c>
      <c r="AG456" s="89" t="s">
        <v>646</v>
      </c>
      <c r="AH456" s="89" t="s">
        <v>646</v>
      </c>
      <c r="AI456" s="89" t="s">
        <v>646</v>
      </c>
      <c r="AJ456" s="89" t="s">
        <v>646</v>
      </c>
      <c r="AK456" s="89" t="s">
        <v>21297</v>
      </c>
      <c r="AL456" s="89" t="s">
        <v>21298</v>
      </c>
      <c r="AM456" s="89" t="s">
        <v>646</v>
      </c>
      <c r="AN456" s="89" t="s">
        <v>646</v>
      </c>
      <c r="AO456" s="89" t="s">
        <v>646</v>
      </c>
      <c r="AP456" s="89" t="s">
        <v>646</v>
      </c>
      <c r="AQ456" s="89" t="s">
        <v>646</v>
      </c>
      <c r="AR456" s="89" t="s">
        <v>646</v>
      </c>
      <c r="AS456" s="89" t="s">
        <v>646</v>
      </c>
      <c r="AT456" s="89" t="s">
        <v>646</v>
      </c>
      <c r="AU456" s="89" t="s">
        <v>646</v>
      </c>
      <c r="AV456" s="89" t="s">
        <v>646</v>
      </c>
      <c r="AW456" s="89" t="s">
        <v>646</v>
      </c>
      <c r="AX456" s="89" t="s">
        <v>646</v>
      </c>
      <c r="AY456" s="89" t="s">
        <v>646</v>
      </c>
      <c r="AZ456" s="89" t="s">
        <v>21299</v>
      </c>
      <c r="BA456" s="89" t="s">
        <v>646</v>
      </c>
      <c r="BB456" s="89" t="s">
        <v>646</v>
      </c>
      <c r="BC456" s="89" t="s">
        <v>646</v>
      </c>
      <c r="BD456" s="89" t="s">
        <v>17615</v>
      </c>
      <c r="BE456" s="89">
        <v>2019</v>
      </c>
      <c r="BF456" s="89">
        <v>21</v>
      </c>
      <c r="BG456" s="89">
        <v>12</v>
      </c>
      <c r="BH456" s="89" t="s">
        <v>646</v>
      </c>
      <c r="BI456" s="89" t="s">
        <v>646</v>
      </c>
      <c r="BJ456" s="89" t="s">
        <v>646</v>
      </c>
      <c r="BK456" s="89" t="s">
        <v>646</v>
      </c>
      <c r="BL456" s="89" t="s">
        <v>646</v>
      </c>
      <c r="BM456" s="89" t="s">
        <v>646</v>
      </c>
      <c r="BN456" s="89">
        <v>1201</v>
      </c>
      <c r="BO456" s="89" t="str">
        <f>HYPERLINK("http://dx.doi.org/10.3390/e21121201","http://dx.doi.org/10.3390/e21121201")</f>
        <v>http://dx.doi.org/10.3390/e21121201</v>
      </c>
      <c r="BP456" s="89" t="s">
        <v>646</v>
      </c>
      <c r="BQ456" s="89" t="s">
        <v>646</v>
      </c>
      <c r="BR456" s="89" t="s">
        <v>646</v>
      </c>
      <c r="BS456" s="89" t="s">
        <v>646</v>
      </c>
      <c r="BT456" s="89" t="s">
        <v>646</v>
      </c>
      <c r="BU456" s="89" t="s">
        <v>646</v>
      </c>
      <c r="BV456" s="89" t="s">
        <v>646</v>
      </c>
      <c r="BW456" s="89" t="s">
        <v>646</v>
      </c>
      <c r="BX456" s="89" t="s">
        <v>646</v>
      </c>
      <c r="BY456" s="89" t="s">
        <v>646</v>
      </c>
      <c r="BZ456" s="89" t="s">
        <v>646</v>
      </c>
      <c r="CA456" s="89" t="s">
        <v>646</v>
      </c>
      <c r="CB456" s="89" t="s">
        <v>21300</v>
      </c>
      <c r="CC456" s="89" t="str">
        <f>HYPERLINK("https%3A%2F%2Fwww.webofscience.com%2Fwos%2Fwoscc%2Ffull-record%2FWOS:000507375900069","View Full Record in Web of Science")</f>
        <v>View Full Record in Web of Science</v>
      </c>
    </row>
    <row r="457" spans="1:81" ht="13.2" hidden="1" x14ac:dyDescent="0.25">
      <c r="A457" s="89" t="s">
        <v>9549</v>
      </c>
      <c r="B457" s="89" t="e">
        <f>+#REF!</f>
        <v>#REF!</v>
      </c>
      <c r="C457" s="89"/>
      <c r="D457" s="91" t="s">
        <v>717</v>
      </c>
      <c r="E457" s="90" t="e">
        <v>#REF!</v>
      </c>
      <c r="F457" s="89"/>
      <c r="G457" s="89"/>
      <c r="H457" s="89" t="s">
        <v>9550</v>
      </c>
      <c r="I457" s="89" t="s">
        <v>21301</v>
      </c>
      <c r="J457" s="89" t="s">
        <v>646</v>
      </c>
      <c r="K457" s="89" t="s">
        <v>21303</v>
      </c>
      <c r="M457" s="89">
        <v>2022</v>
      </c>
      <c r="N457" s="89" t="s">
        <v>21302</v>
      </c>
      <c r="O457" s="89" t="s">
        <v>646</v>
      </c>
      <c r="P457" s="89" t="str">
        <f>HYPERLINK("http://dx.doi.org/10.1108/TG-07-2021-0118","http://dx.doi.org/10.1108/TG-07-2021-0118")</f>
        <v>http://dx.doi.org/10.1108/TG-07-2021-0118</v>
      </c>
      <c r="S457" s="89" t="s">
        <v>646</v>
      </c>
      <c r="U457" s="89" t="s">
        <v>17462</v>
      </c>
      <c r="W457" s="89" t="s">
        <v>646</v>
      </c>
      <c r="X457" s="89" t="s">
        <v>646</v>
      </c>
      <c r="Y457" s="89" t="s">
        <v>646</v>
      </c>
      <c r="Z457" s="89" t="s">
        <v>646</v>
      </c>
      <c r="AA457" s="89" t="s">
        <v>646</v>
      </c>
      <c r="AB457" s="89" t="s">
        <v>646</v>
      </c>
      <c r="AC457" s="89" t="s">
        <v>646</v>
      </c>
      <c r="AD457" s="89" t="s">
        <v>646</v>
      </c>
      <c r="AE457" s="89" t="s">
        <v>646</v>
      </c>
      <c r="AF457" s="89" t="s">
        <v>21303</v>
      </c>
      <c r="AG457" s="89" t="s">
        <v>646</v>
      </c>
      <c r="AH457" s="89" t="s">
        <v>646</v>
      </c>
      <c r="AI457" s="89" t="s">
        <v>646</v>
      </c>
      <c r="AJ457" s="89" t="s">
        <v>646</v>
      </c>
      <c r="AK457" s="89" t="s">
        <v>646</v>
      </c>
      <c r="AL457" s="89" t="s">
        <v>646</v>
      </c>
      <c r="AM457" s="89" t="s">
        <v>646</v>
      </c>
      <c r="AN457" s="89" t="s">
        <v>646</v>
      </c>
      <c r="AO457" s="89" t="s">
        <v>646</v>
      </c>
      <c r="AP457" s="89" t="s">
        <v>646</v>
      </c>
      <c r="AQ457" s="89" t="s">
        <v>646</v>
      </c>
      <c r="AR457" s="89" t="s">
        <v>646</v>
      </c>
      <c r="AS457" s="89" t="s">
        <v>646</v>
      </c>
      <c r="AT457" s="89" t="s">
        <v>646</v>
      </c>
      <c r="AU457" s="89" t="s">
        <v>646</v>
      </c>
      <c r="AV457" s="89" t="s">
        <v>646</v>
      </c>
      <c r="AW457" s="89" t="s">
        <v>646</v>
      </c>
      <c r="AX457" s="89" t="s">
        <v>646</v>
      </c>
      <c r="AY457" s="89" t="s">
        <v>21304</v>
      </c>
      <c r="AZ457" s="89" t="s">
        <v>21305</v>
      </c>
      <c r="BA457" s="89" t="s">
        <v>646</v>
      </c>
      <c r="BB457" s="89" t="s">
        <v>646</v>
      </c>
      <c r="BC457" s="89" t="s">
        <v>646</v>
      </c>
      <c r="BD457" s="89" t="s">
        <v>21306</v>
      </c>
      <c r="BE457" s="89">
        <v>2022</v>
      </c>
      <c r="BF457" s="89">
        <v>16</v>
      </c>
      <c r="BG457" s="89">
        <v>2</v>
      </c>
      <c r="BH457" s="89" t="s">
        <v>646</v>
      </c>
      <c r="BI457" s="89" t="s">
        <v>646</v>
      </c>
      <c r="BJ457" s="89" t="s">
        <v>17555</v>
      </c>
      <c r="BK457" s="89" t="s">
        <v>646</v>
      </c>
      <c r="BL457" s="89">
        <v>185</v>
      </c>
      <c r="BM457" s="89">
        <v>202</v>
      </c>
      <c r="BN457" s="89" t="s">
        <v>646</v>
      </c>
      <c r="BO457" s="89" t="str">
        <f>HYPERLINK("http://dx.doi.org/10.1108/TG-07-2021-0118","http://dx.doi.org/10.1108/TG-07-2021-0118")</f>
        <v>http://dx.doi.org/10.1108/TG-07-2021-0118</v>
      </c>
      <c r="BP457" s="89" t="s">
        <v>646</v>
      </c>
      <c r="BQ457" s="89" t="s">
        <v>20029</v>
      </c>
      <c r="BR457" s="89" t="s">
        <v>646</v>
      </c>
      <c r="BS457" s="89" t="s">
        <v>646</v>
      </c>
      <c r="BT457" s="89" t="s">
        <v>646</v>
      </c>
      <c r="BU457" s="89" t="s">
        <v>646</v>
      </c>
      <c r="BV457" s="89" t="s">
        <v>646</v>
      </c>
      <c r="BW457" s="89" t="s">
        <v>646</v>
      </c>
      <c r="BX457" s="89" t="s">
        <v>646</v>
      </c>
      <c r="BY457" s="89" t="s">
        <v>646</v>
      </c>
      <c r="BZ457" s="89" t="s">
        <v>646</v>
      </c>
      <c r="CA457" s="89" t="s">
        <v>646</v>
      </c>
      <c r="CB457" s="89" t="s">
        <v>21307</v>
      </c>
      <c r="CC457" s="89" t="str">
        <f>HYPERLINK("https%3A%2F%2Fwww.webofscience.com%2Fwos%2Fwoscc%2Ffull-record%2FWOS:000752385900001","View Full Record in Web of Science")</f>
        <v>View Full Record in Web of Science</v>
      </c>
    </row>
    <row r="458" spans="1:81" ht="13.2" hidden="1" x14ac:dyDescent="0.25">
      <c r="A458" s="89" t="s">
        <v>21308</v>
      </c>
      <c r="B458" s="89" t="e">
        <f>+#REF!</f>
        <v>#REF!</v>
      </c>
      <c r="C458" s="89"/>
      <c r="D458" s="91" t="s">
        <v>717</v>
      </c>
      <c r="E458" s="90" t="e">
        <v>#REF!</v>
      </c>
      <c r="F458" s="89"/>
      <c r="G458" s="89"/>
      <c r="H458" s="89" t="s">
        <v>12824</v>
      </c>
      <c r="I458" s="89" t="s">
        <v>21309</v>
      </c>
      <c r="J458" s="89" t="s">
        <v>21312</v>
      </c>
      <c r="K458" s="89" t="s">
        <v>21311</v>
      </c>
      <c r="M458" s="89">
        <v>2015</v>
      </c>
      <c r="N458" s="89" t="s">
        <v>21310</v>
      </c>
      <c r="O458" s="89" t="s">
        <v>646</v>
      </c>
      <c r="P458" s="89" t="str">
        <f>HYPERLINK("http://dx.doi.org/10.1088/1748-9326/10/12/124009","http://dx.doi.org/10.1088/1748-9326/10/12/124009")</f>
        <v>http://dx.doi.org/10.1088/1748-9326/10/12/124009</v>
      </c>
      <c r="S458" s="89" t="s">
        <v>646</v>
      </c>
      <c r="U458" s="89" t="s">
        <v>17462</v>
      </c>
      <c r="W458" s="89" t="s">
        <v>646</v>
      </c>
      <c r="X458" s="89" t="s">
        <v>646</v>
      </c>
      <c r="Y458" s="89" t="s">
        <v>646</v>
      </c>
      <c r="Z458" s="89" t="s">
        <v>646</v>
      </c>
      <c r="AA458" s="89" t="s">
        <v>646</v>
      </c>
      <c r="AB458" s="89" t="s">
        <v>646</v>
      </c>
      <c r="AC458" s="89" t="s">
        <v>646</v>
      </c>
      <c r="AD458" s="89" t="s">
        <v>646</v>
      </c>
      <c r="AE458" s="89" t="s">
        <v>646</v>
      </c>
      <c r="AF458" s="89" t="s">
        <v>21311</v>
      </c>
      <c r="AG458" s="89" t="s">
        <v>646</v>
      </c>
      <c r="AH458" s="89" t="s">
        <v>646</v>
      </c>
      <c r="AI458" s="89" t="s">
        <v>646</v>
      </c>
      <c r="AJ458" s="89" t="s">
        <v>646</v>
      </c>
      <c r="AK458" s="89" t="s">
        <v>21312</v>
      </c>
      <c r="AL458" s="89" t="s">
        <v>21313</v>
      </c>
      <c r="AM458" s="89" t="s">
        <v>646</v>
      </c>
      <c r="AN458" s="89" t="s">
        <v>646</v>
      </c>
      <c r="AO458" s="89" t="s">
        <v>646</v>
      </c>
      <c r="AP458" s="89" t="s">
        <v>646</v>
      </c>
      <c r="AQ458" s="89" t="s">
        <v>646</v>
      </c>
      <c r="AR458" s="89" t="s">
        <v>646</v>
      </c>
      <c r="AS458" s="89" t="s">
        <v>646</v>
      </c>
      <c r="AT458" s="89" t="s">
        <v>646</v>
      </c>
      <c r="AU458" s="89" t="s">
        <v>646</v>
      </c>
      <c r="AV458" s="89" t="s">
        <v>646</v>
      </c>
      <c r="AW458" s="89" t="s">
        <v>646</v>
      </c>
      <c r="AX458" s="89" t="s">
        <v>646</v>
      </c>
      <c r="AY458" s="89" t="s">
        <v>21314</v>
      </c>
      <c r="AZ458" s="89" t="s">
        <v>646</v>
      </c>
      <c r="BA458" s="89" t="s">
        <v>646</v>
      </c>
      <c r="BB458" s="89" t="s">
        <v>646</v>
      </c>
      <c r="BC458" s="89" t="s">
        <v>646</v>
      </c>
      <c r="BD458" s="89" t="s">
        <v>17615</v>
      </c>
      <c r="BE458" s="89">
        <v>2015</v>
      </c>
      <c r="BF458" s="89">
        <v>10</v>
      </c>
      <c r="BG458" s="89">
        <v>12</v>
      </c>
      <c r="BH458" s="89" t="s">
        <v>646</v>
      </c>
      <c r="BI458" s="89" t="s">
        <v>646</v>
      </c>
      <c r="BJ458" s="89" t="s">
        <v>646</v>
      </c>
      <c r="BK458" s="89" t="s">
        <v>646</v>
      </c>
      <c r="BL458" s="89" t="s">
        <v>646</v>
      </c>
      <c r="BM458" s="89" t="s">
        <v>646</v>
      </c>
      <c r="BN458" s="89">
        <v>124009</v>
      </c>
      <c r="BO458" s="89" t="str">
        <f>HYPERLINK("http://dx.doi.org/10.1088/1748-9326/10/12/124009","http://dx.doi.org/10.1088/1748-9326/10/12/124009")</f>
        <v>http://dx.doi.org/10.1088/1748-9326/10/12/124009</v>
      </c>
      <c r="BP458" s="89" t="s">
        <v>646</v>
      </c>
      <c r="BQ458" s="89" t="s">
        <v>646</v>
      </c>
      <c r="BR458" s="89" t="s">
        <v>646</v>
      </c>
      <c r="BS458" s="89" t="s">
        <v>646</v>
      </c>
      <c r="BT458" s="89" t="s">
        <v>646</v>
      </c>
      <c r="BU458" s="89" t="s">
        <v>646</v>
      </c>
      <c r="BV458" s="89" t="s">
        <v>646</v>
      </c>
      <c r="BW458" s="89" t="s">
        <v>646</v>
      </c>
      <c r="BX458" s="89" t="s">
        <v>646</v>
      </c>
      <c r="BY458" s="89" t="s">
        <v>646</v>
      </c>
      <c r="BZ458" s="89" t="s">
        <v>646</v>
      </c>
      <c r="CA458" s="89" t="s">
        <v>646</v>
      </c>
      <c r="CB458" s="89" t="s">
        <v>21315</v>
      </c>
      <c r="CC458" s="89" t="str">
        <f>HYPERLINK("https%3A%2F%2Fwww.webofscience.com%2Fwos%2Fwoscc%2Ffull-record%2FWOS:000367286300016","View Full Record in Web of Science")</f>
        <v>View Full Record in Web of Science</v>
      </c>
    </row>
    <row r="459" spans="1:81" ht="13.2" hidden="1" x14ac:dyDescent="0.25">
      <c r="A459" s="89" t="s">
        <v>9559</v>
      </c>
      <c r="B459" s="89" t="e">
        <f>+#REF!</f>
        <v>#REF!</v>
      </c>
      <c r="C459" s="89"/>
      <c r="D459" s="91" t="s">
        <v>717</v>
      </c>
      <c r="E459" s="90" t="e">
        <v>#REF!</v>
      </c>
      <c r="F459" s="89"/>
      <c r="G459" s="89"/>
      <c r="H459" s="89" t="s">
        <v>9560</v>
      </c>
      <c r="I459" s="89" t="s">
        <v>21316</v>
      </c>
      <c r="J459" s="89" t="s">
        <v>646</v>
      </c>
      <c r="K459" s="89" t="s">
        <v>21317</v>
      </c>
      <c r="M459" s="89">
        <v>2022</v>
      </c>
      <c r="N459" s="89" t="s">
        <v>18693</v>
      </c>
      <c r="O459" s="89" t="s">
        <v>646</v>
      </c>
      <c r="P459" s="89" t="str">
        <f>HYPERLINK("http://dx.doi.org/10.3390/ijerph19127136","http://dx.doi.org/10.3390/ijerph19127136")</f>
        <v>http://dx.doi.org/10.3390/ijerph19127136</v>
      </c>
      <c r="S459" s="89" t="s">
        <v>646</v>
      </c>
      <c r="U459" s="89" t="s">
        <v>17462</v>
      </c>
      <c r="W459" s="89" t="s">
        <v>646</v>
      </c>
      <c r="X459" s="89" t="s">
        <v>646</v>
      </c>
      <c r="Y459" s="89" t="s">
        <v>646</v>
      </c>
      <c r="Z459" s="89" t="s">
        <v>646</v>
      </c>
      <c r="AA459" s="89" t="s">
        <v>646</v>
      </c>
      <c r="AB459" s="89" t="s">
        <v>646</v>
      </c>
      <c r="AC459" s="89" t="s">
        <v>646</v>
      </c>
      <c r="AD459" s="89" t="s">
        <v>646</v>
      </c>
      <c r="AE459" s="89" t="s">
        <v>646</v>
      </c>
      <c r="AF459" s="89" t="s">
        <v>21317</v>
      </c>
      <c r="AG459" s="89" t="s">
        <v>646</v>
      </c>
      <c r="AH459" s="89" t="s">
        <v>646</v>
      </c>
      <c r="AI459" s="89" t="s">
        <v>646</v>
      </c>
      <c r="AJ459" s="89" t="s">
        <v>646</v>
      </c>
      <c r="AK459" s="89" t="s">
        <v>646</v>
      </c>
      <c r="AL459" s="89" t="s">
        <v>646</v>
      </c>
      <c r="AM459" s="89" t="s">
        <v>646</v>
      </c>
      <c r="AN459" s="89" t="s">
        <v>646</v>
      </c>
      <c r="AO459" s="89" t="s">
        <v>646</v>
      </c>
      <c r="AP459" s="89" t="s">
        <v>646</v>
      </c>
      <c r="AQ459" s="89" t="s">
        <v>646</v>
      </c>
      <c r="AR459" s="89" t="s">
        <v>646</v>
      </c>
      <c r="AS459" s="89" t="s">
        <v>646</v>
      </c>
      <c r="AT459" s="89" t="s">
        <v>646</v>
      </c>
      <c r="AU459" s="89" t="s">
        <v>646</v>
      </c>
      <c r="AV459" s="89" t="s">
        <v>646</v>
      </c>
      <c r="AW459" s="89" t="s">
        <v>646</v>
      </c>
      <c r="AX459" s="89" t="s">
        <v>646</v>
      </c>
      <c r="AY459" s="89" t="s">
        <v>646</v>
      </c>
      <c r="AZ459" s="89" t="s">
        <v>18697</v>
      </c>
      <c r="BA459" s="89" t="s">
        <v>646</v>
      </c>
      <c r="BB459" s="89" t="s">
        <v>646</v>
      </c>
      <c r="BC459" s="89" t="s">
        <v>646</v>
      </c>
      <c r="BD459" s="89" t="s">
        <v>17772</v>
      </c>
      <c r="BE459" s="89">
        <v>2022</v>
      </c>
      <c r="BF459" s="89">
        <v>19</v>
      </c>
      <c r="BG459" s="89">
        <v>12</v>
      </c>
      <c r="BH459" s="89" t="s">
        <v>646</v>
      </c>
      <c r="BI459" s="89" t="s">
        <v>646</v>
      </c>
      <c r="BJ459" s="89" t="s">
        <v>646</v>
      </c>
      <c r="BK459" s="89" t="s">
        <v>646</v>
      </c>
      <c r="BL459" s="89" t="s">
        <v>646</v>
      </c>
      <c r="BM459" s="89" t="s">
        <v>646</v>
      </c>
      <c r="BN459" s="89">
        <v>7136</v>
      </c>
      <c r="BO459" s="89" t="str">
        <f>HYPERLINK("http://dx.doi.org/10.3390/ijerph19127136","http://dx.doi.org/10.3390/ijerph19127136")</f>
        <v>http://dx.doi.org/10.3390/ijerph19127136</v>
      </c>
      <c r="BP459" s="89" t="s">
        <v>646</v>
      </c>
      <c r="BQ459" s="89" t="s">
        <v>646</v>
      </c>
      <c r="BR459" s="89" t="s">
        <v>646</v>
      </c>
      <c r="BS459" s="89" t="s">
        <v>646</v>
      </c>
      <c r="BT459" s="89" t="s">
        <v>646</v>
      </c>
      <c r="BU459" s="89" t="s">
        <v>646</v>
      </c>
      <c r="BV459" s="89" t="s">
        <v>646</v>
      </c>
      <c r="BW459" s="89">
        <v>35742385</v>
      </c>
      <c r="BX459" s="89" t="s">
        <v>646</v>
      </c>
      <c r="BY459" s="89" t="s">
        <v>646</v>
      </c>
      <c r="BZ459" s="89" t="s">
        <v>646</v>
      </c>
      <c r="CA459" s="89" t="s">
        <v>646</v>
      </c>
      <c r="CB459" s="89" t="s">
        <v>21318</v>
      </c>
      <c r="CC459" s="89" t="str">
        <f>HYPERLINK("https%3A%2F%2Fwww.webofscience.com%2Fwos%2Fwoscc%2Ffull-record%2FWOS:000815878400001","View Full Record in Web of Science")</f>
        <v>View Full Record in Web of Science</v>
      </c>
    </row>
    <row r="460" spans="1:81" ht="13.2" hidden="1" x14ac:dyDescent="0.25">
      <c r="A460" s="89" t="s">
        <v>21319</v>
      </c>
      <c r="B460" s="89" t="e">
        <f>+#REF!</f>
        <v>#REF!</v>
      </c>
      <c r="C460" s="89"/>
      <c r="D460" s="91" t="s">
        <v>717</v>
      </c>
      <c r="E460" s="90" t="e">
        <v>#REF!</v>
      </c>
      <c r="F460" s="89"/>
      <c r="G460" s="89"/>
      <c r="H460" s="89" t="s">
        <v>12834</v>
      </c>
      <c r="I460" s="89" t="s">
        <v>21320</v>
      </c>
      <c r="J460" s="89" t="s">
        <v>646</v>
      </c>
      <c r="K460" s="89" t="s">
        <v>21322</v>
      </c>
      <c r="M460" s="89">
        <v>2020</v>
      </c>
      <c r="N460" s="89" t="s">
        <v>21321</v>
      </c>
      <c r="O460" s="89" t="s">
        <v>646</v>
      </c>
      <c r="P460" s="89" t="str">
        <f>HYPERLINK("http://dx.doi.org/10.1111/1556-4029.14323","http://dx.doi.org/10.1111/1556-4029.14323")</f>
        <v>http://dx.doi.org/10.1111/1556-4029.14323</v>
      </c>
      <c r="S460" s="89" t="s">
        <v>646</v>
      </c>
      <c r="U460" s="89" t="s">
        <v>17462</v>
      </c>
      <c r="W460" s="89" t="s">
        <v>646</v>
      </c>
      <c r="X460" s="89" t="s">
        <v>646</v>
      </c>
      <c r="Y460" s="89" t="s">
        <v>646</v>
      </c>
      <c r="Z460" s="89" t="s">
        <v>646</v>
      </c>
      <c r="AA460" s="89" t="s">
        <v>646</v>
      </c>
      <c r="AB460" s="89" t="s">
        <v>646</v>
      </c>
      <c r="AC460" s="89" t="s">
        <v>646</v>
      </c>
      <c r="AD460" s="89" t="s">
        <v>646</v>
      </c>
      <c r="AE460" s="89" t="s">
        <v>646</v>
      </c>
      <c r="AF460" s="89" t="s">
        <v>21322</v>
      </c>
      <c r="AG460" s="89" t="s">
        <v>646</v>
      </c>
      <c r="AH460" s="89" t="s">
        <v>646</v>
      </c>
      <c r="AI460" s="89" t="s">
        <v>646</v>
      </c>
      <c r="AJ460" s="89" t="s">
        <v>646</v>
      </c>
      <c r="AK460" s="89" t="s">
        <v>646</v>
      </c>
      <c r="AL460" s="89" t="s">
        <v>646</v>
      </c>
      <c r="AM460" s="89" t="s">
        <v>646</v>
      </c>
      <c r="AN460" s="89" t="s">
        <v>646</v>
      </c>
      <c r="AO460" s="89" t="s">
        <v>646</v>
      </c>
      <c r="AP460" s="89" t="s">
        <v>646</v>
      </c>
      <c r="AQ460" s="89" t="s">
        <v>646</v>
      </c>
      <c r="AR460" s="89" t="s">
        <v>646</v>
      </c>
      <c r="AS460" s="89" t="s">
        <v>646</v>
      </c>
      <c r="AT460" s="89" t="s">
        <v>646</v>
      </c>
      <c r="AU460" s="89" t="s">
        <v>646</v>
      </c>
      <c r="AV460" s="89" t="s">
        <v>646</v>
      </c>
      <c r="AW460" s="89" t="s">
        <v>646</v>
      </c>
      <c r="AX460" s="89" t="s">
        <v>646</v>
      </c>
      <c r="AY460" s="89" t="s">
        <v>21323</v>
      </c>
      <c r="AZ460" s="89" t="s">
        <v>21324</v>
      </c>
      <c r="BA460" s="89" t="s">
        <v>646</v>
      </c>
      <c r="BB460" s="89" t="s">
        <v>646</v>
      </c>
      <c r="BC460" s="89" t="s">
        <v>646</v>
      </c>
      <c r="BD460" s="89" t="s">
        <v>17676</v>
      </c>
      <c r="BE460" s="89">
        <v>2020</v>
      </c>
      <c r="BF460" s="89">
        <v>65</v>
      </c>
      <c r="BG460" s="89">
        <v>4</v>
      </c>
      <c r="BH460" s="89" t="s">
        <v>646</v>
      </c>
      <c r="BI460" s="89" t="s">
        <v>646</v>
      </c>
      <c r="BJ460" s="89" t="s">
        <v>646</v>
      </c>
      <c r="BK460" s="89" t="s">
        <v>646</v>
      </c>
      <c r="BL460" s="89">
        <v>1199</v>
      </c>
      <c r="BM460" s="89">
        <v>1209</v>
      </c>
      <c r="BN460" s="89" t="s">
        <v>646</v>
      </c>
      <c r="BO460" s="89" t="str">
        <f>HYPERLINK("http://dx.doi.org/10.1111/1556-4029.14323","http://dx.doi.org/10.1111/1556-4029.14323")</f>
        <v>http://dx.doi.org/10.1111/1556-4029.14323</v>
      </c>
      <c r="BP460" s="89" t="s">
        <v>646</v>
      </c>
      <c r="BQ460" s="89" t="s">
        <v>21325</v>
      </c>
      <c r="BR460" s="89" t="s">
        <v>646</v>
      </c>
      <c r="BS460" s="89" t="s">
        <v>646</v>
      </c>
      <c r="BT460" s="89" t="s">
        <v>646</v>
      </c>
      <c r="BU460" s="89" t="s">
        <v>646</v>
      </c>
      <c r="BV460" s="89" t="s">
        <v>646</v>
      </c>
      <c r="BW460" s="89">
        <v>32320075</v>
      </c>
      <c r="BX460" s="89" t="s">
        <v>646</v>
      </c>
      <c r="BY460" s="89" t="s">
        <v>646</v>
      </c>
      <c r="BZ460" s="89" t="s">
        <v>646</v>
      </c>
      <c r="CA460" s="89" t="s">
        <v>646</v>
      </c>
      <c r="CB460" s="89" t="s">
        <v>21326</v>
      </c>
      <c r="CC460" s="89" t="str">
        <f>HYPERLINK("https%3A%2F%2Fwww.webofscience.com%2Fwos%2Fwoscc%2Ffull-record%2FWOS:000527406500001","View Full Record in Web of Science")</f>
        <v>View Full Record in Web of Science</v>
      </c>
    </row>
    <row r="461" spans="1:81" ht="13.2" hidden="1" x14ac:dyDescent="0.25">
      <c r="A461" s="89" t="s">
        <v>21327</v>
      </c>
      <c r="B461" s="89" t="e">
        <f>+#REF!</f>
        <v>#REF!</v>
      </c>
      <c r="C461" s="89"/>
      <c r="D461" s="91" t="s">
        <v>717</v>
      </c>
      <c r="E461" s="90" t="e">
        <v>#REF!</v>
      </c>
      <c r="F461" s="89"/>
      <c r="G461" s="89"/>
      <c r="H461" s="89" t="s">
        <v>646</v>
      </c>
      <c r="I461" s="89" t="s">
        <v>21328</v>
      </c>
      <c r="J461" s="89" t="s">
        <v>646</v>
      </c>
      <c r="K461" s="89" t="s">
        <v>21335</v>
      </c>
      <c r="M461" s="89">
        <v>2013</v>
      </c>
      <c r="N461" s="89" t="s">
        <v>21329</v>
      </c>
      <c r="O461" s="89" t="s">
        <v>646</v>
      </c>
      <c r="P461" s="89" t="s">
        <v>646</v>
      </c>
      <c r="S461" s="89" t="s">
        <v>17475</v>
      </c>
      <c r="U461" s="89" t="s">
        <v>17474</v>
      </c>
      <c r="W461" s="89" t="s">
        <v>646</v>
      </c>
      <c r="X461" s="89" t="s">
        <v>646</v>
      </c>
      <c r="Y461" s="89" t="s">
        <v>21330</v>
      </c>
      <c r="Z461" s="89" t="s">
        <v>21331</v>
      </c>
      <c r="AA461" s="89" t="s">
        <v>21332</v>
      </c>
      <c r="AB461" s="89" t="s">
        <v>21333</v>
      </c>
      <c r="AC461" s="89" t="s">
        <v>21334</v>
      </c>
      <c r="AD461" s="89" t="s">
        <v>646</v>
      </c>
      <c r="AE461" s="89" t="s">
        <v>646</v>
      </c>
      <c r="AF461" s="89" t="s">
        <v>21335</v>
      </c>
      <c r="AG461" s="89" t="s">
        <v>646</v>
      </c>
      <c r="AH461" s="89" t="s">
        <v>646</v>
      </c>
      <c r="AI461" s="89" t="s">
        <v>646</v>
      </c>
      <c r="AJ461" s="89" t="s">
        <v>646</v>
      </c>
      <c r="AK461" s="89" t="s">
        <v>646</v>
      </c>
      <c r="AL461" s="89" t="s">
        <v>646</v>
      </c>
      <c r="AM461" s="89" t="s">
        <v>646</v>
      </c>
      <c r="AN461" s="89" t="s">
        <v>646</v>
      </c>
      <c r="AO461" s="89" t="s">
        <v>646</v>
      </c>
      <c r="AP461" s="89" t="s">
        <v>646</v>
      </c>
      <c r="AQ461" s="89" t="s">
        <v>646</v>
      </c>
      <c r="AR461" s="89" t="s">
        <v>646</v>
      </c>
      <c r="AS461" s="89" t="s">
        <v>646</v>
      </c>
      <c r="AT461" s="89" t="s">
        <v>646</v>
      </c>
      <c r="AU461" s="89" t="s">
        <v>646</v>
      </c>
      <c r="AV461" s="89" t="s">
        <v>646</v>
      </c>
      <c r="AW461" s="89" t="s">
        <v>646</v>
      </c>
      <c r="AX461" s="89" t="s">
        <v>646</v>
      </c>
      <c r="AY461" s="89" t="s">
        <v>21336</v>
      </c>
      <c r="AZ461" s="89" t="s">
        <v>646</v>
      </c>
      <c r="BA461" s="89" t="s">
        <v>21337</v>
      </c>
      <c r="BB461" s="89" t="s">
        <v>646</v>
      </c>
      <c r="BC461" s="89" t="s">
        <v>646</v>
      </c>
      <c r="BD461" s="89" t="s">
        <v>646</v>
      </c>
      <c r="BE461" s="89">
        <v>2013</v>
      </c>
      <c r="BF461" s="89" t="s">
        <v>646</v>
      </c>
      <c r="BG461" s="89" t="s">
        <v>646</v>
      </c>
      <c r="BH461" s="89" t="s">
        <v>646</v>
      </c>
      <c r="BI461" s="89" t="s">
        <v>646</v>
      </c>
      <c r="BJ461" s="89" t="s">
        <v>646</v>
      </c>
      <c r="BK461" s="89" t="s">
        <v>646</v>
      </c>
      <c r="BL461" s="89" t="s">
        <v>646</v>
      </c>
      <c r="BM461" s="89" t="s">
        <v>646</v>
      </c>
      <c r="BN461" s="89" t="s">
        <v>646</v>
      </c>
      <c r="BO461" s="89" t="s">
        <v>646</v>
      </c>
      <c r="BP461" s="89" t="s">
        <v>646</v>
      </c>
      <c r="BQ461" s="89" t="s">
        <v>646</v>
      </c>
      <c r="BR461" s="89" t="s">
        <v>646</v>
      </c>
      <c r="BS461" s="89" t="s">
        <v>646</v>
      </c>
      <c r="BT461" s="89" t="s">
        <v>646</v>
      </c>
      <c r="BU461" s="89" t="s">
        <v>646</v>
      </c>
      <c r="BV461" s="89" t="s">
        <v>646</v>
      </c>
      <c r="BW461" s="89" t="s">
        <v>646</v>
      </c>
      <c r="BX461" s="89" t="s">
        <v>646</v>
      </c>
      <c r="BY461" s="89" t="s">
        <v>646</v>
      </c>
      <c r="BZ461" s="89" t="s">
        <v>646</v>
      </c>
      <c r="CA461" s="89" t="s">
        <v>646</v>
      </c>
      <c r="CB461" s="89" t="s">
        <v>21338</v>
      </c>
      <c r="CC461" s="89" t="str">
        <f>HYPERLINK("https%3A%2F%2Fwww.webofscience.com%2Fwos%2Fwoscc%2Ffull-record%2FWOS:000330839100357","View Full Record in Web of Science")</f>
        <v>View Full Record in Web of Science</v>
      </c>
    </row>
    <row r="462" spans="1:81" ht="13.2" hidden="1" x14ac:dyDescent="0.25">
      <c r="A462" s="89" t="s">
        <v>21339</v>
      </c>
      <c r="B462" s="89" t="e">
        <f>+#REF!</f>
        <v>#REF!</v>
      </c>
      <c r="C462" s="89"/>
      <c r="D462" s="91" t="s">
        <v>717</v>
      </c>
      <c r="E462" s="90" t="e">
        <v>#REF!</v>
      </c>
      <c r="F462" s="89"/>
      <c r="G462" s="89"/>
      <c r="H462" s="89" t="s">
        <v>646</v>
      </c>
      <c r="I462" s="89" t="s">
        <v>21340</v>
      </c>
      <c r="J462" s="89" t="s">
        <v>646</v>
      </c>
      <c r="K462" s="89" t="s">
        <v>21343</v>
      </c>
      <c r="M462" s="89">
        <v>2013</v>
      </c>
      <c r="N462" s="89" t="s">
        <v>21341</v>
      </c>
      <c r="O462" s="89" t="s">
        <v>646</v>
      </c>
      <c r="P462" s="89" t="s">
        <v>646</v>
      </c>
      <c r="S462" s="89" t="s">
        <v>17475</v>
      </c>
      <c r="U462" s="89" t="s">
        <v>17474</v>
      </c>
      <c r="W462" s="89" t="s">
        <v>646</v>
      </c>
      <c r="X462" s="89" t="s">
        <v>646</v>
      </c>
      <c r="Y462" s="89" t="s">
        <v>20135</v>
      </c>
      <c r="Z462" s="89" t="s">
        <v>21342</v>
      </c>
      <c r="AA462" s="89" t="s">
        <v>19963</v>
      </c>
      <c r="AB462" s="89" t="s">
        <v>17475</v>
      </c>
      <c r="AC462" s="89" t="s">
        <v>646</v>
      </c>
      <c r="AD462" s="89" t="s">
        <v>646</v>
      </c>
      <c r="AE462" s="89" t="s">
        <v>646</v>
      </c>
      <c r="AF462" s="89" t="s">
        <v>21343</v>
      </c>
      <c r="AG462" s="89" t="s">
        <v>646</v>
      </c>
      <c r="AH462" s="89" t="s">
        <v>646</v>
      </c>
      <c r="AI462" s="89" t="s">
        <v>646</v>
      </c>
      <c r="AJ462" s="89" t="s">
        <v>646</v>
      </c>
      <c r="AK462" s="89" t="s">
        <v>646</v>
      </c>
      <c r="AL462" s="89" t="s">
        <v>646</v>
      </c>
      <c r="AM462" s="89" t="s">
        <v>646</v>
      </c>
      <c r="AN462" s="89" t="s">
        <v>646</v>
      </c>
      <c r="AO462" s="89" t="s">
        <v>646</v>
      </c>
      <c r="AP462" s="89" t="s">
        <v>646</v>
      </c>
      <c r="AQ462" s="89" t="s">
        <v>646</v>
      </c>
      <c r="AR462" s="89" t="s">
        <v>646</v>
      </c>
      <c r="AS462" s="89" t="s">
        <v>646</v>
      </c>
      <c r="AT462" s="89" t="s">
        <v>646</v>
      </c>
      <c r="AU462" s="89" t="s">
        <v>646</v>
      </c>
      <c r="AV462" s="89" t="s">
        <v>646</v>
      </c>
      <c r="AW462" s="89" t="s">
        <v>646</v>
      </c>
      <c r="AX462" s="89" t="s">
        <v>646</v>
      </c>
      <c r="AY462" s="89" t="s">
        <v>21344</v>
      </c>
      <c r="AZ462" s="89" t="s">
        <v>646</v>
      </c>
      <c r="BA462" s="89" t="s">
        <v>646</v>
      </c>
      <c r="BB462" s="89" t="s">
        <v>646</v>
      </c>
      <c r="BC462" s="89" t="s">
        <v>646</v>
      </c>
      <c r="BD462" s="89" t="s">
        <v>646</v>
      </c>
      <c r="BE462" s="89">
        <v>2013</v>
      </c>
      <c r="BF462" s="89" t="s">
        <v>646</v>
      </c>
      <c r="BG462" s="89" t="s">
        <v>646</v>
      </c>
      <c r="BH462" s="89" t="s">
        <v>646</v>
      </c>
      <c r="BI462" s="89" t="s">
        <v>646</v>
      </c>
      <c r="BJ462" s="89" t="s">
        <v>646</v>
      </c>
      <c r="BK462" s="89" t="s">
        <v>646</v>
      </c>
      <c r="BL462" s="89" t="s">
        <v>646</v>
      </c>
      <c r="BM462" s="89" t="s">
        <v>646</v>
      </c>
      <c r="BN462" s="89" t="s">
        <v>646</v>
      </c>
      <c r="BO462" s="89" t="s">
        <v>646</v>
      </c>
      <c r="BP462" s="89" t="s">
        <v>646</v>
      </c>
      <c r="BQ462" s="89" t="s">
        <v>646</v>
      </c>
      <c r="BR462" s="89" t="s">
        <v>646</v>
      </c>
      <c r="BS462" s="89" t="s">
        <v>646</v>
      </c>
      <c r="BT462" s="89" t="s">
        <v>646</v>
      </c>
      <c r="BU462" s="89" t="s">
        <v>646</v>
      </c>
      <c r="BV462" s="89" t="s">
        <v>646</v>
      </c>
      <c r="BW462" s="89" t="s">
        <v>646</v>
      </c>
      <c r="BX462" s="89" t="s">
        <v>646</v>
      </c>
      <c r="BY462" s="89" t="s">
        <v>646</v>
      </c>
      <c r="BZ462" s="89" t="s">
        <v>646</v>
      </c>
      <c r="CA462" s="89" t="s">
        <v>646</v>
      </c>
      <c r="CB462" s="89" t="s">
        <v>21345</v>
      </c>
      <c r="CC462" s="89" t="str">
        <f>HYPERLINK("https%3A%2F%2Fwww.webofscience.com%2Fwos%2Fwoscc%2Ffull-record%2FWOS:000369757400056","View Full Record in Web of Science")</f>
        <v>View Full Record in Web of Science</v>
      </c>
    </row>
    <row r="463" spans="1:81" ht="13.2" hidden="1" x14ac:dyDescent="0.25">
      <c r="A463" s="89" t="s">
        <v>12860</v>
      </c>
      <c r="B463" s="89" t="e">
        <f>+#REF!</f>
        <v>#REF!</v>
      </c>
      <c r="C463" s="89"/>
      <c r="D463" s="91" t="s">
        <v>717</v>
      </c>
      <c r="E463" s="90" t="e">
        <v>#REF!</v>
      </c>
      <c r="F463" s="89"/>
      <c r="G463" s="89"/>
      <c r="H463" s="89" t="s">
        <v>646</v>
      </c>
      <c r="I463" s="89" t="s">
        <v>21346</v>
      </c>
      <c r="J463" s="89" t="s">
        <v>646</v>
      </c>
      <c r="K463" s="89" t="s">
        <v>21350</v>
      </c>
      <c r="M463" s="89">
        <v>2019</v>
      </c>
      <c r="N463" s="89" t="s">
        <v>21347</v>
      </c>
      <c r="O463" s="89" t="s">
        <v>646</v>
      </c>
      <c r="P463" s="89" t="s">
        <v>646</v>
      </c>
      <c r="S463" s="89" t="s">
        <v>17475</v>
      </c>
      <c r="U463" s="89" t="s">
        <v>17474</v>
      </c>
      <c r="W463" s="89" t="s">
        <v>646</v>
      </c>
      <c r="X463" s="89" t="s">
        <v>646</v>
      </c>
      <c r="Y463" s="89" t="s">
        <v>21348</v>
      </c>
      <c r="Z463" s="89" t="s">
        <v>21349</v>
      </c>
      <c r="AA463" s="89" t="s">
        <v>19963</v>
      </c>
      <c r="AB463" s="89" t="s">
        <v>17475</v>
      </c>
      <c r="AC463" s="89" t="s">
        <v>646</v>
      </c>
      <c r="AD463" s="89" t="s">
        <v>646</v>
      </c>
      <c r="AE463" s="89" t="s">
        <v>646</v>
      </c>
      <c r="AF463" s="89" t="s">
        <v>21350</v>
      </c>
      <c r="AG463" s="89" t="s">
        <v>646</v>
      </c>
      <c r="AH463" s="89" t="s">
        <v>646</v>
      </c>
      <c r="AI463" s="89" t="s">
        <v>646</v>
      </c>
      <c r="AJ463" s="89" t="s">
        <v>646</v>
      </c>
      <c r="AK463" s="89" t="s">
        <v>646</v>
      </c>
      <c r="AL463" s="89" t="s">
        <v>21351</v>
      </c>
      <c r="AM463" s="89" t="s">
        <v>646</v>
      </c>
      <c r="AN463" s="89" t="s">
        <v>646</v>
      </c>
      <c r="AO463" s="89" t="s">
        <v>646</v>
      </c>
      <c r="AP463" s="89" t="s">
        <v>646</v>
      </c>
      <c r="AQ463" s="89" t="s">
        <v>646</v>
      </c>
      <c r="AR463" s="89" t="s">
        <v>646</v>
      </c>
      <c r="AS463" s="89" t="s">
        <v>646</v>
      </c>
      <c r="AT463" s="89" t="s">
        <v>646</v>
      </c>
      <c r="AU463" s="89" t="s">
        <v>646</v>
      </c>
      <c r="AV463" s="89" t="s">
        <v>646</v>
      </c>
      <c r="AW463" s="89" t="s">
        <v>646</v>
      </c>
      <c r="AX463" s="89" t="s">
        <v>646</v>
      </c>
      <c r="AY463" s="89" t="s">
        <v>646</v>
      </c>
      <c r="AZ463" s="89" t="s">
        <v>646</v>
      </c>
      <c r="BA463" s="89" t="s">
        <v>21352</v>
      </c>
      <c r="BB463" s="89" t="s">
        <v>646</v>
      </c>
      <c r="BC463" s="89" t="s">
        <v>646</v>
      </c>
      <c r="BD463" s="89" t="s">
        <v>646</v>
      </c>
      <c r="BE463" s="89">
        <v>2019</v>
      </c>
      <c r="BF463" s="89" t="s">
        <v>646</v>
      </c>
      <c r="BG463" s="89" t="s">
        <v>646</v>
      </c>
      <c r="BH463" s="89" t="s">
        <v>646</v>
      </c>
      <c r="BI463" s="89" t="s">
        <v>646</v>
      </c>
      <c r="BJ463" s="89" t="s">
        <v>646</v>
      </c>
      <c r="BK463" s="89" t="s">
        <v>646</v>
      </c>
      <c r="BL463" s="89">
        <v>206</v>
      </c>
      <c r="BM463" s="89">
        <v>210</v>
      </c>
      <c r="BN463" s="89" t="s">
        <v>646</v>
      </c>
      <c r="BO463" s="89" t="s">
        <v>646</v>
      </c>
      <c r="BP463" s="89" t="s">
        <v>646</v>
      </c>
      <c r="BQ463" s="89" t="s">
        <v>646</v>
      </c>
      <c r="BR463" s="89" t="s">
        <v>646</v>
      </c>
      <c r="BS463" s="89" t="s">
        <v>646</v>
      </c>
      <c r="BT463" s="89" t="s">
        <v>646</v>
      </c>
      <c r="BU463" s="89" t="s">
        <v>646</v>
      </c>
      <c r="BV463" s="89" t="s">
        <v>646</v>
      </c>
      <c r="BW463" s="89" t="s">
        <v>646</v>
      </c>
      <c r="BX463" s="89" t="s">
        <v>646</v>
      </c>
      <c r="BY463" s="89" t="s">
        <v>646</v>
      </c>
      <c r="BZ463" s="89" t="s">
        <v>646</v>
      </c>
      <c r="CA463" s="89" t="s">
        <v>646</v>
      </c>
      <c r="CB463" s="89" t="s">
        <v>21353</v>
      </c>
      <c r="CC463" s="89" t="str">
        <f>HYPERLINK("https%3A%2F%2Fwww.webofscience.com%2Fwos%2Fwoscc%2Ffull-record%2FWOS:000527436500042","View Full Record in Web of Science")</f>
        <v>View Full Record in Web of Science</v>
      </c>
    </row>
    <row r="464" spans="1:81" ht="13.2" hidden="1" x14ac:dyDescent="0.25">
      <c r="A464" s="89" t="s">
        <v>21354</v>
      </c>
      <c r="B464" s="89" t="e">
        <f>+#REF!</f>
        <v>#REF!</v>
      </c>
      <c r="C464" s="89"/>
      <c r="D464" s="91" t="s">
        <v>717</v>
      </c>
      <c r="E464" s="90" t="e">
        <v>#REF!</v>
      </c>
      <c r="F464" s="89"/>
      <c r="G464" s="89"/>
      <c r="H464" s="89" t="s">
        <v>646</v>
      </c>
      <c r="I464" s="89" t="s">
        <v>21355</v>
      </c>
      <c r="J464" s="89" t="s">
        <v>646</v>
      </c>
      <c r="K464" s="89" t="s">
        <v>21361</v>
      </c>
      <c r="M464" s="89">
        <v>2010</v>
      </c>
      <c r="N464" s="89" t="s">
        <v>21356</v>
      </c>
      <c r="O464" s="89" t="s">
        <v>646</v>
      </c>
      <c r="P464" s="89" t="s">
        <v>646</v>
      </c>
      <c r="S464" s="89" t="s">
        <v>19206</v>
      </c>
      <c r="U464" s="89" t="s">
        <v>17474</v>
      </c>
      <c r="W464" s="89" t="s">
        <v>646</v>
      </c>
      <c r="X464" s="89" t="s">
        <v>646</v>
      </c>
      <c r="Y464" s="89" t="s">
        <v>21357</v>
      </c>
      <c r="Z464" s="89" t="s">
        <v>21358</v>
      </c>
      <c r="AA464" s="89" t="s">
        <v>21359</v>
      </c>
      <c r="AB464" s="89" t="s">
        <v>19206</v>
      </c>
      <c r="AC464" s="89" t="s">
        <v>21360</v>
      </c>
      <c r="AD464" s="89" t="s">
        <v>646</v>
      </c>
      <c r="AE464" s="89" t="s">
        <v>646</v>
      </c>
      <c r="AF464" s="89" t="s">
        <v>21361</v>
      </c>
      <c r="AG464" s="89" t="s">
        <v>646</v>
      </c>
      <c r="AH464" s="89" t="s">
        <v>646</v>
      </c>
      <c r="AI464" s="89" t="s">
        <v>646</v>
      </c>
      <c r="AJ464" s="89" t="s">
        <v>646</v>
      </c>
      <c r="AK464" s="89" t="s">
        <v>646</v>
      </c>
      <c r="AL464" s="89" t="s">
        <v>646</v>
      </c>
      <c r="AM464" s="89" t="s">
        <v>646</v>
      </c>
      <c r="AN464" s="89" t="s">
        <v>646</v>
      </c>
      <c r="AO464" s="89" t="s">
        <v>646</v>
      </c>
      <c r="AP464" s="89" t="s">
        <v>646</v>
      </c>
      <c r="AQ464" s="89" t="s">
        <v>646</v>
      </c>
      <c r="AR464" s="89" t="s">
        <v>646</v>
      </c>
      <c r="AS464" s="89" t="s">
        <v>646</v>
      </c>
      <c r="AT464" s="89" t="s">
        <v>646</v>
      </c>
      <c r="AU464" s="89" t="s">
        <v>646</v>
      </c>
      <c r="AV464" s="89" t="s">
        <v>646</v>
      </c>
      <c r="AW464" s="89" t="s">
        <v>646</v>
      </c>
      <c r="AX464" s="89" t="s">
        <v>646</v>
      </c>
      <c r="AY464" s="89" t="s">
        <v>646</v>
      </c>
      <c r="AZ464" s="89" t="s">
        <v>646</v>
      </c>
      <c r="BA464" s="89" t="s">
        <v>21362</v>
      </c>
      <c r="BB464" s="89" t="s">
        <v>646</v>
      </c>
      <c r="BC464" s="89" t="s">
        <v>646</v>
      </c>
      <c r="BD464" s="89" t="s">
        <v>646</v>
      </c>
      <c r="BE464" s="89">
        <v>2010</v>
      </c>
      <c r="BF464" s="89" t="s">
        <v>646</v>
      </c>
      <c r="BG464" s="89" t="s">
        <v>646</v>
      </c>
      <c r="BH464" s="89" t="s">
        <v>646</v>
      </c>
      <c r="BI464" s="89" t="s">
        <v>646</v>
      </c>
      <c r="BJ464" s="89" t="s">
        <v>646</v>
      </c>
      <c r="BK464" s="89" t="s">
        <v>646</v>
      </c>
      <c r="BL464" s="89" t="s">
        <v>646</v>
      </c>
      <c r="BM464" s="89" t="s">
        <v>646</v>
      </c>
      <c r="BN464" s="89" t="s">
        <v>646</v>
      </c>
      <c r="BO464" s="89" t="s">
        <v>646</v>
      </c>
      <c r="BP464" s="89" t="s">
        <v>646</v>
      </c>
      <c r="BQ464" s="89" t="s">
        <v>646</v>
      </c>
      <c r="BR464" s="89" t="s">
        <v>646</v>
      </c>
      <c r="BS464" s="89" t="s">
        <v>646</v>
      </c>
      <c r="BT464" s="89" t="s">
        <v>646</v>
      </c>
      <c r="BU464" s="89" t="s">
        <v>646</v>
      </c>
      <c r="BV464" s="89" t="s">
        <v>646</v>
      </c>
      <c r="BW464" s="89" t="s">
        <v>646</v>
      </c>
      <c r="BX464" s="89" t="s">
        <v>646</v>
      </c>
      <c r="BY464" s="89" t="s">
        <v>646</v>
      </c>
      <c r="BZ464" s="89" t="s">
        <v>646</v>
      </c>
      <c r="CA464" s="89" t="s">
        <v>646</v>
      </c>
      <c r="CB464" s="89" t="s">
        <v>21363</v>
      </c>
      <c r="CC464" s="89" t="str">
        <f>HYPERLINK("https%3A%2F%2Fwww.webofscience.com%2Fwos%2Fwoscc%2Ffull-record%2FWOS:000395770400012","View Full Record in Web of Science")</f>
        <v>View Full Record in Web of Science</v>
      </c>
    </row>
    <row r="465" spans="1:81" ht="13.2" hidden="1" x14ac:dyDescent="0.25">
      <c r="A465" s="89" t="s">
        <v>21364</v>
      </c>
      <c r="B465" s="89" t="e">
        <f>+#REF!</f>
        <v>#REF!</v>
      </c>
      <c r="C465" s="89"/>
      <c r="D465" s="91" t="s">
        <v>717</v>
      </c>
      <c r="E465" s="90" t="e">
        <v>#REF!</v>
      </c>
      <c r="F465" s="89"/>
      <c r="G465" s="89"/>
      <c r="H465" s="89" t="s">
        <v>646</v>
      </c>
      <c r="I465" s="89" t="s">
        <v>21366</v>
      </c>
      <c r="J465" s="89" t="s">
        <v>21373</v>
      </c>
      <c r="K465" s="89" t="s">
        <v>21372</v>
      </c>
      <c r="M465" s="89">
        <v>2010</v>
      </c>
      <c r="N465" s="89" t="s">
        <v>21367</v>
      </c>
      <c r="O465" s="89" t="s">
        <v>21365</v>
      </c>
      <c r="P465" s="89" t="s">
        <v>646</v>
      </c>
      <c r="S465" s="89" t="s">
        <v>646</v>
      </c>
      <c r="U465" s="89" t="s">
        <v>17474</v>
      </c>
      <c r="W465" s="89" t="s">
        <v>646</v>
      </c>
      <c r="X465" s="89" t="s">
        <v>646</v>
      </c>
      <c r="Y465" s="89" t="s">
        <v>21368</v>
      </c>
      <c r="Z465" s="89" t="s">
        <v>21369</v>
      </c>
      <c r="AA465" s="89" t="s">
        <v>21370</v>
      </c>
      <c r="AB465" s="89" t="s">
        <v>21371</v>
      </c>
      <c r="AC465" s="89" t="s">
        <v>646</v>
      </c>
      <c r="AD465" s="89" t="s">
        <v>646</v>
      </c>
      <c r="AE465" s="89" t="s">
        <v>646</v>
      </c>
      <c r="AF465" s="89" t="s">
        <v>21372</v>
      </c>
      <c r="AG465" s="89" t="s">
        <v>646</v>
      </c>
      <c r="AH465" s="89" t="s">
        <v>646</v>
      </c>
      <c r="AI465" s="89" t="s">
        <v>646</v>
      </c>
      <c r="AJ465" s="89" t="s">
        <v>646</v>
      </c>
      <c r="AK465" s="89" t="s">
        <v>21373</v>
      </c>
      <c r="AL465" s="89" t="s">
        <v>21374</v>
      </c>
      <c r="AM465" s="89" t="s">
        <v>646</v>
      </c>
      <c r="AN465" s="89" t="s">
        <v>646</v>
      </c>
      <c r="AO465" s="89" t="s">
        <v>646</v>
      </c>
      <c r="AP465" s="89" t="s">
        <v>646</v>
      </c>
      <c r="AQ465" s="89" t="s">
        <v>646</v>
      </c>
      <c r="AR465" s="89" t="s">
        <v>646</v>
      </c>
      <c r="AS465" s="89" t="s">
        <v>646</v>
      </c>
      <c r="AT465" s="89" t="s">
        <v>646</v>
      </c>
      <c r="AU465" s="89" t="s">
        <v>646</v>
      </c>
      <c r="AV465" s="89" t="s">
        <v>646</v>
      </c>
      <c r="AW465" s="89" t="s">
        <v>646</v>
      </c>
      <c r="AX465" s="89" t="s">
        <v>646</v>
      </c>
      <c r="AY465" s="89" t="s">
        <v>646</v>
      </c>
      <c r="AZ465" s="89" t="s">
        <v>646</v>
      </c>
      <c r="BA465" s="89" t="s">
        <v>21375</v>
      </c>
      <c r="BB465" s="89" t="s">
        <v>646</v>
      </c>
      <c r="BC465" s="89" t="s">
        <v>646</v>
      </c>
      <c r="BD465" s="89" t="s">
        <v>646</v>
      </c>
      <c r="BE465" s="89">
        <v>2010</v>
      </c>
      <c r="BF465" s="89" t="s">
        <v>646</v>
      </c>
      <c r="BG465" s="89" t="s">
        <v>646</v>
      </c>
      <c r="BH465" s="89" t="s">
        <v>646</v>
      </c>
      <c r="BI465" s="89" t="s">
        <v>646</v>
      </c>
      <c r="BJ465" s="89" t="s">
        <v>646</v>
      </c>
      <c r="BK465" s="89" t="s">
        <v>646</v>
      </c>
      <c r="BL465" s="89">
        <v>411</v>
      </c>
      <c r="BM465" s="89">
        <v>418</v>
      </c>
      <c r="BN465" s="89" t="s">
        <v>646</v>
      </c>
      <c r="BO465" s="89" t="s">
        <v>646</v>
      </c>
      <c r="BP465" s="89" t="s">
        <v>646</v>
      </c>
      <c r="BQ465" s="89" t="s">
        <v>646</v>
      </c>
      <c r="BR465" s="89" t="s">
        <v>646</v>
      </c>
      <c r="BS465" s="89" t="s">
        <v>646</v>
      </c>
      <c r="BT465" s="89" t="s">
        <v>646</v>
      </c>
      <c r="BU465" s="89" t="s">
        <v>646</v>
      </c>
      <c r="BV465" s="89" t="s">
        <v>646</v>
      </c>
      <c r="BW465" s="89" t="s">
        <v>646</v>
      </c>
      <c r="BX465" s="89" t="s">
        <v>646</v>
      </c>
      <c r="BY465" s="89" t="s">
        <v>646</v>
      </c>
      <c r="BZ465" s="89" t="s">
        <v>646</v>
      </c>
      <c r="CA465" s="89" t="s">
        <v>646</v>
      </c>
      <c r="CB465" s="89" t="s">
        <v>21376</v>
      </c>
      <c r="CC465" s="89" t="str">
        <f>HYPERLINK("https%3A%2F%2Fwww.webofscience.com%2Fwos%2Fwoscc%2Ffull-record%2FWOS:000286904100054","View Full Record in Web of Science")</f>
        <v>View Full Record in Web of Science</v>
      </c>
    </row>
    <row r="466" spans="1:81" ht="13.2" hidden="1" x14ac:dyDescent="0.25">
      <c r="A466" s="89" t="s">
        <v>21377</v>
      </c>
      <c r="B466" s="89" t="e">
        <f>+#REF!</f>
        <v>#REF!</v>
      </c>
      <c r="C466" s="89"/>
      <c r="D466" s="91" t="s">
        <v>717</v>
      </c>
      <c r="E466" s="90" t="e">
        <v>#REF!</v>
      </c>
      <c r="F466" s="89"/>
      <c r="G466" s="89"/>
      <c r="H466" s="89" t="s">
        <v>12889</v>
      </c>
      <c r="I466" s="89" t="s">
        <v>21378</v>
      </c>
      <c r="J466" s="89" t="s">
        <v>646</v>
      </c>
      <c r="K466" s="89" t="s">
        <v>21380</v>
      </c>
      <c r="M466" s="89">
        <v>2015</v>
      </c>
      <c r="N466" s="89" t="s">
        <v>21379</v>
      </c>
      <c r="O466" s="89" t="s">
        <v>646</v>
      </c>
      <c r="P466" s="89" t="str">
        <f>HYPERLINK("http://dx.doi.org/10.1142/S0218194015400380","http://dx.doi.org/10.1142/S0218194015400380")</f>
        <v>http://dx.doi.org/10.1142/S0218194015400380</v>
      </c>
      <c r="S466" s="89" t="s">
        <v>646</v>
      </c>
      <c r="U466" s="89" t="s">
        <v>17462</v>
      </c>
      <c r="W466" s="89" t="s">
        <v>646</v>
      </c>
      <c r="X466" s="89" t="s">
        <v>646</v>
      </c>
      <c r="Y466" s="89" t="s">
        <v>646</v>
      </c>
      <c r="Z466" s="89" t="s">
        <v>646</v>
      </c>
      <c r="AA466" s="89" t="s">
        <v>646</v>
      </c>
      <c r="AB466" s="89" t="s">
        <v>646</v>
      </c>
      <c r="AC466" s="89" t="s">
        <v>646</v>
      </c>
      <c r="AD466" s="89" t="s">
        <v>646</v>
      </c>
      <c r="AE466" s="89" t="s">
        <v>646</v>
      </c>
      <c r="AF466" s="89" t="s">
        <v>21380</v>
      </c>
      <c r="AG466" s="89" t="s">
        <v>646</v>
      </c>
      <c r="AH466" s="89" t="s">
        <v>646</v>
      </c>
      <c r="AI466" s="89" t="s">
        <v>646</v>
      </c>
      <c r="AJ466" s="89" t="s">
        <v>646</v>
      </c>
      <c r="AK466" s="89" t="s">
        <v>646</v>
      </c>
      <c r="AL466" s="89" t="s">
        <v>21381</v>
      </c>
      <c r="AM466" s="89" t="s">
        <v>646</v>
      </c>
      <c r="AN466" s="89" t="s">
        <v>646</v>
      </c>
      <c r="AO466" s="89" t="s">
        <v>646</v>
      </c>
      <c r="AP466" s="89" t="s">
        <v>646</v>
      </c>
      <c r="AQ466" s="89" t="s">
        <v>646</v>
      </c>
      <c r="AR466" s="89" t="s">
        <v>646</v>
      </c>
      <c r="AS466" s="89" t="s">
        <v>646</v>
      </c>
      <c r="AT466" s="89" t="s">
        <v>646</v>
      </c>
      <c r="AU466" s="89" t="s">
        <v>646</v>
      </c>
      <c r="AV466" s="89" t="s">
        <v>646</v>
      </c>
      <c r="AW466" s="89" t="s">
        <v>646</v>
      </c>
      <c r="AX466" s="89" t="s">
        <v>646</v>
      </c>
      <c r="AY466" s="89" t="s">
        <v>21382</v>
      </c>
      <c r="AZ466" s="89" t="s">
        <v>21383</v>
      </c>
      <c r="BA466" s="89" t="s">
        <v>646</v>
      </c>
      <c r="BB466" s="89" t="s">
        <v>646</v>
      </c>
      <c r="BC466" s="89" t="s">
        <v>646</v>
      </c>
      <c r="BD466" s="89" t="s">
        <v>21384</v>
      </c>
      <c r="BE466" s="89">
        <v>2015</v>
      </c>
      <c r="BF466" s="89">
        <v>25</v>
      </c>
      <c r="BG466" s="89" t="s">
        <v>21139</v>
      </c>
      <c r="BH466" s="89" t="s">
        <v>646</v>
      </c>
      <c r="BI466" s="89" t="s">
        <v>646</v>
      </c>
      <c r="BJ466" s="89" t="s">
        <v>646</v>
      </c>
      <c r="BK466" s="89" t="s">
        <v>646</v>
      </c>
      <c r="BL466" s="89">
        <v>1677</v>
      </c>
      <c r="BM466" s="89">
        <v>1692</v>
      </c>
      <c r="BN466" s="89" t="s">
        <v>646</v>
      </c>
      <c r="BO466" s="89" t="str">
        <f>HYPERLINK("http://dx.doi.org/10.1142/S0218194015400380","http://dx.doi.org/10.1142/S0218194015400380")</f>
        <v>http://dx.doi.org/10.1142/S0218194015400380</v>
      </c>
      <c r="BP466" s="89" t="s">
        <v>646</v>
      </c>
      <c r="BQ466" s="89" t="s">
        <v>646</v>
      </c>
      <c r="BR466" s="89" t="s">
        <v>646</v>
      </c>
      <c r="BS466" s="89" t="s">
        <v>646</v>
      </c>
      <c r="BT466" s="89" t="s">
        <v>646</v>
      </c>
      <c r="BU466" s="89" t="s">
        <v>646</v>
      </c>
      <c r="BV466" s="89" t="s">
        <v>646</v>
      </c>
      <c r="BW466" s="89" t="s">
        <v>646</v>
      </c>
      <c r="BX466" s="89" t="s">
        <v>646</v>
      </c>
      <c r="BY466" s="89" t="s">
        <v>646</v>
      </c>
      <c r="BZ466" s="89" t="s">
        <v>646</v>
      </c>
      <c r="CA466" s="89" t="s">
        <v>646</v>
      </c>
      <c r="CB466" s="89" t="s">
        <v>21385</v>
      </c>
      <c r="CC466" s="89" t="str">
        <f>HYPERLINK("https%3A%2F%2Fwww.webofscience.com%2Fwos%2Fwoscc%2Ffull-record%2FWOS:000372155400014","View Full Record in Web of Science")</f>
        <v>View Full Record in Web of Science</v>
      </c>
    </row>
    <row r="467" spans="1:81" ht="13.2" hidden="1" x14ac:dyDescent="0.25">
      <c r="A467" s="89" t="s">
        <v>21386</v>
      </c>
      <c r="B467" s="89" t="e">
        <f>+#REF!</f>
        <v>#REF!</v>
      </c>
      <c r="C467" s="89"/>
      <c r="D467" s="91" t="s">
        <v>717</v>
      </c>
      <c r="E467" s="90" t="e">
        <v>#REF!</v>
      </c>
      <c r="F467" s="89"/>
      <c r="G467" s="89"/>
      <c r="H467" s="89" t="s">
        <v>646</v>
      </c>
      <c r="I467" s="89" t="s">
        <v>19554</v>
      </c>
      <c r="J467" s="89" t="s">
        <v>19625</v>
      </c>
      <c r="K467" s="89" t="s">
        <v>12898</v>
      </c>
      <c r="M467" s="89">
        <v>2008</v>
      </c>
      <c r="N467" s="89" t="s">
        <v>21388</v>
      </c>
      <c r="O467" s="89" t="s">
        <v>21387</v>
      </c>
      <c r="P467" s="89" t="s">
        <v>646</v>
      </c>
      <c r="S467" s="89" t="s">
        <v>646</v>
      </c>
      <c r="U467" s="89" t="s">
        <v>17474</v>
      </c>
      <c r="W467" s="89" t="s">
        <v>646</v>
      </c>
      <c r="X467" s="89" t="s">
        <v>646</v>
      </c>
      <c r="Y467" s="89" t="s">
        <v>21389</v>
      </c>
      <c r="Z467" s="89" t="s">
        <v>21390</v>
      </c>
      <c r="AA467" s="89" t="s">
        <v>21391</v>
      </c>
      <c r="AB467" s="89" t="s">
        <v>21392</v>
      </c>
      <c r="AC467" s="89" t="s">
        <v>646</v>
      </c>
      <c r="AD467" s="89" t="s">
        <v>646</v>
      </c>
      <c r="AE467" s="89" t="s">
        <v>646</v>
      </c>
      <c r="AF467" s="89" t="s">
        <v>12898</v>
      </c>
      <c r="AG467" s="89" t="s">
        <v>646</v>
      </c>
      <c r="AH467" s="89" t="s">
        <v>646</v>
      </c>
      <c r="AI467" s="89" t="s">
        <v>646</v>
      </c>
      <c r="AJ467" s="89" t="s">
        <v>646</v>
      </c>
      <c r="AK467" s="89" t="s">
        <v>19625</v>
      </c>
      <c r="AL467" s="89" t="s">
        <v>19626</v>
      </c>
      <c r="AM467" s="89" t="s">
        <v>646</v>
      </c>
      <c r="AN467" s="89" t="s">
        <v>646</v>
      </c>
      <c r="AO467" s="89" t="s">
        <v>646</v>
      </c>
      <c r="AP467" s="89" t="s">
        <v>646</v>
      </c>
      <c r="AQ467" s="89" t="s">
        <v>646</v>
      </c>
      <c r="AR467" s="89" t="s">
        <v>646</v>
      </c>
      <c r="AS467" s="89" t="s">
        <v>646</v>
      </c>
      <c r="AT467" s="89" t="s">
        <v>646</v>
      </c>
      <c r="AU467" s="89" t="s">
        <v>646</v>
      </c>
      <c r="AV467" s="89" t="s">
        <v>646</v>
      </c>
      <c r="AW467" s="89" t="s">
        <v>646</v>
      </c>
      <c r="AX467" s="89" t="s">
        <v>646</v>
      </c>
      <c r="AY467" s="89" t="s">
        <v>646</v>
      </c>
      <c r="AZ467" s="89" t="s">
        <v>646</v>
      </c>
      <c r="BA467" s="89" t="s">
        <v>21393</v>
      </c>
      <c r="BB467" s="89" t="s">
        <v>646</v>
      </c>
      <c r="BC467" s="89" t="s">
        <v>646</v>
      </c>
      <c r="BD467" s="89" t="s">
        <v>646</v>
      </c>
      <c r="BE467" s="89">
        <v>2008</v>
      </c>
      <c r="BF467" s="89" t="s">
        <v>646</v>
      </c>
      <c r="BG467" s="89" t="s">
        <v>646</v>
      </c>
      <c r="BH467" s="89" t="s">
        <v>646</v>
      </c>
      <c r="BI467" s="89" t="s">
        <v>646</v>
      </c>
      <c r="BJ467" s="89" t="s">
        <v>646</v>
      </c>
      <c r="BK467" s="89" t="s">
        <v>646</v>
      </c>
      <c r="BL467" s="89">
        <v>355</v>
      </c>
      <c r="BM467" s="89" t="s">
        <v>18405</v>
      </c>
      <c r="BN467" s="89" t="s">
        <v>646</v>
      </c>
      <c r="BO467" s="89" t="s">
        <v>646</v>
      </c>
      <c r="BP467" s="89" t="s">
        <v>646</v>
      </c>
      <c r="BQ467" s="89" t="s">
        <v>646</v>
      </c>
      <c r="BR467" s="89" t="s">
        <v>646</v>
      </c>
      <c r="BS467" s="89" t="s">
        <v>646</v>
      </c>
      <c r="BT467" s="89" t="s">
        <v>646</v>
      </c>
      <c r="BU467" s="89" t="s">
        <v>646</v>
      </c>
      <c r="BV467" s="89" t="s">
        <v>646</v>
      </c>
      <c r="BW467" s="89" t="s">
        <v>646</v>
      </c>
      <c r="BX467" s="89" t="s">
        <v>646</v>
      </c>
      <c r="BY467" s="89" t="s">
        <v>646</v>
      </c>
      <c r="BZ467" s="89" t="s">
        <v>646</v>
      </c>
      <c r="CA467" s="89" t="s">
        <v>646</v>
      </c>
      <c r="CB467" s="89" t="s">
        <v>21394</v>
      </c>
      <c r="CC467" s="89" t="str">
        <f>HYPERLINK("https%3A%2F%2Fwww.webofscience.com%2Fwos%2Fwoscc%2Ffull-record%2FWOS:000258925900051","View Full Record in Web of Science")</f>
        <v>View Full Record in Web of Science</v>
      </c>
    </row>
    <row r="468" spans="1:81" ht="13.2" hidden="1" x14ac:dyDescent="0.25">
      <c r="A468" s="89" t="s">
        <v>21395</v>
      </c>
      <c r="B468" s="89" t="e">
        <f>+#REF!</f>
        <v>#REF!</v>
      </c>
      <c r="C468" s="89"/>
      <c r="D468" s="91" t="s">
        <v>717</v>
      </c>
      <c r="E468" s="90" t="e">
        <v>#REF!</v>
      </c>
      <c r="F468" s="89"/>
      <c r="G468" s="89"/>
      <c r="H468" s="89" t="s">
        <v>1593</v>
      </c>
      <c r="I468" s="89" t="s">
        <v>21396</v>
      </c>
      <c r="J468" s="89" t="s">
        <v>21399</v>
      </c>
      <c r="K468" s="89" t="s">
        <v>21398</v>
      </c>
      <c r="M468" s="89">
        <v>2019</v>
      </c>
      <c r="N468" s="89" t="s">
        <v>21397</v>
      </c>
      <c r="O468" s="89" t="s">
        <v>646</v>
      </c>
      <c r="P468" s="89" t="str">
        <f>HYPERLINK("http://dx.doi.org/10.1145/3218279","http://dx.doi.org/10.1145/3218279")</f>
        <v>http://dx.doi.org/10.1145/3218279</v>
      </c>
      <c r="S468" s="89" t="s">
        <v>646</v>
      </c>
      <c r="U468" s="89" t="s">
        <v>17462</v>
      </c>
      <c r="W468" s="89" t="s">
        <v>646</v>
      </c>
      <c r="X468" s="89" t="s">
        <v>646</v>
      </c>
      <c r="Y468" s="89" t="s">
        <v>646</v>
      </c>
      <c r="Z468" s="89" t="s">
        <v>646</v>
      </c>
      <c r="AA468" s="89" t="s">
        <v>646</v>
      </c>
      <c r="AB468" s="89" t="s">
        <v>646</v>
      </c>
      <c r="AC468" s="89" t="s">
        <v>646</v>
      </c>
      <c r="AD468" s="89" t="s">
        <v>646</v>
      </c>
      <c r="AE468" s="89" t="s">
        <v>646</v>
      </c>
      <c r="AF468" s="89" t="s">
        <v>21398</v>
      </c>
      <c r="AG468" s="89" t="s">
        <v>646</v>
      </c>
      <c r="AH468" s="89" t="s">
        <v>646</v>
      </c>
      <c r="AI468" s="89" t="s">
        <v>646</v>
      </c>
      <c r="AJ468" s="89" t="s">
        <v>646</v>
      </c>
      <c r="AK468" s="89" t="s">
        <v>21399</v>
      </c>
      <c r="AL468" s="89" t="s">
        <v>21400</v>
      </c>
      <c r="AM468" s="89" t="s">
        <v>646</v>
      </c>
      <c r="AN468" s="89" t="s">
        <v>646</v>
      </c>
      <c r="AO468" s="89" t="s">
        <v>646</v>
      </c>
      <c r="AP468" s="89" t="s">
        <v>646</v>
      </c>
      <c r="AQ468" s="89" t="s">
        <v>646</v>
      </c>
      <c r="AR468" s="89" t="s">
        <v>646</v>
      </c>
      <c r="AS468" s="89" t="s">
        <v>646</v>
      </c>
      <c r="AT468" s="89" t="s">
        <v>646</v>
      </c>
      <c r="AU468" s="89" t="s">
        <v>646</v>
      </c>
      <c r="AV468" s="89" t="s">
        <v>646</v>
      </c>
      <c r="AW468" s="89" t="s">
        <v>646</v>
      </c>
      <c r="AX468" s="89" t="s">
        <v>646</v>
      </c>
      <c r="AY468" s="89" t="s">
        <v>21401</v>
      </c>
      <c r="AZ468" s="89" t="s">
        <v>646</v>
      </c>
      <c r="BA468" s="89" t="s">
        <v>646</v>
      </c>
      <c r="BB468" s="89" t="s">
        <v>646</v>
      </c>
      <c r="BC468" s="89" t="s">
        <v>646</v>
      </c>
      <c r="BD468" s="89" t="s">
        <v>17658</v>
      </c>
      <c r="BE468" s="89">
        <v>2019</v>
      </c>
      <c r="BF468" s="89">
        <v>19</v>
      </c>
      <c r="BG468" s="89">
        <v>2</v>
      </c>
      <c r="BH468" s="89" t="s">
        <v>646</v>
      </c>
      <c r="BI468" s="89" t="s">
        <v>646</v>
      </c>
      <c r="BJ468" s="89" t="s">
        <v>17555</v>
      </c>
      <c r="BK468" s="89" t="s">
        <v>646</v>
      </c>
      <c r="BL468" s="89" t="s">
        <v>646</v>
      </c>
      <c r="BM468" s="89" t="s">
        <v>646</v>
      </c>
      <c r="BN468" s="89">
        <v>14</v>
      </c>
      <c r="BO468" s="89" t="str">
        <f>HYPERLINK("http://dx.doi.org/10.1145/3218279","http://dx.doi.org/10.1145/3218279")</f>
        <v>http://dx.doi.org/10.1145/3218279</v>
      </c>
      <c r="BP468" s="89" t="s">
        <v>646</v>
      </c>
      <c r="BQ468" s="89" t="s">
        <v>646</v>
      </c>
      <c r="BR468" s="89" t="s">
        <v>646</v>
      </c>
      <c r="BS468" s="89" t="s">
        <v>646</v>
      </c>
      <c r="BT468" s="89" t="s">
        <v>646</v>
      </c>
      <c r="BU468" s="89" t="s">
        <v>646</v>
      </c>
      <c r="BV468" s="89" t="s">
        <v>646</v>
      </c>
      <c r="BW468" s="89" t="s">
        <v>646</v>
      </c>
      <c r="BX468" s="89" t="s">
        <v>646</v>
      </c>
      <c r="BY468" s="89" t="s">
        <v>646</v>
      </c>
      <c r="BZ468" s="89" t="s">
        <v>646</v>
      </c>
      <c r="CA468" s="89" t="s">
        <v>646</v>
      </c>
      <c r="CB468" s="89" t="s">
        <v>21402</v>
      </c>
      <c r="CC468" s="89" t="str">
        <f>HYPERLINK("https%3A%2F%2Fwww.webofscience.com%2Fwos%2Fwoscc%2Ffull-record%2FWOS:000458016600008","View Full Record in Web of Science")</f>
        <v>View Full Record in Web of Science</v>
      </c>
    </row>
    <row r="469" spans="1:81" ht="13.2" hidden="1" x14ac:dyDescent="0.25">
      <c r="A469" s="89" t="s">
        <v>16442</v>
      </c>
      <c r="B469" s="89" t="e">
        <f>+#REF!</f>
        <v>#REF!</v>
      </c>
      <c r="C469" s="89"/>
      <c r="D469" s="91" t="s">
        <v>717</v>
      </c>
      <c r="E469" s="90" t="e">
        <v>#REF!</v>
      </c>
      <c r="F469" s="89"/>
      <c r="G469" s="89"/>
      <c r="H469" s="89" t="s">
        <v>16443</v>
      </c>
      <c r="I469" s="89" t="s">
        <v>21403</v>
      </c>
      <c r="J469" s="89" t="s">
        <v>646</v>
      </c>
      <c r="K469" s="89" t="s">
        <v>21406</v>
      </c>
      <c r="M469" s="89">
        <v>2020</v>
      </c>
      <c r="N469" s="89" t="s">
        <v>21404</v>
      </c>
      <c r="O469" s="89" t="s">
        <v>646</v>
      </c>
      <c r="P469" s="89" t="str">
        <f>HYPERLINK("http://dx.doi.org/10.1145/3313831.3376237","http://dx.doi.org/10.1145/3313831.3376237")</f>
        <v>http://dx.doi.org/10.1145/3313831.3376237</v>
      </c>
      <c r="S469" s="89" t="s">
        <v>19206</v>
      </c>
      <c r="U469" s="89" t="s">
        <v>17474</v>
      </c>
      <c r="W469" s="89" t="s">
        <v>646</v>
      </c>
      <c r="X469" s="89" t="s">
        <v>646</v>
      </c>
      <c r="Y469" s="89" t="s">
        <v>19438</v>
      </c>
      <c r="Z469" s="89" t="s">
        <v>21405</v>
      </c>
      <c r="AA469" s="89" t="s">
        <v>17494</v>
      </c>
      <c r="AB469" s="89" t="s">
        <v>19440</v>
      </c>
      <c r="AC469" s="89" t="s">
        <v>646</v>
      </c>
      <c r="AD469" s="89" t="s">
        <v>646</v>
      </c>
      <c r="AE469" s="89" t="s">
        <v>646</v>
      </c>
      <c r="AF469" s="89" t="s">
        <v>21406</v>
      </c>
      <c r="AG469" s="89" t="s">
        <v>646</v>
      </c>
      <c r="AH469" s="89" t="s">
        <v>646</v>
      </c>
      <c r="AI469" s="89" t="s">
        <v>646</v>
      </c>
      <c r="AJ469" s="89" t="s">
        <v>646</v>
      </c>
      <c r="AK469" s="89" t="s">
        <v>646</v>
      </c>
      <c r="AL469" s="89" t="s">
        <v>21407</v>
      </c>
      <c r="AM469" s="89" t="s">
        <v>646</v>
      </c>
      <c r="AN469" s="89" t="s">
        <v>646</v>
      </c>
      <c r="AO469" s="89" t="s">
        <v>646</v>
      </c>
      <c r="AP469" s="89" t="s">
        <v>646</v>
      </c>
      <c r="AQ469" s="89" t="s">
        <v>646</v>
      </c>
      <c r="AR469" s="89" t="s">
        <v>646</v>
      </c>
      <c r="AS469" s="89" t="s">
        <v>646</v>
      </c>
      <c r="AT469" s="89" t="s">
        <v>646</v>
      </c>
      <c r="AU469" s="89" t="s">
        <v>646</v>
      </c>
      <c r="AV469" s="89" t="s">
        <v>646</v>
      </c>
      <c r="AW469" s="89" t="s">
        <v>646</v>
      </c>
      <c r="AX469" s="89" t="s">
        <v>646</v>
      </c>
      <c r="AY469" s="89" t="s">
        <v>646</v>
      </c>
      <c r="AZ469" s="89" t="s">
        <v>646</v>
      </c>
      <c r="BA469" s="89" t="s">
        <v>21408</v>
      </c>
      <c r="BB469" s="89" t="s">
        <v>646</v>
      </c>
      <c r="BC469" s="89" t="s">
        <v>646</v>
      </c>
      <c r="BD469" s="89" t="s">
        <v>646</v>
      </c>
      <c r="BE469" s="89">
        <v>2020</v>
      </c>
      <c r="BF469" s="89" t="s">
        <v>646</v>
      </c>
      <c r="BG469" s="89" t="s">
        <v>646</v>
      </c>
      <c r="BH469" s="89" t="s">
        <v>646</v>
      </c>
      <c r="BI469" s="89" t="s">
        <v>646</v>
      </c>
      <c r="BJ469" s="89" t="s">
        <v>646</v>
      </c>
      <c r="BK469" s="89" t="s">
        <v>646</v>
      </c>
      <c r="BL469" s="89" t="s">
        <v>646</v>
      </c>
      <c r="BM469" s="89" t="s">
        <v>646</v>
      </c>
      <c r="BN469" s="89" t="s">
        <v>646</v>
      </c>
      <c r="BO469" s="89" t="str">
        <f>HYPERLINK("http://dx.doi.org/10.1145/3313831.3376237","http://dx.doi.org/10.1145/3313831.3376237")</f>
        <v>http://dx.doi.org/10.1145/3313831.3376237</v>
      </c>
      <c r="BP469" s="89" t="s">
        <v>646</v>
      </c>
      <c r="BQ469" s="89" t="s">
        <v>646</v>
      </c>
      <c r="BR469" s="89" t="s">
        <v>646</v>
      </c>
      <c r="BS469" s="89" t="s">
        <v>646</v>
      </c>
      <c r="BT469" s="89" t="s">
        <v>646</v>
      </c>
      <c r="BU469" s="89" t="s">
        <v>646</v>
      </c>
      <c r="BV469" s="89" t="s">
        <v>646</v>
      </c>
      <c r="BW469" s="89" t="s">
        <v>646</v>
      </c>
      <c r="BX469" s="89" t="s">
        <v>646</v>
      </c>
      <c r="BY469" s="89" t="s">
        <v>646</v>
      </c>
      <c r="BZ469" s="89" t="s">
        <v>646</v>
      </c>
      <c r="CA469" s="89" t="s">
        <v>646</v>
      </c>
      <c r="CB469" s="89" t="s">
        <v>21409</v>
      </c>
      <c r="CC469" s="89" t="str">
        <f>HYPERLINK("https%3A%2F%2Fwww.webofscience.com%2Fwos%2Fwoscc%2Ffull-record%2FWOS:000695432500110","View Full Record in Web of Science")</f>
        <v>View Full Record in Web of Science</v>
      </c>
    </row>
    <row r="470" spans="1:81" ht="13.2" hidden="1" x14ac:dyDescent="0.25">
      <c r="A470" s="89" t="s">
        <v>21410</v>
      </c>
      <c r="B470" s="89" t="e">
        <f>+#REF!</f>
        <v>#REF!</v>
      </c>
      <c r="C470" s="89"/>
      <c r="D470" s="91" t="s">
        <v>717</v>
      </c>
      <c r="E470" s="90" t="e">
        <v>#REF!</v>
      </c>
      <c r="F470" s="89"/>
      <c r="G470" s="89"/>
      <c r="H470" s="89" t="s">
        <v>9569</v>
      </c>
      <c r="I470" s="89" t="s">
        <v>21411</v>
      </c>
      <c r="J470" s="89" t="s">
        <v>646</v>
      </c>
      <c r="K470" s="89" t="s">
        <v>21416</v>
      </c>
      <c r="M470" s="89">
        <v>2021</v>
      </c>
      <c r="N470" s="89" t="s">
        <v>21412</v>
      </c>
      <c r="O470" s="89" t="s">
        <v>646</v>
      </c>
      <c r="P470" s="89" t="str">
        <f>HYPERLINK("http://dx.doi.org/10.1145/3411764.3445296","http://dx.doi.org/10.1145/3411764.3445296")</f>
        <v>http://dx.doi.org/10.1145/3411764.3445296</v>
      </c>
      <c r="S470" s="89" t="s">
        <v>19285</v>
      </c>
      <c r="U470" s="89" t="s">
        <v>17474</v>
      </c>
      <c r="W470" s="89" t="s">
        <v>646</v>
      </c>
      <c r="X470" s="89" t="s">
        <v>646</v>
      </c>
      <c r="Y470" s="89" t="s">
        <v>21413</v>
      </c>
      <c r="Z470" s="89" t="s">
        <v>21414</v>
      </c>
      <c r="AA470" s="89" t="s">
        <v>17494</v>
      </c>
      <c r="AB470" s="89" t="s">
        <v>21415</v>
      </c>
      <c r="AC470" s="89" t="s">
        <v>646</v>
      </c>
      <c r="AD470" s="89" t="s">
        <v>646</v>
      </c>
      <c r="AE470" s="89" t="s">
        <v>646</v>
      </c>
      <c r="AF470" s="89" t="s">
        <v>21416</v>
      </c>
      <c r="AG470" s="89" t="s">
        <v>646</v>
      </c>
      <c r="AH470" s="89" t="s">
        <v>646</v>
      </c>
      <c r="AI470" s="89" t="s">
        <v>646</v>
      </c>
      <c r="AJ470" s="89" t="s">
        <v>646</v>
      </c>
      <c r="AK470" s="89" t="s">
        <v>646</v>
      </c>
      <c r="AL470" s="89" t="s">
        <v>646</v>
      </c>
      <c r="AM470" s="89" t="s">
        <v>646</v>
      </c>
      <c r="AN470" s="89" t="s">
        <v>646</v>
      </c>
      <c r="AO470" s="89" t="s">
        <v>646</v>
      </c>
      <c r="AP470" s="89" t="s">
        <v>646</v>
      </c>
      <c r="AQ470" s="89" t="s">
        <v>646</v>
      </c>
      <c r="AR470" s="89" t="s">
        <v>646</v>
      </c>
      <c r="AS470" s="89" t="s">
        <v>646</v>
      </c>
      <c r="AT470" s="89" t="s">
        <v>646</v>
      </c>
      <c r="AU470" s="89" t="s">
        <v>646</v>
      </c>
      <c r="AV470" s="89" t="s">
        <v>646</v>
      </c>
      <c r="AW470" s="89" t="s">
        <v>646</v>
      </c>
      <c r="AX470" s="89" t="s">
        <v>646</v>
      </c>
      <c r="AY470" s="89" t="s">
        <v>646</v>
      </c>
      <c r="AZ470" s="89" t="s">
        <v>646</v>
      </c>
      <c r="BA470" s="89" t="s">
        <v>21417</v>
      </c>
      <c r="BB470" s="89" t="s">
        <v>646</v>
      </c>
      <c r="BC470" s="89" t="s">
        <v>646</v>
      </c>
      <c r="BD470" s="89" t="s">
        <v>646</v>
      </c>
      <c r="BE470" s="89">
        <v>2021</v>
      </c>
      <c r="BF470" s="89" t="s">
        <v>646</v>
      </c>
      <c r="BG470" s="89" t="s">
        <v>646</v>
      </c>
      <c r="BH470" s="89" t="s">
        <v>646</v>
      </c>
      <c r="BI470" s="89" t="s">
        <v>646</v>
      </c>
      <c r="BJ470" s="89" t="s">
        <v>646</v>
      </c>
      <c r="BK470" s="89" t="s">
        <v>646</v>
      </c>
      <c r="BL470" s="89" t="s">
        <v>646</v>
      </c>
      <c r="BM470" s="89" t="s">
        <v>646</v>
      </c>
      <c r="BN470" s="89" t="s">
        <v>646</v>
      </c>
      <c r="BO470" s="89" t="str">
        <f>HYPERLINK("http://dx.doi.org/10.1145/3411764.3445296","http://dx.doi.org/10.1145/3411764.3445296")</f>
        <v>http://dx.doi.org/10.1145/3411764.3445296</v>
      </c>
      <c r="BP470" s="89" t="s">
        <v>646</v>
      </c>
      <c r="BQ470" s="89" t="s">
        <v>646</v>
      </c>
      <c r="BR470" s="89" t="s">
        <v>646</v>
      </c>
      <c r="BS470" s="89" t="s">
        <v>646</v>
      </c>
      <c r="BT470" s="89" t="s">
        <v>646</v>
      </c>
      <c r="BU470" s="89" t="s">
        <v>646</v>
      </c>
      <c r="BV470" s="89" t="s">
        <v>646</v>
      </c>
      <c r="BW470" s="89" t="s">
        <v>646</v>
      </c>
      <c r="BX470" s="89" t="s">
        <v>646</v>
      </c>
      <c r="BY470" s="89" t="s">
        <v>646</v>
      </c>
      <c r="BZ470" s="89" t="s">
        <v>646</v>
      </c>
      <c r="CA470" s="89" t="s">
        <v>646</v>
      </c>
      <c r="CB470" s="89" t="s">
        <v>21418</v>
      </c>
      <c r="CC470" s="89" t="str">
        <f>HYPERLINK("https%3A%2F%2Fwww.webofscience.com%2Fwos%2Fwoscc%2Ffull-record%2FWOS:000758168003050","View Full Record in Web of Science")</f>
        <v>View Full Record in Web of Science</v>
      </c>
    </row>
    <row r="471" spans="1:81" ht="13.2" hidden="1" x14ac:dyDescent="0.25">
      <c r="A471" s="89" t="s">
        <v>21419</v>
      </c>
      <c r="B471" s="89" t="e">
        <f>+#REF!</f>
        <v>#REF!</v>
      </c>
      <c r="C471" s="89"/>
      <c r="D471" s="91" t="s">
        <v>717</v>
      </c>
      <c r="E471" s="90" t="e">
        <v>#REF!</v>
      </c>
      <c r="F471" s="89"/>
      <c r="G471" s="89"/>
      <c r="H471" s="89" t="s">
        <v>646</v>
      </c>
      <c r="I471" s="89" t="s">
        <v>21421</v>
      </c>
      <c r="J471" s="89" t="s">
        <v>646</v>
      </c>
      <c r="K471" s="89" t="s">
        <v>21427</v>
      </c>
      <c r="M471" s="89">
        <v>2010</v>
      </c>
      <c r="N471" s="89" t="s">
        <v>21422</v>
      </c>
      <c r="O471" s="89" t="s">
        <v>21420</v>
      </c>
      <c r="P471" s="89" t="s">
        <v>646</v>
      </c>
      <c r="S471" s="89" t="s">
        <v>646</v>
      </c>
      <c r="U471" s="89" t="s">
        <v>17474</v>
      </c>
      <c r="W471" s="89" t="s">
        <v>646</v>
      </c>
      <c r="X471" s="89" t="s">
        <v>646</v>
      </c>
      <c r="Y471" s="89" t="s">
        <v>21423</v>
      </c>
      <c r="Z471" s="89" t="s">
        <v>21424</v>
      </c>
      <c r="AA471" s="89" t="s">
        <v>21425</v>
      </c>
      <c r="AB471" s="89" t="s">
        <v>21426</v>
      </c>
      <c r="AC471" s="89" t="s">
        <v>646</v>
      </c>
      <c r="AD471" s="89" t="s">
        <v>646</v>
      </c>
      <c r="AE471" s="89" t="s">
        <v>646</v>
      </c>
      <c r="AF471" s="89" t="s">
        <v>21427</v>
      </c>
      <c r="AG471" s="89" t="s">
        <v>646</v>
      </c>
      <c r="AH471" s="89" t="s">
        <v>646</v>
      </c>
      <c r="AI471" s="89" t="s">
        <v>646</v>
      </c>
      <c r="AJ471" s="89" t="s">
        <v>646</v>
      </c>
      <c r="AK471" s="89" t="s">
        <v>646</v>
      </c>
      <c r="AL471" s="89" t="s">
        <v>21428</v>
      </c>
      <c r="AM471" s="89" t="s">
        <v>646</v>
      </c>
      <c r="AN471" s="89" t="s">
        <v>646</v>
      </c>
      <c r="AO471" s="89" t="s">
        <v>646</v>
      </c>
      <c r="AP471" s="89" t="s">
        <v>646</v>
      </c>
      <c r="AQ471" s="89" t="s">
        <v>646</v>
      </c>
      <c r="AR471" s="89" t="s">
        <v>646</v>
      </c>
      <c r="AS471" s="89" t="s">
        <v>646</v>
      </c>
      <c r="AT471" s="89" t="s">
        <v>646</v>
      </c>
      <c r="AU471" s="89" t="s">
        <v>646</v>
      </c>
      <c r="AV471" s="89" t="s">
        <v>646</v>
      </c>
      <c r="AW471" s="89" t="s">
        <v>646</v>
      </c>
      <c r="AX471" s="89" t="s">
        <v>646</v>
      </c>
      <c r="AY471" s="89" t="s">
        <v>18367</v>
      </c>
      <c r="AZ471" s="89" t="s">
        <v>18884</v>
      </c>
      <c r="BA471" s="89" t="s">
        <v>21429</v>
      </c>
      <c r="BB471" s="89" t="s">
        <v>646</v>
      </c>
      <c r="BC471" s="89" t="s">
        <v>646</v>
      </c>
      <c r="BD471" s="89" t="s">
        <v>646</v>
      </c>
      <c r="BE471" s="89">
        <v>2010</v>
      </c>
      <c r="BF471" s="89">
        <v>5993</v>
      </c>
      <c r="BG471" s="89" t="s">
        <v>646</v>
      </c>
      <c r="BH471" s="89" t="s">
        <v>646</v>
      </c>
      <c r="BI471" s="89" t="s">
        <v>646</v>
      </c>
      <c r="BJ471" s="89" t="s">
        <v>646</v>
      </c>
      <c r="BK471" s="89" t="s">
        <v>646</v>
      </c>
      <c r="BL471" s="89">
        <v>179</v>
      </c>
      <c r="BM471" s="89">
        <v>190</v>
      </c>
      <c r="BN471" s="89" t="s">
        <v>646</v>
      </c>
      <c r="BO471" s="89" t="s">
        <v>646</v>
      </c>
      <c r="BP471" s="89" t="s">
        <v>646</v>
      </c>
      <c r="BQ471" s="89" t="s">
        <v>646</v>
      </c>
      <c r="BR471" s="89" t="s">
        <v>646</v>
      </c>
      <c r="BS471" s="89" t="s">
        <v>646</v>
      </c>
      <c r="BT471" s="89" t="s">
        <v>646</v>
      </c>
      <c r="BU471" s="89" t="s">
        <v>646</v>
      </c>
      <c r="BV471" s="89" t="s">
        <v>646</v>
      </c>
      <c r="BW471" s="89" t="s">
        <v>646</v>
      </c>
      <c r="BX471" s="89" t="s">
        <v>646</v>
      </c>
      <c r="BY471" s="89" t="s">
        <v>646</v>
      </c>
      <c r="BZ471" s="89" t="s">
        <v>646</v>
      </c>
      <c r="CA471" s="89" t="s">
        <v>646</v>
      </c>
      <c r="CB471" s="89" t="s">
        <v>21430</v>
      </c>
      <c r="CC471" s="89" t="str">
        <f>HYPERLINK("https%3A%2F%2Fwww.webofscience.com%2Fwos%2Fwoscc%2Ffull-record%2FWOS:000279393900018","View Full Record in Web of Science")</f>
        <v>View Full Record in Web of Science</v>
      </c>
    </row>
    <row r="472" spans="1:81" ht="13.2" hidden="1" x14ac:dyDescent="0.25">
      <c r="A472" s="89" t="s">
        <v>21431</v>
      </c>
      <c r="B472" s="89" t="e">
        <f>+#REF!</f>
        <v>#REF!</v>
      </c>
      <c r="C472" s="89"/>
      <c r="D472" s="91" t="s">
        <v>717</v>
      </c>
      <c r="E472" s="90" t="e">
        <v>#REF!</v>
      </c>
      <c r="F472" s="89"/>
      <c r="G472" s="89"/>
      <c r="H472" s="89" t="s">
        <v>12915</v>
      </c>
      <c r="I472" s="89" t="s">
        <v>21432</v>
      </c>
      <c r="J472" s="89" t="s">
        <v>646</v>
      </c>
      <c r="K472" s="89" t="s">
        <v>12917</v>
      </c>
      <c r="M472" s="89">
        <v>2014</v>
      </c>
      <c r="N472" s="89" t="s">
        <v>19023</v>
      </c>
      <c r="O472" s="89" t="s">
        <v>646</v>
      </c>
      <c r="P472" s="89" t="str">
        <f>HYPERLINK("http://dx.doi.org/10.2196/jmir.3111","http://dx.doi.org/10.2196/jmir.3111")</f>
        <v>http://dx.doi.org/10.2196/jmir.3111</v>
      </c>
      <c r="S472" s="89" t="s">
        <v>646</v>
      </c>
      <c r="U472" s="89" t="s">
        <v>17462</v>
      </c>
      <c r="W472" s="89" t="s">
        <v>646</v>
      </c>
      <c r="X472" s="89" t="s">
        <v>646</v>
      </c>
      <c r="Y472" s="89" t="s">
        <v>646</v>
      </c>
      <c r="Z472" s="89" t="s">
        <v>646</v>
      </c>
      <c r="AA472" s="89" t="s">
        <v>646</v>
      </c>
      <c r="AB472" s="89" t="s">
        <v>646</v>
      </c>
      <c r="AC472" s="89" t="s">
        <v>646</v>
      </c>
      <c r="AD472" s="89" t="s">
        <v>646</v>
      </c>
      <c r="AE472" s="89" t="s">
        <v>646</v>
      </c>
      <c r="AF472" s="89" t="s">
        <v>12917</v>
      </c>
      <c r="AG472" s="89" t="s">
        <v>646</v>
      </c>
      <c r="AH472" s="89" t="s">
        <v>646</v>
      </c>
      <c r="AI472" s="89" t="s">
        <v>646</v>
      </c>
      <c r="AJ472" s="89" t="s">
        <v>646</v>
      </c>
      <c r="AK472" s="89" t="s">
        <v>646</v>
      </c>
      <c r="AL472" s="89" t="s">
        <v>21433</v>
      </c>
      <c r="AM472" s="89" t="s">
        <v>646</v>
      </c>
      <c r="AN472" s="89" t="s">
        <v>646</v>
      </c>
      <c r="AO472" s="89" t="s">
        <v>646</v>
      </c>
      <c r="AP472" s="89" t="s">
        <v>646</v>
      </c>
      <c r="AQ472" s="89" t="s">
        <v>646</v>
      </c>
      <c r="AR472" s="89" t="s">
        <v>646</v>
      </c>
      <c r="AS472" s="89" t="s">
        <v>646</v>
      </c>
      <c r="AT472" s="89" t="s">
        <v>646</v>
      </c>
      <c r="AU472" s="89" t="s">
        <v>646</v>
      </c>
      <c r="AV472" s="89" t="s">
        <v>646</v>
      </c>
      <c r="AW472" s="89" t="s">
        <v>646</v>
      </c>
      <c r="AX472" s="89" t="s">
        <v>646</v>
      </c>
      <c r="AY472" s="89" t="s">
        <v>19026</v>
      </c>
      <c r="AZ472" s="89" t="s">
        <v>646</v>
      </c>
      <c r="BA472" s="89" t="s">
        <v>646</v>
      </c>
      <c r="BB472" s="89" t="s">
        <v>646</v>
      </c>
      <c r="BC472" s="89" t="s">
        <v>646</v>
      </c>
      <c r="BD472" s="89" t="s">
        <v>17658</v>
      </c>
      <c r="BE472" s="89">
        <v>2014</v>
      </c>
      <c r="BF472" s="89">
        <v>16</v>
      </c>
      <c r="BG472" s="89">
        <v>2</v>
      </c>
      <c r="BH472" s="89" t="s">
        <v>646</v>
      </c>
      <c r="BI472" s="89" t="s">
        <v>646</v>
      </c>
      <c r="BJ472" s="89" t="s">
        <v>646</v>
      </c>
      <c r="BK472" s="89" t="s">
        <v>646</v>
      </c>
      <c r="BL472" s="89" t="s">
        <v>646</v>
      </c>
      <c r="BM472" s="89" t="s">
        <v>646</v>
      </c>
      <c r="BN472" s="89" t="s">
        <v>21434</v>
      </c>
      <c r="BO472" s="89" t="str">
        <f>HYPERLINK("http://dx.doi.org/10.2196/jmir.3111","http://dx.doi.org/10.2196/jmir.3111")</f>
        <v>http://dx.doi.org/10.2196/jmir.3111</v>
      </c>
      <c r="BP472" s="89" t="s">
        <v>646</v>
      </c>
      <c r="BQ472" s="89" t="s">
        <v>646</v>
      </c>
      <c r="BR472" s="89" t="s">
        <v>646</v>
      </c>
      <c r="BS472" s="89" t="s">
        <v>646</v>
      </c>
      <c r="BT472" s="89" t="s">
        <v>646</v>
      </c>
      <c r="BU472" s="89" t="s">
        <v>646</v>
      </c>
      <c r="BV472" s="89" t="s">
        <v>646</v>
      </c>
      <c r="BW472" s="89">
        <v>24513593</v>
      </c>
      <c r="BX472" s="89" t="s">
        <v>646</v>
      </c>
      <c r="BY472" s="89" t="s">
        <v>646</v>
      </c>
      <c r="BZ472" s="89" t="s">
        <v>646</v>
      </c>
      <c r="CA472" s="89" t="s">
        <v>646</v>
      </c>
      <c r="CB472" s="89" t="s">
        <v>21435</v>
      </c>
      <c r="CC472" s="89" t="str">
        <f>HYPERLINK("https%3A%2F%2Fwww.webofscience.com%2Fwos%2Fwoscc%2Ffull-record%2FWOS:000332397500036","View Full Record in Web of Science")</f>
        <v>View Full Record in Web of Science</v>
      </c>
    </row>
    <row r="473" spans="1:81" ht="13.2" hidden="1" x14ac:dyDescent="0.25">
      <c r="A473" s="89" t="s">
        <v>21436</v>
      </c>
      <c r="B473" s="89" t="e">
        <f>+#REF!</f>
        <v>#REF!</v>
      </c>
      <c r="C473" s="89"/>
      <c r="D473" s="91" t="s">
        <v>717</v>
      </c>
      <c r="E473" s="90" t="e">
        <v>#REF!</v>
      </c>
      <c r="F473" s="89"/>
      <c r="G473" s="89"/>
      <c r="H473" s="89" t="s">
        <v>646</v>
      </c>
      <c r="I473" s="89" t="s">
        <v>21437</v>
      </c>
      <c r="J473" s="89" t="s">
        <v>19625</v>
      </c>
      <c r="K473" s="89" t="s">
        <v>21442</v>
      </c>
      <c r="M473" s="89">
        <v>2014</v>
      </c>
      <c r="N473" s="89" t="s">
        <v>21438</v>
      </c>
      <c r="O473" s="89" t="s">
        <v>646</v>
      </c>
      <c r="P473" s="89" t="s">
        <v>646</v>
      </c>
      <c r="S473" s="89" t="s">
        <v>17475</v>
      </c>
      <c r="U473" s="89" t="s">
        <v>17474</v>
      </c>
      <c r="W473" s="89" t="s">
        <v>646</v>
      </c>
      <c r="X473" s="89" t="s">
        <v>646</v>
      </c>
      <c r="Y473" s="89" t="s">
        <v>21439</v>
      </c>
      <c r="Z473" s="89" t="s">
        <v>21145</v>
      </c>
      <c r="AA473" s="89" t="s">
        <v>21440</v>
      </c>
      <c r="AB473" s="89" t="s">
        <v>21441</v>
      </c>
      <c r="AC473" s="89" t="s">
        <v>646</v>
      </c>
      <c r="AD473" s="89" t="s">
        <v>646</v>
      </c>
      <c r="AE473" s="89" t="s">
        <v>646</v>
      </c>
      <c r="AF473" s="89" t="s">
        <v>21442</v>
      </c>
      <c r="AG473" s="89" t="s">
        <v>646</v>
      </c>
      <c r="AH473" s="89" t="s">
        <v>646</v>
      </c>
      <c r="AI473" s="89" t="s">
        <v>646</v>
      </c>
      <c r="AJ473" s="89" t="s">
        <v>646</v>
      </c>
      <c r="AK473" s="89" t="s">
        <v>19625</v>
      </c>
      <c r="AL473" s="89" t="s">
        <v>21443</v>
      </c>
      <c r="AM473" s="89" t="s">
        <v>646</v>
      </c>
      <c r="AN473" s="89" t="s">
        <v>646</v>
      </c>
      <c r="AO473" s="89" t="s">
        <v>646</v>
      </c>
      <c r="AP473" s="89" t="s">
        <v>646</v>
      </c>
      <c r="AQ473" s="89" t="s">
        <v>646</v>
      </c>
      <c r="AR473" s="89" t="s">
        <v>646</v>
      </c>
      <c r="AS473" s="89" t="s">
        <v>646</v>
      </c>
      <c r="AT473" s="89" t="s">
        <v>646</v>
      </c>
      <c r="AU473" s="89" t="s">
        <v>646</v>
      </c>
      <c r="AV473" s="89" t="s">
        <v>646</v>
      </c>
      <c r="AW473" s="89" t="s">
        <v>646</v>
      </c>
      <c r="AX473" s="89" t="s">
        <v>646</v>
      </c>
      <c r="AY473" s="89" t="s">
        <v>21336</v>
      </c>
      <c r="AZ473" s="89" t="s">
        <v>646</v>
      </c>
      <c r="BA473" s="89" t="s">
        <v>21444</v>
      </c>
      <c r="BB473" s="89" t="s">
        <v>646</v>
      </c>
      <c r="BC473" s="89" t="s">
        <v>646</v>
      </c>
      <c r="BD473" s="89" t="s">
        <v>646</v>
      </c>
      <c r="BE473" s="89">
        <v>2014</v>
      </c>
      <c r="BF473" s="89" t="s">
        <v>646</v>
      </c>
      <c r="BG473" s="89" t="s">
        <v>646</v>
      </c>
      <c r="BH473" s="89" t="s">
        <v>646</v>
      </c>
      <c r="BI473" s="89" t="s">
        <v>646</v>
      </c>
      <c r="BJ473" s="89" t="s">
        <v>646</v>
      </c>
      <c r="BK473" s="89" t="s">
        <v>646</v>
      </c>
      <c r="BL473" s="89" t="s">
        <v>646</v>
      </c>
      <c r="BM473" s="89" t="s">
        <v>646</v>
      </c>
      <c r="BN473" s="89" t="s">
        <v>646</v>
      </c>
      <c r="BO473" s="89" t="s">
        <v>646</v>
      </c>
      <c r="BP473" s="89" t="s">
        <v>646</v>
      </c>
      <c r="BQ473" s="89" t="s">
        <v>646</v>
      </c>
      <c r="BR473" s="89" t="s">
        <v>646</v>
      </c>
      <c r="BS473" s="89" t="s">
        <v>646</v>
      </c>
      <c r="BT473" s="89" t="s">
        <v>646</v>
      </c>
      <c r="BU473" s="89" t="s">
        <v>646</v>
      </c>
      <c r="BV473" s="89" t="s">
        <v>646</v>
      </c>
      <c r="BW473" s="89" t="s">
        <v>646</v>
      </c>
      <c r="BX473" s="89" t="s">
        <v>646</v>
      </c>
      <c r="BY473" s="89" t="s">
        <v>646</v>
      </c>
      <c r="BZ473" s="89" t="s">
        <v>646</v>
      </c>
      <c r="CA473" s="89" t="s">
        <v>646</v>
      </c>
      <c r="CB473" s="89" t="s">
        <v>21445</v>
      </c>
      <c r="CC473" s="89" t="str">
        <f>HYPERLINK("https%3A%2F%2Fwww.webofscience.com%2Fwos%2Fwoscc%2Ffull-record%2FWOS:000380490601122","View Full Record in Web of Science")</f>
        <v>View Full Record in Web of Science</v>
      </c>
    </row>
    <row r="474" spans="1:81" ht="13.2" hidden="1" x14ac:dyDescent="0.25">
      <c r="A474" s="89" t="s">
        <v>9576</v>
      </c>
      <c r="B474" s="89" t="e">
        <f>+#REF!</f>
        <v>#REF!</v>
      </c>
      <c r="C474" s="89"/>
      <c r="D474" s="91" t="s">
        <v>717</v>
      </c>
      <c r="E474" s="90" t="e">
        <v>#REF!</v>
      </c>
      <c r="F474" s="89"/>
      <c r="G474" s="89"/>
      <c r="H474" s="89" t="s">
        <v>9577</v>
      </c>
      <c r="I474" s="89" t="s">
        <v>21446</v>
      </c>
      <c r="J474" s="89" t="s">
        <v>646</v>
      </c>
      <c r="K474" s="89" t="s">
        <v>21448</v>
      </c>
      <c r="M474" s="89">
        <v>2022</v>
      </c>
      <c r="N474" s="89" t="s">
        <v>21447</v>
      </c>
      <c r="O474" s="89" t="s">
        <v>646</v>
      </c>
      <c r="P474" s="89" t="str">
        <f>HYPERLINK("http://dx.doi.org/10.1155/2022/1385387","http://dx.doi.org/10.1155/2022/1385387")</f>
        <v>http://dx.doi.org/10.1155/2022/1385387</v>
      </c>
      <c r="S474" s="89" t="s">
        <v>646</v>
      </c>
      <c r="U474" s="89" t="s">
        <v>17462</v>
      </c>
      <c r="W474" s="89" t="s">
        <v>646</v>
      </c>
      <c r="X474" s="89" t="s">
        <v>646</v>
      </c>
      <c r="Y474" s="89" t="s">
        <v>646</v>
      </c>
      <c r="Z474" s="89" t="s">
        <v>646</v>
      </c>
      <c r="AA474" s="89" t="s">
        <v>646</v>
      </c>
      <c r="AB474" s="89" t="s">
        <v>646</v>
      </c>
      <c r="AC474" s="89" t="s">
        <v>646</v>
      </c>
      <c r="AD474" s="89" t="s">
        <v>646</v>
      </c>
      <c r="AE474" s="89" t="s">
        <v>646</v>
      </c>
      <c r="AF474" s="89" t="s">
        <v>21448</v>
      </c>
      <c r="AG474" s="89" t="s">
        <v>646</v>
      </c>
      <c r="AH474" s="89" t="s">
        <v>646</v>
      </c>
      <c r="AI474" s="89" t="s">
        <v>646</v>
      </c>
      <c r="AJ474" s="89" t="s">
        <v>646</v>
      </c>
      <c r="AK474" s="89" t="s">
        <v>646</v>
      </c>
      <c r="AL474" s="89" t="s">
        <v>21449</v>
      </c>
      <c r="AM474" s="89" t="s">
        <v>646</v>
      </c>
      <c r="AN474" s="89" t="s">
        <v>646</v>
      </c>
      <c r="AO474" s="89" t="s">
        <v>646</v>
      </c>
      <c r="AP474" s="89" t="s">
        <v>646</v>
      </c>
      <c r="AQ474" s="89" t="s">
        <v>646</v>
      </c>
      <c r="AR474" s="89" t="s">
        <v>646</v>
      </c>
      <c r="AS474" s="89" t="s">
        <v>646</v>
      </c>
      <c r="AT474" s="89" t="s">
        <v>646</v>
      </c>
      <c r="AU474" s="89" t="s">
        <v>646</v>
      </c>
      <c r="AV474" s="89" t="s">
        <v>646</v>
      </c>
      <c r="AW474" s="89" t="s">
        <v>646</v>
      </c>
      <c r="AX474" s="89" t="s">
        <v>646</v>
      </c>
      <c r="AY474" s="89" t="s">
        <v>21450</v>
      </c>
      <c r="AZ474" s="89" t="s">
        <v>21451</v>
      </c>
      <c r="BA474" s="89" t="s">
        <v>646</v>
      </c>
      <c r="BB474" s="89" t="s">
        <v>646</v>
      </c>
      <c r="BC474" s="89" t="s">
        <v>646</v>
      </c>
      <c r="BD474" s="89" t="s">
        <v>21452</v>
      </c>
      <c r="BE474" s="89">
        <v>2022</v>
      </c>
      <c r="BF474" s="89">
        <v>2022</v>
      </c>
      <c r="BG474" s="89" t="s">
        <v>646</v>
      </c>
      <c r="BH474" s="89" t="s">
        <v>646</v>
      </c>
      <c r="BI474" s="89" t="s">
        <v>646</v>
      </c>
      <c r="BJ474" s="89" t="s">
        <v>646</v>
      </c>
      <c r="BK474" s="89" t="s">
        <v>646</v>
      </c>
      <c r="BL474" s="89" t="s">
        <v>646</v>
      </c>
      <c r="BM474" s="89" t="s">
        <v>646</v>
      </c>
      <c r="BN474" s="89">
        <v>1385387</v>
      </c>
      <c r="BO474" s="89" t="str">
        <f>HYPERLINK("http://dx.doi.org/10.1155/2022/1385387","http://dx.doi.org/10.1155/2022/1385387")</f>
        <v>http://dx.doi.org/10.1155/2022/1385387</v>
      </c>
      <c r="BP474" s="89" t="s">
        <v>646</v>
      </c>
      <c r="BQ474" s="89" t="s">
        <v>646</v>
      </c>
      <c r="BR474" s="89" t="s">
        <v>646</v>
      </c>
      <c r="BS474" s="89" t="s">
        <v>646</v>
      </c>
      <c r="BT474" s="89" t="s">
        <v>646</v>
      </c>
      <c r="BU474" s="89" t="s">
        <v>646</v>
      </c>
      <c r="BV474" s="89" t="s">
        <v>646</v>
      </c>
      <c r="BW474" s="89">
        <v>35722464</v>
      </c>
      <c r="BX474" s="89" t="s">
        <v>646</v>
      </c>
      <c r="BY474" s="89" t="s">
        <v>646</v>
      </c>
      <c r="BZ474" s="89" t="s">
        <v>646</v>
      </c>
      <c r="CA474" s="89" t="s">
        <v>646</v>
      </c>
      <c r="CB474" s="89" t="s">
        <v>21453</v>
      </c>
      <c r="CC474" s="89" t="str">
        <f>HYPERLINK("https%3A%2F%2Fwww.webofscience.com%2Fwos%2Fwoscc%2Ffull-record%2FWOS:000813938700003","View Full Record in Web of Science")</f>
        <v>View Full Record in Web of Science</v>
      </c>
    </row>
    <row r="475" spans="1:81" ht="13.2" hidden="1" x14ac:dyDescent="0.25">
      <c r="A475" s="89" t="s">
        <v>21454</v>
      </c>
      <c r="B475" s="89" t="e">
        <f>+#REF!</f>
        <v>#REF!</v>
      </c>
      <c r="C475" s="89"/>
      <c r="D475" s="91" t="s">
        <v>717</v>
      </c>
      <c r="E475" s="90" t="e">
        <v>#REF!</v>
      </c>
      <c r="F475" s="89"/>
      <c r="G475" s="89"/>
      <c r="H475" s="89" t="s">
        <v>12932</v>
      </c>
      <c r="I475" s="89" t="s">
        <v>21455</v>
      </c>
      <c r="J475" s="89" t="s">
        <v>21458</v>
      </c>
      <c r="K475" s="89" t="s">
        <v>21457</v>
      </c>
      <c r="M475" s="89">
        <v>2014</v>
      </c>
      <c r="N475" s="89" t="s">
        <v>21456</v>
      </c>
      <c r="O475" s="89" t="s">
        <v>646</v>
      </c>
      <c r="P475" s="89" t="str">
        <f>HYPERLINK("http://dx.doi.org/10.1080/15230406.2014.949868","http://dx.doi.org/10.1080/15230406.2014.949868")</f>
        <v>http://dx.doi.org/10.1080/15230406.2014.949868</v>
      </c>
      <c r="S475" s="89" t="s">
        <v>646</v>
      </c>
      <c r="U475" s="89" t="s">
        <v>17462</v>
      </c>
      <c r="W475" s="89" t="s">
        <v>646</v>
      </c>
      <c r="X475" s="89" t="s">
        <v>646</v>
      </c>
      <c r="Y475" s="89" t="s">
        <v>646</v>
      </c>
      <c r="Z475" s="89" t="s">
        <v>646</v>
      </c>
      <c r="AA475" s="89" t="s">
        <v>646</v>
      </c>
      <c r="AB475" s="89" t="s">
        <v>646</v>
      </c>
      <c r="AC475" s="89" t="s">
        <v>646</v>
      </c>
      <c r="AD475" s="89" t="s">
        <v>646</v>
      </c>
      <c r="AE475" s="89" t="s">
        <v>646</v>
      </c>
      <c r="AF475" s="89" t="s">
        <v>21457</v>
      </c>
      <c r="AG475" s="89" t="s">
        <v>646</v>
      </c>
      <c r="AH475" s="89" t="s">
        <v>646</v>
      </c>
      <c r="AI475" s="89" t="s">
        <v>646</v>
      </c>
      <c r="AJ475" s="89" t="s">
        <v>646</v>
      </c>
      <c r="AK475" s="89" t="s">
        <v>21458</v>
      </c>
      <c r="AL475" s="89" t="s">
        <v>21459</v>
      </c>
      <c r="AM475" s="89" t="s">
        <v>646</v>
      </c>
      <c r="AN475" s="89" t="s">
        <v>646</v>
      </c>
      <c r="AO475" s="89" t="s">
        <v>646</v>
      </c>
      <c r="AP475" s="89" t="s">
        <v>646</v>
      </c>
      <c r="AQ475" s="89" t="s">
        <v>646</v>
      </c>
      <c r="AR475" s="89" t="s">
        <v>646</v>
      </c>
      <c r="AS475" s="89" t="s">
        <v>646</v>
      </c>
      <c r="AT475" s="89" t="s">
        <v>646</v>
      </c>
      <c r="AU475" s="89" t="s">
        <v>646</v>
      </c>
      <c r="AV475" s="89" t="s">
        <v>646</v>
      </c>
      <c r="AW475" s="89" t="s">
        <v>646</v>
      </c>
      <c r="AX475" s="89" t="s">
        <v>646</v>
      </c>
      <c r="AY475" s="89" t="s">
        <v>21460</v>
      </c>
      <c r="AZ475" s="89" t="s">
        <v>21461</v>
      </c>
      <c r="BA475" s="89" t="s">
        <v>646</v>
      </c>
      <c r="BB475" s="89" t="s">
        <v>646</v>
      </c>
      <c r="BC475" s="89" t="s">
        <v>646</v>
      </c>
      <c r="BD475" s="89" t="s">
        <v>21462</v>
      </c>
      <c r="BE475" s="89">
        <v>2014</v>
      </c>
      <c r="BF475" s="89">
        <v>41</v>
      </c>
      <c r="BG475" s="89">
        <v>5</v>
      </c>
      <c r="BH475" s="89" t="s">
        <v>646</v>
      </c>
      <c r="BI475" s="89" t="s">
        <v>646</v>
      </c>
      <c r="BJ475" s="89" t="s">
        <v>646</v>
      </c>
      <c r="BK475" s="89" t="s">
        <v>646</v>
      </c>
      <c r="BL475" s="89">
        <v>430</v>
      </c>
      <c r="BM475" s="89">
        <v>439</v>
      </c>
      <c r="BN475" s="89" t="s">
        <v>646</v>
      </c>
      <c r="BO475" s="89" t="str">
        <f>HYPERLINK("http://dx.doi.org/10.1080/15230406.2014.949868","http://dx.doi.org/10.1080/15230406.2014.949868")</f>
        <v>http://dx.doi.org/10.1080/15230406.2014.949868</v>
      </c>
      <c r="BP475" s="89" t="s">
        <v>646</v>
      </c>
      <c r="BQ475" s="89" t="s">
        <v>646</v>
      </c>
      <c r="BR475" s="89" t="s">
        <v>646</v>
      </c>
      <c r="BS475" s="89" t="s">
        <v>646</v>
      </c>
      <c r="BT475" s="89" t="s">
        <v>646</v>
      </c>
      <c r="BU475" s="89" t="s">
        <v>646</v>
      </c>
      <c r="BV475" s="89" t="s">
        <v>646</v>
      </c>
      <c r="BW475" s="89" t="s">
        <v>646</v>
      </c>
      <c r="BX475" s="89" t="s">
        <v>646</v>
      </c>
      <c r="BY475" s="89" t="s">
        <v>646</v>
      </c>
      <c r="BZ475" s="89" t="s">
        <v>646</v>
      </c>
      <c r="CA475" s="89" t="s">
        <v>646</v>
      </c>
      <c r="CB475" s="89" t="s">
        <v>21463</v>
      </c>
      <c r="CC475" s="89" t="str">
        <f>HYPERLINK("https%3A%2F%2Fwww.webofscience.com%2Fwos%2Fwoscc%2Ffull-record%2FWOS:000343810400003","View Full Record in Web of Science")</f>
        <v>View Full Record in Web of Science</v>
      </c>
    </row>
    <row r="476" spans="1:81" ht="13.2" hidden="1" x14ac:dyDescent="0.25">
      <c r="A476" s="89" t="s">
        <v>12941</v>
      </c>
      <c r="B476" s="89" t="e">
        <f>+#REF!</f>
        <v>#REF!</v>
      </c>
      <c r="C476" s="89"/>
      <c r="D476" s="91" t="s">
        <v>717</v>
      </c>
      <c r="E476" s="90" t="e">
        <v>#REF!</v>
      </c>
      <c r="F476" s="89"/>
      <c r="G476" s="89"/>
      <c r="H476" s="89" t="s">
        <v>12942</v>
      </c>
      <c r="I476" s="89" t="s">
        <v>21465</v>
      </c>
      <c r="J476" s="89" t="s">
        <v>21470</v>
      </c>
      <c r="K476" s="89" t="s">
        <v>21469</v>
      </c>
      <c r="M476" s="89">
        <v>2012</v>
      </c>
      <c r="N476" s="89" t="s">
        <v>21466</v>
      </c>
      <c r="O476" s="89" t="s">
        <v>21464</v>
      </c>
      <c r="P476" s="89" t="str">
        <f>HYPERLINK("http://dx.doi.org/10.1117/12.929727","http://dx.doi.org/10.1117/12.929727")</f>
        <v>http://dx.doi.org/10.1117/12.929727</v>
      </c>
      <c r="S476" s="89" t="s">
        <v>646</v>
      </c>
      <c r="U476" s="89" t="s">
        <v>17474</v>
      </c>
      <c r="W476" s="89" t="s">
        <v>646</v>
      </c>
      <c r="X476" s="89" t="s">
        <v>646</v>
      </c>
      <c r="Y476" s="89" t="s">
        <v>21467</v>
      </c>
      <c r="Z476" s="89" t="s">
        <v>21468</v>
      </c>
      <c r="AA476" s="89" t="s">
        <v>19641</v>
      </c>
      <c r="AB476" s="89" t="s">
        <v>20777</v>
      </c>
      <c r="AC476" s="89" t="s">
        <v>646</v>
      </c>
      <c r="AD476" s="89" t="s">
        <v>646</v>
      </c>
      <c r="AE476" s="89" t="s">
        <v>646</v>
      </c>
      <c r="AF476" s="89" t="s">
        <v>21469</v>
      </c>
      <c r="AG476" s="89" t="s">
        <v>646</v>
      </c>
      <c r="AH476" s="89" t="s">
        <v>646</v>
      </c>
      <c r="AI476" s="89" t="s">
        <v>646</v>
      </c>
      <c r="AJ476" s="89" t="s">
        <v>646</v>
      </c>
      <c r="AK476" s="89" t="s">
        <v>21470</v>
      </c>
      <c r="AL476" s="89" t="s">
        <v>21471</v>
      </c>
      <c r="AM476" s="89" t="s">
        <v>646</v>
      </c>
      <c r="AN476" s="89" t="s">
        <v>646</v>
      </c>
      <c r="AO476" s="89" t="s">
        <v>646</v>
      </c>
      <c r="AP476" s="89" t="s">
        <v>646</v>
      </c>
      <c r="AQ476" s="89" t="s">
        <v>646</v>
      </c>
      <c r="AR476" s="89" t="s">
        <v>646</v>
      </c>
      <c r="AS476" s="89" t="s">
        <v>646</v>
      </c>
      <c r="AT476" s="89" t="s">
        <v>646</v>
      </c>
      <c r="AU476" s="89" t="s">
        <v>646</v>
      </c>
      <c r="AV476" s="89" t="s">
        <v>646</v>
      </c>
      <c r="AW476" s="89" t="s">
        <v>646</v>
      </c>
      <c r="AX476" s="89" t="s">
        <v>646</v>
      </c>
      <c r="AY476" s="89" t="s">
        <v>19728</v>
      </c>
      <c r="AZ476" s="89" t="s">
        <v>19729</v>
      </c>
      <c r="BA476" s="89" t="s">
        <v>21472</v>
      </c>
      <c r="BB476" s="89" t="s">
        <v>646</v>
      </c>
      <c r="BC476" s="89" t="s">
        <v>646</v>
      </c>
      <c r="BD476" s="89" t="s">
        <v>646</v>
      </c>
      <c r="BE476" s="89">
        <v>2012</v>
      </c>
      <c r="BF476" s="89">
        <v>8506</v>
      </c>
      <c r="BG476" s="89" t="s">
        <v>646</v>
      </c>
      <c r="BH476" s="89" t="s">
        <v>646</v>
      </c>
      <c r="BI476" s="89" t="s">
        <v>646</v>
      </c>
      <c r="BJ476" s="89" t="s">
        <v>646</v>
      </c>
      <c r="BK476" s="89" t="s">
        <v>646</v>
      </c>
      <c r="BL476" s="89" t="s">
        <v>646</v>
      </c>
      <c r="BM476" s="89" t="s">
        <v>646</v>
      </c>
      <c r="BN476" s="89" t="s">
        <v>21473</v>
      </c>
      <c r="BO476" s="89" t="str">
        <f>HYPERLINK("http://dx.doi.org/10.1117/12.929727","http://dx.doi.org/10.1117/12.929727")</f>
        <v>http://dx.doi.org/10.1117/12.929727</v>
      </c>
      <c r="BP476" s="89" t="s">
        <v>646</v>
      </c>
      <c r="BQ476" s="89" t="s">
        <v>646</v>
      </c>
      <c r="BR476" s="89" t="s">
        <v>646</v>
      </c>
      <c r="BS476" s="89" t="s">
        <v>646</v>
      </c>
      <c r="BT476" s="89" t="s">
        <v>646</v>
      </c>
      <c r="BU476" s="89" t="s">
        <v>646</v>
      </c>
      <c r="BV476" s="89" t="s">
        <v>646</v>
      </c>
      <c r="BW476" s="89" t="s">
        <v>646</v>
      </c>
      <c r="BX476" s="89" t="s">
        <v>646</v>
      </c>
      <c r="BY476" s="89" t="s">
        <v>646</v>
      </c>
      <c r="BZ476" s="89" t="s">
        <v>646</v>
      </c>
      <c r="CA476" s="89" t="s">
        <v>646</v>
      </c>
      <c r="CB476" s="89" t="s">
        <v>21474</v>
      </c>
      <c r="CC476" s="89" t="str">
        <f>HYPERLINK("https%3A%2F%2Fwww.webofscience.com%2Fwos%2Fwoscc%2Ffull-record%2FWOS:000325968800050","View Full Record in Web of Science")</f>
        <v>View Full Record in Web of Science</v>
      </c>
    </row>
    <row r="477" spans="1:81" ht="13.2" hidden="1" x14ac:dyDescent="0.25">
      <c r="A477" s="89" t="s">
        <v>21475</v>
      </c>
      <c r="B477" s="89" t="e">
        <f>+#REF!</f>
        <v>#REF!</v>
      </c>
      <c r="C477" s="89"/>
      <c r="D477" s="91" t="s">
        <v>717</v>
      </c>
      <c r="E477" s="90" t="e">
        <v>#REF!</v>
      </c>
      <c r="F477" s="89"/>
      <c r="G477" s="89"/>
      <c r="H477" s="89" t="s">
        <v>12951</v>
      </c>
      <c r="I477" s="89" t="s">
        <v>21476</v>
      </c>
      <c r="J477" s="89" t="s">
        <v>646</v>
      </c>
      <c r="K477" s="89" t="s">
        <v>21478</v>
      </c>
      <c r="M477" s="89">
        <v>2021</v>
      </c>
      <c r="N477" s="89" t="s">
        <v>21477</v>
      </c>
      <c r="O477" s="89" t="s">
        <v>646</v>
      </c>
      <c r="P477" s="89" t="str">
        <f>HYPERLINK("http://dx.doi.org/10.1016/j.sapharm.2020.08.006","http://dx.doi.org/10.1016/j.sapharm.2020.08.006")</f>
        <v>http://dx.doi.org/10.1016/j.sapharm.2020.08.006</v>
      </c>
      <c r="S477" s="89" t="s">
        <v>646</v>
      </c>
      <c r="U477" s="89" t="s">
        <v>17462</v>
      </c>
      <c r="W477" s="89" t="s">
        <v>646</v>
      </c>
      <c r="X477" s="89" t="s">
        <v>646</v>
      </c>
      <c r="Y477" s="89" t="s">
        <v>646</v>
      </c>
      <c r="Z477" s="89" t="s">
        <v>646</v>
      </c>
      <c r="AA477" s="89" t="s">
        <v>646</v>
      </c>
      <c r="AB477" s="89" t="s">
        <v>646</v>
      </c>
      <c r="AC477" s="89" t="s">
        <v>646</v>
      </c>
      <c r="AD477" s="89" t="s">
        <v>646</v>
      </c>
      <c r="AE477" s="89" t="s">
        <v>646</v>
      </c>
      <c r="AF477" s="89" t="s">
        <v>21478</v>
      </c>
      <c r="AG477" s="89" t="s">
        <v>646</v>
      </c>
      <c r="AH477" s="89" t="s">
        <v>646</v>
      </c>
      <c r="AI477" s="89" t="s">
        <v>646</v>
      </c>
      <c r="AJ477" s="89" t="s">
        <v>646</v>
      </c>
      <c r="AK477" s="89" t="s">
        <v>646</v>
      </c>
      <c r="AL477" s="89" t="s">
        <v>21479</v>
      </c>
      <c r="AM477" s="89" t="s">
        <v>646</v>
      </c>
      <c r="AN477" s="89" t="s">
        <v>646</v>
      </c>
      <c r="AO477" s="89" t="s">
        <v>646</v>
      </c>
      <c r="AP477" s="89" t="s">
        <v>646</v>
      </c>
      <c r="AQ477" s="89" t="s">
        <v>646</v>
      </c>
      <c r="AR477" s="89" t="s">
        <v>646</v>
      </c>
      <c r="AS477" s="89" t="s">
        <v>646</v>
      </c>
      <c r="AT477" s="89" t="s">
        <v>646</v>
      </c>
      <c r="AU477" s="89" t="s">
        <v>646</v>
      </c>
      <c r="AV477" s="89" t="s">
        <v>646</v>
      </c>
      <c r="AW477" s="89" t="s">
        <v>646</v>
      </c>
      <c r="AX477" s="89" t="s">
        <v>646</v>
      </c>
      <c r="AY477" s="89" t="s">
        <v>21480</v>
      </c>
      <c r="AZ477" s="89" t="s">
        <v>21481</v>
      </c>
      <c r="BA477" s="89" t="s">
        <v>646</v>
      </c>
      <c r="BB477" s="89" t="s">
        <v>646</v>
      </c>
      <c r="BC477" s="89" t="s">
        <v>646</v>
      </c>
      <c r="BD477" s="89" t="s">
        <v>17772</v>
      </c>
      <c r="BE477" s="89">
        <v>2021</v>
      </c>
      <c r="BF477" s="89">
        <v>17</v>
      </c>
      <c r="BG477" s="89">
        <v>6</v>
      </c>
      <c r="BH477" s="89" t="s">
        <v>646</v>
      </c>
      <c r="BI477" s="89" t="s">
        <v>646</v>
      </c>
      <c r="BJ477" s="89" t="s">
        <v>646</v>
      </c>
      <c r="BK477" s="89" t="s">
        <v>646</v>
      </c>
      <c r="BL477" s="89">
        <v>1079</v>
      </c>
      <c r="BM477" s="89">
        <v>1090</v>
      </c>
      <c r="BN477" s="89" t="s">
        <v>646</v>
      </c>
      <c r="BO477" s="89" t="str">
        <f>HYPERLINK("http://dx.doi.org/10.1016/j.sapharm.2020.08.006","http://dx.doi.org/10.1016/j.sapharm.2020.08.006")</f>
        <v>http://dx.doi.org/10.1016/j.sapharm.2020.08.006</v>
      </c>
      <c r="BP477" s="89" t="s">
        <v>646</v>
      </c>
      <c r="BQ477" s="89" t="s">
        <v>17514</v>
      </c>
      <c r="BR477" s="89" t="s">
        <v>646</v>
      </c>
      <c r="BS477" s="89" t="s">
        <v>646</v>
      </c>
      <c r="BT477" s="89" t="s">
        <v>646</v>
      </c>
      <c r="BU477" s="89" t="s">
        <v>646</v>
      </c>
      <c r="BV477" s="89" t="s">
        <v>646</v>
      </c>
      <c r="BW477" s="89">
        <v>32917513</v>
      </c>
      <c r="BX477" s="89" t="s">
        <v>646</v>
      </c>
      <c r="BY477" s="89" t="s">
        <v>646</v>
      </c>
      <c r="BZ477" s="89" t="s">
        <v>646</v>
      </c>
      <c r="CA477" s="89" t="s">
        <v>646</v>
      </c>
      <c r="CB477" s="89" t="s">
        <v>21482</v>
      </c>
      <c r="CC477" s="89" t="str">
        <f>HYPERLINK("https%3A%2F%2Fwww.webofscience.com%2Fwos%2Fwoscc%2Ffull-record%2FWOS:000659076800005","View Full Record in Web of Science")</f>
        <v>View Full Record in Web of Science</v>
      </c>
    </row>
    <row r="478" spans="1:81" ht="13.2" hidden="1" x14ac:dyDescent="0.25">
      <c r="A478" s="89" t="s">
        <v>21483</v>
      </c>
      <c r="B478" s="89" t="e">
        <f>+#REF!</f>
        <v>#REF!</v>
      </c>
      <c r="C478" s="89"/>
      <c r="D478" s="91" t="s">
        <v>717</v>
      </c>
      <c r="E478" s="90" t="e">
        <v>#REF!</v>
      </c>
      <c r="F478" s="89"/>
      <c r="G478" s="89"/>
      <c r="H478" s="89" t="s">
        <v>9587</v>
      </c>
      <c r="I478" s="89" t="s">
        <v>21484</v>
      </c>
      <c r="J478" s="89" t="s">
        <v>646</v>
      </c>
      <c r="K478" s="89" t="s">
        <v>21486</v>
      </c>
      <c r="M478" s="89">
        <v>2021</v>
      </c>
      <c r="N478" s="89" t="s">
        <v>21485</v>
      </c>
      <c r="O478" s="89" t="s">
        <v>646</v>
      </c>
      <c r="P478" s="89" t="str">
        <f>HYPERLINK("http://dx.doi.org/10.1001/jamadermatol.2020.5732","http://dx.doi.org/10.1001/jamadermatol.2020.5732")</f>
        <v>http://dx.doi.org/10.1001/jamadermatol.2020.5732</v>
      </c>
      <c r="S478" s="89" t="s">
        <v>646</v>
      </c>
      <c r="U478" s="89" t="s">
        <v>17462</v>
      </c>
      <c r="W478" s="89" t="s">
        <v>646</v>
      </c>
      <c r="X478" s="89" t="s">
        <v>646</v>
      </c>
      <c r="Y478" s="89" t="s">
        <v>646</v>
      </c>
      <c r="Z478" s="89" t="s">
        <v>646</v>
      </c>
      <c r="AA478" s="89" t="s">
        <v>646</v>
      </c>
      <c r="AB478" s="89" t="s">
        <v>646</v>
      </c>
      <c r="AC478" s="89" t="s">
        <v>646</v>
      </c>
      <c r="AD478" s="89" t="s">
        <v>646</v>
      </c>
      <c r="AE478" s="89" t="s">
        <v>646</v>
      </c>
      <c r="AF478" s="89" t="s">
        <v>21486</v>
      </c>
      <c r="AG478" s="89" t="s">
        <v>646</v>
      </c>
      <c r="AH478" s="89" t="s">
        <v>646</v>
      </c>
      <c r="AI478" s="89" t="s">
        <v>646</v>
      </c>
      <c r="AJ478" s="89" t="s">
        <v>646</v>
      </c>
      <c r="AK478" s="89" t="s">
        <v>646</v>
      </c>
      <c r="AL478" s="89" t="s">
        <v>646</v>
      </c>
      <c r="AM478" s="89" t="s">
        <v>646</v>
      </c>
      <c r="AN478" s="89" t="s">
        <v>646</v>
      </c>
      <c r="AO478" s="89" t="s">
        <v>646</v>
      </c>
      <c r="AP478" s="89" t="s">
        <v>646</v>
      </c>
      <c r="AQ478" s="89" t="s">
        <v>646</v>
      </c>
      <c r="AR478" s="89" t="s">
        <v>646</v>
      </c>
      <c r="AS478" s="89" t="s">
        <v>646</v>
      </c>
      <c r="AT478" s="89" t="s">
        <v>646</v>
      </c>
      <c r="AU478" s="89" t="s">
        <v>646</v>
      </c>
      <c r="AV478" s="89" t="s">
        <v>646</v>
      </c>
      <c r="AW478" s="89" t="s">
        <v>646</v>
      </c>
      <c r="AX478" s="89" t="s">
        <v>646</v>
      </c>
      <c r="AY478" s="89" t="s">
        <v>21487</v>
      </c>
      <c r="AZ478" s="89" t="s">
        <v>21488</v>
      </c>
      <c r="BA478" s="89" t="s">
        <v>646</v>
      </c>
      <c r="BB478" s="89" t="s">
        <v>646</v>
      </c>
      <c r="BC478" s="89" t="s">
        <v>646</v>
      </c>
      <c r="BD478" s="89" t="s">
        <v>17823</v>
      </c>
      <c r="BE478" s="89">
        <v>2021</v>
      </c>
      <c r="BF478" s="89">
        <v>157</v>
      </c>
      <c r="BG478" s="89">
        <v>4</v>
      </c>
      <c r="BH478" s="89" t="s">
        <v>646</v>
      </c>
      <c r="BI478" s="89" t="s">
        <v>646</v>
      </c>
      <c r="BJ478" s="89" t="s">
        <v>646</v>
      </c>
      <c r="BK478" s="89" t="s">
        <v>646</v>
      </c>
      <c r="BL478" s="89">
        <v>392</v>
      </c>
      <c r="BM478" s="89">
        <v>398</v>
      </c>
      <c r="BN478" s="89" t="s">
        <v>646</v>
      </c>
      <c r="BO478" s="89" t="str">
        <f>HYPERLINK("http://dx.doi.org/10.1001/jamadermatol.2020.5732","http://dx.doi.org/10.1001/jamadermatol.2020.5732")</f>
        <v>http://dx.doi.org/10.1001/jamadermatol.2020.5732</v>
      </c>
      <c r="BP478" s="89" t="s">
        <v>646</v>
      </c>
      <c r="BQ478" s="89" t="s">
        <v>20147</v>
      </c>
      <c r="BR478" s="89" t="s">
        <v>646</v>
      </c>
      <c r="BS478" s="89" t="s">
        <v>646</v>
      </c>
      <c r="BT478" s="89" t="s">
        <v>646</v>
      </c>
      <c r="BU478" s="89" t="s">
        <v>646</v>
      </c>
      <c r="BV478" s="89" t="s">
        <v>646</v>
      </c>
      <c r="BW478" s="89">
        <v>33688916</v>
      </c>
      <c r="BX478" s="89" t="s">
        <v>646</v>
      </c>
      <c r="BY478" s="89" t="s">
        <v>646</v>
      </c>
      <c r="BZ478" s="89" t="s">
        <v>646</v>
      </c>
      <c r="CA478" s="89" t="s">
        <v>646</v>
      </c>
      <c r="CB478" s="89" t="s">
        <v>21489</v>
      </c>
      <c r="CC478" s="89" t="str">
        <f>HYPERLINK("https%3A%2F%2Fwww.webofscience.com%2Fwos%2Fwoscc%2Ffull-record%2FWOS:000627902700007","View Full Record in Web of Science")</f>
        <v>View Full Record in Web of Science</v>
      </c>
    </row>
    <row r="479" spans="1:81" ht="13.2" hidden="1" x14ac:dyDescent="0.25">
      <c r="A479" s="89" t="s">
        <v>21490</v>
      </c>
      <c r="B479" s="89" t="e">
        <f>+#REF!</f>
        <v>#REF!</v>
      </c>
      <c r="C479" s="89"/>
      <c r="D479" s="91" t="s">
        <v>717</v>
      </c>
      <c r="E479" s="90" t="e">
        <v>#REF!</v>
      </c>
      <c r="F479" s="89"/>
      <c r="G479" s="89"/>
      <c r="H479" s="89" t="s">
        <v>646</v>
      </c>
      <c r="I479" s="89" t="s">
        <v>21492</v>
      </c>
      <c r="J479" s="89" t="s">
        <v>21500</v>
      </c>
      <c r="K479" s="89" t="s">
        <v>21499</v>
      </c>
      <c r="M479" s="89">
        <v>2002</v>
      </c>
      <c r="N479" s="89" t="s">
        <v>21494</v>
      </c>
      <c r="O479" s="89" t="s">
        <v>21493</v>
      </c>
      <c r="P479" s="89" t="s">
        <v>646</v>
      </c>
      <c r="S479" s="89" t="s">
        <v>646</v>
      </c>
      <c r="U479" s="89" t="s">
        <v>21491</v>
      </c>
      <c r="W479" s="89" t="s">
        <v>646</v>
      </c>
      <c r="X479" s="89" t="s">
        <v>646</v>
      </c>
      <c r="Y479" s="89" t="s">
        <v>21495</v>
      </c>
      <c r="Z479" s="89" t="s">
        <v>21496</v>
      </c>
      <c r="AA479" s="89" t="s">
        <v>21497</v>
      </c>
      <c r="AB479" s="89" t="s">
        <v>21498</v>
      </c>
      <c r="AC479" s="89" t="s">
        <v>646</v>
      </c>
      <c r="AD479" s="89" t="s">
        <v>646</v>
      </c>
      <c r="AE479" s="89" t="s">
        <v>646</v>
      </c>
      <c r="AF479" s="89" t="s">
        <v>21499</v>
      </c>
      <c r="AG479" s="89" t="s">
        <v>646</v>
      </c>
      <c r="AH479" s="89" t="s">
        <v>646</v>
      </c>
      <c r="AI479" s="89" t="s">
        <v>646</v>
      </c>
      <c r="AJ479" s="89" t="s">
        <v>646</v>
      </c>
      <c r="AK479" s="89" t="s">
        <v>21500</v>
      </c>
      <c r="AL479" s="89" t="s">
        <v>21501</v>
      </c>
      <c r="AM479" s="89" t="s">
        <v>646</v>
      </c>
      <c r="AN479" s="89" t="s">
        <v>646</v>
      </c>
      <c r="AO479" s="89" t="s">
        <v>646</v>
      </c>
      <c r="AP479" s="89" t="s">
        <v>646</v>
      </c>
      <c r="AQ479" s="89" t="s">
        <v>646</v>
      </c>
      <c r="AR479" s="89" t="s">
        <v>646</v>
      </c>
      <c r="AS479" s="89" t="s">
        <v>646</v>
      </c>
      <c r="AT479" s="89" t="s">
        <v>646</v>
      </c>
      <c r="AU479" s="89" t="s">
        <v>646</v>
      </c>
      <c r="AV479" s="89" t="s">
        <v>646</v>
      </c>
      <c r="AW479" s="89" t="s">
        <v>646</v>
      </c>
      <c r="AX479" s="89" t="s">
        <v>646</v>
      </c>
      <c r="AY479" s="89" t="s">
        <v>18367</v>
      </c>
      <c r="AZ479" s="89" t="s">
        <v>646</v>
      </c>
      <c r="BA479" s="89" t="s">
        <v>21502</v>
      </c>
      <c r="BB479" s="89" t="s">
        <v>646</v>
      </c>
      <c r="BC479" s="89" t="s">
        <v>646</v>
      </c>
      <c r="BD479" s="89" t="s">
        <v>646</v>
      </c>
      <c r="BE479" s="89">
        <v>2002</v>
      </c>
      <c r="BF479" s="89">
        <v>2555</v>
      </c>
      <c r="BG479" s="89" t="s">
        <v>646</v>
      </c>
      <c r="BH479" s="89" t="s">
        <v>646</v>
      </c>
      <c r="BI479" s="89" t="s">
        <v>646</v>
      </c>
      <c r="BJ479" s="89" t="s">
        <v>646</v>
      </c>
      <c r="BK479" s="89" t="s">
        <v>646</v>
      </c>
      <c r="BL479" s="89">
        <v>465</v>
      </c>
      <c r="BM479" s="89">
        <v>466</v>
      </c>
      <c r="BN479" s="89" t="s">
        <v>646</v>
      </c>
      <c r="BO479" s="89" t="s">
        <v>646</v>
      </c>
      <c r="BP479" s="89" t="s">
        <v>646</v>
      </c>
      <c r="BQ479" s="89" t="s">
        <v>646</v>
      </c>
      <c r="BR479" s="89" t="s">
        <v>646</v>
      </c>
      <c r="BS479" s="89" t="s">
        <v>646</v>
      </c>
      <c r="BT479" s="89" t="s">
        <v>646</v>
      </c>
      <c r="BU479" s="89" t="s">
        <v>646</v>
      </c>
      <c r="BV479" s="89" t="s">
        <v>646</v>
      </c>
      <c r="BW479" s="89" t="s">
        <v>646</v>
      </c>
      <c r="BX479" s="89" t="s">
        <v>646</v>
      </c>
      <c r="BY479" s="89" t="s">
        <v>646</v>
      </c>
      <c r="BZ479" s="89" t="s">
        <v>646</v>
      </c>
      <c r="CA479" s="89" t="s">
        <v>646</v>
      </c>
      <c r="CB479" s="89" t="s">
        <v>21503</v>
      </c>
      <c r="CC479" s="89" t="str">
        <f>HYPERLINK("https%3A%2F%2Fwww.webofscience.com%2Fwos%2Fwoscc%2Ffull-record%2FWOS:000181472700054","View Full Record in Web of Science")</f>
        <v>View Full Record in Web of Science</v>
      </c>
    </row>
    <row r="480" spans="1:81" ht="13.2" hidden="1" x14ac:dyDescent="0.25">
      <c r="A480" s="89" t="s">
        <v>21504</v>
      </c>
      <c r="B480" s="89" t="e">
        <f>+#REF!</f>
        <v>#REF!</v>
      </c>
      <c r="C480" s="89"/>
      <c r="D480" s="91" t="s">
        <v>717</v>
      </c>
      <c r="E480" s="90" t="e">
        <v>#REF!</v>
      </c>
      <c r="F480" s="89"/>
      <c r="G480" s="89"/>
      <c r="H480" s="89" t="s">
        <v>9597</v>
      </c>
      <c r="I480" s="89" t="s">
        <v>21505</v>
      </c>
      <c r="J480" s="89" t="s">
        <v>21508</v>
      </c>
      <c r="K480" s="89" t="s">
        <v>21507</v>
      </c>
      <c r="M480" s="89">
        <v>2021</v>
      </c>
      <c r="N480" s="89" t="s">
        <v>21506</v>
      </c>
      <c r="O480" s="89" t="s">
        <v>646</v>
      </c>
      <c r="P480" s="89" t="str">
        <f>HYPERLINK("http://dx.doi.org/10.3390/g12020049","http://dx.doi.org/10.3390/g12020049")</f>
        <v>http://dx.doi.org/10.3390/g12020049</v>
      </c>
      <c r="S480" s="89" t="s">
        <v>646</v>
      </c>
      <c r="U480" s="89" t="s">
        <v>17462</v>
      </c>
      <c r="W480" s="89" t="s">
        <v>646</v>
      </c>
      <c r="X480" s="89" t="s">
        <v>646</v>
      </c>
      <c r="Y480" s="89" t="s">
        <v>646</v>
      </c>
      <c r="Z480" s="89" t="s">
        <v>646</v>
      </c>
      <c r="AA480" s="89" t="s">
        <v>646</v>
      </c>
      <c r="AB480" s="89" t="s">
        <v>646</v>
      </c>
      <c r="AC480" s="89" t="s">
        <v>646</v>
      </c>
      <c r="AD480" s="89" t="s">
        <v>646</v>
      </c>
      <c r="AE480" s="89" t="s">
        <v>646</v>
      </c>
      <c r="AF480" s="89" t="s">
        <v>21507</v>
      </c>
      <c r="AG480" s="89" t="s">
        <v>646</v>
      </c>
      <c r="AH480" s="89" t="s">
        <v>646</v>
      </c>
      <c r="AI480" s="89" t="s">
        <v>646</v>
      </c>
      <c r="AJ480" s="89" t="s">
        <v>646</v>
      </c>
      <c r="AK480" s="89" t="s">
        <v>21508</v>
      </c>
      <c r="AL480" s="89" t="s">
        <v>21509</v>
      </c>
      <c r="AM480" s="89" t="s">
        <v>646</v>
      </c>
      <c r="AN480" s="89" t="s">
        <v>646</v>
      </c>
      <c r="AO480" s="89" t="s">
        <v>646</v>
      </c>
      <c r="AP480" s="89" t="s">
        <v>646</v>
      </c>
      <c r="AQ480" s="89" t="s">
        <v>646</v>
      </c>
      <c r="AR480" s="89" t="s">
        <v>646</v>
      </c>
      <c r="AS480" s="89" t="s">
        <v>646</v>
      </c>
      <c r="AT480" s="89" t="s">
        <v>646</v>
      </c>
      <c r="AU480" s="89" t="s">
        <v>646</v>
      </c>
      <c r="AV480" s="89" t="s">
        <v>646</v>
      </c>
      <c r="AW480" s="89" t="s">
        <v>646</v>
      </c>
      <c r="AX480" s="89" t="s">
        <v>646</v>
      </c>
      <c r="AY480" s="89" t="s">
        <v>646</v>
      </c>
      <c r="AZ480" s="89" t="s">
        <v>21510</v>
      </c>
      <c r="BA480" s="89" t="s">
        <v>646</v>
      </c>
      <c r="BB480" s="89" t="s">
        <v>646</v>
      </c>
      <c r="BC480" s="89" t="s">
        <v>646</v>
      </c>
      <c r="BD480" s="89" t="s">
        <v>17772</v>
      </c>
      <c r="BE480" s="89">
        <v>2021</v>
      </c>
      <c r="BF480" s="89">
        <v>12</v>
      </c>
      <c r="BG480" s="89">
        <v>2</v>
      </c>
      <c r="BH480" s="89" t="s">
        <v>646</v>
      </c>
      <c r="BI480" s="89" t="s">
        <v>646</v>
      </c>
      <c r="BJ480" s="89" t="s">
        <v>646</v>
      </c>
      <c r="BK480" s="89" t="s">
        <v>646</v>
      </c>
      <c r="BL480" s="89" t="s">
        <v>646</v>
      </c>
      <c r="BM480" s="89" t="s">
        <v>646</v>
      </c>
      <c r="BN480" s="89">
        <v>49</v>
      </c>
      <c r="BO480" s="89" t="str">
        <f>HYPERLINK("http://dx.doi.org/10.3390/g12020049","http://dx.doi.org/10.3390/g12020049")</f>
        <v>http://dx.doi.org/10.3390/g12020049</v>
      </c>
      <c r="BP480" s="89" t="s">
        <v>646</v>
      </c>
      <c r="BQ480" s="89" t="s">
        <v>646</v>
      </c>
      <c r="BR480" s="89" t="s">
        <v>646</v>
      </c>
      <c r="BS480" s="89" t="s">
        <v>646</v>
      </c>
      <c r="BT480" s="89" t="s">
        <v>646</v>
      </c>
      <c r="BU480" s="89" t="s">
        <v>646</v>
      </c>
      <c r="BV480" s="89" t="s">
        <v>646</v>
      </c>
      <c r="BW480" s="89" t="s">
        <v>646</v>
      </c>
      <c r="BX480" s="89" t="s">
        <v>646</v>
      </c>
      <c r="BY480" s="89" t="s">
        <v>646</v>
      </c>
      <c r="BZ480" s="89" t="s">
        <v>646</v>
      </c>
      <c r="CA480" s="89" t="s">
        <v>646</v>
      </c>
      <c r="CB480" s="89" t="s">
        <v>21511</v>
      </c>
      <c r="CC480" s="89" t="str">
        <f>HYPERLINK("https%3A%2F%2Fwww.webofscience.com%2Fwos%2Fwoscc%2Ffull-record%2FWOS:000667169300001","View Full Record in Web of Science")</f>
        <v>View Full Record in Web of Science</v>
      </c>
    </row>
    <row r="481" spans="1:81" ht="13.2" hidden="1" x14ac:dyDescent="0.25">
      <c r="A481" s="89" t="s">
        <v>12969</v>
      </c>
      <c r="B481" s="89" t="e">
        <f>+#REF!</f>
        <v>#REF!</v>
      </c>
      <c r="C481" s="89"/>
      <c r="D481" s="91" t="s">
        <v>717</v>
      </c>
      <c r="E481" s="90" t="e">
        <v>#REF!</v>
      </c>
      <c r="F481" s="89"/>
      <c r="G481" s="89"/>
      <c r="H481" s="89" t="s">
        <v>12970</v>
      </c>
      <c r="I481" s="89" t="s">
        <v>21512</v>
      </c>
      <c r="J481" s="89" t="s">
        <v>646</v>
      </c>
      <c r="K481" s="89" t="s">
        <v>21514</v>
      </c>
      <c r="M481" s="89">
        <v>2021</v>
      </c>
      <c r="N481" s="89" t="s">
        <v>21513</v>
      </c>
      <c r="O481" s="89" t="s">
        <v>646</v>
      </c>
      <c r="P481" s="89" t="str">
        <f>HYPERLINK("http://dx.doi.org/10.1108/JICES-12-2019-0135","http://dx.doi.org/10.1108/JICES-12-2019-0135")</f>
        <v>http://dx.doi.org/10.1108/JICES-12-2019-0135</v>
      </c>
      <c r="S481" s="89" t="s">
        <v>646</v>
      </c>
      <c r="U481" s="89" t="s">
        <v>17462</v>
      </c>
      <c r="W481" s="89" t="s">
        <v>646</v>
      </c>
      <c r="X481" s="89" t="s">
        <v>646</v>
      </c>
      <c r="Y481" s="89" t="s">
        <v>646</v>
      </c>
      <c r="Z481" s="89" t="s">
        <v>646</v>
      </c>
      <c r="AA481" s="89" t="s">
        <v>646</v>
      </c>
      <c r="AB481" s="89" t="s">
        <v>646</v>
      </c>
      <c r="AC481" s="89" t="s">
        <v>646</v>
      </c>
      <c r="AD481" s="89" t="s">
        <v>646</v>
      </c>
      <c r="AE481" s="89" t="s">
        <v>646</v>
      </c>
      <c r="AF481" s="89" t="s">
        <v>21514</v>
      </c>
      <c r="AG481" s="89" t="s">
        <v>646</v>
      </c>
      <c r="AH481" s="89" t="s">
        <v>646</v>
      </c>
      <c r="AI481" s="89" t="s">
        <v>646</v>
      </c>
      <c r="AJ481" s="89" t="s">
        <v>646</v>
      </c>
      <c r="AK481" s="89" t="s">
        <v>646</v>
      </c>
      <c r="AL481" s="89" t="s">
        <v>646</v>
      </c>
      <c r="AM481" s="89" t="s">
        <v>646</v>
      </c>
      <c r="AN481" s="89" t="s">
        <v>646</v>
      </c>
      <c r="AO481" s="89" t="s">
        <v>646</v>
      </c>
      <c r="AP481" s="89" t="s">
        <v>646</v>
      </c>
      <c r="AQ481" s="89" t="s">
        <v>646</v>
      </c>
      <c r="AR481" s="89" t="s">
        <v>646</v>
      </c>
      <c r="AS481" s="89" t="s">
        <v>646</v>
      </c>
      <c r="AT481" s="89" t="s">
        <v>646</v>
      </c>
      <c r="AU481" s="89" t="s">
        <v>646</v>
      </c>
      <c r="AV481" s="89" t="s">
        <v>646</v>
      </c>
      <c r="AW481" s="89" t="s">
        <v>646</v>
      </c>
      <c r="AX481" s="89" t="s">
        <v>646</v>
      </c>
      <c r="AY481" s="89" t="s">
        <v>21515</v>
      </c>
      <c r="AZ481" s="89" t="s">
        <v>21516</v>
      </c>
      <c r="BA481" s="89" t="s">
        <v>646</v>
      </c>
      <c r="BB481" s="89" t="s">
        <v>646</v>
      </c>
      <c r="BC481" s="89" t="s">
        <v>646</v>
      </c>
      <c r="BD481" s="89" t="s">
        <v>21517</v>
      </c>
      <c r="BE481" s="89">
        <v>2021</v>
      </c>
      <c r="BF481" s="89">
        <v>19</v>
      </c>
      <c r="BG481" s="89">
        <v>1</v>
      </c>
      <c r="BH481" s="89" t="s">
        <v>646</v>
      </c>
      <c r="BI481" s="89" t="s">
        <v>646</v>
      </c>
      <c r="BJ481" s="89" t="s">
        <v>646</v>
      </c>
      <c r="BK481" s="89" t="s">
        <v>646</v>
      </c>
      <c r="BL481" s="89">
        <v>104</v>
      </c>
      <c r="BM481" s="89">
        <v>128</v>
      </c>
      <c r="BN481" s="89" t="s">
        <v>646</v>
      </c>
      <c r="BO481" s="89" t="str">
        <f>HYPERLINK("http://dx.doi.org/10.1108/JICES-12-2019-0135","http://dx.doi.org/10.1108/JICES-12-2019-0135")</f>
        <v>http://dx.doi.org/10.1108/JICES-12-2019-0135</v>
      </c>
      <c r="BP481" s="89" t="s">
        <v>646</v>
      </c>
      <c r="BQ481" s="89" t="s">
        <v>18718</v>
      </c>
      <c r="BR481" s="89" t="s">
        <v>646</v>
      </c>
      <c r="BS481" s="89" t="s">
        <v>646</v>
      </c>
      <c r="BT481" s="89" t="s">
        <v>646</v>
      </c>
      <c r="BU481" s="89" t="s">
        <v>646</v>
      </c>
      <c r="BV481" s="89" t="s">
        <v>646</v>
      </c>
      <c r="BW481" s="89" t="s">
        <v>646</v>
      </c>
      <c r="BX481" s="89" t="s">
        <v>646</v>
      </c>
      <c r="BY481" s="89" t="s">
        <v>646</v>
      </c>
      <c r="BZ481" s="89" t="s">
        <v>646</v>
      </c>
      <c r="CA481" s="89" t="s">
        <v>646</v>
      </c>
      <c r="CB481" s="89" t="s">
        <v>21518</v>
      </c>
      <c r="CC481" s="89" t="str">
        <f>HYPERLINK("https%3A%2F%2Fwww.webofscience.com%2Fwos%2Fwoscc%2Ffull-record%2FWOS:000561430800001","View Full Record in Web of Science")</f>
        <v>View Full Record in Web of Science</v>
      </c>
    </row>
    <row r="482" spans="1:81" ht="13.2" hidden="1" x14ac:dyDescent="0.25">
      <c r="A482" s="89" t="s">
        <v>9606</v>
      </c>
      <c r="B482" s="89" t="e">
        <f>+#REF!</f>
        <v>#REF!</v>
      </c>
      <c r="C482" s="89"/>
      <c r="D482" s="91" t="s">
        <v>717</v>
      </c>
      <c r="E482" s="90" t="e">
        <v>#REF!</v>
      </c>
      <c r="F482" s="89"/>
      <c r="G482" s="89"/>
      <c r="H482" s="89" t="s">
        <v>9607</v>
      </c>
      <c r="I482" s="89" t="s">
        <v>21519</v>
      </c>
      <c r="J482" s="89" t="s">
        <v>646</v>
      </c>
      <c r="K482" s="89" t="s">
        <v>21521</v>
      </c>
      <c r="M482" s="89">
        <v>2021</v>
      </c>
      <c r="N482" s="89" t="s">
        <v>21520</v>
      </c>
      <c r="O482" s="89" t="s">
        <v>646</v>
      </c>
      <c r="P482" s="89" t="str">
        <f>HYPERLINK("http://dx.doi.org/10.1016/j.eatbeh.2021.101480","http://dx.doi.org/10.1016/j.eatbeh.2021.101480")</f>
        <v>http://dx.doi.org/10.1016/j.eatbeh.2021.101480</v>
      </c>
      <c r="S482" s="89" t="s">
        <v>646</v>
      </c>
      <c r="U482" s="89" t="s">
        <v>17462</v>
      </c>
      <c r="W482" s="89" t="s">
        <v>646</v>
      </c>
      <c r="X482" s="89" t="s">
        <v>646</v>
      </c>
      <c r="Y482" s="89" t="s">
        <v>646</v>
      </c>
      <c r="Z482" s="89" t="s">
        <v>646</v>
      </c>
      <c r="AA482" s="89" t="s">
        <v>646</v>
      </c>
      <c r="AB482" s="89" t="s">
        <v>646</v>
      </c>
      <c r="AC482" s="89" t="s">
        <v>646</v>
      </c>
      <c r="AD482" s="89" t="s">
        <v>646</v>
      </c>
      <c r="AE482" s="89" t="s">
        <v>646</v>
      </c>
      <c r="AF482" s="89" t="s">
        <v>21521</v>
      </c>
      <c r="AG482" s="89" t="s">
        <v>646</v>
      </c>
      <c r="AH482" s="89" t="s">
        <v>646</v>
      </c>
      <c r="AI482" s="89" t="s">
        <v>646</v>
      </c>
      <c r="AJ482" s="89" t="s">
        <v>646</v>
      </c>
      <c r="AK482" s="89" t="s">
        <v>646</v>
      </c>
      <c r="AL482" s="89" t="s">
        <v>646</v>
      </c>
      <c r="AM482" s="89" t="s">
        <v>646</v>
      </c>
      <c r="AN482" s="89" t="s">
        <v>646</v>
      </c>
      <c r="AO482" s="89" t="s">
        <v>646</v>
      </c>
      <c r="AP482" s="89" t="s">
        <v>646</v>
      </c>
      <c r="AQ482" s="89" t="s">
        <v>646</v>
      </c>
      <c r="AR482" s="89" t="s">
        <v>646</v>
      </c>
      <c r="AS482" s="89" t="s">
        <v>646</v>
      </c>
      <c r="AT482" s="89" t="s">
        <v>646</v>
      </c>
      <c r="AU482" s="89" t="s">
        <v>646</v>
      </c>
      <c r="AV482" s="89" t="s">
        <v>646</v>
      </c>
      <c r="AW482" s="89" t="s">
        <v>646</v>
      </c>
      <c r="AX482" s="89" t="s">
        <v>646</v>
      </c>
      <c r="AY482" s="89" t="s">
        <v>21522</v>
      </c>
      <c r="AZ482" s="89" t="s">
        <v>21523</v>
      </c>
      <c r="BA482" s="89" t="s">
        <v>646</v>
      </c>
      <c r="BB482" s="89" t="s">
        <v>646</v>
      </c>
      <c r="BC482" s="89" t="s">
        <v>646</v>
      </c>
      <c r="BD482" s="89" t="s">
        <v>17823</v>
      </c>
      <c r="BE482" s="89">
        <v>2021</v>
      </c>
      <c r="BF482" s="89">
        <v>41</v>
      </c>
      <c r="BG482" s="89" t="s">
        <v>646</v>
      </c>
      <c r="BH482" s="89" t="s">
        <v>646</v>
      </c>
      <c r="BI482" s="89" t="s">
        <v>646</v>
      </c>
      <c r="BJ482" s="89" t="s">
        <v>646</v>
      </c>
      <c r="BK482" s="89" t="s">
        <v>646</v>
      </c>
      <c r="BL482" s="89" t="s">
        <v>646</v>
      </c>
      <c r="BM482" s="89" t="s">
        <v>646</v>
      </c>
      <c r="BN482" s="89">
        <v>101480</v>
      </c>
      <c r="BO482" s="89" t="str">
        <f>HYPERLINK("http://dx.doi.org/10.1016/j.eatbeh.2021.101480","http://dx.doi.org/10.1016/j.eatbeh.2021.101480")</f>
        <v>http://dx.doi.org/10.1016/j.eatbeh.2021.101480</v>
      </c>
      <c r="BP482" s="89" t="s">
        <v>646</v>
      </c>
      <c r="BQ482" s="89" t="s">
        <v>19593</v>
      </c>
      <c r="BR482" s="89" t="s">
        <v>646</v>
      </c>
      <c r="BS482" s="89" t="s">
        <v>646</v>
      </c>
      <c r="BT482" s="89" t="s">
        <v>646</v>
      </c>
      <c r="BU482" s="89" t="s">
        <v>646</v>
      </c>
      <c r="BV482" s="89" t="s">
        <v>646</v>
      </c>
      <c r="BW482" s="89">
        <v>33631489</v>
      </c>
      <c r="BX482" s="89" t="s">
        <v>646</v>
      </c>
      <c r="BY482" s="89" t="s">
        <v>646</v>
      </c>
      <c r="BZ482" s="89" t="s">
        <v>646</v>
      </c>
      <c r="CA482" s="89" t="s">
        <v>646</v>
      </c>
      <c r="CB482" s="89" t="s">
        <v>21524</v>
      </c>
      <c r="CC482" s="89" t="str">
        <f>HYPERLINK("https%3A%2F%2Fwww.webofscience.com%2Fwos%2Fwoscc%2Ffull-record%2FWOS:000652735400009","View Full Record in Web of Science")</f>
        <v>View Full Record in Web of Science</v>
      </c>
    </row>
    <row r="483" spans="1:81" ht="13.2" hidden="1" x14ac:dyDescent="0.25">
      <c r="A483" s="89" t="s">
        <v>21525</v>
      </c>
      <c r="B483" s="89" t="e">
        <f>+#REF!</f>
        <v>#REF!</v>
      </c>
      <c r="C483" s="89"/>
      <c r="D483" s="91" t="s">
        <v>717</v>
      </c>
      <c r="E483" s="90" t="e">
        <v>#REF!</v>
      </c>
      <c r="F483" s="89"/>
      <c r="G483" s="89"/>
      <c r="H483" s="89" t="s">
        <v>9617</v>
      </c>
      <c r="I483" s="89" t="s">
        <v>21526</v>
      </c>
      <c r="J483" s="89" t="s">
        <v>21529</v>
      </c>
      <c r="K483" s="89" t="s">
        <v>21528</v>
      </c>
      <c r="M483" s="89">
        <v>2021</v>
      </c>
      <c r="N483" s="89" t="s">
        <v>21527</v>
      </c>
      <c r="O483" s="89" t="s">
        <v>646</v>
      </c>
      <c r="P483" s="89" t="str">
        <f>HYPERLINK("http://dx.doi.org/10.1037/per0000394","http://dx.doi.org/10.1037/per0000394")</f>
        <v>http://dx.doi.org/10.1037/per0000394</v>
      </c>
      <c r="S483" s="89" t="s">
        <v>646</v>
      </c>
      <c r="U483" s="89" t="s">
        <v>17462</v>
      </c>
      <c r="W483" s="89" t="s">
        <v>646</v>
      </c>
      <c r="X483" s="89" t="s">
        <v>646</v>
      </c>
      <c r="Y483" s="89" t="s">
        <v>646</v>
      </c>
      <c r="Z483" s="89" t="s">
        <v>646</v>
      </c>
      <c r="AA483" s="89" t="s">
        <v>646</v>
      </c>
      <c r="AB483" s="89" t="s">
        <v>646</v>
      </c>
      <c r="AC483" s="89" t="s">
        <v>646</v>
      </c>
      <c r="AD483" s="89" t="s">
        <v>646</v>
      </c>
      <c r="AE483" s="89" t="s">
        <v>646</v>
      </c>
      <c r="AF483" s="89" t="s">
        <v>21528</v>
      </c>
      <c r="AG483" s="89" t="s">
        <v>646</v>
      </c>
      <c r="AH483" s="89" t="s">
        <v>646</v>
      </c>
      <c r="AI483" s="89" t="s">
        <v>646</v>
      </c>
      <c r="AJ483" s="89" t="s">
        <v>646</v>
      </c>
      <c r="AK483" s="89" t="s">
        <v>21529</v>
      </c>
      <c r="AL483" s="89" t="s">
        <v>21530</v>
      </c>
      <c r="AM483" s="89" t="s">
        <v>646</v>
      </c>
      <c r="AN483" s="89" t="s">
        <v>646</v>
      </c>
      <c r="AO483" s="89" t="s">
        <v>646</v>
      </c>
      <c r="AP483" s="89" t="s">
        <v>646</v>
      </c>
      <c r="AQ483" s="89" t="s">
        <v>646</v>
      </c>
      <c r="AR483" s="89" t="s">
        <v>646</v>
      </c>
      <c r="AS483" s="89" t="s">
        <v>646</v>
      </c>
      <c r="AT483" s="89" t="s">
        <v>646</v>
      </c>
      <c r="AU483" s="89" t="s">
        <v>646</v>
      </c>
      <c r="AV483" s="89" t="s">
        <v>646</v>
      </c>
      <c r="AW483" s="89" t="s">
        <v>646</v>
      </c>
      <c r="AX483" s="89" t="s">
        <v>646</v>
      </c>
      <c r="AY483" s="89" t="s">
        <v>21531</v>
      </c>
      <c r="AZ483" s="89" t="s">
        <v>21532</v>
      </c>
      <c r="BA483" s="89" t="s">
        <v>646</v>
      </c>
      <c r="BB483" s="89" t="s">
        <v>646</v>
      </c>
      <c r="BC483" s="89" t="s">
        <v>646</v>
      </c>
      <c r="BD483" s="89" t="s">
        <v>17779</v>
      </c>
      <c r="BE483" s="89">
        <v>2021</v>
      </c>
      <c r="BF483" s="89">
        <v>12</v>
      </c>
      <c r="BG483" s="89">
        <v>2</v>
      </c>
      <c r="BH483" s="89" t="s">
        <v>646</v>
      </c>
      <c r="BI483" s="89" t="s">
        <v>646</v>
      </c>
      <c r="BJ483" s="89" t="s">
        <v>646</v>
      </c>
      <c r="BK483" s="89" t="s">
        <v>646</v>
      </c>
      <c r="BL483" s="89">
        <v>115</v>
      </c>
      <c r="BM483" s="89">
        <v>126</v>
      </c>
      <c r="BN483" s="89" t="s">
        <v>646</v>
      </c>
      <c r="BO483" s="89" t="str">
        <f>HYPERLINK("http://dx.doi.org/10.1037/per0000394","http://dx.doi.org/10.1037/per0000394")</f>
        <v>http://dx.doi.org/10.1037/per0000394</v>
      </c>
      <c r="BP483" s="89" t="s">
        <v>646</v>
      </c>
      <c r="BQ483" s="89" t="s">
        <v>646</v>
      </c>
      <c r="BR483" s="89" t="s">
        <v>646</v>
      </c>
      <c r="BS483" s="89" t="s">
        <v>646</v>
      </c>
      <c r="BT483" s="89" t="s">
        <v>646</v>
      </c>
      <c r="BU483" s="89" t="s">
        <v>646</v>
      </c>
      <c r="BV483" s="89" t="s">
        <v>646</v>
      </c>
      <c r="BW483" s="89">
        <v>32105104</v>
      </c>
      <c r="BX483" s="89" t="s">
        <v>646</v>
      </c>
      <c r="BY483" s="89" t="s">
        <v>646</v>
      </c>
      <c r="BZ483" s="89" t="s">
        <v>646</v>
      </c>
      <c r="CA483" s="89" t="s">
        <v>646</v>
      </c>
      <c r="CB483" s="89" t="s">
        <v>21533</v>
      </c>
      <c r="CC483" s="89" t="str">
        <f>HYPERLINK("https%3A%2F%2Fwww.webofscience.com%2Fwos%2Fwoscc%2Ffull-record%2FWOS:000623078100003","View Full Record in Web of Science")</f>
        <v>View Full Record in Web of Science</v>
      </c>
    </row>
    <row r="484" spans="1:81" ht="13.2" hidden="1" x14ac:dyDescent="0.25">
      <c r="A484" s="89" t="s">
        <v>16450</v>
      </c>
      <c r="B484" s="89" t="e">
        <f>+#REF!</f>
        <v>#REF!</v>
      </c>
      <c r="C484" s="89"/>
      <c r="D484" s="91" t="s">
        <v>717</v>
      </c>
      <c r="E484" s="90" t="e">
        <v>#REF!</v>
      </c>
      <c r="F484" s="89"/>
      <c r="G484" s="89"/>
      <c r="H484" s="89" t="s">
        <v>646</v>
      </c>
      <c r="I484" s="89" t="s">
        <v>21534</v>
      </c>
      <c r="J484" s="89" t="s">
        <v>646</v>
      </c>
      <c r="K484" s="89" t="s">
        <v>21539</v>
      </c>
      <c r="M484" s="89">
        <v>2020</v>
      </c>
      <c r="N484" s="89" t="s">
        <v>21535</v>
      </c>
      <c r="O484" s="89" t="s">
        <v>646</v>
      </c>
      <c r="P484" s="89" t="s">
        <v>646</v>
      </c>
      <c r="S484" s="89" t="s">
        <v>17475</v>
      </c>
      <c r="U484" s="89" t="s">
        <v>17474</v>
      </c>
      <c r="W484" s="89" t="s">
        <v>646</v>
      </c>
      <c r="X484" s="89" t="s">
        <v>646</v>
      </c>
      <c r="Y484" s="89" t="s">
        <v>21439</v>
      </c>
      <c r="Z484" s="89" t="s">
        <v>21536</v>
      </c>
      <c r="AA484" s="89" t="s">
        <v>21537</v>
      </c>
      <c r="AB484" s="89" t="s">
        <v>21538</v>
      </c>
      <c r="AC484" s="89" t="s">
        <v>646</v>
      </c>
      <c r="AD484" s="89" t="s">
        <v>646</v>
      </c>
      <c r="AE484" s="89" t="s">
        <v>646</v>
      </c>
      <c r="AF484" s="89" t="s">
        <v>21539</v>
      </c>
      <c r="AG484" s="89" t="s">
        <v>646</v>
      </c>
      <c r="AH484" s="89" t="s">
        <v>646</v>
      </c>
      <c r="AI484" s="89" t="s">
        <v>646</v>
      </c>
      <c r="AJ484" s="89" t="s">
        <v>646</v>
      </c>
      <c r="AK484" s="89" t="s">
        <v>646</v>
      </c>
      <c r="AL484" s="89" t="s">
        <v>646</v>
      </c>
      <c r="AM484" s="89" t="s">
        <v>646</v>
      </c>
      <c r="AN484" s="89" t="s">
        <v>646</v>
      </c>
      <c r="AO484" s="89" t="s">
        <v>646</v>
      </c>
      <c r="AP484" s="89" t="s">
        <v>646</v>
      </c>
      <c r="AQ484" s="89" t="s">
        <v>646</v>
      </c>
      <c r="AR484" s="89" t="s">
        <v>646</v>
      </c>
      <c r="AS484" s="89" t="s">
        <v>646</v>
      </c>
      <c r="AT484" s="89" t="s">
        <v>646</v>
      </c>
      <c r="AU484" s="89" t="s">
        <v>646</v>
      </c>
      <c r="AV484" s="89" t="s">
        <v>646</v>
      </c>
      <c r="AW484" s="89" t="s">
        <v>646</v>
      </c>
      <c r="AX484" s="89" t="s">
        <v>646</v>
      </c>
      <c r="AY484" s="89" t="s">
        <v>21336</v>
      </c>
      <c r="AZ484" s="89" t="s">
        <v>646</v>
      </c>
      <c r="BA484" s="89" t="s">
        <v>21540</v>
      </c>
      <c r="BB484" s="89" t="s">
        <v>646</v>
      </c>
      <c r="BC484" s="89" t="s">
        <v>646</v>
      </c>
      <c r="BD484" s="89" t="s">
        <v>646</v>
      </c>
      <c r="BE484" s="89">
        <v>2020</v>
      </c>
      <c r="BF484" s="89" t="s">
        <v>646</v>
      </c>
      <c r="BG484" s="89" t="s">
        <v>646</v>
      </c>
      <c r="BH484" s="89" t="s">
        <v>646</v>
      </c>
      <c r="BI484" s="89" t="s">
        <v>646</v>
      </c>
      <c r="BJ484" s="89" t="s">
        <v>646</v>
      </c>
      <c r="BK484" s="89" t="s">
        <v>646</v>
      </c>
      <c r="BL484" s="89" t="s">
        <v>646</v>
      </c>
      <c r="BM484" s="89" t="s">
        <v>646</v>
      </c>
      <c r="BN484" s="89" t="s">
        <v>646</v>
      </c>
      <c r="BO484" s="89" t="s">
        <v>646</v>
      </c>
      <c r="BP484" s="89" t="s">
        <v>646</v>
      </c>
      <c r="BQ484" s="89" t="s">
        <v>646</v>
      </c>
      <c r="BR484" s="89" t="s">
        <v>646</v>
      </c>
      <c r="BS484" s="89" t="s">
        <v>646</v>
      </c>
      <c r="BT484" s="89" t="s">
        <v>646</v>
      </c>
      <c r="BU484" s="89" t="s">
        <v>646</v>
      </c>
      <c r="BV484" s="89" t="s">
        <v>646</v>
      </c>
      <c r="BW484" s="89" t="s">
        <v>646</v>
      </c>
      <c r="BX484" s="89" t="s">
        <v>646</v>
      </c>
      <c r="BY484" s="89" t="s">
        <v>646</v>
      </c>
      <c r="BZ484" s="89" t="s">
        <v>646</v>
      </c>
      <c r="CA484" s="89" t="s">
        <v>646</v>
      </c>
      <c r="CB484" s="89" t="s">
        <v>21541</v>
      </c>
      <c r="CC484" s="89" t="str">
        <f>HYPERLINK("https%3A%2F%2Fwww.webofscience.com%2Fwos%2Fwoscc%2Ffull-record%2FWOS:000646660800188","View Full Record in Web of Science")</f>
        <v>View Full Record in Web of Science</v>
      </c>
    </row>
    <row r="485" spans="1:81" ht="13.2" hidden="1" x14ac:dyDescent="0.25">
      <c r="A485" s="89" t="s">
        <v>9625</v>
      </c>
      <c r="B485" s="89" t="e">
        <f>+#REF!</f>
        <v>#REF!</v>
      </c>
      <c r="C485" s="89"/>
      <c r="D485" s="91" t="s">
        <v>717</v>
      </c>
      <c r="E485" s="90" t="e">
        <v>#REF!</v>
      </c>
      <c r="F485" s="89"/>
      <c r="G485" s="89"/>
      <c r="H485" s="89" t="s">
        <v>9626</v>
      </c>
      <c r="I485" s="89" t="s">
        <v>21542</v>
      </c>
      <c r="J485" s="89" t="s">
        <v>646</v>
      </c>
      <c r="K485" s="89" t="s">
        <v>21543</v>
      </c>
      <c r="M485" s="89">
        <v>2022</v>
      </c>
      <c r="N485" s="89" t="s">
        <v>20879</v>
      </c>
      <c r="O485" s="89" t="s">
        <v>646</v>
      </c>
      <c r="P485" s="89" t="str">
        <f>HYPERLINK("http://dx.doi.org/10.1080/1369118X.2021.2020323","http://dx.doi.org/10.1080/1369118X.2021.2020323")</f>
        <v>http://dx.doi.org/10.1080/1369118X.2021.2020323</v>
      </c>
      <c r="S485" s="89" t="s">
        <v>646</v>
      </c>
      <c r="U485" s="89" t="s">
        <v>17462</v>
      </c>
      <c r="W485" s="89" t="s">
        <v>646</v>
      </c>
      <c r="X485" s="89" t="s">
        <v>646</v>
      </c>
      <c r="Y485" s="89" t="s">
        <v>646</v>
      </c>
      <c r="Z485" s="89" t="s">
        <v>646</v>
      </c>
      <c r="AA485" s="89" t="s">
        <v>646</v>
      </c>
      <c r="AB485" s="89" t="s">
        <v>646</v>
      </c>
      <c r="AC485" s="89" t="s">
        <v>646</v>
      </c>
      <c r="AD485" s="89" t="s">
        <v>646</v>
      </c>
      <c r="AE485" s="89" t="s">
        <v>646</v>
      </c>
      <c r="AF485" s="89" t="s">
        <v>21543</v>
      </c>
      <c r="AG485" s="89" t="s">
        <v>646</v>
      </c>
      <c r="AH485" s="89" t="s">
        <v>646</v>
      </c>
      <c r="AI485" s="89" t="s">
        <v>646</v>
      </c>
      <c r="AJ485" s="89" t="s">
        <v>646</v>
      </c>
      <c r="AK485" s="89" t="s">
        <v>646</v>
      </c>
      <c r="AL485" s="89" t="s">
        <v>21544</v>
      </c>
      <c r="AM485" s="89" t="s">
        <v>646</v>
      </c>
      <c r="AN485" s="89" t="s">
        <v>646</v>
      </c>
      <c r="AO485" s="89" t="s">
        <v>646</v>
      </c>
      <c r="AP485" s="89" t="s">
        <v>646</v>
      </c>
      <c r="AQ485" s="89" t="s">
        <v>646</v>
      </c>
      <c r="AR485" s="89" t="s">
        <v>646</v>
      </c>
      <c r="AS485" s="89" t="s">
        <v>646</v>
      </c>
      <c r="AT485" s="89" t="s">
        <v>646</v>
      </c>
      <c r="AU485" s="89" t="s">
        <v>646</v>
      </c>
      <c r="AV485" s="89" t="s">
        <v>646</v>
      </c>
      <c r="AW485" s="89" t="s">
        <v>646</v>
      </c>
      <c r="AX485" s="89" t="s">
        <v>646</v>
      </c>
      <c r="AY485" s="89" t="s">
        <v>20881</v>
      </c>
      <c r="AZ485" s="89" t="s">
        <v>20882</v>
      </c>
      <c r="BA485" s="89" t="s">
        <v>646</v>
      </c>
      <c r="BB485" s="89" t="s">
        <v>646</v>
      </c>
      <c r="BC485" s="89" t="s">
        <v>646</v>
      </c>
      <c r="BD485" s="89" t="s">
        <v>21545</v>
      </c>
      <c r="BE485" s="89">
        <v>2022</v>
      </c>
      <c r="BF485" s="89">
        <v>25</v>
      </c>
      <c r="BG485" s="89">
        <v>5</v>
      </c>
      <c r="BH485" s="89" t="s">
        <v>646</v>
      </c>
      <c r="BI485" s="89" t="s">
        <v>646</v>
      </c>
      <c r="BJ485" s="89" t="s">
        <v>17555</v>
      </c>
      <c r="BK485" s="89" t="s">
        <v>646</v>
      </c>
      <c r="BL485" s="89">
        <v>634</v>
      </c>
      <c r="BM485" s="89">
        <v>653</v>
      </c>
      <c r="BN485" s="89" t="s">
        <v>646</v>
      </c>
      <c r="BO485" s="89" t="str">
        <f>HYPERLINK("http://dx.doi.org/10.1080/1369118X.2021.2020323","http://dx.doi.org/10.1080/1369118X.2021.2020323")</f>
        <v>http://dx.doi.org/10.1080/1369118X.2021.2020323</v>
      </c>
      <c r="BP485" s="89" t="s">
        <v>646</v>
      </c>
      <c r="BQ485" s="89" t="s">
        <v>19920</v>
      </c>
      <c r="BR485" s="89" t="s">
        <v>646</v>
      </c>
      <c r="BS485" s="89" t="s">
        <v>646</v>
      </c>
      <c r="BT485" s="89" t="s">
        <v>646</v>
      </c>
      <c r="BU485" s="89" t="s">
        <v>646</v>
      </c>
      <c r="BV485" s="89" t="s">
        <v>646</v>
      </c>
      <c r="BW485" s="89" t="s">
        <v>646</v>
      </c>
      <c r="BX485" s="89" t="s">
        <v>646</v>
      </c>
      <c r="BY485" s="89" t="s">
        <v>646</v>
      </c>
      <c r="BZ485" s="89" t="s">
        <v>646</v>
      </c>
      <c r="CA485" s="89" t="s">
        <v>646</v>
      </c>
      <c r="CB485" s="89" t="s">
        <v>21546</v>
      </c>
      <c r="CC485" s="89" t="str">
        <f>HYPERLINK("https%3A%2F%2Fwww.webofscience.com%2Fwos%2Fwoscc%2Ffull-record%2FWOS:000736804000001","View Full Record in Web of Science")</f>
        <v>View Full Record in Web of Science</v>
      </c>
    </row>
    <row r="486" spans="1:81" ht="13.2" hidden="1" x14ac:dyDescent="0.25">
      <c r="A486" s="89" t="s">
        <v>21547</v>
      </c>
      <c r="B486" s="89" t="e">
        <f>+#REF!</f>
        <v>#REF!</v>
      </c>
      <c r="C486" s="89"/>
      <c r="D486" s="91" t="s">
        <v>717</v>
      </c>
      <c r="E486" s="90" t="e">
        <v>#REF!</v>
      </c>
      <c r="F486" s="89"/>
      <c r="G486" s="89"/>
      <c r="H486" s="89" t="s">
        <v>12980</v>
      </c>
      <c r="I486" s="89" t="s">
        <v>21548</v>
      </c>
      <c r="J486" s="89" t="s">
        <v>646</v>
      </c>
      <c r="K486" s="89" t="s">
        <v>21550</v>
      </c>
      <c r="M486" s="89">
        <v>2016</v>
      </c>
      <c r="N486" s="89" t="s">
        <v>21549</v>
      </c>
      <c r="O486" s="89" t="s">
        <v>646</v>
      </c>
      <c r="P486" s="89" t="str">
        <f>HYPERLINK("http://dx.doi.org/10.1037/lhb0000187","http://dx.doi.org/10.1037/lhb0000187")</f>
        <v>http://dx.doi.org/10.1037/lhb0000187</v>
      </c>
      <c r="S486" s="89" t="s">
        <v>646</v>
      </c>
      <c r="U486" s="89" t="s">
        <v>17462</v>
      </c>
      <c r="W486" s="89" t="s">
        <v>646</v>
      </c>
      <c r="X486" s="89" t="s">
        <v>646</v>
      </c>
      <c r="Y486" s="89" t="s">
        <v>646</v>
      </c>
      <c r="Z486" s="89" t="s">
        <v>646</v>
      </c>
      <c r="AA486" s="89" t="s">
        <v>646</v>
      </c>
      <c r="AB486" s="89" t="s">
        <v>646</v>
      </c>
      <c r="AC486" s="89" t="s">
        <v>646</v>
      </c>
      <c r="AD486" s="89" t="s">
        <v>646</v>
      </c>
      <c r="AE486" s="89" t="s">
        <v>646</v>
      </c>
      <c r="AF486" s="89" t="s">
        <v>21550</v>
      </c>
      <c r="AG486" s="89" t="s">
        <v>646</v>
      </c>
      <c r="AH486" s="89" t="s">
        <v>646</v>
      </c>
      <c r="AI486" s="89" t="s">
        <v>646</v>
      </c>
      <c r="AJ486" s="89" t="s">
        <v>646</v>
      </c>
      <c r="AK486" s="89" t="s">
        <v>646</v>
      </c>
      <c r="AL486" s="89" t="s">
        <v>646</v>
      </c>
      <c r="AM486" s="89" t="s">
        <v>646</v>
      </c>
      <c r="AN486" s="89" t="s">
        <v>646</v>
      </c>
      <c r="AO486" s="89" t="s">
        <v>646</v>
      </c>
      <c r="AP486" s="89" t="s">
        <v>646</v>
      </c>
      <c r="AQ486" s="89" t="s">
        <v>646</v>
      </c>
      <c r="AR486" s="89" t="s">
        <v>646</v>
      </c>
      <c r="AS486" s="89" t="s">
        <v>646</v>
      </c>
      <c r="AT486" s="89" t="s">
        <v>646</v>
      </c>
      <c r="AU486" s="89" t="s">
        <v>646</v>
      </c>
      <c r="AV486" s="89" t="s">
        <v>646</v>
      </c>
      <c r="AW486" s="89" t="s">
        <v>646</v>
      </c>
      <c r="AX486" s="89" t="s">
        <v>646</v>
      </c>
      <c r="AY486" s="89" t="s">
        <v>21551</v>
      </c>
      <c r="AZ486" s="89" t="s">
        <v>21552</v>
      </c>
      <c r="BA486" s="89" t="s">
        <v>646</v>
      </c>
      <c r="BB486" s="89" t="s">
        <v>646</v>
      </c>
      <c r="BC486" s="89" t="s">
        <v>646</v>
      </c>
      <c r="BD486" s="89" t="s">
        <v>18655</v>
      </c>
      <c r="BE486" s="89">
        <v>2016</v>
      </c>
      <c r="BF486" s="89">
        <v>40</v>
      </c>
      <c r="BG486" s="89">
        <v>4</v>
      </c>
      <c r="BH486" s="89" t="s">
        <v>646</v>
      </c>
      <c r="BI486" s="89" t="s">
        <v>646</v>
      </c>
      <c r="BJ486" s="89" t="s">
        <v>646</v>
      </c>
      <c r="BK486" s="89" t="s">
        <v>646</v>
      </c>
      <c r="BL486" s="89">
        <v>458</v>
      </c>
      <c r="BM486" s="89">
        <v>476</v>
      </c>
      <c r="BN486" s="89" t="s">
        <v>646</v>
      </c>
      <c r="BO486" s="89" t="str">
        <f>HYPERLINK("http://dx.doi.org/10.1037/lhb0000187","http://dx.doi.org/10.1037/lhb0000187")</f>
        <v>http://dx.doi.org/10.1037/lhb0000187</v>
      </c>
      <c r="BP486" s="89" t="s">
        <v>646</v>
      </c>
      <c r="BQ486" s="89" t="s">
        <v>646</v>
      </c>
      <c r="BR486" s="89" t="s">
        <v>646</v>
      </c>
      <c r="BS486" s="89" t="s">
        <v>646</v>
      </c>
      <c r="BT486" s="89" t="s">
        <v>646</v>
      </c>
      <c r="BU486" s="89" t="s">
        <v>646</v>
      </c>
      <c r="BV486" s="89" t="s">
        <v>646</v>
      </c>
      <c r="BW486" s="89">
        <v>27149291</v>
      </c>
      <c r="BX486" s="89" t="s">
        <v>646</v>
      </c>
      <c r="BY486" s="89" t="s">
        <v>646</v>
      </c>
      <c r="BZ486" s="89" t="s">
        <v>646</v>
      </c>
      <c r="CA486" s="89" t="s">
        <v>646</v>
      </c>
      <c r="CB486" s="89" t="s">
        <v>21553</v>
      </c>
      <c r="CC486" s="89" t="str">
        <f>HYPERLINK("https%3A%2F%2Fwww.webofscience.com%2Fwos%2Fwoscc%2Ffull-record%2FWOS:000381269600010","View Full Record in Web of Science")</f>
        <v>View Full Record in Web of Science</v>
      </c>
    </row>
    <row r="487" spans="1:81" ht="13.2" hidden="1" x14ac:dyDescent="0.25">
      <c r="A487" s="89" t="s">
        <v>12988</v>
      </c>
      <c r="B487" s="89" t="e">
        <f>+#REF!</f>
        <v>#REF!</v>
      </c>
      <c r="C487" s="89"/>
      <c r="D487" s="91" t="s">
        <v>717</v>
      </c>
      <c r="E487" s="90" t="e">
        <v>#REF!</v>
      </c>
      <c r="F487" s="89"/>
      <c r="G487" s="89"/>
      <c r="H487" s="89" t="s">
        <v>12989</v>
      </c>
      <c r="I487" s="89" t="s">
        <v>21554</v>
      </c>
      <c r="J487" s="89" t="s">
        <v>646</v>
      </c>
      <c r="K487" s="89" t="s">
        <v>21556</v>
      </c>
      <c r="M487" s="89">
        <v>2020</v>
      </c>
      <c r="N487" s="89" t="s">
        <v>21555</v>
      </c>
      <c r="O487" s="89" t="s">
        <v>646</v>
      </c>
      <c r="P487" s="89" t="str">
        <f>HYPERLINK("http://dx.doi.org/10.1177/0143831X17707824","http://dx.doi.org/10.1177/0143831X17707824")</f>
        <v>http://dx.doi.org/10.1177/0143831X17707824</v>
      </c>
      <c r="S487" s="89" t="s">
        <v>646</v>
      </c>
      <c r="U487" s="89" t="s">
        <v>17462</v>
      </c>
      <c r="W487" s="89" t="s">
        <v>646</v>
      </c>
      <c r="X487" s="89" t="s">
        <v>646</v>
      </c>
      <c r="Y487" s="89" t="s">
        <v>646</v>
      </c>
      <c r="Z487" s="89" t="s">
        <v>646</v>
      </c>
      <c r="AA487" s="89" t="s">
        <v>646</v>
      </c>
      <c r="AB487" s="89" t="s">
        <v>646</v>
      </c>
      <c r="AC487" s="89" t="s">
        <v>646</v>
      </c>
      <c r="AD487" s="89" t="s">
        <v>646</v>
      </c>
      <c r="AE487" s="89" t="s">
        <v>646</v>
      </c>
      <c r="AF487" s="89" t="s">
        <v>21556</v>
      </c>
      <c r="AG487" s="89" t="s">
        <v>646</v>
      </c>
      <c r="AH487" s="89" t="s">
        <v>646</v>
      </c>
      <c r="AI487" s="89" t="s">
        <v>646</v>
      </c>
      <c r="AJ487" s="89" t="s">
        <v>646</v>
      </c>
      <c r="AK487" s="89" t="s">
        <v>646</v>
      </c>
      <c r="AL487" s="89" t="s">
        <v>646</v>
      </c>
      <c r="AM487" s="89" t="s">
        <v>646</v>
      </c>
      <c r="AN487" s="89" t="s">
        <v>646</v>
      </c>
      <c r="AO487" s="89" t="s">
        <v>646</v>
      </c>
      <c r="AP487" s="89" t="s">
        <v>646</v>
      </c>
      <c r="AQ487" s="89" t="s">
        <v>646</v>
      </c>
      <c r="AR487" s="89" t="s">
        <v>646</v>
      </c>
      <c r="AS487" s="89" t="s">
        <v>646</v>
      </c>
      <c r="AT487" s="89" t="s">
        <v>646</v>
      </c>
      <c r="AU487" s="89" t="s">
        <v>646</v>
      </c>
      <c r="AV487" s="89" t="s">
        <v>646</v>
      </c>
      <c r="AW487" s="89" t="s">
        <v>646</v>
      </c>
      <c r="AX487" s="89" t="s">
        <v>646</v>
      </c>
      <c r="AY487" s="89" t="s">
        <v>21557</v>
      </c>
      <c r="AZ487" s="89" t="s">
        <v>21558</v>
      </c>
      <c r="BA487" s="89" t="s">
        <v>646</v>
      </c>
      <c r="BB487" s="89" t="s">
        <v>646</v>
      </c>
      <c r="BC487" s="89" t="s">
        <v>646</v>
      </c>
      <c r="BD487" s="89" t="s">
        <v>18436</v>
      </c>
      <c r="BE487" s="89">
        <v>2020</v>
      </c>
      <c r="BF487" s="89">
        <v>41</v>
      </c>
      <c r="BG487" s="89">
        <v>2</v>
      </c>
      <c r="BH487" s="89" t="s">
        <v>646</v>
      </c>
      <c r="BI487" s="89" t="s">
        <v>646</v>
      </c>
      <c r="BJ487" s="89" t="s">
        <v>646</v>
      </c>
      <c r="BK487" s="89" t="s">
        <v>646</v>
      </c>
      <c r="BL487" s="89">
        <v>254</v>
      </c>
      <c r="BM487" s="89">
        <v>275</v>
      </c>
      <c r="BN487" s="89" t="s">
        <v>646</v>
      </c>
      <c r="BO487" s="89" t="str">
        <f>HYPERLINK("http://dx.doi.org/10.1177/0143831X17707824","http://dx.doi.org/10.1177/0143831X17707824")</f>
        <v>http://dx.doi.org/10.1177/0143831X17707824</v>
      </c>
      <c r="BP487" s="89" t="s">
        <v>646</v>
      </c>
      <c r="BQ487" s="89" t="s">
        <v>646</v>
      </c>
      <c r="BR487" s="89" t="s">
        <v>646</v>
      </c>
      <c r="BS487" s="89" t="s">
        <v>646</v>
      </c>
      <c r="BT487" s="89" t="s">
        <v>646</v>
      </c>
      <c r="BU487" s="89" t="s">
        <v>646</v>
      </c>
      <c r="BV487" s="89" t="s">
        <v>646</v>
      </c>
      <c r="BW487" s="89" t="s">
        <v>646</v>
      </c>
      <c r="BX487" s="89" t="s">
        <v>646</v>
      </c>
      <c r="BY487" s="89" t="s">
        <v>646</v>
      </c>
      <c r="BZ487" s="89" t="s">
        <v>646</v>
      </c>
      <c r="CA487" s="89" t="s">
        <v>646</v>
      </c>
      <c r="CB487" s="89" t="s">
        <v>21559</v>
      </c>
      <c r="CC487" s="89" t="str">
        <f>HYPERLINK("https%3A%2F%2Fwww.webofscience.com%2Fwos%2Fwoscc%2Ffull-record%2FWOS:000536926000002","View Full Record in Web of Science")</f>
        <v>View Full Record in Web of Science</v>
      </c>
    </row>
    <row r="488" spans="1:81" ht="13.2" hidden="1" x14ac:dyDescent="0.25">
      <c r="A488" s="89" t="s">
        <v>21560</v>
      </c>
      <c r="B488" s="89" t="e">
        <f>+#REF!</f>
        <v>#REF!</v>
      </c>
      <c r="C488" s="89"/>
      <c r="D488" s="91" t="s">
        <v>717</v>
      </c>
      <c r="E488" s="90" t="e">
        <v>#REF!</v>
      </c>
      <c r="F488" s="89"/>
      <c r="G488" s="89"/>
      <c r="H488" s="89" t="s">
        <v>12998</v>
      </c>
      <c r="I488" s="89" t="s">
        <v>21562</v>
      </c>
      <c r="J488" s="89" t="s">
        <v>646</v>
      </c>
      <c r="K488" s="89" t="s">
        <v>21568</v>
      </c>
      <c r="M488" s="89">
        <v>2019</v>
      </c>
      <c r="N488" s="89" t="s">
        <v>21563</v>
      </c>
      <c r="O488" s="89" t="s">
        <v>21561</v>
      </c>
      <c r="P488" s="89" t="str">
        <f>HYPERLINK("http://dx.doi.org/10.1007/978-3-030-18400-1_5","http://dx.doi.org/10.1007/978-3-030-18400-1_5")</f>
        <v>http://dx.doi.org/10.1007/978-3-030-18400-1_5</v>
      </c>
      <c r="S488" s="89" t="s">
        <v>646</v>
      </c>
      <c r="U488" s="89" t="s">
        <v>17474</v>
      </c>
      <c r="W488" s="89" t="s">
        <v>646</v>
      </c>
      <c r="X488" s="89" t="s">
        <v>646</v>
      </c>
      <c r="Y488" s="89" t="s">
        <v>21564</v>
      </c>
      <c r="Z488" s="89" t="s">
        <v>21565</v>
      </c>
      <c r="AA488" s="89" t="s">
        <v>21566</v>
      </c>
      <c r="AB488" s="89" t="s">
        <v>21567</v>
      </c>
      <c r="AC488" s="89" t="s">
        <v>646</v>
      </c>
      <c r="AD488" s="89" t="s">
        <v>646</v>
      </c>
      <c r="AE488" s="89" t="s">
        <v>646</v>
      </c>
      <c r="AF488" s="89" t="s">
        <v>21568</v>
      </c>
      <c r="AG488" s="89" t="s">
        <v>646</v>
      </c>
      <c r="AH488" s="89" t="s">
        <v>646</v>
      </c>
      <c r="AI488" s="89" t="s">
        <v>646</v>
      </c>
      <c r="AJ488" s="89" t="s">
        <v>646</v>
      </c>
      <c r="AK488" s="89" t="s">
        <v>646</v>
      </c>
      <c r="AL488" s="89" t="s">
        <v>21569</v>
      </c>
      <c r="AM488" s="89" t="s">
        <v>646</v>
      </c>
      <c r="AN488" s="89" t="s">
        <v>646</v>
      </c>
      <c r="AO488" s="89" t="s">
        <v>646</v>
      </c>
      <c r="AP488" s="89" t="s">
        <v>646</v>
      </c>
      <c r="AQ488" s="89" t="s">
        <v>646</v>
      </c>
      <c r="AR488" s="89" t="s">
        <v>646</v>
      </c>
      <c r="AS488" s="89" t="s">
        <v>646</v>
      </c>
      <c r="AT488" s="89" t="s">
        <v>646</v>
      </c>
      <c r="AU488" s="89" t="s">
        <v>646</v>
      </c>
      <c r="AV488" s="89" t="s">
        <v>646</v>
      </c>
      <c r="AW488" s="89" t="s">
        <v>646</v>
      </c>
      <c r="AX488" s="89" t="s">
        <v>646</v>
      </c>
      <c r="AY488" s="89" t="s">
        <v>21570</v>
      </c>
      <c r="AZ488" s="89" t="s">
        <v>21571</v>
      </c>
      <c r="BA488" s="89" t="s">
        <v>21572</v>
      </c>
      <c r="BB488" s="89" t="s">
        <v>646</v>
      </c>
      <c r="BC488" s="89" t="s">
        <v>646</v>
      </c>
      <c r="BD488" s="89" t="s">
        <v>646</v>
      </c>
      <c r="BE488" s="89">
        <v>2019</v>
      </c>
      <c r="BF488" s="89">
        <v>551</v>
      </c>
      <c r="BG488" s="89" t="s">
        <v>646</v>
      </c>
      <c r="BH488" s="89" t="s">
        <v>646</v>
      </c>
      <c r="BI488" s="89" t="s">
        <v>646</v>
      </c>
      <c r="BJ488" s="89" t="s">
        <v>646</v>
      </c>
      <c r="BK488" s="89" t="s">
        <v>646</v>
      </c>
      <c r="BL488" s="89">
        <v>51</v>
      </c>
      <c r="BM488" s="89">
        <v>62</v>
      </c>
      <c r="BN488" s="89" t="s">
        <v>646</v>
      </c>
      <c r="BO488" s="89" t="str">
        <f>HYPERLINK("http://dx.doi.org/10.1007/978-3-030-18400-1_5","http://dx.doi.org/10.1007/978-3-030-18400-1_5")</f>
        <v>http://dx.doi.org/10.1007/978-3-030-18400-1_5</v>
      </c>
      <c r="BP488" s="89" t="s">
        <v>646</v>
      </c>
      <c r="BQ488" s="89" t="s">
        <v>646</v>
      </c>
      <c r="BR488" s="89" t="s">
        <v>646</v>
      </c>
      <c r="BS488" s="89" t="s">
        <v>646</v>
      </c>
      <c r="BT488" s="89" t="s">
        <v>646</v>
      </c>
      <c r="BU488" s="89" t="s">
        <v>646</v>
      </c>
      <c r="BV488" s="89" t="s">
        <v>646</v>
      </c>
      <c r="BW488" s="89" t="s">
        <v>646</v>
      </c>
      <c r="BX488" s="89" t="s">
        <v>646</v>
      </c>
      <c r="BY488" s="89" t="s">
        <v>646</v>
      </c>
      <c r="BZ488" s="89" t="s">
        <v>646</v>
      </c>
      <c r="CA488" s="89" t="s">
        <v>646</v>
      </c>
      <c r="CB488" s="89" t="s">
        <v>21573</v>
      </c>
      <c r="CC488" s="89" t="str">
        <f>HYPERLINK("https%3A%2F%2Fwww.webofscience.com%2Fwos%2Fwoscc%2Ffull-record%2FWOS:000493514000005","View Full Record in Web of Science")</f>
        <v>View Full Record in Web of Science</v>
      </c>
    </row>
    <row r="489" spans="1:81" ht="13.2" hidden="1" x14ac:dyDescent="0.25">
      <c r="A489" s="89" t="s">
        <v>21574</v>
      </c>
      <c r="B489" s="89" t="e">
        <f>+#REF!</f>
        <v>#REF!</v>
      </c>
      <c r="C489" s="89"/>
      <c r="D489" s="91" t="s">
        <v>717</v>
      </c>
      <c r="E489" s="90" t="e">
        <v>#REF!</v>
      </c>
      <c r="F489" s="89"/>
      <c r="G489" s="89"/>
      <c r="H489" s="89" t="s">
        <v>13007</v>
      </c>
      <c r="I489" s="89" t="s">
        <v>21575</v>
      </c>
      <c r="J489" s="89" t="s">
        <v>646</v>
      </c>
      <c r="K489" s="89" t="s">
        <v>21581</v>
      </c>
      <c r="M489" s="89">
        <v>2019</v>
      </c>
      <c r="N489" s="89" t="s">
        <v>21576</v>
      </c>
      <c r="O489" s="89" t="s">
        <v>646</v>
      </c>
      <c r="P489" s="89" t="str">
        <f>HYPERLINK("http://dx.doi.org/10.1115/1.4041857","http://dx.doi.org/10.1115/1.4041857")</f>
        <v>http://dx.doi.org/10.1115/1.4041857</v>
      </c>
      <c r="S489" s="89" t="s">
        <v>646</v>
      </c>
      <c r="U489" s="89" t="s">
        <v>17462</v>
      </c>
      <c r="W489" s="89" t="s">
        <v>646</v>
      </c>
      <c r="X489" s="89" t="s">
        <v>646</v>
      </c>
      <c r="Y489" s="89" t="s">
        <v>21577</v>
      </c>
      <c r="Z489" s="89" t="s">
        <v>21578</v>
      </c>
      <c r="AA489" s="89" t="s">
        <v>21579</v>
      </c>
      <c r="AB489" s="89" t="s">
        <v>21580</v>
      </c>
      <c r="AC489" s="89" t="s">
        <v>646</v>
      </c>
      <c r="AD489" s="89" t="s">
        <v>646</v>
      </c>
      <c r="AE489" s="89" t="s">
        <v>646</v>
      </c>
      <c r="AF489" s="89" t="s">
        <v>21581</v>
      </c>
      <c r="AG489" s="89" t="s">
        <v>646</v>
      </c>
      <c r="AH489" s="89" t="s">
        <v>646</v>
      </c>
      <c r="AI489" s="89" t="s">
        <v>646</v>
      </c>
      <c r="AJ489" s="89" t="s">
        <v>646</v>
      </c>
      <c r="AK489" s="89" t="s">
        <v>646</v>
      </c>
      <c r="AL489" s="89" t="s">
        <v>646</v>
      </c>
      <c r="AM489" s="89" t="s">
        <v>646</v>
      </c>
      <c r="AN489" s="89" t="s">
        <v>646</v>
      </c>
      <c r="AO489" s="89" t="s">
        <v>646</v>
      </c>
      <c r="AP489" s="89" t="s">
        <v>646</v>
      </c>
      <c r="AQ489" s="89" t="s">
        <v>646</v>
      </c>
      <c r="AR489" s="89" t="s">
        <v>646</v>
      </c>
      <c r="AS489" s="89" t="s">
        <v>646</v>
      </c>
      <c r="AT489" s="89" t="s">
        <v>646</v>
      </c>
      <c r="AU489" s="89" t="s">
        <v>646</v>
      </c>
      <c r="AV489" s="89" t="s">
        <v>646</v>
      </c>
      <c r="AW489" s="89" t="s">
        <v>646</v>
      </c>
      <c r="AX489" s="89" t="s">
        <v>646</v>
      </c>
      <c r="AY489" s="89" t="s">
        <v>21582</v>
      </c>
      <c r="AZ489" s="89" t="s">
        <v>21583</v>
      </c>
      <c r="BA489" s="89" t="s">
        <v>646</v>
      </c>
      <c r="BB489" s="89" t="s">
        <v>646</v>
      </c>
      <c r="BC489" s="89" t="s">
        <v>646</v>
      </c>
      <c r="BD489" s="89" t="s">
        <v>17658</v>
      </c>
      <c r="BE489" s="89">
        <v>2019</v>
      </c>
      <c r="BF489" s="89">
        <v>141</v>
      </c>
      <c r="BG489" s="89">
        <v>2</v>
      </c>
      <c r="BH489" s="89" t="s">
        <v>646</v>
      </c>
      <c r="BI489" s="89" t="s">
        <v>646</v>
      </c>
      <c r="BJ489" s="89" t="s">
        <v>17555</v>
      </c>
      <c r="BK489" s="89" t="s">
        <v>646</v>
      </c>
      <c r="BL489" s="89" t="s">
        <v>646</v>
      </c>
      <c r="BM489" s="89" t="s">
        <v>646</v>
      </c>
      <c r="BN489" s="89">
        <v>21104</v>
      </c>
      <c r="BO489" s="89" t="str">
        <f>HYPERLINK("http://dx.doi.org/10.1115/1.4041857","http://dx.doi.org/10.1115/1.4041857")</f>
        <v>http://dx.doi.org/10.1115/1.4041857</v>
      </c>
      <c r="BP489" s="89" t="s">
        <v>646</v>
      </c>
      <c r="BQ489" s="89" t="s">
        <v>646</v>
      </c>
      <c r="BR489" s="89" t="s">
        <v>646</v>
      </c>
      <c r="BS489" s="89" t="s">
        <v>646</v>
      </c>
      <c r="BT489" s="89" t="s">
        <v>646</v>
      </c>
      <c r="BU489" s="89" t="s">
        <v>646</v>
      </c>
      <c r="BV489" s="89" t="s">
        <v>646</v>
      </c>
      <c r="BW489" s="89" t="s">
        <v>646</v>
      </c>
      <c r="BX489" s="89" t="s">
        <v>646</v>
      </c>
      <c r="BY489" s="89" t="s">
        <v>646</v>
      </c>
      <c r="BZ489" s="89" t="s">
        <v>646</v>
      </c>
      <c r="CA489" s="89" t="s">
        <v>646</v>
      </c>
      <c r="CB489" s="89" t="s">
        <v>21584</v>
      </c>
      <c r="CC489" s="89" t="str">
        <f>HYPERLINK("https%3A%2F%2Fwww.webofscience.com%2Fwos%2Fwoscc%2Ffull-record%2FWOS:000456049900005","View Full Record in Web of Science")</f>
        <v>View Full Record in Web of Science</v>
      </c>
    </row>
    <row r="490" spans="1:81" ht="13.2" hidden="1" x14ac:dyDescent="0.25">
      <c r="A490" s="89" t="s">
        <v>21585</v>
      </c>
      <c r="B490" s="89" t="e">
        <f>+#REF!</f>
        <v>#REF!</v>
      </c>
      <c r="C490" s="89"/>
      <c r="D490" s="91" t="s">
        <v>717</v>
      </c>
      <c r="E490" s="90" t="e">
        <v>#REF!</v>
      </c>
      <c r="F490" s="89"/>
      <c r="G490" s="89"/>
      <c r="H490" s="89" t="s">
        <v>13017</v>
      </c>
      <c r="I490" s="89" t="s">
        <v>21586</v>
      </c>
      <c r="J490" s="89" t="s">
        <v>18766</v>
      </c>
      <c r="K490" s="89" t="s">
        <v>21587</v>
      </c>
      <c r="M490" s="89">
        <v>2009</v>
      </c>
      <c r="N490" s="89" t="s">
        <v>18760</v>
      </c>
      <c r="O490" s="89" t="s">
        <v>646</v>
      </c>
      <c r="P490" s="89" t="str">
        <f>HYPERLINK("http://dx.doi.org/10.1109/ICGSE.2009.14","http://dx.doi.org/10.1109/ICGSE.2009.14")</f>
        <v>http://dx.doi.org/10.1109/ICGSE.2009.14</v>
      </c>
      <c r="S490" s="89" t="s">
        <v>18758</v>
      </c>
      <c r="U490" s="89" t="s">
        <v>17474</v>
      </c>
      <c r="W490" s="89" t="s">
        <v>646</v>
      </c>
      <c r="X490" s="89" t="s">
        <v>646</v>
      </c>
      <c r="Y490" s="89" t="s">
        <v>18761</v>
      </c>
      <c r="Z490" s="89" t="s">
        <v>18762</v>
      </c>
      <c r="AA490" s="89" t="s">
        <v>18763</v>
      </c>
      <c r="AB490" s="89" t="s">
        <v>18764</v>
      </c>
      <c r="AC490" s="89" t="s">
        <v>646</v>
      </c>
      <c r="AD490" s="89" t="s">
        <v>646</v>
      </c>
      <c r="AE490" s="89" t="s">
        <v>646</v>
      </c>
      <c r="AF490" s="89" t="s">
        <v>21587</v>
      </c>
      <c r="AG490" s="89" t="s">
        <v>646</v>
      </c>
      <c r="AH490" s="89" t="s">
        <v>646</v>
      </c>
      <c r="AI490" s="89" t="s">
        <v>646</v>
      </c>
      <c r="AJ490" s="89" t="s">
        <v>646</v>
      </c>
      <c r="AK490" s="89" t="s">
        <v>18766</v>
      </c>
      <c r="AL490" s="89" t="s">
        <v>18767</v>
      </c>
      <c r="AM490" s="89" t="s">
        <v>646</v>
      </c>
      <c r="AN490" s="89" t="s">
        <v>646</v>
      </c>
      <c r="AO490" s="89" t="s">
        <v>646</v>
      </c>
      <c r="AP490" s="89" t="s">
        <v>646</v>
      </c>
      <c r="AQ490" s="89" t="s">
        <v>646</v>
      </c>
      <c r="AR490" s="89" t="s">
        <v>646</v>
      </c>
      <c r="AS490" s="89" t="s">
        <v>646</v>
      </c>
      <c r="AT490" s="89" t="s">
        <v>646</v>
      </c>
      <c r="AU490" s="89" t="s">
        <v>646</v>
      </c>
      <c r="AV490" s="89" t="s">
        <v>646</v>
      </c>
      <c r="AW490" s="89" t="s">
        <v>646</v>
      </c>
      <c r="AX490" s="89" t="s">
        <v>646</v>
      </c>
      <c r="AY490" s="89" t="s">
        <v>18768</v>
      </c>
      <c r="AZ490" s="89" t="s">
        <v>646</v>
      </c>
      <c r="BA490" s="89" t="s">
        <v>18769</v>
      </c>
      <c r="BB490" s="89" t="s">
        <v>646</v>
      </c>
      <c r="BC490" s="89" t="s">
        <v>646</v>
      </c>
      <c r="BD490" s="89" t="s">
        <v>646</v>
      </c>
      <c r="BE490" s="89">
        <v>2009</v>
      </c>
      <c r="BF490" s="89" t="s">
        <v>646</v>
      </c>
      <c r="BG490" s="89" t="s">
        <v>646</v>
      </c>
      <c r="BH490" s="89" t="s">
        <v>646</v>
      </c>
      <c r="BI490" s="89" t="s">
        <v>646</v>
      </c>
      <c r="BJ490" s="89" t="s">
        <v>646</v>
      </c>
      <c r="BK490" s="89" t="s">
        <v>646</v>
      </c>
      <c r="BL490" s="89">
        <v>61</v>
      </c>
      <c r="BM490" s="89" t="s">
        <v>18405</v>
      </c>
      <c r="BN490" s="89" t="s">
        <v>646</v>
      </c>
      <c r="BO490" s="89" t="str">
        <f>HYPERLINK("http://dx.doi.org/10.1109/ICGSE.2009.14","http://dx.doi.org/10.1109/ICGSE.2009.14")</f>
        <v>http://dx.doi.org/10.1109/ICGSE.2009.14</v>
      </c>
      <c r="BP490" s="89" t="s">
        <v>646</v>
      </c>
      <c r="BQ490" s="89" t="s">
        <v>646</v>
      </c>
      <c r="BR490" s="89" t="s">
        <v>646</v>
      </c>
      <c r="BS490" s="89" t="s">
        <v>646</v>
      </c>
      <c r="BT490" s="89" t="s">
        <v>646</v>
      </c>
      <c r="BU490" s="89" t="s">
        <v>646</v>
      </c>
      <c r="BV490" s="89" t="s">
        <v>646</v>
      </c>
      <c r="BW490" s="89" t="s">
        <v>646</v>
      </c>
      <c r="BX490" s="89" t="s">
        <v>646</v>
      </c>
      <c r="BY490" s="89" t="s">
        <v>646</v>
      </c>
      <c r="BZ490" s="89" t="s">
        <v>646</v>
      </c>
      <c r="CA490" s="89" t="s">
        <v>646</v>
      </c>
      <c r="CB490" s="89" t="s">
        <v>21588</v>
      </c>
      <c r="CC490" s="89" t="str">
        <f>HYPERLINK("https%3A%2F%2Fwww.webofscience.com%2Fwos%2Fwoscc%2Ffull-record%2FWOS:000272550200007","View Full Record in Web of Science")</f>
        <v>View Full Record in Web of Science</v>
      </c>
    </row>
    <row r="491" spans="1:81" ht="13.2" hidden="1" x14ac:dyDescent="0.25">
      <c r="A491" s="89" t="s">
        <v>21589</v>
      </c>
      <c r="B491" s="89" t="e">
        <f>+#REF!</f>
        <v>#REF!</v>
      </c>
      <c r="C491" s="89"/>
      <c r="D491" s="91" t="s">
        <v>717</v>
      </c>
      <c r="E491" s="90" t="e">
        <v>#REF!</v>
      </c>
      <c r="F491" s="89"/>
      <c r="G491" s="89"/>
      <c r="H491" s="89" t="s">
        <v>13026</v>
      </c>
      <c r="I491" s="89" t="s">
        <v>21590</v>
      </c>
      <c r="J491" s="89" t="s">
        <v>21593</v>
      </c>
      <c r="K491" s="89" t="s">
        <v>21592</v>
      </c>
      <c r="M491" s="89">
        <v>2019</v>
      </c>
      <c r="N491" s="89" t="s">
        <v>21591</v>
      </c>
      <c r="O491" s="89" t="s">
        <v>646</v>
      </c>
      <c r="P491" s="89" t="str">
        <f>HYPERLINK("http://dx.doi.org/10.7189/jogh.09.010701","http://dx.doi.org/10.7189/jogh.09.010701")</f>
        <v>http://dx.doi.org/10.7189/jogh.09.010701</v>
      </c>
      <c r="S491" s="89" t="s">
        <v>646</v>
      </c>
      <c r="U491" s="89" t="s">
        <v>17462</v>
      </c>
      <c r="W491" s="89" t="s">
        <v>646</v>
      </c>
      <c r="X491" s="89" t="s">
        <v>646</v>
      </c>
      <c r="Y491" s="89" t="s">
        <v>646</v>
      </c>
      <c r="Z491" s="89" t="s">
        <v>646</v>
      </c>
      <c r="AA491" s="89" t="s">
        <v>646</v>
      </c>
      <c r="AB491" s="89" t="s">
        <v>646</v>
      </c>
      <c r="AC491" s="89" t="s">
        <v>646</v>
      </c>
      <c r="AD491" s="89" t="s">
        <v>646</v>
      </c>
      <c r="AE491" s="89" t="s">
        <v>646</v>
      </c>
      <c r="AF491" s="89" t="s">
        <v>21592</v>
      </c>
      <c r="AG491" s="89" t="s">
        <v>646</v>
      </c>
      <c r="AH491" s="89" t="s">
        <v>646</v>
      </c>
      <c r="AI491" s="89" t="s">
        <v>646</v>
      </c>
      <c r="AJ491" s="89" t="s">
        <v>646</v>
      </c>
      <c r="AK491" s="89" t="s">
        <v>21593</v>
      </c>
      <c r="AL491" s="89" t="s">
        <v>21594</v>
      </c>
      <c r="AM491" s="89" t="s">
        <v>646</v>
      </c>
      <c r="AN491" s="89" t="s">
        <v>646</v>
      </c>
      <c r="AO491" s="89" t="s">
        <v>646</v>
      </c>
      <c r="AP491" s="89" t="s">
        <v>646</v>
      </c>
      <c r="AQ491" s="89" t="s">
        <v>646</v>
      </c>
      <c r="AR491" s="89" t="s">
        <v>646</v>
      </c>
      <c r="AS491" s="89" t="s">
        <v>646</v>
      </c>
      <c r="AT491" s="89" t="s">
        <v>646</v>
      </c>
      <c r="AU491" s="89" t="s">
        <v>646</v>
      </c>
      <c r="AV491" s="89" t="s">
        <v>646</v>
      </c>
      <c r="AW491" s="89" t="s">
        <v>646</v>
      </c>
      <c r="AX491" s="89" t="s">
        <v>646</v>
      </c>
      <c r="AY491" s="89" t="s">
        <v>21595</v>
      </c>
      <c r="AZ491" s="89" t="s">
        <v>21596</v>
      </c>
      <c r="BA491" s="89" t="s">
        <v>646</v>
      </c>
      <c r="BB491" s="89" t="s">
        <v>646</v>
      </c>
      <c r="BC491" s="89" t="s">
        <v>646</v>
      </c>
      <c r="BD491" s="89" t="s">
        <v>17772</v>
      </c>
      <c r="BE491" s="89">
        <v>2019</v>
      </c>
      <c r="BF491" s="89">
        <v>9</v>
      </c>
      <c r="BG491" s="89">
        <v>1</v>
      </c>
      <c r="BH491" s="89" t="s">
        <v>646</v>
      </c>
      <c r="BI491" s="89" t="s">
        <v>646</v>
      </c>
      <c r="BJ491" s="89" t="s">
        <v>646</v>
      </c>
      <c r="BK491" s="89" t="s">
        <v>646</v>
      </c>
      <c r="BL491" s="89" t="s">
        <v>646</v>
      </c>
      <c r="BM491" s="89" t="s">
        <v>646</v>
      </c>
      <c r="BN491" s="89">
        <v>10701</v>
      </c>
      <c r="BO491" s="89" t="str">
        <f>HYPERLINK("http://dx.doi.org/10.7189/jogh.09.010701","http://dx.doi.org/10.7189/jogh.09.010701")</f>
        <v>http://dx.doi.org/10.7189/jogh.09.010701</v>
      </c>
      <c r="BP491" s="89" t="s">
        <v>646</v>
      </c>
      <c r="BQ491" s="89" t="s">
        <v>646</v>
      </c>
      <c r="BR491" s="89" t="s">
        <v>646</v>
      </c>
      <c r="BS491" s="89" t="s">
        <v>646</v>
      </c>
      <c r="BT491" s="89" t="s">
        <v>646</v>
      </c>
      <c r="BU491" s="89" t="s">
        <v>646</v>
      </c>
      <c r="BV491" s="89" t="s">
        <v>646</v>
      </c>
      <c r="BW491" s="89">
        <v>30820318</v>
      </c>
      <c r="BX491" s="89" t="s">
        <v>646</v>
      </c>
      <c r="BY491" s="89" t="s">
        <v>646</v>
      </c>
      <c r="BZ491" s="89" t="s">
        <v>646</v>
      </c>
      <c r="CA491" s="89" t="s">
        <v>646</v>
      </c>
      <c r="CB491" s="89" t="s">
        <v>21597</v>
      </c>
      <c r="CC491" s="89" t="str">
        <f>HYPERLINK("https%3A%2F%2Fwww.webofscience.com%2Fwos%2Fwoscc%2Ffull-record%2FWOS:000476640500070","View Full Record in Web of Science")</f>
        <v>View Full Record in Web of Science</v>
      </c>
    </row>
    <row r="492" spans="1:81" ht="13.2" hidden="1" x14ac:dyDescent="0.25">
      <c r="A492" s="89" t="s">
        <v>13035</v>
      </c>
      <c r="B492" s="89" t="e">
        <f>+#REF!</f>
        <v>#REF!</v>
      </c>
      <c r="C492" s="89"/>
      <c r="D492" s="91" t="s">
        <v>717</v>
      </c>
      <c r="E492" s="90" t="e">
        <v>#REF!</v>
      </c>
      <c r="F492" s="89"/>
      <c r="G492" s="89"/>
      <c r="H492" s="89" t="s">
        <v>13036</v>
      </c>
      <c r="I492" s="89" t="s">
        <v>21598</v>
      </c>
      <c r="J492" s="89" t="s">
        <v>21600</v>
      </c>
      <c r="K492" s="89" t="s">
        <v>21599</v>
      </c>
      <c r="M492" s="89">
        <v>2018</v>
      </c>
      <c r="N492" s="89" t="s">
        <v>18595</v>
      </c>
      <c r="O492" s="89" t="s">
        <v>646</v>
      </c>
      <c r="P492" s="89" t="str">
        <f>HYPERLINK("http://dx.doi.org/10.1371/journal.pone.0203429","http://dx.doi.org/10.1371/journal.pone.0203429")</f>
        <v>http://dx.doi.org/10.1371/journal.pone.0203429</v>
      </c>
      <c r="S492" s="89" t="s">
        <v>646</v>
      </c>
      <c r="U492" s="89" t="s">
        <v>17462</v>
      </c>
      <c r="W492" s="89" t="s">
        <v>646</v>
      </c>
      <c r="X492" s="89" t="s">
        <v>646</v>
      </c>
      <c r="Y492" s="89" t="s">
        <v>646</v>
      </c>
      <c r="Z492" s="89" t="s">
        <v>646</v>
      </c>
      <c r="AA492" s="89" t="s">
        <v>646</v>
      </c>
      <c r="AB492" s="89" t="s">
        <v>646</v>
      </c>
      <c r="AC492" s="89" t="s">
        <v>646</v>
      </c>
      <c r="AD492" s="89" t="s">
        <v>646</v>
      </c>
      <c r="AE492" s="89" t="s">
        <v>646</v>
      </c>
      <c r="AF492" s="89" t="s">
        <v>21599</v>
      </c>
      <c r="AG492" s="89" t="s">
        <v>646</v>
      </c>
      <c r="AH492" s="89" t="s">
        <v>646</v>
      </c>
      <c r="AI492" s="89" t="s">
        <v>646</v>
      </c>
      <c r="AJ492" s="89" t="s">
        <v>646</v>
      </c>
      <c r="AK492" s="89" t="s">
        <v>21600</v>
      </c>
      <c r="AL492" s="89" t="s">
        <v>21601</v>
      </c>
      <c r="AM492" s="89" t="s">
        <v>646</v>
      </c>
      <c r="AN492" s="89" t="s">
        <v>646</v>
      </c>
      <c r="AO492" s="89" t="s">
        <v>646</v>
      </c>
      <c r="AP492" s="89" t="s">
        <v>646</v>
      </c>
      <c r="AQ492" s="89" t="s">
        <v>646</v>
      </c>
      <c r="AR492" s="89" t="s">
        <v>646</v>
      </c>
      <c r="AS492" s="89" t="s">
        <v>646</v>
      </c>
      <c r="AT492" s="89" t="s">
        <v>646</v>
      </c>
      <c r="AU492" s="89" t="s">
        <v>646</v>
      </c>
      <c r="AV492" s="89" t="s">
        <v>646</v>
      </c>
      <c r="AW492" s="89" t="s">
        <v>646</v>
      </c>
      <c r="AX492" s="89" t="s">
        <v>646</v>
      </c>
      <c r="AY492" s="89" t="s">
        <v>18599</v>
      </c>
      <c r="AZ492" s="89" t="s">
        <v>646</v>
      </c>
      <c r="BA492" s="89" t="s">
        <v>646</v>
      </c>
      <c r="BB492" s="89" t="s">
        <v>646</v>
      </c>
      <c r="BC492" s="89" t="s">
        <v>646</v>
      </c>
      <c r="BD492" s="89" t="s">
        <v>21602</v>
      </c>
      <c r="BE492" s="89">
        <v>2018</v>
      </c>
      <c r="BF492" s="89">
        <v>13</v>
      </c>
      <c r="BG492" s="89">
        <v>11</v>
      </c>
      <c r="BH492" s="89" t="s">
        <v>646</v>
      </c>
      <c r="BI492" s="89" t="s">
        <v>646</v>
      </c>
      <c r="BJ492" s="89" t="s">
        <v>646</v>
      </c>
      <c r="BK492" s="89" t="s">
        <v>646</v>
      </c>
      <c r="BL492" s="89" t="s">
        <v>646</v>
      </c>
      <c r="BM492" s="89" t="s">
        <v>646</v>
      </c>
      <c r="BN492" s="89" t="s">
        <v>21603</v>
      </c>
      <c r="BO492" s="89" t="str">
        <f>HYPERLINK("http://dx.doi.org/10.1371/journal.pone.0203429","http://dx.doi.org/10.1371/journal.pone.0203429")</f>
        <v>http://dx.doi.org/10.1371/journal.pone.0203429</v>
      </c>
      <c r="BP492" s="89" t="s">
        <v>646</v>
      </c>
      <c r="BQ492" s="89" t="s">
        <v>646</v>
      </c>
      <c r="BR492" s="89" t="s">
        <v>646</v>
      </c>
      <c r="BS492" s="89" t="s">
        <v>646</v>
      </c>
      <c r="BT492" s="89" t="s">
        <v>646</v>
      </c>
      <c r="BU492" s="89" t="s">
        <v>646</v>
      </c>
      <c r="BV492" s="89" t="s">
        <v>646</v>
      </c>
      <c r="BW492" s="89">
        <v>30444868</v>
      </c>
      <c r="BX492" s="89" t="s">
        <v>646</v>
      </c>
      <c r="BY492" s="89" t="s">
        <v>646</v>
      </c>
      <c r="BZ492" s="89" t="s">
        <v>646</v>
      </c>
      <c r="CA492" s="89" t="s">
        <v>646</v>
      </c>
      <c r="CB492" s="89" t="s">
        <v>21604</v>
      </c>
      <c r="CC492" s="89" t="str">
        <f>HYPERLINK("https%3A%2F%2Fwww.webofscience.com%2Fwos%2Fwoscc%2Ffull-record%2FWOS:000450420900002","View Full Record in Web of Science")</f>
        <v>View Full Record in Web of Science</v>
      </c>
    </row>
    <row r="493" spans="1:81" ht="13.2" hidden="1" x14ac:dyDescent="0.25">
      <c r="A493" s="89" t="s">
        <v>9634</v>
      </c>
      <c r="B493" s="89" t="e">
        <f>+#REF!</f>
        <v>#REF!</v>
      </c>
      <c r="C493" s="89"/>
      <c r="D493" s="91" t="s">
        <v>717</v>
      </c>
      <c r="E493" s="90" t="e">
        <v>#REF!</v>
      </c>
      <c r="F493" s="89"/>
      <c r="G493" s="89"/>
      <c r="H493" s="89" t="s">
        <v>9635</v>
      </c>
      <c r="I493" s="89" t="s">
        <v>21605</v>
      </c>
      <c r="J493" s="89" t="s">
        <v>646</v>
      </c>
      <c r="K493" s="89" t="s">
        <v>21607</v>
      </c>
      <c r="M493" s="89">
        <v>2021</v>
      </c>
      <c r="N493" s="89" t="s">
        <v>21606</v>
      </c>
      <c r="O493" s="89" t="s">
        <v>646</v>
      </c>
      <c r="P493" s="89" t="str">
        <f>HYPERLINK("http://dx.doi.org/10.1016/j.ijmedinf.2021.104595","http://dx.doi.org/10.1016/j.ijmedinf.2021.104595")</f>
        <v>http://dx.doi.org/10.1016/j.ijmedinf.2021.104595</v>
      </c>
      <c r="S493" s="89" t="s">
        <v>646</v>
      </c>
      <c r="U493" s="89" t="s">
        <v>17462</v>
      </c>
      <c r="W493" s="89" t="s">
        <v>646</v>
      </c>
      <c r="X493" s="89" t="s">
        <v>646</v>
      </c>
      <c r="Y493" s="89" t="s">
        <v>646</v>
      </c>
      <c r="Z493" s="89" t="s">
        <v>646</v>
      </c>
      <c r="AA493" s="89" t="s">
        <v>646</v>
      </c>
      <c r="AB493" s="89" t="s">
        <v>646</v>
      </c>
      <c r="AC493" s="89" t="s">
        <v>646</v>
      </c>
      <c r="AD493" s="89" t="s">
        <v>646</v>
      </c>
      <c r="AE493" s="89" t="s">
        <v>646</v>
      </c>
      <c r="AF493" s="89" t="s">
        <v>21607</v>
      </c>
      <c r="AG493" s="89" t="s">
        <v>646</v>
      </c>
      <c r="AH493" s="89" t="s">
        <v>646</v>
      </c>
      <c r="AI493" s="89" t="s">
        <v>646</v>
      </c>
      <c r="AJ493" s="89" t="s">
        <v>646</v>
      </c>
      <c r="AK493" s="89" t="s">
        <v>646</v>
      </c>
      <c r="AL493" s="89" t="s">
        <v>21608</v>
      </c>
      <c r="AM493" s="89" t="s">
        <v>646</v>
      </c>
      <c r="AN493" s="89" t="s">
        <v>646</v>
      </c>
      <c r="AO493" s="89" t="s">
        <v>646</v>
      </c>
      <c r="AP493" s="89" t="s">
        <v>646</v>
      </c>
      <c r="AQ493" s="89" t="s">
        <v>646</v>
      </c>
      <c r="AR493" s="89" t="s">
        <v>646</v>
      </c>
      <c r="AS493" s="89" t="s">
        <v>646</v>
      </c>
      <c r="AT493" s="89" t="s">
        <v>646</v>
      </c>
      <c r="AU493" s="89" t="s">
        <v>646</v>
      </c>
      <c r="AV493" s="89" t="s">
        <v>646</v>
      </c>
      <c r="AW493" s="89" t="s">
        <v>646</v>
      </c>
      <c r="AX493" s="89" t="s">
        <v>646</v>
      </c>
      <c r="AY493" s="89" t="s">
        <v>21609</v>
      </c>
      <c r="AZ493" s="89" t="s">
        <v>21610</v>
      </c>
      <c r="BA493" s="89" t="s">
        <v>646</v>
      </c>
      <c r="BB493" s="89" t="s">
        <v>646</v>
      </c>
      <c r="BC493" s="89" t="s">
        <v>646</v>
      </c>
      <c r="BD493" s="89" t="s">
        <v>17615</v>
      </c>
      <c r="BE493" s="89">
        <v>2021</v>
      </c>
      <c r="BF493" s="89">
        <v>156</v>
      </c>
      <c r="BG493" s="89" t="s">
        <v>646</v>
      </c>
      <c r="BH493" s="89" t="s">
        <v>646</v>
      </c>
      <c r="BI493" s="89" t="s">
        <v>646</v>
      </c>
      <c r="BJ493" s="89" t="s">
        <v>646</v>
      </c>
      <c r="BK493" s="89" t="s">
        <v>646</v>
      </c>
      <c r="BL493" s="89" t="s">
        <v>646</v>
      </c>
      <c r="BM493" s="89" t="s">
        <v>646</v>
      </c>
      <c r="BN493" s="89">
        <v>104595</v>
      </c>
      <c r="BO493" s="89" t="str">
        <f>HYPERLINK("http://dx.doi.org/10.1016/j.ijmedinf.2021.104595","http://dx.doi.org/10.1016/j.ijmedinf.2021.104595")</f>
        <v>http://dx.doi.org/10.1016/j.ijmedinf.2021.104595</v>
      </c>
      <c r="BP493" s="89" t="s">
        <v>646</v>
      </c>
      <c r="BQ493" s="89" t="s">
        <v>17688</v>
      </c>
      <c r="BR493" s="89" t="s">
        <v>646</v>
      </c>
      <c r="BS493" s="89" t="s">
        <v>646</v>
      </c>
      <c r="BT493" s="89" t="s">
        <v>646</v>
      </c>
      <c r="BU493" s="89" t="s">
        <v>646</v>
      </c>
      <c r="BV493" s="89" t="s">
        <v>646</v>
      </c>
      <c r="BW493" s="89">
        <v>34627112</v>
      </c>
      <c r="BX493" s="89" t="s">
        <v>646</v>
      </c>
      <c r="BY493" s="89" t="s">
        <v>646</v>
      </c>
      <c r="BZ493" s="89" t="s">
        <v>646</v>
      </c>
      <c r="CA493" s="89" t="s">
        <v>646</v>
      </c>
      <c r="CB493" s="89" t="s">
        <v>21611</v>
      </c>
      <c r="CC493" s="89" t="str">
        <f>HYPERLINK("https%3A%2F%2Fwww.webofscience.com%2Fwos%2Fwoscc%2Ffull-record%2FWOS:000706589700012","View Full Record in Web of Science")</f>
        <v>View Full Record in Web of Science</v>
      </c>
    </row>
    <row r="494" spans="1:81" ht="13.2" hidden="1" x14ac:dyDescent="0.25">
      <c r="A494" s="89" t="s">
        <v>9644</v>
      </c>
      <c r="B494" s="89" t="e">
        <f>+#REF!</f>
        <v>#REF!</v>
      </c>
      <c r="C494" s="89"/>
      <c r="D494" s="91" t="s">
        <v>717</v>
      </c>
      <c r="E494" s="90" t="e">
        <v>#REF!</v>
      </c>
      <c r="F494" s="89"/>
      <c r="G494" s="89"/>
      <c r="H494" s="89" t="s">
        <v>9645</v>
      </c>
      <c r="I494" s="89" t="s">
        <v>21612</v>
      </c>
      <c r="J494" s="89" t="s">
        <v>21615</v>
      </c>
      <c r="K494" s="89" t="s">
        <v>21614</v>
      </c>
      <c r="M494" s="89">
        <v>2022</v>
      </c>
      <c r="N494" s="89" t="s">
        <v>21613</v>
      </c>
      <c r="O494" s="89" t="s">
        <v>646</v>
      </c>
      <c r="P494" s="89" t="str">
        <f>HYPERLINK("http://dx.doi.org/10.1108/BFJ-04-2021-0442","http://dx.doi.org/10.1108/BFJ-04-2021-0442")</f>
        <v>http://dx.doi.org/10.1108/BFJ-04-2021-0442</v>
      </c>
      <c r="S494" s="89" t="s">
        <v>646</v>
      </c>
      <c r="U494" s="89" t="s">
        <v>17462</v>
      </c>
      <c r="W494" s="89" t="s">
        <v>646</v>
      </c>
      <c r="X494" s="89" t="s">
        <v>646</v>
      </c>
      <c r="Y494" s="89" t="s">
        <v>646</v>
      </c>
      <c r="Z494" s="89" t="s">
        <v>646</v>
      </c>
      <c r="AA494" s="89" t="s">
        <v>646</v>
      </c>
      <c r="AB494" s="89" t="s">
        <v>646</v>
      </c>
      <c r="AC494" s="89" t="s">
        <v>646</v>
      </c>
      <c r="AD494" s="89" t="s">
        <v>646</v>
      </c>
      <c r="AE494" s="89" t="s">
        <v>646</v>
      </c>
      <c r="AF494" s="89" t="s">
        <v>21614</v>
      </c>
      <c r="AG494" s="89" t="s">
        <v>646</v>
      </c>
      <c r="AH494" s="89" t="s">
        <v>646</v>
      </c>
      <c r="AI494" s="89" t="s">
        <v>646</v>
      </c>
      <c r="AJ494" s="89" t="s">
        <v>646</v>
      </c>
      <c r="AK494" s="89" t="s">
        <v>21615</v>
      </c>
      <c r="AL494" s="89" t="s">
        <v>21616</v>
      </c>
      <c r="AM494" s="89" t="s">
        <v>646</v>
      </c>
      <c r="AN494" s="89" t="s">
        <v>646</v>
      </c>
      <c r="AO494" s="89" t="s">
        <v>646</v>
      </c>
      <c r="AP494" s="89" t="s">
        <v>646</v>
      </c>
      <c r="AQ494" s="89" t="s">
        <v>646</v>
      </c>
      <c r="AR494" s="89" t="s">
        <v>646</v>
      </c>
      <c r="AS494" s="89" t="s">
        <v>646</v>
      </c>
      <c r="AT494" s="89" t="s">
        <v>646</v>
      </c>
      <c r="AU494" s="89" t="s">
        <v>646</v>
      </c>
      <c r="AV494" s="89" t="s">
        <v>646</v>
      </c>
      <c r="AW494" s="89" t="s">
        <v>646</v>
      </c>
      <c r="AX494" s="89" t="s">
        <v>646</v>
      </c>
      <c r="AY494" s="89" t="s">
        <v>21617</v>
      </c>
      <c r="AZ494" s="89" t="s">
        <v>21618</v>
      </c>
      <c r="BA494" s="89" t="s">
        <v>646</v>
      </c>
      <c r="BB494" s="89" t="s">
        <v>646</v>
      </c>
      <c r="BC494" s="89" t="s">
        <v>646</v>
      </c>
      <c r="BD494" s="89" t="s">
        <v>21619</v>
      </c>
      <c r="BE494" s="89">
        <v>2022</v>
      </c>
      <c r="BF494" s="89">
        <v>124</v>
      </c>
      <c r="BG494" s="89">
        <v>4</v>
      </c>
      <c r="BH494" s="89" t="s">
        <v>646</v>
      </c>
      <c r="BI494" s="89" t="s">
        <v>646</v>
      </c>
      <c r="BJ494" s="89" t="s">
        <v>646</v>
      </c>
      <c r="BK494" s="89" t="s">
        <v>646</v>
      </c>
      <c r="BL494" s="89">
        <v>1066</v>
      </c>
      <c r="BM494" s="89">
        <v>1080</v>
      </c>
      <c r="BN494" s="89" t="s">
        <v>646</v>
      </c>
      <c r="BO494" s="89" t="str">
        <f>HYPERLINK("http://dx.doi.org/10.1108/BFJ-04-2021-0442","http://dx.doi.org/10.1108/BFJ-04-2021-0442")</f>
        <v>http://dx.doi.org/10.1108/BFJ-04-2021-0442</v>
      </c>
      <c r="BP494" s="89" t="s">
        <v>646</v>
      </c>
      <c r="BQ494" s="89" t="s">
        <v>20065</v>
      </c>
      <c r="BR494" s="89" t="s">
        <v>646</v>
      </c>
      <c r="BS494" s="89" t="s">
        <v>646</v>
      </c>
      <c r="BT494" s="89" t="s">
        <v>646</v>
      </c>
      <c r="BU494" s="89" t="s">
        <v>646</v>
      </c>
      <c r="BV494" s="89" t="s">
        <v>646</v>
      </c>
      <c r="BW494" s="89" t="s">
        <v>646</v>
      </c>
      <c r="BX494" s="89" t="s">
        <v>646</v>
      </c>
      <c r="BY494" s="89" t="s">
        <v>646</v>
      </c>
      <c r="BZ494" s="89" t="s">
        <v>646</v>
      </c>
      <c r="CA494" s="89" t="s">
        <v>646</v>
      </c>
      <c r="CB494" s="89" t="s">
        <v>21620</v>
      </c>
      <c r="CC494" s="89" t="str">
        <f>HYPERLINK("https%3A%2F%2Fwww.webofscience.com%2Fwos%2Fwoscc%2Ffull-record%2FWOS:000681682900001","View Full Record in Web of Science")</f>
        <v>View Full Record in Web of Science</v>
      </c>
    </row>
    <row r="495" spans="1:81" ht="13.2" hidden="1" x14ac:dyDescent="0.25">
      <c r="A495" s="89" t="s">
        <v>13044</v>
      </c>
      <c r="B495" s="89" t="e">
        <f>+#REF!</f>
        <v>#REF!</v>
      </c>
      <c r="C495" s="89"/>
      <c r="D495" s="91" t="s">
        <v>717</v>
      </c>
      <c r="E495" s="90" t="e">
        <v>#REF!</v>
      </c>
      <c r="F495" s="89"/>
      <c r="G495" s="89"/>
      <c r="H495" s="89" t="s">
        <v>13045</v>
      </c>
      <c r="I495" s="89" t="s">
        <v>21621</v>
      </c>
      <c r="J495" s="89" t="s">
        <v>21623</v>
      </c>
      <c r="K495" s="89" t="s">
        <v>21622</v>
      </c>
      <c r="M495" s="89">
        <v>2006</v>
      </c>
      <c r="N495" s="89" t="s">
        <v>19008</v>
      </c>
      <c r="O495" s="89" t="s">
        <v>646</v>
      </c>
      <c r="P495" s="89" t="str">
        <f>HYPERLINK("http://dx.doi.org/10.1109/ICGSE.2006.261229","http://dx.doi.org/10.1109/ICGSE.2006.261229")</f>
        <v>http://dx.doi.org/10.1109/ICGSE.2006.261229</v>
      </c>
      <c r="S495" s="89" t="s">
        <v>19006</v>
      </c>
      <c r="U495" s="89" t="s">
        <v>17474</v>
      </c>
      <c r="W495" s="89" t="s">
        <v>646</v>
      </c>
      <c r="X495" s="89" t="s">
        <v>646</v>
      </c>
      <c r="Y495" s="89" t="s">
        <v>19009</v>
      </c>
      <c r="Z495" s="89" t="s">
        <v>19010</v>
      </c>
      <c r="AA495" s="89" t="s">
        <v>19011</v>
      </c>
      <c r="AB495" s="89" t="s">
        <v>19012</v>
      </c>
      <c r="AC495" s="89" t="s">
        <v>646</v>
      </c>
      <c r="AD495" s="89" t="s">
        <v>646</v>
      </c>
      <c r="AE495" s="89" t="s">
        <v>646</v>
      </c>
      <c r="AF495" s="89" t="s">
        <v>21622</v>
      </c>
      <c r="AG495" s="89" t="s">
        <v>646</v>
      </c>
      <c r="AH495" s="89" t="s">
        <v>646</v>
      </c>
      <c r="AI495" s="89" t="s">
        <v>646</v>
      </c>
      <c r="AJ495" s="89" t="s">
        <v>646</v>
      </c>
      <c r="AK495" s="89" t="s">
        <v>21623</v>
      </c>
      <c r="AL495" s="89" t="s">
        <v>21624</v>
      </c>
      <c r="AM495" s="89" t="s">
        <v>646</v>
      </c>
      <c r="AN495" s="89" t="s">
        <v>646</v>
      </c>
      <c r="AO495" s="89" t="s">
        <v>646</v>
      </c>
      <c r="AP495" s="89" t="s">
        <v>646</v>
      </c>
      <c r="AQ495" s="89" t="s">
        <v>646</v>
      </c>
      <c r="AR495" s="89" t="s">
        <v>646</v>
      </c>
      <c r="AS495" s="89" t="s">
        <v>646</v>
      </c>
      <c r="AT495" s="89" t="s">
        <v>646</v>
      </c>
      <c r="AU495" s="89" t="s">
        <v>646</v>
      </c>
      <c r="AV495" s="89" t="s">
        <v>646</v>
      </c>
      <c r="AW495" s="89" t="s">
        <v>646</v>
      </c>
      <c r="AX495" s="89" t="s">
        <v>646</v>
      </c>
      <c r="AY495" s="89" t="s">
        <v>646</v>
      </c>
      <c r="AZ495" s="89" t="s">
        <v>646</v>
      </c>
      <c r="BA495" s="89" t="s">
        <v>19014</v>
      </c>
      <c r="BB495" s="89" t="s">
        <v>646</v>
      </c>
      <c r="BC495" s="89" t="s">
        <v>646</v>
      </c>
      <c r="BD495" s="89" t="s">
        <v>646</v>
      </c>
      <c r="BE495" s="89">
        <v>2006</v>
      </c>
      <c r="BF495" s="89" t="s">
        <v>646</v>
      </c>
      <c r="BG495" s="89" t="s">
        <v>646</v>
      </c>
      <c r="BH495" s="89" t="s">
        <v>646</v>
      </c>
      <c r="BI495" s="89" t="s">
        <v>646</v>
      </c>
      <c r="BJ495" s="89" t="s">
        <v>646</v>
      </c>
      <c r="BK495" s="89" t="s">
        <v>646</v>
      </c>
      <c r="BL495" s="89">
        <v>159</v>
      </c>
      <c r="BM495" s="89" t="s">
        <v>18405</v>
      </c>
      <c r="BN495" s="89" t="s">
        <v>646</v>
      </c>
      <c r="BO495" s="89" t="str">
        <f>HYPERLINK("http://dx.doi.org/10.1109/ICGSE.2006.261229","http://dx.doi.org/10.1109/ICGSE.2006.261229")</f>
        <v>http://dx.doi.org/10.1109/ICGSE.2006.261229</v>
      </c>
      <c r="BP495" s="89" t="s">
        <v>646</v>
      </c>
      <c r="BQ495" s="89" t="s">
        <v>646</v>
      </c>
      <c r="BR495" s="89" t="s">
        <v>646</v>
      </c>
      <c r="BS495" s="89" t="s">
        <v>646</v>
      </c>
      <c r="BT495" s="89" t="s">
        <v>646</v>
      </c>
      <c r="BU495" s="89" t="s">
        <v>646</v>
      </c>
      <c r="BV495" s="89" t="s">
        <v>646</v>
      </c>
      <c r="BW495" s="89" t="s">
        <v>646</v>
      </c>
      <c r="BX495" s="89" t="s">
        <v>646</v>
      </c>
      <c r="BY495" s="89" t="s">
        <v>646</v>
      </c>
      <c r="BZ495" s="89" t="s">
        <v>646</v>
      </c>
      <c r="CA495" s="89" t="s">
        <v>646</v>
      </c>
      <c r="CB495" s="89" t="s">
        <v>21625</v>
      </c>
      <c r="CC495" s="89" t="str">
        <f>HYPERLINK("https%3A%2F%2Fwww.webofscience.com%2Fwos%2Fwoscc%2Ffull-record%2FWOS:000242500600019","View Full Record in Web of Science")</f>
        <v>View Full Record in Web of Science</v>
      </c>
    </row>
    <row r="496" spans="1:81" ht="13.2" hidden="1" x14ac:dyDescent="0.25">
      <c r="A496" s="89" t="s">
        <v>21626</v>
      </c>
      <c r="B496" s="89" t="e">
        <f>+#REF!</f>
        <v>#REF!</v>
      </c>
      <c r="C496" s="89"/>
      <c r="D496" s="91" t="s">
        <v>717</v>
      </c>
      <c r="E496" s="90" t="e">
        <v>#REF!</v>
      </c>
      <c r="F496" s="89"/>
      <c r="G496" s="89"/>
      <c r="H496" s="89" t="s">
        <v>9655</v>
      </c>
      <c r="I496" s="89" t="s">
        <v>21627</v>
      </c>
      <c r="J496" s="89" t="s">
        <v>646</v>
      </c>
      <c r="K496" s="89" t="s">
        <v>21629</v>
      </c>
      <c r="M496" s="89">
        <v>2021</v>
      </c>
      <c r="N496" s="89" t="s">
        <v>21628</v>
      </c>
      <c r="O496" s="89" t="s">
        <v>646</v>
      </c>
      <c r="P496" s="89" t="str">
        <f>HYPERLINK("http://dx.doi.org/10.3390/jtaer16070184","http://dx.doi.org/10.3390/jtaer16070184")</f>
        <v>http://dx.doi.org/10.3390/jtaer16070184</v>
      </c>
      <c r="S496" s="89" t="s">
        <v>646</v>
      </c>
      <c r="U496" s="89" t="s">
        <v>17462</v>
      </c>
      <c r="W496" s="89" t="s">
        <v>646</v>
      </c>
      <c r="X496" s="89" t="s">
        <v>646</v>
      </c>
      <c r="Y496" s="89" t="s">
        <v>646</v>
      </c>
      <c r="Z496" s="89" t="s">
        <v>646</v>
      </c>
      <c r="AA496" s="89" t="s">
        <v>646</v>
      </c>
      <c r="AB496" s="89" t="s">
        <v>646</v>
      </c>
      <c r="AC496" s="89" t="s">
        <v>646</v>
      </c>
      <c r="AD496" s="89" t="s">
        <v>646</v>
      </c>
      <c r="AE496" s="89" t="s">
        <v>646</v>
      </c>
      <c r="AF496" s="89" t="s">
        <v>21629</v>
      </c>
      <c r="AG496" s="89" t="s">
        <v>646</v>
      </c>
      <c r="AH496" s="89" t="s">
        <v>646</v>
      </c>
      <c r="AI496" s="89" t="s">
        <v>646</v>
      </c>
      <c r="AJ496" s="89" t="s">
        <v>646</v>
      </c>
      <c r="AK496" s="89" t="s">
        <v>646</v>
      </c>
      <c r="AL496" s="89" t="s">
        <v>21630</v>
      </c>
      <c r="AM496" s="89" t="s">
        <v>646</v>
      </c>
      <c r="AN496" s="89" t="s">
        <v>646</v>
      </c>
      <c r="AO496" s="89" t="s">
        <v>646</v>
      </c>
      <c r="AP496" s="89" t="s">
        <v>646</v>
      </c>
      <c r="AQ496" s="89" t="s">
        <v>646</v>
      </c>
      <c r="AR496" s="89" t="s">
        <v>646</v>
      </c>
      <c r="AS496" s="89" t="s">
        <v>646</v>
      </c>
      <c r="AT496" s="89" t="s">
        <v>646</v>
      </c>
      <c r="AU496" s="89" t="s">
        <v>646</v>
      </c>
      <c r="AV496" s="89" t="s">
        <v>646</v>
      </c>
      <c r="AW496" s="89" t="s">
        <v>646</v>
      </c>
      <c r="AX496" s="89" t="s">
        <v>646</v>
      </c>
      <c r="AY496" s="89" t="s">
        <v>21631</v>
      </c>
      <c r="AZ496" s="89" t="s">
        <v>646</v>
      </c>
      <c r="BA496" s="89" t="s">
        <v>646</v>
      </c>
      <c r="BB496" s="89" t="s">
        <v>646</v>
      </c>
      <c r="BC496" s="89" t="s">
        <v>646</v>
      </c>
      <c r="BD496" s="89" t="s">
        <v>17615</v>
      </c>
      <c r="BE496" s="89">
        <v>2021</v>
      </c>
      <c r="BF496" s="89">
        <v>16</v>
      </c>
      <c r="BG496" s="89">
        <v>7</v>
      </c>
      <c r="BH496" s="89" t="s">
        <v>646</v>
      </c>
      <c r="BI496" s="89" t="s">
        <v>646</v>
      </c>
      <c r="BJ496" s="89" t="s">
        <v>646</v>
      </c>
      <c r="BK496" s="89" t="s">
        <v>646</v>
      </c>
      <c r="BL496" s="89">
        <v>3406</v>
      </c>
      <c r="BM496" s="89">
        <v>3424</v>
      </c>
      <c r="BN496" s="89" t="s">
        <v>646</v>
      </c>
      <c r="BO496" s="89" t="str">
        <f>HYPERLINK("http://dx.doi.org/10.3390/jtaer16070184","http://dx.doi.org/10.3390/jtaer16070184")</f>
        <v>http://dx.doi.org/10.3390/jtaer16070184</v>
      </c>
      <c r="BP496" s="89" t="s">
        <v>646</v>
      </c>
      <c r="BQ496" s="89" t="s">
        <v>646</v>
      </c>
      <c r="BR496" s="89" t="s">
        <v>646</v>
      </c>
      <c r="BS496" s="89" t="s">
        <v>646</v>
      </c>
      <c r="BT496" s="89" t="s">
        <v>646</v>
      </c>
      <c r="BU496" s="89" t="s">
        <v>646</v>
      </c>
      <c r="BV496" s="89" t="s">
        <v>646</v>
      </c>
      <c r="BW496" s="89" t="s">
        <v>646</v>
      </c>
      <c r="BX496" s="89" t="s">
        <v>646</v>
      </c>
      <c r="BY496" s="89" t="s">
        <v>646</v>
      </c>
      <c r="BZ496" s="89" t="s">
        <v>646</v>
      </c>
      <c r="CA496" s="89" t="s">
        <v>646</v>
      </c>
      <c r="CB496" s="89" t="s">
        <v>21632</v>
      </c>
      <c r="CC496" s="89" t="str">
        <f>HYPERLINK("https%3A%2F%2Fwww.webofscience.com%2Fwos%2Fwoscc%2Ffull-record%2FWOS:000737681700001","View Full Record in Web of Science")</f>
        <v>View Full Record in Web of Science</v>
      </c>
    </row>
    <row r="497" spans="1:81" ht="13.2" hidden="1" x14ac:dyDescent="0.25">
      <c r="A497" s="89" t="s">
        <v>16458</v>
      </c>
      <c r="B497" s="89" t="e">
        <f>+#REF!</f>
        <v>#REF!</v>
      </c>
      <c r="C497" s="89"/>
      <c r="D497" s="91" t="s">
        <v>717</v>
      </c>
      <c r="E497" s="90" t="e">
        <v>#REF!</v>
      </c>
      <c r="F497" s="89"/>
      <c r="G497" s="89"/>
      <c r="H497" s="89" t="s">
        <v>16459</v>
      </c>
      <c r="I497" s="89" t="s">
        <v>21633</v>
      </c>
      <c r="J497" s="89" t="s">
        <v>646</v>
      </c>
      <c r="K497" s="89" t="s">
        <v>21635</v>
      </c>
      <c r="M497" s="89">
        <v>2020</v>
      </c>
      <c r="N497" s="89" t="s">
        <v>21634</v>
      </c>
      <c r="O497" s="89" t="s">
        <v>646</v>
      </c>
      <c r="P497" s="89" t="str">
        <f>HYPERLINK("http://dx.doi.org/10.1177/0894845318803193","http://dx.doi.org/10.1177/0894845318803193")</f>
        <v>http://dx.doi.org/10.1177/0894845318803193</v>
      </c>
      <c r="S497" s="89" t="s">
        <v>646</v>
      </c>
      <c r="U497" s="89" t="s">
        <v>17462</v>
      </c>
      <c r="W497" s="89" t="s">
        <v>646</v>
      </c>
      <c r="X497" s="89" t="s">
        <v>646</v>
      </c>
      <c r="Y497" s="89" t="s">
        <v>646</v>
      </c>
      <c r="Z497" s="89" t="s">
        <v>646</v>
      </c>
      <c r="AA497" s="89" t="s">
        <v>646</v>
      </c>
      <c r="AB497" s="89" t="s">
        <v>646</v>
      </c>
      <c r="AC497" s="89" t="s">
        <v>646</v>
      </c>
      <c r="AD497" s="89" t="s">
        <v>646</v>
      </c>
      <c r="AE497" s="89" t="s">
        <v>646</v>
      </c>
      <c r="AF497" s="89" t="s">
        <v>21635</v>
      </c>
      <c r="AG497" s="89" t="s">
        <v>646</v>
      </c>
      <c r="AH497" s="89" t="s">
        <v>646</v>
      </c>
      <c r="AI497" s="89" t="s">
        <v>646</v>
      </c>
      <c r="AJ497" s="89" t="s">
        <v>646</v>
      </c>
      <c r="AK497" s="89" t="s">
        <v>646</v>
      </c>
      <c r="AL497" s="89" t="s">
        <v>21636</v>
      </c>
      <c r="AM497" s="89" t="s">
        <v>646</v>
      </c>
      <c r="AN497" s="89" t="s">
        <v>646</v>
      </c>
      <c r="AO497" s="89" t="s">
        <v>646</v>
      </c>
      <c r="AP497" s="89" t="s">
        <v>646</v>
      </c>
      <c r="AQ497" s="89" t="s">
        <v>646</v>
      </c>
      <c r="AR497" s="89" t="s">
        <v>646</v>
      </c>
      <c r="AS497" s="89" t="s">
        <v>646</v>
      </c>
      <c r="AT497" s="89" t="s">
        <v>646</v>
      </c>
      <c r="AU497" s="89" t="s">
        <v>646</v>
      </c>
      <c r="AV497" s="89" t="s">
        <v>646</v>
      </c>
      <c r="AW497" s="89" t="s">
        <v>646</v>
      </c>
      <c r="AX497" s="89" t="s">
        <v>646</v>
      </c>
      <c r="AY497" s="89" t="s">
        <v>21637</v>
      </c>
      <c r="AZ497" s="89" t="s">
        <v>21638</v>
      </c>
      <c r="BA497" s="89" t="s">
        <v>646</v>
      </c>
      <c r="BB497" s="89" t="s">
        <v>646</v>
      </c>
      <c r="BC497" s="89" t="s">
        <v>646</v>
      </c>
      <c r="BD497" s="89" t="s">
        <v>17687</v>
      </c>
      <c r="BE497" s="89">
        <v>2020</v>
      </c>
      <c r="BF497" s="89">
        <v>47</v>
      </c>
      <c r="BG497" s="89">
        <v>5</v>
      </c>
      <c r="BH497" s="89" t="s">
        <v>646</v>
      </c>
      <c r="BI497" s="89" t="s">
        <v>646</v>
      </c>
      <c r="BJ497" s="89" t="s">
        <v>646</v>
      </c>
      <c r="BK497" s="89" t="s">
        <v>646</v>
      </c>
      <c r="BL497" s="89">
        <v>524</v>
      </c>
      <c r="BM497" s="89">
        <v>537</v>
      </c>
      <c r="BN497" s="89" t="s">
        <v>646</v>
      </c>
      <c r="BO497" s="89" t="str">
        <f>HYPERLINK("http://dx.doi.org/10.1177/0894845318803193","http://dx.doi.org/10.1177/0894845318803193")</f>
        <v>http://dx.doi.org/10.1177/0894845318803193</v>
      </c>
      <c r="BP497" s="89" t="s">
        <v>646</v>
      </c>
      <c r="BQ497" s="89" t="s">
        <v>646</v>
      </c>
      <c r="BR497" s="89" t="s">
        <v>646</v>
      </c>
      <c r="BS497" s="89" t="s">
        <v>646</v>
      </c>
      <c r="BT497" s="89" t="s">
        <v>646</v>
      </c>
      <c r="BU497" s="89" t="s">
        <v>646</v>
      </c>
      <c r="BV497" s="89" t="s">
        <v>646</v>
      </c>
      <c r="BW497" s="89" t="s">
        <v>646</v>
      </c>
      <c r="BX497" s="89" t="s">
        <v>646</v>
      </c>
      <c r="BY497" s="89" t="s">
        <v>646</v>
      </c>
      <c r="BZ497" s="89" t="s">
        <v>646</v>
      </c>
      <c r="CA497" s="89" t="s">
        <v>646</v>
      </c>
      <c r="CB497" s="89" t="s">
        <v>21639</v>
      </c>
      <c r="CC497" s="89" t="str">
        <f>HYPERLINK("https%3A%2F%2Fwww.webofscience.com%2Fwos%2Fwoscc%2Ffull-record%2FWOS:000574560100004","View Full Record in Web of Science")</f>
        <v>View Full Record in Web of Science</v>
      </c>
    </row>
    <row r="498" spans="1:81" ht="13.2" hidden="1" x14ac:dyDescent="0.25">
      <c r="A498" s="89" t="s">
        <v>21640</v>
      </c>
      <c r="B498" s="89" t="e">
        <f>+#REF!</f>
        <v>#REF!</v>
      </c>
      <c r="C498" s="89"/>
      <c r="D498" s="91" t="s">
        <v>717</v>
      </c>
      <c r="E498" s="90" t="e">
        <v>#REF!</v>
      </c>
      <c r="F498" s="89"/>
      <c r="G498" s="89"/>
      <c r="H498" s="89" t="s">
        <v>646</v>
      </c>
      <c r="I498" s="89" t="s">
        <v>21641</v>
      </c>
      <c r="J498" s="89" t="s">
        <v>646</v>
      </c>
      <c r="K498" s="89" t="s">
        <v>21648</v>
      </c>
      <c r="M498" s="89">
        <v>2014</v>
      </c>
      <c r="N498" s="89" t="s">
        <v>21642</v>
      </c>
      <c r="O498" s="89" t="s">
        <v>646</v>
      </c>
      <c r="P498" s="89" t="s">
        <v>646</v>
      </c>
      <c r="S498" s="89" t="s">
        <v>17475</v>
      </c>
      <c r="U498" s="89" t="s">
        <v>17474</v>
      </c>
      <c r="W498" s="89" t="s">
        <v>646</v>
      </c>
      <c r="X498" s="89" t="s">
        <v>646</v>
      </c>
      <c r="Y498" s="89" t="s">
        <v>21643</v>
      </c>
      <c r="Z498" s="89" t="s">
        <v>21644</v>
      </c>
      <c r="AA498" s="89" t="s">
        <v>21645</v>
      </c>
      <c r="AB498" s="89" t="s">
        <v>21646</v>
      </c>
      <c r="AC498" s="89" t="s">
        <v>21647</v>
      </c>
      <c r="AD498" s="89" t="s">
        <v>646</v>
      </c>
      <c r="AE498" s="89" t="s">
        <v>646</v>
      </c>
      <c r="AF498" s="89" t="s">
        <v>21648</v>
      </c>
      <c r="AG498" s="89" t="s">
        <v>646</v>
      </c>
      <c r="AH498" s="89" t="s">
        <v>646</v>
      </c>
      <c r="AI498" s="89" t="s">
        <v>646</v>
      </c>
      <c r="AJ498" s="89" t="s">
        <v>646</v>
      </c>
      <c r="AK498" s="89" t="s">
        <v>646</v>
      </c>
      <c r="AL498" s="89" t="s">
        <v>21649</v>
      </c>
      <c r="AM498" s="89" t="s">
        <v>646</v>
      </c>
      <c r="AN498" s="89" t="s">
        <v>646</v>
      </c>
      <c r="AO498" s="89" t="s">
        <v>646</v>
      </c>
      <c r="AP498" s="89" t="s">
        <v>646</v>
      </c>
      <c r="AQ498" s="89" t="s">
        <v>646</v>
      </c>
      <c r="AR498" s="89" t="s">
        <v>646</v>
      </c>
      <c r="AS498" s="89" t="s">
        <v>646</v>
      </c>
      <c r="AT498" s="89" t="s">
        <v>646</v>
      </c>
      <c r="AU498" s="89" t="s">
        <v>646</v>
      </c>
      <c r="AV498" s="89" t="s">
        <v>646</v>
      </c>
      <c r="AW498" s="89" t="s">
        <v>646</v>
      </c>
      <c r="AX498" s="89" t="s">
        <v>646</v>
      </c>
      <c r="AY498" s="89" t="s">
        <v>19836</v>
      </c>
      <c r="AZ498" s="89" t="s">
        <v>646</v>
      </c>
      <c r="BA498" s="89" t="s">
        <v>21650</v>
      </c>
      <c r="BB498" s="89" t="s">
        <v>646</v>
      </c>
      <c r="BC498" s="89" t="s">
        <v>646</v>
      </c>
      <c r="BD498" s="89" t="s">
        <v>646</v>
      </c>
      <c r="BE498" s="89">
        <v>2014</v>
      </c>
      <c r="BF498" s="89" t="s">
        <v>646</v>
      </c>
      <c r="BG498" s="89" t="s">
        <v>646</v>
      </c>
      <c r="BH498" s="89" t="s">
        <v>646</v>
      </c>
      <c r="BI498" s="89" t="s">
        <v>646</v>
      </c>
      <c r="BJ498" s="89" t="s">
        <v>646</v>
      </c>
      <c r="BK498" s="89" t="s">
        <v>646</v>
      </c>
      <c r="BL498" s="89">
        <v>267</v>
      </c>
      <c r="BM498" s="89">
        <v>273</v>
      </c>
      <c r="BN498" s="89" t="s">
        <v>646</v>
      </c>
      <c r="BO498" s="89" t="s">
        <v>646</v>
      </c>
      <c r="BP498" s="89" t="s">
        <v>646</v>
      </c>
      <c r="BQ498" s="89" t="s">
        <v>646</v>
      </c>
      <c r="BR498" s="89" t="s">
        <v>646</v>
      </c>
      <c r="BS498" s="89" t="s">
        <v>646</v>
      </c>
      <c r="BT498" s="89" t="s">
        <v>646</v>
      </c>
      <c r="BU498" s="89" t="s">
        <v>646</v>
      </c>
      <c r="BV498" s="89" t="s">
        <v>646</v>
      </c>
      <c r="BW498" s="89" t="s">
        <v>646</v>
      </c>
      <c r="BX498" s="89" t="s">
        <v>646</v>
      </c>
      <c r="BY498" s="89" t="s">
        <v>646</v>
      </c>
      <c r="BZ498" s="89" t="s">
        <v>646</v>
      </c>
      <c r="CA498" s="89" t="s">
        <v>646</v>
      </c>
      <c r="CB498" s="89" t="s">
        <v>21651</v>
      </c>
      <c r="CC498" s="89" t="str">
        <f>HYPERLINK("https%3A%2F%2Fwww.webofscience.com%2Fwos%2Fwoscc%2Ffull-record%2FWOS:000366603200044","View Full Record in Web of Science")</f>
        <v>View Full Record in Web of Science</v>
      </c>
    </row>
    <row r="499" spans="1:81" ht="13.2" hidden="1" x14ac:dyDescent="0.25">
      <c r="A499" s="89" t="s">
        <v>21652</v>
      </c>
      <c r="B499" s="89" t="e">
        <f>+#REF!</f>
        <v>#REF!</v>
      </c>
      <c r="C499" s="89"/>
      <c r="D499" s="91" t="s">
        <v>717</v>
      </c>
      <c r="E499" s="90" t="e">
        <v>#REF!</v>
      </c>
      <c r="F499" s="89"/>
      <c r="G499" s="89"/>
      <c r="H499" s="89" t="s">
        <v>13063</v>
      </c>
      <c r="I499" s="89" t="s">
        <v>21653</v>
      </c>
      <c r="J499" s="89" t="s">
        <v>21655</v>
      </c>
      <c r="K499" s="89" t="s">
        <v>21654</v>
      </c>
      <c r="M499" s="89">
        <v>2015</v>
      </c>
      <c r="N499" s="89" t="s">
        <v>17902</v>
      </c>
      <c r="O499" s="89" t="s">
        <v>646</v>
      </c>
      <c r="P499" s="89" t="str">
        <f>HYPERLINK("http://dx.doi.org/10.1111/1748-8583.12053","http://dx.doi.org/10.1111/1748-8583.12053")</f>
        <v>http://dx.doi.org/10.1111/1748-8583.12053</v>
      </c>
      <c r="S499" s="89" t="s">
        <v>646</v>
      </c>
      <c r="U499" s="89" t="s">
        <v>17462</v>
      </c>
      <c r="W499" s="89" t="s">
        <v>646</v>
      </c>
      <c r="X499" s="89" t="s">
        <v>646</v>
      </c>
      <c r="Y499" s="89" t="s">
        <v>646</v>
      </c>
      <c r="Z499" s="89" t="s">
        <v>646</v>
      </c>
      <c r="AA499" s="89" t="s">
        <v>646</v>
      </c>
      <c r="AB499" s="89" t="s">
        <v>646</v>
      </c>
      <c r="AC499" s="89" t="s">
        <v>646</v>
      </c>
      <c r="AD499" s="89" t="s">
        <v>646</v>
      </c>
      <c r="AE499" s="89" t="s">
        <v>646</v>
      </c>
      <c r="AF499" s="89" t="s">
        <v>21654</v>
      </c>
      <c r="AG499" s="89" t="s">
        <v>646</v>
      </c>
      <c r="AH499" s="89" t="s">
        <v>646</v>
      </c>
      <c r="AI499" s="89" t="s">
        <v>646</v>
      </c>
      <c r="AJ499" s="89" t="s">
        <v>646</v>
      </c>
      <c r="AK499" s="89" t="s">
        <v>21655</v>
      </c>
      <c r="AL499" s="89" t="s">
        <v>21656</v>
      </c>
      <c r="AM499" s="89" t="s">
        <v>646</v>
      </c>
      <c r="AN499" s="89" t="s">
        <v>646</v>
      </c>
      <c r="AO499" s="89" t="s">
        <v>646</v>
      </c>
      <c r="AP499" s="89" t="s">
        <v>646</v>
      </c>
      <c r="AQ499" s="89" t="s">
        <v>646</v>
      </c>
      <c r="AR499" s="89" t="s">
        <v>646</v>
      </c>
      <c r="AS499" s="89" t="s">
        <v>646</v>
      </c>
      <c r="AT499" s="89" t="s">
        <v>646</v>
      </c>
      <c r="AU499" s="89" t="s">
        <v>646</v>
      </c>
      <c r="AV499" s="89" t="s">
        <v>646</v>
      </c>
      <c r="AW499" s="89" t="s">
        <v>646</v>
      </c>
      <c r="AX499" s="89" t="s">
        <v>646</v>
      </c>
      <c r="AY499" s="89" t="s">
        <v>17904</v>
      </c>
      <c r="AZ499" s="89" t="s">
        <v>17905</v>
      </c>
      <c r="BA499" s="89" t="s">
        <v>646</v>
      </c>
      <c r="BB499" s="89" t="s">
        <v>646</v>
      </c>
      <c r="BC499" s="89" t="s">
        <v>646</v>
      </c>
      <c r="BD499" s="89" t="s">
        <v>17823</v>
      </c>
      <c r="BE499" s="89">
        <v>2015</v>
      </c>
      <c r="BF499" s="89">
        <v>25</v>
      </c>
      <c r="BG499" s="89">
        <v>2</v>
      </c>
      <c r="BH499" s="89" t="s">
        <v>646</v>
      </c>
      <c r="BI499" s="89" t="s">
        <v>646</v>
      </c>
      <c r="BJ499" s="89" t="s">
        <v>646</v>
      </c>
      <c r="BK499" s="89" t="s">
        <v>646</v>
      </c>
      <c r="BL499" s="89">
        <v>250</v>
      </c>
      <c r="BM499" s="89">
        <v>266</v>
      </c>
      <c r="BN499" s="89" t="s">
        <v>646</v>
      </c>
      <c r="BO499" s="89" t="str">
        <f>HYPERLINK("http://dx.doi.org/10.1111/1748-8583.12053","http://dx.doi.org/10.1111/1748-8583.12053")</f>
        <v>http://dx.doi.org/10.1111/1748-8583.12053</v>
      </c>
      <c r="BP499" s="89" t="s">
        <v>646</v>
      </c>
      <c r="BQ499" s="89" t="s">
        <v>646</v>
      </c>
      <c r="BR499" s="89" t="s">
        <v>646</v>
      </c>
      <c r="BS499" s="89" t="s">
        <v>646</v>
      </c>
      <c r="BT499" s="89" t="s">
        <v>646</v>
      </c>
      <c r="BU499" s="89" t="s">
        <v>646</v>
      </c>
      <c r="BV499" s="89" t="s">
        <v>646</v>
      </c>
      <c r="BW499" s="89" t="s">
        <v>646</v>
      </c>
      <c r="BX499" s="89" t="s">
        <v>646</v>
      </c>
      <c r="BY499" s="89" t="s">
        <v>646</v>
      </c>
      <c r="BZ499" s="89" t="s">
        <v>646</v>
      </c>
      <c r="CA499" s="89" t="s">
        <v>646</v>
      </c>
      <c r="CB499" s="89" t="s">
        <v>21657</v>
      </c>
      <c r="CC499" s="89" t="str">
        <f>HYPERLINK("https%3A%2F%2Fwww.webofscience.com%2Fwos%2Fwoscc%2Ffull-record%2FWOS:000353055900007","View Full Record in Web of Science")</f>
        <v>View Full Record in Web of Science</v>
      </c>
    </row>
    <row r="500" spans="1:81" ht="13.2" hidden="1" x14ac:dyDescent="0.25">
      <c r="A500" s="89" t="s">
        <v>16467</v>
      </c>
      <c r="B500" s="89" t="e">
        <f>+#REF!</f>
        <v>#REF!</v>
      </c>
      <c r="C500" s="89"/>
      <c r="D500" s="91" t="s">
        <v>717</v>
      </c>
      <c r="E500" s="90" t="e">
        <v>#REF!</v>
      </c>
      <c r="F500" s="89"/>
      <c r="G500" s="89"/>
      <c r="H500" s="89" t="s">
        <v>16468</v>
      </c>
      <c r="I500" s="89" t="s">
        <v>21659</v>
      </c>
      <c r="J500" s="89" t="s">
        <v>21665</v>
      </c>
      <c r="K500" s="89" t="s">
        <v>21664</v>
      </c>
      <c r="M500" s="89">
        <v>2020</v>
      </c>
      <c r="N500" s="89" t="s">
        <v>21660</v>
      </c>
      <c r="O500" s="89" t="s">
        <v>646</v>
      </c>
      <c r="P500" s="89" t="str">
        <f>HYPERLINK("http://dx.doi.org/10.1109/ISMAR50242.2020.00064","http://dx.doi.org/10.1109/ISMAR50242.2020.00064")</f>
        <v>http://dx.doi.org/10.1109/ISMAR50242.2020.00064</v>
      </c>
      <c r="S500" s="89" t="s">
        <v>21658</v>
      </c>
      <c r="U500" s="89" t="s">
        <v>17474</v>
      </c>
      <c r="W500" s="89" t="s">
        <v>646</v>
      </c>
      <c r="X500" s="89" t="s">
        <v>646</v>
      </c>
      <c r="Y500" s="89" t="s">
        <v>21661</v>
      </c>
      <c r="Z500" s="89" t="s">
        <v>21662</v>
      </c>
      <c r="AA500" s="89" t="s">
        <v>17494</v>
      </c>
      <c r="AB500" s="89" t="s">
        <v>21663</v>
      </c>
      <c r="AC500" s="89" t="s">
        <v>646</v>
      </c>
      <c r="AD500" s="89" t="s">
        <v>646</v>
      </c>
      <c r="AE500" s="89" t="s">
        <v>646</v>
      </c>
      <c r="AF500" s="89" t="s">
        <v>21664</v>
      </c>
      <c r="AG500" s="89" t="s">
        <v>646</v>
      </c>
      <c r="AH500" s="89" t="s">
        <v>646</v>
      </c>
      <c r="AI500" s="89" t="s">
        <v>646</v>
      </c>
      <c r="AJ500" s="89" t="s">
        <v>646</v>
      </c>
      <c r="AK500" s="89" t="s">
        <v>21665</v>
      </c>
      <c r="AL500" s="89" t="s">
        <v>21666</v>
      </c>
      <c r="AM500" s="89" t="s">
        <v>646</v>
      </c>
      <c r="AN500" s="89" t="s">
        <v>646</v>
      </c>
      <c r="AO500" s="89" t="s">
        <v>646</v>
      </c>
      <c r="AP500" s="89" t="s">
        <v>646</v>
      </c>
      <c r="AQ500" s="89" t="s">
        <v>646</v>
      </c>
      <c r="AR500" s="89" t="s">
        <v>646</v>
      </c>
      <c r="AS500" s="89" t="s">
        <v>646</v>
      </c>
      <c r="AT500" s="89" t="s">
        <v>646</v>
      </c>
      <c r="AU500" s="89" t="s">
        <v>646</v>
      </c>
      <c r="AV500" s="89" t="s">
        <v>646</v>
      </c>
      <c r="AW500" s="89" t="s">
        <v>646</v>
      </c>
      <c r="AX500" s="89" t="s">
        <v>646</v>
      </c>
      <c r="AY500" s="89" t="s">
        <v>21667</v>
      </c>
      <c r="AZ500" s="89" t="s">
        <v>646</v>
      </c>
      <c r="BA500" s="89" t="s">
        <v>21668</v>
      </c>
      <c r="BB500" s="89" t="s">
        <v>646</v>
      </c>
      <c r="BC500" s="89" t="s">
        <v>646</v>
      </c>
      <c r="BD500" s="89" t="s">
        <v>646</v>
      </c>
      <c r="BE500" s="89">
        <v>2020</v>
      </c>
      <c r="BF500" s="89" t="s">
        <v>646</v>
      </c>
      <c r="BG500" s="89" t="s">
        <v>646</v>
      </c>
      <c r="BH500" s="89" t="s">
        <v>646</v>
      </c>
      <c r="BI500" s="89" t="s">
        <v>646</v>
      </c>
      <c r="BJ500" s="89" t="s">
        <v>646</v>
      </c>
      <c r="BK500" s="89" t="s">
        <v>646</v>
      </c>
      <c r="BL500" s="89">
        <v>374</v>
      </c>
      <c r="BM500" s="89">
        <v>386</v>
      </c>
      <c r="BN500" s="89" t="s">
        <v>646</v>
      </c>
      <c r="BO500" s="89" t="str">
        <f>HYPERLINK("http://dx.doi.org/10.1109/ISMAR50242.2020.00064","http://dx.doi.org/10.1109/ISMAR50242.2020.00064")</f>
        <v>http://dx.doi.org/10.1109/ISMAR50242.2020.00064</v>
      </c>
      <c r="BP500" s="89" t="s">
        <v>646</v>
      </c>
      <c r="BQ500" s="89" t="s">
        <v>646</v>
      </c>
      <c r="BR500" s="89" t="s">
        <v>646</v>
      </c>
      <c r="BS500" s="89" t="s">
        <v>646</v>
      </c>
      <c r="BT500" s="89" t="s">
        <v>646</v>
      </c>
      <c r="BU500" s="89" t="s">
        <v>646</v>
      </c>
      <c r="BV500" s="89" t="s">
        <v>646</v>
      </c>
      <c r="BW500" s="89" t="s">
        <v>646</v>
      </c>
      <c r="BX500" s="89" t="s">
        <v>646</v>
      </c>
      <c r="BY500" s="89" t="s">
        <v>646</v>
      </c>
      <c r="BZ500" s="89" t="s">
        <v>646</v>
      </c>
      <c r="CA500" s="89" t="s">
        <v>646</v>
      </c>
      <c r="CB500" s="89" t="s">
        <v>21669</v>
      </c>
      <c r="CC500" s="89" t="str">
        <f>HYPERLINK("https%3A%2F%2Fwww.webofscience.com%2Fwos%2Fwoscc%2Ffull-record%2FWOS:000716707000038","View Full Record in Web of Science")</f>
        <v>View Full Record in Web of Science</v>
      </c>
    </row>
    <row r="501" spans="1:81" ht="13.2" hidden="1" x14ac:dyDescent="0.25">
      <c r="A501" s="89" t="s">
        <v>21670</v>
      </c>
      <c r="B501" s="89" t="e">
        <f>+#REF!</f>
        <v>#REF!</v>
      </c>
      <c r="C501" s="89"/>
      <c r="D501" s="91" t="s">
        <v>717</v>
      </c>
      <c r="E501" s="90" t="e">
        <v>#REF!</v>
      </c>
      <c r="F501" s="89"/>
      <c r="G501" s="89"/>
      <c r="H501" s="89" t="s">
        <v>13073</v>
      </c>
      <c r="I501" s="89" t="s">
        <v>21671</v>
      </c>
      <c r="J501" s="89" t="s">
        <v>21673</v>
      </c>
      <c r="K501" s="89" t="s">
        <v>21672</v>
      </c>
      <c r="M501" s="89">
        <v>2015</v>
      </c>
      <c r="N501" s="89" t="s">
        <v>20785</v>
      </c>
      <c r="O501" s="89" t="s">
        <v>646</v>
      </c>
      <c r="P501" s="89" t="str">
        <f>HYPERLINK("http://dx.doi.org/10.1109/TMM.2015.2420374","http://dx.doi.org/10.1109/TMM.2015.2420374")</f>
        <v>http://dx.doi.org/10.1109/TMM.2015.2420374</v>
      </c>
      <c r="S501" s="89" t="s">
        <v>646</v>
      </c>
      <c r="U501" s="89" t="s">
        <v>17462</v>
      </c>
      <c r="W501" s="89" t="s">
        <v>646</v>
      </c>
      <c r="X501" s="89" t="s">
        <v>646</v>
      </c>
      <c r="Y501" s="89" t="s">
        <v>646</v>
      </c>
      <c r="Z501" s="89" t="s">
        <v>646</v>
      </c>
      <c r="AA501" s="89" t="s">
        <v>646</v>
      </c>
      <c r="AB501" s="89" t="s">
        <v>646</v>
      </c>
      <c r="AC501" s="89" t="s">
        <v>646</v>
      </c>
      <c r="AD501" s="89" t="s">
        <v>646</v>
      </c>
      <c r="AE501" s="89" t="s">
        <v>646</v>
      </c>
      <c r="AF501" s="89" t="s">
        <v>21672</v>
      </c>
      <c r="AG501" s="89" t="s">
        <v>646</v>
      </c>
      <c r="AH501" s="89" t="s">
        <v>646</v>
      </c>
      <c r="AI501" s="89" t="s">
        <v>646</v>
      </c>
      <c r="AJ501" s="89" t="s">
        <v>646</v>
      </c>
      <c r="AK501" s="89" t="s">
        <v>21673</v>
      </c>
      <c r="AL501" s="89" t="s">
        <v>646</v>
      </c>
      <c r="AM501" s="89" t="s">
        <v>646</v>
      </c>
      <c r="AN501" s="89" t="s">
        <v>646</v>
      </c>
      <c r="AO501" s="89" t="s">
        <v>646</v>
      </c>
      <c r="AP501" s="89" t="s">
        <v>646</v>
      </c>
      <c r="AQ501" s="89" t="s">
        <v>646</v>
      </c>
      <c r="AR501" s="89" t="s">
        <v>646</v>
      </c>
      <c r="AS501" s="89" t="s">
        <v>646</v>
      </c>
      <c r="AT501" s="89" t="s">
        <v>646</v>
      </c>
      <c r="AU501" s="89" t="s">
        <v>646</v>
      </c>
      <c r="AV501" s="89" t="s">
        <v>646</v>
      </c>
      <c r="AW501" s="89" t="s">
        <v>646</v>
      </c>
      <c r="AX501" s="89" t="s">
        <v>646</v>
      </c>
      <c r="AY501" s="89" t="s">
        <v>20789</v>
      </c>
      <c r="AZ501" s="89" t="s">
        <v>20790</v>
      </c>
      <c r="BA501" s="89" t="s">
        <v>646</v>
      </c>
      <c r="BB501" s="89" t="s">
        <v>646</v>
      </c>
      <c r="BC501" s="89" t="s">
        <v>646</v>
      </c>
      <c r="BD501" s="89" t="s">
        <v>17772</v>
      </c>
      <c r="BE501" s="89">
        <v>2015</v>
      </c>
      <c r="BF501" s="89">
        <v>17</v>
      </c>
      <c r="BG501" s="89">
        <v>6</v>
      </c>
      <c r="BH501" s="89" t="s">
        <v>646</v>
      </c>
      <c r="BI501" s="89" t="s">
        <v>646</v>
      </c>
      <c r="BJ501" s="89" t="s">
        <v>646</v>
      </c>
      <c r="BK501" s="89" t="s">
        <v>646</v>
      </c>
      <c r="BL501" s="89">
        <v>804</v>
      </c>
      <c r="BM501" s="89">
        <v>815</v>
      </c>
      <c r="BN501" s="89" t="s">
        <v>646</v>
      </c>
      <c r="BO501" s="89" t="str">
        <f>HYPERLINK("http://dx.doi.org/10.1109/TMM.2015.2420374","http://dx.doi.org/10.1109/TMM.2015.2420374")</f>
        <v>http://dx.doi.org/10.1109/TMM.2015.2420374</v>
      </c>
      <c r="BP501" s="89" t="s">
        <v>646</v>
      </c>
      <c r="BQ501" s="89" t="s">
        <v>646</v>
      </c>
      <c r="BR501" s="89" t="s">
        <v>646</v>
      </c>
      <c r="BS501" s="89" t="s">
        <v>646</v>
      </c>
      <c r="BT501" s="89" t="s">
        <v>646</v>
      </c>
      <c r="BU501" s="89" t="s">
        <v>646</v>
      </c>
      <c r="BV501" s="89" t="s">
        <v>646</v>
      </c>
      <c r="BW501" s="89" t="s">
        <v>646</v>
      </c>
      <c r="BX501" s="89" t="s">
        <v>646</v>
      </c>
      <c r="BY501" s="89" t="s">
        <v>646</v>
      </c>
      <c r="BZ501" s="89" t="s">
        <v>646</v>
      </c>
      <c r="CA501" s="89" t="s">
        <v>646</v>
      </c>
      <c r="CB501" s="89" t="s">
        <v>21674</v>
      </c>
      <c r="CC501" s="89" t="str">
        <f>HYPERLINK("https%3A%2F%2Fwww.webofscience.com%2Fwos%2Fwoscc%2Ffull-record%2FWOS:000354527500004","View Full Record in Web of Science")</f>
        <v>View Full Record in Web of Science</v>
      </c>
    </row>
    <row r="502" spans="1:81" ht="13.2" hidden="1" x14ac:dyDescent="0.25">
      <c r="A502" s="89" t="s">
        <v>13080</v>
      </c>
      <c r="B502" s="89" t="e">
        <f>+#REF!</f>
        <v>#REF!</v>
      </c>
      <c r="C502" s="89"/>
      <c r="D502" s="91" t="s">
        <v>717</v>
      </c>
      <c r="E502" s="90" t="e">
        <v>#REF!</v>
      </c>
      <c r="F502" s="89"/>
      <c r="G502" s="89"/>
      <c r="H502" s="89" t="s">
        <v>13081</v>
      </c>
      <c r="I502" s="89" t="s">
        <v>21675</v>
      </c>
      <c r="J502" s="89" t="s">
        <v>21678</v>
      </c>
      <c r="K502" s="89" t="s">
        <v>21677</v>
      </c>
      <c r="M502" s="89">
        <v>2019</v>
      </c>
      <c r="N502" s="89" t="s">
        <v>21676</v>
      </c>
      <c r="O502" s="89" t="s">
        <v>646</v>
      </c>
      <c r="P502" s="89" t="str">
        <f>HYPERLINK("http://dx.doi.org/10.1108/TR-06-2018-0083","http://dx.doi.org/10.1108/TR-06-2018-0083")</f>
        <v>http://dx.doi.org/10.1108/TR-06-2018-0083</v>
      </c>
      <c r="S502" s="89" t="s">
        <v>646</v>
      </c>
      <c r="U502" s="89" t="s">
        <v>17462</v>
      </c>
      <c r="W502" s="89" t="s">
        <v>646</v>
      </c>
      <c r="X502" s="89" t="s">
        <v>646</v>
      </c>
      <c r="Y502" s="89" t="s">
        <v>646</v>
      </c>
      <c r="Z502" s="89" t="s">
        <v>646</v>
      </c>
      <c r="AA502" s="89" t="s">
        <v>646</v>
      </c>
      <c r="AB502" s="89" t="s">
        <v>646</v>
      </c>
      <c r="AC502" s="89" t="s">
        <v>646</v>
      </c>
      <c r="AD502" s="89" t="s">
        <v>646</v>
      </c>
      <c r="AE502" s="89" t="s">
        <v>646</v>
      </c>
      <c r="AF502" s="89" t="s">
        <v>21677</v>
      </c>
      <c r="AG502" s="89" t="s">
        <v>646</v>
      </c>
      <c r="AH502" s="89" t="s">
        <v>646</v>
      </c>
      <c r="AI502" s="89" t="s">
        <v>646</v>
      </c>
      <c r="AJ502" s="89" t="s">
        <v>646</v>
      </c>
      <c r="AK502" s="89" t="s">
        <v>21678</v>
      </c>
      <c r="AL502" s="89" t="s">
        <v>21679</v>
      </c>
      <c r="AM502" s="89" t="s">
        <v>646</v>
      </c>
      <c r="AN502" s="89" t="s">
        <v>646</v>
      </c>
      <c r="AO502" s="89" t="s">
        <v>646</v>
      </c>
      <c r="AP502" s="89" t="s">
        <v>646</v>
      </c>
      <c r="AQ502" s="89" t="s">
        <v>646</v>
      </c>
      <c r="AR502" s="89" t="s">
        <v>646</v>
      </c>
      <c r="AS502" s="89" t="s">
        <v>646</v>
      </c>
      <c r="AT502" s="89" t="s">
        <v>646</v>
      </c>
      <c r="AU502" s="89" t="s">
        <v>646</v>
      </c>
      <c r="AV502" s="89" t="s">
        <v>646</v>
      </c>
      <c r="AW502" s="89" t="s">
        <v>646</v>
      </c>
      <c r="AX502" s="89" t="s">
        <v>646</v>
      </c>
      <c r="AY502" s="89" t="s">
        <v>21680</v>
      </c>
      <c r="AZ502" s="89" t="s">
        <v>21681</v>
      </c>
      <c r="BA502" s="89" t="s">
        <v>646</v>
      </c>
      <c r="BB502" s="89" t="s">
        <v>646</v>
      </c>
      <c r="BC502" s="89" t="s">
        <v>646</v>
      </c>
      <c r="BD502" s="89" t="s">
        <v>646</v>
      </c>
      <c r="BE502" s="89">
        <v>2019</v>
      </c>
      <c r="BF502" s="89">
        <v>74</v>
      </c>
      <c r="BG502" s="89">
        <v>3</v>
      </c>
      <c r="BH502" s="89" t="s">
        <v>646</v>
      </c>
      <c r="BI502" s="89" t="s">
        <v>646</v>
      </c>
      <c r="BJ502" s="89" t="s">
        <v>646</v>
      </c>
      <c r="BK502" s="89" t="s">
        <v>646</v>
      </c>
      <c r="BL502" s="89">
        <v>463</v>
      </c>
      <c r="BM502" s="89">
        <v>479</v>
      </c>
      <c r="BN502" s="89" t="s">
        <v>646</v>
      </c>
      <c r="BO502" s="89" t="str">
        <f>HYPERLINK("http://dx.doi.org/10.1108/TR-06-2018-0083","http://dx.doi.org/10.1108/TR-06-2018-0083")</f>
        <v>http://dx.doi.org/10.1108/TR-06-2018-0083</v>
      </c>
      <c r="BP502" s="89" t="s">
        <v>646</v>
      </c>
      <c r="BQ502" s="89" t="s">
        <v>646</v>
      </c>
      <c r="BR502" s="89" t="s">
        <v>646</v>
      </c>
      <c r="BS502" s="89" t="s">
        <v>646</v>
      </c>
      <c r="BT502" s="89" t="s">
        <v>646</v>
      </c>
      <c r="BU502" s="89" t="s">
        <v>646</v>
      </c>
      <c r="BV502" s="89" t="s">
        <v>646</v>
      </c>
      <c r="BW502" s="89" t="s">
        <v>646</v>
      </c>
      <c r="BX502" s="89" t="s">
        <v>646</v>
      </c>
      <c r="BY502" s="89" t="s">
        <v>646</v>
      </c>
      <c r="BZ502" s="89" t="s">
        <v>646</v>
      </c>
      <c r="CA502" s="89" t="s">
        <v>646</v>
      </c>
      <c r="CB502" s="89" t="s">
        <v>21682</v>
      </c>
      <c r="CC502" s="89" t="str">
        <f>HYPERLINK("https%3A%2F%2Fwww.webofscience.com%2Fwos%2Fwoscc%2Ffull-record%2FWOS:000472593700011","View Full Record in Web of Science")</f>
        <v>View Full Record in Web of Science</v>
      </c>
    </row>
    <row r="503" spans="1:81" ht="13.2" hidden="1" x14ac:dyDescent="0.25">
      <c r="A503" s="89" t="s">
        <v>21683</v>
      </c>
      <c r="B503" s="89" t="e">
        <f>+#REF!</f>
        <v>#REF!</v>
      </c>
      <c r="C503" s="89"/>
      <c r="D503" s="91" t="s">
        <v>717</v>
      </c>
      <c r="E503" s="90" t="e">
        <v>#REF!</v>
      </c>
      <c r="F503" s="89"/>
      <c r="G503" s="89"/>
      <c r="H503" s="89" t="s">
        <v>646</v>
      </c>
      <c r="I503" s="89" t="s">
        <v>21684</v>
      </c>
      <c r="J503" s="89" t="s">
        <v>646</v>
      </c>
      <c r="K503" s="89" t="s">
        <v>21688</v>
      </c>
      <c r="M503" s="89">
        <v>2011</v>
      </c>
      <c r="N503" s="89" t="s">
        <v>21685</v>
      </c>
      <c r="O503" s="89" t="s">
        <v>646</v>
      </c>
      <c r="P503" s="89" t="s">
        <v>646</v>
      </c>
      <c r="S503" s="89" t="s">
        <v>17475</v>
      </c>
      <c r="U503" s="89" t="s">
        <v>17474</v>
      </c>
      <c r="W503" s="89" t="s">
        <v>646</v>
      </c>
      <c r="X503" s="89" t="s">
        <v>646</v>
      </c>
      <c r="Y503" s="89" t="s">
        <v>21686</v>
      </c>
      <c r="Z503" s="89" t="s">
        <v>21687</v>
      </c>
      <c r="AA503" s="89" t="s">
        <v>19772</v>
      </c>
      <c r="AB503" s="89" t="s">
        <v>646</v>
      </c>
      <c r="AC503" s="89" t="s">
        <v>646</v>
      </c>
      <c r="AD503" s="89" t="s">
        <v>646</v>
      </c>
      <c r="AE503" s="89" t="s">
        <v>646</v>
      </c>
      <c r="AF503" s="89" t="s">
        <v>21688</v>
      </c>
      <c r="AG503" s="89" t="s">
        <v>646</v>
      </c>
      <c r="AH503" s="89" t="s">
        <v>646</v>
      </c>
      <c r="AI503" s="89" t="s">
        <v>646</v>
      </c>
      <c r="AJ503" s="89" t="s">
        <v>646</v>
      </c>
      <c r="AK503" s="89" t="s">
        <v>646</v>
      </c>
      <c r="AL503" s="89" t="s">
        <v>646</v>
      </c>
      <c r="AM503" s="89" t="s">
        <v>646</v>
      </c>
      <c r="AN503" s="89" t="s">
        <v>646</v>
      </c>
      <c r="AO503" s="89" t="s">
        <v>646</v>
      </c>
      <c r="AP503" s="89" t="s">
        <v>646</v>
      </c>
      <c r="AQ503" s="89" t="s">
        <v>646</v>
      </c>
      <c r="AR503" s="89" t="s">
        <v>646</v>
      </c>
      <c r="AS503" s="89" t="s">
        <v>646</v>
      </c>
      <c r="AT503" s="89" t="s">
        <v>646</v>
      </c>
      <c r="AU503" s="89" t="s">
        <v>646</v>
      </c>
      <c r="AV503" s="89" t="s">
        <v>646</v>
      </c>
      <c r="AW503" s="89" t="s">
        <v>646</v>
      </c>
      <c r="AX503" s="89" t="s">
        <v>646</v>
      </c>
      <c r="AY503" s="89" t="s">
        <v>646</v>
      </c>
      <c r="AZ503" s="89" t="s">
        <v>646</v>
      </c>
      <c r="BA503" s="89" t="s">
        <v>21689</v>
      </c>
      <c r="BB503" s="89" t="s">
        <v>646</v>
      </c>
      <c r="BC503" s="89" t="s">
        <v>646</v>
      </c>
      <c r="BD503" s="89" t="s">
        <v>646</v>
      </c>
      <c r="BE503" s="89">
        <v>2011</v>
      </c>
      <c r="BF503" s="89" t="s">
        <v>646</v>
      </c>
      <c r="BG503" s="89" t="s">
        <v>646</v>
      </c>
      <c r="BH503" s="89" t="s">
        <v>646</v>
      </c>
      <c r="BI503" s="89" t="s">
        <v>646</v>
      </c>
      <c r="BJ503" s="89" t="s">
        <v>646</v>
      </c>
      <c r="BK503" s="89" t="s">
        <v>646</v>
      </c>
      <c r="BL503" s="89">
        <v>161</v>
      </c>
      <c r="BM503" s="89">
        <v>170</v>
      </c>
      <c r="BN503" s="89" t="s">
        <v>646</v>
      </c>
      <c r="BO503" s="89" t="s">
        <v>646</v>
      </c>
      <c r="BP503" s="89" t="s">
        <v>646</v>
      </c>
      <c r="BQ503" s="89" t="s">
        <v>646</v>
      </c>
      <c r="BR503" s="89" t="s">
        <v>646</v>
      </c>
      <c r="BS503" s="89" t="s">
        <v>646</v>
      </c>
      <c r="BT503" s="89" t="s">
        <v>646</v>
      </c>
      <c r="BU503" s="89" t="s">
        <v>646</v>
      </c>
      <c r="BV503" s="89" t="s">
        <v>646</v>
      </c>
      <c r="BW503" s="89" t="s">
        <v>646</v>
      </c>
      <c r="BX503" s="89" t="s">
        <v>646</v>
      </c>
      <c r="BY503" s="89" t="s">
        <v>646</v>
      </c>
      <c r="BZ503" s="89" t="s">
        <v>646</v>
      </c>
      <c r="CA503" s="89" t="s">
        <v>646</v>
      </c>
      <c r="CB503" s="89" t="s">
        <v>21690</v>
      </c>
      <c r="CC503" s="89" t="str">
        <f>HYPERLINK("https%3A%2F%2Fwww.webofscience.com%2Fwos%2Fwoscc%2Ffull-record%2FWOS:000297156400017","View Full Record in Web of Science")</f>
        <v>View Full Record in Web of Science</v>
      </c>
    </row>
    <row r="504" spans="1:81" ht="13.2" hidden="1" x14ac:dyDescent="0.25">
      <c r="A504" s="89" t="s">
        <v>13098</v>
      </c>
      <c r="B504" s="89" t="e">
        <f>+#REF!</f>
        <v>#REF!</v>
      </c>
      <c r="C504" s="89"/>
      <c r="D504" s="91" t="s">
        <v>717</v>
      </c>
      <c r="E504" s="90" t="e">
        <v>#REF!</v>
      </c>
      <c r="F504" s="89"/>
      <c r="G504" s="89"/>
      <c r="H504" s="89" t="s">
        <v>13099</v>
      </c>
      <c r="I504" s="89" t="s">
        <v>21691</v>
      </c>
      <c r="J504" s="89" t="s">
        <v>21693</v>
      </c>
      <c r="K504" s="89" t="s">
        <v>21692</v>
      </c>
      <c r="M504" s="89">
        <v>2019</v>
      </c>
      <c r="N504" s="89" t="s">
        <v>20886</v>
      </c>
      <c r="O504" s="89" t="s">
        <v>646</v>
      </c>
      <c r="P504" s="89" t="str">
        <f>HYPERLINK("http://dx.doi.org/10.1177/1461444818799526","http://dx.doi.org/10.1177/1461444818799526")</f>
        <v>http://dx.doi.org/10.1177/1461444818799526</v>
      </c>
      <c r="S504" s="89" t="s">
        <v>646</v>
      </c>
      <c r="U504" s="89" t="s">
        <v>17462</v>
      </c>
      <c r="W504" s="89" t="s">
        <v>646</v>
      </c>
      <c r="X504" s="89" t="s">
        <v>646</v>
      </c>
      <c r="Y504" s="89" t="s">
        <v>646</v>
      </c>
      <c r="Z504" s="89" t="s">
        <v>646</v>
      </c>
      <c r="AA504" s="89" t="s">
        <v>646</v>
      </c>
      <c r="AB504" s="89" t="s">
        <v>646</v>
      </c>
      <c r="AC504" s="89" t="s">
        <v>646</v>
      </c>
      <c r="AD504" s="89" t="s">
        <v>646</v>
      </c>
      <c r="AE504" s="89" t="s">
        <v>646</v>
      </c>
      <c r="AF504" s="89" t="s">
        <v>21692</v>
      </c>
      <c r="AG504" s="89" t="s">
        <v>646</v>
      </c>
      <c r="AH504" s="89" t="s">
        <v>646</v>
      </c>
      <c r="AI504" s="89" t="s">
        <v>646</v>
      </c>
      <c r="AJ504" s="89" t="s">
        <v>646</v>
      </c>
      <c r="AK504" s="89" t="s">
        <v>21693</v>
      </c>
      <c r="AL504" s="89" t="s">
        <v>21694</v>
      </c>
      <c r="AM504" s="89" t="s">
        <v>646</v>
      </c>
      <c r="AN504" s="89" t="s">
        <v>646</v>
      </c>
      <c r="AO504" s="89" t="s">
        <v>646</v>
      </c>
      <c r="AP504" s="89" t="s">
        <v>646</v>
      </c>
      <c r="AQ504" s="89" t="s">
        <v>646</v>
      </c>
      <c r="AR504" s="89" t="s">
        <v>646</v>
      </c>
      <c r="AS504" s="89" t="s">
        <v>646</v>
      </c>
      <c r="AT504" s="89" t="s">
        <v>646</v>
      </c>
      <c r="AU504" s="89" t="s">
        <v>646</v>
      </c>
      <c r="AV504" s="89" t="s">
        <v>646</v>
      </c>
      <c r="AW504" s="89" t="s">
        <v>646</v>
      </c>
      <c r="AX504" s="89" t="s">
        <v>646</v>
      </c>
      <c r="AY504" s="89" t="s">
        <v>20889</v>
      </c>
      <c r="AZ504" s="89" t="s">
        <v>20890</v>
      </c>
      <c r="BA504" s="89" t="s">
        <v>646</v>
      </c>
      <c r="BB504" s="89" t="s">
        <v>646</v>
      </c>
      <c r="BC504" s="89" t="s">
        <v>646</v>
      </c>
      <c r="BD504" s="89" t="s">
        <v>17658</v>
      </c>
      <c r="BE504" s="89">
        <v>2019</v>
      </c>
      <c r="BF504" s="89">
        <v>21</v>
      </c>
      <c r="BG504" s="89">
        <v>2</v>
      </c>
      <c r="BH504" s="89" t="s">
        <v>646</v>
      </c>
      <c r="BI504" s="89" t="s">
        <v>646</v>
      </c>
      <c r="BJ504" s="89" t="s">
        <v>646</v>
      </c>
      <c r="BK504" s="89" t="s">
        <v>646</v>
      </c>
      <c r="BL504" s="89">
        <v>438</v>
      </c>
      <c r="BM504" s="89">
        <v>463</v>
      </c>
      <c r="BN504" s="89" t="s">
        <v>646</v>
      </c>
      <c r="BO504" s="89" t="str">
        <f>HYPERLINK("http://dx.doi.org/10.1177/1461444818799526","http://dx.doi.org/10.1177/1461444818799526")</f>
        <v>http://dx.doi.org/10.1177/1461444818799526</v>
      </c>
      <c r="BP504" s="89" t="s">
        <v>646</v>
      </c>
      <c r="BQ504" s="89" t="s">
        <v>646</v>
      </c>
      <c r="BR504" s="89" t="s">
        <v>646</v>
      </c>
      <c r="BS504" s="89" t="s">
        <v>646</v>
      </c>
      <c r="BT504" s="89" t="s">
        <v>646</v>
      </c>
      <c r="BU504" s="89" t="s">
        <v>646</v>
      </c>
      <c r="BV504" s="89" t="s">
        <v>646</v>
      </c>
      <c r="BW504" s="89" t="s">
        <v>646</v>
      </c>
      <c r="BX504" s="89" t="s">
        <v>646</v>
      </c>
      <c r="BY504" s="89" t="s">
        <v>646</v>
      </c>
      <c r="BZ504" s="89" t="s">
        <v>646</v>
      </c>
      <c r="CA504" s="89" t="s">
        <v>646</v>
      </c>
      <c r="CB504" s="89" t="s">
        <v>21695</v>
      </c>
      <c r="CC504" s="89" t="str">
        <f>HYPERLINK("https%3A%2F%2Fwww.webofscience.com%2Fwos%2Fwoscc%2Ffull-record%2FWOS:000457401000009","View Full Record in Web of Science")</f>
        <v>View Full Record in Web of Science</v>
      </c>
    </row>
    <row r="505" spans="1:81" ht="13.2" hidden="1" x14ac:dyDescent="0.25">
      <c r="A505" s="89" t="s">
        <v>13107</v>
      </c>
      <c r="B505" s="89" t="e">
        <f>+#REF!</f>
        <v>#REF!</v>
      </c>
      <c r="C505" s="89"/>
      <c r="D505" s="91" t="s">
        <v>717</v>
      </c>
      <c r="E505" s="90" t="e">
        <v>#REF!</v>
      </c>
      <c r="F505" s="89"/>
      <c r="G505" s="89"/>
      <c r="H505" s="89" t="s">
        <v>13108</v>
      </c>
      <c r="I505" s="89" t="s">
        <v>21696</v>
      </c>
      <c r="J505" s="89" t="s">
        <v>646</v>
      </c>
      <c r="K505" s="89" t="s">
        <v>21698</v>
      </c>
      <c r="M505" s="89">
        <v>2018</v>
      </c>
      <c r="N505" s="89" t="s">
        <v>21697</v>
      </c>
      <c r="O505" s="89" t="s">
        <v>646</v>
      </c>
      <c r="P505" s="89" t="str">
        <f>HYPERLINK("http://dx.doi.org/10.1002/cdq.12154","http://dx.doi.org/10.1002/cdq.12154")</f>
        <v>http://dx.doi.org/10.1002/cdq.12154</v>
      </c>
      <c r="S505" s="89" t="s">
        <v>646</v>
      </c>
      <c r="U505" s="89" t="s">
        <v>17462</v>
      </c>
      <c r="W505" s="89" t="s">
        <v>646</v>
      </c>
      <c r="X505" s="89" t="s">
        <v>646</v>
      </c>
      <c r="Y505" s="89" t="s">
        <v>646</v>
      </c>
      <c r="Z505" s="89" t="s">
        <v>646</v>
      </c>
      <c r="AA505" s="89" t="s">
        <v>646</v>
      </c>
      <c r="AB505" s="89" t="s">
        <v>646</v>
      </c>
      <c r="AC505" s="89" t="s">
        <v>646</v>
      </c>
      <c r="AD505" s="89" t="s">
        <v>646</v>
      </c>
      <c r="AE505" s="89" t="s">
        <v>646</v>
      </c>
      <c r="AF505" s="89" t="s">
        <v>21698</v>
      </c>
      <c r="AG505" s="89" t="s">
        <v>646</v>
      </c>
      <c r="AH505" s="89" t="s">
        <v>646</v>
      </c>
      <c r="AI505" s="89" t="s">
        <v>646</v>
      </c>
      <c r="AJ505" s="89" t="s">
        <v>646</v>
      </c>
      <c r="AK505" s="89" t="s">
        <v>646</v>
      </c>
      <c r="AL505" s="89" t="s">
        <v>21699</v>
      </c>
      <c r="AM505" s="89" t="s">
        <v>646</v>
      </c>
      <c r="AN505" s="89" t="s">
        <v>646</v>
      </c>
      <c r="AO505" s="89" t="s">
        <v>646</v>
      </c>
      <c r="AP505" s="89" t="s">
        <v>646</v>
      </c>
      <c r="AQ505" s="89" t="s">
        <v>646</v>
      </c>
      <c r="AR505" s="89" t="s">
        <v>646</v>
      </c>
      <c r="AS505" s="89" t="s">
        <v>646</v>
      </c>
      <c r="AT505" s="89" t="s">
        <v>646</v>
      </c>
      <c r="AU505" s="89" t="s">
        <v>646</v>
      </c>
      <c r="AV505" s="89" t="s">
        <v>646</v>
      </c>
      <c r="AW505" s="89" t="s">
        <v>646</v>
      </c>
      <c r="AX505" s="89" t="s">
        <v>646</v>
      </c>
      <c r="AY505" s="89" t="s">
        <v>21700</v>
      </c>
      <c r="AZ505" s="89" t="s">
        <v>21701</v>
      </c>
      <c r="BA505" s="89" t="s">
        <v>646</v>
      </c>
      <c r="BB505" s="89" t="s">
        <v>646</v>
      </c>
      <c r="BC505" s="89" t="s">
        <v>646</v>
      </c>
      <c r="BD505" s="89" t="s">
        <v>17615</v>
      </c>
      <c r="BE505" s="89">
        <v>2018</v>
      </c>
      <c r="BF505" s="89">
        <v>66</v>
      </c>
      <c r="BG505" s="89">
        <v>4</v>
      </c>
      <c r="BH505" s="89" t="s">
        <v>646</v>
      </c>
      <c r="BI505" s="89" t="s">
        <v>646</v>
      </c>
      <c r="BJ505" s="89" t="s">
        <v>646</v>
      </c>
      <c r="BK505" s="89" t="s">
        <v>646</v>
      </c>
      <c r="BL505" s="89">
        <v>329</v>
      </c>
      <c r="BM505" s="89">
        <v>343</v>
      </c>
      <c r="BN505" s="89" t="s">
        <v>646</v>
      </c>
      <c r="BO505" s="89" t="str">
        <f>HYPERLINK("http://dx.doi.org/10.1002/cdq.12154","http://dx.doi.org/10.1002/cdq.12154")</f>
        <v>http://dx.doi.org/10.1002/cdq.12154</v>
      </c>
      <c r="BP505" s="89" t="s">
        <v>646</v>
      </c>
      <c r="BQ505" s="89" t="s">
        <v>646</v>
      </c>
      <c r="BR505" s="89" t="s">
        <v>646</v>
      </c>
      <c r="BS505" s="89" t="s">
        <v>646</v>
      </c>
      <c r="BT505" s="89" t="s">
        <v>646</v>
      </c>
      <c r="BU505" s="89" t="s">
        <v>646</v>
      </c>
      <c r="BV505" s="89" t="s">
        <v>646</v>
      </c>
      <c r="BW505" s="89" t="s">
        <v>646</v>
      </c>
      <c r="BX505" s="89" t="s">
        <v>646</v>
      </c>
      <c r="BY505" s="89" t="s">
        <v>646</v>
      </c>
      <c r="BZ505" s="89" t="s">
        <v>646</v>
      </c>
      <c r="CA505" s="89" t="s">
        <v>646</v>
      </c>
      <c r="CB505" s="89" t="s">
        <v>21702</v>
      </c>
      <c r="CC505" s="89" t="str">
        <f>HYPERLINK("https%3A%2F%2Fwww.webofscience.com%2Fwos%2Fwoscc%2Ffull-record%2FWOS:000452300200004","View Full Record in Web of Science")</f>
        <v>View Full Record in Web of Science</v>
      </c>
    </row>
    <row r="506" spans="1:81" ht="13.2" hidden="1" x14ac:dyDescent="0.25">
      <c r="A506" s="89" t="s">
        <v>21703</v>
      </c>
      <c r="B506" s="89" t="e">
        <f>+#REF!</f>
        <v>#REF!</v>
      </c>
      <c r="C506" s="89"/>
      <c r="D506" s="91" t="s">
        <v>717</v>
      </c>
      <c r="E506" s="90" t="e">
        <v>#REF!</v>
      </c>
      <c r="F506" s="89"/>
      <c r="G506" s="89"/>
      <c r="H506" s="89" t="s">
        <v>13118</v>
      </c>
      <c r="I506" s="89" t="s">
        <v>21704</v>
      </c>
      <c r="J506" s="89" t="s">
        <v>646</v>
      </c>
      <c r="K506" s="89" t="s">
        <v>21706</v>
      </c>
      <c r="M506" s="89">
        <v>2019</v>
      </c>
      <c r="N506" s="89" t="s">
        <v>21705</v>
      </c>
      <c r="O506" s="89" t="s">
        <v>646</v>
      </c>
      <c r="P506" s="89" t="str">
        <f>HYPERLINK("http://dx.doi.org/10.1145/3290607.3308458","http://dx.doi.org/10.1145/3290607.3308458")</f>
        <v>http://dx.doi.org/10.1145/3290607.3308458</v>
      </c>
      <c r="S506" s="89" t="s">
        <v>17804</v>
      </c>
      <c r="U506" s="89" t="s">
        <v>17474</v>
      </c>
      <c r="W506" s="89" t="s">
        <v>646</v>
      </c>
      <c r="X506" s="89" t="s">
        <v>646</v>
      </c>
      <c r="Y506" s="89" t="s">
        <v>19438</v>
      </c>
      <c r="Z506" s="89" t="s">
        <v>20637</v>
      </c>
      <c r="AA506" s="89" t="s">
        <v>20638</v>
      </c>
      <c r="AB506" s="89" t="s">
        <v>19440</v>
      </c>
      <c r="AC506" s="89" t="s">
        <v>646</v>
      </c>
      <c r="AD506" s="89" t="s">
        <v>646</v>
      </c>
      <c r="AE506" s="89" t="s">
        <v>646</v>
      </c>
      <c r="AF506" s="89" t="s">
        <v>21706</v>
      </c>
      <c r="AG506" s="89" t="s">
        <v>646</v>
      </c>
      <c r="AH506" s="89" t="s">
        <v>646</v>
      </c>
      <c r="AI506" s="89" t="s">
        <v>646</v>
      </c>
      <c r="AJ506" s="89" t="s">
        <v>646</v>
      </c>
      <c r="AK506" s="89" t="s">
        <v>646</v>
      </c>
      <c r="AL506" s="89" t="s">
        <v>21707</v>
      </c>
      <c r="AM506" s="89" t="s">
        <v>646</v>
      </c>
      <c r="AN506" s="89" t="s">
        <v>646</v>
      </c>
      <c r="AO506" s="89" t="s">
        <v>646</v>
      </c>
      <c r="AP506" s="89" t="s">
        <v>646</v>
      </c>
      <c r="AQ506" s="89" t="s">
        <v>646</v>
      </c>
      <c r="AR506" s="89" t="s">
        <v>646</v>
      </c>
      <c r="AS506" s="89" t="s">
        <v>646</v>
      </c>
      <c r="AT506" s="89" t="s">
        <v>646</v>
      </c>
      <c r="AU506" s="89" t="s">
        <v>646</v>
      </c>
      <c r="AV506" s="89" t="s">
        <v>646</v>
      </c>
      <c r="AW506" s="89" t="s">
        <v>646</v>
      </c>
      <c r="AX506" s="89" t="s">
        <v>646</v>
      </c>
      <c r="AY506" s="89" t="s">
        <v>646</v>
      </c>
      <c r="AZ506" s="89" t="s">
        <v>646</v>
      </c>
      <c r="BA506" s="89" t="s">
        <v>21708</v>
      </c>
      <c r="BB506" s="89" t="s">
        <v>646</v>
      </c>
      <c r="BC506" s="89" t="s">
        <v>646</v>
      </c>
      <c r="BD506" s="89" t="s">
        <v>646</v>
      </c>
      <c r="BE506" s="89">
        <v>2019</v>
      </c>
      <c r="BF506" s="89" t="s">
        <v>646</v>
      </c>
      <c r="BG506" s="89" t="s">
        <v>646</v>
      </c>
      <c r="BH506" s="89" t="s">
        <v>646</v>
      </c>
      <c r="BI506" s="89" t="s">
        <v>646</v>
      </c>
      <c r="BJ506" s="89" t="s">
        <v>646</v>
      </c>
      <c r="BK506" s="89" t="s">
        <v>646</v>
      </c>
      <c r="BL506" s="89" t="s">
        <v>646</v>
      </c>
      <c r="BM506" s="89" t="s">
        <v>646</v>
      </c>
      <c r="BN506" s="89" t="s">
        <v>646</v>
      </c>
      <c r="BO506" s="89" t="str">
        <f>HYPERLINK("http://dx.doi.org/10.1145/3290607.3308458","http://dx.doi.org/10.1145/3290607.3308458")</f>
        <v>http://dx.doi.org/10.1145/3290607.3308458</v>
      </c>
      <c r="BP506" s="89" t="s">
        <v>646</v>
      </c>
      <c r="BQ506" s="89" t="s">
        <v>646</v>
      </c>
      <c r="BR506" s="89" t="s">
        <v>646</v>
      </c>
      <c r="BS506" s="89" t="s">
        <v>646</v>
      </c>
      <c r="BT506" s="89" t="s">
        <v>646</v>
      </c>
      <c r="BU506" s="89" t="s">
        <v>646</v>
      </c>
      <c r="BV506" s="89" t="s">
        <v>646</v>
      </c>
      <c r="BW506" s="89" t="s">
        <v>646</v>
      </c>
      <c r="BX506" s="89" t="s">
        <v>646</v>
      </c>
      <c r="BY506" s="89" t="s">
        <v>646</v>
      </c>
      <c r="BZ506" s="89" t="s">
        <v>646</v>
      </c>
      <c r="CA506" s="89" t="s">
        <v>646</v>
      </c>
      <c r="CB506" s="89" t="s">
        <v>21709</v>
      </c>
      <c r="CC506" s="89" t="str">
        <f>HYPERLINK("https%3A%2F%2Fwww.webofscience.com%2Fwos%2Fwoscc%2Ffull-record%2FWOS:000482042103042","View Full Record in Web of Science")</f>
        <v>View Full Record in Web of Science</v>
      </c>
    </row>
    <row r="507" spans="1:81" ht="13.2" hidden="1" x14ac:dyDescent="0.25">
      <c r="A507" s="89" t="s">
        <v>21710</v>
      </c>
      <c r="B507" s="89" t="e">
        <f>+#REF!</f>
        <v>#REF!</v>
      </c>
      <c r="C507" s="89"/>
      <c r="D507" s="91" t="s">
        <v>717</v>
      </c>
      <c r="E507" s="90" t="e">
        <v>#REF!</v>
      </c>
      <c r="F507" s="89"/>
      <c r="G507" s="89"/>
      <c r="H507" s="89" t="s">
        <v>646</v>
      </c>
      <c r="I507" s="89" t="s">
        <v>21711</v>
      </c>
      <c r="J507" s="89" t="s">
        <v>21718</v>
      </c>
      <c r="K507" s="89" t="s">
        <v>21717</v>
      </c>
      <c r="M507" s="89">
        <v>2016</v>
      </c>
      <c r="N507" s="89" t="s">
        <v>21712</v>
      </c>
      <c r="O507" s="89" t="s">
        <v>646</v>
      </c>
      <c r="P507" s="89" t="s">
        <v>646</v>
      </c>
      <c r="S507" s="89" t="s">
        <v>17475</v>
      </c>
      <c r="U507" s="89" t="s">
        <v>17474</v>
      </c>
      <c r="W507" s="89" t="s">
        <v>646</v>
      </c>
      <c r="X507" s="89" t="s">
        <v>646</v>
      </c>
      <c r="Y507" s="89" t="s">
        <v>21713</v>
      </c>
      <c r="Z507" s="89" t="s">
        <v>21714</v>
      </c>
      <c r="AA507" s="89" t="s">
        <v>21715</v>
      </c>
      <c r="AB507" s="89" t="s">
        <v>21716</v>
      </c>
      <c r="AC507" s="89" t="s">
        <v>646</v>
      </c>
      <c r="AD507" s="89" t="s">
        <v>646</v>
      </c>
      <c r="AE507" s="89" t="s">
        <v>646</v>
      </c>
      <c r="AF507" s="89" t="s">
        <v>21717</v>
      </c>
      <c r="AG507" s="89" t="s">
        <v>646</v>
      </c>
      <c r="AH507" s="89" t="s">
        <v>646</v>
      </c>
      <c r="AI507" s="89" t="s">
        <v>646</v>
      </c>
      <c r="AJ507" s="89" t="s">
        <v>646</v>
      </c>
      <c r="AK507" s="89" t="s">
        <v>21718</v>
      </c>
      <c r="AL507" s="89" t="s">
        <v>646</v>
      </c>
      <c r="AM507" s="89" t="s">
        <v>646</v>
      </c>
      <c r="AN507" s="89" t="s">
        <v>646</v>
      </c>
      <c r="AO507" s="89" t="s">
        <v>646</v>
      </c>
      <c r="AP507" s="89" t="s">
        <v>646</v>
      </c>
      <c r="AQ507" s="89" t="s">
        <v>646</v>
      </c>
      <c r="AR507" s="89" t="s">
        <v>646</v>
      </c>
      <c r="AS507" s="89" t="s">
        <v>646</v>
      </c>
      <c r="AT507" s="89" t="s">
        <v>646</v>
      </c>
      <c r="AU507" s="89" t="s">
        <v>646</v>
      </c>
      <c r="AV507" s="89" t="s">
        <v>646</v>
      </c>
      <c r="AW507" s="89" t="s">
        <v>646</v>
      </c>
      <c r="AX507" s="89" t="s">
        <v>646</v>
      </c>
      <c r="AY507" s="89" t="s">
        <v>20083</v>
      </c>
      <c r="AZ507" s="89" t="s">
        <v>646</v>
      </c>
      <c r="BA507" s="89" t="s">
        <v>21719</v>
      </c>
      <c r="BB507" s="89" t="s">
        <v>646</v>
      </c>
      <c r="BC507" s="89" t="s">
        <v>646</v>
      </c>
      <c r="BD507" s="89" t="s">
        <v>646</v>
      </c>
      <c r="BE507" s="89">
        <v>2016</v>
      </c>
      <c r="BF507" s="89" t="s">
        <v>646</v>
      </c>
      <c r="BG507" s="89" t="s">
        <v>646</v>
      </c>
      <c r="BH507" s="89" t="s">
        <v>646</v>
      </c>
      <c r="BI507" s="89" t="s">
        <v>646</v>
      </c>
      <c r="BJ507" s="89" t="s">
        <v>646</v>
      </c>
      <c r="BK507" s="89" t="s">
        <v>646</v>
      </c>
      <c r="BL507" s="89">
        <v>619</v>
      </c>
      <c r="BM507" s="89">
        <v>623</v>
      </c>
      <c r="BN507" s="89" t="s">
        <v>646</v>
      </c>
      <c r="BO507" s="89" t="s">
        <v>646</v>
      </c>
      <c r="BP507" s="89" t="s">
        <v>646</v>
      </c>
      <c r="BQ507" s="89" t="s">
        <v>646</v>
      </c>
      <c r="BR507" s="89" t="s">
        <v>646</v>
      </c>
      <c r="BS507" s="89" t="s">
        <v>646</v>
      </c>
      <c r="BT507" s="89" t="s">
        <v>646</v>
      </c>
      <c r="BU507" s="89" t="s">
        <v>646</v>
      </c>
      <c r="BV507" s="89" t="s">
        <v>646</v>
      </c>
      <c r="BW507" s="89" t="s">
        <v>646</v>
      </c>
      <c r="BX507" s="89" t="s">
        <v>646</v>
      </c>
      <c r="BY507" s="89" t="s">
        <v>646</v>
      </c>
      <c r="BZ507" s="89" t="s">
        <v>646</v>
      </c>
      <c r="CA507" s="89" t="s">
        <v>646</v>
      </c>
      <c r="CB507" s="89" t="s">
        <v>21720</v>
      </c>
      <c r="CC507" s="89" t="str">
        <f>HYPERLINK("https%3A%2F%2Fwww.webofscience.com%2Fwos%2Fwoscc%2Ffull-record%2FWOS:000388373400125","View Full Record in Web of Science")</f>
        <v>View Full Record in Web of Science</v>
      </c>
    </row>
    <row r="508" spans="1:81" ht="13.2" hidden="1" x14ac:dyDescent="0.25">
      <c r="A508" s="89" t="s">
        <v>21721</v>
      </c>
      <c r="B508" s="89" t="e">
        <f>+#REF!</f>
        <v>#REF!</v>
      </c>
      <c r="C508" s="89"/>
      <c r="D508" s="91" t="s">
        <v>717</v>
      </c>
      <c r="E508" s="90" t="e">
        <v>#REF!</v>
      </c>
      <c r="F508" s="89"/>
      <c r="G508" s="89"/>
      <c r="H508" s="89" t="s">
        <v>13135</v>
      </c>
      <c r="I508" s="89" t="s">
        <v>21722</v>
      </c>
      <c r="J508" s="89" t="s">
        <v>646</v>
      </c>
      <c r="K508" s="89" t="s">
        <v>21724</v>
      </c>
      <c r="M508" s="89">
        <v>2020</v>
      </c>
      <c r="N508" s="89" t="s">
        <v>21723</v>
      </c>
      <c r="O508" s="89" t="s">
        <v>646</v>
      </c>
      <c r="P508" s="89" t="str">
        <f>HYPERLINK("http://dx.doi.org/10.1080/03630242.2020.1801554","http://dx.doi.org/10.1080/03630242.2020.1801554")</f>
        <v>http://dx.doi.org/10.1080/03630242.2020.1801554</v>
      </c>
      <c r="S508" s="89" t="s">
        <v>646</v>
      </c>
      <c r="U508" s="89" t="s">
        <v>17462</v>
      </c>
      <c r="W508" s="89" t="s">
        <v>646</v>
      </c>
      <c r="X508" s="89" t="s">
        <v>646</v>
      </c>
      <c r="Y508" s="89" t="s">
        <v>646</v>
      </c>
      <c r="Z508" s="89" t="s">
        <v>646</v>
      </c>
      <c r="AA508" s="89" t="s">
        <v>646</v>
      </c>
      <c r="AB508" s="89" t="s">
        <v>646</v>
      </c>
      <c r="AC508" s="89" t="s">
        <v>646</v>
      </c>
      <c r="AD508" s="89" t="s">
        <v>646</v>
      </c>
      <c r="AE508" s="89" t="s">
        <v>646</v>
      </c>
      <c r="AF508" s="89" t="s">
        <v>21724</v>
      </c>
      <c r="AG508" s="89" t="s">
        <v>646</v>
      </c>
      <c r="AH508" s="89" t="s">
        <v>646</v>
      </c>
      <c r="AI508" s="89" t="s">
        <v>646</v>
      </c>
      <c r="AJ508" s="89" t="s">
        <v>646</v>
      </c>
      <c r="AK508" s="89" t="s">
        <v>646</v>
      </c>
      <c r="AL508" s="89" t="s">
        <v>21725</v>
      </c>
      <c r="AM508" s="89" t="s">
        <v>646</v>
      </c>
      <c r="AN508" s="89" t="s">
        <v>646</v>
      </c>
      <c r="AO508" s="89" t="s">
        <v>646</v>
      </c>
      <c r="AP508" s="89" t="s">
        <v>646</v>
      </c>
      <c r="AQ508" s="89" t="s">
        <v>646</v>
      </c>
      <c r="AR508" s="89" t="s">
        <v>646</v>
      </c>
      <c r="AS508" s="89" t="s">
        <v>646</v>
      </c>
      <c r="AT508" s="89" t="s">
        <v>646</v>
      </c>
      <c r="AU508" s="89" t="s">
        <v>646</v>
      </c>
      <c r="AV508" s="89" t="s">
        <v>646</v>
      </c>
      <c r="AW508" s="89" t="s">
        <v>646</v>
      </c>
      <c r="AX508" s="89" t="s">
        <v>646</v>
      </c>
      <c r="AY508" s="89" t="s">
        <v>21726</v>
      </c>
      <c r="AZ508" s="89" t="s">
        <v>21727</v>
      </c>
      <c r="BA508" s="89" t="s">
        <v>646</v>
      </c>
      <c r="BB508" s="89" t="s">
        <v>646</v>
      </c>
      <c r="BC508" s="89" t="s">
        <v>646</v>
      </c>
      <c r="BD508" s="89" t="s">
        <v>21728</v>
      </c>
      <c r="BE508" s="89">
        <v>2020</v>
      </c>
      <c r="BF508" s="89">
        <v>60</v>
      </c>
      <c r="BG508" s="89">
        <v>10</v>
      </c>
      <c r="BH508" s="89" t="s">
        <v>646</v>
      </c>
      <c r="BI508" s="89" t="s">
        <v>646</v>
      </c>
      <c r="BJ508" s="89" t="s">
        <v>646</v>
      </c>
      <c r="BK508" s="89" t="s">
        <v>646</v>
      </c>
      <c r="BL508" s="89">
        <v>1083</v>
      </c>
      <c r="BM508" s="89">
        <v>1094</v>
      </c>
      <c r="BN508" s="89" t="s">
        <v>646</v>
      </c>
      <c r="BO508" s="89" t="str">
        <f>HYPERLINK("http://dx.doi.org/10.1080/03630242.2020.1801554","http://dx.doi.org/10.1080/03630242.2020.1801554")</f>
        <v>http://dx.doi.org/10.1080/03630242.2020.1801554</v>
      </c>
      <c r="BP508" s="89" t="s">
        <v>646</v>
      </c>
      <c r="BQ508" s="89" t="s">
        <v>18718</v>
      </c>
      <c r="BR508" s="89" t="s">
        <v>646</v>
      </c>
      <c r="BS508" s="89" t="s">
        <v>646</v>
      </c>
      <c r="BT508" s="89" t="s">
        <v>646</v>
      </c>
      <c r="BU508" s="89" t="s">
        <v>646</v>
      </c>
      <c r="BV508" s="89" t="s">
        <v>646</v>
      </c>
      <c r="BW508" s="89">
        <v>32835625</v>
      </c>
      <c r="BX508" s="89" t="s">
        <v>646</v>
      </c>
      <c r="BY508" s="89" t="s">
        <v>646</v>
      </c>
      <c r="BZ508" s="89" t="s">
        <v>646</v>
      </c>
      <c r="CA508" s="89" t="s">
        <v>646</v>
      </c>
      <c r="CB508" s="89" t="s">
        <v>21729</v>
      </c>
      <c r="CC508" s="89" t="str">
        <f>HYPERLINK("https%3A%2F%2Fwww.webofscience.com%2Fwos%2Fwoscc%2Ffull-record%2FWOS:000561906300001","View Full Record in Web of Science")</f>
        <v>View Full Record in Web of Science</v>
      </c>
    </row>
    <row r="509" spans="1:81" ht="13.2" hidden="1" x14ac:dyDescent="0.25">
      <c r="A509" s="89" t="s">
        <v>13144</v>
      </c>
      <c r="B509" s="89" t="e">
        <f>+#REF!</f>
        <v>#REF!</v>
      </c>
      <c r="C509" s="89"/>
      <c r="D509" s="91" t="s">
        <v>717</v>
      </c>
      <c r="E509" s="90" t="e">
        <v>#REF!</v>
      </c>
      <c r="F509" s="89"/>
      <c r="G509" s="89"/>
      <c r="H509" s="89" t="s">
        <v>13145</v>
      </c>
      <c r="I509" s="89" t="s">
        <v>21730</v>
      </c>
      <c r="J509" s="89" t="s">
        <v>21733</v>
      </c>
      <c r="K509" s="89" t="s">
        <v>21732</v>
      </c>
      <c r="M509" s="89">
        <v>2017</v>
      </c>
      <c r="N509" s="89" t="s">
        <v>21731</v>
      </c>
      <c r="O509" s="89" t="s">
        <v>646</v>
      </c>
      <c r="P509" s="89" t="str">
        <f>HYPERLINK("http://dx.doi.org/10.1109/TVCG.2016.2532331","http://dx.doi.org/10.1109/TVCG.2016.2532331")</f>
        <v>http://dx.doi.org/10.1109/TVCG.2016.2532331</v>
      </c>
      <c r="S509" s="89" t="s">
        <v>646</v>
      </c>
      <c r="U509" s="89" t="s">
        <v>17462</v>
      </c>
      <c r="W509" s="89" t="s">
        <v>646</v>
      </c>
      <c r="X509" s="89" t="s">
        <v>646</v>
      </c>
      <c r="Y509" s="89" t="s">
        <v>646</v>
      </c>
      <c r="Z509" s="89" t="s">
        <v>646</v>
      </c>
      <c r="AA509" s="89" t="s">
        <v>646</v>
      </c>
      <c r="AB509" s="89" t="s">
        <v>646</v>
      </c>
      <c r="AC509" s="89" t="s">
        <v>646</v>
      </c>
      <c r="AD509" s="89" t="s">
        <v>646</v>
      </c>
      <c r="AE509" s="89" t="s">
        <v>646</v>
      </c>
      <c r="AF509" s="89" t="s">
        <v>21732</v>
      </c>
      <c r="AG509" s="89" t="s">
        <v>646</v>
      </c>
      <c r="AH509" s="89" t="s">
        <v>646</v>
      </c>
      <c r="AI509" s="89" t="s">
        <v>646</v>
      </c>
      <c r="AJ509" s="89" t="s">
        <v>646</v>
      </c>
      <c r="AK509" s="89" t="s">
        <v>21733</v>
      </c>
      <c r="AL509" s="89" t="s">
        <v>646</v>
      </c>
      <c r="AM509" s="89" t="s">
        <v>646</v>
      </c>
      <c r="AN509" s="89" t="s">
        <v>646</v>
      </c>
      <c r="AO509" s="89" t="s">
        <v>646</v>
      </c>
      <c r="AP509" s="89" t="s">
        <v>646</v>
      </c>
      <c r="AQ509" s="89" t="s">
        <v>646</v>
      </c>
      <c r="AR509" s="89" t="s">
        <v>646</v>
      </c>
      <c r="AS509" s="89" t="s">
        <v>646</v>
      </c>
      <c r="AT509" s="89" t="s">
        <v>646</v>
      </c>
      <c r="AU509" s="89" t="s">
        <v>646</v>
      </c>
      <c r="AV509" s="89" t="s">
        <v>646</v>
      </c>
      <c r="AW509" s="89" t="s">
        <v>646</v>
      </c>
      <c r="AX509" s="89" t="s">
        <v>646</v>
      </c>
      <c r="AY509" s="89" t="s">
        <v>21734</v>
      </c>
      <c r="AZ509" s="89" t="s">
        <v>21735</v>
      </c>
      <c r="BA509" s="89" t="s">
        <v>646</v>
      </c>
      <c r="BB509" s="89" t="s">
        <v>646</v>
      </c>
      <c r="BC509" s="89" t="s">
        <v>646</v>
      </c>
      <c r="BD509" s="89" t="s">
        <v>17658</v>
      </c>
      <c r="BE509" s="89">
        <v>2017</v>
      </c>
      <c r="BF509" s="89">
        <v>23</v>
      </c>
      <c r="BG509" s="89">
        <v>2</v>
      </c>
      <c r="BH509" s="89" t="s">
        <v>646</v>
      </c>
      <c r="BI509" s="89" t="s">
        <v>646</v>
      </c>
      <c r="BJ509" s="89" t="s">
        <v>646</v>
      </c>
      <c r="BK509" s="89" t="s">
        <v>646</v>
      </c>
      <c r="BL509" s="89">
        <v>1042</v>
      </c>
      <c r="BM509" s="89">
        <v>1055</v>
      </c>
      <c r="BN509" s="89" t="s">
        <v>646</v>
      </c>
      <c r="BO509" s="89" t="str">
        <f>HYPERLINK("http://dx.doi.org/10.1109/TVCG.2016.2532331","http://dx.doi.org/10.1109/TVCG.2016.2532331")</f>
        <v>http://dx.doi.org/10.1109/TVCG.2016.2532331</v>
      </c>
      <c r="BP509" s="89" t="s">
        <v>646</v>
      </c>
      <c r="BQ509" s="89" t="s">
        <v>646</v>
      </c>
      <c r="BR509" s="89" t="s">
        <v>646</v>
      </c>
      <c r="BS509" s="89" t="s">
        <v>646</v>
      </c>
      <c r="BT509" s="89" t="s">
        <v>646</v>
      </c>
      <c r="BU509" s="89" t="s">
        <v>646</v>
      </c>
      <c r="BV509" s="89" t="s">
        <v>646</v>
      </c>
      <c r="BW509" s="89">
        <v>26915125</v>
      </c>
      <c r="BX509" s="89" t="s">
        <v>646</v>
      </c>
      <c r="BY509" s="89" t="s">
        <v>646</v>
      </c>
      <c r="BZ509" s="89" t="s">
        <v>646</v>
      </c>
      <c r="CA509" s="89" t="s">
        <v>646</v>
      </c>
      <c r="CB509" s="89" t="s">
        <v>21736</v>
      </c>
      <c r="CC509" s="89" t="str">
        <f>HYPERLINK("https%3A%2F%2Fwww.webofscience.com%2Fwos%2Fwoscc%2Ffull-record%2FWOS:000395538200005","View Full Record in Web of Science")</f>
        <v>View Full Record in Web of Science</v>
      </c>
    </row>
    <row r="510" spans="1:81" ht="13.2" hidden="1" x14ac:dyDescent="0.25">
      <c r="A510" s="89" t="s">
        <v>13152</v>
      </c>
      <c r="B510" s="89" t="e">
        <f>+#REF!</f>
        <v>#REF!</v>
      </c>
      <c r="C510" s="89"/>
      <c r="D510" s="91" t="s">
        <v>717</v>
      </c>
      <c r="E510" s="90" t="e">
        <v>#REF!</v>
      </c>
      <c r="F510" s="89"/>
      <c r="G510" s="89"/>
      <c r="H510" s="89" t="s">
        <v>13153</v>
      </c>
      <c r="I510" s="89" t="s">
        <v>21737</v>
      </c>
      <c r="J510" s="89" t="s">
        <v>20315</v>
      </c>
      <c r="K510" s="89" t="s">
        <v>21739</v>
      </c>
      <c r="M510" s="89">
        <v>2019</v>
      </c>
      <c r="N510" s="89" t="s">
        <v>21738</v>
      </c>
      <c r="O510" s="89" t="s">
        <v>646</v>
      </c>
      <c r="P510" s="89" t="str">
        <f>HYPERLINK("http://dx.doi.org/10.1111/acer.13987","http://dx.doi.org/10.1111/acer.13987")</f>
        <v>http://dx.doi.org/10.1111/acer.13987</v>
      </c>
      <c r="S510" s="89" t="s">
        <v>646</v>
      </c>
      <c r="U510" s="89" t="s">
        <v>17462</v>
      </c>
      <c r="W510" s="89" t="s">
        <v>646</v>
      </c>
      <c r="X510" s="89" t="s">
        <v>646</v>
      </c>
      <c r="Y510" s="89" t="s">
        <v>646</v>
      </c>
      <c r="Z510" s="89" t="s">
        <v>646</v>
      </c>
      <c r="AA510" s="89" t="s">
        <v>646</v>
      </c>
      <c r="AB510" s="89" t="s">
        <v>646</v>
      </c>
      <c r="AC510" s="89" t="s">
        <v>646</v>
      </c>
      <c r="AD510" s="89" t="s">
        <v>646</v>
      </c>
      <c r="AE510" s="89" t="s">
        <v>646</v>
      </c>
      <c r="AF510" s="89" t="s">
        <v>21739</v>
      </c>
      <c r="AG510" s="89" t="s">
        <v>646</v>
      </c>
      <c r="AH510" s="89" t="s">
        <v>646</v>
      </c>
      <c r="AI510" s="89" t="s">
        <v>646</v>
      </c>
      <c r="AJ510" s="89" t="s">
        <v>646</v>
      </c>
      <c r="AK510" s="89" t="s">
        <v>20315</v>
      </c>
      <c r="AL510" s="89" t="s">
        <v>20316</v>
      </c>
      <c r="AM510" s="89" t="s">
        <v>646</v>
      </c>
      <c r="AN510" s="89" t="s">
        <v>646</v>
      </c>
      <c r="AO510" s="89" t="s">
        <v>646</v>
      </c>
      <c r="AP510" s="89" t="s">
        <v>646</v>
      </c>
      <c r="AQ510" s="89" t="s">
        <v>646</v>
      </c>
      <c r="AR510" s="89" t="s">
        <v>646</v>
      </c>
      <c r="AS510" s="89" t="s">
        <v>646</v>
      </c>
      <c r="AT510" s="89" t="s">
        <v>646</v>
      </c>
      <c r="AU510" s="89" t="s">
        <v>646</v>
      </c>
      <c r="AV510" s="89" t="s">
        <v>646</v>
      </c>
      <c r="AW510" s="89" t="s">
        <v>646</v>
      </c>
      <c r="AX510" s="89" t="s">
        <v>646</v>
      </c>
      <c r="AY510" s="89" t="s">
        <v>21740</v>
      </c>
      <c r="AZ510" s="89" t="s">
        <v>21741</v>
      </c>
      <c r="BA510" s="89" t="s">
        <v>646</v>
      </c>
      <c r="BB510" s="89" t="s">
        <v>646</v>
      </c>
      <c r="BC510" s="89" t="s">
        <v>646</v>
      </c>
      <c r="BD510" s="89" t="s">
        <v>18436</v>
      </c>
      <c r="BE510" s="89">
        <v>2019</v>
      </c>
      <c r="BF510" s="89">
        <v>43</v>
      </c>
      <c r="BG510" s="89">
        <v>5</v>
      </c>
      <c r="BH510" s="89" t="s">
        <v>646</v>
      </c>
      <c r="BI510" s="89" t="s">
        <v>646</v>
      </c>
      <c r="BJ510" s="89" t="s">
        <v>646</v>
      </c>
      <c r="BK510" s="89" t="s">
        <v>646</v>
      </c>
      <c r="BL510" s="89">
        <v>888</v>
      </c>
      <c r="BM510" s="89">
        <v>899</v>
      </c>
      <c r="BN510" s="89" t="s">
        <v>646</v>
      </c>
      <c r="BO510" s="89" t="str">
        <f>HYPERLINK("http://dx.doi.org/10.1111/acer.13987","http://dx.doi.org/10.1111/acer.13987")</f>
        <v>http://dx.doi.org/10.1111/acer.13987</v>
      </c>
      <c r="BP510" s="89" t="s">
        <v>646</v>
      </c>
      <c r="BQ510" s="89" t="s">
        <v>646</v>
      </c>
      <c r="BR510" s="89" t="s">
        <v>646</v>
      </c>
      <c r="BS510" s="89" t="s">
        <v>646</v>
      </c>
      <c r="BT510" s="89" t="s">
        <v>646</v>
      </c>
      <c r="BU510" s="89" t="s">
        <v>646</v>
      </c>
      <c r="BV510" s="89" t="s">
        <v>646</v>
      </c>
      <c r="BW510" s="89">
        <v>30888705</v>
      </c>
      <c r="BX510" s="89" t="s">
        <v>646</v>
      </c>
      <c r="BY510" s="89" t="s">
        <v>646</v>
      </c>
      <c r="BZ510" s="89" t="s">
        <v>646</v>
      </c>
      <c r="CA510" s="89" t="s">
        <v>646</v>
      </c>
      <c r="CB510" s="89" t="s">
        <v>21742</v>
      </c>
      <c r="CC510" s="89" t="str">
        <f>HYPERLINK("https%3A%2F%2Fwww.webofscience.com%2Fwos%2Fwoscc%2Ffull-record%2FWOS:000471280500001","View Full Record in Web of Science")</f>
        <v>View Full Record in Web of Science</v>
      </c>
    </row>
    <row r="511" spans="1:81" ht="13.2" hidden="1" x14ac:dyDescent="0.25">
      <c r="A511" s="89" t="s">
        <v>13161</v>
      </c>
      <c r="B511" s="89" t="e">
        <f>+#REF!</f>
        <v>#REF!</v>
      </c>
      <c r="C511" s="89"/>
      <c r="D511" s="91" t="s">
        <v>717</v>
      </c>
      <c r="E511" s="90" t="e">
        <v>#REF!</v>
      </c>
      <c r="F511" s="89"/>
      <c r="G511" s="89"/>
      <c r="H511" s="89" t="s">
        <v>646</v>
      </c>
      <c r="I511" s="89" t="s">
        <v>21743</v>
      </c>
      <c r="J511" s="89" t="s">
        <v>646</v>
      </c>
      <c r="K511" s="89" t="s">
        <v>21745</v>
      </c>
      <c r="M511" s="89">
        <v>2017</v>
      </c>
      <c r="N511" s="89" t="s">
        <v>21744</v>
      </c>
      <c r="O511" s="89" t="s">
        <v>646</v>
      </c>
      <c r="P511" s="89" t="s">
        <v>646</v>
      </c>
      <c r="S511" s="89" t="s">
        <v>646</v>
      </c>
      <c r="U511" s="89" t="s">
        <v>17462</v>
      </c>
      <c r="W511" s="89" t="s">
        <v>646</v>
      </c>
      <c r="X511" s="89" t="s">
        <v>646</v>
      </c>
      <c r="Y511" s="89" t="s">
        <v>646</v>
      </c>
      <c r="Z511" s="89" t="s">
        <v>646</v>
      </c>
      <c r="AA511" s="89" t="s">
        <v>646</v>
      </c>
      <c r="AB511" s="89" t="s">
        <v>646</v>
      </c>
      <c r="AC511" s="89" t="s">
        <v>646</v>
      </c>
      <c r="AD511" s="89" t="s">
        <v>646</v>
      </c>
      <c r="AE511" s="89" t="s">
        <v>646</v>
      </c>
      <c r="AF511" s="89" t="s">
        <v>21745</v>
      </c>
      <c r="AG511" s="89" t="s">
        <v>646</v>
      </c>
      <c r="AH511" s="89" t="s">
        <v>646</v>
      </c>
      <c r="AI511" s="89" t="s">
        <v>646</v>
      </c>
      <c r="AJ511" s="89" t="s">
        <v>646</v>
      </c>
      <c r="AK511" s="89" t="s">
        <v>646</v>
      </c>
      <c r="AL511" s="89" t="s">
        <v>21746</v>
      </c>
      <c r="AM511" s="89" t="s">
        <v>646</v>
      </c>
      <c r="AN511" s="89" t="s">
        <v>646</v>
      </c>
      <c r="AO511" s="89" t="s">
        <v>646</v>
      </c>
      <c r="AP511" s="89" t="s">
        <v>646</v>
      </c>
      <c r="AQ511" s="89" t="s">
        <v>646</v>
      </c>
      <c r="AR511" s="89" t="s">
        <v>646</v>
      </c>
      <c r="AS511" s="89" t="s">
        <v>646</v>
      </c>
      <c r="AT511" s="89" t="s">
        <v>646</v>
      </c>
      <c r="AU511" s="89" t="s">
        <v>646</v>
      </c>
      <c r="AV511" s="89" t="s">
        <v>646</v>
      </c>
      <c r="AW511" s="89" t="s">
        <v>646</v>
      </c>
      <c r="AX511" s="89" t="s">
        <v>646</v>
      </c>
      <c r="AY511" s="89" t="s">
        <v>21747</v>
      </c>
      <c r="AZ511" s="89" t="s">
        <v>646</v>
      </c>
      <c r="BA511" s="89" t="s">
        <v>646</v>
      </c>
      <c r="BB511" s="89" t="s">
        <v>646</v>
      </c>
      <c r="BC511" s="89" t="s">
        <v>646</v>
      </c>
      <c r="BD511" s="89" t="s">
        <v>17615</v>
      </c>
      <c r="BE511" s="89">
        <v>2017</v>
      </c>
      <c r="BF511" s="89">
        <v>14</v>
      </c>
      <c r="BG511" s="89">
        <v>4</v>
      </c>
      <c r="BH511" s="89" t="s">
        <v>646</v>
      </c>
      <c r="BI511" s="89" t="s">
        <v>646</v>
      </c>
      <c r="BJ511" s="89" t="s">
        <v>646</v>
      </c>
      <c r="BK511" s="89" t="s">
        <v>646</v>
      </c>
      <c r="BL511" s="89">
        <v>662</v>
      </c>
      <c r="BM511" s="89">
        <v>722</v>
      </c>
      <c r="BN511" s="89" t="s">
        <v>646</v>
      </c>
      <c r="BO511" s="89" t="s">
        <v>646</v>
      </c>
      <c r="BP511" s="89" t="s">
        <v>646</v>
      </c>
      <c r="BQ511" s="89" t="s">
        <v>646</v>
      </c>
      <c r="BR511" s="89" t="s">
        <v>646</v>
      </c>
      <c r="BS511" s="89" t="s">
        <v>646</v>
      </c>
      <c r="BT511" s="89" t="s">
        <v>646</v>
      </c>
      <c r="BU511" s="89" t="s">
        <v>646</v>
      </c>
      <c r="BV511" s="89" t="s">
        <v>646</v>
      </c>
      <c r="BW511" s="89" t="s">
        <v>646</v>
      </c>
      <c r="BX511" s="89" t="s">
        <v>646</v>
      </c>
      <c r="BY511" s="89" t="s">
        <v>646</v>
      </c>
      <c r="BZ511" s="89" t="s">
        <v>646</v>
      </c>
      <c r="CA511" s="89" t="s">
        <v>646</v>
      </c>
      <c r="CB511" s="89" t="s">
        <v>21748</v>
      </c>
      <c r="CC511" s="89" t="str">
        <f>HYPERLINK("https%3A%2F%2Fwww.webofscience.com%2Fwos%2Fwoscc%2Ffull-record%2FWOS:000436320900004","View Full Record in Web of Science")</f>
        <v>View Full Record in Web of Science</v>
      </c>
    </row>
    <row r="512" spans="1:81" ht="13.2" hidden="1" x14ac:dyDescent="0.25">
      <c r="A512" s="89" t="s">
        <v>21749</v>
      </c>
      <c r="B512" s="89" t="e">
        <f>+#REF!</f>
        <v>#REF!</v>
      </c>
      <c r="C512" s="89"/>
      <c r="D512" s="91" t="s">
        <v>717</v>
      </c>
      <c r="E512" s="90" t="e">
        <v>#REF!</v>
      </c>
      <c r="F512" s="89"/>
      <c r="G512" s="89"/>
      <c r="H512" s="89" t="s">
        <v>13172</v>
      </c>
      <c r="I512" s="89" t="s">
        <v>21750</v>
      </c>
      <c r="J512" s="89" t="s">
        <v>21756</v>
      </c>
      <c r="K512" s="89" t="s">
        <v>21755</v>
      </c>
      <c r="M512" s="89">
        <v>2016</v>
      </c>
      <c r="N512" s="89" t="s">
        <v>21751</v>
      </c>
      <c r="O512" s="89" t="s">
        <v>646</v>
      </c>
      <c r="P512" s="89" t="str">
        <f>HYPERLINK("http://dx.doi.org/10.1145/2818048.2819989","http://dx.doi.org/10.1145/2818048.2819989")</f>
        <v>http://dx.doi.org/10.1145/2818048.2819989</v>
      </c>
      <c r="S512" s="89" t="s">
        <v>19206</v>
      </c>
      <c r="U512" s="89" t="s">
        <v>17474</v>
      </c>
      <c r="W512" s="89" t="s">
        <v>646</v>
      </c>
      <c r="X512" s="89" t="s">
        <v>646</v>
      </c>
      <c r="Y512" s="89" t="s">
        <v>21752</v>
      </c>
      <c r="Z512" s="89" t="s">
        <v>21753</v>
      </c>
      <c r="AA512" s="89" t="s">
        <v>19723</v>
      </c>
      <c r="AB512" s="89" t="s">
        <v>21754</v>
      </c>
      <c r="AC512" s="89" t="s">
        <v>646</v>
      </c>
      <c r="AD512" s="89" t="s">
        <v>646</v>
      </c>
      <c r="AE512" s="89" t="s">
        <v>646</v>
      </c>
      <c r="AF512" s="89" t="s">
        <v>21755</v>
      </c>
      <c r="AG512" s="89" t="s">
        <v>646</v>
      </c>
      <c r="AH512" s="89" t="s">
        <v>646</v>
      </c>
      <c r="AI512" s="89" t="s">
        <v>646</v>
      </c>
      <c r="AJ512" s="89" t="s">
        <v>646</v>
      </c>
      <c r="AK512" s="89" t="s">
        <v>21756</v>
      </c>
      <c r="AL512" s="89" t="s">
        <v>21757</v>
      </c>
      <c r="AM512" s="89" t="s">
        <v>646</v>
      </c>
      <c r="AN512" s="89" t="s">
        <v>646</v>
      </c>
      <c r="AO512" s="89" t="s">
        <v>646</v>
      </c>
      <c r="AP512" s="89" t="s">
        <v>646</v>
      </c>
      <c r="AQ512" s="89" t="s">
        <v>646</v>
      </c>
      <c r="AR512" s="89" t="s">
        <v>646</v>
      </c>
      <c r="AS512" s="89" t="s">
        <v>646</v>
      </c>
      <c r="AT512" s="89" t="s">
        <v>646</v>
      </c>
      <c r="AU512" s="89" t="s">
        <v>646</v>
      </c>
      <c r="AV512" s="89" t="s">
        <v>646</v>
      </c>
      <c r="AW512" s="89" t="s">
        <v>646</v>
      </c>
      <c r="AX512" s="89" t="s">
        <v>646</v>
      </c>
      <c r="AY512" s="89" t="s">
        <v>646</v>
      </c>
      <c r="AZ512" s="89" t="s">
        <v>646</v>
      </c>
      <c r="BA512" s="89" t="s">
        <v>21758</v>
      </c>
      <c r="BB512" s="89" t="s">
        <v>646</v>
      </c>
      <c r="BC512" s="89" t="s">
        <v>646</v>
      </c>
      <c r="BD512" s="89" t="s">
        <v>646</v>
      </c>
      <c r="BE512" s="89">
        <v>2016</v>
      </c>
      <c r="BF512" s="89" t="s">
        <v>646</v>
      </c>
      <c r="BG512" s="89" t="s">
        <v>646</v>
      </c>
      <c r="BH512" s="89" t="s">
        <v>646</v>
      </c>
      <c r="BI512" s="89" t="s">
        <v>646</v>
      </c>
      <c r="BJ512" s="89" t="s">
        <v>646</v>
      </c>
      <c r="BK512" s="89" t="s">
        <v>646</v>
      </c>
      <c r="BL512" s="89">
        <v>86</v>
      </c>
      <c r="BM512" s="89">
        <v>96</v>
      </c>
      <c r="BN512" s="89" t="s">
        <v>646</v>
      </c>
      <c r="BO512" s="89" t="str">
        <f>HYPERLINK("http://dx.doi.org/10.1145/2818048.2819989","http://dx.doi.org/10.1145/2818048.2819989")</f>
        <v>http://dx.doi.org/10.1145/2818048.2819989</v>
      </c>
      <c r="BP512" s="89" t="s">
        <v>646</v>
      </c>
      <c r="BQ512" s="89" t="s">
        <v>646</v>
      </c>
      <c r="BR512" s="89" t="s">
        <v>646</v>
      </c>
      <c r="BS512" s="89" t="s">
        <v>646</v>
      </c>
      <c r="BT512" s="89" t="s">
        <v>646</v>
      </c>
      <c r="BU512" s="89" t="s">
        <v>646</v>
      </c>
      <c r="BV512" s="89" t="s">
        <v>646</v>
      </c>
      <c r="BW512" s="89" t="s">
        <v>646</v>
      </c>
      <c r="BX512" s="89" t="s">
        <v>646</v>
      </c>
      <c r="BY512" s="89" t="s">
        <v>646</v>
      </c>
      <c r="BZ512" s="89" t="s">
        <v>646</v>
      </c>
      <c r="CA512" s="89" t="s">
        <v>646</v>
      </c>
      <c r="CB512" s="89" t="s">
        <v>21759</v>
      </c>
      <c r="CC512" s="89" t="str">
        <f>HYPERLINK("https%3A%2F%2Fwww.webofscience.com%2Fwos%2Fwoscc%2Ffull-record%2FWOS:000389809500008","View Full Record in Web of Science")</f>
        <v>View Full Record in Web of Science</v>
      </c>
    </row>
    <row r="513" spans="1:81" ht="13.2" hidden="1" x14ac:dyDescent="0.25">
      <c r="A513" s="89" t="s">
        <v>13179</v>
      </c>
      <c r="B513" s="89" t="e">
        <f>+#REF!</f>
        <v>#REF!</v>
      </c>
      <c r="C513" s="89"/>
      <c r="D513" s="91" t="s">
        <v>717</v>
      </c>
      <c r="E513" s="90" t="e">
        <v>#REF!</v>
      </c>
      <c r="F513" s="89"/>
      <c r="G513" s="89"/>
      <c r="H513" s="89" t="s">
        <v>13180</v>
      </c>
      <c r="I513" s="89" t="s">
        <v>21760</v>
      </c>
      <c r="J513" s="89" t="s">
        <v>21655</v>
      </c>
      <c r="K513" s="89" t="s">
        <v>21762</v>
      </c>
      <c r="M513" s="89">
        <v>2012</v>
      </c>
      <c r="N513" s="89" t="s">
        <v>21761</v>
      </c>
      <c r="O513" s="89" t="s">
        <v>646</v>
      </c>
      <c r="P513" s="89" t="str">
        <f>HYPERLINK("http://dx.doi.org/10.1108/01425451211191850","http://dx.doi.org/10.1108/01425451211191850")</f>
        <v>http://dx.doi.org/10.1108/01425451211191850</v>
      </c>
      <c r="S513" s="89" t="s">
        <v>646</v>
      </c>
      <c r="U513" s="89" t="s">
        <v>17462</v>
      </c>
      <c r="W513" s="89" t="s">
        <v>646</v>
      </c>
      <c r="X513" s="89" t="s">
        <v>646</v>
      </c>
      <c r="Y513" s="89" t="s">
        <v>646</v>
      </c>
      <c r="Z513" s="89" t="s">
        <v>646</v>
      </c>
      <c r="AA513" s="89" t="s">
        <v>646</v>
      </c>
      <c r="AB513" s="89" t="s">
        <v>646</v>
      </c>
      <c r="AC513" s="89" t="s">
        <v>646</v>
      </c>
      <c r="AD513" s="89" t="s">
        <v>646</v>
      </c>
      <c r="AE513" s="89" t="s">
        <v>646</v>
      </c>
      <c r="AF513" s="89" t="s">
        <v>21762</v>
      </c>
      <c r="AG513" s="89" t="s">
        <v>646</v>
      </c>
      <c r="AH513" s="89" t="s">
        <v>646</v>
      </c>
      <c r="AI513" s="89" t="s">
        <v>646</v>
      </c>
      <c r="AJ513" s="89" t="s">
        <v>646</v>
      </c>
      <c r="AK513" s="89" t="s">
        <v>21655</v>
      </c>
      <c r="AL513" s="89" t="s">
        <v>21656</v>
      </c>
      <c r="AM513" s="89" t="s">
        <v>646</v>
      </c>
      <c r="AN513" s="89" t="s">
        <v>646</v>
      </c>
      <c r="AO513" s="89" t="s">
        <v>646</v>
      </c>
      <c r="AP513" s="89" t="s">
        <v>646</v>
      </c>
      <c r="AQ513" s="89" t="s">
        <v>646</v>
      </c>
      <c r="AR513" s="89" t="s">
        <v>646</v>
      </c>
      <c r="AS513" s="89" t="s">
        <v>646</v>
      </c>
      <c r="AT513" s="89" t="s">
        <v>646</v>
      </c>
      <c r="AU513" s="89" t="s">
        <v>646</v>
      </c>
      <c r="AV513" s="89" t="s">
        <v>646</v>
      </c>
      <c r="AW513" s="89" t="s">
        <v>646</v>
      </c>
      <c r="AX513" s="89" t="s">
        <v>646</v>
      </c>
      <c r="AY513" s="89" t="s">
        <v>21763</v>
      </c>
      <c r="AZ513" s="89" t="s">
        <v>21764</v>
      </c>
      <c r="BA513" s="89" t="s">
        <v>646</v>
      </c>
      <c r="BB513" s="89" t="s">
        <v>646</v>
      </c>
      <c r="BC513" s="89" t="s">
        <v>646</v>
      </c>
      <c r="BD513" s="89" t="s">
        <v>646</v>
      </c>
      <c r="BE513" s="89">
        <v>2012</v>
      </c>
      <c r="BF513" s="89">
        <v>34</v>
      </c>
      <c r="BG513" s="89">
        <v>2</v>
      </c>
      <c r="BH513" s="89" t="s">
        <v>646</v>
      </c>
      <c r="BI513" s="89" t="s">
        <v>646</v>
      </c>
      <c r="BJ513" s="89" t="s">
        <v>646</v>
      </c>
      <c r="BK513" s="89" t="s">
        <v>646</v>
      </c>
      <c r="BL513" s="89">
        <v>126</v>
      </c>
      <c r="BM513" s="89">
        <v>137</v>
      </c>
      <c r="BN513" s="89" t="s">
        <v>646</v>
      </c>
      <c r="BO513" s="89" t="str">
        <f>HYPERLINK("http://dx.doi.org/10.1108/01425451211191850","http://dx.doi.org/10.1108/01425451211191850")</f>
        <v>http://dx.doi.org/10.1108/01425451211191850</v>
      </c>
      <c r="BP513" s="89" t="s">
        <v>646</v>
      </c>
      <c r="BQ513" s="89" t="s">
        <v>646</v>
      </c>
      <c r="BR513" s="89" t="s">
        <v>646</v>
      </c>
      <c r="BS513" s="89" t="s">
        <v>646</v>
      </c>
      <c r="BT513" s="89" t="s">
        <v>646</v>
      </c>
      <c r="BU513" s="89" t="s">
        <v>646</v>
      </c>
      <c r="BV513" s="89" t="s">
        <v>646</v>
      </c>
      <c r="BW513" s="89" t="s">
        <v>646</v>
      </c>
      <c r="BX513" s="89" t="s">
        <v>646</v>
      </c>
      <c r="BY513" s="89" t="s">
        <v>646</v>
      </c>
      <c r="BZ513" s="89" t="s">
        <v>646</v>
      </c>
      <c r="CA513" s="89" t="s">
        <v>646</v>
      </c>
      <c r="CB513" s="89" t="s">
        <v>21765</v>
      </c>
      <c r="CC513" s="89" t="str">
        <f>HYPERLINK("https%3A%2F%2Fwww.webofscience.com%2Fwos%2Fwoscc%2Ffull-record%2FWOS:000314597700002","View Full Record in Web of Science")</f>
        <v>View Full Record in Web of Science</v>
      </c>
    </row>
    <row r="514" spans="1:81" ht="13.2" hidden="1" x14ac:dyDescent="0.25">
      <c r="A514" s="89" t="s">
        <v>21766</v>
      </c>
      <c r="B514" s="89" t="e">
        <f>+#REF!</f>
        <v>#REF!</v>
      </c>
      <c r="C514" s="89"/>
      <c r="D514" s="91" t="s">
        <v>717</v>
      </c>
      <c r="E514" s="90" t="e">
        <v>#REF!</v>
      </c>
      <c r="F514" s="89"/>
      <c r="G514" s="89"/>
      <c r="H514" s="89" t="s">
        <v>9665</v>
      </c>
      <c r="I514" s="89" t="s">
        <v>21767</v>
      </c>
      <c r="J514" s="89" t="s">
        <v>646</v>
      </c>
      <c r="K514" s="89" t="s">
        <v>21768</v>
      </c>
      <c r="M514" s="89">
        <v>2021</v>
      </c>
      <c r="N514" s="89" t="s">
        <v>20105</v>
      </c>
      <c r="O514" s="89" t="s">
        <v>646</v>
      </c>
      <c r="P514" s="89" t="str">
        <f>HYPERLINK("http://dx.doi.org/10.3389/fpsyg.2021.724966","http://dx.doi.org/10.3389/fpsyg.2021.724966")</f>
        <v>http://dx.doi.org/10.3389/fpsyg.2021.724966</v>
      </c>
      <c r="S514" s="89" t="s">
        <v>646</v>
      </c>
      <c r="U514" s="89" t="s">
        <v>17462</v>
      </c>
      <c r="W514" s="89" t="s">
        <v>646</v>
      </c>
      <c r="X514" s="89" t="s">
        <v>646</v>
      </c>
      <c r="Y514" s="89" t="s">
        <v>646</v>
      </c>
      <c r="Z514" s="89" t="s">
        <v>646</v>
      </c>
      <c r="AA514" s="89" t="s">
        <v>646</v>
      </c>
      <c r="AB514" s="89" t="s">
        <v>646</v>
      </c>
      <c r="AC514" s="89" t="s">
        <v>646</v>
      </c>
      <c r="AD514" s="89" t="s">
        <v>646</v>
      </c>
      <c r="AE514" s="89" t="s">
        <v>646</v>
      </c>
      <c r="AF514" s="89" t="s">
        <v>21768</v>
      </c>
      <c r="AG514" s="89" t="s">
        <v>646</v>
      </c>
      <c r="AH514" s="89" t="s">
        <v>646</v>
      </c>
      <c r="AI514" s="89" t="s">
        <v>646</v>
      </c>
      <c r="AJ514" s="89" t="s">
        <v>646</v>
      </c>
      <c r="AK514" s="89" t="s">
        <v>646</v>
      </c>
      <c r="AL514" s="89" t="s">
        <v>21769</v>
      </c>
      <c r="AM514" s="89" t="s">
        <v>646</v>
      </c>
      <c r="AN514" s="89" t="s">
        <v>646</v>
      </c>
      <c r="AO514" s="89" t="s">
        <v>646</v>
      </c>
      <c r="AP514" s="89" t="s">
        <v>646</v>
      </c>
      <c r="AQ514" s="89" t="s">
        <v>646</v>
      </c>
      <c r="AR514" s="89" t="s">
        <v>646</v>
      </c>
      <c r="AS514" s="89" t="s">
        <v>646</v>
      </c>
      <c r="AT514" s="89" t="s">
        <v>646</v>
      </c>
      <c r="AU514" s="89" t="s">
        <v>646</v>
      </c>
      <c r="AV514" s="89" t="s">
        <v>646</v>
      </c>
      <c r="AW514" s="89" t="s">
        <v>646</v>
      </c>
      <c r="AX514" s="89" t="s">
        <v>646</v>
      </c>
      <c r="AY514" s="89" t="s">
        <v>20108</v>
      </c>
      <c r="AZ514" s="89" t="s">
        <v>646</v>
      </c>
      <c r="BA514" s="89" t="s">
        <v>646</v>
      </c>
      <c r="BB514" s="89" t="s">
        <v>646</v>
      </c>
      <c r="BC514" s="89" t="s">
        <v>646</v>
      </c>
      <c r="BD514" s="89" t="s">
        <v>21770</v>
      </c>
      <c r="BE514" s="89">
        <v>2021</v>
      </c>
      <c r="BF514" s="89">
        <v>12</v>
      </c>
      <c r="BG514" s="89" t="s">
        <v>646</v>
      </c>
      <c r="BH514" s="89" t="s">
        <v>646</v>
      </c>
      <c r="BI514" s="89" t="s">
        <v>646</v>
      </c>
      <c r="BJ514" s="89" t="s">
        <v>646</v>
      </c>
      <c r="BK514" s="89" t="s">
        <v>646</v>
      </c>
      <c r="BL514" s="89" t="s">
        <v>646</v>
      </c>
      <c r="BM514" s="89" t="s">
        <v>646</v>
      </c>
      <c r="BN514" s="89">
        <v>724966</v>
      </c>
      <c r="BO514" s="89" t="str">
        <f>HYPERLINK("http://dx.doi.org/10.3389/fpsyg.2021.724966","http://dx.doi.org/10.3389/fpsyg.2021.724966")</f>
        <v>http://dx.doi.org/10.3389/fpsyg.2021.724966</v>
      </c>
      <c r="BP514" s="89" t="s">
        <v>646</v>
      </c>
      <c r="BQ514" s="89" t="s">
        <v>646</v>
      </c>
      <c r="BR514" s="89" t="s">
        <v>646</v>
      </c>
      <c r="BS514" s="89" t="s">
        <v>646</v>
      </c>
      <c r="BT514" s="89" t="s">
        <v>646</v>
      </c>
      <c r="BU514" s="89" t="s">
        <v>646</v>
      </c>
      <c r="BV514" s="89" t="s">
        <v>646</v>
      </c>
      <c r="BW514" s="89">
        <v>34925133</v>
      </c>
      <c r="BX514" s="89" t="s">
        <v>646</v>
      </c>
      <c r="BY514" s="89" t="s">
        <v>646</v>
      </c>
      <c r="BZ514" s="89" t="s">
        <v>646</v>
      </c>
      <c r="CA514" s="89" t="s">
        <v>646</v>
      </c>
      <c r="CB514" s="89" t="s">
        <v>21771</v>
      </c>
      <c r="CC514" s="89" t="str">
        <f>HYPERLINK("https%3A%2F%2Fwww.webofscience.com%2Fwos%2Fwoscc%2Ffull-record%2FWOS:000730744400001","View Full Record in Web of Science")</f>
        <v>View Full Record in Web of Science</v>
      </c>
    </row>
    <row r="515" spans="1:81" ht="13.2" hidden="1" x14ac:dyDescent="0.25">
      <c r="A515" s="89" t="s">
        <v>21772</v>
      </c>
      <c r="B515" s="89" t="e">
        <f>+#REF!</f>
        <v>#REF!</v>
      </c>
      <c r="C515" s="89"/>
      <c r="D515" s="91" t="s">
        <v>717</v>
      </c>
      <c r="E515" s="90" t="e">
        <v>#REF!</v>
      </c>
      <c r="F515" s="89"/>
      <c r="G515" s="89"/>
      <c r="H515" s="89" t="s">
        <v>10776</v>
      </c>
      <c r="I515" s="89" t="s">
        <v>21773</v>
      </c>
      <c r="J515" s="89" t="s">
        <v>21776</v>
      </c>
      <c r="K515" s="89" t="s">
        <v>21775</v>
      </c>
      <c r="M515" s="89">
        <v>2010</v>
      </c>
      <c r="N515" s="89" t="s">
        <v>21774</v>
      </c>
      <c r="O515" s="89" t="s">
        <v>646</v>
      </c>
      <c r="P515" s="89" t="str">
        <f>HYPERLINK("http://dx.doi.org/10.2753/MIS0742-1222270102","http://dx.doi.org/10.2753/MIS0742-1222270102")</f>
        <v>http://dx.doi.org/10.2753/MIS0742-1222270102</v>
      </c>
      <c r="S515" s="89" t="s">
        <v>646</v>
      </c>
      <c r="U515" s="89" t="s">
        <v>17462</v>
      </c>
      <c r="W515" s="89" t="s">
        <v>646</v>
      </c>
      <c r="X515" s="89" t="s">
        <v>646</v>
      </c>
      <c r="Y515" s="89" t="s">
        <v>646</v>
      </c>
      <c r="Z515" s="89" t="s">
        <v>646</v>
      </c>
      <c r="AA515" s="89" t="s">
        <v>646</v>
      </c>
      <c r="AB515" s="89" t="s">
        <v>646</v>
      </c>
      <c r="AC515" s="89" t="s">
        <v>646</v>
      </c>
      <c r="AD515" s="89" t="s">
        <v>646</v>
      </c>
      <c r="AE515" s="89" t="s">
        <v>646</v>
      </c>
      <c r="AF515" s="89" t="s">
        <v>21775</v>
      </c>
      <c r="AG515" s="89" t="s">
        <v>646</v>
      </c>
      <c r="AH515" s="89" t="s">
        <v>646</v>
      </c>
      <c r="AI515" s="89" t="s">
        <v>646</v>
      </c>
      <c r="AJ515" s="89" t="s">
        <v>646</v>
      </c>
      <c r="AK515" s="89" t="s">
        <v>21776</v>
      </c>
      <c r="AL515" s="89" t="s">
        <v>21777</v>
      </c>
      <c r="AM515" s="89" t="s">
        <v>646</v>
      </c>
      <c r="AN515" s="89" t="s">
        <v>646</v>
      </c>
      <c r="AO515" s="89" t="s">
        <v>646</v>
      </c>
      <c r="AP515" s="89" t="s">
        <v>646</v>
      </c>
      <c r="AQ515" s="89" t="s">
        <v>646</v>
      </c>
      <c r="AR515" s="89" t="s">
        <v>646</v>
      </c>
      <c r="AS515" s="89" t="s">
        <v>646</v>
      </c>
      <c r="AT515" s="89" t="s">
        <v>646</v>
      </c>
      <c r="AU515" s="89" t="s">
        <v>646</v>
      </c>
      <c r="AV515" s="89" t="s">
        <v>646</v>
      </c>
      <c r="AW515" s="89" t="s">
        <v>646</v>
      </c>
      <c r="AX515" s="89" t="s">
        <v>646</v>
      </c>
      <c r="AY515" s="89" t="s">
        <v>21778</v>
      </c>
      <c r="AZ515" s="89" t="s">
        <v>21779</v>
      </c>
      <c r="BA515" s="89" t="s">
        <v>646</v>
      </c>
      <c r="BB515" s="89" t="s">
        <v>646</v>
      </c>
      <c r="BC515" s="89" t="s">
        <v>646</v>
      </c>
      <c r="BD515" s="89" t="s">
        <v>19063</v>
      </c>
      <c r="BE515" s="89">
        <v>2010</v>
      </c>
      <c r="BF515" s="89">
        <v>27</v>
      </c>
      <c r="BG515" s="89">
        <v>1</v>
      </c>
      <c r="BH515" s="89" t="s">
        <v>646</v>
      </c>
      <c r="BI515" s="89" t="s">
        <v>646</v>
      </c>
      <c r="BJ515" s="89" t="s">
        <v>646</v>
      </c>
      <c r="BK515" s="89" t="s">
        <v>646</v>
      </c>
      <c r="BL515" s="89">
        <v>17</v>
      </c>
      <c r="BM515" s="89">
        <v>37</v>
      </c>
      <c r="BN515" s="89" t="s">
        <v>646</v>
      </c>
      <c r="BO515" s="89" t="str">
        <f>HYPERLINK("http://dx.doi.org/10.2753/MIS0742-1222270102","http://dx.doi.org/10.2753/MIS0742-1222270102")</f>
        <v>http://dx.doi.org/10.2753/MIS0742-1222270102</v>
      </c>
      <c r="BP515" s="89" t="s">
        <v>646</v>
      </c>
      <c r="BQ515" s="89" t="s">
        <v>646</v>
      </c>
      <c r="BR515" s="89" t="s">
        <v>646</v>
      </c>
      <c r="BS515" s="89" t="s">
        <v>646</v>
      </c>
      <c r="BT515" s="89" t="s">
        <v>646</v>
      </c>
      <c r="BU515" s="89" t="s">
        <v>646</v>
      </c>
      <c r="BV515" s="89" t="s">
        <v>646</v>
      </c>
      <c r="BW515" s="89" t="s">
        <v>646</v>
      </c>
      <c r="BX515" s="89" t="s">
        <v>646</v>
      </c>
      <c r="BY515" s="89" t="s">
        <v>646</v>
      </c>
      <c r="BZ515" s="89" t="s">
        <v>646</v>
      </c>
      <c r="CA515" s="89" t="s">
        <v>646</v>
      </c>
      <c r="CB515" s="89" t="s">
        <v>21780</v>
      </c>
      <c r="CC515" s="89" t="str">
        <f>HYPERLINK("https%3A%2F%2Fwww.webofscience.com%2Fwos%2Fwoscc%2Ffull-record%2FWOS:000280784500003","View Full Record in Web of Science")</f>
        <v>View Full Record in Web of Science</v>
      </c>
    </row>
    <row r="516" spans="1:81" ht="13.2" hidden="1" x14ac:dyDescent="0.25">
      <c r="A516" s="89" t="s">
        <v>21781</v>
      </c>
      <c r="B516" s="89" t="e">
        <f>+#REF!</f>
        <v>#REF!</v>
      </c>
      <c r="C516" s="89"/>
      <c r="D516" s="91" t="s">
        <v>717</v>
      </c>
      <c r="E516" s="90" t="e">
        <v>#REF!</v>
      </c>
      <c r="F516" s="89"/>
      <c r="G516" s="89"/>
      <c r="H516" s="89" t="s">
        <v>727</v>
      </c>
      <c r="I516" s="89" t="s">
        <v>21783</v>
      </c>
      <c r="J516" s="89" t="s">
        <v>21789</v>
      </c>
      <c r="K516" s="89" t="s">
        <v>21788</v>
      </c>
      <c r="M516" s="89">
        <v>2017</v>
      </c>
      <c r="N516" s="89" t="s">
        <v>21784</v>
      </c>
      <c r="O516" s="89" t="s">
        <v>21782</v>
      </c>
      <c r="P516" s="89" t="str">
        <f>HYPERLINK("http://dx.doi.org/10.3233/978-1-61499-800-6-593","http://dx.doi.org/10.3233/978-1-61499-800-6-593")</f>
        <v>http://dx.doi.org/10.3233/978-1-61499-800-6-593</v>
      </c>
      <c r="S516" s="89" t="s">
        <v>646</v>
      </c>
      <c r="U516" s="89" t="s">
        <v>17474</v>
      </c>
      <c r="W516" s="89" t="s">
        <v>646</v>
      </c>
      <c r="X516" s="89" t="s">
        <v>646</v>
      </c>
      <c r="Y516" s="89" t="s">
        <v>21785</v>
      </c>
      <c r="Z516" s="89" t="s">
        <v>21786</v>
      </c>
      <c r="AA516" s="89" t="s">
        <v>21787</v>
      </c>
      <c r="AB516" s="89" t="s">
        <v>646</v>
      </c>
      <c r="AC516" s="89" t="s">
        <v>646</v>
      </c>
      <c r="AD516" s="89" t="s">
        <v>646</v>
      </c>
      <c r="AE516" s="89" t="s">
        <v>646</v>
      </c>
      <c r="AF516" s="89" t="s">
        <v>21788</v>
      </c>
      <c r="AG516" s="89" t="s">
        <v>646</v>
      </c>
      <c r="AH516" s="89" t="s">
        <v>646</v>
      </c>
      <c r="AI516" s="89" t="s">
        <v>646</v>
      </c>
      <c r="AJ516" s="89" t="s">
        <v>646</v>
      </c>
      <c r="AK516" s="89" t="s">
        <v>21789</v>
      </c>
      <c r="AL516" s="89" t="s">
        <v>646</v>
      </c>
      <c r="AM516" s="89" t="s">
        <v>646</v>
      </c>
      <c r="AN516" s="89" t="s">
        <v>646</v>
      </c>
      <c r="AO516" s="89" t="s">
        <v>646</v>
      </c>
      <c r="AP516" s="89" t="s">
        <v>646</v>
      </c>
      <c r="AQ516" s="89" t="s">
        <v>646</v>
      </c>
      <c r="AR516" s="89" t="s">
        <v>646</v>
      </c>
      <c r="AS516" s="89" t="s">
        <v>646</v>
      </c>
      <c r="AT516" s="89" t="s">
        <v>646</v>
      </c>
      <c r="AU516" s="89" t="s">
        <v>646</v>
      </c>
      <c r="AV516" s="89" t="s">
        <v>646</v>
      </c>
      <c r="AW516" s="89" t="s">
        <v>646</v>
      </c>
      <c r="AX516" s="89" t="s">
        <v>646</v>
      </c>
      <c r="AY516" s="89" t="s">
        <v>21790</v>
      </c>
      <c r="AZ516" s="89" t="s">
        <v>21791</v>
      </c>
      <c r="BA516" s="89" t="s">
        <v>21792</v>
      </c>
      <c r="BB516" s="89" t="s">
        <v>646</v>
      </c>
      <c r="BC516" s="89" t="s">
        <v>646</v>
      </c>
      <c r="BD516" s="89" t="s">
        <v>646</v>
      </c>
      <c r="BE516" s="89">
        <v>2017</v>
      </c>
      <c r="BF516" s="89">
        <v>297</v>
      </c>
      <c r="BG516" s="89" t="s">
        <v>646</v>
      </c>
      <c r="BH516" s="89" t="s">
        <v>646</v>
      </c>
      <c r="BI516" s="89" t="s">
        <v>646</v>
      </c>
      <c r="BJ516" s="89" t="s">
        <v>646</v>
      </c>
      <c r="BK516" s="89" t="s">
        <v>646</v>
      </c>
      <c r="BL516" s="89">
        <v>593</v>
      </c>
      <c r="BM516" s="89">
        <v>603</v>
      </c>
      <c r="BN516" s="89" t="s">
        <v>646</v>
      </c>
      <c r="BO516" s="89" t="str">
        <f>HYPERLINK("http://dx.doi.org/10.3233/978-1-61499-800-6-593","http://dx.doi.org/10.3233/978-1-61499-800-6-593")</f>
        <v>http://dx.doi.org/10.3233/978-1-61499-800-6-593</v>
      </c>
      <c r="BP516" s="89" t="s">
        <v>646</v>
      </c>
      <c r="BQ516" s="89" t="s">
        <v>646</v>
      </c>
      <c r="BR516" s="89" t="s">
        <v>646</v>
      </c>
      <c r="BS516" s="89" t="s">
        <v>646</v>
      </c>
      <c r="BT516" s="89" t="s">
        <v>646</v>
      </c>
      <c r="BU516" s="89" t="s">
        <v>646</v>
      </c>
      <c r="BV516" s="89" t="s">
        <v>646</v>
      </c>
      <c r="BW516" s="89" t="s">
        <v>646</v>
      </c>
      <c r="BX516" s="89" t="s">
        <v>646</v>
      </c>
      <c r="BY516" s="89" t="s">
        <v>646</v>
      </c>
      <c r="BZ516" s="89" t="s">
        <v>646</v>
      </c>
      <c r="CA516" s="89" t="s">
        <v>646</v>
      </c>
      <c r="CB516" s="89" t="s">
        <v>21793</v>
      </c>
      <c r="CC516" s="89" t="str">
        <f>HYPERLINK("https%3A%2F%2Fwww.webofscience.com%2Fwos%2Fwoscc%2Ffull-record%2FWOS:000452115800048","View Full Record in Web of Science")</f>
        <v>View Full Record in Web of Science</v>
      </c>
    </row>
    <row r="517" spans="1:81" ht="13.2" hidden="1" x14ac:dyDescent="0.25">
      <c r="A517" s="89" t="s">
        <v>21794</v>
      </c>
      <c r="B517" s="89" t="e">
        <f>+#REF!</f>
        <v>#REF!</v>
      </c>
      <c r="C517" s="89"/>
      <c r="D517" s="91" t="s">
        <v>717</v>
      </c>
      <c r="E517" s="90" t="e">
        <v>#REF!</v>
      </c>
      <c r="F517" s="89"/>
      <c r="G517" s="89"/>
      <c r="H517" s="89" t="s">
        <v>646</v>
      </c>
      <c r="I517" s="89" t="s">
        <v>21795</v>
      </c>
      <c r="J517" s="89" t="s">
        <v>646</v>
      </c>
      <c r="K517" s="89" t="s">
        <v>21800</v>
      </c>
      <c r="M517" s="89">
        <v>2010</v>
      </c>
      <c r="N517" s="89" t="s">
        <v>21796</v>
      </c>
      <c r="O517" s="89" t="s">
        <v>646</v>
      </c>
      <c r="P517" s="89" t="s">
        <v>646</v>
      </c>
      <c r="S517" s="89" t="s">
        <v>17475</v>
      </c>
      <c r="U517" s="89" t="s">
        <v>17474</v>
      </c>
      <c r="W517" s="89" t="s">
        <v>646</v>
      </c>
      <c r="X517" s="89" t="s">
        <v>646</v>
      </c>
      <c r="Y517" s="89" t="s">
        <v>21797</v>
      </c>
      <c r="Z517" s="89" t="s">
        <v>21798</v>
      </c>
      <c r="AA517" s="89" t="s">
        <v>19772</v>
      </c>
      <c r="AB517" s="89" t="s">
        <v>21799</v>
      </c>
      <c r="AC517" s="89" t="s">
        <v>646</v>
      </c>
      <c r="AD517" s="89" t="s">
        <v>646</v>
      </c>
      <c r="AE517" s="89" t="s">
        <v>646</v>
      </c>
      <c r="AF517" s="89" t="s">
        <v>21800</v>
      </c>
      <c r="AG517" s="89" t="s">
        <v>646</v>
      </c>
      <c r="AH517" s="89" t="s">
        <v>646</v>
      </c>
      <c r="AI517" s="89" t="s">
        <v>646</v>
      </c>
      <c r="AJ517" s="89" t="s">
        <v>646</v>
      </c>
      <c r="AK517" s="89" t="s">
        <v>646</v>
      </c>
      <c r="AL517" s="89" t="s">
        <v>646</v>
      </c>
      <c r="AM517" s="89" t="s">
        <v>646</v>
      </c>
      <c r="AN517" s="89" t="s">
        <v>646</v>
      </c>
      <c r="AO517" s="89" t="s">
        <v>646</v>
      </c>
      <c r="AP517" s="89" t="s">
        <v>646</v>
      </c>
      <c r="AQ517" s="89" t="s">
        <v>646</v>
      </c>
      <c r="AR517" s="89" t="s">
        <v>646</v>
      </c>
      <c r="AS517" s="89" t="s">
        <v>646</v>
      </c>
      <c r="AT517" s="89" t="s">
        <v>646</v>
      </c>
      <c r="AU517" s="89" t="s">
        <v>646</v>
      </c>
      <c r="AV517" s="89" t="s">
        <v>646</v>
      </c>
      <c r="AW517" s="89" t="s">
        <v>646</v>
      </c>
      <c r="AX517" s="89" t="s">
        <v>646</v>
      </c>
      <c r="AY517" s="89" t="s">
        <v>21801</v>
      </c>
      <c r="AZ517" s="89" t="s">
        <v>646</v>
      </c>
      <c r="BA517" s="89" t="s">
        <v>21802</v>
      </c>
      <c r="BB517" s="89" t="s">
        <v>646</v>
      </c>
      <c r="BC517" s="89" t="s">
        <v>646</v>
      </c>
      <c r="BD517" s="89" t="s">
        <v>646</v>
      </c>
      <c r="BE517" s="89">
        <v>2010</v>
      </c>
      <c r="BF517" s="89" t="s">
        <v>646</v>
      </c>
      <c r="BG517" s="89" t="s">
        <v>646</v>
      </c>
      <c r="BH517" s="89" t="s">
        <v>646</v>
      </c>
      <c r="BI517" s="89" t="s">
        <v>646</v>
      </c>
      <c r="BJ517" s="89" t="s">
        <v>646</v>
      </c>
      <c r="BK517" s="89" t="s">
        <v>646</v>
      </c>
      <c r="BL517" s="89">
        <v>4551</v>
      </c>
      <c r="BM517" s="89">
        <v>4560</v>
      </c>
      <c r="BN517" s="89" t="s">
        <v>646</v>
      </c>
      <c r="BO517" s="89" t="s">
        <v>646</v>
      </c>
      <c r="BP517" s="89" t="s">
        <v>646</v>
      </c>
      <c r="BQ517" s="89" t="s">
        <v>646</v>
      </c>
      <c r="BR517" s="89" t="s">
        <v>646</v>
      </c>
      <c r="BS517" s="89" t="s">
        <v>646</v>
      </c>
      <c r="BT517" s="89" t="s">
        <v>646</v>
      </c>
      <c r="BU517" s="89" t="s">
        <v>646</v>
      </c>
      <c r="BV517" s="89" t="s">
        <v>646</v>
      </c>
      <c r="BW517" s="89" t="s">
        <v>646</v>
      </c>
      <c r="BX517" s="89" t="s">
        <v>646</v>
      </c>
      <c r="BY517" s="89" t="s">
        <v>646</v>
      </c>
      <c r="BZ517" s="89" t="s">
        <v>646</v>
      </c>
      <c r="CA517" s="89" t="s">
        <v>646</v>
      </c>
      <c r="CB517" s="89" t="s">
        <v>21803</v>
      </c>
      <c r="CC517" s="89" t="str">
        <f>HYPERLINK("https%3A%2F%2Fwww.webofscience.com%2Fwos%2Fwoscc%2Ffull-record%2FWOS:000282391803089","View Full Record in Web of Science")</f>
        <v>View Full Record in Web of Science</v>
      </c>
    </row>
    <row r="518" spans="1:81" ht="13.2" hidden="1" x14ac:dyDescent="0.25">
      <c r="A518" s="89" t="s">
        <v>13194</v>
      </c>
      <c r="B518" s="89" t="e">
        <f>+#REF!</f>
        <v>#REF!</v>
      </c>
      <c r="C518" s="89"/>
      <c r="D518" s="91" t="s">
        <v>717</v>
      </c>
      <c r="E518" s="90" t="e">
        <v>#REF!</v>
      </c>
      <c r="F518" s="89"/>
      <c r="G518" s="89"/>
      <c r="H518" s="89" t="s">
        <v>646</v>
      </c>
      <c r="I518" s="89" t="s">
        <v>21804</v>
      </c>
      <c r="J518" s="89" t="s">
        <v>21811</v>
      </c>
      <c r="K518" s="89" t="s">
        <v>21810</v>
      </c>
      <c r="M518" s="89">
        <v>2015</v>
      </c>
      <c r="N518" s="89" t="s">
        <v>21805</v>
      </c>
      <c r="O518" s="89" t="s">
        <v>646</v>
      </c>
      <c r="P518" s="89" t="s">
        <v>646</v>
      </c>
      <c r="S518" s="89" t="s">
        <v>17475</v>
      </c>
      <c r="U518" s="89" t="s">
        <v>17474</v>
      </c>
      <c r="W518" s="89" t="s">
        <v>646</v>
      </c>
      <c r="X518" s="89" t="s">
        <v>646</v>
      </c>
      <c r="Y518" s="89" t="s">
        <v>21806</v>
      </c>
      <c r="Z518" s="89" t="s">
        <v>21807</v>
      </c>
      <c r="AA518" s="89" t="s">
        <v>21808</v>
      </c>
      <c r="AB518" s="89" t="s">
        <v>17475</v>
      </c>
      <c r="AC518" s="89" t="s">
        <v>21809</v>
      </c>
      <c r="AD518" s="89" t="s">
        <v>646</v>
      </c>
      <c r="AE518" s="89" t="s">
        <v>646</v>
      </c>
      <c r="AF518" s="89" t="s">
        <v>21810</v>
      </c>
      <c r="AG518" s="89" t="s">
        <v>646</v>
      </c>
      <c r="AH518" s="89" t="s">
        <v>646</v>
      </c>
      <c r="AI518" s="89" t="s">
        <v>646</v>
      </c>
      <c r="AJ518" s="89" t="s">
        <v>646</v>
      </c>
      <c r="AK518" s="89" t="s">
        <v>21811</v>
      </c>
      <c r="AL518" s="89" t="s">
        <v>21812</v>
      </c>
      <c r="AM518" s="89" t="s">
        <v>646</v>
      </c>
      <c r="AN518" s="89" t="s">
        <v>646</v>
      </c>
      <c r="AO518" s="89" t="s">
        <v>646</v>
      </c>
      <c r="AP518" s="89" t="s">
        <v>646</v>
      </c>
      <c r="AQ518" s="89" t="s">
        <v>646</v>
      </c>
      <c r="AR518" s="89" t="s">
        <v>646</v>
      </c>
      <c r="AS518" s="89" t="s">
        <v>646</v>
      </c>
      <c r="AT518" s="89" t="s">
        <v>646</v>
      </c>
      <c r="AU518" s="89" t="s">
        <v>646</v>
      </c>
      <c r="AV518" s="89" t="s">
        <v>646</v>
      </c>
      <c r="AW518" s="89" t="s">
        <v>646</v>
      </c>
      <c r="AX518" s="89" t="s">
        <v>646</v>
      </c>
      <c r="AY518" s="89" t="s">
        <v>646</v>
      </c>
      <c r="AZ518" s="89" t="s">
        <v>646</v>
      </c>
      <c r="BA518" s="89" t="s">
        <v>21813</v>
      </c>
      <c r="BB518" s="89" t="s">
        <v>646</v>
      </c>
      <c r="BC518" s="89" t="s">
        <v>646</v>
      </c>
      <c r="BD518" s="89" t="s">
        <v>646</v>
      </c>
      <c r="BE518" s="89">
        <v>2015</v>
      </c>
      <c r="BF518" s="89" t="s">
        <v>646</v>
      </c>
      <c r="BG518" s="89" t="s">
        <v>646</v>
      </c>
      <c r="BH518" s="89" t="s">
        <v>646</v>
      </c>
      <c r="BI518" s="89" t="s">
        <v>646</v>
      </c>
      <c r="BJ518" s="89" t="s">
        <v>646</v>
      </c>
      <c r="BK518" s="89" t="s">
        <v>646</v>
      </c>
      <c r="BL518" s="89" t="s">
        <v>646</v>
      </c>
      <c r="BM518" s="89" t="s">
        <v>646</v>
      </c>
      <c r="BN518" s="89" t="s">
        <v>646</v>
      </c>
      <c r="BO518" s="89" t="s">
        <v>646</v>
      </c>
      <c r="BP518" s="89" t="s">
        <v>646</v>
      </c>
      <c r="BQ518" s="89" t="s">
        <v>646</v>
      </c>
      <c r="BR518" s="89" t="s">
        <v>646</v>
      </c>
      <c r="BS518" s="89" t="s">
        <v>646</v>
      </c>
      <c r="BT518" s="89" t="s">
        <v>646</v>
      </c>
      <c r="BU518" s="89" t="s">
        <v>646</v>
      </c>
      <c r="BV518" s="89" t="s">
        <v>646</v>
      </c>
      <c r="BW518" s="89" t="s">
        <v>646</v>
      </c>
      <c r="BX518" s="89" t="s">
        <v>646</v>
      </c>
      <c r="BY518" s="89" t="s">
        <v>646</v>
      </c>
      <c r="BZ518" s="89" t="s">
        <v>646</v>
      </c>
      <c r="CA518" s="89" t="s">
        <v>646</v>
      </c>
      <c r="CB518" s="89" t="s">
        <v>21814</v>
      </c>
      <c r="CC518" s="89" t="str">
        <f>HYPERLINK("https%3A%2F%2Fwww.webofscience.com%2Fwos%2Fwoscc%2Ffull-record%2FWOS:000380409500007","View Full Record in Web of Science")</f>
        <v>View Full Record in Web of Science</v>
      </c>
    </row>
    <row r="519" spans="1:81" ht="13.2" hidden="1" x14ac:dyDescent="0.25">
      <c r="A519" s="89" t="s">
        <v>21815</v>
      </c>
      <c r="B519" s="89" t="e">
        <f>+#REF!</f>
        <v>#REF!</v>
      </c>
      <c r="C519" s="89"/>
      <c r="D519" s="91" t="s">
        <v>717</v>
      </c>
      <c r="E519" s="90" t="e">
        <v>#REF!</v>
      </c>
      <c r="F519" s="89"/>
      <c r="G519" s="89"/>
      <c r="H519" s="89" t="s">
        <v>13204</v>
      </c>
      <c r="I519" s="89" t="s">
        <v>21816</v>
      </c>
      <c r="J519" s="89" t="s">
        <v>646</v>
      </c>
      <c r="K519" s="89" t="s">
        <v>21818</v>
      </c>
      <c r="M519" s="89">
        <v>2017</v>
      </c>
      <c r="N519" s="89" t="s">
        <v>21817</v>
      </c>
      <c r="O519" s="89" t="s">
        <v>646</v>
      </c>
      <c r="P519" s="89" t="str">
        <f>HYPERLINK("http://dx.doi.org/10.1016/j.eist.2016.09.002","http://dx.doi.org/10.1016/j.eist.2016.09.002")</f>
        <v>http://dx.doi.org/10.1016/j.eist.2016.09.002</v>
      </c>
      <c r="S519" s="89" t="s">
        <v>646</v>
      </c>
      <c r="U519" s="89" t="s">
        <v>17462</v>
      </c>
      <c r="W519" s="89" t="s">
        <v>646</v>
      </c>
      <c r="X519" s="89" t="s">
        <v>646</v>
      </c>
      <c r="Y519" s="89" t="s">
        <v>646</v>
      </c>
      <c r="Z519" s="89" t="s">
        <v>646</v>
      </c>
      <c r="AA519" s="89" t="s">
        <v>646</v>
      </c>
      <c r="AB519" s="89" t="s">
        <v>646</v>
      </c>
      <c r="AC519" s="89" t="s">
        <v>646</v>
      </c>
      <c r="AD519" s="89" t="s">
        <v>646</v>
      </c>
      <c r="AE519" s="89" t="s">
        <v>646</v>
      </c>
      <c r="AF519" s="89" t="s">
        <v>21818</v>
      </c>
      <c r="AG519" s="89" t="s">
        <v>646</v>
      </c>
      <c r="AH519" s="89" t="s">
        <v>646</v>
      </c>
      <c r="AI519" s="89" t="s">
        <v>646</v>
      </c>
      <c r="AJ519" s="89" t="s">
        <v>646</v>
      </c>
      <c r="AK519" s="89" t="s">
        <v>646</v>
      </c>
      <c r="AL519" s="89" t="s">
        <v>21819</v>
      </c>
      <c r="AM519" s="89" t="s">
        <v>646</v>
      </c>
      <c r="AN519" s="89" t="s">
        <v>646</v>
      </c>
      <c r="AO519" s="89" t="s">
        <v>646</v>
      </c>
      <c r="AP519" s="89" t="s">
        <v>646</v>
      </c>
      <c r="AQ519" s="89" t="s">
        <v>646</v>
      </c>
      <c r="AR519" s="89" t="s">
        <v>646</v>
      </c>
      <c r="AS519" s="89" t="s">
        <v>646</v>
      </c>
      <c r="AT519" s="89" t="s">
        <v>646</v>
      </c>
      <c r="AU519" s="89" t="s">
        <v>646</v>
      </c>
      <c r="AV519" s="89" t="s">
        <v>646</v>
      </c>
      <c r="AW519" s="89" t="s">
        <v>646</v>
      </c>
      <c r="AX519" s="89" t="s">
        <v>646</v>
      </c>
      <c r="AY519" s="89" t="s">
        <v>21820</v>
      </c>
      <c r="AZ519" s="89" t="s">
        <v>21821</v>
      </c>
      <c r="BA519" s="89" t="s">
        <v>646</v>
      </c>
      <c r="BB519" s="89" t="s">
        <v>646</v>
      </c>
      <c r="BC519" s="89" t="s">
        <v>646</v>
      </c>
      <c r="BD519" s="89" t="s">
        <v>17772</v>
      </c>
      <c r="BE519" s="89">
        <v>2017</v>
      </c>
      <c r="BF519" s="89">
        <v>23</v>
      </c>
      <c r="BG519" s="89" t="s">
        <v>646</v>
      </c>
      <c r="BH519" s="89" t="s">
        <v>646</v>
      </c>
      <c r="BI519" s="89" t="s">
        <v>646</v>
      </c>
      <c r="BJ519" s="89" t="s">
        <v>646</v>
      </c>
      <c r="BK519" s="89" t="s">
        <v>646</v>
      </c>
      <c r="BL519" s="89">
        <v>92</v>
      </c>
      <c r="BM519" s="89">
        <v>104</v>
      </c>
      <c r="BN519" s="89" t="s">
        <v>646</v>
      </c>
      <c r="BO519" s="89" t="str">
        <f>HYPERLINK("http://dx.doi.org/10.1016/j.eist.2016.09.002","http://dx.doi.org/10.1016/j.eist.2016.09.002")</f>
        <v>http://dx.doi.org/10.1016/j.eist.2016.09.002</v>
      </c>
      <c r="BP519" s="89" t="s">
        <v>646</v>
      </c>
      <c r="BQ519" s="89" t="s">
        <v>646</v>
      </c>
      <c r="BR519" s="89" t="s">
        <v>646</v>
      </c>
      <c r="BS519" s="89" t="s">
        <v>646</v>
      </c>
      <c r="BT519" s="89" t="s">
        <v>646</v>
      </c>
      <c r="BU519" s="89" t="s">
        <v>646</v>
      </c>
      <c r="BV519" s="89" t="s">
        <v>646</v>
      </c>
      <c r="BW519" s="89" t="s">
        <v>646</v>
      </c>
      <c r="BX519" s="89" t="s">
        <v>646</v>
      </c>
      <c r="BY519" s="89" t="s">
        <v>646</v>
      </c>
      <c r="BZ519" s="89" t="s">
        <v>646</v>
      </c>
      <c r="CA519" s="89" t="s">
        <v>646</v>
      </c>
      <c r="CB519" s="89" t="s">
        <v>21822</v>
      </c>
      <c r="CC519" s="89" t="str">
        <f>HYPERLINK("https%3A%2F%2Fwww.webofscience.com%2Fwos%2Fwoscc%2Ffull-record%2FWOS:000405873800009","View Full Record in Web of Science")</f>
        <v>View Full Record in Web of Science</v>
      </c>
    </row>
    <row r="520" spans="1:81" ht="13.2" hidden="1" x14ac:dyDescent="0.25">
      <c r="A520" s="89" t="s">
        <v>13212</v>
      </c>
      <c r="B520" s="89" t="e">
        <f>+#REF!</f>
        <v>#REF!</v>
      </c>
      <c r="C520" s="89"/>
      <c r="D520" s="91" t="s">
        <v>717</v>
      </c>
      <c r="E520" s="90" t="e">
        <v>#REF!</v>
      </c>
      <c r="F520" s="89"/>
      <c r="G520" s="89"/>
      <c r="H520" s="89" t="s">
        <v>13213</v>
      </c>
      <c r="I520" s="89" t="s">
        <v>21823</v>
      </c>
      <c r="J520" s="89" t="s">
        <v>21826</v>
      </c>
      <c r="K520" s="89" t="s">
        <v>21825</v>
      </c>
      <c r="M520" s="89">
        <v>2019</v>
      </c>
      <c r="N520" s="89" t="s">
        <v>21824</v>
      </c>
      <c r="O520" s="89" t="s">
        <v>646</v>
      </c>
      <c r="P520" s="89" t="str">
        <f>HYPERLINK("http://dx.doi.org/10.1007/s11042-018-5747-5","http://dx.doi.org/10.1007/s11042-018-5747-5")</f>
        <v>http://dx.doi.org/10.1007/s11042-018-5747-5</v>
      </c>
      <c r="S520" s="89" t="s">
        <v>646</v>
      </c>
      <c r="U520" s="89" t="s">
        <v>17462</v>
      </c>
      <c r="W520" s="89" t="s">
        <v>646</v>
      </c>
      <c r="X520" s="89" t="s">
        <v>646</v>
      </c>
      <c r="Y520" s="89" t="s">
        <v>646</v>
      </c>
      <c r="Z520" s="89" t="s">
        <v>646</v>
      </c>
      <c r="AA520" s="89" t="s">
        <v>646</v>
      </c>
      <c r="AB520" s="89" t="s">
        <v>646</v>
      </c>
      <c r="AC520" s="89" t="s">
        <v>646</v>
      </c>
      <c r="AD520" s="89" t="s">
        <v>646</v>
      </c>
      <c r="AE520" s="89" t="s">
        <v>646</v>
      </c>
      <c r="AF520" s="89" t="s">
        <v>21825</v>
      </c>
      <c r="AG520" s="89" t="s">
        <v>646</v>
      </c>
      <c r="AH520" s="89" t="s">
        <v>646</v>
      </c>
      <c r="AI520" s="89" t="s">
        <v>646</v>
      </c>
      <c r="AJ520" s="89" t="s">
        <v>646</v>
      </c>
      <c r="AK520" s="89" t="s">
        <v>21826</v>
      </c>
      <c r="AL520" s="89" t="s">
        <v>20699</v>
      </c>
      <c r="AM520" s="89" t="s">
        <v>646</v>
      </c>
      <c r="AN520" s="89" t="s">
        <v>646</v>
      </c>
      <c r="AO520" s="89" t="s">
        <v>646</v>
      </c>
      <c r="AP520" s="89" t="s">
        <v>646</v>
      </c>
      <c r="AQ520" s="89" t="s">
        <v>646</v>
      </c>
      <c r="AR520" s="89" t="s">
        <v>646</v>
      </c>
      <c r="AS520" s="89" t="s">
        <v>646</v>
      </c>
      <c r="AT520" s="89" t="s">
        <v>646</v>
      </c>
      <c r="AU520" s="89" t="s">
        <v>646</v>
      </c>
      <c r="AV520" s="89" t="s">
        <v>646</v>
      </c>
      <c r="AW520" s="89" t="s">
        <v>646</v>
      </c>
      <c r="AX520" s="89" t="s">
        <v>646</v>
      </c>
      <c r="AY520" s="89" t="s">
        <v>21827</v>
      </c>
      <c r="AZ520" s="89" t="s">
        <v>21828</v>
      </c>
      <c r="BA520" s="89" t="s">
        <v>646</v>
      </c>
      <c r="BB520" s="89" t="s">
        <v>646</v>
      </c>
      <c r="BC520" s="89" t="s">
        <v>646</v>
      </c>
      <c r="BD520" s="89" t="s">
        <v>17658</v>
      </c>
      <c r="BE520" s="89">
        <v>2019</v>
      </c>
      <c r="BF520" s="89">
        <v>78</v>
      </c>
      <c r="BG520" s="89">
        <v>3</v>
      </c>
      <c r="BH520" s="89" t="s">
        <v>646</v>
      </c>
      <c r="BI520" s="89" t="s">
        <v>646</v>
      </c>
      <c r="BJ520" s="89" t="s">
        <v>646</v>
      </c>
      <c r="BK520" s="89" t="s">
        <v>646</v>
      </c>
      <c r="BL520" s="89">
        <v>2645</v>
      </c>
      <c r="BM520" s="89">
        <v>2665</v>
      </c>
      <c r="BN520" s="89" t="s">
        <v>646</v>
      </c>
      <c r="BO520" s="89" t="str">
        <f>HYPERLINK("http://dx.doi.org/10.1007/s11042-018-5747-5","http://dx.doi.org/10.1007/s11042-018-5747-5")</f>
        <v>http://dx.doi.org/10.1007/s11042-018-5747-5</v>
      </c>
      <c r="BP520" s="89" t="s">
        <v>646</v>
      </c>
      <c r="BQ520" s="89" t="s">
        <v>646</v>
      </c>
      <c r="BR520" s="89" t="s">
        <v>646</v>
      </c>
      <c r="BS520" s="89" t="s">
        <v>646</v>
      </c>
      <c r="BT520" s="89" t="s">
        <v>646</v>
      </c>
      <c r="BU520" s="89" t="s">
        <v>646</v>
      </c>
      <c r="BV520" s="89" t="s">
        <v>646</v>
      </c>
      <c r="BW520" s="89" t="s">
        <v>646</v>
      </c>
      <c r="BX520" s="89" t="s">
        <v>646</v>
      </c>
      <c r="BY520" s="89" t="s">
        <v>646</v>
      </c>
      <c r="BZ520" s="89" t="s">
        <v>646</v>
      </c>
      <c r="CA520" s="89" t="s">
        <v>646</v>
      </c>
      <c r="CB520" s="89" t="s">
        <v>21829</v>
      </c>
      <c r="CC520" s="89" t="str">
        <f>HYPERLINK("https%3A%2F%2Fwww.webofscience.com%2Fwos%2Fwoscc%2Ffull-record%2FWOS:000458171600002","View Full Record in Web of Science")</f>
        <v>View Full Record in Web of Science</v>
      </c>
    </row>
    <row r="521" spans="1:81" ht="13.2" hidden="1" x14ac:dyDescent="0.25">
      <c r="A521" s="89" t="s">
        <v>1234</v>
      </c>
      <c r="B521" s="89" t="e">
        <f>+#REF!</f>
        <v>#REF!</v>
      </c>
      <c r="C521" s="89"/>
      <c r="D521" s="91" t="s">
        <v>717</v>
      </c>
      <c r="E521" s="90" t="e">
        <v>#REF!</v>
      </c>
      <c r="F521" s="89"/>
      <c r="G521" s="89"/>
      <c r="H521" s="89" t="s">
        <v>1236</v>
      </c>
      <c r="I521" s="89" t="s">
        <v>21830</v>
      </c>
      <c r="J521" s="89" t="s">
        <v>21832</v>
      </c>
      <c r="K521" s="89" t="s">
        <v>21831</v>
      </c>
      <c r="M521" s="89">
        <v>2019</v>
      </c>
      <c r="N521" s="89" t="s">
        <v>18556</v>
      </c>
      <c r="O521" s="89" t="s">
        <v>646</v>
      </c>
      <c r="P521" s="89" t="str">
        <f>HYPERLINK("http://dx.doi.org/10.1016/j.asoc.2019.105648","http://dx.doi.org/10.1016/j.asoc.2019.105648")</f>
        <v>http://dx.doi.org/10.1016/j.asoc.2019.105648</v>
      </c>
      <c r="S521" s="89" t="s">
        <v>646</v>
      </c>
      <c r="U521" s="89" t="s">
        <v>17462</v>
      </c>
      <c r="W521" s="89" t="s">
        <v>646</v>
      </c>
      <c r="X521" s="89" t="s">
        <v>646</v>
      </c>
      <c r="Y521" s="89" t="s">
        <v>646</v>
      </c>
      <c r="Z521" s="89" t="s">
        <v>646</v>
      </c>
      <c r="AA521" s="89" t="s">
        <v>646</v>
      </c>
      <c r="AB521" s="89" t="s">
        <v>646</v>
      </c>
      <c r="AC521" s="89" t="s">
        <v>646</v>
      </c>
      <c r="AD521" s="89" t="s">
        <v>646</v>
      </c>
      <c r="AE521" s="89" t="s">
        <v>646</v>
      </c>
      <c r="AF521" s="89" t="s">
        <v>21831</v>
      </c>
      <c r="AG521" s="89" t="s">
        <v>646</v>
      </c>
      <c r="AH521" s="89" t="s">
        <v>646</v>
      </c>
      <c r="AI521" s="89" t="s">
        <v>646</v>
      </c>
      <c r="AJ521" s="89" t="s">
        <v>646</v>
      </c>
      <c r="AK521" s="89" t="s">
        <v>21832</v>
      </c>
      <c r="AL521" s="89" t="s">
        <v>21833</v>
      </c>
      <c r="AM521" s="89" t="s">
        <v>646</v>
      </c>
      <c r="AN521" s="89" t="s">
        <v>646</v>
      </c>
      <c r="AO521" s="89" t="s">
        <v>646</v>
      </c>
      <c r="AP521" s="89" t="s">
        <v>646</v>
      </c>
      <c r="AQ521" s="89" t="s">
        <v>646</v>
      </c>
      <c r="AR521" s="89" t="s">
        <v>646</v>
      </c>
      <c r="AS521" s="89" t="s">
        <v>646</v>
      </c>
      <c r="AT521" s="89" t="s">
        <v>646</v>
      </c>
      <c r="AU521" s="89" t="s">
        <v>646</v>
      </c>
      <c r="AV521" s="89" t="s">
        <v>646</v>
      </c>
      <c r="AW521" s="89" t="s">
        <v>646</v>
      </c>
      <c r="AX521" s="89" t="s">
        <v>646</v>
      </c>
      <c r="AY521" s="89" t="s">
        <v>18560</v>
      </c>
      <c r="AZ521" s="89" t="s">
        <v>18561</v>
      </c>
      <c r="BA521" s="89" t="s">
        <v>646</v>
      </c>
      <c r="BB521" s="89" t="s">
        <v>646</v>
      </c>
      <c r="BC521" s="89" t="s">
        <v>646</v>
      </c>
      <c r="BD521" s="89" t="s">
        <v>17687</v>
      </c>
      <c r="BE521" s="89">
        <v>2019</v>
      </c>
      <c r="BF521" s="89">
        <v>83</v>
      </c>
      <c r="BG521" s="89" t="s">
        <v>646</v>
      </c>
      <c r="BH521" s="89" t="s">
        <v>646</v>
      </c>
      <c r="BI521" s="89" t="s">
        <v>646</v>
      </c>
      <c r="BJ521" s="89" t="s">
        <v>646</v>
      </c>
      <c r="BK521" s="89" t="s">
        <v>646</v>
      </c>
      <c r="BL521" s="89" t="s">
        <v>646</v>
      </c>
      <c r="BM521" s="89" t="s">
        <v>646</v>
      </c>
      <c r="BN521" s="89">
        <v>105648</v>
      </c>
      <c r="BO521" s="89" t="str">
        <f>HYPERLINK("http://dx.doi.org/10.1016/j.asoc.2019.105648","http://dx.doi.org/10.1016/j.asoc.2019.105648")</f>
        <v>http://dx.doi.org/10.1016/j.asoc.2019.105648</v>
      </c>
      <c r="BP521" s="89" t="s">
        <v>646</v>
      </c>
      <c r="BQ521" s="89" t="s">
        <v>646</v>
      </c>
      <c r="BR521" s="89" t="s">
        <v>646</v>
      </c>
      <c r="BS521" s="89" t="s">
        <v>646</v>
      </c>
      <c r="BT521" s="89" t="s">
        <v>646</v>
      </c>
      <c r="BU521" s="89" t="s">
        <v>646</v>
      </c>
      <c r="BV521" s="89" t="s">
        <v>646</v>
      </c>
      <c r="BW521" s="89" t="s">
        <v>646</v>
      </c>
      <c r="BX521" s="89" t="s">
        <v>646</v>
      </c>
      <c r="BY521" s="89" t="s">
        <v>646</v>
      </c>
      <c r="BZ521" s="89" t="s">
        <v>646</v>
      </c>
      <c r="CA521" s="89" t="s">
        <v>646</v>
      </c>
      <c r="CB521" s="89" t="s">
        <v>21834</v>
      </c>
      <c r="CC521" s="89" t="str">
        <f>HYPERLINK("https%3A%2F%2Fwww.webofscience.com%2Fwos%2Fwoscc%2Ffull-record%2FWOS:000488100900053","View Full Record in Web of Science")</f>
        <v>View Full Record in Web of Science</v>
      </c>
    </row>
    <row r="522" spans="1:81" ht="13.2" hidden="1" x14ac:dyDescent="0.25">
      <c r="A522" s="89" t="s">
        <v>21835</v>
      </c>
      <c r="B522" s="89" t="e">
        <f>+#REF!</f>
        <v>#REF!</v>
      </c>
      <c r="C522" s="89"/>
      <c r="D522" s="91" t="s">
        <v>717</v>
      </c>
      <c r="E522" s="90" t="e">
        <v>#REF!</v>
      </c>
      <c r="F522" s="89"/>
      <c r="G522" s="89"/>
      <c r="H522" s="89" t="s">
        <v>13225</v>
      </c>
      <c r="I522" s="89" t="s">
        <v>21836</v>
      </c>
      <c r="J522" s="89" t="s">
        <v>646</v>
      </c>
      <c r="K522" s="89" t="s">
        <v>21838</v>
      </c>
      <c r="M522" s="89">
        <v>2017</v>
      </c>
      <c r="N522" s="89" t="s">
        <v>21837</v>
      </c>
      <c r="O522" s="89" t="s">
        <v>646</v>
      </c>
      <c r="P522" s="89" t="str">
        <f>HYPERLINK("http://dx.doi.org/10.1145/3022198.3026316","http://dx.doi.org/10.1145/3022198.3026316")</f>
        <v>http://dx.doi.org/10.1145/3022198.3026316</v>
      </c>
      <c r="S522" s="89" t="s">
        <v>17804</v>
      </c>
      <c r="U522" s="89" t="s">
        <v>17474</v>
      </c>
      <c r="W522" s="89" t="s">
        <v>646</v>
      </c>
      <c r="X522" s="89" t="s">
        <v>646</v>
      </c>
      <c r="Y522" s="89" t="s">
        <v>19853</v>
      </c>
      <c r="Z522" s="89" t="s">
        <v>19854</v>
      </c>
      <c r="AA522" s="89" t="s">
        <v>19855</v>
      </c>
      <c r="AB522" s="89" t="s">
        <v>19856</v>
      </c>
      <c r="AC522" s="89" t="s">
        <v>646</v>
      </c>
      <c r="AD522" s="89" t="s">
        <v>646</v>
      </c>
      <c r="AE522" s="89" t="s">
        <v>646</v>
      </c>
      <c r="AF522" s="89" t="s">
        <v>21838</v>
      </c>
      <c r="AG522" s="89" t="s">
        <v>646</v>
      </c>
      <c r="AH522" s="89" t="s">
        <v>646</v>
      </c>
      <c r="AI522" s="89" t="s">
        <v>646</v>
      </c>
      <c r="AJ522" s="89" t="s">
        <v>646</v>
      </c>
      <c r="AK522" s="89" t="s">
        <v>646</v>
      </c>
      <c r="AL522" s="89" t="s">
        <v>646</v>
      </c>
      <c r="AM522" s="89" t="s">
        <v>646</v>
      </c>
      <c r="AN522" s="89" t="s">
        <v>646</v>
      </c>
      <c r="AO522" s="89" t="s">
        <v>646</v>
      </c>
      <c r="AP522" s="89" t="s">
        <v>646</v>
      </c>
      <c r="AQ522" s="89" t="s">
        <v>646</v>
      </c>
      <c r="AR522" s="89" t="s">
        <v>646</v>
      </c>
      <c r="AS522" s="89" t="s">
        <v>646</v>
      </c>
      <c r="AT522" s="89" t="s">
        <v>646</v>
      </c>
      <c r="AU522" s="89" t="s">
        <v>646</v>
      </c>
      <c r="AV522" s="89" t="s">
        <v>646</v>
      </c>
      <c r="AW522" s="89" t="s">
        <v>646</v>
      </c>
      <c r="AX522" s="89" t="s">
        <v>646</v>
      </c>
      <c r="AY522" s="89" t="s">
        <v>646</v>
      </c>
      <c r="AZ522" s="89" t="s">
        <v>646</v>
      </c>
      <c r="BA522" s="89" t="s">
        <v>21839</v>
      </c>
      <c r="BB522" s="89" t="s">
        <v>646</v>
      </c>
      <c r="BC522" s="89" t="s">
        <v>646</v>
      </c>
      <c r="BD522" s="89" t="s">
        <v>646</v>
      </c>
      <c r="BE522" s="89">
        <v>2017</v>
      </c>
      <c r="BF522" s="89" t="s">
        <v>646</v>
      </c>
      <c r="BG522" s="89" t="s">
        <v>646</v>
      </c>
      <c r="BH522" s="89" t="s">
        <v>646</v>
      </c>
      <c r="BI522" s="89" t="s">
        <v>646</v>
      </c>
      <c r="BJ522" s="89" t="s">
        <v>646</v>
      </c>
      <c r="BK522" s="89" t="s">
        <v>646</v>
      </c>
      <c r="BL522" s="89">
        <v>127</v>
      </c>
      <c r="BM522" s="89">
        <v>130</v>
      </c>
      <c r="BN522" s="89" t="s">
        <v>646</v>
      </c>
      <c r="BO522" s="89" t="str">
        <f>HYPERLINK("http://dx.doi.org/10.1145/3022198.3026316","http://dx.doi.org/10.1145/3022198.3026316")</f>
        <v>http://dx.doi.org/10.1145/3022198.3026316</v>
      </c>
      <c r="BP522" s="89" t="s">
        <v>646</v>
      </c>
      <c r="BQ522" s="89" t="s">
        <v>646</v>
      </c>
      <c r="BR522" s="89" t="s">
        <v>646</v>
      </c>
      <c r="BS522" s="89" t="s">
        <v>646</v>
      </c>
      <c r="BT522" s="89" t="s">
        <v>646</v>
      </c>
      <c r="BU522" s="89" t="s">
        <v>646</v>
      </c>
      <c r="BV522" s="89" t="s">
        <v>646</v>
      </c>
      <c r="BW522" s="89" t="s">
        <v>646</v>
      </c>
      <c r="BX522" s="89" t="s">
        <v>646</v>
      </c>
      <c r="BY522" s="89" t="s">
        <v>646</v>
      </c>
      <c r="BZ522" s="89" t="s">
        <v>646</v>
      </c>
      <c r="CA522" s="89" t="s">
        <v>646</v>
      </c>
      <c r="CB522" s="89" t="s">
        <v>21840</v>
      </c>
      <c r="CC522" s="89" t="str">
        <f>HYPERLINK("https%3A%2F%2Fwww.webofscience.com%2Fwos%2Fwoscc%2Ffull-record%2FWOS:000455085000031","View Full Record in Web of Science")</f>
        <v>View Full Record in Web of Science</v>
      </c>
    </row>
    <row r="523" spans="1:81" ht="13.2" hidden="1" x14ac:dyDescent="0.25">
      <c r="A523" s="89" t="s">
        <v>9673</v>
      </c>
      <c r="B523" s="89" t="e">
        <f>+#REF!</f>
        <v>#REF!</v>
      </c>
      <c r="C523" s="89"/>
      <c r="D523" s="91" t="s">
        <v>717</v>
      </c>
      <c r="E523" s="90" t="e">
        <v>#REF!</v>
      </c>
      <c r="F523" s="89"/>
      <c r="G523" s="89"/>
      <c r="H523" s="89" t="s">
        <v>9674</v>
      </c>
      <c r="I523" s="89" t="s">
        <v>21841</v>
      </c>
      <c r="J523" s="89" t="s">
        <v>646</v>
      </c>
      <c r="K523" s="89" t="s">
        <v>21842</v>
      </c>
      <c r="M523" s="89">
        <v>2022</v>
      </c>
      <c r="N523" s="89" t="s">
        <v>20024</v>
      </c>
      <c r="O523" s="89" t="s">
        <v>646</v>
      </c>
      <c r="P523" s="89" t="str">
        <f>HYPERLINK("http://dx.doi.org/10.1111/ntwe.12233","http://dx.doi.org/10.1111/ntwe.12233")</f>
        <v>http://dx.doi.org/10.1111/ntwe.12233</v>
      </c>
      <c r="S523" s="89" t="s">
        <v>646</v>
      </c>
      <c r="U523" s="89" t="s">
        <v>17462</v>
      </c>
      <c r="W523" s="89" t="s">
        <v>646</v>
      </c>
      <c r="X523" s="89" t="s">
        <v>646</v>
      </c>
      <c r="Y523" s="89" t="s">
        <v>646</v>
      </c>
      <c r="Z523" s="89" t="s">
        <v>646</v>
      </c>
      <c r="AA523" s="89" t="s">
        <v>646</v>
      </c>
      <c r="AB523" s="89" t="s">
        <v>646</v>
      </c>
      <c r="AC523" s="89" t="s">
        <v>646</v>
      </c>
      <c r="AD523" s="89" t="s">
        <v>646</v>
      </c>
      <c r="AE523" s="89" t="s">
        <v>646</v>
      </c>
      <c r="AF523" s="89" t="s">
        <v>21842</v>
      </c>
      <c r="AG523" s="89" t="s">
        <v>646</v>
      </c>
      <c r="AH523" s="89" t="s">
        <v>646</v>
      </c>
      <c r="AI523" s="89" t="s">
        <v>646</v>
      </c>
      <c r="AJ523" s="89" t="s">
        <v>646</v>
      </c>
      <c r="AK523" s="89" t="s">
        <v>646</v>
      </c>
      <c r="AL523" s="89" t="s">
        <v>21843</v>
      </c>
      <c r="AM523" s="89" t="s">
        <v>646</v>
      </c>
      <c r="AN523" s="89" t="s">
        <v>646</v>
      </c>
      <c r="AO523" s="89" t="s">
        <v>646</v>
      </c>
      <c r="AP523" s="89" t="s">
        <v>646</v>
      </c>
      <c r="AQ523" s="89" t="s">
        <v>646</v>
      </c>
      <c r="AR523" s="89" t="s">
        <v>646</v>
      </c>
      <c r="AS523" s="89" t="s">
        <v>646</v>
      </c>
      <c r="AT523" s="89" t="s">
        <v>646</v>
      </c>
      <c r="AU523" s="89" t="s">
        <v>646</v>
      </c>
      <c r="AV523" s="89" t="s">
        <v>646</v>
      </c>
      <c r="AW523" s="89" t="s">
        <v>646</v>
      </c>
      <c r="AX523" s="89" t="s">
        <v>646</v>
      </c>
      <c r="AY523" s="89" t="s">
        <v>20027</v>
      </c>
      <c r="AZ523" s="89" t="s">
        <v>20028</v>
      </c>
      <c r="BA523" s="89" t="s">
        <v>646</v>
      </c>
      <c r="BB523" s="89" t="s">
        <v>646</v>
      </c>
      <c r="BC523" s="89" t="s">
        <v>646</v>
      </c>
      <c r="BD523" s="89" t="s">
        <v>17676</v>
      </c>
      <c r="BE523" s="89">
        <v>2022</v>
      </c>
      <c r="BF523" s="89">
        <v>37</v>
      </c>
      <c r="BG523" s="89">
        <v>2</v>
      </c>
      <c r="BH523" s="89" t="s">
        <v>646</v>
      </c>
      <c r="BI523" s="89" t="s">
        <v>646</v>
      </c>
      <c r="BJ523" s="89" t="s">
        <v>646</v>
      </c>
      <c r="BK523" s="89" t="s">
        <v>646</v>
      </c>
      <c r="BL523" s="89">
        <v>206</v>
      </c>
      <c r="BM523" s="89">
        <v>230</v>
      </c>
      <c r="BN523" s="89" t="s">
        <v>646</v>
      </c>
      <c r="BO523" s="89" t="str">
        <f>HYPERLINK("http://dx.doi.org/10.1111/ntwe.12233","http://dx.doi.org/10.1111/ntwe.12233")</f>
        <v>http://dx.doi.org/10.1111/ntwe.12233</v>
      </c>
      <c r="BP523" s="89" t="s">
        <v>646</v>
      </c>
      <c r="BQ523" s="89" t="s">
        <v>21844</v>
      </c>
      <c r="BR523" s="89" t="s">
        <v>646</v>
      </c>
      <c r="BS523" s="89" t="s">
        <v>646</v>
      </c>
      <c r="BT523" s="89" t="s">
        <v>646</v>
      </c>
      <c r="BU523" s="89" t="s">
        <v>646</v>
      </c>
      <c r="BV523" s="89" t="s">
        <v>646</v>
      </c>
      <c r="BW523" s="89" t="s">
        <v>646</v>
      </c>
      <c r="BX523" s="89" t="s">
        <v>646</v>
      </c>
      <c r="BY523" s="89" t="s">
        <v>646</v>
      </c>
      <c r="BZ523" s="89" t="s">
        <v>646</v>
      </c>
      <c r="CA523" s="89" t="s">
        <v>646</v>
      </c>
      <c r="CB523" s="89" t="s">
        <v>21845</v>
      </c>
      <c r="CC523" s="89" t="str">
        <f>HYPERLINK("https%3A%2F%2Fwww.webofscience.com%2Fwos%2Fwoscc%2Ffull-record%2FWOS:000776150300001","View Full Record in Web of Science")</f>
        <v>View Full Record in Web of Science</v>
      </c>
    </row>
    <row r="524" spans="1:81" ht="13.2" hidden="1" x14ac:dyDescent="0.25">
      <c r="A524" s="89" t="s">
        <v>13233</v>
      </c>
      <c r="B524" s="89" t="e">
        <f>+#REF!</f>
        <v>#REF!</v>
      </c>
      <c r="C524" s="89"/>
      <c r="D524" s="91" t="s">
        <v>717</v>
      </c>
      <c r="E524" s="90" t="e">
        <v>#REF!</v>
      </c>
      <c r="F524" s="89"/>
      <c r="G524" s="89"/>
      <c r="H524" s="89" t="s">
        <v>13234</v>
      </c>
      <c r="I524" s="89" t="s">
        <v>21846</v>
      </c>
      <c r="J524" s="89" t="s">
        <v>21849</v>
      </c>
      <c r="K524" s="89" t="s">
        <v>21848</v>
      </c>
      <c r="M524" s="89">
        <v>2021</v>
      </c>
      <c r="N524" s="89" t="s">
        <v>21847</v>
      </c>
      <c r="O524" s="89" t="s">
        <v>646</v>
      </c>
      <c r="P524" s="89" t="str">
        <f>HYPERLINK("http://dx.doi.org/10.1177/0896920520949631","http://dx.doi.org/10.1177/0896920520949631")</f>
        <v>http://dx.doi.org/10.1177/0896920520949631</v>
      </c>
      <c r="S524" s="89" t="s">
        <v>646</v>
      </c>
      <c r="U524" s="89" t="s">
        <v>17462</v>
      </c>
      <c r="W524" s="89" t="s">
        <v>646</v>
      </c>
      <c r="X524" s="89" t="s">
        <v>646</v>
      </c>
      <c r="Y524" s="89" t="s">
        <v>646</v>
      </c>
      <c r="Z524" s="89" t="s">
        <v>646</v>
      </c>
      <c r="AA524" s="89" t="s">
        <v>646</v>
      </c>
      <c r="AB524" s="89" t="s">
        <v>646</v>
      </c>
      <c r="AC524" s="89" t="s">
        <v>646</v>
      </c>
      <c r="AD524" s="89" t="s">
        <v>646</v>
      </c>
      <c r="AE524" s="89" t="s">
        <v>646</v>
      </c>
      <c r="AF524" s="89" t="s">
        <v>21848</v>
      </c>
      <c r="AG524" s="89" t="s">
        <v>646</v>
      </c>
      <c r="AH524" s="89" t="s">
        <v>646</v>
      </c>
      <c r="AI524" s="89" t="s">
        <v>646</v>
      </c>
      <c r="AJ524" s="89" t="s">
        <v>646</v>
      </c>
      <c r="AK524" s="89" t="s">
        <v>21849</v>
      </c>
      <c r="AL524" s="89" t="s">
        <v>21850</v>
      </c>
      <c r="AM524" s="89" t="s">
        <v>646</v>
      </c>
      <c r="AN524" s="89" t="s">
        <v>646</v>
      </c>
      <c r="AO524" s="89" t="s">
        <v>646</v>
      </c>
      <c r="AP524" s="89" t="s">
        <v>646</v>
      </c>
      <c r="AQ524" s="89" t="s">
        <v>646</v>
      </c>
      <c r="AR524" s="89" t="s">
        <v>646</v>
      </c>
      <c r="AS524" s="89" t="s">
        <v>646</v>
      </c>
      <c r="AT524" s="89" t="s">
        <v>646</v>
      </c>
      <c r="AU524" s="89" t="s">
        <v>646</v>
      </c>
      <c r="AV524" s="89" t="s">
        <v>646</v>
      </c>
      <c r="AW524" s="89" t="s">
        <v>646</v>
      </c>
      <c r="AX524" s="89" t="s">
        <v>646</v>
      </c>
      <c r="AY524" s="89" t="s">
        <v>21851</v>
      </c>
      <c r="AZ524" s="89" t="s">
        <v>21852</v>
      </c>
      <c r="BA524" s="89" t="s">
        <v>646</v>
      </c>
      <c r="BB524" s="89" t="s">
        <v>646</v>
      </c>
      <c r="BC524" s="89" t="s">
        <v>646</v>
      </c>
      <c r="BD524" s="89" t="s">
        <v>18436</v>
      </c>
      <c r="BE524" s="89">
        <v>2021</v>
      </c>
      <c r="BF524" s="89">
        <v>47</v>
      </c>
      <c r="BG524" s="89">
        <v>3</v>
      </c>
      <c r="BH524" s="89" t="s">
        <v>646</v>
      </c>
      <c r="BI524" s="89" t="s">
        <v>646</v>
      </c>
      <c r="BJ524" s="89" t="s">
        <v>646</v>
      </c>
      <c r="BK524" s="89" t="s">
        <v>646</v>
      </c>
      <c r="BL524" s="89">
        <v>357</v>
      </c>
      <c r="BM524" s="89">
        <v>372</v>
      </c>
      <c r="BN524" s="89">
        <v>896920520949631</v>
      </c>
      <c r="BO524" s="89" t="str">
        <f>HYPERLINK("http://dx.doi.org/10.1177/0896920520949631","http://dx.doi.org/10.1177/0896920520949631")</f>
        <v>http://dx.doi.org/10.1177/0896920520949631</v>
      </c>
      <c r="BP524" s="89" t="s">
        <v>646</v>
      </c>
      <c r="BQ524" s="89" t="s">
        <v>18718</v>
      </c>
      <c r="BR524" s="89" t="s">
        <v>646</v>
      </c>
      <c r="BS524" s="89" t="s">
        <v>646</v>
      </c>
      <c r="BT524" s="89" t="s">
        <v>646</v>
      </c>
      <c r="BU524" s="89" t="s">
        <v>646</v>
      </c>
      <c r="BV524" s="89" t="s">
        <v>646</v>
      </c>
      <c r="BW524" s="89" t="s">
        <v>646</v>
      </c>
      <c r="BX524" s="89" t="s">
        <v>646</v>
      </c>
      <c r="BY524" s="89" t="s">
        <v>646</v>
      </c>
      <c r="BZ524" s="89" t="s">
        <v>646</v>
      </c>
      <c r="CA524" s="89" t="s">
        <v>646</v>
      </c>
      <c r="CB524" s="89" t="s">
        <v>21853</v>
      </c>
      <c r="CC524" s="89" t="str">
        <f>HYPERLINK("https%3A%2F%2Fwww.webofscience.com%2Fwos%2Fwoscc%2Ffull-record%2FWOS:000564918900001","View Full Record in Web of Science")</f>
        <v>View Full Record in Web of Science</v>
      </c>
    </row>
    <row r="525" spans="1:81" ht="13.2" hidden="1" x14ac:dyDescent="0.25">
      <c r="A525" s="89" t="s">
        <v>21854</v>
      </c>
      <c r="B525" s="89" t="e">
        <f>+#REF!</f>
        <v>#REF!</v>
      </c>
      <c r="C525" s="89"/>
      <c r="D525" s="91" t="s">
        <v>717</v>
      </c>
      <c r="E525" s="90" t="e">
        <v>#REF!</v>
      </c>
      <c r="F525" s="89"/>
      <c r="G525" s="89"/>
      <c r="H525" s="89" t="s">
        <v>13244</v>
      </c>
      <c r="I525" s="89" t="s">
        <v>21855</v>
      </c>
      <c r="J525" s="89" t="s">
        <v>646</v>
      </c>
      <c r="K525" s="89" t="s">
        <v>21857</v>
      </c>
      <c r="M525" s="89">
        <v>2020</v>
      </c>
      <c r="N525" s="89" t="s">
        <v>21856</v>
      </c>
      <c r="O525" s="89" t="s">
        <v>646</v>
      </c>
      <c r="P525" s="89" t="str">
        <f>HYPERLINK("http://dx.doi.org/10.1109/TIP.2020.3009820","http://dx.doi.org/10.1109/TIP.2020.3009820")</f>
        <v>http://dx.doi.org/10.1109/TIP.2020.3009820</v>
      </c>
      <c r="S525" s="89" t="s">
        <v>646</v>
      </c>
      <c r="U525" s="89" t="s">
        <v>17462</v>
      </c>
      <c r="W525" s="89" t="s">
        <v>646</v>
      </c>
      <c r="X525" s="89" t="s">
        <v>646</v>
      </c>
      <c r="Y525" s="89" t="s">
        <v>646</v>
      </c>
      <c r="Z525" s="89" t="s">
        <v>646</v>
      </c>
      <c r="AA525" s="89" t="s">
        <v>646</v>
      </c>
      <c r="AB525" s="89" t="s">
        <v>646</v>
      </c>
      <c r="AC525" s="89" t="s">
        <v>646</v>
      </c>
      <c r="AD525" s="89" t="s">
        <v>646</v>
      </c>
      <c r="AE525" s="89" t="s">
        <v>646</v>
      </c>
      <c r="AF525" s="89" t="s">
        <v>21857</v>
      </c>
      <c r="AG525" s="89" t="s">
        <v>646</v>
      </c>
      <c r="AH525" s="89" t="s">
        <v>646</v>
      </c>
      <c r="AI525" s="89" t="s">
        <v>646</v>
      </c>
      <c r="AJ525" s="89" t="s">
        <v>646</v>
      </c>
      <c r="AK525" s="89" t="s">
        <v>646</v>
      </c>
      <c r="AL525" s="89" t="s">
        <v>21858</v>
      </c>
      <c r="AM525" s="89" t="s">
        <v>646</v>
      </c>
      <c r="AN525" s="89" t="s">
        <v>646</v>
      </c>
      <c r="AO525" s="89" t="s">
        <v>646</v>
      </c>
      <c r="AP525" s="89" t="s">
        <v>646</v>
      </c>
      <c r="AQ525" s="89" t="s">
        <v>646</v>
      </c>
      <c r="AR525" s="89" t="s">
        <v>646</v>
      </c>
      <c r="AS525" s="89" t="s">
        <v>646</v>
      </c>
      <c r="AT525" s="89" t="s">
        <v>646</v>
      </c>
      <c r="AU525" s="89" t="s">
        <v>646</v>
      </c>
      <c r="AV525" s="89" t="s">
        <v>646</v>
      </c>
      <c r="AW525" s="89" t="s">
        <v>646</v>
      </c>
      <c r="AX525" s="89" t="s">
        <v>646</v>
      </c>
      <c r="AY525" s="89" t="s">
        <v>21859</v>
      </c>
      <c r="AZ525" s="89" t="s">
        <v>21860</v>
      </c>
      <c r="BA525" s="89" t="s">
        <v>646</v>
      </c>
      <c r="BB525" s="89" t="s">
        <v>646</v>
      </c>
      <c r="BC525" s="89" t="s">
        <v>646</v>
      </c>
      <c r="BD525" s="89" t="s">
        <v>646</v>
      </c>
      <c r="BE525" s="89">
        <v>2020</v>
      </c>
      <c r="BF525" s="89">
        <v>29</v>
      </c>
      <c r="BG525" s="89" t="s">
        <v>646</v>
      </c>
      <c r="BH525" s="89" t="s">
        <v>646</v>
      </c>
      <c r="BI525" s="89" t="s">
        <v>646</v>
      </c>
      <c r="BJ525" s="89" t="s">
        <v>646</v>
      </c>
      <c r="BK525" s="89" t="s">
        <v>646</v>
      </c>
      <c r="BL525" s="89">
        <v>8292</v>
      </c>
      <c r="BM525" s="89">
        <v>8302</v>
      </c>
      <c r="BN525" s="89" t="s">
        <v>646</v>
      </c>
      <c r="BO525" s="89" t="str">
        <f>HYPERLINK("http://dx.doi.org/10.1109/TIP.2020.3009820","http://dx.doi.org/10.1109/TIP.2020.3009820")</f>
        <v>http://dx.doi.org/10.1109/TIP.2020.3009820</v>
      </c>
      <c r="BP525" s="89" t="s">
        <v>646</v>
      </c>
      <c r="BQ525" s="89" t="s">
        <v>646</v>
      </c>
      <c r="BR525" s="89" t="s">
        <v>646</v>
      </c>
      <c r="BS525" s="89" t="s">
        <v>646</v>
      </c>
      <c r="BT525" s="89" t="s">
        <v>646</v>
      </c>
      <c r="BU525" s="89" t="s">
        <v>646</v>
      </c>
      <c r="BV525" s="89" t="s">
        <v>646</v>
      </c>
      <c r="BW525" s="89">
        <v>32746241</v>
      </c>
      <c r="BX525" s="89" t="s">
        <v>646</v>
      </c>
      <c r="BY525" s="89" t="s">
        <v>646</v>
      </c>
      <c r="BZ525" s="89" t="s">
        <v>646</v>
      </c>
      <c r="CA525" s="89" t="s">
        <v>646</v>
      </c>
      <c r="CB525" s="89" t="s">
        <v>21861</v>
      </c>
      <c r="CC525" s="89" t="str">
        <f>HYPERLINK("https%3A%2F%2Fwww.webofscience.com%2Fwos%2Fwoscc%2Ffull-record%2FWOS:000560638700001","View Full Record in Web of Science")</f>
        <v>View Full Record in Web of Science</v>
      </c>
    </row>
    <row r="526" spans="1:81" ht="13.2" hidden="1" x14ac:dyDescent="0.25">
      <c r="A526" s="89" t="s">
        <v>21862</v>
      </c>
      <c r="B526" s="89" t="e">
        <f>+#REF!</f>
        <v>#REF!</v>
      </c>
      <c r="C526" s="89"/>
      <c r="D526" s="91" t="s">
        <v>717</v>
      </c>
      <c r="E526" s="90" t="e">
        <v>#REF!</v>
      </c>
      <c r="F526" s="89"/>
      <c r="G526" s="89"/>
      <c r="H526" s="89" t="s">
        <v>13254</v>
      </c>
      <c r="I526" s="89" t="s">
        <v>21863</v>
      </c>
      <c r="J526" s="89" t="s">
        <v>21865</v>
      </c>
      <c r="K526" s="89" t="s">
        <v>21864</v>
      </c>
      <c r="M526" s="89">
        <v>2017</v>
      </c>
      <c r="N526" s="89" t="s">
        <v>20793</v>
      </c>
      <c r="O526" s="89" t="s">
        <v>646</v>
      </c>
      <c r="P526" s="89" t="str">
        <f>HYPERLINK("http://dx.doi.org/10.1108/IJCHM-10-2015-0611","http://dx.doi.org/10.1108/IJCHM-10-2015-0611")</f>
        <v>http://dx.doi.org/10.1108/IJCHM-10-2015-0611</v>
      </c>
      <c r="S526" s="89" t="s">
        <v>646</v>
      </c>
      <c r="U526" s="89" t="s">
        <v>17462</v>
      </c>
      <c r="W526" s="89" t="s">
        <v>646</v>
      </c>
      <c r="X526" s="89" t="s">
        <v>646</v>
      </c>
      <c r="Y526" s="89" t="s">
        <v>646</v>
      </c>
      <c r="Z526" s="89" t="s">
        <v>646</v>
      </c>
      <c r="AA526" s="89" t="s">
        <v>646</v>
      </c>
      <c r="AB526" s="89" t="s">
        <v>646</v>
      </c>
      <c r="AC526" s="89" t="s">
        <v>646</v>
      </c>
      <c r="AD526" s="89" t="s">
        <v>646</v>
      </c>
      <c r="AE526" s="89" t="s">
        <v>646</v>
      </c>
      <c r="AF526" s="89" t="s">
        <v>21864</v>
      </c>
      <c r="AG526" s="89" t="s">
        <v>646</v>
      </c>
      <c r="AH526" s="89" t="s">
        <v>646</v>
      </c>
      <c r="AI526" s="89" t="s">
        <v>646</v>
      </c>
      <c r="AJ526" s="89" t="s">
        <v>646</v>
      </c>
      <c r="AK526" s="89" t="s">
        <v>21865</v>
      </c>
      <c r="AL526" s="89" t="s">
        <v>21866</v>
      </c>
      <c r="AM526" s="89" t="s">
        <v>646</v>
      </c>
      <c r="AN526" s="89" t="s">
        <v>646</v>
      </c>
      <c r="AO526" s="89" t="s">
        <v>646</v>
      </c>
      <c r="AP526" s="89" t="s">
        <v>646</v>
      </c>
      <c r="AQ526" s="89" t="s">
        <v>646</v>
      </c>
      <c r="AR526" s="89" t="s">
        <v>646</v>
      </c>
      <c r="AS526" s="89" t="s">
        <v>646</v>
      </c>
      <c r="AT526" s="89" t="s">
        <v>646</v>
      </c>
      <c r="AU526" s="89" t="s">
        <v>646</v>
      </c>
      <c r="AV526" s="89" t="s">
        <v>646</v>
      </c>
      <c r="AW526" s="89" t="s">
        <v>646</v>
      </c>
      <c r="AX526" s="89" t="s">
        <v>646</v>
      </c>
      <c r="AY526" s="89" t="s">
        <v>20795</v>
      </c>
      <c r="AZ526" s="89" t="s">
        <v>20796</v>
      </c>
      <c r="BA526" s="89" t="s">
        <v>646</v>
      </c>
      <c r="BB526" s="89" t="s">
        <v>646</v>
      </c>
      <c r="BC526" s="89" t="s">
        <v>646</v>
      </c>
      <c r="BD526" s="89" t="s">
        <v>646</v>
      </c>
      <c r="BE526" s="89">
        <v>2017</v>
      </c>
      <c r="BF526" s="89">
        <v>29</v>
      </c>
      <c r="BG526" s="89">
        <v>2</v>
      </c>
      <c r="BH526" s="89" t="s">
        <v>646</v>
      </c>
      <c r="BI526" s="89" t="s">
        <v>646</v>
      </c>
      <c r="BJ526" s="89" t="s">
        <v>17555</v>
      </c>
      <c r="BK526" s="89" t="s">
        <v>646</v>
      </c>
      <c r="BL526" s="89">
        <v>732</v>
      </c>
      <c r="BM526" s="89">
        <v>761</v>
      </c>
      <c r="BN526" s="89" t="s">
        <v>646</v>
      </c>
      <c r="BO526" s="89" t="str">
        <f>HYPERLINK("http://dx.doi.org/10.1108/IJCHM-10-2015-0611","http://dx.doi.org/10.1108/IJCHM-10-2015-0611")</f>
        <v>http://dx.doi.org/10.1108/IJCHM-10-2015-0611</v>
      </c>
      <c r="BP526" s="89" t="s">
        <v>646</v>
      </c>
      <c r="BQ526" s="89" t="s">
        <v>646</v>
      </c>
      <c r="BR526" s="89" t="s">
        <v>646</v>
      </c>
      <c r="BS526" s="89" t="s">
        <v>646</v>
      </c>
      <c r="BT526" s="89" t="s">
        <v>646</v>
      </c>
      <c r="BU526" s="89" t="s">
        <v>646</v>
      </c>
      <c r="BV526" s="89" t="s">
        <v>646</v>
      </c>
      <c r="BW526" s="89" t="s">
        <v>646</v>
      </c>
      <c r="BX526" s="89" t="s">
        <v>646</v>
      </c>
      <c r="BY526" s="89" t="s">
        <v>646</v>
      </c>
      <c r="BZ526" s="89" t="s">
        <v>646</v>
      </c>
      <c r="CA526" s="89" t="s">
        <v>646</v>
      </c>
      <c r="CB526" s="89" t="s">
        <v>21867</v>
      </c>
      <c r="CC526" s="89" t="str">
        <f>HYPERLINK("https%3A%2F%2Fwww.webofscience.com%2Fwos%2Fwoscc%2Ffull-record%2FWOS:000398115300006","View Full Record in Web of Science")</f>
        <v>View Full Record in Web of Science</v>
      </c>
    </row>
    <row r="527" spans="1:81" ht="13.2" hidden="1" x14ac:dyDescent="0.25">
      <c r="A527" s="89" t="s">
        <v>16476</v>
      </c>
      <c r="B527" s="89" t="e">
        <f>+#REF!</f>
        <v>#REF!</v>
      </c>
      <c r="C527" s="89"/>
      <c r="D527" s="91" t="s">
        <v>717</v>
      </c>
      <c r="E527" s="90" t="e">
        <v>#REF!</v>
      </c>
      <c r="F527" s="89"/>
      <c r="G527" s="89"/>
      <c r="H527" s="89" t="s">
        <v>16477</v>
      </c>
      <c r="I527" s="89" t="s">
        <v>21868</v>
      </c>
      <c r="J527" s="89" t="s">
        <v>21871</v>
      </c>
      <c r="K527" s="89" t="s">
        <v>21870</v>
      </c>
      <c r="M527" s="89">
        <v>2022</v>
      </c>
      <c r="N527" s="89" t="s">
        <v>21869</v>
      </c>
      <c r="O527" s="89" t="s">
        <v>646</v>
      </c>
      <c r="P527" s="89" t="str">
        <f>HYPERLINK("http://dx.doi.org/10.1109/TPAMI.2020.3044712","http://dx.doi.org/10.1109/TPAMI.2020.3044712")</f>
        <v>http://dx.doi.org/10.1109/TPAMI.2020.3044712</v>
      </c>
      <c r="S527" s="89" t="s">
        <v>646</v>
      </c>
      <c r="U527" s="89" t="s">
        <v>17462</v>
      </c>
      <c r="W527" s="89" t="s">
        <v>646</v>
      </c>
      <c r="X527" s="89" t="s">
        <v>646</v>
      </c>
      <c r="Y527" s="89" t="s">
        <v>646</v>
      </c>
      <c r="Z527" s="89" t="s">
        <v>646</v>
      </c>
      <c r="AA527" s="89" t="s">
        <v>646</v>
      </c>
      <c r="AB527" s="89" t="s">
        <v>646</v>
      </c>
      <c r="AC527" s="89" t="s">
        <v>646</v>
      </c>
      <c r="AD527" s="89" t="s">
        <v>646</v>
      </c>
      <c r="AE527" s="89" t="s">
        <v>646</v>
      </c>
      <c r="AF527" s="89" t="s">
        <v>21870</v>
      </c>
      <c r="AG527" s="89" t="s">
        <v>646</v>
      </c>
      <c r="AH527" s="89" t="s">
        <v>646</v>
      </c>
      <c r="AI527" s="89" t="s">
        <v>646</v>
      </c>
      <c r="AJ527" s="89" t="s">
        <v>646</v>
      </c>
      <c r="AK527" s="89" t="s">
        <v>21871</v>
      </c>
      <c r="AL527" s="89" t="s">
        <v>21872</v>
      </c>
      <c r="AM527" s="89" t="s">
        <v>646</v>
      </c>
      <c r="AN527" s="89" t="s">
        <v>646</v>
      </c>
      <c r="AO527" s="89" t="s">
        <v>646</v>
      </c>
      <c r="AP527" s="89" t="s">
        <v>646</v>
      </c>
      <c r="AQ527" s="89" t="s">
        <v>646</v>
      </c>
      <c r="AR527" s="89" t="s">
        <v>646</v>
      </c>
      <c r="AS527" s="89" t="s">
        <v>646</v>
      </c>
      <c r="AT527" s="89" t="s">
        <v>646</v>
      </c>
      <c r="AU527" s="89" t="s">
        <v>646</v>
      </c>
      <c r="AV527" s="89" t="s">
        <v>646</v>
      </c>
      <c r="AW527" s="89" t="s">
        <v>646</v>
      </c>
      <c r="AX527" s="89" t="s">
        <v>646</v>
      </c>
      <c r="AY527" s="89" t="s">
        <v>21873</v>
      </c>
      <c r="AZ527" s="89" t="s">
        <v>21874</v>
      </c>
      <c r="BA527" s="89" t="s">
        <v>646</v>
      </c>
      <c r="BB527" s="89" t="s">
        <v>646</v>
      </c>
      <c r="BC527" s="89" t="s">
        <v>646</v>
      </c>
      <c r="BD527" s="89" t="s">
        <v>20319</v>
      </c>
      <c r="BE527" s="89">
        <v>2022</v>
      </c>
      <c r="BF527" s="89">
        <v>44</v>
      </c>
      <c r="BG527" s="89">
        <v>6</v>
      </c>
      <c r="BH527" s="89" t="s">
        <v>646</v>
      </c>
      <c r="BI527" s="89" t="s">
        <v>646</v>
      </c>
      <c r="BJ527" s="89" t="s">
        <v>646</v>
      </c>
      <c r="BK527" s="89" t="s">
        <v>646</v>
      </c>
      <c r="BL527" s="89">
        <v>2984</v>
      </c>
      <c r="BM527" s="89">
        <v>2999</v>
      </c>
      <c r="BN527" s="89" t="s">
        <v>646</v>
      </c>
      <c r="BO527" s="89" t="str">
        <f>HYPERLINK("http://dx.doi.org/10.1109/TPAMI.2020.3044712","http://dx.doi.org/10.1109/TPAMI.2020.3044712")</f>
        <v>http://dx.doi.org/10.1109/TPAMI.2020.3044712</v>
      </c>
      <c r="BP527" s="89" t="s">
        <v>646</v>
      </c>
      <c r="BQ527" s="89" t="s">
        <v>646</v>
      </c>
      <c r="BR527" s="89" t="s">
        <v>646</v>
      </c>
      <c r="BS527" s="89" t="s">
        <v>646</v>
      </c>
      <c r="BT527" s="89" t="s">
        <v>646</v>
      </c>
      <c r="BU527" s="89" t="s">
        <v>646</v>
      </c>
      <c r="BV527" s="89" t="s">
        <v>646</v>
      </c>
      <c r="BW527" s="89">
        <v>33320808</v>
      </c>
      <c r="BX527" s="89" t="s">
        <v>646</v>
      </c>
      <c r="BY527" s="89" t="s">
        <v>646</v>
      </c>
      <c r="BZ527" s="89" t="s">
        <v>646</v>
      </c>
      <c r="CA527" s="89" t="s">
        <v>646</v>
      </c>
      <c r="CB527" s="89" t="s">
        <v>21875</v>
      </c>
      <c r="CC527" s="89" t="str">
        <f>HYPERLINK("https%3A%2F%2Fwww.webofscience.com%2Fwos%2Fwoscc%2Ffull-record%2FWOS:000803117500016","View Full Record in Web of Science")</f>
        <v>View Full Record in Web of Science</v>
      </c>
    </row>
    <row r="528" spans="1:81" ht="13.2" hidden="1" x14ac:dyDescent="0.25">
      <c r="A528" s="89" t="s">
        <v>21876</v>
      </c>
      <c r="B528" s="89" t="e">
        <f>+#REF!</f>
        <v>#REF!</v>
      </c>
      <c r="C528" s="89"/>
      <c r="D528" s="91" t="s">
        <v>717</v>
      </c>
      <c r="E528" s="90" t="e">
        <v>#REF!</v>
      </c>
      <c r="F528" s="89"/>
      <c r="G528" s="89"/>
      <c r="H528" s="89" t="s">
        <v>13263</v>
      </c>
      <c r="I528" s="89" t="s">
        <v>21877</v>
      </c>
      <c r="J528" s="89" t="s">
        <v>646</v>
      </c>
      <c r="K528" s="89" t="s">
        <v>21879</v>
      </c>
      <c r="M528" s="89">
        <v>2016</v>
      </c>
      <c r="N528" s="89" t="s">
        <v>21878</v>
      </c>
      <c r="O528" s="89" t="s">
        <v>646</v>
      </c>
      <c r="P528" s="89" t="str">
        <f>HYPERLINK("http://dx.doi.org/10.1177/0163443715613637","http://dx.doi.org/10.1177/0163443715613637")</f>
        <v>http://dx.doi.org/10.1177/0163443715613637</v>
      </c>
      <c r="S528" s="89" t="s">
        <v>646</v>
      </c>
      <c r="U528" s="89" t="s">
        <v>17462</v>
      </c>
      <c r="W528" s="89" t="s">
        <v>646</v>
      </c>
      <c r="X528" s="89" t="s">
        <v>646</v>
      </c>
      <c r="Y528" s="89" t="s">
        <v>646</v>
      </c>
      <c r="Z528" s="89" t="s">
        <v>646</v>
      </c>
      <c r="AA528" s="89" t="s">
        <v>646</v>
      </c>
      <c r="AB528" s="89" t="s">
        <v>646</v>
      </c>
      <c r="AC528" s="89" t="s">
        <v>646</v>
      </c>
      <c r="AD528" s="89" t="s">
        <v>646</v>
      </c>
      <c r="AE528" s="89" t="s">
        <v>646</v>
      </c>
      <c r="AF528" s="89" t="s">
        <v>21879</v>
      </c>
      <c r="AG528" s="89" t="s">
        <v>646</v>
      </c>
      <c r="AH528" s="89" t="s">
        <v>646</v>
      </c>
      <c r="AI528" s="89" t="s">
        <v>646</v>
      </c>
      <c r="AJ528" s="89" t="s">
        <v>646</v>
      </c>
      <c r="AK528" s="89" t="s">
        <v>646</v>
      </c>
      <c r="AL528" s="89" t="s">
        <v>21880</v>
      </c>
      <c r="AM528" s="89" t="s">
        <v>646</v>
      </c>
      <c r="AN528" s="89" t="s">
        <v>646</v>
      </c>
      <c r="AO528" s="89" t="s">
        <v>646</v>
      </c>
      <c r="AP528" s="89" t="s">
        <v>646</v>
      </c>
      <c r="AQ528" s="89" t="s">
        <v>646</v>
      </c>
      <c r="AR528" s="89" t="s">
        <v>646</v>
      </c>
      <c r="AS528" s="89" t="s">
        <v>646</v>
      </c>
      <c r="AT528" s="89" t="s">
        <v>646</v>
      </c>
      <c r="AU528" s="89" t="s">
        <v>646</v>
      </c>
      <c r="AV528" s="89" t="s">
        <v>646</v>
      </c>
      <c r="AW528" s="89" t="s">
        <v>646</v>
      </c>
      <c r="AX528" s="89" t="s">
        <v>646</v>
      </c>
      <c r="AY528" s="89" t="s">
        <v>21881</v>
      </c>
      <c r="AZ528" s="89" t="s">
        <v>21882</v>
      </c>
      <c r="BA528" s="89" t="s">
        <v>646</v>
      </c>
      <c r="BB528" s="89" t="s">
        <v>646</v>
      </c>
      <c r="BC528" s="89" t="s">
        <v>646</v>
      </c>
      <c r="BD528" s="89" t="s">
        <v>18436</v>
      </c>
      <c r="BE528" s="89">
        <v>2016</v>
      </c>
      <c r="BF528" s="89">
        <v>38</v>
      </c>
      <c r="BG528" s="89">
        <v>4</v>
      </c>
      <c r="BH528" s="89" t="s">
        <v>646</v>
      </c>
      <c r="BI528" s="89" t="s">
        <v>646</v>
      </c>
      <c r="BJ528" s="89" t="s">
        <v>646</v>
      </c>
      <c r="BK528" s="89" t="s">
        <v>646</v>
      </c>
      <c r="BL528" s="89">
        <v>506</v>
      </c>
      <c r="BM528" s="89">
        <v>524</v>
      </c>
      <c r="BN528" s="89" t="s">
        <v>646</v>
      </c>
      <c r="BO528" s="89" t="str">
        <f>HYPERLINK("http://dx.doi.org/10.1177/0163443715613637","http://dx.doi.org/10.1177/0163443715613637")</f>
        <v>http://dx.doi.org/10.1177/0163443715613637</v>
      </c>
      <c r="BP528" s="89" t="s">
        <v>646</v>
      </c>
      <c r="BQ528" s="89" t="s">
        <v>646</v>
      </c>
      <c r="BR528" s="89" t="s">
        <v>646</v>
      </c>
      <c r="BS528" s="89" t="s">
        <v>646</v>
      </c>
      <c r="BT528" s="89" t="s">
        <v>646</v>
      </c>
      <c r="BU528" s="89" t="s">
        <v>646</v>
      </c>
      <c r="BV528" s="89" t="s">
        <v>646</v>
      </c>
      <c r="BW528" s="89" t="s">
        <v>646</v>
      </c>
      <c r="BX528" s="89" t="s">
        <v>646</v>
      </c>
      <c r="BY528" s="89" t="s">
        <v>646</v>
      </c>
      <c r="BZ528" s="89" t="s">
        <v>646</v>
      </c>
      <c r="CA528" s="89" t="s">
        <v>646</v>
      </c>
      <c r="CB528" s="89" t="s">
        <v>21883</v>
      </c>
      <c r="CC528" s="89" t="str">
        <f>HYPERLINK("https%3A%2F%2Fwww.webofscience.com%2Fwos%2Fwoscc%2Ffull-record%2FWOS:000375839000002","View Full Record in Web of Science")</f>
        <v>View Full Record in Web of Science</v>
      </c>
    </row>
    <row r="529" spans="1:81" ht="13.2" hidden="1" x14ac:dyDescent="0.25">
      <c r="A529" s="89" t="s">
        <v>21884</v>
      </c>
      <c r="B529" s="89" t="e">
        <f>+#REF!</f>
        <v>#REF!</v>
      </c>
      <c r="C529" s="89"/>
      <c r="D529" s="91" t="s">
        <v>717</v>
      </c>
      <c r="E529" s="90" t="e">
        <v>#REF!</v>
      </c>
      <c r="F529" s="89"/>
      <c r="G529" s="89"/>
      <c r="H529" s="89" t="s">
        <v>13273</v>
      </c>
      <c r="I529" s="89" t="s">
        <v>21885</v>
      </c>
      <c r="J529" s="89" t="s">
        <v>21887</v>
      </c>
      <c r="K529" s="89" t="s">
        <v>21886</v>
      </c>
      <c r="M529" s="89">
        <v>2017</v>
      </c>
      <c r="N529" s="89" t="s">
        <v>21761</v>
      </c>
      <c r="O529" s="89" t="s">
        <v>646</v>
      </c>
      <c r="P529" s="89" t="str">
        <f>HYPERLINK("http://dx.doi.org/10.1108/ER-08-2016-0162","http://dx.doi.org/10.1108/ER-08-2016-0162")</f>
        <v>http://dx.doi.org/10.1108/ER-08-2016-0162</v>
      </c>
      <c r="S529" s="89" t="s">
        <v>646</v>
      </c>
      <c r="U529" s="89" t="s">
        <v>17462</v>
      </c>
      <c r="W529" s="89" t="s">
        <v>646</v>
      </c>
      <c r="X529" s="89" t="s">
        <v>646</v>
      </c>
      <c r="Y529" s="89" t="s">
        <v>646</v>
      </c>
      <c r="Z529" s="89" t="s">
        <v>646</v>
      </c>
      <c r="AA529" s="89" t="s">
        <v>646</v>
      </c>
      <c r="AB529" s="89" t="s">
        <v>646</v>
      </c>
      <c r="AC529" s="89" t="s">
        <v>646</v>
      </c>
      <c r="AD529" s="89" t="s">
        <v>646</v>
      </c>
      <c r="AE529" s="89" t="s">
        <v>646</v>
      </c>
      <c r="AF529" s="89" t="s">
        <v>21886</v>
      </c>
      <c r="AG529" s="89" t="s">
        <v>646</v>
      </c>
      <c r="AH529" s="89" t="s">
        <v>646</v>
      </c>
      <c r="AI529" s="89" t="s">
        <v>646</v>
      </c>
      <c r="AJ529" s="89" t="s">
        <v>646</v>
      </c>
      <c r="AK529" s="89" t="s">
        <v>21887</v>
      </c>
      <c r="AL529" s="89" t="s">
        <v>21888</v>
      </c>
      <c r="AM529" s="89" t="s">
        <v>646</v>
      </c>
      <c r="AN529" s="89" t="s">
        <v>646</v>
      </c>
      <c r="AO529" s="89" t="s">
        <v>646</v>
      </c>
      <c r="AP529" s="89" t="s">
        <v>646</v>
      </c>
      <c r="AQ529" s="89" t="s">
        <v>646</v>
      </c>
      <c r="AR529" s="89" t="s">
        <v>646</v>
      </c>
      <c r="AS529" s="89" t="s">
        <v>646</v>
      </c>
      <c r="AT529" s="89" t="s">
        <v>646</v>
      </c>
      <c r="AU529" s="89" t="s">
        <v>646</v>
      </c>
      <c r="AV529" s="89" t="s">
        <v>646</v>
      </c>
      <c r="AW529" s="89" t="s">
        <v>646</v>
      </c>
      <c r="AX529" s="89" t="s">
        <v>646</v>
      </c>
      <c r="AY529" s="89" t="s">
        <v>21763</v>
      </c>
      <c r="AZ529" s="89" t="s">
        <v>21764</v>
      </c>
      <c r="BA529" s="89" t="s">
        <v>646</v>
      </c>
      <c r="BB529" s="89" t="s">
        <v>646</v>
      </c>
      <c r="BC529" s="89" t="s">
        <v>646</v>
      </c>
      <c r="BD529" s="89" t="s">
        <v>646</v>
      </c>
      <c r="BE529" s="89">
        <v>2017</v>
      </c>
      <c r="BF529" s="89">
        <v>39</v>
      </c>
      <c r="BG529" s="89">
        <v>7</v>
      </c>
      <c r="BH529" s="89" t="s">
        <v>646</v>
      </c>
      <c r="BI529" s="89" t="s">
        <v>646</v>
      </c>
      <c r="BJ529" s="89" t="s">
        <v>646</v>
      </c>
      <c r="BK529" s="89" t="s">
        <v>646</v>
      </c>
      <c r="BL529" s="89">
        <v>1030</v>
      </c>
      <c r="BM529" s="89">
        <v>1047</v>
      </c>
      <c r="BN529" s="89" t="s">
        <v>646</v>
      </c>
      <c r="BO529" s="89" t="str">
        <f>HYPERLINK("http://dx.doi.org/10.1108/ER-08-2016-0162","http://dx.doi.org/10.1108/ER-08-2016-0162")</f>
        <v>http://dx.doi.org/10.1108/ER-08-2016-0162</v>
      </c>
      <c r="BP529" s="89" t="s">
        <v>646</v>
      </c>
      <c r="BQ529" s="89" t="s">
        <v>646</v>
      </c>
      <c r="BR529" s="89" t="s">
        <v>646</v>
      </c>
      <c r="BS529" s="89" t="s">
        <v>646</v>
      </c>
      <c r="BT529" s="89" t="s">
        <v>646</v>
      </c>
      <c r="BU529" s="89" t="s">
        <v>646</v>
      </c>
      <c r="BV529" s="89" t="s">
        <v>646</v>
      </c>
      <c r="BW529" s="89" t="s">
        <v>646</v>
      </c>
      <c r="BX529" s="89" t="s">
        <v>646</v>
      </c>
      <c r="BY529" s="89" t="s">
        <v>646</v>
      </c>
      <c r="BZ529" s="89" t="s">
        <v>646</v>
      </c>
      <c r="CA529" s="89" t="s">
        <v>646</v>
      </c>
      <c r="CB529" s="89" t="s">
        <v>21889</v>
      </c>
      <c r="CC529" s="89" t="str">
        <f>HYPERLINK("https%3A%2F%2Fwww.webofscience.com%2Fwos%2Fwoscc%2Ffull-record%2FWOS:000418505900008","View Full Record in Web of Science")</f>
        <v>View Full Record in Web of Science</v>
      </c>
    </row>
    <row r="530" spans="1:81" ht="13.2" hidden="1" x14ac:dyDescent="0.25">
      <c r="A530" s="89" t="s">
        <v>21890</v>
      </c>
      <c r="B530" s="89" t="e">
        <f>+#REF!</f>
        <v>#REF!</v>
      </c>
      <c r="C530" s="89"/>
      <c r="D530" s="91" t="s">
        <v>717</v>
      </c>
      <c r="E530" s="90" t="e">
        <v>#REF!</v>
      </c>
      <c r="F530" s="89"/>
      <c r="G530" s="89"/>
      <c r="H530" s="89" t="s">
        <v>646</v>
      </c>
      <c r="I530" s="89" t="s">
        <v>21892</v>
      </c>
      <c r="J530" s="89" t="s">
        <v>646</v>
      </c>
      <c r="K530" s="89" t="s">
        <v>21897</v>
      </c>
      <c r="M530" s="89">
        <v>2011</v>
      </c>
      <c r="N530" s="89" t="s">
        <v>21893</v>
      </c>
      <c r="O530" s="89" t="s">
        <v>21891</v>
      </c>
      <c r="P530" s="89" t="s">
        <v>646</v>
      </c>
      <c r="S530" s="89" t="s">
        <v>646</v>
      </c>
      <c r="U530" s="89" t="s">
        <v>17474</v>
      </c>
      <c r="W530" s="89" t="s">
        <v>646</v>
      </c>
      <c r="X530" s="89" t="s">
        <v>646</v>
      </c>
      <c r="Y530" s="89" t="s">
        <v>21894</v>
      </c>
      <c r="Z530" s="89" t="s">
        <v>21895</v>
      </c>
      <c r="AA530" s="89" t="s">
        <v>21896</v>
      </c>
      <c r="AB530" s="89" t="s">
        <v>18400</v>
      </c>
      <c r="AC530" s="89" t="s">
        <v>646</v>
      </c>
      <c r="AD530" s="89" t="s">
        <v>646</v>
      </c>
      <c r="AE530" s="89" t="s">
        <v>646</v>
      </c>
      <c r="AF530" s="89" t="s">
        <v>21897</v>
      </c>
      <c r="AG530" s="89" t="s">
        <v>646</v>
      </c>
      <c r="AH530" s="89" t="s">
        <v>646</v>
      </c>
      <c r="AI530" s="89" t="s">
        <v>646</v>
      </c>
      <c r="AJ530" s="89" t="s">
        <v>646</v>
      </c>
      <c r="AK530" s="89" t="s">
        <v>646</v>
      </c>
      <c r="AL530" s="89" t="s">
        <v>21898</v>
      </c>
      <c r="AM530" s="89" t="s">
        <v>646</v>
      </c>
      <c r="AN530" s="89" t="s">
        <v>646</v>
      </c>
      <c r="AO530" s="89" t="s">
        <v>646</v>
      </c>
      <c r="AP530" s="89" t="s">
        <v>646</v>
      </c>
      <c r="AQ530" s="89" t="s">
        <v>646</v>
      </c>
      <c r="AR530" s="89" t="s">
        <v>646</v>
      </c>
      <c r="AS530" s="89" t="s">
        <v>646</v>
      </c>
      <c r="AT530" s="89" t="s">
        <v>646</v>
      </c>
      <c r="AU530" s="89" t="s">
        <v>646</v>
      </c>
      <c r="AV530" s="89" t="s">
        <v>646</v>
      </c>
      <c r="AW530" s="89" t="s">
        <v>646</v>
      </c>
      <c r="AX530" s="89" t="s">
        <v>646</v>
      </c>
      <c r="AY530" s="89" t="s">
        <v>18403</v>
      </c>
      <c r="AZ530" s="89" t="s">
        <v>646</v>
      </c>
      <c r="BA530" s="89" t="s">
        <v>21899</v>
      </c>
      <c r="BB530" s="89" t="s">
        <v>646</v>
      </c>
      <c r="BC530" s="89" t="s">
        <v>646</v>
      </c>
      <c r="BD530" s="89" t="s">
        <v>646</v>
      </c>
      <c r="BE530" s="89">
        <v>2011</v>
      </c>
      <c r="BF530" s="89">
        <v>91</v>
      </c>
      <c r="BG530" s="89" t="s">
        <v>646</v>
      </c>
      <c r="BH530" s="89" t="s">
        <v>646</v>
      </c>
      <c r="BI530" s="89" t="s">
        <v>646</v>
      </c>
      <c r="BJ530" s="89" t="s">
        <v>646</v>
      </c>
      <c r="BK530" s="89" t="s">
        <v>646</v>
      </c>
      <c r="BL530" s="89">
        <v>133</v>
      </c>
      <c r="BM530" s="89" t="s">
        <v>18405</v>
      </c>
      <c r="BN530" s="89" t="s">
        <v>646</v>
      </c>
      <c r="BO530" s="89" t="s">
        <v>646</v>
      </c>
      <c r="BP530" s="89" t="s">
        <v>646</v>
      </c>
      <c r="BQ530" s="89" t="s">
        <v>646</v>
      </c>
      <c r="BR530" s="89" t="s">
        <v>646</v>
      </c>
      <c r="BS530" s="89" t="s">
        <v>646</v>
      </c>
      <c r="BT530" s="89" t="s">
        <v>646</v>
      </c>
      <c r="BU530" s="89" t="s">
        <v>646</v>
      </c>
      <c r="BV530" s="89" t="s">
        <v>646</v>
      </c>
      <c r="BW530" s="89" t="s">
        <v>646</v>
      </c>
      <c r="BX530" s="89" t="s">
        <v>646</v>
      </c>
      <c r="BY530" s="89" t="s">
        <v>646</v>
      </c>
      <c r="BZ530" s="89" t="s">
        <v>646</v>
      </c>
      <c r="CA530" s="89" t="s">
        <v>646</v>
      </c>
      <c r="CB530" s="89" t="s">
        <v>21900</v>
      </c>
      <c r="CC530" s="89" t="str">
        <f>HYPERLINK("https%3A%2F%2Fwww.webofscience.com%2Fwos%2Fwoscc%2Ffull-record%2FWOS:000301959200008","View Full Record in Web of Science")</f>
        <v>View Full Record in Web of Science</v>
      </c>
    </row>
    <row r="531" spans="1:81" ht="13.2" hidden="1" x14ac:dyDescent="0.25">
      <c r="A531" s="89" t="s">
        <v>21901</v>
      </c>
      <c r="B531" s="89" t="e">
        <f>+#REF!</f>
        <v>#REF!</v>
      </c>
      <c r="C531" s="89"/>
      <c r="D531" s="91" t="s">
        <v>717</v>
      </c>
      <c r="E531" s="90" t="e">
        <v>#REF!</v>
      </c>
      <c r="F531" s="89"/>
      <c r="G531" s="89"/>
      <c r="H531" s="89" t="s">
        <v>9683</v>
      </c>
      <c r="I531" s="89" t="s">
        <v>21902</v>
      </c>
      <c r="J531" s="89" t="s">
        <v>646</v>
      </c>
      <c r="K531" s="89" t="s">
        <v>21904</v>
      </c>
      <c r="M531" s="89">
        <v>2021</v>
      </c>
      <c r="N531" s="89" t="s">
        <v>21903</v>
      </c>
      <c r="O531" s="89" t="s">
        <v>646</v>
      </c>
      <c r="P531" s="89" t="str">
        <f>HYPERLINK("http://dx.doi.org/10.2147/JMDH.S304690","http://dx.doi.org/10.2147/JMDH.S304690")</f>
        <v>http://dx.doi.org/10.2147/JMDH.S304690</v>
      </c>
      <c r="S531" s="89" t="s">
        <v>646</v>
      </c>
      <c r="U531" s="89" t="s">
        <v>17462</v>
      </c>
      <c r="W531" s="89" t="s">
        <v>646</v>
      </c>
      <c r="X531" s="89" t="s">
        <v>646</v>
      </c>
      <c r="Y531" s="89" t="s">
        <v>646</v>
      </c>
      <c r="Z531" s="89" t="s">
        <v>646</v>
      </c>
      <c r="AA531" s="89" t="s">
        <v>646</v>
      </c>
      <c r="AB531" s="89" t="s">
        <v>646</v>
      </c>
      <c r="AC531" s="89" t="s">
        <v>646</v>
      </c>
      <c r="AD531" s="89" t="s">
        <v>646</v>
      </c>
      <c r="AE531" s="89" t="s">
        <v>646</v>
      </c>
      <c r="AF531" s="89" t="s">
        <v>21904</v>
      </c>
      <c r="AG531" s="89" t="s">
        <v>646</v>
      </c>
      <c r="AH531" s="89" t="s">
        <v>646</v>
      </c>
      <c r="AI531" s="89" t="s">
        <v>646</v>
      </c>
      <c r="AJ531" s="89" t="s">
        <v>646</v>
      </c>
      <c r="AK531" s="89" t="s">
        <v>646</v>
      </c>
      <c r="AL531" s="89" t="s">
        <v>21905</v>
      </c>
      <c r="AM531" s="89" t="s">
        <v>646</v>
      </c>
      <c r="AN531" s="89" t="s">
        <v>646</v>
      </c>
      <c r="AO531" s="89" t="s">
        <v>646</v>
      </c>
      <c r="AP531" s="89" t="s">
        <v>646</v>
      </c>
      <c r="AQ531" s="89" t="s">
        <v>646</v>
      </c>
      <c r="AR531" s="89" t="s">
        <v>646</v>
      </c>
      <c r="AS531" s="89" t="s">
        <v>646</v>
      </c>
      <c r="AT531" s="89" t="s">
        <v>646</v>
      </c>
      <c r="AU531" s="89" t="s">
        <v>646</v>
      </c>
      <c r="AV531" s="89" t="s">
        <v>646</v>
      </c>
      <c r="AW531" s="89" t="s">
        <v>646</v>
      </c>
      <c r="AX531" s="89" t="s">
        <v>646</v>
      </c>
      <c r="AY531" s="89" t="s">
        <v>21906</v>
      </c>
      <c r="AZ531" s="89" t="s">
        <v>646</v>
      </c>
      <c r="BA531" s="89" t="s">
        <v>646</v>
      </c>
      <c r="BB531" s="89" t="s">
        <v>646</v>
      </c>
      <c r="BC531" s="89" t="s">
        <v>646</v>
      </c>
      <c r="BD531" s="89" t="s">
        <v>646</v>
      </c>
      <c r="BE531" s="89">
        <v>2021</v>
      </c>
      <c r="BF531" s="89">
        <v>14</v>
      </c>
      <c r="BG531" s="89" t="s">
        <v>646</v>
      </c>
      <c r="BH531" s="89" t="s">
        <v>646</v>
      </c>
      <c r="BI531" s="89" t="s">
        <v>646</v>
      </c>
      <c r="BJ531" s="89" t="s">
        <v>646</v>
      </c>
      <c r="BK531" s="89" t="s">
        <v>646</v>
      </c>
      <c r="BL531" s="89">
        <v>1945</v>
      </c>
      <c r="BM531" s="89">
        <v>1953</v>
      </c>
      <c r="BN531" s="89" t="s">
        <v>646</v>
      </c>
      <c r="BO531" s="89" t="str">
        <f>HYPERLINK("http://dx.doi.org/10.2147/JMDH.S304690","http://dx.doi.org/10.2147/JMDH.S304690")</f>
        <v>http://dx.doi.org/10.2147/JMDH.S304690</v>
      </c>
      <c r="BP531" s="89" t="s">
        <v>646</v>
      </c>
      <c r="BQ531" s="89" t="s">
        <v>646</v>
      </c>
      <c r="BR531" s="89" t="s">
        <v>646</v>
      </c>
      <c r="BS531" s="89" t="s">
        <v>646</v>
      </c>
      <c r="BT531" s="89" t="s">
        <v>646</v>
      </c>
      <c r="BU531" s="89" t="s">
        <v>646</v>
      </c>
      <c r="BV531" s="89" t="s">
        <v>646</v>
      </c>
      <c r="BW531" s="89">
        <v>34326645</v>
      </c>
      <c r="BX531" s="89" t="s">
        <v>646</v>
      </c>
      <c r="BY531" s="89" t="s">
        <v>646</v>
      </c>
      <c r="BZ531" s="89" t="s">
        <v>646</v>
      </c>
      <c r="CA531" s="89" t="s">
        <v>646</v>
      </c>
      <c r="CB531" s="89" t="s">
        <v>21907</v>
      </c>
      <c r="CC531" s="89" t="str">
        <f>HYPERLINK("https%3A%2F%2Fwww.webofscience.com%2Fwos%2Fwoscc%2Ffull-record%2FWOS:000677678300003","View Full Record in Web of Science")</f>
        <v>View Full Record in Web of Science</v>
      </c>
    </row>
    <row r="532" spans="1:81" ht="13.2" hidden="1" x14ac:dyDescent="0.25">
      <c r="A532" s="89" t="s">
        <v>21908</v>
      </c>
      <c r="B532" s="89" t="e">
        <f>+#REF!</f>
        <v>#REF!</v>
      </c>
      <c r="C532" s="89"/>
      <c r="D532" s="91" t="s">
        <v>717</v>
      </c>
      <c r="E532" s="90" t="e">
        <v>#REF!</v>
      </c>
      <c r="F532" s="89"/>
      <c r="G532" s="89"/>
      <c r="H532" s="89" t="s">
        <v>9692</v>
      </c>
      <c r="I532" s="89" t="s">
        <v>21909</v>
      </c>
      <c r="J532" s="89" t="s">
        <v>646</v>
      </c>
      <c r="K532" s="89" t="s">
        <v>21910</v>
      </c>
      <c r="M532" s="89">
        <v>2021</v>
      </c>
      <c r="N532" s="89" t="s">
        <v>17530</v>
      </c>
      <c r="O532" s="89" t="s">
        <v>646</v>
      </c>
      <c r="P532" s="89" t="str">
        <f>HYPERLINK("http://dx.doi.org/10.1093/indlaw/dwab027","http://dx.doi.org/10.1093/indlaw/dwab027")</f>
        <v>http://dx.doi.org/10.1093/indlaw/dwab027</v>
      </c>
      <c r="S532" s="89" t="s">
        <v>646</v>
      </c>
      <c r="U532" s="89" t="s">
        <v>17462</v>
      </c>
      <c r="W532" s="89" t="s">
        <v>646</v>
      </c>
      <c r="X532" s="89" t="s">
        <v>646</v>
      </c>
      <c r="Y532" s="89" t="s">
        <v>646</v>
      </c>
      <c r="Z532" s="89" t="s">
        <v>646</v>
      </c>
      <c r="AA532" s="89" t="s">
        <v>646</v>
      </c>
      <c r="AB532" s="89" t="s">
        <v>646</v>
      </c>
      <c r="AC532" s="89" t="s">
        <v>646</v>
      </c>
      <c r="AD532" s="89" t="s">
        <v>646</v>
      </c>
      <c r="AE532" s="89" t="s">
        <v>646</v>
      </c>
      <c r="AF532" s="89" t="s">
        <v>21910</v>
      </c>
      <c r="AG532" s="89" t="s">
        <v>646</v>
      </c>
      <c r="AH532" s="89" t="s">
        <v>646</v>
      </c>
      <c r="AI532" s="89" t="s">
        <v>646</v>
      </c>
      <c r="AJ532" s="89" t="s">
        <v>646</v>
      </c>
      <c r="AK532" s="89" t="s">
        <v>646</v>
      </c>
      <c r="AL532" s="89" t="s">
        <v>21911</v>
      </c>
      <c r="AM532" s="89" t="s">
        <v>646</v>
      </c>
      <c r="AN532" s="89" t="s">
        <v>646</v>
      </c>
      <c r="AO532" s="89" t="s">
        <v>646</v>
      </c>
      <c r="AP532" s="89" t="s">
        <v>646</v>
      </c>
      <c r="AQ532" s="89" t="s">
        <v>646</v>
      </c>
      <c r="AR532" s="89" t="s">
        <v>646</v>
      </c>
      <c r="AS532" s="89" t="s">
        <v>646</v>
      </c>
      <c r="AT532" s="89" t="s">
        <v>646</v>
      </c>
      <c r="AU532" s="89" t="s">
        <v>646</v>
      </c>
      <c r="AV532" s="89" t="s">
        <v>646</v>
      </c>
      <c r="AW532" s="89" t="s">
        <v>646</v>
      </c>
      <c r="AX532" s="89" t="s">
        <v>646</v>
      </c>
      <c r="AY532" s="89" t="s">
        <v>17532</v>
      </c>
      <c r="AZ532" s="89" t="s">
        <v>17533</v>
      </c>
      <c r="BA532" s="89" t="s">
        <v>646</v>
      </c>
      <c r="BB532" s="89" t="s">
        <v>646</v>
      </c>
      <c r="BC532" s="89" t="s">
        <v>646</v>
      </c>
      <c r="BD532" s="89" t="s">
        <v>21912</v>
      </c>
      <c r="BE532" s="89">
        <v>2021</v>
      </c>
      <c r="BF532" s="89">
        <v>50</v>
      </c>
      <c r="BG532" s="89">
        <v>4</v>
      </c>
      <c r="BH532" s="89" t="s">
        <v>646</v>
      </c>
      <c r="BI532" s="89" t="s">
        <v>646</v>
      </c>
      <c r="BJ532" s="89" t="s">
        <v>17555</v>
      </c>
      <c r="BK532" s="89" t="s">
        <v>646</v>
      </c>
      <c r="BL532" s="89">
        <v>636</v>
      </c>
      <c r="BM532" s="89">
        <v>661</v>
      </c>
      <c r="BN532" s="89" t="s">
        <v>646</v>
      </c>
      <c r="BO532" s="89" t="str">
        <f>HYPERLINK("http://dx.doi.org/10.1093/indlaw/dwab027","http://dx.doi.org/10.1093/indlaw/dwab027")</f>
        <v>http://dx.doi.org/10.1093/indlaw/dwab027</v>
      </c>
      <c r="BP532" s="89" t="s">
        <v>646</v>
      </c>
      <c r="BQ532" s="89" t="s">
        <v>17688</v>
      </c>
      <c r="BR532" s="89" t="s">
        <v>646</v>
      </c>
      <c r="BS532" s="89" t="s">
        <v>646</v>
      </c>
      <c r="BT532" s="89" t="s">
        <v>646</v>
      </c>
      <c r="BU532" s="89" t="s">
        <v>646</v>
      </c>
      <c r="BV532" s="89" t="s">
        <v>646</v>
      </c>
      <c r="BW532" s="89" t="s">
        <v>646</v>
      </c>
      <c r="BX532" s="89" t="s">
        <v>646</v>
      </c>
      <c r="BY532" s="89" t="s">
        <v>646</v>
      </c>
      <c r="BZ532" s="89" t="s">
        <v>646</v>
      </c>
      <c r="CA532" s="89" t="s">
        <v>646</v>
      </c>
      <c r="CB532" s="89" t="s">
        <v>21913</v>
      </c>
      <c r="CC532" s="89" t="str">
        <f>HYPERLINK("https%3A%2F%2Fwww.webofscience.com%2Fwos%2Fwoscc%2Ffull-record%2FWOS:000726235800007","View Full Record in Web of Science")</f>
        <v>View Full Record in Web of Science</v>
      </c>
    </row>
    <row r="533" spans="1:81" ht="13.2" hidden="1" x14ac:dyDescent="0.25">
      <c r="A533" s="89" t="s">
        <v>16485</v>
      </c>
      <c r="B533" s="89" t="e">
        <f>+#REF!</f>
        <v>#REF!</v>
      </c>
      <c r="C533" s="89"/>
      <c r="D533" s="91" t="s">
        <v>717</v>
      </c>
      <c r="E533" s="90" t="e">
        <v>#REF!</v>
      </c>
      <c r="F533" s="89"/>
      <c r="G533" s="89"/>
      <c r="H533" s="89" t="s">
        <v>16486</v>
      </c>
      <c r="I533" s="89" t="s">
        <v>21914</v>
      </c>
      <c r="J533" s="89" t="s">
        <v>21917</v>
      </c>
      <c r="K533" s="89" t="s">
        <v>21916</v>
      </c>
      <c r="M533" s="89">
        <v>2020</v>
      </c>
      <c r="N533" s="89" t="s">
        <v>21915</v>
      </c>
      <c r="O533" s="89" t="s">
        <v>646</v>
      </c>
      <c r="P533" s="89" t="str">
        <f>HYPERLINK("http://dx.doi.org/10.1007/s11524-020-00480-4","http://dx.doi.org/10.1007/s11524-020-00480-4")</f>
        <v>http://dx.doi.org/10.1007/s11524-020-00480-4</v>
      </c>
      <c r="S533" s="89" t="s">
        <v>646</v>
      </c>
      <c r="U533" s="89" t="s">
        <v>17462</v>
      </c>
      <c r="W533" s="89" t="s">
        <v>646</v>
      </c>
      <c r="X533" s="89" t="s">
        <v>646</v>
      </c>
      <c r="Y533" s="89" t="s">
        <v>646</v>
      </c>
      <c r="Z533" s="89" t="s">
        <v>646</v>
      </c>
      <c r="AA533" s="89" t="s">
        <v>646</v>
      </c>
      <c r="AB533" s="89" t="s">
        <v>646</v>
      </c>
      <c r="AC533" s="89" t="s">
        <v>646</v>
      </c>
      <c r="AD533" s="89" t="s">
        <v>646</v>
      </c>
      <c r="AE533" s="89" t="s">
        <v>646</v>
      </c>
      <c r="AF533" s="89" t="s">
        <v>21916</v>
      </c>
      <c r="AG533" s="89" t="s">
        <v>646</v>
      </c>
      <c r="AH533" s="89" t="s">
        <v>646</v>
      </c>
      <c r="AI533" s="89" t="s">
        <v>646</v>
      </c>
      <c r="AJ533" s="89" t="s">
        <v>646</v>
      </c>
      <c r="AK533" s="89" t="s">
        <v>21917</v>
      </c>
      <c r="AL533" s="89" t="s">
        <v>21918</v>
      </c>
      <c r="AM533" s="89" t="s">
        <v>646</v>
      </c>
      <c r="AN533" s="89" t="s">
        <v>646</v>
      </c>
      <c r="AO533" s="89" t="s">
        <v>646</v>
      </c>
      <c r="AP533" s="89" t="s">
        <v>646</v>
      </c>
      <c r="AQ533" s="89" t="s">
        <v>646</v>
      </c>
      <c r="AR533" s="89" t="s">
        <v>646</v>
      </c>
      <c r="AS533" s="89" t="s">
        <v>646</v>
      </c>
      <c r="AT533" s="89" t="s">
        <v>646</v>
      </c>
      <c r="AU533" s="89" t="s">
        <v>646</v>
      </c>
      <c r="AV533" s="89" t="s">
        <v>646</v>
      </c>
      <c r="AW533" s="89" t="s">
        <v>646</v>
      </c>
      <c r="AX533" s="89" t="s">
        <v>646</v>
      </c>
      <c r="AY533" s="89" t="s">
        <v>21919</v>
      </c>
      <c r="AZ533" s="89" t="s">
        <v>21920</v>
      </c>
      <c r="BA533" s="89" t="s">
        <v>646</v>
      </c>
      <c r="BB533" s="89" t="s">
        <v>646</v>
      </c>
      <c r="BC533" s="89" t="s">
        <v>646</v>
      </c>
      <c r="BD533" s="89" t="s">
        <v>17615</v>
      </c>
      <c r="BE533" s="89">
        <v>2020</v>
      </c>
      <c r="BF533" s="89">
        <v>97</v>
      </c>
      <c r="BG533" s="89">
        <v>6</v>
      </c>
      <c r="BH533" s="89" t="s">
        <v>646</v>
      </c>
      <c r="BI533" s="89" t="s">
        <v>646</v>
      </c>
      <c r="BJ533" s="89" t="s">
        <v>646</v>
      </c>
      <c r="BK533" s="89" t="s">
        <v>646</v>
      </c>
      <c r="BL533" s="89">
        <v>776</v>
      </c>
      <c r="BM533" s="89">
        <v>795</v>
      </c>
      <c r="BN533" s="89" t="s">
        <v>646</v>
      </c>
      <c r="BO533" s="89" t="str">
        <f>HYPERLINK("http://dx.doi.org/10.1007/s11524-020-00480-4","http://dx.doi.org/10.1007/s11524-020-00480-4")</f>
        <v>http://dx.doi.org/10.1007/s11524-020-00480-4</v>
      </c>
      <c r="BP533" s="89" t="s">
        <v>646</v>
      </c>
      <c r="BQ533" s="89" t="s">
        <v>19874</v>
      </c>
      <c r="BR533" s="89" t="s">
        <v>646</v>
      </c>
      <c r="BS533" s="89" t="s">
        <v>646</v>
      </c>
      <c r="BT533" s="89" t="s">
        <v>646</v>
      </c>
      <c r="BU533" s="89" t="s">
        <v>646</v>
      </c>
      <c r="BV533" s="89" t="s">
        <v>646</v>
      </c>
      <c r="BW533" s="89">
        <v>32964368</v>
      </c>
      <c r="BX533" s="89" t="s">
        <v>646</v>
      </c>
      <c r="BY533" s="89" t="s">
        <v>646</v>
      </c>
      <c r="BZ533" s="89" t="s">
        <v>646</v>
      </c>
      <c r="CA533" s="89" t="s">
        <v>646</v>
      </c>
      <c r="CB533" s="89" t="s">
        <v>21921</v>
      </c>
      <c r="CC533" s="89" t="str">
        <f>HYPERLINK("https%3A%2F%2Fwww.webofscience.com%2Fwos%2Fwoscc%2Ffull-record%2FWOS:000572027200001","View Full Record in Web of Science")</f>
        <v>View Full Record in Web of Science</v>
      </c>
    </row>
    <row r="534" spans="1:81" ht="13.2" hidden="1" x14ac:dyDescent="0.25">
      <c r="A534" s="89" t="s">
        <v>13290</v>
      </c>
      <c r="B534" s="89" t="e">
        <f>+#REF!</f>
        <v>#REF!</v>
      </c>
      <c r="C534" s="89"/>
      <c r="D534" s="91" t="s">
        <v>717</v>
      </c>
      <c r="E534" s="90" t="e">
        <v>#REF!</v>
      </c>
      <c r="F534" s="89"/>
      <c r="G534" s="89"/>
      <c r="H534" s="89" t="s">
        <v>13291</v>
      </c>
      <c r="I534" s="89" t="s">
        <v>21922</v>
      </c>
      <c r="J534" s="89" t="s">
        <v>646</v>
      </c>
      <c r="K534" s="89" t="s">
        <v>21924</v>
      </c>
      <c r="M534" s="89">
        <v>2016</v>
      </c>
      <c r="N534" s="89" t="s">
        <v>21923</v>
      </c>
      <c r="O534" s="89" t="s">
        <v>646</v>
      </c>
      <c r="P534" s="89" t="str">
        <f>HYPERLINK("http://dx.doi.org/10.1016/j.envsci.2015.08.006","http://dx.doi.org/10.1016/j.envsci.2015.08.006")</f>
        <v>http://dx.doi.org/10.1016/j.envsci.2015.08.006</v>
      </c>
      <c r="S534" s="89" t="s">
        <v>646</v>
      </c>
      <c r="U534" s="89" t="s">
        <v>17462</v>
      </c>
      <c r="W534" s="89" t="s">
        <v>646</v>
      </c>
      <c r="X534" s="89" t="s">
        <v>646</v>
      </c>
      <c r="Y534" s="89" t="s">
        <v>646</v>
      </c>
      <c r="Z534" s="89" t="s">
        <v>646</v>
      </c>
      <c r="AA534" s="89" t="s">
        <v>646</v>
      </c>
      <c r="AB534" s="89" t="s">
        <v>646</v>
      </c>
      <c r="AC534" s="89" t="s">
        <v>646</v>
      </c>
      <c r="AD534" s="89" t="s">
        <v>646</v>
      </c>
      <c r="AE534" s="89" t="s">
        <v>646</v>
      </c>
      <c r="AF534" s="89" t="s">
        <v>21924</v>
      </c>
      <c r="AG534" s="89" t="s">
        <v>646</v>
      </c>
      <c r="AH534" s="89" t="s">
        <v>646</v>
      </c>
      <c r="AI534" s="89" t="s">
        <v>646</v>
      </c>
      <c r="AJ534" s="89" t="s">
        <v>646</v>
      </c>
      <c r="AK534" s="89" t="s">
        <v>646</v>
      </c>
      <c r="AL534" s="89" t="s">
        <v>21925</v>
      </c>
      <c r="AM534" s="89" t="s">
        <v>646</v>
      </c>
      <c r="AN534" s="89" t="s">
        <v>646</v>
      </c>
      <c r="AO534" s="89" t="s">
        <v>646</v>
      </c>
      <c r="AP534" s="89" t="s">
        <v>646</v>
      </c>
      <c r="AQ534" s="89" t="s">
        <v>646</v>
      </c>
      <c r="AR534" s="89" t="s">
        <v>646</v>
      </c>
      <c r="AS534" s="89" t="s">
        <v>646</v>
      </c>
      <c r="AT534" s="89" t="s">
        <v>646</v>
      </c>
      <c r="AU534" s="89" t="s">
        <v>646</v>
      </c>
      <c r="AV534" s="89" t="s">
        <v>646</v>
      </c>
      <c r="AW534" s="89" t="s">
        <v>646</v>
      </c>
      <c r="AX534" s="89" t="s">
        <v>646</v>
      </c>
      <c r="AY534" s="89" t="s">
        <v>21926</v>
      </c>
      <c r="AZ534" s="89" t="s">
        <v>21927</v>
      </c>
      <c r="BA534" s="89" t="s">
        <v>646</v>
      </c>
      <c r="BB534" s="89" t="s">
        <v>646</v>
      </c>
      <c r="BC534" s="89" t="s">
        <v>646</v>
      </c>
      <c r="BD534" s="89" t="s">
        <v>17513</v>
      </c>
      <c r="BE534" s="89">
        <v>2016</v>
      </c>
      <c r="BF534" s="89">
        <v>55</v>
      </c>
      <c r="BG534" s="89" t="s">
        <v>646</v>
      </c>
      <c r="BH534" s="89">
        <v>1</v>
      </c>
      <c r="BI534" s="89" t="s">
        <v>646</v>
      </c>
      <c r="BJ534" s="89" t="s">
        <v>646</v>
      </c>
      <c r="BK534" s="89" t="s">
        <v>646</v>
      </c>
      <c r="BL534" s="89">
        <v>1</v>
      </c>
      <c r="BM534" s="89">
        <v>10</v>
      </c>
      <c r="BN534" s="89" t="s">
        <v>646</v>
      </c>
      <c r="BO534" s="89" t="str">
        <f>HYPERLINK("http://dx.doi.org/10.1016/j.envsci.2015.08.006","http://dx.doi.org/10.1016/j.envsci.2015.08.006")</f>
        <v>http://dx.doi.org/10.1016/j.envsci.2015.08.006</v>
      </c>
      <c r="BP534" s="89" t="s">
        <v>646</v>
      </c>
      <c r="BQ534" s="89" t="s">
        <v>646</v>
      </c>
      <c r="BR534" s="89" t="s">
        <v>646</v>
      </c>
      <c r="BS534" s="89" t="s">
        <v>646</v>
      </c>
      <c r="BT534" s="89" t="s">
        <v>646</v>
      </c>
      <c r="BU534" s="89" t="s">
        <v>646</v>
      </c>
      <c r="BV534" s="89" t="s">
        <v>646</v>
      </c>
      <c r="BW534" s="89">
        <v>28149197</v>
      </c>
      <c r="BX534" s="89" t="s">
        <v>646</v>
      </c>
      <c r="BY534" s="89" t="s">
        <v>646</v>
      </c>
      <c r="BZ534" s="89" t="s">
        <v>646</v>
      </c>
      <c r="CA534" s="89" t="s">
        <v>646</v>
      </c>
      <c r="CB534" s="89" t="s">
        <v>21928</v>
      </c>
      <c r="CC534" s="89" t="str">
        <f>HYPERLINK("https%3A%2F%2Fwww.webofscience.com%2Fwos%2Fwoscc%2Ffull-record%2FWOS:000366775200001","View Full Record in Web of Science")</f>
        <v>View Full Record in Web of Science</v>
      </c>
    </row>
    <row r="535" spans="1:81" ht="13.2" hidden="1" x14ac:dyDescent="0.25">
      <c r="A535" s="89" t="s">
        <v>1344</v>
      </c>
      <c r="B535" s="89" t="e">
        <f>+#REF!</f>
        <v>#REF!</v>
      </c>
      <c r="C535" s="89"/>
      <c r="D535" s="91" t="s">
        <v>717</v>
      </c>
      <c r="E535" s="90" t="e">
        <v>#REF!</v>
      </c>
      <c r="F535" s="89"/>
      <c r="G535" s="89"/>
      <c r="H535" s="89" t="s">
        <v>1346</v>
      </c>
      <c r="I535" s="89" t="s">
        <v>21929</v>
      </c>
      <c r="J535" s="89" t="s">
        <v>646</v>
      </c>
      <c r="K535" s="89" t="s">
        <v>21931</v>
      </c>
      <c r="M535" s="89">
        <v>2016</v>
      </c>
      <c r="N535" s="89" t="s">
        <v>21930</v>
      </c>
      <c r="O535" s="89" t="s">
        <v>646</v>
      </c>
      <c r="P535" s="89" t="str">
        <f>HYPERLINK("http://dx.doi.org/10.1007/s11846-015-0171-y","http://dx.doi.org/10.1007/s11846-015-0171-y")</f>
        <v>http://dx.doi.org/10.1007/s11846-015-0171-y</v>
      </c>
      <c r="S535" s="89" t="s">
        <v>646</v>
      </c>
      <c r="U535" s="89" t="s">
        <v>17462</v>
      </c>
      <c r="W535" s="89" t="s">
        <v>646</v>
      </c>
      <c r="X535" s="89" t="s">
        <v>646</v>
      </c>
      <c r="Y535" s="89" t="s">
        <v>646</v>
      </c>
      <c r="Z535" s="89" t="s">
        <v>646</v>
      </c>
      <c r="AA535" s="89" t="s">
        <v>646</v>
      </c>
      <c r="AB535" s="89" t="s">
        <v>646</v>
      </c>
      <c r="AC535" s="89" t="s">
        <v>646</v>
      </c>
      <c r="AD535" s="89" t="s">
        <v>646</v>
      </c>
      <c r="AE535" s="89" t="s">
        <v>646</v>
      </c>
      <c r="AF535" s="89" t="s">
        <v>21931</v>
      </c>
      <c r="AG535" s="89" t="s">
        <v>646</v>
      </c>
      <c r="AH535" s="89" t="s">
        <v>646</v>
      </c>
      <c r="AI535" s="89" t="s">
        <v>646</v>
      </c>
      <c r="AJ535" s="89" t="s">
        <v>646</v>
      </c>
      <c r="AK535" s="89" t="s">
        <v>646</v>
      </c>
      <c r="AL535" s="89" t="s">
        <v>21932</v>
      </c>
      <c r="AM535" s="89" t="s">
        <v>646</v>
      </c>
      <c r="AN535" s="89" t="s">
        <v>646</v>
      </c>
      <c r="AO535" s="89" t="s">
        <v>646</v>
      </c>
      <c r="AP535" s="89" t="s">
        <v>646</v>
      </c>
      <c r="AQ535" s="89" t="s">
        <v>646</v>
      </c>
      <c r="AR535" s="89" t="s">
        <v>646</v>
      </c>
      <c r="AS535" s="89" t="s">
        <v>646</v>
      </c>
      <c r="AT535" s="89" t="s">
        <v>646</v>
      </c>
      <c r="AU535" s="89" t="s">
        <v>646</v>
      </c>
      <c r="AV535" s="89" t="s">
        <v>646</v>
      </c>
      <c r="AW535" s="89" t="s">
        <v>646</v>
      </c>
      <c r="AX535" s="89" t="s">
        <v>646</v>
      </c>
      <c r="AY535" s="89" t="s">
        <v>21933</v>
      </c>
      <c r="AZ535" s="89" t="s">
        <v>21934</v>
      </c>
      <c r="BA535" s="89" t="s">
        <v>646</v>
      </c>
      <c r="BB535" s="89" t="s">
        <v>646</v>
      </c>
      <c r="BC535" s="89" t="s">
        <v>646</v>
      </c>
      <c r="BD535" s="89" t="s">
        <v>17687</v>
      </c>
      <c r="BE535" s="89">
        <v>2016</v>
      </c>
      <c r="BF535" s="89">
        <v>10</v>
      </c>
      <c r="BG535" s="89">
        <v>4</v>
      </c>
      <c r="BH535" s="89" t="s">
        <v>646</v>
      </c>
      <c r="BI535" s="89" t="s">
        <v>646</v>
      </c>
      <c r="BJ535" s="89" t="s">
        <v>646</v>
      </c>
      <c r="BK535" s="89" t="s">
        <v>646</v>
      </c>
      <c r="BL535" s="89">
        <v>649</v>
      </c>
      <c r="BM535" s="89">
        <v>682</v>
      </c>
      <c r="BN535" s="89" t="s">
        <v>646</v>
      </c>
      <c r="BO535" s="89" t="str">
        <f>HYPERLINK("http://dx.doi.org/10.1007/s11846-015-0171-y","http://dx.doi.org/10.1007/s11846-015-0171-y")</f>
        <v>http://dx.doi.org/10.1007/s11846-015-0171-y</v>
      </c>
      <c r="BP535" s="89" t="s">
        <v>646</v>
      </c>
      <c r="BQ535" s="89" t="s">
        <v>646</v>
      </c>
      <c r="BR535" s="89" t="s">
        <v>646</v>
      </c>
      <c r="BS535" s="89" t="s">
        <v>646</v>
      </c>
      <c r="BT535" s="89" t="s">
        <v>646</v>
      </c>
      <c r="BU535" s="89" t="s">
        <v>646</v>
      </c>
      <c r="BV535" s="89" t="s">
        <v>646</v>
      </c>
      <c r="BW535" s="89" t="s">
        <v>646</v>
      </c>
      <c r="BX535" s="89" t="s">
        <v>646</v>
      </c>
      <c r="BY535" s="89" t="s">
        <v>646</v>
      </c>
      <c r="BZ535" s="89" t="s">
        <v>646</v>
      </c>
      <c r="CA535" s="89" t="s">
        <v>646</v>
      </c>
      <c r="CB535" s="89" t="s">
        <v>21935</v>
      </c>
      <c r="CC535" s="89" t="str">
        <f>HYPERLINK("https%3A%2F%2Fwww.webofscience.com%2Fwos%2Fwoscc%2Ffull-record%2FWOS:000383501100002","View Full Record in Web of Science")</f>
        <v>View Full Record in Web of Science</v>
      </c>
    </row>
    <row r="536" spans="1:81" ht="13.2" hidden="1" x14ac:dyDescent="0.25">
      <c r="A536" s="89" t="s">
        <v>13301</v>
      </c>
      <c r="B536" s="89" t="e">
        <f>+#REF!</f>
        <v>#REF!</v>
      </c>
      <c r="C536" s="89"/>
      <c r="D536" s="91" t="s">
        <v>717</v>
      </c>
      <c r="E536" s="90" t="e">
        <v>#REF!</v>
      </c>
      <c r="F536" s="89"/>
      <c r="G536" s="89"/>
      <c r="H536" s="89" t="s">
        <v>13302</v>
      </c>
      <c r="I536" s="89" t="s">
        <v>21936</v>
      </c>
      <c r="J536" s="89" t="s">
        <v>646</v>
      </c>
      <c r="K536" s="89" t="s">
        <v>21937</v>
      </c>
      <c r="M536" s="89">
        <v>2014</v>
      </c>
      <c r="N536" s="89" t="s">
        <v>18779</v>
      </c>
      <c r="O536" s="89" t="s">
        <v>646</v>
      </c>
      <c r="P536" s="89" t="str">
        <f>HYPERLINK("http://dx.doi.org/10.1016/j.infsof.2013.04.005","http://dx.doi.org/10.1016/j.infsof.2013.04.005")</f>
        <v>http://dx.doi.org/10.1016/j.infsof.2013.04.005</v>
      </c>
      <c r="S536" s="89" t="s">
        <v>646</v>
      </c>
      <c r="U536" s="89" t="s">
        <v>17462</v>
      </c>
      <c r="W536" s="89" t="s">
        <v>646</v>
      </c>
      <c r="X536" s="89" t="s">
        <v>646</v>
      </c>
      <c r="Y536" s="89" t="s">
        <v>646</v>
      </c>
      <c r="Z536" s="89" t="s">
        <v>646</v>
      </c>
      <c r="AA536" s="89" t="s">
        <v>646</v>
      </c>
      <c r="AB536" s="89" t="s">
        <v>646</v>
      </c>
      <c r="AC536" s="89" t="s">
        <v>646</v>
      </c>
      <c r="AD536" s="89" t="s">
        <v>646</v>
      </c>
      <c r="AE536" s="89" t="s">
        <v>646</v>
      </c>
      <c r="AF536" s="89" t="s">
        <v>21937</v>
      </c>
      <c r="AG536" s="89" t="s">
        <v>646</v>
      </c>
      <c r="AH536" s="89" t="s">
        <v>646</v>
      </c>
      <c r="AI536" s="89" t="s">
        <v>646</v>
      </c>
      <c r="AJ536" s="89" t="s">
        <v>646</v>
      </c>
      <c r="AK536" s="89" t="s">
        <v>646</v>
      </c>
      <c r="AL536" s="89" t="s">
        <v>646</v>
      </c>
      <c r="AM536" s="89" t="s">
        <v>646</v>
      </c>
      <c r="AN536" s="89" t="s">
        <v>646</v>
      </c>
      <c r="AO536" s="89" t="s">
        <v>646</v>
      </c>
      <c r="AP536" s="89" t="s">
        <v>646</v>
      </c>
      <c r="AQ536" s="89" t="s">
        <v>646</v>
      </c>
      <c r="AR536" s="89" t="s">
        <v>646</v>
      </c>
      <c r="AS536" s="89" t="s">
        <v>646</v>
      </c>
      <c r="AT536" s="89" t="s">
        <v>646</v>
      </c>
      <c r="AU536" s="89" t="s">
        <v>646</v>
      </c>
      <c r="AV536" s="89" t="s">
        <v>646</v>
      </c>
      <c r="AW536" s="89" t="s">
        <v>646</v>
      </c>
      <c r="AX536" s="89" t="s">
        <v>646</v>
      </c>
      <c r="AY536" s="89" t="s">
        <v>18782</v>
      </c>
      <c r="AZ536" s="89" t="s">
        <v>18783</v>
      </c>
      <c r="BA536" s="89" t="s">
        <v>646</v>
      </c>
      <c r="BB536" s="89" t="s">
        <v>646</v>
      </c>
      <c r="BC536" s="89" t="s">
        <v>646</v>
      </c>
      <c r="BD536" s="89" t="s">
        <v>17513</v>
      </c>
      <c r="BE536" s="89">
        <v>2014</v>
      </c>
      <c r="BF536" s="89">
        <v>56</v>
      </c>
      <c r="BG536" s="89">
        <v>1</v>
      </c>
      <c r="BH536" s="89" t="s">
        <v>646</v>
      </c>
      <c r="BI536" s="89" t="s">
        <v>646</v>
      </c>
      <c r="BJ536" s="89" t="s">
        <v>646</v>
      </c>
      <c r="BK536" s="89" t="s">
        <v>646</v>
      </c>
      <c r="BL536" s="89">
        <v>6</v>
      </c>
      <c r="BM536" s="89">
        <v>19</v>
      </c>
      <c r="BN536" s="89" t="s">
        <v>646</v>
      </c>
      <c r="BO536" s="89" t="str">
        <f>HYPERLINK("http://dx.doi.org/10.1016/j.infsof.2013.04.005","http://dx.doi.org/10.1016/j.infsof.2013.04.005")</f>
        <v>http://dx.doi.org/10.1016/j.infsof.2013.04.005</v>
      </c>
      <c r="BP536" s="89" t="s">
        <v>646</v>
      </c>
      <c r="BQ536" s="89" t="s">
        <v>646</v>
      </c>
      <c r="BR536" s="89" t="s">
        <v>646</v>
      </c>
      <c r="BS536" s="89" t="s">
        <v>646</v>
      </c>
      <c r="BT536" s="89" t="s">
        <v>646</v>
      </c>
      <c r="BU536" s="89" t="s">
        <v>646</v>
      </c>
      <c r="BV536" s="89" t="s">
        <v>646</v>
      </c>
      <c r="BW536" s="89" t="s">
        <v>646</v>
      </c>
      <c r="BX536" s="89" t="s">
        <v>646</v>
      </c>
      <c r="BY536" s="89" t="s">
        <v>646</v>
      </c>
      <c r="BZ536" s="89" t="s">
        <v>646</v>
      </c>
      <c r="CA536" s="89" t="s">
        <v>646</v>
      </c>
      <c r="CB536" s="89" t="s">
        <v>21938</v>
      </c>
      <c r="CC536" s="89" t="str">
        <f>HYPERLINK("https%3A%2F%2Fwww.webofscience.com%2Fwos%2Fwoscc%2Ffull-record%2FWOS:000329151900002","View Full Record in Web of Science")</f>
        <v>View Full Record in Web of Science</v>
      </c>
    </row>
    <row r="537" spans="1:81" ht="13.2" hidden="1" x14ac:dyDescent="0.25">
      <c r="A537" s="89" t="s">
        <v>13310</v>
      </c>
      <c r="B537" s="89" t="e">
        <f>+#REF!</f>
        <v>#REF!</v>
      </c>
      <c r="C537" s="89"/>
      <c r="D537" s="91" t="s">
        <v>717</v>
      </c>
      <c r="E537" s="90" t="e">
        <v>#REF!</v>
      </c>
      <c r="F537" s="89"/>
      <c r="G537" s="89"/>
      <c r="H537" s="89" t="s">
        <v>13311</v>
      </c>
      <c r="I537" s="89" t="s">
        <v>21940</v>
      </c>
      <c r="J537" s="89" t="s">
        <v>21947</v>
      </c>
      <c r="K537" s="89" t="s">
        <v>21946</v>
      </c>
      <c r="M537" s="89">
        <v>2007</v>
      </c>
      <c r="N537" s="89" t="s">
        <v>21941</v>
      </c>
      <c r="O537" s="89" t="s">
        <v>21939</v>
      </c>
      <c r="P537" s="89" t="str">
        <f>HYPERLINK("http://dx.doi.org/10.1109/CSEET.2007.24","http://dx.doi.org/10.1109/CSEET.2007.24")</f>
        <v>http://dx.doi.org/10.1109/CSEET.2007.24</v>
      </c>
      <c r="S537" s="89" t="s">
        <v>646</v>
      </c>
      <c r="U537" s="89" t="s">
        <v>17474</v>
      </c>
      <c r="W537" s="89" t="s">
        <v>646</v>
      </c>
      <c r="X537" s="89" t="s">
        <v>646</v>
      </c>
      <c r="Y537" s="89" t="s">
        <v>21942</v>
      </c>
      <c r="Z537" s="89" t="s">
        <v>21943</v>
      </c>
      <c r="AA537" s="89" t="s">
        <v>21944</v>
      </c>
      <c r="AB537" s="89" t="s">
        <v>21945</v>
      </c>
      <c r="AC537" s="89" t="s">
        <v>646</v>
      </c>
      <c r="AD537" s="89" t="s">
        <v>646</v>
      </c>
      <c r="AE537" s="89" t="s">
        <v>646</v>
      </c>
      <c r="AF537" s="89" t="s">
        <v>21946</v>
      </c>
      <c r="AG537" s="89" t="s">
        <v>646</v>
      </c>
      <c r="AH537" s="89" t="s">
        <v>646</v>
      </c>
      <c r="AI537" s="89" t="s">
        <v>646</v>
      </c>
      <c r="AJ537" s="89" t="s">
        <v>646</v>
      </c>
      <c r="AK537" s="89" t="s">
        <v>21947</v>
      </c>
      <c r="AL537" s="89" t="s">
        <v>21223</v>
      </c>
      <c r="AM537" s="89" t="s">
        <v>646</v>
      </c>
      <c r="AN537" s="89" t="s">
        <v>646</v>
      </c>
      <c r="AO537" s="89" t="s">
        <v>646</v>
      </c>
      <c r="AP537" s="89" t="s">
        <v>646</v>
      </c>
      <c r="AQ537" s="89" t="s">
        <v>646</v>
      </c>
      <c r="AR537" s="89" t="s">
        <v>646</v>
      </c>
      <c r="AS537" s="89" t="s">
        <v>646</v>
      </c>
      <c r="AT537" s="89" t="s">
        <v>646</v>
      </c>
      <c r="AU537" s="89" t="s">
        <v>646</v>
      </c>
      <c r="AV537" s="89" t="s">
        <v>646</v>
      </c>
      <c r="AW537" s="89" t="s">
        <v>646</v>
      </c>
      <c r="AX537" s="89" t="s">
        <v>646</v>
      </c>
      <c r="AY537" s="89" t="s">
        <v>21948</v>
      </c>
      <c r="AZ537" s="89" t="s">
        <v>646</v>
      </c>
      <c r="BA537" s="89" t="s">
        <v>21949</v>
      </c>
      <c r="BB537" s="89" t="s">
        <v>646</v>
      </c>
      <c r="BC537" s="89" t="s">
        <v>646</v>
      </c>
      <c r="BD537" s="89" t="s">
        <v>646</v>
      </c>
      <c r="BE537" s="89">
        <v>2007</v>
      </c>
      <c r="BF537" s="89" t="s">
        <v>646</v>
      </c>
      <c r="BG537" s="89" t="s">
        <v>646</v>
      </c>
      <c r="BH537" s="89" t="s">
        <v>646</v>
      </c>
      <c r="BI537" s="89" t="s">
        <v>646</v>
      </c>
      <c r="BJ537" s="89" t="s">
        <v>646</v>
      </c>
      <c r="BK537" s="89" t="s">
        <v>646</v>
      </c>
      <c r="BL537" s="89">
        <v>64</v>
      </c>
      <c r="BM537" s="89" t="s">
        <v>18405</v>
      </c>
      <c r="BN537" s="89" t="s">
        <v>646</v>
      </c>
      <c r="BO537" s="89" t="str">
        <f>HYPERLINK("http://dx.doi.org/10.1109/CSEET.2007.24","http://dx.doi.org/10.1109/CSEET.2007.24")</f>
        <v>http://dx.doi.org/10.1109/CSEET.2007.24</v>
      </c>
      <c r="BP537" s="89" t="s">
        <v>646</v>
      </c>
      <c r="BQ537" s="89" t="s">
        <v>646</v>
      </c>
      <c r="BR537" s="89" t="s">
        <v>646</v>
      </c>
      <c r="BS537" s="89" t="s">
        <v>646</v>
      </c>
      <c r="BT537" s="89" t="s">
        <v>646</v>
      </c>
      <c r="BU537" s="89" t="s">
        <v>646</v>
      </c>
      <c r="BV537" s="89" t="s">
        <v>646</v>
      </c>
      <c r="BW537" s="89" t="s">
        <v>646</v>
      </c>
      <c r="BX537" s="89" t="s">
        <v>646</v>
      </c>
      <c r="BY537" s="89" t="s">
        <v>646</v>
      </c>
      <c r="BZ537" s="89" t="s">
        <v>646</v>
      </c>
      <c r="CA537" s="89" t="s">
        <v>646</v>
      </c>
      <c r="CB537" s="89" t="s">
        <v>21950</v>
      </c>
      <c r="CC537" s="89" t="str">
        <f>HYPERLINK("https%3A%2F%2Fwww.webofscience.com%2Fwos%2Fwoscc%2Ffull-record%2FWOS:000248193000008","View Full Record in Web of Science")</f>
        <v>View Full Record in Web of Science</v>
      </c>
    </row>
    <row r="538" spans="1:81" ht="13.2" hidden="1" x14ac:dyDescent="0.25">
      <c r="A538" s="89" t="s">
        <v>21951</v>
      </c>
      <c r="B538" s="89" t="e">
        <f>+#REF!</f>
        <v>#REF!</v>
      </c>
      <c r="C538" s="89"/>
      <c r="D538" s="91" t="s">
        <v>717</v>
      </c>
      <c r="E538" s="90" t="e">
        <v>#REF!</v>
      </c>
      <c r="F538" s="89"/>
      <c r="G538" s="89"/>
      <c r="H538" s="89" t="s">
        <v>13321</v>
      </c>
      <c r="I538" s="89" t="s">
        <v>21952</v>
      </c>
      <c r="J538" s="89" t="s">
        <v>646</v>
      </c>
      <c r="K538" s="89" t="s">
        <v>21953</v>
      </c>
      <c r="M538" s="89">
        <v>2012</v>
      </c>
      <c r="N538" s="89" t="s">
        <v>21731</v>
      </c>
      <c r="O538" s="89" t="s">
        <v>646</v>
      </c>
      <c r="P538" s="89" t="str">
        <f>HYPERLINK("http://dx.doi.org/10.1109/TVCG.2012.230","http://dx.doi.org/10.1109/TVCG.2012.230")</f>
        <v>http://dx.doi.org/10.1109/TVCG.2012.230</v>
      </c>
      <c r="S538" s="89" t="s">
        <v>646</v>
      </c>
      <c r="U538" s="89" t="s">
        <v>17462</v>
      </c>
      <c r="W538" s="89" t="s">
        <v>646</v>
      </c>
      <c r="X538" s="89" t="s">
        <v>646</v>
      </c>
      <c r="Y538" s="89" t="s">
        <v>646</v>
      </c>
      <c r="Z538" s="89" t="s">
        <v>646</v>
      </c>
      <c r="AA538" s="89" t="s">
        <v>646</v>
      </c>
      <c r="AB538" s="89" t="s">
        <v>646</v>
      </c>
      <c r="AC538" s="89" t="s">
        <v>646</v>
      </c>
      <c r="AD538" s="89" t="s">
        <v>646</v>
      </c>
      <c r="AE538" s="89" t="s">
        <v>646</v>
      </c>
      <c r="AF538" s="89" t="s">
        <v>21953</v>
      </c>
      <c r="AG538" s="89" t="s">
        <v>646</v>
      </c>
      <c r="AH538" s="89" t="s">
        <v>646</v>
      </c>
      <c r="AI538" s="89" t="s">
        <v>646</v>
      </c>
      <c r="AJ538" s="89" t="s">
        <v>646</v>
      </c>
      <c r="AK538" s="89" t="s">
        <v>646</v>
      </c>
      <c r="AL538" s="89" t="s">
        <v>21954</v>
      </c>
      <c r="AM538" s="89" t="s">
        <v>646</v>
      </c>
      <c r="AN538" s="89" t="s">
        <v>646</v>
      </c>
      <c r="AO538" s="89" t="s">
        <v>646</v>
      </c>
      <c r="AP538" s="89" t="s">
        <v>646</v>
      </c>
      <c r="AQ538" s="89" t="s">
        <v>646</v>
      </c>
      <c r="AR538" s="89" t="s">
        <v>646</v>
      </c>
      <c r="AS538" s="89" t="s">
        <v>646</v>
      </c>
      <c r="AT538" s="89" t="s">
        <v>646</v>
      </c>
      <c r="AU538" s="89" t="s">
        <v>646</v>
      </c>
      <c r="AV538" s="89" t="s">
        <v>646</v>
      </c>
      <c r="AW538" s="89" t="s">
        <v>646</v>
      </c>
      <c r="AX538" s="89" t="s">
        <v>646</v>
      </c>
      <c r="AY538" s="89" t="s">
        <v>21734</v>
      </c>
      <c r="AZ538" s="89" t="s">
        <v>21735</v>
      </c>
      <c r="BA538" s="89" t="s">
        <v>646</v>
      </c>
      <c r="BB538" s="89" t="s">
        <v>646</v>
      </c>
      <c r="BC538" s="89" t="s">
        <v>646</v>
      </c>
      <c r="BD538" s="89" t="s">
        <v>17615</v>
      </c>
      <c r="BE538" s="89">
        <v>2012</v>
      </c>
      <c r="BF538" s="89">
        <v>18</v>
      </c>
      <c r="BG538" s="89">
        <v>12</v>
      </c>
      <c r="BH538" s="89" t="s">
        <v>646</v>
      </c>
      <c r="BI538" s="89" t="s">
        <v>646</v>
      </c>
      <c r="BJ538" s="89" t="s">
        <v>646</v>
      </c>
      <c r="BK538" s="89" t="s">
        <v>646</v>
      </c>
      <c r="BL538" s="89">
        <v>2441</v>
      </c>
      <c r="BM538" s="89">
        <v>2448</v>
      </c>
      <c r="BN538" s="89" t="s">
        <v>646</v>
      </c>
      <c r="BO538" s="89" t="str">
        <f>HYPERLINK("http://dx.doi.org/10.1109/TVCG.2012.230","http://dx.doi.org/10.1109/TVCG.2012.230")</f>
        <v>http://dx.doi.org/10.1109/TVCG.2012.230</v>
      </c>
      <c r="BP538" s="89" t="s">
        <v>646</v>
      </c>
      <c r="BQ538" s="89" t="s">
        <v>646</v>
      </c>
      <c r="BR538" s="89" t="s">
        <v>646</v>
      </c>
      <c r="BS538" s="89" t="s">
        <v>646</v>
      </c>
      <c r="BT538" s="89" t="s">
        <v>646</v>
      </c>
      <c r="BU538" s="89" t="s">
        <v>646</v>
      </c>
      <c r="BV538" s="89" t="s">
        <v>646</v>
      </c>
      <c r="BW538" s="89">
        <v>26357152</v>
      </c>
      <c r="BX538" s="89" t="s">
        <v>646</v>
      </c>
      <c r="BY538" s="89" t="s">
        <v>646</v>
      </c>
      <c r="BZ538" s="89" t="s">
        <v>646</v>
      </c>
      <c r="CA538" s="89" t="s">
        <v>646</v>
      </c>
      <c r="CB538" s="89" t="s">
        <v>21955</v>
      </c>
      <c r="CC538" s="89" t="str">
        <f>HYPERLINK("https%3A%2F%2Fwww.webofscience.com%2Fwos%2Fwoscc%2Ffull-record%2FWOS:000310143100048","View Full Record in Web of Science")</f>
        <v>View Full Record in Web of Science</v>
      </c>
    </row>
    <row r="539" spans="1:81" ht="13.2" hidden="1" x14ac:dyDescent="0.25">
      <c r="A539" s="89" t="s">
        <v>9702</v>
      </c>
      <c r="B539" s="89" t="e">
        <f>+#REF!</f>
        <v>#REF!</v>
      </c>
      <c r="C539" s="89"/>
      <c r="D539" s="91" t="s">
        <v>717</v>
      </c>
      <c r="E539" s="90" t="e">
        <v>#REF!</v>
      </c>
      <c r="F539" s="89"/>
      <c r="G539" s="89"/>
      <c r="H539" s="89" t="s">
        <v>9703</v>
      </c>
      <c r="I539" s="89" t="s">
        <v>21956</v>
      </c>
      <c r="J539" s="89" t="s">
        <v>21958</v>
      </c>
      <c r="K539" s="89" t="s">
        <v>21957</v>
      </c>
      <c r="M539" s="89">
        <v>2021</v>
      </c>
      <c r="N539" s="89" t="s">
        <v>18423</v>
      </c>
      <c r="O539" s="89" t="s">
        <v>646</v>
      </c>
      <c r="P539" s="89" t="str">
        <f>HYPERLINK("http://dx.doi.org/10.1109/ACCESS.2021.3079194","http://dx.doi.org/10.1109/ACCESS.2021.3079194")</f>
        <v>http://dx.doi.org/10.1109/ACCESS.2021.3079194</v>
      </c>
      <c r="S539" s="89" t="s">
        <v>646</v>
      </c>
      <c r="U539" s="89" t="s">
        <v>17462</v>
      </c>
      <c r="W539" s="89" t="s">
        <v>646</v>
      </c>
      <c r="X539" s="89" t="s">
        <v>646</v>
      </c>
      <c r="Y539" s="89" t="s">
        <v>646</v>
      </c>
      <c r="Z539" s="89" t="s">
        <v>646</v>
      </c>
      <c r="AA539" s="89" t="s">
        <v>646</v>
      </c>
      <c r="AB539" s="89" t="s">
        <v>646</v>
      </c>
      <c r="AC539" s="89" t="s">
        <v>646</v>
      </c>
      <c r="AD539" s="89" t="s">
        <v>646</v>
      </c>
      <c r="AE539" s="89" t="s">
        <v>646</v>
      </c>
      <c r="AF539" s="89" t="s">
        <v>21957</v>
      </c>
      <c r="AG539" s="89" t="s">
        <v>646</v>
      </c>
      <c r="AH539" s="89" t="s">
        <v>646</v>
      </c>
      <c r="AI539" s="89" t="s">
        <v>646</v>
      </c>
      <c r="AJ539" s="89" t="s">
        <v>646</v>
      </c>
      <c r="AK539" s="89" t="s">
        <v>21958</v>
      </c>
      <c r="AL539" s="89" t="s">
        <v>21959</v>
      </c>
      <c r="AM539" s="89" t="s">
        <v>646</v>
      </c>
      <c r="AN539" s="89" t="s">
        <v>646</v>
      </c>
      <c r="AO539" s="89" t="s">
        <v>646</v>
      </c>
      <c r="AP539" s="89" t="s">
        <v>646</v>
      </c>
      <c r="AQ539" s="89" t="s">
        <v>646</v>
      </c>
      <c r="AR539" s="89" t="s">
        <v>646</v>
      </c>
      <c r="AS539" s="89" t="s">
        <v>646</v>
      </c>
      <c r="AT539" s="89" t="s">
        <v>646</v>
      </c>
      <c r="AU539" s="89" t="s">
        <v>646</v>
      </c>
      <c r="AV539" s="89" t="s">
        <v>646</v>
      </c>
      <c r="AW539" s="89" t="s">
        <v>646</v>
      </c>
      <c r="AX539" s="89" t="s">
        <v>646</v>
      </c>
      <c r="AY539" s="89" t="s">
        <v>18427</v>
      </c>
      <c r="AZ539" s="89" t="s">
        <v>646</v>
      </c>
      <c r="BA539" s="89" t="s">
        <v>646</v>
      </c>
      <c r="BB539" s="89" t="s">
        <v>646</v>
      </c>
      <c r="BC539" s="89" t="s">
        <v>646</v>
      </c>
      <c r="BD539" s="89" t="s">
        <v>646</v>
      </c>
      <c r="BE539" s="89">
        <v>2021</v>
      </c>
      <c r="BF539" s="89">
        <v>9</v>
      </c>
      <c r="BG539" s="89" t="s">
        <v>646</v>
      </c>
      <c r="BH539" s="89" t="s">
        <v>646</v>
      </c>
      <c r="BI539" s="89" t="s">
        <v>646</v>
      </c>
      <c r="BJ539" s="89" t="s">
        <v>646</v>
      </c>
      <c r="BK539" s="89" t="s">
        <v>646</v>
      </c>
      <c r="BL539" s="89">
        <v>71868</v>
      </c>
      <c r="BM539" s="89">
        <v>71886</v>
      </c>
      <c r="BN539" s="89" t="s">
        <v>646</v>
      </c>
      <c r="BO539" s="89" t="str">
        <f>HYPERLINK("http://dx.doi.org/10.1109/ACCESS.2021.3079194","http://dx.doi.org/10.1109/ACCESS.2021.3079194")</f>
        <v>http://dx.doi.org/10.1109/ACCESS.2021.3079194</v>
      </c>
      <c r="BP539" s="89" t="s">
        <v>646</v>
      </c>
      <c r="BQ539" s="89" t="s">
        <v>646</v>
      </c>
      <c r="BR539" s="89" t="s">
        <v>646</v>
      </c>
      <c r="BS539" s="89" t="s">
        <v>646</v>
      </c>
      <c r="BT539" s="89" t="s">
        <v>646</v>
      </c>
      <c r="BU539" s="89" t="s">
        <v>646</v>
      </c>
      <c r="BV539" s="89" t="s">
        <v>646</v>
      </c>
      <c r="BW539" s="89" t="s">
        <v>646</v>
      </c>
      <c r="BX539" s="89" t="s">
        <v>646</v>
      </c>
      <c r="BY539" s="89" t="s">
        <v>646</v>
      </c>
      <c r="BZ539" s="89" t="s">
        <v>646</v>
      </c>
      <c r="CA539" s="89" t="s">
        <v>646</v>
      </c>
      <c r="CB539" s="89" t="s">
        <v>21960</v>
      </c>
      <c r="CC539" s="89" t="str">
        <f>HYPERLINK("https%3A%2F%2Fwww.webofscience.com%2Fwos%2Fwoscc%2Ffull-record%2FWOS:000652048000001","View Full Record in Web of Science")</f>
        <v>View Full Record in Web of Science</v>
      </c>
    </row>
    <row r="540" spans="1:81" ht="13.2" hidden="1" x14ac:dyDescent="0.25">
      <c r="A540" s="89" t="s">
        <v>21961</v>
      </c>
      <c r="B540" s="89" t="e">
        <f>+#REF!</f>
        <v>#REF!</v>
      </c>
      <c r="C540" s="89"/>
      <c r="D540" s="91" t="s">
        <v>717</v>
      </c>
      <c r="E540" s="90" t="e">
        <v>#REF!</v>
      </c>
      <c r="F540" s="89"/>
      <c r="G540" s="89"/>
      <c r="H540" s="89" t="s">
        <v>10786</v>
      </c>
      <c r="I540" s="89" t="s">
        <v>21962</v>
      </c>
      <c r="J540" s="89" t="s">
        <v>646</v>
      </c>
      <c r="K540" s="89" t="s">
        <v>21964</v>
      </c>
      <c r="M540" s="89">
        <v>2020</v>
      </c>
      <c r="N540" s="89" t="s">
        <v>21963</v>
      </c>
      <c r="O540" s="89" t="s">
        <v>646</v>
      </c>
      <c r="P540" s="89" t="str">
        <f>HYPERLINK("http://dx.doi.org/10.1177/1024258920937960","http://dx.doi.org/10.1177/1024258920937960")</f>
        <v>http://dx.doi.org/10.1177/1024258920937960</v>
      </c>
      <c r="S540" s="89" t="s">
        <v>646</v>
      </c>
      <c r="U540" s="89" t="s">
        <v>17462</v>
      </c>
      <c r="W540" s="89" t="s">
        <v>646</v>
      </c>
      <c r="X540" s="89" t="s">
        <v>646</v>
      </c>
      <c r="Y540" s="89" t="s">
        <v>646</v>
      </c>
      <c r="Z540" s="89" t="s">
        <v>646</v>
      </c>
      <c r="AA540" s="89" t="s">
        <v>646</v>
      </c>
      <c r="AB540" s="89" t="s">
        <v>646</v>
      </c>
      <c r="AC540" s="89" t="s">
        <v>646</v>
      </c>
      <c r="AD540" s="89" t="s">
        <v>646</v>
      </c>
      <c r="AE540" s="89" t="s">
        <v>646</v>
      </c>
      <c r="AF540" s="89" t="s">
        <v>21964</v>
      </c>
      <c r="AG540" s="89" t="s">
        <v>646</v>
      </c>
      <c r="AH540" s="89" t="s">
        <v>646</v>
      </c>
      <c r="AI540" s="89" t="s">
        <v>646</v>
      </c>
      <c r="AJ540" s="89" t="s">
        <v>646</v>
      </c>
      <c r="AK540" s="89" t="s">
        <v>646</v>
      </c>
      <c r="AL540" s="89" t="s">
        <v>646</v>
      </c>
      <c r="AM540" s="89" t="s">
        <v>646</v>
      </c>
      <c r="AN540" s="89" t="s">
        <v>646</v>
      </c>
      <c r="AO540" s="89" t="s">
        <v>646</v>
      </c>
      <c r="AP540" s="89" t="s">
        <v>646</v>
      </c>
      <c r="AQ540" s="89" t="s">
        <v>646</v>
      </c>
      <c r="AR540" s="89" t="s">
        <v>646</v>
      </c>
      <c r="AS540" s="89" t="s">
        <v>646</v>
      </c>
      <c r="AT540" s="89" t="s">
        <v>646</v>
      </c>
      <c r="AU540" s="89" t="s">
        <v>646</v>
      </c>
      <c r="AV540" s="89" t="s">
        <v>646</v>
      </c>
      <c r="AW540" s="89" t="s">
        <v>646</v>
      </c>
      <c r="AX540" s="89" t="s">
        <v>646</v>
      </c>
      <c r="AY540" s="89" t="s">
        <v>21965</v>
      </c>
      <c r="AZ540" s="89" t="s">
        <v>21966</v>
      </c>
      <c r="BA540" s="89" t="s">
        <v>646</v>
      </c>
      <c r="BB540" s="89" t="s">
        <v>646</v>
      </c>
      <c r="BC540" s="89" t="s">
        <v>646</v>
      </c>
      <c r="BD540" s="89" t="s">
        <v>18292</v>
      </c>
      <c r="BE540" s="89">
        <v>2020</v>
      </c>
      <c r="BF540" s="89">
        <v>26</v>
      </c>
      <c r="BG540" s="89">
        <v>4</v>
      </c>
      <c r="BH540" s="89" t="s">
        <v>646</v>
      </c>
      <c r="BI540" s="89" t="s">
        <v>646</v>
      </c>
      <c r="BJ540" s="89" t="s">
        <v>646</v>
      </c>
      <c r="BK540" s="89" t="s">
        <v>646</v>
      </c>
      <c r="BL540" s="89">
        <v>447</v>
      </c>
      <c r="BM540" s="89">
        <v>463</v>
      </c>
      <c r="BN540" s="89">
        <v>1024258920937960</v>
      </c>
      <c r="BO540" s="89" t="str">
        <f>HYPERLINK("http://dx.doi.org/10.1177/1024258920937960","http://dx.doi.org/10.1177/1024258920937960")</f>
        <v>http://dx.doi.org/10.1177/1024258920937960</v>
      </c>
      <c r="BP540" s="89" t="s">
        <v>646</v>
      </c>
      <c r="BQ540" s="89" t="s">
        <v>18873</v>
      </c>
      <c r="BR540" s="89" t="s">
        <v>646</v>
      </c>
      <c r="BS540" s="89" t="s">
        <v>646</v>
      </c>
      <c r="BT540" s="89" t="s">
        <v>646</v>
      </c>
      <c r="BU540" s="89" t="s">
        <v>646</v>
      </c>
      <c r="BV540" s="89" t="s">
        <v>646</v>
      </c>
      <c r="BW540" s="89" t="s">
        <v>646</v>
      </c>
      <c r="BX540" s="89" t="s">
        <v>646</v>
      </c>
      <c r="BY540" s="89" t="s">
        <v>646</v>
      </c>
      <c r="BZ540" s="89" t="s">
        <v>646</v>
      </c>
      <c r="CA540" s="89" t="s">
        <v>646</v>
      </c>
      <c r="CB540" s="89" t="s">
        <v>21967</v>
      </c>
      <c r="CC540" s="89" t="str">
        <f>HYPERLINK("https%3A%2F%2Fwww.webofscience.com%2Fwos%2Fwoscc%2Ffull-record%2FWOS:000552210200001","View Full Record in Web of Science")</f>
        <v>View Full Record in Web of Science</v>
      </c>
    </row>
    <row r="541" spans="1:81" ht="13.2" hidden="1" x14ac:dyDescent="0.25">
      <c r="A541" s="89" t="s">
        <v>9710</v>
      </c>
      <c r="B541" s="89" t="e">
        <f>+#REF!</f>
        <v>#REF!</v>
      </c>
      <c r="C541" s="89"/>
      <c r="D541" s="91" t="s">
        <v>717</v>
      </c>
      <c r="E541" s="90" t="e">
        <v>#REF!</v>
      </c>
      <c r="F541" s="89"/>
      <c r="G541" s="89"/>
      <c r="H541" s="89" t="s">
        <v>9711</v>
      </c>
      <c r="I541" s="89" t="s">
        <v>21968</v>
      </c>
      <c r="J541" s="89" t="s">
        <v>646</v>
      </c>
      <c r="K541" s="89" t="s">
        <v>21970</v>
      </c>
      <c r="M541" s="89">
        <v>2021</v>
      </c>
      <c r="N541" s="89" t="s">
        <v>21969</v>
      </c>
      <c r="O541" s="89" t="s">
        <v>646</v>
      </c>
      <c r="P541" s="89" t="str">
        <f>HYPERLINK("http://dx.doi.org/10.1093/cybsec/tyab007","http://dx.doi.org/10.1093/cybsec/tyab007")</f>
        <v>http://dx.doi.org/10.1093/cybsec/tyab007</v>
      </c>
      <c r="S541" s="89" t="s">
        <v>646</v>
      </c>
      <c r="U541" s="89" t="s">
        <v>17462</v>
      </c>
      <c r="W541" s="89" t="s">
        <v>646</v>
      </c>
      <c r="X541" s="89" t="s">
        <v>646</v>
      </c>
      <c r="Y541" s="89" t="s">
        <v>646</v>
      </c>
      <c r="Z541" s="89" t="s">
        <v>646</v>
      </c>
      <c r="AA541" s="89" t="s">
        <v>646</v>
      </c>
      <c r="AB541" s="89" t="s">
        <v>646</v>
      </c>
      <c r="AC541" s="89" t="s">
        <v>646</v>
      </c>
      <c r="AD541" s="89" t="s">
        <v>646</v>
      </c>
      <c r="AE541" s="89" t="s">
        <v>646</v>
      </c>
      <c r="AF541" s="89" t="s">
        <v>21970</v>
      </c>
      <c r="AG541" s="89" t="s">
        <v>646</v>
      </c>
      <c r="AH541" s="89" t="s">
        <v>646</v>
      </c>
      <c r="AI541" s="89" t="s">
        <v>646</v>
      </c>
      <c r="AJ541" s="89" t="s">
        <v>646</v>
      </c>
      <c r="AK541" s="89" t="s">
        <v>646</v>
      </c>
      <c r="AL541" s="89" t="s">
        <v>646</v>
      </c>
      <c r="AM541" s="89" t="s">
        <v>646</v>
      </c>
      <c r="AN541" s="89" t="s">
        <v>646</v>
      </c>
      <c r="AO541" s="89" t="s">
        <v>646</v>
      </c>
      <c r="AP541" s="89" t="s">
        <v>646</v>
      </c>
      <c r="AQ541" s="89" t="s">
        <v>646</v>
      </c>
      <c r="AR541" s="89" t="s">
        <v>646</v>
      </c>
      <c r="AS541" s="89" t="s">
        <v>646</v>
      </c>
      <c r="AT541" s="89" t="s">
        <v>646</v>
      </c>
      <c r="AU541" s="89" t="s">
        <v>646</v>
      </c>
      <c r="AV541" s="89" t="s">
        <v>646</v>
      </c>
      <c r="AW541" s="89" t="s">
        <v>646</v>
      </c>
      <c r="AX541" s="89" t="s">
        <v>646</v>
      </c>
      <c r="AY541" s="89" t="s">
        <v>21971</v>
      </c>
      <c r="AZ541" s="89" t="s">
        <v>21972</v>
      </c>
      <c r="BA541" s="89" t="s">
        <v>646</v>
      </c>
      <c r="BB541" s="89" t="s">
        <v>646</v>
      </c>
      <c r="BC541" s="89" t="s">
        <v>646</v>
      </c>
      <c r="BD541" s="89" t="s">
        <v>646</v>
      </c>
      <c r="BE541" s="89">
        <v>2021</v>
      </c>
      <c r="BF541" s="89">
        <v>7</v>
      </c>
      <c r="BG541" s="89">
        <v>1</v>
      </c>
      <c r="BH541" s="89" t="s">
        <v>646</v>
      </c>
      <c r="BI541" s="89" t="s">
        <v>646</v>
      </c>
      <c r="BJ541" s="89" t="s">
        <v>646</v>
      </c>
      <c r="BK541" s="89" t="s">
        <v>646</v>
      </c>
      <c r="BL541" s="89" t="s">
        <v>646</v>
      </c>
      <c r="BM541" s="89" t="s">
        <v>646</v>
      </c>
      <c r="BN541" s="89" t="s">
        <v>646</v>
      </c>
      <c r="BO541" s="89" t="str">
        <f>HYPERLINK("http://dx.doi.org/10.1093/cybsec/tyab007","http://dx.doi.org/10.1093/cybsec/tyab007")</f>
        <v>http://dx.doi.org/10.1093/cybsec/tyab007</v>
      </c>
      <c r="BP541" s="89" t="s">
        <v>646</v>
      </c>
      <c r="BQ541" s="89" t="s">
        <v>20147</v>
      </c>
      <c r="BR541" s="89" t="s">
        <v>646</v>
      </c>
      <c r="BS541" s="89" t="s">
        <v>646</v>
      </c>
      <c r="BT541" s="89" t="s">
        <v>646</v>
      </c>
      <c r="BU541" s="89" t="s">
        <v>646</v>
      </c>
      <c r="BV541" s="89" t="s">
        <v>646</v>
      </c>
      <c r="BW541" s="89" t="s">
        <v>646</v>
      </c>
      <c r="BX541" s="89" t="s">
        <v>646</v>
      </c>
      <c r="BY541" s="89" t="s">
        <v>646</v>
      </c>
      <c r="BZ541" s="89" t="s">
        <v>646</v>
      </c>
      <c r="CA541" s="89" t="s">
        <v>646</v>
      </c>
      <c r="CB541" s="89" t="s">
        <v>21973</v>
      </c>
      <c r="CC541" s="89" t="str">
        <f>HYPERLINK("https%3A%2F%2Fwww.webofscience.com%2Fwos%2Fwoscc%2Ffull-record%2FWOS:000635681500001","View Full Record in Web of Science")</f>
        <v>View Full Record in Web of Science</v>
      </c>
    </row>
    <row r="542" spans="1:81" ht="13.2" hidden="1" x14ac:dyDescent="0.25">
      <c r="A542" s="89" t="s">
        <v>13329</v>
      </c>
      <c r="B542" s="89" t="e">
        <f>+#REF!</f>
        <v>#REF!</v>
      </c>
      <c r="C542" s="89"/>
      <c r="D542" s="91" t="s">
        <v>717</v>
      </c>
      <c r="E542" s="90" t="e">
        <v>#REF!</v>
      </c>
      <c r="F542" s="89"/>
      <c r="G542" s="89"/>
      <c r="H542" s="89" t="s">
        <v>13330</v>
      </c>
      <c r="I542" s="89" t="s">
        <v>21974</v>
      </c>
      <c r="J542" s="89" t="s">
        <v>21977</v>
      </c>
      <c r="K542" s="89" t="s">
        <v>21976</v>
      </c>
      <c r="M542" s="89">
        <v>2017</v>
      </c>
      <c r="N542" s="89" t="s">
        <v>21975</v>
      </c>
      <c r="O542" s="89" t="s">
        <v>646</v>
      </c>
      <c r="P542" s="89" t="str">
        <f>HYPERLINK("http://dx.doi.org/10.1080/14241277.2017.1298109","http://dx.doi.org/10.1080/14241277.2017.1298109")</f>
        <v>http://dx.doi.org/10.1080/14241277.2017.1298109</v>
      </c>
      <c r="S542" s="89" t="s">
        <v>646</v>
      </c>
      <c r="U542" s="89" t="s">
        <v>17462</v>
      </c>
      <c r="W542" s="89" t="s">
        <v>646</v>
      </c>
      <c r="X542" s="89" t="s">
        <v>646</v>
      </c>
      <c r="Y542" s="89" t="s">
        <v>646</v>
      </c>
      <c r="Z542" s="89" t="s">
        <v>646</v>
      </c>
      <c r="AA542" s="89" t="s">
        <v>646</v>
      </c>
      <c r="AB542" s="89" t="s">
        <v>646</v>
      </c>
      <c r="AC542" s="89" t="s">
        <v>646</v>
      </c>
      <c r="AD542" s="89" t="s">
        <v>646</v>
      </c>
      <c r="AE542" s="89" t="s">
        <v>646</v>
      </c>
      <c r="AF542" s="89" t="s">
        <v>21976</v>
      </c>
      <c r="AG542" s="89" t="s">
        <v>646</v>
      </c>
      <c r="AH542" s="89" t="s">
        <v>646</v>
      </c>
      <c r="AI542" s="89" t="s">
        <v>646</v>
      </c>
      <c r="AJ542" s="89" t="s">
        <v>646</v>
      </c>
      <c r="AK542" s="89" t="s">
        <v>21977</v>
      </c>
      <c r="AL542" s="89" t="s">
        <v>21978</v>
      </c>
      <c r="AM542" s="89" t="s">
        <v>646</v>
      </c>
      <c r="AN542" s="89" t="s">
        <v>646</v>
      </c>
      <c r="AO542" s="89" t="s">
        <v>646</v>
      </c>
      <c r="AP542" s="89" t="s">
        <v>646</v>
      </c>
      <c r="AQ542" s="89" t="s">
        <v>646</v>
      </c>
      <c r="AR542" s="89" t="s">
        <v>646</v>
      </c>
      <c r="AS542" s="89" t="s">
        <v>646</v>
      </c>
      <c r="AT542" s="89" t="s">
        <v>646</v>
      </c>
      <c r="AU542" s="89" t="s">
        <v>646</v>
      </c>
      <c r="AV542" s="89" t="s">
        <v>646</v>
      </c>
      <c r="AW542" s="89" t="s">
        <v>646</v>
      </c>
      <c r="AX542" s="89" t="s">
        <v>646</v>
      </c>
      <c r="AY542" s="89" t="s">
        <v>21979</v>
      </c>
      <c r="AZ542" s="89" t="s">
        <v>21980</v>
      </c>
      <c r="BA542" s="89" t="s">
        <v>646</v>
      </c>
      <c r="BB542" s="89" t="s">
        <v>646</v>
      </c>
      <c r="BC542" s="89" t="s">
        <v>646</v>
      </c>
      <c r="BD542" s="89" t="s">
        <v>646</v>
      </c>
      <c r="BE542" s="89">
        <v>2017</v>
      </c>
      <c r="BF542" s="89">
        <v>19</v>
      </c>
      <c r="BG542" s="89">
        <v>2</v>
      </c>
      <c r="BH542" s="89" t="s">
        <v>646</v>
      </c>
      <c r="BI542" s="89" t="s">
        <v>646</v>
      </c>
      <c r="BJ542" s="89" t="s">
        <v>646</v>
      </c>
      <c r="BK542" s="89" t="s">
        <v>646</v>
      </c>
      <c r="BL542" s="89">
        <v>123</v>
      </c>
      <c r="BM542" s="89">
        <v>143</v>
      </c>
      <c r="BN542" s="89" t="s">
        <v>646</v>
      </c>
      <c r="BO542" s="89" t="str">
        <f>HYPERLINK("http://dx.doi.org/10.1080/14241277.2017.1298109","http://dx.doi.org/10.1080/14241277.2017.1298109")</f>
        <v>http://dx.doi.org/10.1080/14241277.2017.1298109</v>
      </c>
      <c r="BP542" s="89" t="s">
        <v>646</v>
      </c>
      <c r="BQ542" s="89" t="s">
        <v>646</v>
      </c>
      <c r="BR542" s="89" t="s">
        <v>646</v>
      </c>
      <c r="BS542" s="89" t="s">
        <v>646</v>
      </c>
      <c r="BT542" s="89" t="s">
        <v>646</v>
      </c>
      <c r="BU542" s="89" t="s">
        <v>646</v>
      </c>
      <c r="BV542" s="89" t="s">
        <v>646</v>
      </c>
      <c r="BW542" s="89" t="s">
        <v>646</v>
      </c>
      <c r="BX542" s="89" t="s">
        <v>646</v>
      </c>
      <c r="BY542" s="89" t="s">
        <v>646</v>
      </c>
      <c r="BZ542" s="89" t="s">
        <v>646</v>
      </c>
      <c r="CA542" s="89" t="s">
        <v>646</v>
      </c>
      <c r="CB542" s="89" t="s">
        <v>21981</v>
      </c>
      <c r="CC542" s="89" t="str">
        <f>HYPERLINK("https%3A%2F%2Fwww.webofscience.com%2Fwos%2Fwoscc%2Ffull-record%2FWOS:000408152300003","View Full Record in Web of Science")</f>
        <v>View Full Record in Web of Science</v>
      </c>
    </row>
    <row r="543" spans="1:81" ht="13.2" hidden="1" x14ac:dyDescent="0.25">
      <c r="A543" s="89" t="s">
        <v>21982</v>
      </c>
      <c r="B543" s="89" t="e">
        <f>+#REF!</f>
        <v>#REF!</v>
      </c>
      <c r="C543" s="89"/>
      <c r="D543" s="91" t="s">
        <v>717</v>
      </c>
      <c r="E543" s="90" t="e">
        <v>#REF!</v>
      </c>
      <c r="F543" s="89"/>
      <c r="G543" s="89"/>
      <c r="H543" s="89" t="s">
        <v>8916</v>
      </c>
      <c r="I543" s="89" t="s">
        <v>21983</v>
      </c>
      <c r="J543" s="89" t="s">
        <v>646</v>
      </c>
      <c r="K543" s="89" t="s">
        <v>21984</v>
      </c>
      <c r="M543" s="89">
        <v>2022</v>
      </c>
      <c r="N543" s="89" t="s">
        <v>20886</v>
      </c>
      <c r="O543" s="89" t="s">
        <v>646</v>
      </c>
      <c r="P543" s="89" t="str">
        <f>HYPERLINK("http://dx.doi.org/10.1177/14614448221099229","http://dx.doi.org/10.1177/14614448221099229")</f>
        <v>http://dx.doi.org/10.1177/14614448221099229</v>
      </c>
      <c r="S543" s="89" t="s">
        <v>646</v>
      </c>
      <c r="U543" s="89" t="s">
        <v>17462</v>
      </c>
      <c r="W543" s="89" t="s">
        <v>646</v>
      </c>
      <c r="X543" s="89" t="s">
        <v>646</v>
      </c>
      <c r="Y543" s="89" t="s">
        <v>646</v>
      </c>
      <c r="Z543" s="89" t="s">
        <v>646</v>
      </c>
      <c r="AA543" s="89" t="s">
        <v>646</v>
      </c>
      <c r="AB543" s="89" t="s">
        <v>646</v>
      </c>
      <c r="AC543" s="89" t="s">
        <v>646</v>
      </c>
      <c r="AD543" s="89" t="s">
        <v>646</v>
      </c>
      <c r="AE543" s="89" t="s">
        <v>646</v>
      </c>
      <c r="AF543" s="89" t="s">
        <v>21984</v>
      </c>
      <c r="AG543" s="89" t="s">
        <v>646</v>
      </c>
      <c r="AH543" s="89" t="s">
        <v>646</v>
      </c>
      <c r="AI543" s="89" t="s">
        <v>646</v>
      </c>
      <c r="AJ543" s="89" t="s">
        <v>646</v>
      </c>
      <c r="AK543" s="89" t="s">
        <v>646</v>
      </c>
      <c r="AL543" s="89" t="s">
        <v>646</v>
      </c>
      <c r="AM543" s="89" t="s">
        <v>646</v>
      </c>
      <c r="AN543" s="89" t="s">
        <v>646</v>
      </c>
      <c r="AO543" s="89" t="s">
        <v>646</v>
      </c>
      <c r="AP543" s="89" t="s">
        <v>646</v>
      </c>
      <c r="AQ543" s="89" t="s">
        <v>646</v>
      </c>
      <c r="AR543" s="89" t="s">
        <v>646</v>
      </c>
      <c r="AS543" s="89" t="s">
        <v>646</v>
      </c>
      <c r="AT543" s="89" t="s">
        <v>646</v>
      </c>
      <c r="AU543" s="89" t="s">
        <v>646</v>
      </c>
      <c r="AV543" s="89" t="s">
        <v>646</v>
      </c>
      <c r="AW543" s="89" t="s">
        <v>646</v>
      </c>
      <c r="AX543" s="89" t="s">
        <v>646</v>
      </c>
      <c r="AY543" s="89" t="s">
        <v>20889</v>
      </c>
      <c r="AZ543" s="89" t="s">
        <v>20890</v>
      </c>
      <c r="BA543" s="89" t="s">
        <v>646</v>
      </c>
      <c r="BB543" s="89" t="s">
        <v>646</v>
      </c>
      <c r="BC543" s="89" t="s">
        <v>646</v>
      </c>
      <c r="BD543" s="89" t="s">
        <v>17676</v>
      </c>
      <c r="BE543" s="89">
        <v>2022</v>
      </c>
      <c r="BF543" s="89">
        <v>24</v>
      </c>
      <c r="BG543" s="89">
        <v>7</v>
      </c>
      <c r="BH543" s="89" t="s">
        <v>646</v>
      </c>
      <c r="BI543" s="89" t="s">
        <v>646</v>
      </c>
      <c r="BJ543" s="89" t="s">
        <v>646</v>
      </c>
      <c r="BK543" s="89" t="s">
        <v>646</v>
      </c>
      <c r="BL543" s="89">
        <v>1567</v>
      </c>
      <c r="BM543" s="89">
        <v>1590</v>
      </c>
      <c r="BN543" s="89" t="s">
        <v>646</v>
      </c>
      <c r="BO543" s="89" t="str">
        <f>HYPERLINK("http://dx.doi.org/10.1177/14614448221099229","http://dx.doi.org/10.1177/14614448221099229")</f>
        <v>http://dx.doi.org/10.1177/14614448221099229</v>
      </c>
      <c r="BP543" s="89" t="s">
        <v>646</v>
      </c>
      <c r="BQ543" s="89" t="s">
        <v>646</v>
      </c>
      <c r="BR543" s="89" t="s">
        <v>646</v>
      </c>
      <c r="BS543" s="89" t="s">
        <v>646</v>
      </c>
      <c r="BT543" s="89" t="s">
        <v>646</v>
      </c>
      <c r="BU543" s="89" t="s">
        <v>646</v>
      </c>
      <c r="BV543" s="89" t="s">
        <v>646</v>
      </c>
      <c r="BW543" s="89" t="s">
        <v>646</v>
      </c>
      <c r="BX543" s="89" t="s">
        <v>646</v>
      </c>
      <c r="BY543" s="89" t="s">
        <v>646</v>
      </c>
      <c r="BZ543" s="89" t="s">
        <v>646</v>
      </c>
      <c r="CA543" s="89" t="s">
        <v>646</v>
      </c>
      <c r="CB543" s="89" t="s">
        <v>21985</v>
      </c>
      <c r="CC543" s="89" t="str">
        <f>HYPERLINK("https%3A%2F%2Fwww.webofscience.com%2Fwos%2Fwoscc%2Ffull-record%2FWOS:000827410900003","View Full Record in Web of Science")</f>
        <v>View Full Record in Web of Science</v>
      </c>
    </row>
    <row r="544" spans="1:81" ht="13.2" hidden="1" x14ac:dyDescent="0.25">
      <c r="A544" s="89" t="s">
        <v>21986</v>
      </c>
      <c r="B544" s="89" t="e">
        <f>+#REF!</f>
        <v>#REF!</v>
      </c>
      <c r="C544" s="89"/>
      <c r="D544" s="91" t="s">
        <v>717</v>
      </c>
      <c r="E544" s="90" t="e">
        <v>#REF!</v>
      </c>
      <c r="F544" s="89"/>
      <c r="G544" s="89"/>
      <c r="H544" s="89" t="s">
        <v>646</v>
      </c>
      <c r="I544" s="89" t="s">
        <v>21988</v>
      </c>
      <c r="J544" s="89" t="s">
        <v>646</v>
      </c>
      <c r="K544" s="89" t="s">
        <v>21993</v>
      </c>
      <c r="M544" s="89">
        <v>2014</v>
      </c>
      <c r="N544" s="89" t="s">
        <v>21989</v>
      </c>
      <c r="O544" s="89" t="s">
        <v>21987</v>
      </c>
      <c r="P544" s="89" t="s">
        <v>646</v>
      </c>
      <c r="S544" s="89" t="s">
        <v>646</v>
      </c>
      <c r="U544" s="89" t="s">
        <v>17474</v>
      </c>
      <c r="W544" s="89" t="s">
        <v>646</v>
      </c>
      <c r="X544" s="89" t="s">
        <v>646</v>
      </c>
      <c r="Y544" s="89" t="s">
        <v>21990</v>
      </c>
      <c r="Z544" s="89" t="s">
        <v>19519</v>
      </c>
      <c r="AA544" s="89" t="s">
        <v>21991</v>
      </c>
      <c r="AB544" s="89" t="s">
        <v>21992</v>
      </c>
      <c r="AC544" s="89" t="s">
        <v>646</v>
      </c>
      <c r="AD544" s="89" t="s">
        <v>646</v>
      </c>
      <c r="AE544" s="89" t="s">
        <v>646</v>
      </c>
      <c r="AF544" s="89" t="s">
        <v>21993</v>
      </c>
      <c r="AG544" s="89" t="s">
        <v>646</v>
      </c>
      <c r="AH544" s="89" t="s">
        <v>646</v>
      </c>
      <c r="AI544" s="89" t="s">
        <v>646</v>
      </c>
      <c r="AJ544" s="89" t="s">
        <v>646</v>
      </c>
      <c r="AK544" s="89" t="s">
        <v>646</v>
      </c>
      <c r="AL544" s="89" t="s">
        <v>646</v>
      </c>
      <c r="AM544" s="89" t="s">
        <v>646</v>
      </c>
      <c r="AN544" s="89" t="s">
        <v>646</v>
      </c>
      <c r="AO544" s="89" t="s">
        <v>646</v>
      </c>
      <c r="AP544" s="89" t="s">
        <v>646</v>
      </c>
      <c r="AQ544" s="89" t="s">
        <v>646</v>
      </c>
      <c r="AR544" s="89" t="s">
        <v>646</v>
      </c>
      <c r="AS544" s="89" t="s">
        <v>646</v>
      </c>
      <c r="AT544" s="89" t="s">
        <v>646</v>
      </c>
      <c r="AU544" s="89" t="s">
        <v>646</v>
      </c>
      <c r="AV544" s="89" t="s">
        <v>646</v>
      </c>
      <c r="AW544" s="89" t="s">
        <v>646</v>
      </c>
      <c r="AX544" s="89" t="s">
        <v>646</v>
      </c>
      <c r="AY544" s="89" t="s">
        <v>646</v>
      </c>
      <c r="AZ544" s="89" t="s">
        <v>646</v>
      </c>
      <c r="BA544" s="89" t="s">
        <v>21994</v>
      </c>
      <c r="BB544" s="89" t="s">
        <v>646</v>
      </c>
      <c r="BC544" s="89" t="s">
        <v>646</v>
      </c>
      <c r="BD544" s="89" t="s">
        <v>646</v>
      </c>
      <c r="BE544" s="89">
        <v>2014</v>
      </c>
      <c r="BF544" s="89" t="s">
        <v>646</v>
      </c>
      <c r="BG544" s="89" t="s">
        <v>646</v>
      </c>
      <c r="BH544" s="89" t="s">
        <v>646</v>
      </c>
      <c r="BI544" s="89" t="s">
        <v>646</v>
      </c>
      <c r="BJ544" s="89" t="s">
        <v>646</v>
      </c>
      <c r="BK544" s="89" t="s">
        <v>646</v>
      </c>
      <c r="BL544" s="89">
        <v>902</v>
      </c>
      <c r="BM544" s="89">
        <v>912</v>
      </c>
      <c r="BN544" s="89" t="s">
        <v>646</v>
      </c>
      <c r="BO544" s="89" t="s">
        <v>646</v>
      </c>
      <c r="BP544" s="89" t="s">
        <v>646</v>
      </c>
      <c r="BQ544" s="89" t="s">
        <v>646</v>
      </c>
      <c r="BR544" s="89" t="s">
        <v>646</v>
      </c>
      <c r="BS544" s="89" t="s">
        <v>646</v>
      </c>
      <c r="BT544" s="89" t="s">
        <v>646</v>
      </c>
      <c r="BU544" s="89" t="s">
        <v>646</v>
      </c>
      <c r="BV544" s="89" t="s">
        <v>646</v>
      </c>
      <c r="BW544" s="89" t="s">
        <v>646</v>
      </c>
      <c r="BX544" s="89" t="s">
        <v>646</v>
      </c>
      <c r="BY544" s="89" t="s">
        <v>646</v>
      </c>
      <c r="BZ544" s="89" t="s">
        <v>646</v>
      </c>
      <c r="CA544" s="89" t="s">
        <v>646</v>
      </c>
      <c r="CB544" s="89" t="s">
        <v>21995</v>
      </c>
      <c r="CC544" s="89" t="str">
        <f>HYPERLINK("https%3A%2F%2Fwww.webofscience.com%2Fwos%2Fwoscc%2Ffull-record%2FWOS:000493814100085","View Full Record in Web of Science")</f>
        <v>View Full Record in Web of Science</v>
      </c>
    </row>
    <row r="545" spans="1:81" ht="13.2" hidden="1" x14ac:dyDescent="0.25">
      <c r="A545" s="89" t="s">
        <v>21996</v>
      </c>
      <c r="B545" s="89" t="e">
        <f>+#REF!</f>
        <v>#REF!</v>
      </c>
      <c r="C545" s="89"/>
      <c r="D545" s="91" t="s">
        <v>717</v>
      </c>
      <c r="E545" s="90" t="e">
        <v>#REF!</v>
      </c>
      <c r="F545" s="89"/>
      <c r="G545" s="89"/>
      <c r="H545" s="89" t="s">
        <v>646</v>
      </c>
      <c r="I545" s="89" t="s">
        <v>21997</v>
      </c>
      <c r="J545" s="89" t="s">
        <v>20698</v>
      </c>
      <c r="K545" s="89" t="s">
        <v>22002</v>
      </c>
      <c r="M545" s="89">
        <v>2017</v>
      </c>
      <c r="N545" s="89" t="s">
        <v>21998</v>
      </c>
      <c r="O545" s="89" t="s">
        <v>646</v>
      </c>
      <c r="P545" s="89" t="s">
        <v>646</v>
      </c>
      <c r="S545" s="89" t="s">
        <v>17475</v>
      </c>
      <c r="U545" s="89" t="s">
        <v>17474</v>
      </c>
      <c r="W545" s="89" t="s">
        <v>646</v>
      </c>
      <c r="X545" s="89" t="s">
        <v>646</v>
      </c>
      <c r="Y545" s="89" t="s">
        <v>21999</v>
      </c>
      <c r="Z545" s="89" t="s">
        <v>22000</v>
      </c>
      <c r="AA545" s="89" t="s">
        <v>22001</v>
      </c>
      <c r="AB545" s="89" t="s">
        <v>17475</v>
      </c>
      <c r="AC545" s="89" t="s">
        <v>646</v>
      </c>
      <c r="AD545" s="89" t="s">
        <v>646</v>
      </c>
      <c r="AE545" s="89" t="s">
        <v>646</v>
      </c>
      <c r="AF545" s="89" t="s">
        <v>22002</v>
      </c>
      <c r="AG545" s="89" t="s">
        <v>646</v>
      </c>
      <c r="AH545" s="89" t="s">
        <v>646</v>
      </c>
      <c r="AI545" s="89" t="s">
        <v>646</v>
      </c>
      <c r="AJ545" s="89" t="s">
        <v>646</v>
      </c>
      <c r="AK545" s="89" t="s">
        <v>20698</v>
      </c>
      <c r="AL545" s="89" t="s">
        <v>20699</v>
      </c>
      <c r="AM545" s="89" t="s">
        <v>646</v>
      </c>
      <c r="AN545" s="89" t="s">
        <v>646</v>
      </c>
      <c r="AO545" s="89" t="s">
        <v>646</v>
      </c>
      <c r="AP545" s="89" t="s">
        <v>646</v>
      </c>
      <c r="AQ545" s="89" t="s">
        <v>646</v>
      </c>
      <c r="AR545" s="89" t="s">
        <v>646</v>
      </c>
      <c r="AS545" s="89" t="s">
        <v>646</v>
      </c>
      <c r="AT545" s="89" t="s">
        <v>646</v>
      </c>
      <c r="AU545" s="89" t="s">
        <v>646</v>
      </c>
      <c r="AV545" s="89" t="s">
        <v>646</v>
      </c>
      <c r="AW545" s="89" t="s">
        <v>646</v>
      </c>
      <c r="AX545" s="89" t="s">
        <v>646</v>
      </c>
      <c r="AY545" s="89" t="s">
        <v>22003</v>
      </c>
      <c r="AZ545" s="89" t="s">
        <v>646</v>
      </c>
      <c r="BA545" s="89" t="s">
        <v>22004</v>
      </c>
      <c r="BB545" s="89" t="s">
        <v>646</v>
      </c>
      <c r="BC545" s="89" t="s">
        <v>646</v>
      </c>
      <c r="BD545" s="89" t="s">
        <v>646</v>
      </c>
      <c r="BE545" s="89">
        <v>2017</v>
      </c>
      <c r="BF545" s="89" t="s">
        <v>646</v>
      </c>
      <c r="BG545" s="89" t="s">
        <v>646</v>
      </c>
      <c r="BH545" s="89" t="s">
        <v>646</v>
      </c>
      <c r="BI545" s="89" t="s">
        <v>646</v>
      </c>
      <c r="BJ545" s="89" t="s">
        <v>646</v>
      </c>
      <c r="BK545" s="89" t="s">
        <v>646</v>
      </c>
      <c r="BL545" s="89" t="s">
        <v>646</v>
      </c>
      <c r="BM545" s="89" t="s">
        <v>646</v>
      </c>
      <c r="BN545" s="89" t="s">
        <v>646</v>
      </c>
      <c r="BO545" s="89" t="s">
        <v>646</v>
      </c>
      <c r="BP545" s="89" t="s">
        <v>646</v>
      </c>
      <c r="BQ545" s="89" t="s">
        <v>646</v>
      </c>
      <c r="BR545" s="89" t="s">
        <v>646</v>
      </c>
      <c r="BS545" s="89" t="s">
        <v>646</v>
      </c>
      <c r="BT545" s="89" t="s">
        <v>646</v>
      </c>
      <c r="BU545" s="89" t="s">
        <v>646</v>
      </c>
      <c r="BV545" s="89" t="s">
        <v>646</v>
      </c>
      <c r="BW545" s="89" t="s">
        <v>646</v>
      </c>
      <c r="BX545" s="89" t="s">
        <v>646</v>
      </c>
      <c r="BY545" s="89" t="s">
        <v>646</v>
      </c>
      <c r="BZ545" s="89" t="s">
        <v>646</v>
      </c>
      <c r="CA545" s="89" t="s">
        <v>646</v>
      </c>
      <c r="CB545" s="89" t="s">
        <v>22005</v>
      </c>
      <c r="CC545" s="89" t="str">
        <f>HYPERLINK("https%3A%2F%2Fwww.webofscience.com%2Fwos%2Fwoscc%2Ffull-record%2FWOS:000427041800045","View Full Record in Web of Science")</f>
        <v>View Full Record in Web of Science</v>
      </c>
    </row>
    <row r="546" spans="1:81" ht="13.2" hidden="1" x14ac:dyDescent="0.25">
      <c r="A546" s="89" t="s">
        <v>13356</v>
      </c>
      <c r="B546" s="89" t="e">
        <f>+#REF!</f>
        <v>#REF!</v>
      </c>
      <c r="C546" s="89"/>
      <c r="D546" s="91" t="s">
        <v>717</v>
      </c>
      <c r="E546" s="90" t="e">
        <v>#REF!</v>
      </c>
      <c r="F546" s="89"/>
      <c r="G546" s="89"/>
      <c r="H546" s="89" t="s">
        <v>13357</v>
      </c>
      <c r="I546" s="89" t="s">
        <v>22006</v>
      </c>
      <c r="J546" s="89" t="s">
        <v>646</v>
      </c>
      <c r="K546" s="89" t="s">
        <v>22007</v>
      </c>
      <c r="M546" s="89">
        <v>2016</v>
      </c>
      <c r="N546" s="89" t="s">
        <v>20785</v>
      </c>
      <c r="O546" s="89" t="s">
        <v>646</v>
      </c>
      <c r="P546" s="89" t="str">
        <f>HYPERLINK("http://dx.doi.org/10.1109/TMM.2016.2557058","http://dx.doi.org/10.1109/TMM.2016.2557058")</f>
        <v>http://dx.doi.org/10.1109/TMM.2016.2557058</v>
      </c>
      <c r="S546" s="89" t="s">
        <v>646</v>
      </c>
      <c r="U546" s="89" t="s">
        <v>17462</v>
      </c>
      <c r="W546" s="89" t="s">
        <v>646</v>
      </c>
      <c r="X546" s="89" t="s">
        <v>646</v>
      </c>
      <c r="Y546" s="89" t="s">
        <v>646</v>
      </c>
      <c r="Z546" s="89" t="s">
        <v>646</v>
      </c>
      <c r="AA546" s="89" t="s">
        <v>646</v>
      </c>
      <c r="AB546" s="89" t="s">
        <v>646</v>
      </c>
      <c r="AC546" s="89" t="s">
        <v>646</v>
      </c>
      <c r="AD546" s="89" t="s">
        <v>646</v>
      </c>
      <c r="AE546" s="89" t="s">
        <v>646</v>
      </c>
      <c r="AF546" s="89" t="s">
        <v>22007</v>
      </c>
      <c r="AG546" s="89" t="s">
        <v>646</v>
      </c>
      <c r="AH546" s="89" t="s">
        <v>646</v>
      </c>
      <c r="AI546" s="89" t="s">
        <v>646</v>
      </c>
      <c r="AJ546" s="89" t="s">
        <v>646</v>
      </c>
      <c r="AK546" s="89" t="s">
        <v>646</v>
      </c>
      <c r="AL546" s="89" t="s">
        <v>646</v>
      </c>
      <c r="AM546" s="89" t="s">
        <v>646</v>
      </c>
      <c r="AN546" s="89" t="s">
        <v>646</v>
      </c>
      <c r="AO546" s="89" t="s">
        <v>646</v>
      </c>
      <c r="AP546" s="89" t="s">
        <v>646</v>
      </c>
      <c r="AQ546" s="89" t="s">
        <v>646</v>
      </c>
      <c r="AR546" s="89" t="s">
        <v>646</v>
      </c>
      <c r="AS546" s="89" t="s">
        <v>646</v>
      </c>
      <c r="AT546" s="89" t="s">
        <v>646</v>
      </c>
      <c r="AU546" s="89" t="s">
        <v>646</v>
      </c>
      <c r="AV546" s="89" t="s">
        <v>646</v>
      </c>
      <c r="AW546" s="89" t="s">
        <v>646</v>
      </c>
      <c r="AX546" s="89" t="s">
        <v>646</v>
      </c>
      <c r="AY546" s="89" t="s">
        <v>20789</v>
      </c>
      <c r="AZ546" s="89" t="s">
        <v>20790</v>
      </c>
      <c r="BA546" s="89" t="s">
        <v>646</v>
      </c>
      <c r="BB546" s="89" t="s">
        <v>646</v>
      </c>
      <c r="BC546" s="89" t="s">
        <v>646</v>
      </c>
      <c r="BD546" s="89" t="s">
        <v>17676</v>
      </c>
      <c r="BE546" s="89">
        <v>2016</v>
      </c>
      <c r="BF546" s="89">
        <v>18</v>
      </c>
      <c r="BG546" s="89">
        <v>7</v>
      </c>
      <c r="BH546" s="89" t="s">
        <v>646</v>
      </c>
      <c r="BI546" s="89" t="s">
        <v>646</v>
      </c>
      <c r="BJ546" s="89" t="s">
        <v>646</v>
      </c>
      <c r="BK546" s="89" t="s">
        <v>646</v>
      </c>
      <c r="BL546" s="89">
        <v>1422</v>
      </c>
      <c r="BM546" s="89">
        <v>1437</v>
      </c>
      <c r="BN546" s="89" t="s">
        <v>646</v>
      </c>
      <c r="BO546" s="89" t="str">
        <f>HYPERLINK("http://dx.doi.org/10.1109/TMM.2016.2557058","http://dx.doi.org/10.1109/TMM.2016.2557058")</f>
        <v>http://dx.doi.org/10.1109/TMM.2016.2557058</v>
      </c>
      <c r="BP546" s="89" t="s">
        <v>646</v>
      </c>
      <c r="BQ546" s="89" t="s">
        <v>646</v>
      </c>
      <c r="BR546" s="89" t="s">
        <v>646</v>
      </c>
      <c r="BS546" s="89" t="s">
        <v>646</v>
      </c>
      <c r="BT546" s="89" t="s">
        <v>646</v>
      </c>
      <c r="BU546" s="89" t="s">
        <v>646</v>
      </c>
      <c r="BV546" s="89" t="s">
        <v>646</v>
      </c>
      <c r="BW546" s="89" t="s">
        <v>646</v>
      </c>
      <c r="BX546" s="89" t="s">
        <v>646</v>
      </c>
      <c r="BY546" s="89" t="s">
        <v>646</v>
      </c>
      <c r="BZ546" s="89" t="s">
        <v>646</v>
      </c>
      <c r="CA546" s="89" t="s">
        <v>646</v>
      </c>
      <c r="CB546" s="89" t="s">
        <v>22008</v>
      </c>
      <c r="CC546" s="89" t="str">
        <f>HYPERLINK("https%3A%2F%2Fwww.webofscience.com%2Fwos%2Fwoscc%2Ffull-record%2FWOS:000379752600017","View Full Record in Web of Science")</f>
        <v>View Full Record in Web of Science</v>
      </c>
    </row>
    <row r="547" spans="1:81" ht="13.2" hidden="1" x14ac:dyDescent="0.25">
      <c r="A547" s="89" t="s">
        <v>9720</v>
      </c>
      <c r="B547" s="89" t="e">
        <f>+#REF!</f>
        <v>#REF!</v>
      </c>
      <c r="C547" s="89"/>
      <c r="D547" s="91" t="s">
        <v>717</v>
      </c>
      <c r="E547" s="90" t="e">
        <v>#REF!</v>
      </c>
      <c r="F547" s="89"/>
      <c r="G547" s="89"/>
      <c r="H547" s="89" t="s">
        <v>9721</v>
      </c>
      <c r="I547" s="89" t="s">
        <v>22009</v>
      </c>
      <c r="J547" s="89" t="s">
        <v>646</v>
      </c>
      <c r="K547" s="89" t="s">
        <v>22011</v>
      </c>
      <c r="M547" s="89">
        <v>2022</v>
      </c>
      <c r="N547" s="89" t="s">
        <v>22010</v>
      </c>
      <c r="O547" s="89" t="s">
        <v>646</v>
      </c>
      <c r="P547" s="89" t="str">
        <f>HYPERLINK("http://dx.doi.org/10.1016/j.jneb.2021.10.002","http://dx.doi.org/10.1016/j.jneb.2021.10.002")</f>
        <v>http://dx.doi.org/10.1016/j.jneb.2021.10.002</v>
      </c>
      <c r="S547" s="89" t="s">
        <v>646</v>
      </c>
      <c r="U547" s="89" t="s">
        <v>17462</v>
      </c>
      <c r="W547" s="89" t="s">
        <v>646</v>
      </c>
      <c r="X547" s="89" t="s">
        <v>646</v>
      </c>
      <c r="Y547" s="89" t="s">
        <v>646</v>
      </c>
      <c r="Z547" s="89" t="s">
        <v>646</v>
      </c>
      <c r="AA547" s="89" t="s">
        <v>646</v>
      </c>
      <c r="AB547" s="89" t="s">
        <v>646</v>
      </c>
      <c r="AC547" s="89" t="s">
        <v>646</v>
      </c>
      <c r="AD547" s="89" t="s">
        <v>646</v>
      </c>
      <c r="AE547" s="89" t="s">
        <v>646</v>
      </c>
      <c r="AF547" s="89" t="s">
        <v>22011</v>
      </c>
      <c r="AG547" s="89" t="s">
        <v>646</v>
      </c>
      <c r="AH547" s="89" t="s">
        <v>646</v>
      </c>
      <c r="AI547" s="89" t="s">
        <v>646</v>
      </c>
      <c r="AJ547" s="89" t="s">
        <v>646</v>
      </c>
      <c r="AK547" s="89" t="s">
        <v>646</v>
      </c>
      <c r="AL547" s="89" t="s">
        <v>22012</v>
      </c>
      <c r="AM547" s="89" t="s">
        <v>646</v>
      </c>
      <c r="AN547" s="89" t="s">
        <v>646</v>
      </c>
      <c r="AO547" s="89" t="s">
        <v>646</v>
      </c>
      <c r="AP547" s="89" t="s">
        <v>646</v>
      </c>
      <c r="AQ547" s="89" t="s">
        <v>646</v>
      </c>
      <c r="AR547" s="89" t="s">
        <v>646</v>
      </c>
      <c r="AS547" s="89" t="s">
        <v>646</v>
      </c>
      <c r="AT547" s="89" t="s">
        <v>646</v>
      </c>
      <c r="AU547" s="89" t="s">
        <v>646</v>
      </c>
      <c r="AV547" s="89" t="s">
        <v>646</v>
      </c>
      <c r="AW547" s="89" t="s">
        <v>646</v>
      </c>
      <c r="AX547" s="89" t="s">
        <v>646</v>
      </c>
      <c r="AY547" s="89" t="s">
        <v>22013</v>
      </c>
      <c r="AZ547" s="89" t="s">
        <v>22014</v>
      </c>
      <c r="BA547" s="89" t="s">
        <v>646</v>
      </c>
      <c r="BB547" s="89" t="s">
        <v>646</v>
      </c>
      <c r="BC547" s="89" t="s">
        <v>646</v>
      </c>
      <c r="BD547" s="89" t="s">
        <v>18436</v>
      </c>
      <c r="BE547" s="89">
        <v>2022</v>
      </c>
      <c r="BF547" s="89">
        <v>54</v>
      </c>
      <c r="BG547" s="89">
        <v>5</v>
      </c>
      <c r="BH547" s="89" t="s">
        <v>646</v>
      </c>
      <c r="BI547" s="89" t="s">
        <v>646</v>
      </c>
      <c r="BJ547" s="89" t="s">
        <v>646</v>
      </c>
      <c r="BK547" s="89" t="s">
        <v>646</v>
      </c>
      <c r="BL547" s="89">
        <v>465</v>
      </c>
      <c r="BM547" s="89">
        <v>474</v>
      </c>
      <c r="BN547" s="89" t="s">
        <v>646</v>
      </c>
      <c r="BO547" s="89" t="str">
        <f>HYPERLINK("http://dx.doi.org/10.1016/j.jneb.2021.10.002","http://dx.doi.org/10.1016/j.jneb.2021.10.002")</f>
        <v>http://dx.doi.org/10.1016/j.jneb.2021.10.002</v>
      </c>
      <c r="BP547" s="89" t="s">
        <v>646</v>
      </c>
      <c r="BQ547" s="89" t="s">
        <v>646</v>
      </c>
      <c r="BR547" s="89" t="s">
        <v>646</v>
      </c>
      <c r="BS547" s="89" t="s">
        <v>646</v>
      </c>
      <c r="BT547" s="89" t="s">
        <v>646</v>
      </c>
      <c r="BU547" s="89" t="s">
        <v>646</v>
      </c>
      <c r="BV547" s="89" t="s">
        <v>646</v>
      </c>
      <c r="BW547" s="89">
        <v>35000831</v>
      </c>
      <c r="BX547" s="89" t="s">
        <v>646</v>
      </c>
      <c r="BY547" s="89" t="s">
        <v>646</v>
      </c>
      <c r="BZ547" s="89" t="s">
        <v>646</v>
      </c>
      <c r="CA547" s="89" t="s">
        <v>646</v>
      </c>
      <c r="CB547" s="89" t="s">
        <v>22015</v>
      </c>
      <c r="CC547" s="89" t="str">
        <f>HYPERLINK("https%3A%2F%2Fwww.webofscience.com%2Fwos%2Fwoscc%2Ffull-record%2FWOS:000832105100013","View Full Record in Web of Science")</f>
        <v>View Full Record in Web of Science</v>
      </c>
    </row>
    <row r="548" spans="1:81" ht="13.2" hidden="1" x14ac:dyDescent="0.25">
      <c r="A548" s="89" t="s">
        <v>9730</v>
      </c>
      <c r="B548" s="89" t="e">
        <f>+#REF!</f>
        <v>#REF!</v>
      </c>
      <c r="C548" s="89"/>
      <c r="D548" s="91" t="s">
        <v>717</v>
      </c>
      <c r="E548" s="90" t="e">
        <v>#REF!</v>
      </c>
      <c r="F548" s="89"/>
      <c r="G548" s="89"/>
      <c r="H548" s="89" t="s">
        <v>9731</v>
      </c>
      <c r="I548" s="89" t="s">
        <v>22016</v>
      </c>
      <c r="J548" s="89" t="s">
        <v>646</v>
      </c>
      <c r="K548" s="89" t="s">
        <v>22018</v>
      </c>
      <c r="M548" s="89">
        <v>2022</v>
      </c>
      <c r="N548" s="89" t="s">
        <v>22017</v>
      </c>
      <c r="O548" s="89" t="s">
        <v>646</v>
      </c>
      <c r="P548" s="89" t="str">
        <f>HYPERLINK("http://dx.doi.org/10.1590/1516-4446-2020-1675","http://dx.doi.org/10.1590/1516-4446-2020-1675")</f>
        <v>http://dx.doi.org/10.1590/1516-4446-2020-1675</v>
      </c>
      <c r="S548" s="89" t="s">
        <v>646</v>
      </c>
      <c r="U548" s="89" t="s">
        <v>17462</v>
      </c>
      <c r="W548" s="89" t="s">
        <v>646</v>
      </c>
      <c r="X548" s="89" t="s">
        <v>646</v>
      </c>
      <c r="Y548" s="89" t="s">
        <v>646</v>
      </c>
      <c r="Z548" s="89" t="s">
        <v>646</v>
      </c>
      <c r="AA548" s="89" t="s">
        <v>646</v>
      </c>
      <c r="AB548" s="89" t="s">
        <v>646</v>
      </c>
      <c r="AC548" s="89" t="s">
        <v>646</v>
      </c>
      <c r="AD548" s="89" t="s">
        <v>646</v>
      </c>
      <c r="AE548" s="89" t="s">
        <v>646</v>
      </c>
      <c r="AF548" s="89" t="s">
        <v>22018</v>
      </c>
      <c r="AG548" s="89" t="s">
        <v>646</v>
      </c>
      <c r="AH548" s="89" t="s">
        <v>646</v>
      </c>
      <c r="AI548" s="89" t="s">
        <v>646</v>
      </c>
      <c r="AJ548" s="89" t="s">
        <v>646</v>
      </c>
      <c r="AK548" s="89" t="s">
        <v>646</v>
      </c>
      <c r="AL548" s="89" t="s">
        <v>22019</v>
      </c>
      <c r="AM548" s="89" t="s">
        <v>646</v>
      </c>
      <c r="AN548" s="89" t="s">
        <v>646</v>
      </c>
      <c r="AO548" s="89" t="s">
        <v>646</v>
      </c>
      <c r="AP548" s="89" t="s">
        <v>646</v>
      </c>
      <c r="AQ548" s="89" t="s">
        <v>646</v>
      </c>
      <c r="AR548" s="89" t="s">
        <v>646</v>
      </c>
      <c r="AS548" s="89" t="s">
        <v>646</v>
      </c>
      <c r="AT548" s="89" t="s">
        <v>646</v>
      </c>
      <c r="AU548" s="89" t="s">
        <v>646</v>
      </c>
      <c r="AV548" s="89" t="s">
        <v>646</v>
      </c>
      <c r="AW548" s="89" t="s">
        <v>646</v>
      </c>
      <c r="AX548" s="89" t="s">
        <v>646</v>
      </c>
      <c r="AY548" s="89" t="s">
        <v>22020</v>
      </c>
      <c r="AZ548" s="89" t="s">
        <v>22021</v>
      </c>
      <c r="BA548" s="89" t="s">
        <v>646</v>
      </c>
      <c r="BB548" s="89" t="s">
        <v>646</v>
      </c>
      <c r="BC548" s="89" t="s">
        <v>646</v>
      </c>
      <c r="BD548" s="89" t="s">
        <v>20555</v>
      </c>
      <c r="BE548" s="89">
        <v>2022</v>
      </c>
      <c r="BF548" s="89">
        <v>44</v>
      </c>
      <c r="BG548" s="89">
        <v>2</v>
      </c>
      <c r="BH548" s="89" t="s">
        <v>646</v>
      </c>
      <c r="BI548" s="89" t="s">
        <v>646</v>
      </c>
      <c r="BJ548" s="89" t="s">
        <v>646</v>
      </c>
      <c r="BK548" s="89" t="s">
        <v>646</v>
      </c>
      <c r="BL548" s="89">
        <v>147</v>
      </c>
      <c r="BM548" s="89">
        <v>155</v>
      </c>
      <c r="BN548" s="89" t="s">
        <v>646</v>
      </c>
      <c r="BO548" s="89" t="str">
        <f>HYPERLINK("http://dx.doi.org/10.1590/1516-4446-2020-1675","http://dx.doi.org/10.1590/1516-4446-2020-1675")</f>
        <v>http://dx.doi.org/10.1590/1516-4446-2020-1675</v>
      </c>
      <c r="BP548" s="89" t="s">
        <v>646</v>
      </c>
      <c r="BQ548" s="89" t="s">
        <v>646</v>
      </c>
      <c r="BR548" s="89" t="s">
        <v>646</v>
      </c>
      <c r="BS548" s="89" t="s">
        <v>646</v>
      </c>
      <c r="BT548" s="89" t="s">
        <v>646</v>
      </c>
      <c r="BU548" s="89" t="s">
        <v>646</v>
      </c>
      <c r="BV548" s="89" t="s">
        <v>646</v>
      </c>
      <c r="BW548" s="89">
        <v>34320125</v>
      </c>
      <c r="BX548" s="89" t="s">
        <v>646</v>
      </c>
      <c r="BY548" s="89" t="s">
        <v>646</v>
      </c>
      <c r="BZ548" s="89" t="s">
        <v>646</v>
      </c>
      <c r="CA548" s="89" t="s">
        <v>646</v>
      </c>
      <c r="CB548" s="89" t="s">
        <v>22022</v>
      </c>
      <c r="CC548" s="89" t="str">
        <f>HYPERLINK("https%3A%2F%2Fwww.webofscience.com%2Fwos%2Fwoscc%2Ffull-record%2FWOS:000796180300007","View Full Record in Web of Science")</f>
        <v>View Full Record in Web of Science</v>
      </c>
    </row>
    <row r="549" spans="1:81" ht="13.2" hidden="1" x14ac:dyDescent="0.25">
      <c r="A549" s="89" t="s">
        <v>13364</v>
      </c>
      <c r="B549" s="89" t="e">
        <f>+#REF!</f>
        <v>#REF!</v>
      </c>
      <c r="C549" s="89"/>
      <c r="D549" s="91" t="s">
        <v>717</v>
      </c>
      <c r="E549" s="90" t="e">
        <v>#REF!</v>
      </c>
      <c r="F549" s="89"/>
      <c r="G549" s="89"/>
      <c r="H549" s="89" t="s">
        <v>13365</v>
      </c>
      <c r="I549" s="89" t="s">
        <v>22023</v>
      </c>
      <c r="J549" s="89" t="s">
        <v>646</v>
      </c>
      <c r="K549" s="89" t="s">
        <v>22024</v>
      </c>
      <c r="M549" s="89">
        <v>2019</v>
      </c>
      <c r="N549" s="89" t="s">
        <v>21058</v>
      </c>
      <c r="O549" s="89" t="s">
        <v>646</v>
      </c>
      <c r="P549" s="89" t="str">
        <f>HYPERLINK("http://dx.doi.org/10.1108/JPBM-09-2017-1563","http://dx.doi.org/10.1108/JPBM-09-2017-1563")</f>
        <v>http://dx.doi.org/10.1108/JPBM-09-2017-1563</v>
      </c>
      <c r="S549" s="89" t="s">
        <v>646</v>
      </c>
      <c r="U549" s="89" t="s">
        <v>17462</v>
      </c>
      <c r="W549" s="89" t="s">
        <v>646</v>
      </c>
      <c r="X549" s="89" t="s">
        <v>646</v>
      </c>
      <c r="Y549" s="89" t="s">
        <v>646</v>
      </c>
      <c r="Z549" s="89" t="s">
        <v>646</v>
      </c>
      <c r="AA549" s="89" t="s">
        <v>646</v>
      </c>
      <c r="AB549" s="89" t="s">
        <v>646</v>
      </c>
      <c r="AC549" s="89" t="s">
        <v>646</v>
      </c>
      <c r="AD549" s="89" t="s">
        <v>646</v>
      </c>
      <c r="AE549" s="89" t="s">
        <v>646</v>
      </c>
      <c r="AF549" s="89" t="s">
        <v>22024</v>
      </c>
      <c r="AG549" s="89" t="s">
        <v>646</v>
      </c>
      <c r="AH549" s="89" t="s">
        <v>646</v>
      </c>
      <c r="AI549" s="89" t="s">
        <v>646</v>
      </c>
      <c r="AJ549" s="89" t="s">
        <v>646</v>
      </c>
      <c r="AK549" s="89" t="s">
        <v>646</v>
      </c>
      <c r="AL549" s="89" t="s">
        <v>646</v>
      </c>
      <c r="AM549" s="89" t="s">
        <v>646</v>
      </c>
      <c r="AN549" s="89" t="s">
        <v>646</v>
      </c>
      <c r="AO549" s="89" t="s">
        <v>646</v>
      </c>
      <c r="AP549" s="89" t="s">
        <v>646</v>
      </c>
      <c r="AQ549" s="89" t="s">
        <v>646</v>
      </c>
      <c r="AR549" s="89" t="s">
        <v>646</v>
      </c>
      <c r="AS549" s="89" t="s">
        <v>646</v>
      </c>
      <c r="AT549" s="89" t="s">
        <v>646</v>
      </c>
      <c r="AU549" s="89" t="s">
        <v>646</v>
      </c>
      <c r="AV549" s="89" t="s">
        <v>646</v>
      </c>
      <c r="AW549" s="89" t="s">
        <v>646</v>
      </c>
      <c r="AX549" s="89" t="s">
        <v>646</v>
      </c>
      <c r="AY549" s="89" t="s">
        <v>21062</v>
      </c>
      <c r="AZ549" s="89" t="s">
        <v>21063</v>
      </c>
      <c r="BA549" s="89" t="s">
        <v>646</v>
      </c>
      <c r="BB549" s="89" t="s">
        <v>646</v>
      </c>
      <c r="BC549" s="89" t="s">
        <v>646</v>
      </c>
      <c r="BD549" s="89" t="s">
        <v>646</v>
      </c>
      <c r="BE549" s="89">
        <v>2019</v>
      </c>
      <c r="BF549" s="89">
        <v>28</v>
      </c>
      <c r="BG549" s="89">
        <v>2</v>
      </c>
      <c r="BH549" s="89" t="s">
        <v>646</v>
      </c>
      <c r="BI549" s="89" t="s">
        <v>646</v>
      </c>
      <c r="BJ549" s="89" t="s">
        <v>646</v>
      </c>
      <c r="BK549" s="89" t="s">
        <v>646</v>
      </c>
      <c r="BL549" s="89">
        <v>300</v>
      </c>
      <c r="BM549" s="89">
        <v>315</v>
      </c>
      <c r="BN549" s="89" t="s">
        <v>646</v>
      </c>
      <c r="BO549" s="89" t="str">
        <f>HYPERLINK("http://dx.doi.org/10.1108/JPBM-09-2017-1563","http://dx.doi.org/10.1108/JPBM-09-2017-1563")</f>
        <v>http://dx.doi.org/10.1108/JPBM-09-2017-1563</v>
      </c>
      <c r="BP549" s="89" t="s">
        <v>646</v>
      </c>
      <c r="BQ549" s="89" t="s">
        <v>646</v>
      </c>
      <c r="BR549" s="89" t="s">
        <v>646</v>
      </c>
      <c r="BS549" s="89" t="s">
        <v>646</v>
      </c>
      <c r="BT549" s="89" t="s">
        <v>646</v>
      </c>
      <c r="BU549" s="89" t="s">
        <v>646</v>
      </c>
      <c r="BV549" s="89" t="s">
        <v>646</v>
      </c>
      <c r="BW549" s="89" t="s">
        <v>646</v>
      </c>
      <c r="BX549" s="89" t="s">
        <v>646</v>
      </c>
      <c r="BY549" s="89" t="s">
        <v>646</v>
      </c>
      <c r="BZ549" s="89" t="s">
        <v>646</v>
      </c>
      <c r="CA549" s="89" t="s">
        <v>646</v>
      </c>
      <c r="CB549" s="89" t="s">
        <v>22025</v>
      </c>
      <c r="CC549" s="89" t="str">
        <f>HYPERLINK("https%3A%2F%2Fwww.webofscience.com%2Fwos%2Fwoscc%2Ffull-record%2FWOS:000487341000013","View Full Record in Web of Science")</f>
        <v>View Full Record in Web of Science</v>
      </c>
    </row>
    <row r="550" spans="1:81" ht="13.2" hidden="1" x14ac:dyDescent="0.25">
      <c r="A550" s="89" t="s">
        <v>22026</v>
      </c>
      <c r="B550" s="89" t="e">
        <f>+#REF!</f>
        <v>#REF!</v>
      </c>
      <c r="C550" s="89"/>
      <c r="D550" s="91" t="s">
        <v>717</v>
      </c>
      <c r="E550" s="90" t="e">
        <v>#REF!</v>
      </c>
      <c r="F550" s="89"/>
      <c r="G550" s="89"/>
      <c r="H550" s="89" t="s">
        <v>13374</v>
      </c>
      <c r="I550" s="89" t="s">
        <v>22028</v>
      </c>
      <c r="J550" s="89" t="s">
        <v>646</v>
      </c>
      <c r="K550" s="89" t="s">
        <v>22034</v>
      </c>
      <c r="M550" s="89">
        <v>2019</v>
      </c>
      <c r="N550" s="89" t="s">
        <v>22029</v>
      </c>
      <c r="O550" s="89" t="s">
        <v>22027</v>
      </c>
      <c r="P550" s="89" t="str">
        <f>HYPERLINK("http://dx.doi.org/10.34190/EEL.19.161","http://dx.doi.org/10.34190/EEL.19.161")</f>
        <v>http://dx.doi.org/10.34190/EEL.19.161</v>
      </c>
      <c r="S550" s="89" t="s">
        <v>646</v>
      </c>
      <c r="U550" s="89" t="s">
        <v>17474</v>
      </c>
      <c r="W550" s="89" t="s">
        <v>646</v>
      </c>
      <c r="X550" s="89" t="s">
        <v>646</v>
      </c>
      <c r="Y550" s="89" t="s">
        <v>22030</v>
      </c>
      <c r="Z550" s="89" t="s">
        <v>22031</v>
      </c>
      <c r="AA550" s="89" t="s">
        <v>22032</v>
      </c>
      <c r="AB550" s="89" t="s">
        <v>646</v>
      </c>
      <c r="AC550" s="89" t="s">
        <v>22033</v>
      </c>
      <c r="AD550" s="89" t="s">
        <v>646</v>
      </c>
      <c r="AE550" s="89" t="s">
        <v>646</v>
      </c>
      <c r="AF550" s="89" t="s">
        <v>22034</v>
      </c>
      <c r="AG550" s="89" t="s">
        <v>646</v>
      </c>
      <c r="AH550" s="89" t="s">
        <v>646</v>
      </c>
      <c r="AI550" s="89" t="s">
        <v>646</v>
      </c>
      <c r="AJ550" s="89" t="s">
        <v>646</v>
      </c>
      <c r="AK550" s="89" t="s">
        <v>646</v>
      </c>
      <c r="AL550" s="89" t="s">
        <v>646</v>
      </c>
      <c r="AM550" s="89" t="s">
        <v>646</v>
      </c>
      <c r="AN550" s="89" t="s">
        <v>646</v>
      </c>
      <c r="AO550" s="89" t="s">
        <v>646</v>
      </c>
      <c r="AP550" s="89" t="s">
        <v>646</v>
      </c>
      <c r="AQ550" s="89" t="s">
        <v>646</v>
      </c>
      <c r="AR550" s="89" t="s">
        <v>646</v>
      </c>
      <c r="AS550" s="89" t="s">
        <v>646</v>
      </c>
      <c r="AT550" s="89" t="s">
        <v>646</v>
      </c>
      <c r="AU550" s="89" t="s">
        <v>646</v>
      </c>
      <c r="AV550" s="89" t="s">
        <v>646</v>
      </c>
      <c r="AW550" s="89" t="s">
        <v>646</v>
      </c>
      <c r="AX550" s="89" t="s">
        <v>646</v>
      </c>
      <c r="AY550" s="89" t="s">
        <v>18896</v>
      </c>
      <c r="AZ550" s="89" t="s">
        <v>646</v>
      </c>
      <c r="BA550" s="89" t="s">
        <v>22035</v>
      </c>
      <c r="BB550" s="89" t="s">
        <v>646</v>
      </c>
      <c r="BC550" s="89" t="s">
        <v>646</v>
      </c>
      <c r="BD550" s="89" t="s">
        <v>646</v>
      </c>
      <c r="BE550" s="89">
        <v>2019</v>
      </c>
      <c r="BF550" s="89" t="s">
        <v>646</v>
      </c>
      <c r="BG550" s="89" t="s">
        <v>646</v>
      </c>
      <c r="BH550" s="89" t="s">
        <v>646</v>
      </c>
      <c r="BI550" s="89" t="s">
        <v>646</v>
      </c>
      <c r="BJ550" s="89" t="s">
        <v>646</v>
      </c>
      <c r="BK550" s="89" t="s">
        <v>646</v>
      </c>
      <c r="BL550" s="89">
        <v>603</v>
      </c>
      <c r="BM550" s="89">
        <v>608</v>
      </c>
      <c r="BN550" s="89" t="s">
        <v>646</v>
      </c>
      <c r="BO550" s="89" t="str">
        <f>HYPERLINK("http://dx.doi.org/10.34190/EEL.19.161","http://dx.doi.org/10.34190/EEL.19.161")</f>
        <v>http://dx.doi.org/10.34190/EEL.19.161</v>
      </c>
      <c r="BP550" s="89" t="s">
        <v>646</v>
      </c>
      <c r="BQ550" s="89" t="s">
        <v>646</v>
      </c>
      <c r="BR550" s="89" t="s">
        <v>646</v>
      </c>
      <c r="BS550" s="89" t="s">
        <v>646</v>
      </c>
      <c r="BT550" s="89" t="s">
        <v>646</v>
      </c>
      <c r="BU550" s="89" t="s">
        <v>646</v>
      </c>
      <c r="BV550" s="89" t="s">
        <v>646</v>
      </c>
      <c r="BW550" s="89" t="s">
        <v>646</v>
      </c>
      <c r="BX550" s="89" t="s">
        <v>646</v>
      </c>
      <c r="BY550" s="89" t="s">
        <v>646</v>
      </c>
      <c r="BZ550" s="89" t="s">
        <v>646</v>
      </c>
      <c r="CA550" s="89" t="s">
        <v>646</v>
      </c>
      <c r="CB550" s="89" t="s">
        <v>22036</v>
      </c>
      <c r="CC550" s="89" t="str">
        <f>HYPERLINK("https%3A%2F%2Fwww.webofscience.com%2Fwos%2Fwoscc%2Ffull-record%2FWOS:000539626900075","View Full Record in Web of Science")</f>
        <v>View Full Record in Web of Science</v>
      </c>
    </row>
    <row r="551" spans="1:81" ht="13.2" hidden="1" x14ac:dyDescent="0.25">
      <c r="A551" s="89" t="s">
        <v>22037</v>
      </c>
      <c r="B551" s="89" t="e">
        <f>+#REF!</f>
        <v>#REF!</v>
      </c>
      <c r="C551" s="89"/>
      <c r="D551" s="91" t="s">
        <v>717</v>
      </c>
      <c r="E551" s="90" t="e">
        <v>#REF!</v>
      </c>
      <c r="F551" s="89"/>
      <c r="G551" s="89"/>
      <c r="H551" s="89" t="s">
        <v>9741</v>
      </c>
      <c r="I551" s="89" t="s">
        <v>22038</v>
      </c>
      <c r="J551" s="89" t="s">
        <v>646</v>
      </c>
      <c r="K551" s="89" t="s">
        <v>22040</v>
      </c>
      <c r="M551" s="89">
        <v>2021</v>
      </c>
      <c r="N551" s="89" t="s">
        <v>22039</v>
      </c>
      <c r="O551" s="89" t="s">
        <v>646</v>
      </c>
      <c r="P551" s="89" t="str">
        <f>HYPERLINK("http://dx.doi.org/10.1017/SJP.2021.12","http://dx.doi.org/10.1017/SJP.2021.12")</f>
        <v>http://dx.doi.org/10.1017/SJP.2021.12</v>
      </c>
      <c r="S551" s="89" t="s">
        <v>646</v>
      </c>
      <c r="U551" s="89" t="s">
        <v>17462</v>
      </c>
      <c r="W551" s="89" t="s">
        <v>646</v>
      </c>
      <c r="X551" s="89" t="s">
        <v>646</v>
      </c>
      <c r="Y551" s="89" t="s">
        <v>646</v>
      </c>
      <c r="Z551" s="89" t="s">
        <v>646</v>
      </c>
      <c r="AA551" s="89" t="s">
        <v>646</v>
      </c>
      <c r="AB551" s="89" t="s">
        <v>646</v>
      </c>
      <c r="AC551" s="89" t="s">
        <v>646</v>
      </c>
      <c r="AD551" s="89" t="s">
        <v>646</v>
      </c>
      <c r="AE551" s="89" t="s">
        <v>646</v>
      </c>
      <c r="AF551" s="89" t="s">
        <v>22040</v>
      </c>
      <c r="AG551" s="89" t="s">
        <v>646</v>
      </c>
      <c r="AH551" s="89" t="s">
        <v>646</v>
      </c>
      <c r="AI551" s="89" t="s">
        <v>646</v>
      </c>
      <c r="AJ551" s="89" t="s">
        <v>646</v>
      </c>
      <c r="AK551" s="89" t="s">
        <v>646</v>
      </c>
      <c r="AL551" s="89" t="s">
        <v>22041</v>
      </c>
      <c r="AM551" s="89" t="s">
        <v>646</v>
      </c>
      <c r="AN551" s="89" t="s">
        <v>646</v>
      </c>
      <c r="AO551" s="89" t="s">
        <v>646</v>
      </c>
      <c r="AP551" s="89" t="s">
        <v>646</v>
      </c>
      <c r="AQ551" s="89" t="s">
        <v>646</v>
      </c>
      <c r="AR551" s="89" t="s">
        <v>646</v>
      </c>
      <c r="AS551" s="89" t="s">
        <v>646</v>
      </c>
      <c r="AT551" s="89" t="s">
        <v>646</v>
      </c>
      <c r="AU551" s="89" t="s">
        <v>646</v>
      </c>
      <c r="AV551" s="89" t="s">
        <v>646</v>
      </c>
      <c r="AW551" s="89" t="s">
        <v>646</v>
      </c>
      <c r="AX551" s="89" t="s">
        <v>646</v>
      </c>
      <c r="AY551" s="89" t="s">
        <v>22042</v>
      </c>
      <c r="AZ551" s="89" t="s">
        <v>22043</v>
      </c>
      <c r="BA551" s="89" t="s">
        <v>646</v>
      </c>
      <c r="BB551" s="89" t="s">
        <v>646</v>
      </c>
      <c r="BC551" s="89" t="s">
        <v>646</v>
      </c>
      <c r="BD551" s="89" t="s">
        <v>22044</v>
      </c>
      <c r="BE551" s="89">
        <v>2021</v>
      </c>
      <c r="BF551" s="89">
        <v>24</v>
      </c>
      <c r="BG551" s="89" t="s">
        <v>646</v>
      </c>
      <c r="BH551" s="89" t="s">
        <v>646</v>
      </c>
      <c r="BI551" s="89" t="s">
        <v>646</v>
      </c>
      <c r="BJ551" s="89" t="s">
        <v>646</v>
      </c>
      <c r="BK551" s="89" t="s">
        <v>646</v>
      </c>
      <c r="BL551" s="89" t="s">
        <v>646</v>
      </c>
      <c r="BM551" s="89" t="s">
        <v>646</v>
      </c>
      <c r="BN551" s="89" t="s">
        <v>22045</v>
      </c>
      <c r="BO551" s="89" t="str">
        <f>HYPERLINK("http://dx.doi.org/10.1017/SJP.2021.12","http://dx.doi.org/10.1017/SJP.2021.12")</f>
        <v>http://dx.doi.org/10.1017/SJP.2021.12</v>
      </c>
      <c r="BP551" s="89" t="s">
        <v>646</v>
      </c>
      <c r="BQ551" s="89" t="s">
        <v>646</v>
      </c>
      <c r="BR551" s="89" t="s">
        <v>646</v>
      </c>
      <c r="BS551" s="89" t="s">
        <v>646</v>
      </c>
      <c r="BT551" s="89" t="s">
        <v>646</v>
      </c>
      <c r="BU551" s="89" t="s">
        <v>646</v>
      </c>
      <c r="BV551" s="89" t="s">
        <v>646</v>
      </c>
      <c r="BW551" s="89">
        <v>33612139</v>
      </c>
      <c r="BX551" s="89" t="s">
        <v>646</v>
      </c>
      <c r="BY551" s="89" t="s">
        <v>646</v>
      </c>
      <c r="BZ551" s="89" t="s">
        <v>646</v>
      </c>
      <c r="CA551" s="89" t="s">
        <v>646</v>
      </c>
      <c r="CB551" s="89" t="s">
        <v>22046</v>
      </c>
      <c r="CC551" s="89" t="str">
        <f>HYPERLINK("https%3A%2F%2Fwww.webofscience.com%2Fwos%2Fwoscc%2Ffull-record%2FWOS:000620141600001","View Full Record in Web of Science")</f>
        <v>View Full Record in Web of Science</v>
      </c>
    </row>
    <row r="552" spans="1:81" ht="13.2" hidden="1" x14ac:dyDescent="0.25">
      <c r="A552" s="89" t="s">
        <v>13381</v>
      </c>
      <c r="B552" s="89" t="e">
        <f>+#REF!</f>
        <v>#REF!</v>
      </c>
      <c r="C552" s="89"/>
      <c r="D552" s="91" t="s">
        <v>717</v>
      </c>
      <c r="E552" s="90" t="e">
        <v>#REF!</v>
      </c>
      <c r="F552" s="89"/>
      <c r="G552" s="89"/>
      <c r="H552" s="89" t="s">
        <v>13382</v>
      </c>
      <c r="I552" s="89" t="s">
        <v>22047</v>
      </c>
      <c r="J552" s="89" t="s">
        <v>646</v>
      </c>
      <c r="K552" s="89" t="s">
        <v>22049</v>
      </c>
      <c r="M552" s="89">
        <v>2020</v>
      </c>
      <c r="N552" s="89" t="s">
        <v>22048</v>
      </c>
      <c r="O552" s="89" t="s">
        <v>646</v>
      </c>
      <c r="P552" s="89" t="str">
        <f>HYPERLINK("http://dx.doi.org/10.1016/j.jhtm.2020.04.007","http://dx.doi.org/10.1016/j.jhtm.2020.04.007")</f>
        <v>http://dx.doi.org/10.1016/j.jhtm.2020.04.007</v>
      </c>
      <c r="S552" s="89" t="s">
        <v>646</v>
      </c>
      <c r="U552" s="89" t="s">
        <v>17462</v>
      </c>
      <c r="W552" s="89" t="s">
        <v>646</v>
      </c>
      <c r="X552" s="89" t="s">
        <v>646</v>
      </c>
      <c r="Y552" s="89" t="s">
        <v>646</v>
      </c>
      <c r="Z552" s="89" t="s">
        <v>646</v>
      </c>
      <c r="AA552" s="89" t="s">
        <v>646</v>
      </c>
      <c r="AB552" s="89" t="s">
        <v>646</v>
      </c>
      <c r="AC552" s="89" t="s">
        <v>646</v>
      </c>
      <c r="AD552" s="89" t="s">
        <v>646</v>
      </c>
      <c r="AE552" s="89" t="s">
        <v>646</v>
      </c>
      <c r="AF552" s="89" t="s">
        <v>22049</v>
      </c>
      <c r="AG552" s="89" t="s">
        <v>646</v>
      </c>
      <c r="AH552" s="89" t="s">
        <v>646</v>
      </c>
      <c r="AI552" s="89" t="s">
        <v>646</v>
      </c>
      <c r="AJ552" s="89" t="s">
        <v>646</v>
      </c>
      <c r="AK552" s="89" t="s">
        <v>646</v>
      </c>
      <c r="AL552" s="89" t="s">
        <v>22050</v>
      </c>
      <c r="AM552" s="89" t="s">
        <v>646</v>
      </c>
      <c r="AN552" s="89" t="s">
        <v>646</v>
      </c>
      <c r="AO552" s="89" t="s">
        <v>646</v>
      </c>
      <c r="AP552" s="89" t="s">
        <v>646</v>
      </c>
      <c r="AQ552" s="89" t="s">
        <v>646</v>
      </c>
      <c r="AR552" s="89" t="s">
        <v>646</v>
      </c>
      <c r="AS552" s="89" t="s">
        <v>646</v>
      </c>
      <c r="AT552" s="89" t="s">
        <v>646</v>
      </c>
      <c r="AU552" s="89" t="s">
        <v>646</v>
      </c>
      <c r="AV552" s="89" t="s">
        <v>646</v>
      </c>
      <c r="AW552" s="89" t="s">
        <v>646</v>
      </c>
      <c r="AX552" s="89" t="s">
        <v>646</v>
      </c>
      <c r="AY552" s="89" t="s">
        <v>22051</v>
      </c>
      <c r="AZ552" s="89" t="s">
        <v>22052</v>
      </c>
      <c r="BA552" s="89" t="s">
        <v>646</v>
      </c>
      <c r="BB552" s="89" t="s">
        <v>646</v>
      </c>
      <c r="BC552" s="89" t="s">
        <v>646</v>
      </c>
      <c r="BD552" s="89" t="s">
        <v>17772</v>
      </c>
      <c r="BE552" s="89">
        <v>2020</v>
      </c>
      <c r="BF552" s="89">
        <v>43</v>
      </c>
      <c r="BG552" s="89" t="s">
        <v>646</v>
      </c>
      <c r="BH552" s="89" t="s">
        <v>646</v>
      </c>
      <c r="BI552" s="89" t="s">
        <v>646</v>
      </c>
      <c r="BJ552" s="89" t="s">
        <v>646</v>
      </c>
      <c r="BK552" s="89" t="s">
        <v>646</v>
      </c>
      <c r="BL552" s="89">
        <v>232</v>
      </c>
      <c r="BM552" s="89">
        <v>240</v>
      </c>
      <c r="BN552" s="89" t="s">
        <v>646</v>
      </c>
      <c r="BO552" s="89" t="str">
        <f>HYPERLINK("http://dx.doi.org/10.1016/j.jhtm.2020.04.007","http://dx.doi.org/10.1016/j.jhtm.2020.04.007")</f>
        <v>http://dx.doi.org/10.1016/j.jhtm.2020.04.007</v>
      </c>
      <c r="BP552" s="89" t="s">
        <v>646</v>
      </c>
      <c r="BQ552" s="89" t="s">
        <v>646</v>
      </c>
      <c r="BR552" s="89" t="s">
        <v>646</v>
      </c>
      <c r="BS552" s="89" t="s">
        <v>646</v>
      </c>
      <c r="BT552" s="89" t="s">
        <v>646</v>
      </c>
      <c r="BU552" s="89" t="s">
        <v>646</v>
      </c>
      <c r="BV552" s="89" t="s">
        <v>646</v>
      </c>
      <c r="BW552" s="89" t="s">
        <v>646</v>
      </c>
      <c r="BX552" s="89" t="s">
        <v>646</v>
      </c>
      <c r="BY552" s="89" t="s">
        <v>646</v>
      </c>
      <c r="BZ552" s="89" t="s">
        <v>646</v>
      </c>
      <c r="CA552" s="89" t="s">
        <v>646</v>
      </c>
      <c r="CB552" s="89" t="s">
        <v>22053</v>
      </c>
      <c r="CC552" s="89" t="str">
        <f>HYPERLINK("https%3A%2F%2Fwww.webofscience.com%2Fwos%2Fwoscc%2Ffull-record%2FWOS:000536583000024","View Full Record in Web of Science")</f>
        <v>View Full Record in Web of Science</v>
      </c>
    </row>
    <row r="553" spans="1:81" ht="13.2" hidden="1" x14ac:dyDescent="0.25">
      <c r="A553" s="89" t="s">
        <v>22054</v>
      </c>
      <c r="B553" s="89" t="e">
        <f>+#REF!</f>
        <v>#REF!</v>
      </c>
      <c r="C553" s="89"/>
      <c r="D553" s="91" t="s">
        <v>717</v>
      </c>
      <c r="E553" s="90" t="e">
        <v>#REF!</v>
      </c>
      <c r="F553" s="89"/>
      <c r="G553" s="89"/>
      <c r="H553" s="89" t="s">
        <v>1083</v>
      </c>
      <c r="I553" s="89" t="s">
        <v>22055</v>
      </c>
      <c r="J553" s="89" t="s">
        <v>22058</v>
      </c>
      <c r="K553" s="89" t="s">
        <v>22057</v>
      </c>
      <c r="M553" s="89">
        <v>2016</v>
      </c>
      <c r="N553" s="89" t="s">
        <v>22056</v>
      </c>
      <c r="O553" s="89" t="s">
        <v>646</v>
      </c>
      <c r="P553" s="89" t="str">
        <f>HYPERLINK("http://dx.doi.org/10.1109/ICGSE.2016.10","http://dx.doi.org/10.1109/ICGSE.2016.10")</f>
        <v>http://dx.doi.org/10.1109/ICGSE.2016.10</v>
      </c>
      <c r="S553" s="89" t="s">
        <v>17475</v>
      </c>
      <c r="U553" s="89" t="s">
        <v>17474</v>
      </c>
      <c r="W553" s="89" t="s">
        <v>646</v>
      </c>
      <c r="X553" s="89" t="s">
        <v>646</v>
      </c>
      <c r="Y553" s="89" t="s">
        <v>20290</v>
      </c>
      <c r="Z553" s="89" t="s">
        <v>20291</v>
      </c>
      <c r="AA553" s="89" t="s">
        <v>20292</v>
      </c>
      <c r="AB553" s="89" t="s">
        <v>20293</v>
      </c>
      <c r="AC553" s="89" t="s">
        <v>20294</v>
      </c>
      <c r="AD553" s="89" t="s">
        <v>646</v>
      </c>
      <c r="AE553" s="89" t="s">
        <v>646</v>
      </c>
      <c r="AF553" s="89" t="s">
        <v>22057</v>
      </c>
      <c r="AG553" s="89" t="s">
        <v>646</v>
      </c>
      <c r="AH553" s="89" t="s">
        <v>646</v>
      </c>
      <c r="AI553" s="89" t="s">
        <v>646</v>
      </c>
      <c r="AJ553" s="89" t="s">
        <v>646</v>
      </c>
      <c r="AK553" s="89" t="s">
        <v>22058</v>
      </c>
      <c r="AL553" s="89" t="s">
        <v>22059</v>
      </c>
      <c r="AM553" s="89" t="s">
        <v>646</v>
      </c>
      <c r="AN553" s="89" t="s">
        <v>646</v>
      </c>
      <c r="AO553" s="89" t="s">
        <v>646</v>
      </c>
      <c r="AP553" s="89" t="s">
        <v>646</v>
      </c>
      <c r="AQ553" s="89" t="s">
        <v>646</v>
      </c>
      <c r="AR553" s="89" t="s">
        <v>646</v>
      </c>
      <c r="AS553" s="89" t="s">
        <v>646</v>
      </c>
      <c r="AT553" s="89" t="s">
        <v>646</v>
      </c>
      <c r="AU553" s="89" t="s">
        <v>646</v>
      </c>
      <c r="AV553" s="89" t="s">
        <v>646</v>
      </c>
      <c r="AW553" s="89" t="s">
        <v>646</v>
      </c>
      <c r="AX553" s="89" t="s">
        <v>646</v>
      </c>
      <c r="AY553" s="89" t="s">
        <v>18768</v>
      </c>
      <c r="AZ553" s="89" t="s">
        <v>646</v>
      </c>
      <c r="BA553" s="89" t="s">
        <v>22060</v>
      </c>
      <c r="BB553" s="89" t="s">
        <v>646</v>
      </c>
      <c r="BC553" s="89" t="s">
        <v>646</v>
      </c>
      <c r="BD553" s="89" t="s">
        <v>646</v>
      </c>
      <c r="BE553" s="89">
        <v>2016</v>
      </c>
      <c r="BF553" s="89" t="s">
        <v>646</v>
      </c>
      <c r="BG553" s="89" t="s">
        <v>646</v>
      </c>
      <c r="BH553" s="89" t="s">
        <v>646</v>
      </c>
      <c r="BI553" s="89" t="s">
        <v>646</v>
      </c>
      <c r="BJ553" s="89" t="s">
        <v>646</v>
      </c>
      <c r="BK553" s="89" t="s">
        <v>646</v>
      </c>
      <c r="BL553" s="89">
        <v>89</v>
      </c>
      <c r="BM553" s="89">
        <v>98</v>
      </c>
      <c r="BN553" s="89" t="s">
        <v>646</v>
      </c>
      <c r="BO553" s="89" t="str">
        <f>HYPERLINK("http://dx.doi.org/10.1109/ICGSE.2016.10","http://dx.doi.org/10.1109/ICGSE.2016.10")</f>
        <v>http://dx.doi.org/10.1109/ICGSE.2016.10</v>
      </c>
      <c r="BP553" s="89" t="s">
        <v>646</v>
      </c>
      <c r="BQ553" s="89" t="s">
        <v>646</v>
      </c>
      <c r="BR553" s="89" t="s">
        <v>646</v>
      </c>
      <c r="BS553" s="89" t="s">
        <v>646</v>
      </c>
      <c r="BT553" s="89" t="s">
        <v>646</v>
      </c>
      <c r="BU553" s="89" t="s">
        <v>646</v>
      </c>
      <c r="BV553" s="89" t="s">
        <v>646</v>
      </c>
      <c r="BW553" s="89" t="s">
        <v>646</v>
      </c>
      <c r="BX553" s="89" t="s">
        <v>646</v>
      </c>
      <c r="BY553" s="89" t="s">
        <v>646</v>
      </c>
      <c r="BZ553" s="89" t="s">
        <v>646</v>
      </c>
      <c r="CA553" s="89" t="s">
        <v>646</v>
      </c>
      <c r="CB553" s="89" t="s">
        <v>22061</v>
      </c>
      <c r="CC553" s="89" t="str">
        <f>HYPERLINK("https%3A%2F%2Fwww.webofscience.com%2Fwos%2Fwoscc%2Ffull-record%2FWOS:000387142700013","View Full Record in Web of Science")</f>
        <v>View Full Record in Web of Science</v>
      </c>
    </row>
    <row r="554" spans="1:81" ht="13.2" hidden="1" x14ac:dyDescent="0.25">
      <c r="A554" s="89" t="s">
        <v>22062</v>
      </c>
      <c r="B554" s="89" t="e">
        <f>+#REF!</f>
        <v>#REF!</v>
      </c>
      <c r="C554" s="89"/>
      <c r="D554" s="91" t="s">
        <v>717</v>
      </c>
      <c r="E554" s="90" t="e">
        <v>#REF!</v>
      </c>
      <c r="F554" s="89"/>
      <c r="G554" s="89"/>
      <c r="H554" s="89" t="s">
        <v>13391</v>
      </c>
      <c r="I554" s="89" t="s">
        <v>22063</v>
      </c>
      <c r="J554" s="89" t="s">
        <v>22066</v>
      </c>
      <c r="K554" s="89" t="s">
        <v>22065</v>
      </c>
      <c r="M554" s="89">
        <v>2019</v>
      </c>
      <c r="N554" s="89" t="s">
        <v>22064</v>
      </c>
      <c r="O554" s="89" t="s">
        <v>646</v>
      </c>
      <c r="P554" s="89" t="str">
        <f>HYPERLINK("http://dx.doi.org/10.1177/2167479518783461","http://dx.doi.org/10.1177/2167479518783461")</f>
        <v>http://dx.doi.org/10.1177/2167479518783461</v>
      </c>
      <c r="S554" s="89" t="s">
        <v>646</v>
      </c>
      <c r="U554" s="89" t="s">
        <v>17462</v>
      </c>
      <c r="W554" s="89" t="s">
        <v>646</v>
      </c>
      <c r="X554" s="89" t="s">
        <v>646</v>
      </c>
      <c r="Y554" s="89" t="s">
        <v>646</v>
      </c>
      <c r="Z554" s="89" t="s">
        <v>646</v>
      </c>
      <c r="AA554" s="89" t="s">
        <v>646</v>
      </c>
      <c r="AB554" s="89" t="s">
        <v>646</v>
      </c>
      <c r="AC554" s="89" t="s">
        <v>646</v>
      </c>
      <c r="AD554" s="89" t="s">
        <v>646</v>
      </c>
      <c r="AE554" s="89" t="s">
        <v>646</v>
      </c>
      <c r="AF554" s="89" t="s">
        <v>22065</v>
      </c>
      <c r="AG554" s="89" t="s">
        <v>646</v>
      </c>
      <c r="AH554" s="89" t="s">
        <v>646</v>
      </c>
      <c r="AI554" s="89" t="s">
        <v>646</v>
      </c>
      <c r="AJ554" s="89" t="s">
        <v>646</v>
      </c>
      <c r="AK554" s="89" t="s">
        <v>22066</v>
      </c>
      <c r="AL554" s="89" t="s">
        <v>22067</v>
      </c>
      <c r="AM554" s="89" t="s">
        <v>646</v>
      </c>
      <c r="AN554" s="89" t="s">
        <v>646</v>
      </c>
      <c r="AO554" s="89" t="s">
        <v>646</v>
      </c>
      <c r="AP554" s="89" t="s">
        <v>646</v>
      </c>
      <c r="AQ554" s="89" t="s">
        <v>646</v>
      </c>
      <c r="AR554" s="89" t="s">
        <v>646</v>
      </c>
      <c r="AS554" s="89" t="s">
        <v>646</v>
      </c>
      <c r="AT554" s="89" t="s">
        <v>646</v>
      </c>
      <c r="AU554" s="89" t="s">
        <v>646</v>
      </c>
      <c r="AV554" s="89" t="s">
        <v>646</v>
      </c>
      <c r="AW554" s="89" t="s">
        <v>646</v>
      </c>
      <c r="AX554" s="89" t="s">
        <v>646</v>
      </c>
      <c r="AY554" s="89" t="s">
        <v>22068</v>
      </c>
      <c r="AZ554" s="89" t="s">
        <v>22069</v>
      </c>
      <c r="BA554" s="89" t="s">
        <v>646</v>
      </c>
      <c r="BB554" s="89" t="s">
        <v>646</v>
      </c>
      <c r="BC554" s="89" t="s">
        <v>646</v>
      </c>
      <c r="BD554" s="89" t="s">
        <v>17772</v>
      </c>
      <c r="BE554" s="89">
        <v>2019</v>
      </c>
      <c r="BF554" s="89">
        <v>7</v>
      </c>
      <c r="BG554" s="89">
        <v>3</v>
      </c>
      <c r="BH554" s="89" t="s">
        <v>646</v>
      </c>
      <c r="BI554" s="89" t="s">
        <v>646</v>
      </c>
      <c r="BJ554" s="89" t="s">
        <v>646</v>
      </c>
      <c r="BK554" s="89" t="s">
        <v>646</v>
      </c>
      <c r="BL554" s="89">
        <v>385</v>
      </c>
      <c r="BM554" s="89">
        <v>409</v>
      </c>
      <c r="BN554" s="89" t="s">
        <v>646</v>
      </c>
      <c r="BO554" s="89" t="str">
        <f>HYPERLINK("http://dx.doi.org/10.1177/2167479518783461","http://dx.doi.org/10.1177/2167479518783461")</f>
        <v>http://dx.doi.org/10.1177/2167479518783461</v>
      </c>
      <c r="BP554" s="89" t="s">
        <v>646</v>
      </c>
      <c r="BQ554" s="89" t="s">
        <v>646</v>
      </c>
      <c r="BR554" s="89" t="s">
        <v>646</v>
      </c>
      <c r="BS554" s="89" t="s">
        <v>646</v>
      </c>
      <c r="BT554" s="89" t="s">
        <v>646</v>
      </c>
      <c r="BU554" s="89" t="s">
        <v>646</v>
      </c>
      <c r="BV554" s="89" t="s">
        <v>646</v>
      </c>
      <c r="BW554" s="89" t="s">
        <v>646</v>
      </c>
      <c r="BX554" s="89" t="s">
        <v>646</v>
      </c>
      <c r="BY554" s="89" t="s">
        <v>646</v>
      </c>
      <c r="BZ554" s="89" t="s">
        <v>646</v>
      </c>
      <c r="CA554" s="89" t="s">
        <v>646</v>
      </c>
      <c r="CB554" s="89" t="s">
        <v>22070</v>
      </c>
      <c r="CC554" s="89" t="str">
        <f>HYPERLINK("https%3A%2F%2Fwww.webofscience.com%2Fwos%2Fwoscc%2Ffull-record%2FWOS:000468801200006","View Full Record in Web of Science")</f>
        <v>View Full Record in Web of Science</v>
      </c>
    </row>
    <row r="555" spans="1:81" ht="13.2" hidden="1" x14ac:dyDescent="0.25">
      <c r="A555" s="89" t="s">
        <v>9750</v>
      </c>
      <c r="B555" s="89" t="e">
        <f>+#REF!</f>
        <v>#REF!</v>
      </c>
      <c r="C555" s="89"/>
      <c r="D555" s="91" t="s">
        <v>717</v>
      </c>
      <c r="E555" s="90" t="e">
        <v>#REF!</v>
      </c>
      <c r="F555" s="89"/>
      <c r="G555" s="89"/>
      <c r="H555" s="89" t="s">
        <v>9751</v>
      </c>
      <c r="I555" s="89" t="s">
        <v>22071</v>
      </c>
      <c r="J555" s="89" t="s">
        <v>646</v>
      </c>
      <c r="K555" s="89" t="s">
        <v>22073</v>
      </c>
      <c r="M555" s="89">
        <v>2022</v>
      </c>
      <c r="N555" s="89" t="s">
        <v>22072</v>
      </c>
      <c r="O555" s="89" t="s">
        <v>646</v>
      </c>
      <c r="P555" s="89" t="str">
        <f>HYPERLINK("http://dx.doi.org/10.1007/s10672-021-09374-2","http://dx.doi.org/10.1007/s10672-021-09374-2")</f>
        <v>http://dx.doi.org/10.1007/s10672-021-09374-2</v>
      </c>
      <c r="S555" s="89" t="s">
        <v>646</v>
      </c>
      <c r="U555" s="89" t="s">
        <v>17462</v>
      </c>
      <c r="W555" s="89" t="s">
        <v>646</v>
      </c>
      <c r="X555" s="89" t="s">
        <v>646</v>
      </c>
      <c r="Y555" s="89" t="s">
        <v>646</v>
      </c>
      <c r="Z555" s="89" t="s">
        <v>646</v>
      </c>
      <c r="AA555" s="89" t="s">
        <v>646</v>
      </c>
      <c r="AB555" s="89" t="s">
        <v>646</v>
      </c>
      <c r="AC555" s="89" t="s">
        <v>646</v>
      </c>
      <c r="AD555" s="89" t="s">
        <v>646</v>
      </c>
      <c r="AE555" s="89" t="s">
        <v>646</v>
      </c>
      <c r="AF555" s="89" t="s">
        <v>22073</v>
      </c>
      <c r="AG555" s="89" t="s">
        <v>646</v>
      </c>
      <c r="AH555" s="89" t="s">
        <v>646</v>
      </c>
      <c r="AI555" s="89" t="s">
        <v>646</v>
      </c>
      <c r="AJ555" s="89" t="s">
        <v>646</v>
      </c>
      <c r="AK555" s="89" t="s">
        <v>646</v>
      </c>
      <c r="AL555" s="89" t="s">
        <v>22074</v>
      </c>
      <c r="AM555" s="89" t="s">
        <v>646</v>
      </c>
      <c r="AN555" s="89" t="s">
        <v>646</v>
      </c>
      <c r="AO555" s="89" t="s">
        <v>646</v>
      </c>
      <c r="AP555" s="89" t="s">
        <v>646</v>
      </c>
      <c r="AQ555" s="89" t="s">
        <v>646</v>
      </c>
      <c r="AR555" s="89" t="s">
        <v>646</v>
      </c>
      <c r="AS555" s="89" t="s">
        <v>646</v>
      </c>
      <c r="AT555" s="89" t="s">
        <v>646</v>
      </c>
      <c r="AU555" s="89" t="s">
        <v>646</v>
      </c>
      <c r="AV555" s="89" t="s">
        <v>646</v>
      </c>
      <c r="AW555" s="89" t="s">
        <v>646</v>
      </c>
      <c r="AX555" s="89" t="s">
        <v>646</v>
      </c>
      <c r="AY555" s="89" t="s">
        <v>22075</v>
      </c>
      <c r="AZ555" s="89" t="s">
        <v>22076</v>
      </c>
      <c r="BA555" s="89" t="s">
        <v>646</v>
      </c>
      <c r="BB555" s="89" t="s">
        <v>646</v>
      </c>
      <c r="BC555" s="89" t="s">
        <v>646</v>
      </c>
      <c r="BD555" s="89" t="s">
        <v>17779</v>
      </c>
      <c r="BE555" s="89">
        <v>2022</v>
      </c>
      <c r="BF555" s="89">
        <v>34</v>
      </c>
      <c r="BG555" s="89">
        <v>1</v>
      </c>
      <c r="BH555" s="89" t="s">
        <v>646</v>
      </c>
      <c r="BI555" s="89" t="s">
        <v>646</v>
      </c>
      <c r="BJ555" s="89" t="s">
        <v>646</v>
      </c>
      <c r="BK555" s="89" t="s">
        <v>646</v>
      </c>
      <c r="BL555" s="89">
        <v>57</v>
      </c>
      <c r="BM555" s="89">
        <v>79</v>
      </c>
      <c r="BN555" s="89" t="s">
        <v>646</v>
      </c>
      <c r="BO555" s="89" t="str">
        <f>HYPERLINK("http://dx.doi.org/10.1007/s10672-021-09374-2","http://dx.doi.org/10.1007/s10672-021-09374-2")</f>
        <v>http://dx.doi.org/10.1007/s10672-021-09374-2</v>
      </c>
      <c r="BP555" s="89" t="s">
        <v>646</v>
      </c>
      <c r="BQ555" s="89" t="s">
        <v>17514</v>
      </c>
      <c r="BR555" s="89" t="s">
        <v>646</v>
      </c>
      <c r="BS555" s="89" t="s">
        <v>646</v>
      </c>
      <c r="BT555" s="89" t="s">
        <v>646</v>
      </c>
      <c r="BU555" s="89" t="s">
        <v>646</v>
      </c>
      <c r="BV555" s="89" t="s">
        <v>646</v>
      </c>
      <c r="BW555" s="89" t="s">
        <v>646</v>
      </c>
      <c r="BX555" s="89" t="s">
        <v>646</v>
      </c>
      <c r="BY555" s="89" t="s">
        <v>646</v>
      </c>
      <c r="BZ555" s="89" t="s">
        <v>646</v>
      </c>
      <c r="CA555" s="89" t="s">
        <v>646</v>
      </c>
      <c r="CB555" s="89" t="s">
        <v>22077</v>
      </c>
      <c r="CC555" s="89" t="str">
        <f>HYPERLINK("https%3A%2F%2Fwww.webofscience.com%2Fwos%2Fwoscc%2Ffull-record%2FWOS:000661384900001","View Full Record in Web of Science")</f>
        <v>View Full Record in Web of Science</v>
      </c>
    </row>
    <row r="556" spans="1:81" ht="13.2" hidden="1" x14ac:dyDescent="0.25">
      <c r="A556" s="89" t="s">
        <v>22078</v>
      </c>
      <c r="B556" s="89" t="e">
        <f>+#REF!</f>
        <v>#REF!</v>
      </c>
      <c r="C556" s="89"/>
      <c r="D556" s="91" t="s">
        <v>717</v>
      </c>
      <c r="E556" s="90" t="e">
        <v>#REF!</v>
      </c>
      <c r="F556" s="89"/>
      <c r="G556" s="89"/>
      <c r="H556" s="89" t="s">
        <v>13401</v>
      </c>
      <c r="I556" s="89" t="s">
        <v>22079</v>
      </c>
      <c r="J556" s="89" t="s">
        <v>646</v>
      </c>
      <c r="K556" s="89" t="s">
        <v>22083</v>
      </c>
      <c r="M556" s="89">
        <v>2018</v>
      </c>
      <c r="N556" s="89" t="s">
        <v>22080</v>
      </c>
      <c r="O556" s="89" t="s">
        <v>646</v>
      </c>
      <c r="P556" s="89" t="str">
        <f>HYPERLINK("http://dx.doi.org/10.1145/3233391.3233970","http://dx.doi.org/10.1145/3233391.3233970")</f>
        <v>http://dx.doi.org/10.1145/3233391.3233970</v>
      </c>
      <c r="S556" s="89" t="s">
        <v>19206</v>
      </c>
      <c r="U556" s="89" t="s">
        <v>17474</v>
      </c>
      <c r="W556" s="89" t="s">
        <v>646</v>
      </c>
      <c r="X556" s="89" t="s">
        <v>646</v>
      </c>
      <c r="Y556" s="89" t="s">
        <v>22081</v>
      </c>
      <c r="Z556" s="89" t="s">
        <v>22082</v>
      </c>
      <c r="AA556" s="89" t="s">
        <v>18224</v>
      </c>
      <c r="AB556" s="89" t="s">
        <v>646</v>
      </c>
      <c r="AC556" s="89" t="s">
        <v>646</v>
      </c>
      <c r="AD556" s="89" t="s">
        <v>646</v>
      </c>
      <c r="AE556" s="89" t="s">
        <v>646</v>
      </c>
      <c r="AF556" s="89" t="s">
        <v>22083</v>
      </c>
      <c r="AG556" s="89" t="s">
        <v>646</v>
      </c>
      <c r="AH556" s="89" t="s">
        <v>646</v>
      </c>
      <c r="AI556" s="89" t="s">
        <v>646</v>
      </c>
      <c r="AJ556" s="89" t="s">
        <v>646</v>
      </c>
      <c r="AK556" s="89" t="s">
        <v>646</v>
      </c>
      <c r="AL556" s="89" t="s">
        <v>22084</v>
      </c>
      <c r="AM556" s="89" t="s">
        <v>646</v>
      </c>
      <c r="AN556" s="89" t="s">
        <v>646</v>
      </c>
      <c r="AO556" s="89" t="s">
        <v>646</v>
      </c>
      <c r="AP556" s="89" t="s">
        <v>646</v>
      </c>
      <c r="AQ556" s="89" t="s">
        <v>646</v>
      </c>
      <c r="AR556" s="89" t="s">
        <v>646</v>
      </c>
      <c r="AS556" s="89" t="s">
        <v>646</v>
      </c>
      <c r="AT556" s="89" t="s">
        <v>646</v>
      </c>
      <c r="AU556" s="89" t="s">
        <v>646</v>
      </c>
      <c r="AV556" s="89" t="s">
        <v>646</v>
      </c>
      <c r="AW556" s="89" t="s">
        <v>646</v>
      </c>
      <c r="AX556" s="89" t="s">
        <v>646</v>
      </c>
      <c r="AY556" s="89" t="s">
        <v>646</v>
      </c>
      <c r="AZ556" s="89" t="s">
        <v>646</v>
      </c>
      <c r="BA556" s="89" t="s">
        <v>22085</v>
      </c>
      <c r="BB556" s="89" t="s">
        <v>646</v>
      </c>
      <c r="BC556" s="89" t="s">
        <v>646</v>
      </c>
      <c r="BD556" s="89" t="s">
        <v>646</v>
      </c>
      <c r="BE556" s="89">
        <v>2018</v>
      </c>
      <c r="BF556" s="89" t="s">
        <v>646</v>
      </c>
      <c r="BG556" s="89" t="s">
        <v>646</v>
      </c>
      <c r="BH556" s="89" t="s">
        <v>646</v>
      </c>
      <c r="BI556" s="89" t="s">
        <v>646</v>
      </c>
      <c r="BJ556" s="89" t="s">
        <v>646</v>
      </c>
      <c r="BK556" s="89" t="s">
        <v>646</v>
      </c>
      <c r="BL556" s="89" t="s">
        <v>646</v>
      </c>
      <c r="BM556" s="89" t="s">
        <v>646</v>
      </c>
      <c r="BN556" s="89" t="s">
        <v>646</v>
      </c>
      <c r="BO556" s="89" t="str">
        <f>HYPERLINK("http://dx.doi.org/10.1145/3233391.3233970","http://dx.doi.org/10.1145/3233391.3233970")</f>
        <v>http://dx.doi.org/10.1145/3233391.3233970</v>
      </c>
      <c r="BP556" s="89" t="s">
        <v>646</v>
      </c>
      <c r="BQ556" s="89" t="s">
        <v>646</v>
      </c>
      <c r="BR556" s="89" t="s">
        <v>646</v>
      </c>
      <c r="BS556" s="89" t="s">
        <v>646</v>
      </c>
      <c r="BT556" s="89" t="s">
        <v>646</v>
      </c>
      <c r="BU556" s="89" t="s">
        <v>646</v>
      </c>
      <c r="BV556" s="89" t="s">
        <v>646</v>
      </c>
      <c r="BW556" s="89" t="s">
        <v>646</v>
      </c>
      <c r="BX556" s="89" t="s">
        <v>646</v>
      </c>
      <c r="BY556" s="89" t="s">
        <v>646</v>
      </c>
      <c r="BZ556" s="89" t="s">
        <v>646</v>
      </c>
      <c r="CA556" s="89" t="s">
        <v>646</v>
      </c>
      <c r="CB556" s="89" t="s">
        <v>22086</v>
      </c>
      <c r="CC556" s="89" t="str">
        <f>HYPERLINK("https%3A%2F%2Fwww.webofscience.com%2Fwos%2Fwoscc%2Ffull-record%2FWOS:000632588900026","View Full Record in Web of Science")</f>
        <v>View Full Record in Web of Science</v>
      </c>
    </row>
    <row r="557" spans="1:81" ht="13.2" hidden="1" x14ac:dyDescent="0.25">
      <c r="A557" s="89" t="s">
        <v>22087</v>
      </c>
      <c r="B557" s="89" t="e">
        <f>+#REF!</f>
        <v>#REF!</v>
      </c>
      <c r="C557" s="89"/>
      <c r="D557" s="91" t="s">
        <v>717</v>
      </c>
      <c r="E557" s="90" t="e">
        <v>#REF!</v>
      </c>
      <c r="F557" s="89"/>
      <c r="G557" s="89"/>
      <c r="H557" s="89" t="s">
        <v>13411</v>
      </c>
      <c r="I557" s="89" t="s">
        <v>22088</v>
      </c>
      <c r="J557" s="89" t="s">
        <v>22090</v>
      </c>
      <c r="K557" s="89" t="s">
        <v>22089</v>
      </c>
      <c r="M557" s="89">
        <v>2018</v>
      </c>
      <c r="N557" s="89" t="s">
        <v>19023</v>
      </c>
      <c r="O557" s="89" t="s">
        <v>646</v>
      </c>
      <c r="P557" s="89" t="str">
        <f>HYPERLINK("http://dx.doi.org/10.2196/jmir.8986","http://dx.doi.org/10.2196/jmir.8986")</f>
        <v>http://dx.doi.org/10.2196/jmir.8986</v>
      </c>
      <c r="S557" s="89" t="s">
        <v>646</v>
      </c>
      <c r="U557" s="89" t="s">
        <v>17462</v>
      </c>
      <c r="W557" s="89" t="s">
        <v>646</v>
      </c>
      <c r="X557" s="89" t="s">
        <v>646</v>
      </c>
      <c r="Y557" s="89" t="s">
        <v>646</v>
      </c>
      <c r="Z557" s="89" t="s">
        <v>646</v>
      </c>
      <c r="AA557" s="89" t="s">
        <v>646</v>
      </c>
      <c r="AB557" s="89" t="s">
        <v>646</v>
      </c>
      <c r="AC557" s="89" t="s">
        <v>646</v>
      </c>
      <c r="AD557" s="89" t="s">
        <v>646</v>
      </c>
      <c r="AE557" s="89" t="s">
        <v>646</v>
      </c>
      <c r="AF557" s="89" t="s">
        <v>22089</v>
      </c>
      <c r="AG557" s="89" t="s">
        <v>646</v>
      </c>
      <c r="AH557" s="89" t="s">
        <v>646</v>
      </c>
      <c r="AI557" s="89" t="s">
        <v>646</v>
      </c>
      <c r="AJ557" s="89" t="s">
        <v>646</v>
      </c>
      <c r="AK557" s="89" t="s">
        <v>22090</v>
      </c>
      <c r="AL557" s="89" t="s">
        <v>22091</v>
      </c>
      <c r="AM557" s="89" t="s">
        <v>646</v>
      </c>
      <c r="AN557" s="89" t="s">
        <v>646</v>
      </c>
      <c r="AO557" s="89" t="s">
        <v>646</v>
      </c>
      <c r="AP557" s="89" t="s">
        <v>646</v>
      </c>
      <c r="AQ557" s="89" t="s">
        <v>646</v>
      </c>
      <c r="AR557" s="89" t="s">
        <v>646</v>
      </c>
      <c r="AS557" s="89" t="s">
        <v>646</v>
      </c>
      <c r="AT557" s="89" t="s">
        <v>646</v>
      </c>
      <c r="AU557" s="89" t="s">
        <v>646</v>
      </c>
      <c r="AV557" s="89" t="s">
        <v>646</v>
      </c>
      <c r="AW557" s="89" t="s">
        <v>646</v>
      </c>
      <c r="AX557" s="89" t="s">
        <v>646</v>
      </c>
      <c r="AY557" s="89" t="s">
        <v>19026</v>
      </c>
      <c r="AZ557" s="89" t="s">
        <v>646</v>
      </c>
      <c r="BA557" s="89" t="s">
        <v>646</v>
      </c>
      <c r="BB557" s="89" t="s">
        <v>646</v>
      </c>
      <c r="BC557" s="89" t="s">
        <v>646</v>
      </c>
      <c r="BD557" s="89" t="s">
        <v>17779</v>
      </c>
      <c r="BE557" s="89">
        <v>2018</v>
      </c>
      <c r="BF557" s="89">
        <v>20</v>
      </c>
      <c r="BG557" s="89">
        <v>3</v>
      </c>
      <c r="BH557" s="89" t="s">
        <v>646</v>
      </c>
      <c r="BI557" s="89" t="s">
        <v>646</v>
      </c>
      <c r="BJ557" s="89" t="s">
        <v>646</v>
      </c>
      <c r="BK557" s="89" t="s">
        <v>646</v>
      </c>
      <c r="BL557" s="89" t="s">
        <v>646</v>
      </c>
      <c r="BM557" s="89" t="s">
        <v>646</v>
      </c>
      <c r="BN557" s="89" t="s">
        <v>21189</v>
      </c>
      <c r="BO557" s="89" t="str">
        <f>HYPERLINK("http://dx.doi.org/10.2196/jmir.8986","http://dx.doi.org/10.2196/jmir.8986")</f>
        <v>http://dx.doi.org/10.2196/jmir.8986</v>
      </c>
      <c r="BP557" s="89" t="s">
        <v>646</v>
      </c>
      <c r="BQ557" s="89" t="s">
        <v>646</v>
      </c>
      <c r="BR557" s="89" t="s">
        <v>646</v>
      </c>
      <c r="BS557" s="89" t="s">
        <v>646</v>
      </c>
      <c r="BT557" s="89" t="s">
        <v>646</v>
      </c>
      <c r="BU557" s="89" t="s">
        <v>646</v>
      </c>
      <c r="BV557" s="89" t="s">
        <v>646</v>
      </c>
      <c r="BW557" s="89">
        <v>29581091</v>
      </c>
      <c r="BX557" s="89" t="s">
        <v>646</v>
      </c>
      <c r="BY557" s="89" t="s">
        <v>646</v>
      </c>
      <c r="BZ557" s="89" t="s">
        <v>646</v>
      </c>
      <c r="CA557" s="89" t="s">
        <v>646</v>
      </c>
      <c r="CB557" s="89" t="s">
        <v>22092</v>
      </c>
      <c r="CC557" s="89" t="str">
        <f>HYPERLINK("https%3A%2F%2Fwww.webofscience.com%2Fwos%2Fwoscc%2Ffull-record%2FWOS:000428246700003","View Full Record in Web of Science")</f>
        <v>View Full Record in Web of Science</v>
      </c>
    </row>
    <row r="558" spans="1:81" ht="13.2" hidden="1" x14ac:dyDescent="0.25">
      <c r="A558" s="89" t="s">
        <v>13419</v>
      </c>
      <c r="B558" s="89" t="e">
        <f>+#REF!</f>
        <v>#REF!</v>
      </c>
      <c r="C558" s="89"/>
      <c r="D558" s="91" t="s">
        <v>717</v>
      </c>
      <c r="E558" s="90" t="e">
        <v>#REF!</v>
      </c>
      <c r="F558" s="89"/>
      <c r="G558" s="89"/>
      <c r="H558" s="89" t="s">
        <v>646</v>
      </c>
      <c r="I558" s="89" t="s">
        <v>19554</v>
      </c>
      <c r="J558" s="89" t="s">
        <v>19560</v>
      </c>
      <c r="K558" s="89" t="s">
        <v>22098</v>
      </c>
      <c r="M558" s="89">
        <v>2007</v>
      </c>
      <c r="N558" s="89" t="s">
        <v>22094</v>
      </c>
      <c r="O558" s="89" t="s">
        <v>22093</v>
      </c>
      <c r="P558" s="89" t="s">
        <v>646</v>
      </c>
      <c r="S558" s="89" t="s">
        <v>646</v>
      </c>
      <c r="U558" s="89" t="s">
        <v>17474</v>
      </c>
      <c r="W558" s="89" t="s">
        <v>646</v>
      </c>
      <c r="X558" s="89" t="s">
        <v>646</v>
      </c>
      <c r="Y558" s="89" t="s">
        <v>22095</v>
      </c>
      <c r="Z558" s="89" t="s">
        <v>22096</v>
      </c>
      <c r="AA558" s="89" t="s">
        <v>22097</v>
      </c>
      <c r="AB558" s="89" t="s">
        <v>646</v>
      </c>
      <c r="AC558" s="89" t="s">
        <v>646</v>
      </c>
      <c r="AD558" s="89" t="s">
        <v>646</v>
      </c>
      <c r="AE558" s="89" t="s">
        <v>646</v>
      </c>
      <c r="AF558" s="89" t="s">
        <v>22098</v>
      </c>
      <c r="AG558" s="89" t="s">
        <v>646</v>
      </c>
      <c r="AH558" s="89" t="s">
        <v>646</v>
      </c>
      <c r="AI558" s="89" t="s">
        <v>646</v>
      </c>
      <c r="AJ558" s="89" t="s">
        <v>646</v>
      </c>
      <c r="AK558" s="89" t="s">
        <v>19560</v>
      </c>
      <c r="AL558" s="89" t="s">
        <v>19561</v>
      </c>
      <c r="AM558" s="89" t="s">
        <v>646</v>
      </c>
      <c r="AN558" s="89" t="s">
        <v>646</v>
      </c>
      <c r="AO558" s="89" t="s">
        <v>646</v>
      </c>
      <c r="AP558" s="89" t="s">
        <v>646</v>
      </c>
      <c r="AQ558" s="89" t="s">
        <v>646</v>
      </c>
      <c r="AR558" s="89" t="s">
        <v>646</v>
      </c>
      <c r="AS558" s="89" t="s">
        <v>646</v>
      </c>
      <c r="AT558" s="89" t="s">
        <v>646</v>
      </c>
      <c r="AU558" s="89" t="s">
        <v>646</v>
      </c>
      <c r="AV558" s="89" t="s">
        <v>646</v>
      </c>
      <c r="AW558" s="89" t="s">
        <v>646</v>
      </c>
      <c r="AX558" s="89" t="s">
        <v>646</v>
      </c>
      <c r="AY558" s="89" t="s">
        <v>18367</v>
      </c>
      <c r="AZ558" s="89" t="s">
        <v>18884</v>
      </c>
      <c r="BA558" s="89" t="s">
        <v>22099</v>
      </c>
      <c r="BB558" s="89" t="s">
        <v>646</v>
      </c>
      <c r="BC558" s="89" t="s">
        <v>646</v>
      </c>
      <c r="BD558" s="89" t="s">
        <v>646</v>
      </c>
      <c r="BE558" s="89">
        <v>2007</v>
      </c>
      <c r="BF558" s="89">
        <v>4715</v>
      </c>
      <c r="BG558" s="89" t="s">
        <v>646</v>
      </c>
      <c r="BH558" s="89" t="s">
        <v>646</v>
      </c>
      <c r="BI558" s="89" t="s">
        <v>646</v>
      </c>
      <c r="BJ558" s="89" t="s">
        <v>646</v>
      </c>
      <c r="BK558" s="89" t="s">
        <v>646</v>
      </c>
      <c r="BL558" s="89">
        <v>319</v>
      </c>
      <c r="BM558" s="89" t="s">
        <v>18405</v>
      </c>
      <c r="BN558" s="89" t="s">
        <v>646</v>
      </c>
      <c r="BO558" s="89" t="s">
        <v>646</v>
      </c>
      <c r="BP558" s="89" t="s">
        <v>646</v>
      </c>
      <c r="BQ558" s="89" t="s">
        <v>646</v>
      </c>
      <c r="BR558" s="89" t="s">
        <v>646</v>
      </c>
      <c r="BS558" s="89" t="s">
        <v>646</v>
      </c>
      <c r="BT558" s="89" t="s">
        <v>646</v>
      </c>
      <c r="BU558" s="89" t="s">
        <v>646</v>
      </c>
      <c r="BV558" s="89" t="s">
        <v>646</v>
      </c>
      <c r="BW558" s="89" t="s">
        <v>646</v>
      </c>
      <c r="BX558" s="89" t="s">
        <v>646</v>
      </c>
      <c r="BY558" s="89" t="s">
        <v>646</v>
      </c>
      <c r="BZ558" s="89" t="s">
        <v>646</v>
      </c>
      <c r="CA558" s="89" t="s">
        <v>646</v>
      </c>
      <c r="CB558" s="89" t="s">
        <v>22100</v>
      </c>
      <c r="CC558" s="89" t="str">
        <f>HYPERLINK("https%3A%2F%2Fwww.webofscience.com%2Fwos%2Fwoscc%2Ffull-record%2FWOS:000250107200025","View Full Record in Web of Science")</f>
        <v>View Full Record in Web of Science</v>
      </c>
    </row>
    <row r="559" spans="1:81" ht="13.2" hidden="1" x14ac:dyDescent="0.25">
      <c r="A559" s="89" t="s">
        <v>9759</v>
      </c>
      <c r="B559" s="89" t="e">
        <f>+#REF!</f>
        <v>#REF!</v>
      </c>
      <c r="C559" s="89"/>
      <c r="D559" s="91" t="s">
        <v>717</v>
      </c>
      <c r="E559" s="90" t="e">
        <v>#REF!</v>
      </c>
      <c r="F559" s="89"/>
      <c r="G559" s="89"/>
      <c r="H559" s="89" t="s">
        <v>9760</v>
      </c>
      <c r="I559" s="89" t="s">
        <v>22101</v>
      </c>
      <c r="J559" s="89" t="s">
        <v>646</v>
      </c>
      <c r="K559" s="89" t="s">
        <v>22103</v>
      </c>
      <c r="M559" s="89">
        <v>2021</v>
      </c>
      <c r="N559" s="89" t="s">
        <v>22102</v>
      </c>
      <c r="O559" s="89" t="s">
        <v>646</v>
      </c>
      <c r="P559" s="89" t="str">
        <f>HYPERLINK("http://dx.doi.org/10.1016/j.ypmed.2021.106472","http://dx.doi.org/10.1016/j.ypmed.2021.106472")</f>
        <v>http://dx.doi.org/10.1016/j.ypmed.2021.106472</v>
      </c>
      <c r="S559" s="89" t="s">
        <v>646</v>
      </c>
      <c r="U559" s="89" t="s">
        <v>17462</v>
      </c>
      <c r="W559" s="89" t="s">
        <v>646</v>
      </c>
      <c r="X559" s="89" t="s">
        <v>646</v>
      </c>
      <c r="Y559" s="89" t="s">
        <v>646</v>
      </c>
      <c r="Z559" s="89" t="s">
        <v>646</v>
      </c>
      <c r="AA559" s="89" t="s">
        <v>646</v>
      </c>
      <c r="AB559" s="89" t="s">
        <v>646</v>
      </c>
      <c r="AC559" s="89" t="s">
        <v>646</v>
      </c>
      <c r="AD559" s="89" t="s">
        <v>646</v>
      </c>
      <c r="AE559" s="89" t="s">
        <v>646</v>
      </c>
      <c r="AF559" s="89" t="s">
        <v>22103</v>
      </c>
      <c r="AG559" s="89" t="s">
        <v>646</v>
      </c>
      <c r="AH559" s="89" t="s">
        <v>646</v>
      </c>
      <c r="AI559" s="89" t="s">
        <v>646</v>
      </c>
      <c r="AJ559" s="89" t="s">
        <v>646</v>
      </c>
      <c r="AK559" s="89" t="s">
        <v>646</v>
      </c>
      <c r="AL559" s="89" t="s">
        <v>22104</v>
      </c>
      <c r="AM559" s="89" t="s">
        <v>646</v>
      </c>
      <c r="AN559" s="89" t="s">
        <v>646</v>
      </c>
      <c r="AO559" s="89" t="s">
        <v>646</v>
      </c>
      <c r="AP559" s="89" t="s">
        <v>646</v>
      </c>
      <c r="AQ559" s="89" t="s">
        <v>646</v>
      </c>
      <c r="AR559" s="89" t="s">
        <v>646</v>
      </c>
      <c r="AS559" s="89" t="s">
        <v>646</v>
      </c>
      <c r="AT559" s="89" t="s">
        <v>646</v>
      </c>
      <c r="AU559" s="89" t="s">
        <v>646</v>
      </c>
      <c r="AV559" s="89" t="s">
        <v>646</v>
      </c>
      <c r="AW559" s="89" t="s">
        <v>646</v>
      </c>
      <c r="AX559" s="89" t="s">
        <v>646</v>
      </c>
      <c r="AY559" s="89" t="s">
        <v>22105</v>
      </c>
      <c r="AZ559" s="89" t="s">
        <v>22106</v>
      </c>
      <c r="BA559" s="89" t="s">
        <v>646</v>
      </c>
      <c r="BB559" s="89" t="s">
        <v>646</v>
      </c>
      <c r="BC559" s="89" t="s">
        <v>646</v>
      </c>
      <c r="BD559" s="89" t="s">
        <v>18292</v>
      </c>
      <c r="BE559" s="89">
        <v>2021</v>
      </c>
      <c r="BF559" s="89">
        <v>152</v>
      </c>
      <c r="BG559" s="89" t="s">
        <v>646</v>
      </c>
      <c r="BH559" s="89">
        <v>1</v>
      </c>
      <c r="BI559" s="89" t="s">
        <v>646</v>
      </c>
      <c r="BJ559" s="89" t="s">
        <v>646</v>
      </c>
      <c r="BK559" s="89" t="s">
        <v>646</v>
      </c>
      <c r="BL559" s="89" t="s">
        <v>646</v>
      </c>
      <c r="BM559" s="89" t="s">
        <v>646</v>
      </c>
      <c r="BN559" s="89">
        <v>106472</v>
      </c>
      <c r="BO559" s="89" t="str">
        <f>HYPERLINK("http://dx.doi.org/10.1016/j.ypmed.2021.106472","http://dx.doi.org/10.1016/j.ypmed.2021.106472")</f>
        <v>http://dx.doi.org/10.1016/j.ypmed.2021.106472</v>
      </c>
      <c r="BP559" s="89" t="s">
        <v>646</v>
      </c>
      <c r="BQ559" s="89" t="s">
        <v>17598</v>
      </c>
      <c r="BR559" s="89" t="s">
        <v>646</v>
      </c>
      <c r="BS559" s="89" t="s">
        <v>646</v>
      </c>
      <c r="BT559" s="89" t="s">
        <v>646</v>
      </c>
      <c r="BU559" s="89" t="s">
        <v>646</v>
      </c>
      <c r="BV559" s="89" t="s">
        <v>646</v>
      </c>
      <c r="BW559" s="89">
        <v>34538365</v>
      </c>
      <c r="BX559" s="89" t="s">
        <v>646</v>
      </c>
      <c r="BY559" s="89" t="s">
        <v>646</v>
      </c>
      <c r="BZ559" s="89" t="s">
        <v>646</v>
      </c>
      <c r="CA559" s="89" t="s">
        <v>646</v>
      </c>
      <c r="CB559" s="89" t="s">
        <v>22107</v>
      </c>
      <c r="CC559" s="89" t="str">
        <f>HYPERLINK("https%3A%2F%2Fwww.webofscience.com%2Fwos%2Fwoscc%2Ffull-record%2FWOS:000710203800004","View Full Record in Web of Science")</f>
        <v>View Full Record in Web of Science</v>
      </c>
    </row>
    <row r="560" spans="1:81" ht="13.2" hidden="1" x14ac:dyDescent="0.25">
      <c r="A560" s="89" t="s">
        <v>16276</v>
      </c>
      <c r="B560" s="89" t="e">
        <f>+#REF!</f>
        <v>#REF!</v>
      </c>
      <c r="C560" s="89"/>
      <c r="D560" s="91" t="s">
        <v>717</v>
      </c>
      <c r="E560" s="90" t="e">
        <v>#REF!</v>
      </c>
      <c r="F560" s="89"/>
      <c r="G560" s="89"/>
      <c r="H560" s="89" t="s">
        <v>16277</v>
      </c>
      <c r="I560" s="89" t="s">
        <v>22108</v>
      </c>
      <c r="J560" s="89" t="s">
        <v>646</v>
      </c>
      <c r="K560" s="89" t="s">
        <v>22109</v>
      </c>
      <c r="M560" s="89">
        <v>2020</v>
      </c>
      <c r="N560" s="89" t="s">
        <v>20105</v>
      </c>
      <c r="O560" s="89" t="s">
        <v>646</v>
      </c>
      <c r="P560" s="89" t="str">
        <f>HYPERLINK("http://dx.doi.org/10.3389/fpsyg.2020.578251","http://dx.doi.org/10.3389/fpsyg.2020.578251")</f>
        <v>http://dx.doi.org/10.3389/fpsyg.2020.578251</v>
      </c>
      <c r="S560" s="89" t="s">
        <v>646</v>
      </c>
      <c r="U560" s="89" t="s">
        <v>17462</v>
      </c>
      <c r="W560" s="89" t="s">
        <v>646</v>
      </c>
      <c r="X560" s="89" t="s">
        <v>646</v>
      </c>
      <c r="Y560" s="89" t="s">
        <v>646</v>
      </c>
      <c r="Z560" s="89" t="s">
        <v>646</v>
      </c>
      <c r="AA560" s="89" t="s">
        <v>646</v>
      </c>
      <c r="AB560" s="89" t="s">
        <v>646</v>
      </c>
      <c r="AC560" s="89" t="s">
        <v>646</v>
      </c>
      <c r="AD560" s="89" t="s">
        <v>646</v>
      </c>
      <c r="AE560" s="89" t="s">
        <v>646</v>
      </c>
      <c r="AF560" s="89" t="s">
        <v>22109</v>
      </c>
      <c r="AG560" s="89" t="s">
        <v>646</v>
      </c>
      <c r="AH560" s="89" t="s">
        <v>646</v>
      </c>
      <c r="AI560" s="89" t="s">
        <v>646</v>
      </c>
      <c r="AJ560" s="89" t="s">
        <v>646</v>
      </c>
      <c r="AK560" s="89" t="s">
        <v>646</v>
      </c>
      <c r="AL560" s="89" t="s">
        <v>646</v>
      </c>
      <c r="AM560" s="89" t="s">
        <v>646</v>
      </c>
      <c r="AN560" s="89" t="s">
        <v>646</v>
      </c>
      <c r="AO560" s="89" t="s">
        <v>646</v>
      </c>
      <c r="AP560" s="89" t="s">
        <v>646</v>
      </c>
      <c r="AQ560" s="89" t="s">
        <v>646</v>
      </c>
      <c r="AR560" s="89" t="s">
        <v>646</v>
      </c>
      <c r="AS560" s="89" t="s">
        <v>646</v>
      </c>
      <c r="AT560" s="89" t="s">
        <v>646</v>
      </c>
      <c r="AU560" s="89" t="s">
        <v>646</v>
      </c>
      <c r="AV560" s="89" t="s">
        <v>646</v>
      </c>
      <c r="AW560" s="89" t="s">
        <v>646</v>
      </c>
      <c r="AX560" s="89" t="s">
        <v>646</v>
      </c>
      <c r="AY560" s="89" t="s">
        <v>20108</v>
      </c>
      <c r="AZ560" s="89" t="s">
        <v>646</v>
      </c>
      <c r="BA560" s="89" t="s">
        <v>646</v>
      </c>
      <c r="BB560" s="89" t="s">
        <v>646</v>
      </c>
      <c r="BC560" s="89" t="s">
        <v>646</v>
      </c>
      <c r="BD560" s="89" t="s">
        <v>22110</v>
      </c>
      <c r="BE560" s="89">
        <v>2020</v>
      </c>
      <c r="BF560" s="89">
        <v>11</v>
      </c>
      <c r="BG560" s="89" t="s">
        <v>646</v>
      </c>
      <c r="BH560" s="89" t="s">
        <v>646</v>
      </c>
      <c r="BI560" s="89" t="s">
        <v>646</v>
      </c>
      <c r="BJ560" s="89" t="s">
        <v>646</v>
      </c>
      <c r="BK560" s="89" t="s">
        <v>646</v>
      </c>
      <c r="BL560" s="89" t="s">
        <v>646</v>
      </c>
      <c r="BM560" s="89" t="s">
        <v>646</v>
      </c>
      <c r="BN560" s="89">
        <v>578251</v>
      </c>
      <c r="BO560" s="89" t="str">
        <f>HYPERLINK("http://dx.doi.org/10.3389/fpsyg.2020.578251","http://dx.doi.org/10.3389/fpsyg.2020.578251")</f>
        <v>http://dx.doi.org/10.3389/fpsyg.2020.578251</v>
      </c>
      <c r="BP560" s="89" t="s">
        <v>646</v>
      </c>
      <c r="BQ560" s="89" t="s">
        <v>646</v>
      </c>
      <c r="BR560" s="89" t="s">
        <v>646</v>
      </c>
      <c r="BS560" s="89" t="s">
        <v>646</v>
      </c>
      <c r="BT560" s="89" t="s">
        <v>646</v>
      </c>
      <c r="BU560" s="89" t="s">
        <v>646</v>
      </c>
      <c r="BV560" s="89" t="s">
        <v>646</v>
      </c>
      <c r="BW560" s="89">
        <v>33329228</v>
      </c>
      <c r="BX560" s="89" t="s">
        <v>646</v>
      </c>
      <c r="BY560" s="89" t="s">
        <v>646</v>
      </c>
      <c r="BZ560" s="89" t="s">
        <v>646</v>
      </c>
      <c r="CA560" s="89" t="s">
        <v>646</v>
      </c>
      <c r="CB560" s="89" t="s">
        <v>22111</v>
      </c>
      <c r="CC560" s="89" t="str">
        <f>HYPERLINK("https%3A%2F%2Fwww.webofscience.com%2Fwos%2Fwoscc%2Ffull-record%2FWOS:000595393000001","View Full Record in Web of Science")</f>
        <v>View Full Record in Web of Science</v>
      </c>
    </row>
    <row r="561" spans="1:81" ht="13.2" hidden="1" x14ac:dyDescent="0.25">
      <c r="A561" s="89" t="s">
        <v>13426</v>
      </c>
      <c r="B561" s="89" t="e">
        <f>+#REF!</f>
        <v>#REF!</v>
      </c>
      <c r="C561" s="89"/>
      <c r="D561" s="91" t="s">
        <v>717</v>
      </c>
      <c r="E561" s="90" t="e">
        <v>#REF!</v>
      </c>
      <c r="F561" s="89"/>
      <c r="G561" s="89"/>
      <c r="H561" s="89" t="s">
        <v>13427</v>
      </c>
      <c r="I561" s="89" t="s">
        <v>22112</v>
      </c>
      <c r="J561" s="89" t="s">
        <v>22115</v>
      </c>
      <c r="K561" s="89" t="s">
        <v>22114</v>
      </c>
      <c r="M561" s="89">
        <v>2020</v>
      </c>
      <c r="N561" s="89" t="s">
        <v>22113</v>
      </c>
      <c r="O561" s="89" t="s">
        <v>646</v>
      </c>
      <c r="P561" s="89" t="str">
        <f>HYPERLINK("http://dx.doi.org/10.1177/0891241619855130","http://dx.doi.org/10.1177/0891241619855130")</f>
        <v>http://dx.doi.org/10.1177/0891241619855130</v>
      </c>
      <c r="S561" s="89" t="s">
        <v>646</v>
      </c>
      <c r="U561" s="89" t="s">
        <v>17462</v>
      </c>
      <c r="W561" s="89" t="s">
        <v>646</v>
      </c>
      <c r="X561" s="89" t="s">
        <v>646</v>
      </c>
      <c r="Y561" s="89" t="s">
        <v>646</v>
      </c>
      <c r="Z561" s="89" t="s">
        <v>646</v>
      </c>
      <c r="AA561" s="89" t="s">
        <v>646</v>
      </c>
      <c r="AB561" s="89" t="s">
        <v>646</v>
      </c>
      <c r="AC561" s="89" t="s">
        <v>646</v>
      </c>
      <c r="AD561" s="89" t="s">
        <v>646</v>
      </c>
      <c r="AE561" s="89" t="s">
        <v>646</v>
      </c>
      <c r="AF561" s="89" t="s">
        <v>22114</v>
      </c>
      <c r="AG561" s="89" t="s">
        <v>646</v>
      </c>
      <c r="AH561" s="89" t="s">
        <v>646</v>
      </c>
      <c r="AI561" s="89" t="s">
        <v>646</v>
      </c>
      <c r="AJ561" s="89" t="s">
        <v>646</v>
      </c>
      <c r="AK561" s="89" t="s">
        <v>22115</v>
      </c>
      <c r="AL561" s="89" t="s">
        <v>22116</v>
      </c>
      <c r="AM561" s="89" t="s">
        <v>646</v>
      </c>
      <c r="AN561" s="89" t="s">
        <v>646</v>
      </c>
      <c r="AO561" s="89" t="s">
        <v>646</v>
      </c>
      <c r="AP561" s="89" t="s">
        <v>646</v>
      </c>
      <c r="AQ561" s="89" t="s">
        <v>646</v>
      </c>
      <c r="AR561" s="89" t="s">
        <v>646</v>
      </c>
      <c r="AS561" s="89" t="s">
        <v>646</v>
      </c>
      <c r="AT561" s="89" t="s">
        <v>646</v>
      </c>
      <c r="AU561" s="89" t="s">
        <v>646</v>
      </c>
      <c r="AV561" s="89" t="s">
        <v>646</v>
      </c>
      <c r="AW561" s="89" t="s">
        <v>646</v>
      </c>
      <c r="AX561" s="89" t="s">
        <v>646</v>
      </c>
      <c r="AY561" s="89" t="s">
        <v>22117</v>
      </c>
      <c r="AZ561" s="89" t="s">
        <v>22118</v>
      </c>
      <c r="BA561" s="89" t="s">
        <v>646</v>
      </c>
      <c r="BB561" s="89" t="s">
        <v>646</v>
      </c>
      <c r="BC561" s="89" t="s">
        <v>646</v>
      </c>
      <c r="BD561" s="89" t="s">
        <v>17658</v>
      </c>
      <c r="BE561" s="89">
        <v>2020</v>
      </c>
      <c r="BF561" s="89">
        <v>49</v>
      </c>
      <c r="BG561" s="89">
        <v>1</v>
      </c>
      <c r="BH561" s="89" t="s">
        <v>646</v>
      </c>
      <c r="BI561" s="89" t="s">
        <v>646</v>
      </c>
      <c r="BJ561" s="89" t="s">
        <v>646</v>
      </c>
      <c r="BK561" s="89" t="s">
        <v>646</v>
      </c>
      <c r="BL561" s="89">
        <v>27</v>
      </c>
      <c r="BM561" s="89">
        <v>57</v>
      </c>
      <c r="BN561" s="89" t="s">
        <v>646</v>
      </c>
      <c r="BO561" s="89" t="str">
        <f>HYPERLINK("http://dx.doi.org/10.1177/0891241619855130","http://dx.doi.org/10.1177/0891241619855130")</f>
        <v>http://dx.doi.org/10.1177/0891241619855130</v>
      </c>
      <c r="BP561" s="89" t="s">
        <v>646</v>
      </c>
      <c r="BQ561" s="89" t="s">
        <v>646</v>
      </c>
      <c r="BR561" s="89" t="s">
        <v>646</v>
      </c>
      <c r="BS561" s="89" t="s">
        <v>646</v>
      </c>
      <c r="BT561" s="89" t="s">
        <v>646</v>
      </c>
      <c r="BU561" s="89" t="s">
        <v>646</v>
      </c>
      <c r="BV561" s="89" t="s">
        <v>646</v>
      </c>
      <c r="BW561" s="89" t="s">
        <v>646</v>
      </c>
      <c r="BX561" s="89" t="s">
        <v>646</v>
      </c>
      <c r="BY561" s="89" t="s">
        <v>646</v>
      </c>
      <c r="BZ561" s="89" t="s">
        <v>646</v>
      </c>
      <c r="CA561" s="89" t="s">
        <v>646</v>
      </c>
      <c r="CB561" s="89" t="s">
        <v>22119</v>
      </c>
      <c r="CC561" s="89" t="str">
        <f>HYPERLINK("https%3A%2F%2Fwww.webofscience.com%2Fwos%2Fwoscc%2Ffull-record%2FWOS:000503693500002","View Full Record in Web of Science")</f>
        <v>View Full Record in Web of Science</v>
      </c>
    </row>
    <row r="562" spans="1:81" ht="13.2" hidden="1" x14ac:dyDescent="0.25">
      <c r="A562" s="89" t="s">
        <v>22120</v>
      </c>
      <c r="B562" s="89" t="e">
        <f>+#REF!</f>
        <v>#REF!</v>
      </c>
      <c r="C562" s="89"/>
      <c r="D562" s="91" t="s">
        <v>717</v>
      </c>
      <c r="E562" s="90" t="e">
        <v>#REF!</v>
      </c>
      <c r="F562" s="89"/>
      <c r="G562" s="89"/>
      <c r="H562" s="89" t="s">
        <v>13437</v>
      </c>
      <c r="I562" s="89" t="s">
        <v>22121</v>
      </c>
      <c r="J562" s="89" t="s">
        <v>22124</v>
      </c>
      <c r="K562" s="89" t="s">
        <v>22123</v>
      </c>
      <c r="M562" s="89">
        <v>2019</v>
      </c>
      <c r="N562" s="89" t="s">
        <v>22122</v>
      </c>
      <c r="O562" s="89" t="s">
        <v>646</v>
      </c>
      <c r="P562" s="89" t="str">
        <f>HYPERLINK("http://dx.doi.org/10.1111/ijcs.12524","http://dx.doi.org/10.1111/ijcs.12524")</f>
        <v>http://dx.doi.org/10.1111/ijcs.12524</v>
      </c>
      <c r="S562" s="89" t="s">
        <v>646</v>
      </c>
      <c r="U562" s="89" t="s">
        <v>17462</v>
      </c>
      <c r="W562" s="89" t="s">
        <v>646</v>
      </c>
      <c r="X562" s="89" t="s">
        <v>646</v>
      </c>
      <c r="Y562" s="89" t="s">
        <v>646</v>
      </c>
      <c r="Z562" s="89" t="s">
        <v>646</v>
      </c>
      <c r="AA562" s="89" t="s">
        <v>646</v>
      </c>
      <c r="AB562" s="89" t="s">
        <v>646</v>
      </c>
      <c r="AC562" s="89" t="s">
        <v>646</v>
      </c>
      <c r="AD562" s="89" t="s">
        <v>646</v>
      </c>
      <c r="AE562" s="89" t="s">
        <v>646</v>
      </c>
      <c r="AF562" s="89" t="s">
        <v>22123</v>
      </c>
      <c r="AG562" s="89" t="s">
        <v>646</v>
      </c>
      <c r="AH562" s="89" t="s">
        <v>646</v>
      </c>
      <c r="AI562" s="89" t="s">
        <v>646</v>
      </c>
      <c r="AJ562" s="89" t="s">
        <v>646</v>
      </c>
      <c r="AK562" s="89" t="s">
        <v>22124</v>
      </c>
      <c r="AL562" s="89" t="s">
        <v>22125</v>
      </c>
      <c r="AM562" s="89" t="s">
        <v>646</v>
      </c>
      <c r="AN562" s="89" t="s">
        <v>646</v>
      </c>
      <c r="AO562" s="89" t="s">
        <v>646</v>
      </c>
      <c r="AP562" s="89" t="s">
        <v>646</v>
      </c>
      <c r="AQ562" s="89" t="s">
        <v>646</v>
      </c>
      <c r="AR562" s="89" t="s">
        <v>646</v>
      </c>
      <c r="AS562" s="89" t="s">
        <v>646</v>
      </c>
      <c r="AT562" s="89" t="s">
        <v>646</v>
      </c>
      <c r="AU562" s="89" t="s">
        <v>646</v>
      </c>
      <c r="AV562" s="89" t="s">
        <v>646</v>
      </c>
      <c r="AW562" s="89" t="s">
        <v>646</v>
      </c>
      <c r="AX562" s="89" t="s">
        <v>646</v>
      </c>
      <c r="AY562" s="89" t="s">
        <v>22126</v>
      </c>
      <c r="AZ562" s="89" t="s">
        <v>22127</v>
      </c>
      <c r="BA562" s="89" t="s">
        <v>646</v>
      </c>
      <c r="BB562" s="89" t="s">
        <v>646</v>
      </c>
      <c r="BC562" s="89" t="s">
        <v>646</v>
      </c>
      <c r="BD562" s="89" t="s">
        <v>17739</v>
      </c>
      <c r="BE562" s="89">
        <v>2019</v>
      </c>
      <c r="BF562" s="89">
        <v>43</v>
      </c>
      <c r="BG562" s="89">
        <v>5</v>
      </c>
      <c r="BH562" s="89" t="s">
        <v>646</v>
      </c>
      <c r="BI562" s="89" t="s">
        <v>646</v>
      </c>
      <c r="BJ562" s="89" t="s">
        <v>646</v>
      </c>
      <c r="BK562" s="89" t="s">
        <v>646</v>
      </c>
      <c r="BL562" s="89">
        <v>446</v>
      </c>
      <c r="BM562" s="89">
        <v>456</v>
      </c>
      <c r="BN562" s="89" t="s">
        <v>646</v>
      </c>
      <c r="BO562" s="89" t="str">
        <f>HYPERLINK("http://dx.doi.org/10.1111/ijcs.12524","http://dx.doi.org/10.1111/ijcs.12524")</f>
        <v>http://dx.doi.org/10.1111/ijcs.12524</v>
      </c>
      <c r="BP562" s="89" t="s">
        <v>646</v>
      </c>
      <c r="BQ562" s="89" t="s">
        <v>646</v>
      </c>
      <c r="BR562" s="89" t="s">
        <v>646</v>
      </c>
      <c r="BS562" s="89" t="s">
        <v>646</v>
      </c>
      <c r="BT562" s="89" t="s">
        <v>646</v>
      </c>
      <c r="BU562" s="89" t="s">
        <v>646</v>
      </c>
      <c r="BV562" s="89" t="s">
        <v>646</v>
      </c>
      <c r="BW562" s="89" t="s">
        <v>646</v>
      </c>
      <c r="BX562" s="89" t="s">
        <v>646</v>
      </c>
      <c r="BY562" s="89" t="s">
        <v>646</v>
      </c>
      <c r="BZ562" s="89" t="s">
        <v>646</v>
      </c>
      <c r="CA562" s="89" t="s">
        <v>646</v>
      </c>
      <c r="CB562" s="89" t="s">
        <v>22128</v>
      </c>
      <c r="CC562" s="89" t="str">
        <f>HYPERLINK("https%3A%2F%2Fwww.webofscience.com%2Fwos%2Fwoscc%2Ffull-record%2FWOS:000479250600004","View Full Record in Web of Science")</f>
        <v>View Full Record in Web of Science</v>
      </c>
    </row>
    <row r="563" spans="1:81" ht="13.2" hidden="1" x14ac:dyDescent="0.25">
      <c r="A563" s="89" t="s">
        <v>22129</v>
      </c>
      <c r="B563" s="89" t="e">
        <f>+#REF!</f>
        <v>#REF!</v>
      </c>
      <c r="C563" s="89"/>
      <c r="D563" s="91" t="s">
        <v>717</v>
      </c>
      <c r="E563" s="90" t="e">
        <v>#REF!</v>
      </c>
      <c r="F563" s="89"/>
      <c r="G563" s="89"/>
      <c r="H563" s="89" t="s">
        <v>8906</v>
      </c>
      <c r="I563" s="89" t="s">
        <v>22130</v>
      </c>
      <c r="J563" s="89" t="s">
        <v>22132</v>
      </c>
      <c r="K563" s="89" t="s">
        <v>22131</v>
      </c>
      <c r="M563" s="89">
        <v>2022</v>
      </c>
      <c r="N563" s="89" t="s">
        <v>22048</v>
      </c>
      <c r="O563" s="89" t="s">
        <v>646</v>
      </c>
      <c r="P563" s="89" t="str">
        <f>HYPERLINK("http://dx.doi.org/10.1016/j.jhtm.2022.05.002","http://dx.doi.org/10.1016/j.jhtm.2022.05.002")</f>
        <v>http://dx.doi.org/10.1016/j.jhtm.2022.05.002</v>
      </c>
      <c r="S563" s="89" t="s">
        <v>646</v>
      </c>
      <c r="U563" s="89" t="s">
        <v>17462</v>
      </c>
      <c r="W563" s="89" t="s">
        <v>646</v>
      </c>
      <c r="X563" s="89" t="s">
        <v>646</v>
      </c>
      <c r="Y563" s="89" t="s">
        <v>646</v>
      </c>
      <c r="Z563" s="89" t="s">
        <v>646</v>
      </c>
      <c r="AA563" s="89" t="s">
        <v>646</v>
      </c>
      <c r="AB563" s="89" t="s">
        <v>646</v>
      </c>
      <c r="AC563" s="89" t="s">
        <v>646</v>
      </c>
      <c r="AD563" s="89" t="s">
        <v>646</v>
      </c>
      <c r="AE563" s="89" t="s">
        <v>646</v>
      </c>
      <c r="AF563" s="89" t="s">
        <v>22131</v>
      </c>
      <c r="AG563" s="89" t="s">
        <v>646</v>
      </c>
      <c r="AH563" s="89" t="s">
        <v>646</v>
      </c>
      <c r="AI563" s="89" t="s">
        <v>646</v>
      </c>
      <c r="AJ563" s="89" t="s">
        <v>646</v>
      </c>
      <c r="AK563" s="89" t="s">
        <v>22132</v>
      </c>
      <c r="AL563" s="89" t="s">
        <v>22133</v>
      </c>
      <c r="AM563" s="89" t="s">
        <v>646</v>
      </c>
      <c r="AN563" s="89" t="s">
        <v>646</v>
      </c>
      <c r="AO563" s="89" t="s">
        <v>646</v>
      </c>
      <c r="AP563" s="89" t="s">
        <v>646</v>
      </c>
      <c r="AQ563" s="89" t="s">
        <v>646</v>
      </c>
      <c r="AR563" s="89" t="s">
        <v>646</v>
      </c>
      <c r="AS563" s="89" t="s">
        <v>646</v>
      </c>
      <c r="AT563" s="89" t="s">
        <v>646</v>
      </c>
      <c r="AU563" s="89" t="s">
        <v>646</v>
      </c>
      <c r="AV563" s="89" t="s">
        <v>646</v>
      </c>
      <c r="AW563" s="89" t="s">
        <v>646</v>
      </c>
      <c r="AX563" s="89" t="s">
        <v>646</v>
      </c>
      <c r="AY563" s="89" t="s">
        <v>22051</v>
      </c>
      <c r="AZ563" s="89" t="s">
        <v>22052</v>
      </c>
      <c r="BA563" s="89" t="s">
        <v>646</v>
      </c>
      <c r="BB563" s="89" t="s">
        <v>646</v>
      </c>
      <c r="BC563" s="89" t="s">
        <v>646</v>
      </c>
      <c r="BD563" s="89" t="s">
        <v>17772</v>
      </c>
      <c r="BE563" s="89">
        <v>2022</v>
      </c>
      <c r="BF563" s="89">
        <v>51</v>
      </c>
      <c r="BG563" s="89" t="s">
        <v>646</v>
      </c>
      <c r="BH563" s="89" t="s">
        <v>646</v>
      </c>
      <c r="BI563" s="89" t="s">
        <v>646</v>
      </c>
      <c r="BJ563" s="89" t="s">
        <v>646</v>
      </c>
      <c r="BK563" s="89" t="s">
        <v>646</v>
      </c>
      <c r="BL563" s="89">
        <v>452</v>
      </c>
      <c r="BM563" s="89">
        <v>461</v>
      </c>
      <c r="BN563" s="89" t="s">
        <v>646</v>
      </c>
      <c r="BO563" s="89" t="str">
        <f>HYPERLINK("http://dx.doi.org/10.1016/j.jhtm.2022.05.002","http://dx.doi.org/10.1016/j.jhtm.2022.05.002")</f>
        <v>http://dx.doi.org/10.1016/j.jhtm.2022.05.002</v>
      </c>
      <c r="BP563" s="89" t="s">
        <v>646</v>
      </c>
      <c r="BQ563" s="89" t="s">
        <v>646</v>
      </c>
      <c r="BR563" s="89" t="s">
        <v>646</v>
      </c>
      <c r="BS563" s="89" t="s">
        <v>646</v>
      </c>
      <c r="BT563" s="89" t="s">
        <v>646</v>
      </c>
      <c r="BU563" s="89" t="s">
        <v>646</v>
      </c>
      <c r="BV563" s="89" t="s">
        <v>646</v>
      </c>
      <c r="BW563" s="89" t="s">
        <v>646</v>
      </c>
      <c r="BX563" s="89" t="s">
        <v>646</v>
      </c>
      <c r="BY563" s="89" t="s">
        <v>646</v>
      </c>
      <c r="BZ563" s="89" t="s">
        <v>646</v>
      </c>
      <c r="CA563" s="89" t="s">
        <v>646</v>
      </c>
      <c r="CB563" s="89" t="s">
        <v>22134</v>
      </c>
      <c r="CC563" s="89" t="str">
        <f>HYPERLINK("https%3A%2F%2Fwww.webofscience.com%2Fwos%2Fwoscc%2Ffull-record%2FWOS:000806357900001","View Full Record in Web of Science")</f>
        <v>View Full Record in Web of Science</v>
      </c>
    </row>
    <row r="564" spans="1:81" ht="13.2" hidden="1" x14ac:dyDescent="0.25">
      <c r="A564" s="89" t="s">
        <v>22135</v>
      </c>
      <c r="B564" s="89" t="e">
        <f>+#REF!</f>
        <v>#REF!</v>
      </c>
      <c r="C564" s="89"/>
      <c r="D564" s="91" t="s">
        <v>717</v>
      </c>
      <c r="E564" s="90" t="e">
        <v>#REF!</v>
      </c>
      <c r="F564" s="89"/>
      <c r="G564" s="89"/>
      <c r="H564" s="89" t="s">
        <v>13446</v>
      </c>
      <c r="I564" s="89" t="s">
        <v>22136</v>
      </c>
      <c r="J564" s="89" t="s">
        <v>646</v>
      </c>
      <c r="K564" s="89" t="s">
        <v>22142</v>
      </c>
      <c r="M564" s="89">
        <v>2015</v>
      </c>
      <c r="N564" s="89" t="s">
        <v>22137</v>
      </c>
      <c r="O564" s="89" t="s">
        <v>646</v>
      </c>
      <c r="P564" s="89" t="str">
        <f>HYPERLINK("http://dx.doi.org/10.1145/2723372.2750550","http://dx.doi.org/10.1145/2723372.2750550")</f>
        <v>http://dx.doi.org/10.1145/2723372.2750550</v>
      </c>
      <c r="S564" s="89" t="s">
        <v>20420</v>
      </c>
      <c r="U564" s="89" t="s">
        <v>17474</v>
      </c>
      <c r="W564" s="89" t="s">
        <v>646</v>
      </c>
      <c r="X564" s="89" t="s">
        <v>646</v>
      </c>
      <c r="Y564" s="89" t="s">
        <v>22138</v>
      </c>
      <c r="Z564" s="89" t="s">
        <v>22139</v>
      </c>
      <c r="AA564" s="89" t="s">
        <v>22140</v>
      </c>
      <c r="AB564" s="89" t="s">
        <v>22141</v>
      </c>
      <c r="AC564" s="89" t="s">
        <v>646</v>
      </c>
      <c r="AD564" s="89" t="s">
        <v>646</v>
      </c>
      <c r="AE564" s="89" t="s">
        <v>646</v>
      </c>
      <c r="AF564" s="89" t="s">
        <v>22142</v>
      </c>
      <c r="AG564" s="89" t="s">
        <v>646</v>
      </c>
      <c r="AH564" s="89" t="s">
        <v>646</v>
      </c>
      <c r="AI564" s="89" t="s">
        <v>646</v>
      </c>
      <c r="AJ564" s="89" t="s">
        <v>646</v>
      </c>
      <c r="AK564" s="89" t="s">
        <v>646</v>
      </c>
      <c r="AL564" s="89" t="s">
        <v>22143</v>
      </c>
      <c r="AM564" s="89" t="s">
        <v>646</v>
      </c>
      <c r="AN564" s="89" t="s">
        <v>646</v>
      </c>
      <c r="AO564" s="89" t="s">
        <v>646</v>
      </c>
      <c r="AP564" s="89" t="s">
        <v>646</v>
      </c>
      <c r="AQ564" s="89" t="s">
        <v>646</v>
      </c>
      <c r="AR564" s="89" t="s">
        <v>646</v>
      </c>
      <c r="AS564" s="89" t="s">
        <v>646</v>
      </c>
      <c r="AT564" s="89" t="s">
        <v>646</v>
      </c>
      <c r="AU564" s="89" t="s">
        <v>646</v>
      </c>
      <c r="AV564" s="89" t="s">
        <v>646</v>
      </c>
      <c r="AW564" s="89" t="s">
        <v>646</v>
      </c>
      <c r="AX564" s="89" t="s">
        <v>646</v>
      </c>
      <c r="AY564" s="89" t="s">
        <v>646</v>
      </c>
      <c r="AZ564" s="89" t="s">
        <v>646</v>
      </c>
      <c r="BA564" s="89" t="s">
        <v>22144</v>
      </c>
      <c r="BB564" s="89" t="s">
        <v>646</v>
      </c>
      <c r="BC564" s="89" t="s">
        <v>646</v>
      </c>
      <c r="BD564" s="89" t="s">
        <v>646</v>
      </c>
      <c r="BE564" s="89">
        <v>2015</v>
      </c>
      <c r="BF564" s="89" t="s">
        <v>646</v>
      </c>
      <c r="BG564" s="89" t="s">
        <v>646</v>
      </c>
      <c r="BH564" s="89" t="s">
        <v>646</v>
      </c>
      <c r="BI564" s="89" t="s">
        <v>646</v>
      </c>
      <c r="BJ564" s="89" t="s">
        <v>646</v>
      </c>
      <c r="BK564" s="89" t="s">
        <v>646</v>
      </c>
      <c r="BL564" s="89">
        <v>1015</v>
      </c>
      <c r="BM564" s="89">
        <v>1030</v>
      </c>
      <c r="BN564" s="89" t="s">
        <v>646</v>
      </c>
      <c r="BO564" s="89" t="str">
        <f>HYPERLINK("http://dx.doi.org/10.1145/2723372.2750550","http://dx.doi.org/10.1145/2723372.2750550")</f>
        <v>http://dx.doi.org/10.1145/2723372.2750550</v>
      </c>
      <c r="BP564" s="89" t="s">
        <v>646</v>
      </c>
      <c r="BQ564" s="89" t="s">
        <v>646</v>
      </c>
      <c r="BR564" s="89" t="s">
        <v>646</v>
      </c>
      <c r="BS564" s="89" t="s">
        <v>646</v>
      </c>
      <c r="BT564" s="89" t="s">
        <v>646</v>
      </c>
      <c r="BU564" s="89" t="s">
        <v>646</v>
      </c>
      <c r="BV564" s="89" t="s">
        <v>646</v>
      </c>
      <c r="BW564" s="89" t="s">
        <v>646</v>
      </c>
      <c r="BX564" s="89" t="s">
        <v>646</v>
      </c>
      <c r="BY564" s="89" t="s">
        <v>646</v>
      </c>
      <c r="BZ564" s="89" t="s">
        <v>646</v>
      </c>
      <c r="CA564" s="89" t="s">
        <v>646</v>
      </c>
      <c r="CB564" s="89" t="s">
        <v>22145</v>
      </c>
      <c r="CC564" s="89" t="str">
        <f>HYPERLINK("https%3A%2F%2Fwww.webofscience.com%2Fwos%2Fwoscc%2Ffull-record%2FWOS:000452535700079","View Full Record in Web of Science")</f>
        <v>View Full Record in Web of Science</v>
      </c>
    </row>
    <row r="565" spans="1:81" ht="13.2" hidden="1" x14ac:dyDescent="0.25">
      <c r="A565" s="89" t="s">
        <v>22146</v>
      </c>
      <c r="B565" s="89" t="e">
        <f>+#REF!</f>
        <v>#REF!</v>
      </c>
      <c r="C565" s="89"/>
      <c r="D565" s="91" t="s">
        <v>717</v>
      </c>
      <c r="E565" s="90" t="e">
        <v>#REF!</v>
      </c>
      <c r="F565" s="89"/>
      <c r="G565" s="89"/>
      <c r="H565" s="89" t="s">
        <v>1603</v>
      </c>
      <c r="I565" s="89" t="s">
        <v>21783</v>
      </c>
      <c r="J565" s="89" t="s">
        <v>21789</v>
      </c>
      <c r="K565" s="89" t="s">
        <v>22152</v>
      </c>
      <c r="M565" s="89">
        <v>2018</v>
      </c>
      <c r="N565" s="89" t="s">
        <v>22148</v>
      </c>
      <c r="O565" s="89" t="s">
        <v>22147</v>
      </c>
      <c r="P565" s="89" t="str">
        <f>HYPERLINK("http://dx.doi.org/10.3233/978-1-61499-900-3-545","http://dx.doi.org/10.3233/978-1-61499-900-3-545")</f>
        <v>http://dx.doi.org/10.3233/978-1-61499-900-3-545</v>
      </c>
      <c r="S565" s="89" t="s">
        <v>646</v>
      </c>
      <c r="U565" s="89" t="s">
        <v>17474</v>
      </c>
      <c r="W565" s="89" t="s">
        <v>646</v>
      </c>
      <c r="X565" s="89" t="s">
        <v>646</v>
      </c>
      <c r="Y565" s="89" t="s">
        <v>22149</v>
      </c>
      <c r="Z565" s="89" t="s">
        <v>22150</v>
      </c>
      <c r="AA565" s="89" t="s">
        <v>22151</v>
      </c>
      <c r="AB565" s="89" t="s">
        <v>646</v>
      </c>
      <c r="AC565" s="89" t="s">
        <v>646</v>
      </c>
      <c r="AD565" s="89" t="s">
        <v>646</v>
      </c>
      <c r="AE565" s="89" t="s">
        <v>646</v>
      </c>
      <c r="AF565" s="89" t="s">
        <v>22152</v>
      </c>
      <c r="AG565" s="89" t="s">
        <v>646</v>
      </c>
      <c r="AH565" s="89" t="s">
        <v>646</v>
      </c>
      <c r="AI565" s="89" t="s">
        <v>646</v>
      </c>
      <c r="AJ565" s="89" t="s">
        <v>646</v>
      </c>
      <c r="AK565" s="89" t="s">
        <v>21789</v>
      </c>
      <c r="AL565" s="89" t="s">
        <v>646</v>
      </c>
      <c r="AM565" s="89" t="s">
        <v>646</v>
      </c>
      <c r="AN565" s="89" t="s">
        <v>646</v>
      </c>
      <c r="AO565" s="89" t="s">
        <v>646</v>
      </c>
      <c r="AP565" s="89" t="s">
        <v>646</v>
      </c>
      <c r="AQ565" s="89" t="s">
        <v>646</v>
      </c>
      <c r="AR565" s="89" t="s">
        <v>646</v>
      </c>
      <c r="AS565" s="89" t="s">
        <v>646</v>
      </c>
      <c r="AT565" s="89" t="s">
        <v>646</v>
      </c>
      <c r="AU565" s="89" t="s">
        <v>646</v>
      </c>
      <c r="AV565" s="89" t="s">
        <v>646</v>
      </c>
      <c r="AW565" s="89" t="s">
        <v>646</v>
      </c>
      <c r="AX565" s="89" t="s">
        <v>646</v>
      </c>
      <c r="AY565" s="89" t="s">
        <v>21790</v>
      </c>
      <c r="AZ565" s="89" t="s">
        <v>21791</v>
      </c>
      <c r="BA565" s="89" t="s">
        <v>22153</v>
      </c>
      <c r="BB565" s="89" t="s">
        <v>646</v>
      </c>
      <c r="BC565" s="89" t="s">
        <v>646</v>
      </c>
      <c r="BD565" s="89" t="s">
        <v>646</v>
      </c>
      <c r="BE565" s="89">
        <v>2018</v>
      </c>
      <c r="BF565" s="89">
        <v>303</v>
      </c>
      <c r="BG565" s="89" t="s">
        <v>646</v>
      </c>
      <c r="BH565" s="89" t="s">
        <v>646</v>
      </c>
      <c r="BI565" s="89" t="s">
        <v>646</v>
      </c>
      <c r="BJ565" s="89" t="s">
        <v>646</v>
      </c>
      <c r="BK565" s="89" t="s">
        <v>646</v>
      </c>
      <c r="BL565" s="89">
        <v>545</v>
      </c>
      <c r="BM565" s="89">
        <v>558</v>
      </c>
      <c r="BN565" s="89" t="s">
        <v>646</v>
      </c>
      <c r="BO565" s="89" t="str">
        <f>HYPERLINK("http://dx.doi.org/10.3233/978-1-61499-900-3-545","http://dx.doi.org/10.3233/978-1-61499-900-3-545")</f>
        <v>http://dx.doi.org/10.3233/978-1-61499-900-3-545</v>
      </c>
      <c r="BP565" s="89" t="s">
        <v>646</v>
      </c>
      <c r="BQ565" s="89" t="s">
        <v>646</v>
      </c>
      <c r="BR565" s="89" t="s">
        <v>646</v>
      </c>
      <c r="BS565" s="89" t="s">
        <v>646</v>
      </c>
      <c r="BT565" s="89" t="s">
        <v>646</v>
      </c>
      <c r="BU565" s="89" t="s">
        <v>646</v>
      </c>
      <c r="BV565" s="89" t="s">
        <v>646</v>
      </c>
      <c r="BW565" s="89" t="s">
        <v>646</v>
      </c>
      <c r="BX565" s="89" t="s">
        <v>646</v>
      </c>
      <c r="BY565" s="89" t="s">
        <v>646</v>
      </c>
      <c r="BZ565" s="89" t="s">
        <v>646</v>
      </c>
      <c r="CA565" s="89" t="s">
        <v>646</v>
      </c>
      <c r="CB565" s="89" t="s">
        <v>22154</v>
      </c>
      <c r="CC565" s="89" t="str">
        <f>HYPERLINK("https%3A%2F%2Fwww.webofscience.com%2Fwos%2Fwoscc%2Ffull-record%2FWOS:000467457200043","View Full Record in Web of Science")</f>
        <v>View Full Record in Web of Science</v>
      </c>
    </row>
    <row r="566" spans="1:81" ht="13.2" hidden="1" x14ac:dyDescent="0.25">
      <c r="A566" s="89" t="s">
        <v>16321</v>
      </c>
      <c r="B566" s="89" t="e">
        <f>+#REF!</f>
        <v>#REF!</v>
      </c>
      <c r="C566" s="89"/>
      <c r="D566" s="91" t="s">
        <v>717</v>
      </c>
      <c r="E566" s="90" t="e">
        <v>#REF!</v>
      </c>
      <c r="F566" s="89"/>
      <c r="G566" s="89"/>
      <c r="H566" s="89" t="s">
        <v>1640</v>
      </c>
      <c r="I566" s="89" t="s">
        <v>22155</v>
      </c>
      <c r="J566" s="89" t="s">
        <v>646</v>
      </c>
      <c r="K566" s="89" t="s">
        <v>22160</v>
      </c>
      <c r="M566" s="89">
        <v>2020</v>
      </c>
      <c r="N566" s="89" t="s">
        <v>22156</v>
      </c>
      <c r="O566" s="89" t="s">
        <v>646</v>
      </c>
      <c r="P566" s="89" t="str">
        <f>HYPERLINK("http://dx.doi.org/10.1145/3377812.3390804","http://dx.doi.org/10.1145/3377812.3390804")</f>
        <v>http://dx.doi.org/10.1145/3377812.3390804</v>
      </c>
      <c r="S566" s="89" t="s">
        <v>17475</v>
      </c>
      <c r="U566" s="89" t="s">
        <v>17474</v>
      </c>
      <c r="W566" s="89" t="s">
        <v>646</v>
      </c>
      <c r="X566" s="89" t="s">
        <v>646</v>
      </c>
      <c r="Y566" s="89" t="s">
        <v>22157</v>
      </c>
      <c r="Z566" s="89" t="s">
        <v>22158</v>
      </c>
      <c r="AA566" s="89" t="s">
        <v>17494</v>
      </c>
      <c r="AB566" s="89" t="s">
        <v>22159</v>
      </c>
      <c r="AC566" s="89" t="s">
        <v>646</v>
      </c>
      <c r="AD566" s="89" t="s">
        <v>646</v>
      </c>
      <c r="AE566" s="89" t="s">
        <v>646</v>
      </c>
      <c r="AF566" s="89" t="s">
        <v>22160</v>
      </c>
      <c r="AG566" s="89" t="s">
        <v>646</v>
      </c>
      <c r="AH566" s="89" t="s">
        <v>646</v>
      </c>
      <c r="AI566" s="89" t="s">
        <v>646</v>
      </c>
      <c r="AJ566" s="89" t="s">
        <v>646</v>
      </c>
      <c r="AK566" s="89" t="s">
        <v>646</v>
      </c>
      <c r="AL566" s="89" t="s">
        <v>22161</v>
      </c>
      <c r="AM566" s="89" t="s">
        <v>646</v>
      </c>
      <c r="AN566" s="89" t="s">
        <v>646</v>
      </c>
      <c r="AO566" s="89" t="s">
        <v>646</v>
      </c>
      <c r="AP566" s="89" t="s">
        <v>646</v>
      </c>
      <c r="AQ566" s="89" t="s">
        <v>646</v>
      </c>
      <c r="AR566" s="89" t="s">
        <v>646</v>
      </c>
      <c r="AS566" s="89" t="s">
        <v>646</v>
      </c>
      <c r="AT566" s="89" t="s">
        <v>646</v>
      </c>
      <c r="AU566" s="89" t="s">
        <v>646</v>
      </c>
      <c r="AV566" s="89" t="s">
        <v>646</v>
      </c>
      <c r="AW566" s="89" t="s">
        <v>646</v>
      </c>
      <c r="AX566" s="89" t="s">
        <v>646</v>
      </c>
      <c r="AY566" s="89" t="s">
        <v>19333</v>
      </c>
      <c r="AZ566" s="89" t="s">
        <v>646</v>
      </c>
      <c r="BA566" s="89" t="s">
        <v>646</v>
      </c>
      <c r="BB566" s="89" t="s">
        <v>646</v>
      </c>
      <c r="BC566" s="89" t="s">
        <v>646</v>
      </c>
      <c r="BD566" s="89" t="s">
        <v>646</v>
      </c>
      <c r="BE566" s="89">
        <v>2020</v>
      </c>
      <c r="BF566" s="89" t="s">
        <v>646</v>
      </c>
      <c r="BG566" s="89" t="s">
        <v>646</v>
      </c>
      <c r="BH566" s="89" t="s">
        <v>646</v>
      </c>
      <c r="BI566" s="89" t="s">
        <v>646</v>
      </c>
      <c r="BJ566" s="89" t="s">
        <v>646</v>
      </c>
      <c r="BK566" s="89" t="s">
        <v>646</v>
      </c>
      <c r="BL566" s="89">
        <v>290</v>
      </c>
      <c r="BM566" s="89">
        <v>291</v>
      </c>
      <c r="BN566" s="89" t="s">
        <v>646</v>
      </c>
      <c r="BO566" s="89" t="str">
        <f>HYPERLINK("http://dx.doi.org/10.1145/3377812.3390804","http://dx.doi.org/10.1145/3377812.3390804")</f>
        <v>http://dx.doi.org/10.1145/3377812.3390804</v>
      </c>
      <c r="BP566" s="89" t="s">
        <v>646</v>
      </c>
      <c r="BQ566" s="89" t="s">
        <v>646</v>
      </c>
      <c r="BR566" s="89" t="s">
        <v>646</v>
      </c>
      <c r="BS566" s="89" t="s">
        <v>646</v>
      </c>
      <c r="BT566" s="89" t="s">
        <v>646</v>
      </c>
      <c r="BU566" s="89" t="s">
        <v>646</v>
      </c>
      <c r="BV566" s="89" t="s">
        <v>646</v>
      </c>
      <c r="BW566" s="89" t="s">
        <v>646</v>
      </c>
      <c r="BX566" s="89" t="s">
        <v>646</v>
      </c>
      <c r="BY566" s="89" t="s">
        <v>646</v>
      </c>
      <c r="BZ566" s="89" t="s">
        <v>646</v>
      </c>
      <c r="CA566" s="89" t="s">
        <v>646</v>
      </c>
      <c r="CB566" s="89" t="s">
        <v>22162</v>
      </c>
      <c r="CC566" s="89" t="str">
        <f>HYPERLINK("https%3A%2F%2Fwww.webofscience.com%2Fwos%2Fwoscc%2Ffull-record%2FWOS:000637244600088","View Full Record in Web of Science")</f>
        <v>View Full Record in Web of Science</v>
      </c>
    </row>
    <row r="567" spans="1:81" ht="13.2" hidden="1" x14ac:dyDescent="0.25">
      <c r="A567" s="89" t="s">
        <v>9777</v>
      </c>
      <c r="B567" s="89" t="e">
        <f>+#REF!</f>
        <v>#REF!</v>
      </c>
      <c r="C567" s="89"/>
      <c r="D567" s="91" t="s">
        <v>717</v>
      </c>
      <c r="E567" s="90" t="e">
        <v>#REF!</v>
      </c>
      <c r="F567" s="89"/>
      <c r="G567" s="89"/>
      <c r="H567" s="89" t="s">
        <v>9778</v>
      </c>
      <c r="I567" s="89" t="s">
        <v>22164</v>
      </c>
      <c r="J567" s="89" t="s">
        <v>646</v>
      </c>
      <c r="K567" s="89" t="s">
        <v>22170</v>
      </c>
      <c r="M567" s="89">
        <v>2021</v>
      </c>
      <c r="N567" s="89" t="s">
        <v>22165</v>
      </c>
      <c r="O567" s="89" t="s">
        <v>22163</v>
      </c>
      <c r="P567" s="89" t="str">
        <f>HYPERLINK("http://dx.doi.org/10.1109/CSCWD49262.2021.9437785","http://dx.doi.org/10.1109/CSCWD49262.2021.9437785")</f>
        <v>http://dx.doi.org/10.1109/CSCWD49262.2021.9437785</v>
      </c>
      <c r="S567" s="89" t="s">
        <v>646</v>
      </c>
      <c r="U567" s="89" t="s">
        <v>17474</v>
      </c>
      <c r="W567" s="89" t="s">
        <v>646</v>
      </c>
      <c r="X567" s="89" t="s">
        <v>646</v>
      </c>
      <c r="Y567" s="89" t="s">
        <v>22166</v>
      </c>
      <c r="Z567" s="89" t="s">
        <v>22167</v>
      </c>
      <c r="AA567" s="89" t="s">
        <v>22168</v>
      </c>
      <c r="AB567" s="89" t="s">
        <v>22169</v>
      </c>
      <c r="AC567" s="89" t="s">
        <v>646</v>
      </c>
      <c r="AD567" s="89" t="s">
        <v>646</v>
      </c>
      <c r="AE567" s="89" t="s">
        <v>646</v>
      </c>
      <c r="AF567" s="89" t="s">
        <v>22170</v>
      </c>
      <c r="AG567" s="89" t="s">
        <v>646</v>
      </c>
      <c r="AH567" s="89" t="s">
        <v>646</v>
      </c>
      <c r="AI567" s="89" t="s">
        <v>646</v>
      </c>
      <c r="AJ567" s="89" t="s">
        <v>646</v>
      </c>
      <c r="AK567" s="89" t="s">
        <v>646</v>
      </c>
      <c r="AL567" s="89" t="s">
        <v>646</v>
      </c>
      <c r="AM567" s="89" t="s">
        <v>646</v>
      </c>
      <c r="AN567" s="89" t="s">
        <v>646</v>
      </c>
      <c r="AO567" s="89" t="s">
        <v>646</v>
      </c>
      <c r="AP567" s="89" t="s">
        <v>646</v>
      </c>
      <c r="AQ567" s="89" t="s">
        <v>646</v>
      </c>
      <c r="AR567" s="89" t="s">
        <v>646</v>
      </c>
      <c r="AS567" s="89" t="s">
        <v>646</v>
      </c>
      <c r="AT567" s="89" t="s">
        <v>646</v>
      </c>
      <c r="AU567" s="89" t="s">
        <v>646</v>
      </c>
      <c r="AV567" s="89" t="s">
        <v>646</v>
      </c>
      <c r="AW567" s="89" t="s">
        <v>646</v>
      </c>
      <c r="AX567" s="89" t="s">
        <v>646</v>
      </c>
      <c r="AY567" s="89" t="s">
        <v>646</v>
      </c>
      <c r="AZ567" s="89" t="s">
        <v>646</v>
      </c>
      <c r="BA567" s="89" t="s">
        <v>22171</v>
      </c>
      <c r="BB567" s="89" t="s">
        <v>646</v>
      </c>
      <c r="BC567" s="89" t="s">
        <v>646</v>
      </c>
      <c r="BD567" s="89" t="s">
        <v>646</v>
      </c>
      <c r="BE567" s="89">
        <v>2021</v>
      </c>
      <c r="BF567" s="89" t="s">
        <v>646</v>
      </c>
      <c r="BG567" s="89" t="s">
        <v>646</v>
      </c>
      <c r="BH567" s="89" t="s">
        <v>646</v>
      </c>
      <c r="BI567" s="89" t="s">
        <v>646</v>
      </c>
      <c r="BJ567" s="89" t="s">
        <v>646</v>
      </c>
      <c r="BK567" s="89" t="s">
        <v>646</v>
      </c>
      <c r="BL567" s="89">
        <v>739</v>
      </c>
      <c r="BM567" s="89">
        <v>744</v>
      </c>
      <c r="BN567" s="89" t="s">
        <v>646</v>
      </c>
      <c r="BO567" s="89" t="str">
        <f>HYPERLINK("http://dx.doi.org/10.1109/CSCWD49262.2021.9437785","http://dx.doi.org/10.1109/CSCWD49262.2021.9437785")</f>
        <v>http://dx.doi.org/10.1109/CSCWD49262.2021.9437785</v>
      </c>
      <c r="BP567" s="89" t="s">
        <v>646</v>
      </c>
      <c r="BQ567" s="89" t="s">
        <v>646</v>
      </c>
      <c r="BR567" s="89" t="s">
        <v>646</v>
      </c>
      <c r="BS567" s="89" t="s">
        <v>646</v>
      </c>
      <c r="BT567" s="89" t="s">
        <v>646</v>
      </c>
      <c r="BU567" s="89" t="s">
        <v>646</v>
      </c>
      <c r="BV567" s="89" t="s">
        <v>646</v>
      </c>
      <c r="BW567" s="89" t="s">
        <v>646</v>
      </c>
      <c r="BX567" s="89" t="s">
        <v>646</v>
      </c>
      <c r="BY567" s="89" t="s">
        <v>646</v>
      </c>
      <c r="BZ567" s="89" t="s">
        <v>646</v>
      </c>
      <c r="CA567" s="89" t="s">
        <v>646</v>
      </c>
      <c r="CB567" s="89" t="s">
        <v>22172</v>
      </c>
      <c r="CC567" s="89" t="str">
        <f>HYPERLINK("https%3A%2F%2Fwww.webofscience.com%2Fwos%2Fwoscc%2Ffull-record%2FWOS:000716858200126","View Full Record in Web of Science")</f>
        <v>View Full Record in Web of Science</v>
      </c>
    </row>
    <row r="568" spans="1:81" ht="13.2" hidden="1" x14ac:dyDescent="0.25">
      <c r="A568" s="89" t="s">
        <v>22173</v>
      </c>
      <c r="B568" s="89" t="e">
        <f>+#REF!</f>
        <v>#REF!</v>
      </c>
      <c r="C568" s="89"/>
      <c r="D568" s="91" t="s">
        <v>717</v>
      </c>
      <c r="E568" s="90" t="e">
        <v>#REF!</v>
      </c>
      <c r="F568" s="89"/>
      <c r="G568" s="89"/>
      <c r="H568" s="89" t="s">
        <v>646</v>
      </c>
      <c r="I568" s="89" t="s">
        <v>22175</v>
      </c>
      <c r="J568" s="89" t="s">
        <v>22181</v>
      </c>
      <c r="K568" s="89" t="s">
        <v>22180</v>
      </c>
      <c r="M568" s="89">
        <v>2013</v>
      </c>
      <c r="N568" s="89" t="s">
        <v>22176</v>
      </c>
      <c r="O568" s="89" t="s">
        <v>22174</v>
      </c>
      <c r="P568" s="89" t="s">
        <v>646</v>
      </c>
      <c r="S568" s="89" t="s">
        <v>646</v>
      </c>
      <c r="U568" s="89" t="s">
        <v>17474</v>
      </c>
      <c r="W568" s="89" t="s">
        <v>646</v>
      </c>
      <c r="X568" s="89" t="s">
        <v>646</v>
      </c>
      <c r="Y568" s="89" t="s">
        <v>22177</v>
      </c>
      <c r="Z568" s="89" t="s">
        <v>22178</v>
      </c>
      <c r="AA568" s="89" t="s">
        <v>22179</v>
      </c>
      <c r="AB568" s="89" t="s">
        <v>646</v>
      </c>
      <c r="AC568" s="89" t="s">
        <v>646</v>
      </c>
      <c r="AD568" s="89" t="s">
        <v>646</v>
      </c>
      <c r="AE568" s="89" t="s">
        <v>646</v>
      </c>
      <c r="AF568" s="89" t="s">
        <v>22180</v>
      </c>
      <c r="AG568" s="89" t="s">
        <v>646</v>
      </c>
      <c r="AH568" s="89" t="s">
        <v>646</v>
      </c>
      <c r="AI568" s="89" t="s">
        <v>646</v>
      </c>
      <c r="AJ568" s="89" t="s">
        <v>646</v>
      </c>
      <c r="AK568" s="89" t="s">
        <v>22181</v>
      </c>
      <c r="AL568" s="89" t="s">
        <v>22182</v>
      </c>
      <c r="AM568" s="89" t="s">
        <v>646</v>
      </c>
      <c r="AN568" s="89" t="s">
        <v>646</v>
      </c>
      <c r="AO568" s="89" t="s">
        <v>646</v>
      </c>
      <c r="AP568" s="89" t="s">
        <v>646</v>
      </c>
      <c r="AQ568" s="89" t="s">
        <v>646</v>
      </c>
      <c r="AR568" s="89" t="s">
        <v>646</v>
      </c>
      <c r="AS568" s="89" t="s">
        <v>646</v>
      </c>
      <c r="AT568" s="89" t="s">
        <v>646</v>
      </c>
      <c r="AU568" s="89" t="s">
        <v>646</v>
      </c>
      <c r="AV568" s="89" t="s">
        <v>646</v>
      </c>
      <c r="AW568" s="89" t="s">
        <v>646</v>
      </c>
      <c r="AX568" s="89" t="s">
        <v>646</v>
      </c>
      <c r="AY568" s="89" t="s">
        <v>18367</v>
      </c>
      <c r="AZ568" s="89" t="s">
        <v>18884</v>
      </c>
      <c r="BA568" s="89" t="s">
        <v>22183</v>
      </c>
      <c r="BB568" s="89" t="s">
        <v>646</v>
      </c>
      <c r="BC568" s="89" t="s">
        <v>646</v>
      </c>
      <c r="BD568" s="89" t="s">
        <v>646</v>
      </c>
      <c r="BE568" s="89">
        <v>2013</v>
      </c>
      <c r="BF568" s="89">
        <v>7983</v>
      </c>
      <c r="BG568" s="89" t="s">
        <v>646</v>
      </c>
      <c r="BH568" s="89" t="s">
        <v>646</v>
      </c>
      <c r="BI568" s="89" t="s">
        <v>646</v>
      </c>
      <c r="BJ568" s="89" t="s">
        <v>646</v>
      </c>
      <c r="BK568" s="89" t="s">
        <v>646</v>
      </c>
      <c r="BL568" s="89">
        <v>229</v>
      </c>
      <c r="BM568" s="89">
        <v>239</v>
      </c>
      <c r="BN568" s="89" t="s">
        <v>646</v>
      </c>
      <c r="BO568" s="89" t="s">
        <v>646</v>
      </c>
      <c r="BP568" s="89" t="s">
        <v>646</v>
      </c>
      <c r="BQ568" s="89" t="s">
        <v>646</v>
      </c>
      <c r="BR568" s="89" t="s">
        <v>646</v>
      </c>
      <c r="BS568" s="89" t="s">
        <v>646</v>
      </c>
      <c r="BT568" s="89" t="s">
        <v>646</v>
      </c>
      <c r="BU568" s="89" t="s">
        <v>646</v>
      </c>
      <c r="BV568" s="89" t="s">
        <v>646</v>
      </c>
      <c r="BW568" s="89" t="s">
        <v>646</v>
      </c>
      <c r="BX568" s="89" t="s">
        <v>646</v>
      </c>
      <c r="BY568" s="89" t="s">
        <v>646</v>
      </c>
      <c r="BZ568" s="89" t="s">
        <v>646</v>
      </c>
      <c r="CA568" s="89" t="s">
        <v>646</v>
      </c>
      <c r="CB568" s="89" t="s">
        <v>22184</v>
      </c>
      <c r="CC568" s="89" t="str">
        <f>HYPERLINK("https%3A%2F%2Fwww.webofscience.com%2Fwos%2Fwoscc%2Ffull-record%2FWOS:000342989700019","View Full Record in Web of Science")</f>
        <v>View Full Record in Web of Science</v>
      </c>
    </row>
    <row r="569" spans="1:81" ht="13.2" hidden="1" x14ac:dyDescent="0.25">
      <c r="A569" s="89" t="s">
        <v>13463</v>
      </c>
      <c r="B569" s="89" t="e">
        <f>+#REF!</f>
        <v>#REF!</v>
      </c>
      <c r="C569" s="89"/>
      <c r="D569" s="91" t="s">
        <v>717</v>
      </c>
      <c r="E569" s="90" t="e">
        <v>#REF!</v>
      </c>
      <c r="F569" s="89"/>
      <c r="G569" s="89"/>
      <c r="H569" s="89" t="s">
        <v>13464</v>
      </c>
      <c r="I569" s="89" t="s">
        <v>22185</v>
      </c>
      <c r="J569" s="89" t="s">
        <v>646</v>
      </c>
      <c r="K569" s="89" t="s">
        <v>22187</v>
      </c>
      <c r="M569" s="89">
        <v>2018</v>
      </c>
      <c r="N569" s="89" t="s">
        <v>22186</v>
      </c>
      <c r="O569" s="89" t="s">
        <v>646</v>
      </c>
      <c r="P569" s="89" t="str">
        <f>HYPERLINK("http://dx.doi.org/10.1103/PhysRevPhysEducRes.14.020125","http://dx.doi.org/10.1103/PhysRevPhysEducRes.14.020125")</f>
        <v>http://dx.doi.org/10.1103/PhysRevPhysEducRes.14.020125</v>
      </c>
      <c r="S569" s="89" t="s">
        <v>646</v>
      </c>
      <c r="U569" s="89" t="s">
        <v>17462</v>
      </c>
      <c r="W569" s="89" t="s">
        <v>646</v>
      </c>
      <c r="X569" s="89" t="s">
        <v>646</v>
      </c>
      <c r="Y569" s="89" t="s">
        <v>646</v>
      </c>
      <c r="Z569" s="89" t="s">
        <v>646</v>
      </c>
      <c r="AA569" s="89" t="s">
        <v>646</v>
      </c>
      <c r="AB569" s="89" t="s">
        <v>646</v>
      </c>
      <c r="AC569" s="89" t="s">
        <v>646</v>
      </c>
      <c r="AD569" s="89" t="s">
        <v>646</v>
      </c>
      <c r="AE569" s="89" t="s">
        <v>646</v>
      </c>
      <c r="AF569" s="89" t="s">
        <v>22187</v>
      </c>
      <c r="AG569" s="89" t="s">
        <v>646</v>
      </c>
      <c r="AH569" s="89" t="s">
        <v>646</v>
      </c>
      <c r="AI569" s="89" t="s">
        <v>646</v>
      </c>
      <c r="AJ569" s="89" t="s">
        <v>646</v>
      </c>
      <c r="AK569" s="89" t="s">
        <v>646</v>
      </c>
      <c r="AL569" s="89" t="s">
        <v>22188</v>
      </c>
      <c r="AM569" s="89" t="s">
        <v>646</v>
      </c>
      <c r="AN569" s="89" t="s">
        <v>646</v>
      </c>
      <c r="AO569" s="89" t="s">
        <v>646</v>
      </c>
      <c r="AP569" s="89" t="s">
        <v>646</v>
      </c>
      <c r="AQ569" s="89" t="s">
        <v>646</v>
      </c>
      <c r="AR569" s="89" t="s">
        <v>646</v>
      </c>
      <c r="AS569" s="89" t="s">
        <v>646</v>
      </c>
      <c r="AT569" s="89" t="s">
        <v>646</v>
      </c>
      <c r="AU569" s="89" t="s">
        <v>646</v>
      </c>
      <c r="AV569" s="89" t="s">
        <v>646</v>
      </c>
      <c r="AW569" s="89" t="s">
        <v>646</v>
      </c>
      <c r="AX569" s="89" t="s">
        <v>646</v>
      </c>
      <c r="AY569" s="89" t="s">
        <v>22189</v>
      </c>
      <c r="AZ569" s="89" t="s">
        <v>646</v>
      </c>
      <c r="BA569" s="89" t="s">
        <v>646</v>
      </c>
      <c r="BB569" s="89" t="s">
        <v>646</v>
      </c>
      <c r="BC569" s="89" t="s">
        <v>646</v>
      </c>
      <c r="BD569" s="89" t="s">
        <v>22190</v>
      </c>
      <c r="BE569" s="89">
        <v>2018</v>
      </c>
      <c r="BF569" s="89">
        <v>14</v>
      </c>
      <c r="BG569" s="89">
        <v>2</v>
      </c>
      <c r="BH569" s="89" t="s">
        <v>646</v>
      </c>
      <c r="BI569" s="89" t="s">
        <v>646</v>
      </c>
      <c r="BJ569" s="89" t="s">
        <v>646</v>
      </c>
      <c r="BK569" s="89" t="s">
        <v>646</v>
      </c>
      <c r="BL569" s="89" t="s">
        <v>646</v>
      </c>
      <c r="BM569" s="89" t="s">
        <v>646</v>
      </c>
      <c r="BN569" s="89">
        <v>20125</v>
      </c>
      <c r="BO569" s="89" t="str">
        <f>HYPERLINK("http://dx.doi.org/10.1103/PhysRevPhysEducRes.14.020125","http://dx.doi.org/10.1103/PhysRevPhysEducRes.14.020125")</f>
        <v>http://dx.doi.org/10.1103/PhysRevPhysEducRes.14.020125</v>
      </c>
      <c r="BP569" s="89" t="s">
        <v>646</v>
      </c>
      <c r="BQ569" s="89" t="s">
        <v>646</v>
      </c>
      <c r="BR569" s="89" t="s">
        <v>646</v>
      </c>
      <c r="BS569" s="89" t="s">
        <v>646</v>
      </c>
      <c r="BT569" s="89" t="s">
        <v>646</v>
      </c>
      <c r="BU569" s="89" t="s">
        <v>646</v>
      </c>
      <c r="BV569" s="89" t="s">
        <v>646</v>
      </c>
      <c r="BW569" s="89" t="s">
        <v>646</v>
      </c>
      <c r="BX569" s="89" t="s">
        <v>646</v>
      </c>
      <c r="BY569" s="89" t="s">
        <v>646</v>
      </c>
      <c r="BZ569" s="89" t="s">
        <v>646</v>
      </c>
      <c r="CA569" s="89" t="s">
        <v>646</v>
      </c>
      <c r="CB569" s="89" t="s">
        <v>22191</v>
      </c>
      <c r="CC569" s="89" t="str">
        <f>HYPERLINK("https%3A%2F%2Fwww.webofscience.com%2Fwos%2Fwoscc%2Ffull-record%2FWOS:000452963700001","View Full Record in Web of Science")</f>
        <v>View Full Record in Web of Science</v>
      </c>
    </row>
    <row r="570" spans="1:81" ht="13.2" hidden="1" x14ac:dyDescent="0.25">
      <c r="A570" s="89" t="s">
        <v>22192</v>
      </c>
      <c r="B570" s="89" t="e">
        <f>+#REF!</f>
        <v>#REF!</v>
      </c>
      <c r="C570" s="89"/>
      <c r="D570" s="91" t="s">
        <v>717</v>
      </c>
      <c r="E570" s="90" t="e">
        <v>#REF!</v>
      </c>
      <c r="F570" s="89"/>
      <c r="G570" s="89"/>
      <c r="H570" s="89" t="s">
        <v>9769</v>
      </c>
      <c r="I570" s="89" t="s">
        <v>22193</v>
      </c>
      <c r="J570" s="89" t="s">
        <v>22196</v>
      </c>
      <c r="K570" s="89" t="s">
        <v>22195</v>
      </c>
      <c r="M570" s="89">
        <v>2022</v>
      </c>
      <c r="N570" s="89" t="s">
        <v>22194</v>
      </c>
      <c r="O570" s="89" t="s">
        <v>646</v>
      </c>
      <c r="P570" s="89" t="str">
        <f>HYPERLINK("http://dx.doi.org/10.1007/s40519-021-01319-w","http://dx.doi.org/10.1007/s40519-021-01319-w")</f>
        <v>http://dx.doi.org/10.1007/s40519-021-01319-w</v>
      </c>
      <c r="S570" s="89" t="s">
        <v>646</v>
      </c>
      <c r="U570" s="89" t="s">
        <v>17462</v>
      </c>
      <c r="W570" s="89" t="s">
        <v>646</v>
      </c>
      <c r="X570" s="89" t="s">
        <v>646</v>
      </c>
      <c r="Y570" s="89" t="s">
        <v>646</v>
      </c>
      <c r="Z570" s="89" t="s">
        <v>646</v>
      </c>
      <c r="AA570" s="89" t="s">
        <v>646</v>
      </c>
      <c r="AB570" s="89" t="s">
        <v>646</v>
      </c>
      <c r="AC570" s="89" t="s">
        <v>646</v>
      </c>
      <c r="AD570" s="89" t="s">
        <v>646</v>
      </c>
      <c r="AE570" s="89" t="s">
        <v>646</v>
      </c>
      <c r="AF570" s="89" t="s">
        <v>22195</v>
      </c>
      <c r="AG570" s="89" t="s">
        <v>646</v>
      </c>
      <c r="AH570" s="89" t="s">
        <v>646</v>
      </c>
      <c r="AI570" s="89" t="s">
        <v>646</v>
      </c>
      <c r="AJ570" s="89" t="s">
        <v>646</v>
      </c>
      <c r="AK570" s="89" t="s">
        <v>22196</v>
      </c>
      <c r="AL570" s="89" t="s">
        <v>22197</v>
      </c>
      <c r="AM570" s="89" t="s">
        <v>646</v>
      </c>
      <c r="AN570" s="89" t="s">
        <v>646</v>
      </c>
      <c r="AO570" s="89" t="s">
        <v>646</v>
      </c>
      <c r="AP570" s="89" t="s">
        <v>646</v>
      </c>
      <c r="AQ570" s="89" t="s">
        <v>646</v>
      </c>
      <c r="AR570" s="89" t="s">
        <v>646</v>
      </c>
      <c r="AS570" s="89" t="s">
        <v>646</v>
      </c>
      <c r="AT570" s="89" t="s">
        <v>646</v>
      </c>
      <c r="AU570" s="89" t="s">
        <v>646</v>
      </c>
      <c r="AV570" s="89" t="s">
        <v>646</v>
      </c>
      <c r="AW570" s="89" t="s">
        <v>646</v>
      </c>
      <c r="AX570" s="89" t="s">
        <v>646</v>
      </c>
      <c r="AY570" s="89" t="s">
        <v>22198</v>
      </c>
      <c r="AZ570" s="89" t="s">
        <v>22199</v>
      </c>
      <c r="BA570" s="89" t="s">
        <v>646</v>
      </c>
      <c r="BB570" s="89" t="s">
        <v>646</v>
      </c>
      <c r="BC570" s="89" t="s">
        <v>646</v>
      </c>
      <c r="BD570" s="89" t="s">
        <v>17772</v>
      </c>
      <c r="BE570" s="89">
        <v>2022</v>
      </c>
      <c r="BF570" s="89">
        <v>27</v>
      </c>
      <c r="BG570" s="89">
        <v>5</v>
      </c>
      <c r="BH570" s="89" t="s">
        <v>646</v>
      </c>
      <c r="BI570" s="89" t="s">
        <v>646</v>
      </c>
      <c r="BJ570" s="89" t="s">
        <v>646</v>
      </c>
      <c r="BK570" s="89" t="s">
        <v>646</v>
      </c>
      <c r="BL570" s="89">
        <v>1895</v>
      </c>
      <c r="BM570" s="89">
        <v>1901</v>
      </c>
      <c r="BN570" s="89" t="s">
        <v>646</v>
      </c>
      <c r="BO570" s="89" t="str">
        <f>HYPERLINK("http://dx.doi.org/10.1007/s40519-021-01319-w","http://dx.doi.org/10.1007/s40519-021-01319-w")</f>
        <v>http://dx.doi.org/10.1007/s40519-021-01319-w</v>
      </c>
      <c r="BP570" s="89" t="s">
        <v>646</v>
      </c>
      <c r="BQ570" s="89" t="s">
        <v>17616</v>
      </c>
      <c r="BR570" s="89" t="s">
        <v>646</v>
      </c>
      <c r="BS570" s="89" t="s">
        <v>646</v>
      </c>
      <c r="BT570" s="89" t="s">
        <v>646</v>
      </c>
      <c r="BU570" s="89" t="s">
        <v>646</v>
      </c>
      <c r="BV570" s="89" t="s">
        <v>646</v>
      </c>
      <c r="BW570" s="89">
        <v>34727359</v>
      </c>
      <c r="BX570" s="89" t="s">
        <v>646</v>
      </c>
      <c r="BY570" s="89" t="s">
        <v>646</v>
      </c>
      <c r="BZ570" s="89" t="s">
        <v>646</v>
      </c>
      <c r="CA570" s="89" t="s">
        <v>646</v>
      </c>
      <c r="CB570" s="89" t="s">
        <v>22200</v>
      </c>
      <c r="CC570" s="89" t="str">
        <f>HYPERLINK("https%3A%2F%2Fwww.webofscience.com%2Fwos%2Fwoscc%2Ffull-record%2FWOS:000713953700003","View Full Record in Web of Science")</f>
        <v>View Full Record in Web of Science</v>
      </c>
    </row>
    <row r="571" spans="1:81" ht="13.2" hidden="1" x14ac:dyDescent="0.25">
      <c r="A571" s="89" t="s">
        <v>22201</v>
      </c>
      <c r="B571" s="89" t="e">
        <f>+#REF!</f>
        <v>#REF!</v>
      </c>
      <c r="C571" s="89"/>
      <c r="D571" s="91" t="s">
        <v>717</v>
      </c>
      <c r="E571" s="90" t="e">
        <v>#REF!</v>
      </c>
      <c r="F571" s="89"/>
      <c r="G571" s="89"/>
      <c r="H571" s="89" t="s">
        <v>646</v>
      </c>
      <c r="I571" s="89" t="s">
        <v>22203</v>
      </c>
      <c r="J571" s="89" t="s">
        <v>646</v>
      </c>
      <c r="K571" s="89" t="s">
        <v>22209</v>
      </c>
      <c r="M571" s="89">
        <v>2019</v>
      </c>
      <c r="N571" s="89" t="s">
        <v>22204</v>
      </c>
      <c r="O571" s="89" t="s">
        <v>22202</v>
      </c>
      <c r="P571" s="89" t="s">
        <v>646</v>
      </c>
      <c r="S571" s="89" t="s">
        <v>646</v>
      </c>
      <c r="U571" s="89" t="s">
        <v>17474</v>
      </c>
      <c r="W571" s="89" t="s">
        <v>646</v>
      </c>
      <c r="X571" s="89" t="s">
        <v>646</v>
      </c>
      <c r="Y571" s="89" t="s">
        <v>22205</v>
      </c>
      <c r="Z571" s="89" t="s">
        <v>22206</v>
      </c>
      <c r="AA571" s="89" t="s">
        <v>22207</v>
      </c>
      <c r="AB571" s="89" t="s">
        <v>22208</v>
      </c>
      <c r="AC571" s="89" t="s">
        <v>646</v>
      </c>
      <c r="AD571" s="89" t="s">
        <v>646</v>
      </c>
      <c r="AE571" s="89" t="s">
        <v>646</v>
      </c>
      <c r="AF571" s="89" t="s">
        <v>22209</v>
      </c>
      <c r="AG571" s="89" t="s">
        <v>646</v>
      </c>
      <c r="AH571" s="89" t="s">
        <v>646</v>
      </c>
      <c r="AI571" s="89" t="s">
        <v>646</v>
      </c>
      <c r="AJ571" s="89" t="s">
        <v>646</v>
      </c>
      <c r="AK571" s="89" t="s">
        <v>646</v>
      </c>
      <c r="AL571" s="89" t="s">
        <v>646</v>
      </c>
      <c r="AM571" s="89" t="s">
        <v>646</v>
      </c>
      <c r="AN571" s="89" t="s">
        <v>646</v>
      </c>
      <c r="AO571" s="89" t="s">
        <v>646</v>
      </c>
      <c r="AP571" s="89" t="s">
        <v>646</v>
      </c>
      <c r="AQ571" s="89" t="s">
        <v>646</v>
      </c>
      <c r="AR571" s="89" t="s">
        <v>646</v>
      </c>
      <c r="AS571" s="89" t="s">
        <v>646</v>
      </c>
      <c r="AT571" s="89" t="s">
        <v>646</v>
      </c>
      <c r="AU571" s="89" t="s">
        <v>646</v>
      </c>
      <c r="AV571" s="89" t="s">
        <v>646</v>
      </c>
      <c r="AW571" s="89" t="s">
        <v>646</v>
      </c>
      <c r="AX571" s="89" t="s">
        <v>646</v>
      </c>
      <c r="AY571" s="89" t="s">
        <v>646</v>
      </c>
      <c r="AZ571" s="89" t="s">
        <v>646</v>
      </c>
      <c r="BA571" s="89" t="s">
        <v>22210</v>
      </c>
      <c r="BB571" s="89" t="s">
        <v>646</v>
      </c>
      <c r="BC571" s="89" t="s">
        <v>646</v>
      </c>
      <c r="BD571" s="89" t="s">
        <v>646</v>
      </c>
      <c r="BE571" s="89">
        <v>2019</v>
      </c>
      <c r="BF571" s="89" t="s">
        <v>646</v>
      </c>
      <c r="BG571" s="89" t="s">
        <v>646</v>
      </c>
      <c r="BH571" s="89" t="s">
        <v>646</v>
      </c>
      <c r="BI571" s="89" t="s">
        <v>646</v>
      </c>
      <c r="BJ571" s="89" t="s">
        <v>646</v>
      </c>
      <c r="BK571" s="89" t="s">
        <v>646</v>
      </c>
      <c r="BL571" s="89">
        <v>3576</v>
      </c>
      <c r="BM571" s="89">
        <v>3584</v>
      </c>
      <c r="BN571" s="89" t="s">
        <v>646</v>
      </c>
      <c r="BO571" s="89" t="s">
        <v>646</v>
      </c>
      <c r="BP571" s="89" t="s">
        <v>646</v>
      </c>
      <c r="BQ571" s="89" t="s">
        <v>646</v>
      </c>
      <c r="BR571" s="89" t="s">
        <v>646</v>
      </c>
      <c r="BS571" s="89" t="s">
        <v>646</v>
      </c>
      <c r="BT571" s="89" t="s">
        <v>646</v>
      </c>
      <c r="BU571" s="89" t="s">
        <v>646</v>
      </c>
      <c r="BV571" s="89" t="s">
        <v>646</v>
      </c>
      <c r="BW571" s="89" t="s">
        <v>646</v>
      </c>
      <c r="BX571" s="89" t="s">
        <v>646</v>
      </c>
      <c r="BY571" s="89" t="s">
        <v>646</v>
      </c>
      <c r="BZ571" s="89" t="s">
        <v>646</v>
      </c>
      <c r="CA571" s="89" t="s">
        <v>646</v>
      </c>
      <c r="CB571" s="89" t="s">
        <v>22211</v>
      </c>
      <c r="CC571" s="89" t="str">
        <f>HYPERLINK("https%3A%2F%2Fwww.webofscience.com%2Fwos%2Fwoscc%2Ffull-record%2FWOS:000761735103101","View Full Record in Web of Science")</f>
        <v>View Full Record in Web of Science</v>
      </c>
    </row>
    <row r="572" spans="1:81" ht="13.2" hidden="1" x14ac:dyDescent="0.25">
      <c r="A572" s="89" t="s">
        <v>22212</v>
      </c>
      <c r="B572" s="89" t="e">
        <f>+#REF!</f>
        <v>#REF!</v>
      </c>
      <c r="C572" s="89"/>
      <c r="D572" s="91" t="s">
        <v>717</v>
      </c>
      <c r="E572" s="90" t="e">
        <v>#REF!</v>
      </c>
      <c r="F572" s="89"/>
      <c r="G572" s="89"/>
      <c r="H572" s="89" t="s">
        <v>13482</v>
      </c>
      <c r="I572" s="89" t="s">
        <v>22214</v>
      </c>
      <c r="J572" s="89" t="s">
        <v>646</v>
      </c>
      <c r="K572" s="89" t="s">
        <v>22221</v>
      </c>
      <c r="M572" s="89">
        <v>2018</v>
      </c>
      <c r="N572" s="89" t="s">
        <v>22215</v>
      </c>
      <c r="O572" s="89" t="s">
        <v>22213</v>
      </c>
      <c r="P572" s="89" t="str">
        <f>HYPERLINK("http://dx.doi.org/10.1007/978-3-030-01554-1_34","http://dx.doi.org/10.1007/978-3-030-01554-1_34")</f>
        <v>http://dx.doi.org/10.1007/978-3-030-01554-1_34</v>
      </c>
      <c r="S572" s="89" t="s">
        <v>646</v>
      </c>
      <c r="U572" s="89" t="s">
        <v>17474</v>
      </c>
      <c r="W572" s="89" t="s">
        <v>646</v>
      </c>
      <c r="X572" s="89" t="s">
        <v>646</v>
      </c>
      <c r="Y572" s="89" t="s">
        <v>22216</v>
      </c>
      <c r="Z572" s="89" t="s">
        <v>22217</v>
      </c>
      <c r="AA572" s="89" t="s">
        <v>22218</v>
      </c>
      <c r="AB572" s="89" t="s">
        <v>22219</v>
      </c>
      <c r="AC572" s="89" t="s">
        <v>22220</v>
      </c>
      <c r="AD572" s="89" t="s">
        <v>646</v>
      </c>
      <c r="AE572" s="89" t="s">
        <v>646</v>
      </c>
      <c r="AF572" s="89" t="s">
        <v>22221</v>
      </c>
      <c r="AG572" s="89" t="s">
        <v>646</v>
      </c>
      <c r="AH572" s="89" t="s">
        <v>646</v>
      </c>
      <c r="AI572" s="89" t="s">
        <v>646</v>
      </c>
      <c r="AJ572" s="89" t="s">
        <v>646</v>
      </c>
      <c r="AK572" s="89" t="s">
        <v>646</v>
      </c>
      <c r="AL572" s="89" t="s">
        <v>22222</v>
      </c>
      <c r="AM572" s="89" t="s">
        <v>646</v>
      </c>
      <c r="AN572" s="89" t="s">
        <v>646</v>
      </c>
      <c r="AO572" s="89" t="s">
        <v>646</v>
      </c>
      <c r="AP572" s="89" t="s">
        <v>646</v>
      </c>
      <c r="AQ572" s="89" t="s">
        <v>646</v>
      </c>
      <c r="AR572" s="89" t="s">
        <v>646</v>
      </c>
      <c r="AS572" s="89" t="s">
        <v>646</v>
      </c>
      <c r="AT572" s="89" t="s">
        <v>646</v>
      </c>
      <c r="AU572" s="89" t="s">
        <v>646</v>
      </c>
      <c r="AV572" s="89" t="s">
        <v>646</v>
      </c>
      <c r="AW572" s="89" t="s">
        <v>646</v>
      </c>
      <c r="AX572" s="89" t="s">
        <v>646</v>
      </c>
      <c r="AY572" s="89" t="s">
        <v>18367</v>
      </c>
      <c r="AZ572" s="89" t="s">
        <v>18884</v>
      </c>
      <c r="BA572" s="89" t="s">
        <v>22223</v>
      </c>
      <c r="BB572" s="89" t="s">
        <v>646</v>
      </c>
      <c r="BC572" s="89" t="s">
        <v>646</v>
      </c>
      <c r="BD572" s="89" t="s">
        <v>646</v>
      </c>
      <c r="BE572" s="89">
        <v>2018</v>
      </c>
      <c r="BF572" s="89">
        <v>11199</v>
      </c>
      <c r="BG572" s="89" t="s">
        <v>646</v>
      </c>
      <c r="BH572" s="89" t="s">
        <v>646</v>
      </c>
      <c r="BI572" s="89" t="s">
        <v>646</v>
      </c>
      <c r="BJ572" s="89" t="s">
        <v>646</v>
      </c>
      <c r="BK572" s="89" t="s">
        <v>646</v>
      </c>
      <c r="BL572" s="89">
        <v>583</v>
      </c>
      <c r="BM572" s="89">
        <v>602</v>
      </c>
      <c r="BN572" s="89" t="s">
        <v>646</v>
      </c>
      <c r="BO572" s="89" t="str">
        <f>HYPERLINK("http://dx.doi.org/10.1007/978-3-030-01554-1_34","http://dx.doi.org/10.1007/978-3-030-01554-1_34")</f>
        <v>http://dx.doi.org/10.1007/978-3-030-01554-1_34</v>
      </c>
      <c r="BP572" s="89" t="s">
        <v>646</v>
      </c>
      <c r="BQ572" s="89" t="s">
        <v>646</v>
      </c>
      <c r="BR572" s="89" t="s">
        <v>646</v>
      </c>
      <c r="BS572" s="89" t="s">
        <v>646</v>
      </c>
      <c r="BT572" s="89" t="s">
        <v>646</v>
      </c>
      <c r="BU572" s="89" t="s">
        <v>646</v>
      </c>
      <c r="BV572" s="89" t="s">
        <v>646</v>
      </c>
      <c r="BW572" s="89" t="s">
        <v>646</v>
      </c>
      <c r="BX572" s="89" t="s">
        <v>646</v>
      </c>
      <c r="BY572" s="89" t="s">
        <v>646</v>
      </c>
      <c r="BZ572" s="89" t="s">
        <v>646</v>
      </c>
      <c r="CA572" s="89" t="s">
        <v>646</v>
      </c>
      <c r="CB572" s="89" t="s">
        <v>22224</v>
      </c>
      <c r="CC572" s="89" t="str">
        <f>HYPERLINK("https%3A%2F%2Fwww.webofscience.com%2Fwos%2Fwoscc%2Ffull-record%2FWOS:000477971800034","View Full Record in Web of Science")</f>
        <v>View Full Record in Web of Science</v>
      </c>
    </row>
    <row r="573" spans="1:81" ht="13.2" hidden="1" x14ac:dyDescent="0.25">
      <c r="A573" s="89" t="s">
        <v>22225</v>
      </c>
      <c r="B573" s="89" t="e">
        <f>+#REF!</f>
        <v>#REF!</v>
      </c>
      <c r="C573" s="89"/>
      <c r="D573" s="91" t="s">
        <v>717</v>
      </c>
      <c r="E573" s="90" t="e">
        <v>#REF!</v>
      </c>
      <c r="F573" s="89"/>
      <c r="G573" s="89"/>
      <c r="H573" s="89" t="s">
        <v>13490</v>
      </c>
      <c r="I573" s="89" t="s">
        <v>22226</v>
      </c>
      <c r="J573" s="89" t="s">
        <v>22229</v>
      </c>
      <c r="K573" s="89" t="s">
        <v>22228</v>
      </c>
      <c r="M573" s="89">
        <v>2019</v>
      </c>
      <c r="N573" s="89" t="s">
        <v>22227</v>
      </c>
      <c r="O573" s="89" t="s">
        <v>646</v>
      </c>
      <c r="P573" s="89" t="str">
        <f>HYPERLINK("http://dx.doi.org/10.1016/j.amepre.2019.05.015","http://dx.doi.org/10.1016/j.amepre.2019.05.015")</f>
        <v>http://dx.doi.org/10.1016/j.amepre.2019.05.015</v>
      </c>
      <c r="S573" s="89" t="s">
        <v>646</v>
      </c>
      <c r="U573" s="89" t="s">
        <v>17462</v>
      </c>
      <c r="W573" s="89" t="s">
        <v>646</v>
      </c>
      <c r="X573" s="89" t="s">
        <v>646</v>
      </c>
      <c r="Y573" s="89" t="s">
        <v>646</v>
      </c>
      <c r="Z573" s="89" t="s">
        <v>646</v>
      </c>
      <c r="AA573" s="89" t="s">
        <v>646</v>
      </c>
      <c r="AB573" s="89" t="s">
        <v>646</v>
      </c>
      <c r="AC573" s="89" t="s">
        <v>646</v>
      </c>
      <c r="AD573" s="89" t="s">
        <v>646</v>
      </c>
      <c r="AE573" s="89" t="s">
        <v>646</v>
      </c>
      <c r="AF573" s="89" t="s">
        <v>22228</v>
      </c>
      <c r="AG573" s="89" t="s">
        <v>646</v>
      </c>
      <c r="AH573" s="89" t="s">
        <v>646</v>
      </c>
      <c r="AI573" s="89" t="s">
        <v>646</v>
      </c>
      <c r="AJ573" s="89" t="s">
        <v>646</v>
      </c>
      <c r="AK573" s="89" t="s">
        <v>22229</v>
      </c>
      <c r="AL573" s="89" t="s">
        <v>22230</v>
      </c>
      <c r="AM573" s="89" t="s">
        <v>646</v>
      </c>
      <c r="AN573" s="89" t="s">
        <v>646</v>
      </c>
      <c r="AO573" s="89" t="s">
        <v>646</v>
      </c>
      <c r="AP573" s="89" t="s">
        <v>646</v>
      </c>
      <c r="AQ573" s="89" t="s">
        <v>646</v>
      </c>
      <c r="AR573" s="89" t="s">
        <v>646</v>
      </c>
      <c r="AS573" s="89" t="s">
        <v>646</v>
      </c>
      <c r="AT573" s="89" t="s">
        <v>646</v>
      </c>
      <c r="AU573" s="89" t="s">
        <v>646</v>
      </c>
      <c r="AV573" s="89" t="s">
        <v>646</v>
      </c>
      <c r="AW573" s="89" t="s">
        <v>646</v>
      </c>
      <c r="AX573" s="89" t="s">
        <v>646</v>
      </c>
      <c r="AY573" s="89" t="s">
        <v>22231</v>
      </c>
      <c r="AZ573" s="89" t="s">
        <v>22232</v>
      </c>
      <c r="BA573" s="89" t="s">
        <v>646</v>
      </c>
      <c r="BB573" s="89" t="s">
        <v>646</v>
      </c>
      <c r="BC573" s="89" t="s">
        <v>646</v>
      </c>
      <c r="BD573" s="89" t="s">
        <v>17687</v>
      </c>
      <c r="BE573" s="89">
        <v>2019</v>
      </c>
      <c r="BF573" s="89">
        <v>57</v>
      </c>
      <c r="BG573" s="89">
        <v>4</v>
      </c>
      <c r="BH573" s="89" t="s">
        <v>646</v>
      </c>
      <c r="BI573" s="89" t="s">
        <v>646</v>
      </c>
      <c r="BJ573" s="89" t="s">
        <v>646</v>
      </c>
      <c r="BK573" s="89" t="s">
        <v>646</v>
      </c>
      <c r="BL573" s="89" t="s">
        <v>22233</v>
      </c>
      <c r="BM573" s="89" t="s">
        <v>22234</v>
      </c>
      <c r="BN573" s="89" t="s">
        <v>646</v>
      </c>
      <c r="BO573" s="89" t="str">
        <f>HYPERLINK("http://dx.doi.org/10.1016/j.amepre.2019.05.015","http://dx.doi.org/10.1016/j.amepre.2019.05.015")</f>
        <v>http://dx.doi.org/10.1016/j.amepre.2019.05.015</v>
      </c>
      <c r="BP573" s="89" t="s">
        <v>646</v>
      </c>
      <c r="BQ573" s="89" t="s">
        <v>646</v>
      </c>
      <c r="BR573" s="89" t="s">
        <v>646</v>
      </c>
      <c r="BS573" s="89" t="s">
        <v>646</v>
      </c>
      <c r="BT573" s="89" t="s">
        <v>646</v>
      </c>
      <c r="BU573" s="89" t="s">
        <v>646</v>
      </c>
      <c r="BV573" s="89" t="s">
        <v>646</v>
      </c>
      <c r="BW573" s="89">
        <v>31542145</v>
      </c>
      <c r="BX573" s="89" t="s">
        <v>646</v>
      </c>
      <c r="BY573" s="89" t="s">
        <v>646</v>
      </c>
      <c r="BZ573" s="89" t="s">
        <v>646</v>
      </c>
      <c r="CA573" s="89" t="s">
        <v>646</v>
      </c>
      <c r="CB573" s="89" t="s">
        <v>22235</v>
      </c>
      <c r="CC573" s="89" t="str">
        <f>HYPERLINK("https%3A%2F%2Fwww.webofscience.com%2Fwos%2Fwoscc%2Ffull-record%2FWOS:000486388900005","View Full Record in Web of Science")</f>
        <v>View Full Record in Web of Science</v>
      </c>
    </row>
    <row r="574" spans="1:81" ht="13.2" hidden="1" x14ac:dyDescent="0.25">
      <c r="A574" s="89" t="s">
        <v>9786</v>
      </c>
      <c r="B574" s="89" t="e">
        <f>+#REF!</f>
        <v>#REF!</v>
      </c>
      <c r="C574" s="89"/>
      <c r="D574" s="91" t="s">
        <v>717</v>
      </c>
      <c r="E574" s="90" t="e">
        <v>#REF!</v>
      </c>
      <c r="F574" s="89"/>
      <c r="G574" s="89"/>
      <c r="H574" s="89" t="s">
        <v>9787</v>
      </c>
      <c r="I574" s="89" t="s">
        <v>22236</v>
      </c>
      <c r="J574" s="89" t="s">
        <v>646</v>
      </c>
      <c r="K574" s="89" t="s">
        <v>22238</v>
      </c>
      <c r="M574" s="89">
        <v>2022</v>
      </c>
      <c r="N574" s="89" t="s">
        <v>22237</v>
      </c>
      <c r="O574" s="89" t="s">
        <v>646</v>
      </c>
      <c r="P574" s="89" t="str">
        <f>HYPERLINK("http://dx.doi.org/10.1007/s10479-022-04624-4","http://dx.doi.org/10.1007/s10479-022-04624-4")</f>
        <v>http://dx.doi.org/10.1007/s10479-022-04624-4</v>
      </c>
      <c r="S574" s="89" t="s">
        <v>646</v>
      </c>
      <c r="U574" s="89" t="s">
        <v>17462</v>
      </c>
      <c r="W574" s="89" t="s">
        <v>646</v>
      </c>
      <c r="X574" s="89" t="s">
        <v>646</v>
      </c>
      <c r="Y574" s="89" t="s">
        <v>646</v>
      </c>
      <c r="Z574" s="89" t="s">
        <v>646</v>
      </c>
      <c r="AA574" s="89" t="s">
        <v>646</v>
      </c>
      <c r="AB574" s="89" t="s">
        <v>646</v>
      </c>
      <c r="AC574" s="89" t="s">
        <v>646</v>
      </c>
      <c r="AD574" s="89" t="s">
        <v>646</v>
      </c>
      <c r="AE574" s="89" t="s">
        <v>646</v>
      </c>
      <c r="AF574" s="89" t="s">
        <v>22238</v>
      </c>
      <c r="AG574" s="89" t="s">
        <v>646</v>
      </c>
      <c r="AH574" s="89" t="s">
        <v>646</v>
      </c>
      <c r="AI574" s="89" t="s">
        <v>646</v>
      </c>
      <c r="AJ574" s="89" t="s">
        <v>646</v>
      </c>
      <c r="AK574" s="89" t="s">
        <v>646</v>
      </c>
      <c r="AL574" s="89" t="s">
        <v>646</v>
      </c>
      <c r="AM574" s="89" t="s">
        <v>646</v>
      </c>
      <c r="AN574" s="89" t="s">
        <v>646</v>
      </c>
      <c r="AO574" s="89" t="s">
        <v>646</v>
      </c>
      <c r="AP574" s="89" t="s">
        <v>646</v>
      </c>
      <c r="AQ574" s="89" t="s">
        <v>646</v>
      </c>
      <c r="AR574" s="89" t="s">
        <v>646</v>
      </c>
      <c r="AS574" s="89" t="s">
        <v>646</v>
      </c>
      <c r="AT574" s="89" t="s">
        <v>646</v>
      </c>
      <c r="AU574" s="89" t="s">
        <v>646</v>
      </c>
      <c r="AV574" s="89" t="s">
        <v>646</v>
      </c>
      <c r="AW574" s="89" t="s">
        <v>646</v>
      </c>
      <c r="AX574" s="89" t="s">
        <v>646</v>
      </c>
      <c r="AY574" s="89" t="s">
        <v>22239</v>
      </c>
      <c r="AZ574" s="89" t="s">
        <v>22240</v>
      </c>
      <c r="BA574" s="89" t="s">
        <v>646</v>
      </c>
      <c r="BB574" s="89" t="s">
        <v>646</v>
      </c>
      <c r="BC574" s="89" t="s">
        <v>646</v>
      </c>
      <c r="BD574" s="89" t="s">
        <v>18436</v>
      </c>
      <c r="BE574" s="89">
        <v>2022</v>
      </c>
      <c r="BF574" s="89">
        <v>312</v>
      </c>
      <c r="BG574" s="89">
        <v>2</v>
      </c>
      <c r="BH574" s="89" t="s">
        <v>646</v>
      </c>
      <c r="BI574" s="89" t="s">
        <v>646</v>
      </c>
      <c r="BJ574" s="89" t="s">
        <v>17555</v>
      </c>
      <c r="BK574" s="89" t="s">
        <v>646</v>
      </c>
      <c r="BL574" s="89">
        <v>1095</v>
      </c>
      <c r="BM574" s="89">
        <v>1118</v>
      </c>
      <c r="BN574" s="89" t="s">
        <v>646</v>
      </c>
      <c r="BO574" s="89" t="str">
        <f>HYPERLINK("http://dx.doi.org/10.1007/s10479-022-04624-4","http://dx.doi.org/10.1007/s10479-022-04624-4")</f>
        <v>http://dx.doi.org/10.1007/s10479-022-04624-4</v>
      </c>
      <c r="BP574" s="89" t="s">
        <v>646</v>
      </c>
      <c r="BQ574" s="89" t="s">
        <v>21844</v>
      </c>
      <c r="BR574" s="89" t="s">
        <v>646</v>
      </c>
      <c r="BS574" s="89" t="s">
        <v>646</v>
      </c>
      <c r="BT574" s="89" t="s">
        <v>646</v>
      </c>
      <c r="BU574" s="89" t="s">
        <v>646</v>
      </c>
      <c r="BV574" s="89" t="s">
        <v>646</v>
      </c>
      <c r="BW574" s="89" t="s">
        <v>646</v>
      </c>
      <c r="BX574" s="89" t="s">
        <v>646</v>
      </c>
      <c r="BY574" s="89" t="s">
        <v>646</v>
      </c>
      <c r="BZ574" s="89" t="s">
        <v>646</v>
      </c>
      <c r="CA574" s="89" t="s">
        <v>646</v>
      </c>
      <c r="CB574" s="89" t="s">
        <v>22241</v>
      </c>
      <c r="CC574" s="89" t="str">
        <f>HYPERLINK("https%3A%2F%2Fwww.webofscience.com%2Fwos%2Fwoscc%2Ffull-record%2FWOS:000772356900003","View Full Record in Web of Science")</f>
        <v>View Full Record in Web of Science</v>
      </c>
    </row>
    <row r="575" spans="1:81" ht="13.2" hidden="1" x14ac:dyDescent="0.25">
      <c r="A575" s="89" t="s">
        <v>13498</v>
      </c>
      <c r="B575" s="89" t="e">
        <f>+#REF!</f>
        <v>#REF!</v>
      </c>
      <c r="C575" s="89"/>
      <c r="D575" s="91" t="s">
        <v>717</v>
      </c>
      <c r="E575" s="90" t="e">
        <v>#REF!</v>
      </c>
      <c r="F575" s="89"/>
      <c r="G575" s="89"/>
      <c r="H575" s="89" t="s">
        <v>13499</v>
      </c>
      <c r="I575" s="89" t="s">
        <v>22242</v>
      </c>
      <c r="J575" s="89" t="s">
        <v>646</v>
      </c>
      <c r="K575" s="89" t="s">
        <v>22244</v>
      </c>
      <c r="M575" s="89">
        <v>2016</v>
      </c>
      <c r="N575" s="89" t="s">
        <v>22243</v>
      </c>
      <c r="O575" s="89" t="s">
        <v>646</v>
      </c>
      <c r="P575" s="89" t="str">
        <f>HYPERLINK("http://dx.doi.org/10.1080/01621459.2015.1051182","http://dx.doi.org/10.1080/01621459.2015.1051182")</f>
        <v>http://dx.doi.org/10.1080/01621459.2015.1051182</v>
      </c>
      <c r="S575" s="89" t="s">
        <v>646</v>
      </c>
      <c r="U575" s="89" t="s">
        <v>17462</v>
      </c>
      <c r="W575" s="89" t="s">
        <v>646</v>
      </c>
      <c r="X575" s="89" t="s">
        <v>646</v>
      </c>
      <c r="Y575" s="89" t="s">
        <v>646</v>
      </c>
      <c r="Z575" s="89" t="s">
        <v>646</v>
      </c>
      <c r="AA575" s="89" t="s">
        <v>646</v>
      </c>
      <c r="AB575" s="89" t="s">
        <v>646</v>
      </c>
      <c r="AC575" s="89" t="s">
        <v>646</v>
      </c>
      <c r="AD575" s="89" t="s">
        <v>646</v>
      </c>
      <c r="AE575" s="89" t="s">
        <v>646</v>
      </c>
      <c r="AF575" s="89" t="s">
        <v>22244</v>
      </c>
      <c r="AG575" s="89" t="s">
        <v>646</v>
      </c>
      <c r="AH575" s="89" t="s">
        <v>646</v>
      </c>
      <c r="AI575" s="89" t="s">
        <v>646</v>
      </c>
      <c r="AJ575" s="89" t="s">
        <v>646</v>
      </c>
      <c r="AK575" s="89" t="s">
        <v>646</v>
      </c>
      <c r="AL575" s="89" t="s">
        <v>646</v>
      </c>
      <c r="AM575" s="89" t="s">
        <v>646</v>
      </c>
      <c r="AN575" s="89" t="s">
        <v>646</v>
      </c>
      <c r="AO575" s="89" t="s">
        <v>646</v>
      </c>
      <c r="AP575" s="89" t="s">
        <v>646</v>
      </c>
      <c r="AQ575" s="89" t="s">
        <v>646</v>
      </c>
      <c r="AR575" s="89" t="s">
        <v>646</v>
      </c>
      <c r="AS575" s="89" t="s">
        <v>646</v>
      </c>
      <c r="AT575" s="89" t="s">
        <v>646</v>
      </c>
      <c r="AU575" s="89" t="s">
        <v>646</v>
      </c>
      <c r="AV575" s="89" t="s">
        <v>646</v>
      </c>
      <c r="AW575" s="89" t="s">
        <v>646</v>
      </c>
      <c r="AX575" s="89" t="s">
        <v>646</v>
      </c>
      <c r="AY575" s="89" t="s">
        <v>22245</v>
      </c>
      <c r="AZ575" s="89" t="s">
        <v>22246</v>
      </c>
      <c r="BA575" s="89" t="s">
        <v>646</v>
      </c>
      <c r="BB575" s="89" t="s">
        <v>646</v>
      </c>
      <c r="BC575" s="89" t="s">
        <v>646</v>
      </c>
      <c r="BD575" s="89" t="s">
        <v>17615</v>
      </c>
      <c r="BE575" s="89">
        <v>2016</v>
      </c>
      <c r="BF575" s="89">
        <v>111</v>
      </c>
      <c r="BG575" s="89">
        <v>516</v>
      </c>
      <c r="BH575" s="89" t="s">
        <v>646</v>
      </c>
      <c r="BI575" s="89" t="s">
        <v>646</v>
      </c>
      <c r="BJ575" s="89" t="s">
        <v>646</v>
      </c>
      <c r="BK575" s="89" t="s">
        <v>646</v>
      </c>
      <c r="BL575" s="89">
        <v>1381</v>
      </c>
      <c r="BM575" s="89">
        <v>1403</v>
      </c>
      <c r="BN575" s="89" t="s">
        <v>646</v>
      </c>
      <c r="BO575" s="89" t="str">
        <f>HYPERLINK("http://dx.doi.org/10.1080/01621459.2015.1051182","http://dx.doi.org/10.1080/01621459.2015.1051182")</f>
        <v>http://dx.doi.org/10.1080/01621459.2015.1051182</v>
      </c>
      <c r="BP575" s="89" t="s">
        <v>646</v>
      </c>
      <c r="BQ575" s="89" t="s">
        <v>646</v>
      </c>
      <c r="BR575" s="89" t="s">
        <v>646</v>
      </c>
      <c r="BS575" s="89" t="s">
        <v>646</v>
      </c>
      <c r="BT575" s="89" t="s">
        <v>646</v>
      </c>
      <c r="BU575" s="89" t="s">
        <v>646</v>
      </c>
      <c r="BV575" s="89" t="s">
        <v>646</v>
      </c>
      <c r="BW575" s="89" t="s">
        <v>646</v>
      </c>
      <c r="BX575" s="89" t="s">
        <v>646</v>
      </c>
      <c r="BY575" s="89" t="s">
        <v>646</v>
      </c>
      <c r="BZ575" s="89" t="s">
        <v>646</v>
      </c>
      <c r="CA575" s="89" t="s">
        <v>646</v>
      </c>
      <c r="CB575" s="89" t="s">
        <v>22247</v>
      </c>
      <c r="CC575" s="89" t="str">
        <f>HYPERLINK("https%3A%2F%2Fwww.webofscience.com%2Fwos%2Fwoscc%2Ffull-record%2FWOS:000391900700002","View Full Record in Web of Science")</f>
        <v>View Full Record in Web of Science</v>
      </c>
    </row>
    <row r="576" spans="1:81" ht="13.2" hidden="1" x14ac:dyDescent="0.25">
      <c r="A576" s="89" t="s">
        <v>22248</v>
      </c>
      <c r="B576" s="89" t="e">
        <f>+#REF!</f>
        <v>#REF!</v>
      </c>
      <c r="C576" s="89"/>
      <c r="D576" s="91" t="s">
        <v>717</v>
      </c>
      <c r="E576" s="90" t="e">
        <v>#REF!</v>
      </c>
      <c r="F576" s="89"/>
      <c r="G576" s="89"/>
      <c r="H576" s="89" t="s">
        <v>13509</v>
      </c>
      <c r="I576" s="89" t="s">
        <v>22249</v>
      </c>
      <c r="J576" s="89" t="s">
        <v>646</v>
      </c>
      <c r="K576" s="89" t="s">
        <v>22250</v>
      </c>
      <c r="M576" s="89">
        <v>2019</v>
      </c>
      <c r="N576" s="89" t="s">
        <v>19023</v>
      </c>
      <c r="O576" s="89" t="s">
        <v>646</v>
      </c>
      <c r="P576" s="89" t="str">
        <f>HYPERLINK("http://dx.doi.org/10.2196/10793","http://dx.doi.org/10.2196/10793")</f>
        <v>http://dx.doi.org/10.2196/10793</v>
      </c>
      <c r="S576" s="89" t="s">
        <v>646</v>
      </c>
      <c r="U576" s="89" t="s">
        <v>17462</v>
      </c>
      <c r="W576" s="89" t="s">
        <v>646</v>
      </c>
      <c r="X576" s="89" t="s">
        <v>646</v>
      </c>
      <c r="Y576" s="89" t="s">
        <v>646</v>
      </c>
      <c r="Z576" s="89" t="s">
        <v>646</v>
      </c>
      <c r="AA576" s="89" t="s">
        <v>646</v>
      </c>
      <c r="AB576" s="89" t="s">
        <v>646</v>
      </c>
      <c r="AC576" s="89" t="s">
        <v>646</v>
      </c>
      <c r="AD576" s="89" t="s">
        <v>646</v>
      </c>
      <c r="AE576" s="89" t="s">
        <v>646</v>
      </c>
      <c r="AF576" s="89" t="s">
        <v>22250</v>
      </c>
      <c r="AG576" s="89" t="s">
        <v>646</v>
      </c>
      <c r="AH576" s="89" t="s">
        <v>646</v>
      </c>
      <c r="AI576" s="89" t="s">
        <v>646</v>
      </c>
      <c r="AJ576" s="89" t="s">
        <v>646</v>
      </c>
      <c r="AK576" s="89" t="s">
        <v>646</v>
      </c>
      <c r="AL576" s="89" t="s">
        <v>22251</v>
      </c>
      <c r="AM576" s="89" t="s">
        <v>646</v>
      </c>
      <c r="AN576" s="89" t="s">
        <v>646</v>
      </c>
      <c r="AO576" s="89" t="s">
        <v>646</v>
      </c>
      <c r="AP576" s="89" t="s">
        <v>646</v>
      </c>
      <c r="AQ576" s="89" t="s">
        <v>646</v>
      </c>
      <c r="AR576" s="89" t="s">
        <v>646</v>
      </c>
      <c r="AS576" s="89" t="s">
        <v>646</v>
      </c>
      <c r="AT576" s="89" t="s">
        <v>646</v>
      </c>
      <c r="AU576" s="89" t="s">
        <v>646</v>
      </c>
      <c r="AV576" s="89" t="s">
        <v>646</v>
      </c>
      <c r="AW576" s="89" t="s">
        <v>646</v>
      </c>
      <c r="AX576" s="89" t="s">
        <v>646</v>
      </c>
      <c r="AY576" s="89" t="s">
        <v>19026</v>
      </c>
      <c r="AZ576" s="89" t="s">
        <v>646</v>
      </c>
      <c r="BA576" s="89" t="s">
        <v>646</v>
      </c>
      <c r="BB576" s="89" t="s">
        <v>646</v>
      </c>
      <c r="BC576" s="89" t="s">
        <v>646</v>
      </c>
      <c r="BD576" s="89" t="s">
        <v>22252</v>
      </c>
      <c r="BE576" s="89">
        <v>2019</v>
      </c>
      <c r="BF576" s="89">
        <v>21</v>
      </c>
      <c r="BG576" s="89">
        <v>1</v>
      </c>
      <c r="BH576" s="89" t="s">
        <v>646</v>
      </c>
      <c r="BI576" s="89" t="s">
        <v>646</v>
      </c>
      <c r="BJ576" s="89" t="s">
        <v>646</v>
      </c>
      <c r="BK576" s="89" t="s">
        <v>646</v>
      </c>
      <c r="BL576" s="89" t="s">
        <v>646</v>
      </c>
      <c r="BM576" s="89" t="s">
        <v>646</v>
      </c>
      <c r="BN576" s="89" t="s">
        <v>22253</v>
      </c>
      <c r="BO576" s="89" t="str">
        <f>HYPERLINK("http://dx.doi.org/10.2196/10793","http://dx.doi.org/10.2196/10793")</f>
        <v>http://dx.doi.org/10.2196/10793</v>
      </c>
      <c r="BP576" s="89" t="s">
        <v>646</v>
      </c>
      <c r="BQ576" s="89" t="s">
        <v>646</v>
      </c>
      <c r="BR576" s="89" t="s">
        <v>646</v>
      </c>
      <c r="BS576" s="89" t="s">
        <v>646</v>
      </c>
      <c r="BT576" s="89" t="s">
        <v>646</v>
      </c>
      <c r="BU576" s="89" t="s">
        <v>646</v>
      </c>
      <c r="BV576" s="89" t="s">
        <v>646</v>
      </c>
      <c r="BW576" s="89">
        <v>30664453</v>
      </c>
      <c r="BX576" s="89" t="s">
        <v>646</v>
      </c>
      <c r="BY576" s="89" t="s">
        <v>646</v>
      </c>
      <c r="BZ576" s="89" t="s">
        <v>646</v>
      </c>
      <c r="CA576" s="89" t="s">
        <v>646</v>
      </c>
      <c r="CB576" s="89" t="s">
        <v>22254</v>
      </c>
      <c r="CC576" s="89" t="str">
        <f>HYPERLINK("https%3A%2F%2Fwww.webofscience.com%2Fwos%2Fwoscc%2Ffull-record%2FWOS:000456630700001","View Full Record in Web of Science")</f>
        <v>View Full Record in Web of Science</v>
      </c>
    </row>
    <row r="577" spans="1:81" ht="13.2" hidden="1" x14ac:dyDescent="0.25">
      <c r="A577" s="89" t="s">
        <v>22255</v>
      </c>
      <c r="B577" s="89" t="e">
        <f>+#REF!</f>
        <v>#REF!</v>
      </c>
      <c r="C577" s="89"/>
      <c r="D577" s="91" t="s">
        <v>717</v>
      </c>
      <c r="E577" s="90" t="e">
        <v>#REF!</v>
      </c>
      <c r="F577" s="89"/>
      <c r="G577" s="89"/>
      <c r="H577" s="89" t="s">
        <v>646</v>
      </c>
      <c r="I577" s="89" t="s">
        <v>22257</v>
      </c>
      <c r="J577" s="89" t="s">
        <v>646</v>
      </c>
      <c r="K577" s="89" t="s">
        <v>22262</v>
      </c>
      <c r="M577" s="89">
        <v>2015</v>
      </c>
      <c r="N577" s="89" t="s">
        <v>22258</v>
      </c>
      <c r="O577" s="89" t="s">
        <v>22256</v>
      </c>
      <c r="P577" s="89" t="s">
        <v>646</v>
      </c>
      <c r="S577" s="89" t="s">
        <v>646</v>
      </c>
      <c r="U577" s="89" t="s">
        <v>17474</v>
      </c>
      <c r="W577" s="89" t="s">
        <v>646</v>
      </c>
      <c r="X577" s="89" t="s">
        <v>646</v>
      </c>
      <c r="Y577" s="89" t="s">
        <v>22259</v>
      </c>
      <c r="Z577" s="89" t="s">
        <v>22260</v>
      </c>
      <c r="AA577" s="89" t="s">
        <v>18278</v>
      </c>
      <c r="AB577" s="89" t="s">
        <v>22261</v>
      </c>
      <c r="AC577" s="89" t="s">
        <v>646</v>
      </c>
      <c r="AD577" s="89" t="s">
        <v>646</v>
      </c>
      <c r="AE577" s="89" t="s">
        <v>646</v>
      </c>
      <c r="AF577" s="89" t="s">
        <v>22262</v>
      </c>
      <c r="AG577" s="89" t="s">
        <v>646</v>
      </c>
      <c r="AH577" s="89" t="s">
        <v>646</v>
      </c>
      <c r="AI577" s="89" t="s">
        <v>646</v>
      </c>
      <c r="AJ577" s="89" t="s">
        <v>646</v>
      </c>
      <c r="AK577" s="89" t="s">
        <v>646</v>
      </c>
      <c r="AL577" s="89" t="s">
        <v>22263</v>
      </c>
      <c r="AM577" s="89" t="s">
        <v>646</v>
      </c>
      <c r="AN577" s="89" t="s">
        <v>646</v>
      </c>
      <c r="AO577" s="89" t="s">
        <v>646</v>
      </c>
      <c r="AP577" s="89" t="s">
        <v>646</v>
      </c>
      <c r="AQ577" s="89" t="s">
        <v>646</v>
      </c>
      <c r="AR577" s="89" t="s">
        <v>646</v>
      </c>
      <c r="AS577" s="89" t="s">
        <v>646</v>
      </c>
      <c r="AT577" s="89" t="s">
        <v>646</v>
      </c>
      <c r="AU577" s="89" t="s">
        <v>646</v>
      </c>
      <c r="AV577" s="89" t="s">
        <v>646</v>
      </c>
      <c r="AW577" s="89" t="s">
        <v>646</v>
      </c>
      <c r="AX577" s="89" t="s">
        <v>646</v>
      </c>
      <c r="AY577" s="89" t="s">
        <v>646</v>
      </c>
      <c r="AZ577" s="89" t="s">
        <v>646</v>
      </c>
      <c r="BA577" s="89" t="s">
        <v>22264</v>
      </c>
      <c r="BB577" s="89" t="s">
        <v>646</v>
      </c>
      <c r="BC577" s="89" t="s">
        <v>646</v>
      </c>
      <c r="BD577" s="89" t="s">
        <v>646</v>
      </c>
      <c r="BE577" s="89">
        <v>2015</v>
      </c>
      <c r="BF577" s="89" t="s">
        <v>646</v>
      </c>
      <c r="BG577" s="89" t="s">
        <v>646</v>
      </c>
      <c r="BH577" s="89" t="s">
        <v>646</v>
      </c>
      <c r="BI577" s="89" t="s">
        <v>646</v>
      </c>
      <c r="BJ577" s="89" t="s">
        <v>646</v>
      </c>
      <c r="BK577" s="89" t="s">
        <v>646</v>
      </c>
      <c r="BL577" s="89">
        <v>1064</v>
      </c>
      <c r="BM577" s="89">
        <v>1073</v>
      </c>
      <c r="BN577" s="89" t="s">
        <v>646</v>
      </c>
      <c r="BO577" s="89" t="s">
        <v>646</v>
      </c>
      <c r="BP577" s="89" t="s">
        <v>646</v>
      </c>
      <c r="BQ577" s="89" t="s">
        <v>646</v>
      </c>
      <c r="BR577" s="89" t="s">
        <v>646</v>
      </c>
      <c r="BS577" s="89" t="s">
        <v>646</v>
      </c>
      <c r="BT577" s="89" t="s">
        <v>646</v>
      </c>
      <c r="BU577" s="89" t="s">
        <v>646</v>
      </c>
      <c r="BV577" s="89" t="s">
        <v>646</v>
      </c>
      <c r="BW577" s="89" t="s">
        <v>646</v>
      </c>
      <c r="BX577" s="89" t="s">
        <v>646</v>
      </c>
      <c r="BY577" s="89" t="s">
        <v>646</v>
      </c>
      <c r="BZ577" s="89" t="s">
        <v>646</v>
      </c>
      <c r="CA577" s="89" t="s">
        <v>646</v>
      </c>
      <c r="CB577" s="89" t="s">
        <v>22265</v>
      </c>
      <c r="CC577" s="89" t="str">
        <f>HYPERLINK("https%3A%2F%2Fwww.webofscience.com%2Fwos%2Fwoscc%2Ffull-record%2FWOS:000493808900103","View Full Record in Web of Science")</f>
        <v>View Full Record in Web of Science</v>
      </c>
    </row>
    <row r="578" spans="1:81" ht="13.2" hidden="1" x14ac:dyDescent="0.25">
      <c r="A578" s="89" t="s">
        <v>22266</v>
      </c>
      <c r="B578" s="89" t="e">
        <f>+#REF!</f>
        <v>#REF!</v>
      </c>
      <c r="C578" s="89"/>
      <c r="D578" s="91" t="s">
        <v>717</v>
      </c>
      <c r="E578" s="90" t="e">
        <v>#REF!</v>
      </c>
      <c r="F578" s="89"/>
      <c r="G578" s="89"/>
      <c r="H578" s="89" t="s">
        <v>13527</v>
      </c>
      <c r="I578" s="89" t="s">
        <v>22267</v>
      </c>
      <c r="J578" s="89" t="s">
        <v>646</v>
      </c>
      <c r="K578" s="89" t="s">
        <v>22268</v>
      </c>
      <c r="M578" s="89">
        <v>2017</v>
      </c>
      <c r="N578" s="89" t="s">
        <v>22227</v>
      </c>
      <c r="O578" s="89" t="s">
        <v>646</v>
      </c>
      <c r="P578" s="89" t="str">
        <f>HYPERLINK("http://dx.doi.org/10.1016/j.amepre.2016.07.024","http://dx.doi.org/10.1016/j.amepre.2016.07.024")</f>
        <v>http://dx.doi.org/10.1016/j.amepre.2016.07.024</v>
      </c>
      <c r="S578" s="89" t="s">
        <v>646</v>
      </c>
      <c r="U578" s="89" t="s">
        <v>17462</v>
      </c>
      <c r="W578" s="89" t="s">
        <v>646</v>
      </c>
      <c r="X578" s="89" t="s">
        <v>646</v>
      </c>
      <c r="Y578" s="89" t="s">
        <v>646</v>
      </c>
      <c r="Z578" s="89" t="s">
        <v>646</v>
      </c>
      <c r="AA578" s="89" t="s">
        <v>646</v>
      </c>
      <c r="AB578" s="89" t="s">
        <v>646</v>
      </c>
      <c r="AC578" s="89" t="s">
        <v>646</v>
      </c>
      <c r="AD578" s="89" t="s">
        <v>646</v>
      </c>
      <c r="AE578" s="89" t="s">
        <v>646</v>
      </c>
      <c r="AF578" s="89" t="s">
        <v>22268</v>
      </c>
      <c r="AG578" s="89" t="s">
        <v>646</v>
      </c>
      <c r="AH578" s="89" t="s">
        <v>646</v>
      </c>
      <c r="AI578" s="89" t="s">
        <v>646</v>
      </c>
      <c r="AJ578" s="89" t="s">
        <v>646</v>
      </c>
      <c r="AK578" s="89" t="s">
        <v>646</v>
      </c>
      <c r="AL578" s="89" t="s">
        <v>646</v>
      </c>
      <c r="AM578" s="89" t="s">
        <v>646</v>
      </c>
      <c r="AN578" s="89" t="s">
        <v>646</v>
      </c>
      <c r="AO578" s="89" t="s">
        <v>646</v>
      </c>
      <c r="AP578" s="89" t="s">
        <v>646</v>
      </c>
      <c r="AQ578" s="89" t="s">
        <v>646</v>
      </c>
      <c r="AR578" s="89" t="s">
        <v>646</v>
      </c>
      <c r="AS578" s="89" t="s">
        <v>646</v>
      </c>
      <c r="AT578" s="89" t="s">
        <v>646</v>
      </c>
      <c r="AU578" s="89" t="s">
        <v>646</v>
      </c>
      <c r="AV578" s="89" t="s">
        <v>646</v>
      </c>
      <c r="AW578" s="89" t="s">
        <v>646</v>
      </c>
      <c r="AX578" s="89" t="s">
        <v>646</v>
      </c>
      <c r="AY578" s="89" t="s">
        <v>22231</v>
      </c>
      <c r="AZ578" s="89" t="s">
        <v>22232</v>
      </c>
      <c r="BA578" s="89" t="s">
        <v>646</v>
      </c>
      <c r="BB578" s="89" t="s">
        <v>646</v>
      </c>
      <c r="BC578" s="89" t="s">
        <v>646</v>
      </c>
      <c r="BD578" s="89" t="s">
        <v>17658</v>
      </c>
      <c r="BE578" s="89">
        <v>2017</v>
      </c>
      <c r="BF578" s="89">
        <v>52</v>
      </c>
      <c r="BG578" s="89">
        <v>2</v>
      </c>
      <c r="BH578" s="89" t="s">
        <v>646</v>
      </c>
      <c r="BI578" s="89">
        <v>2</v>
      </c>
      <c r="BJ578" s="89" t="s">
        <v>646</v>
      </c>
      <c r="BK578" s="89" t="s">
        <v>646</v>
      </c>
      <c r="BL578" s="89" t="s">
        <v>22269</v>
      </c>
      <c r="BM578" s="89" t="s">
        <v>22270</v>
      </c>
      <c r="BN578" s="89" t="s">
        <v>646</v>
      </c>
      <c r="BO578" s="89" t="str">
        <f>HYPERLINK("http://dx.doi.org/10.1016/j.amepre.2016.07.024","http://dx.doi.org/10.1016/j.amepre.2016.07.024")</f>
        <v>http://dx.doi.org/10.1016/j.amepre.2016.07.024</v>
      </c>
      <c r="BP578" s="89" t="s">
        <v>646</v>
      </c>
      <c r="BQ578" s="89" t="s">
        <v>646</v>
      </c>
      <c r="BR578" s="89" t="s">
        <v>646</v>
      </c>
      <c r="BS578" s="89" t="s">
        <v>646</v>
      </c>
      <c r="BT578" s="89" t="s">
        <v>646</v>
      </c>
      <c r="BU578" s="89" t="s">
        <v>646</v>
      </c>
      <c r="BV578" s="89" t="s">
        <v>646</v>
      </c>
      <c r="BW578" s="89">
        <v>28109422</v>
      </c>
      <c r="BX578" s="89" t="s">
        <v>646</v>
      </c>
      <c r="BY578" s="89" t="s">
        <v>646</v>
      </c>
      <c r="BZ578" s="89" t="s">
        <v>646</v>
      </c>
      <c r="CA578" s="89" t="s">
        <v>646</v>
      </c>
      <c r="CB578" s="89" t="s">
        <v>22271</v>
      </c>
      <c r="CC578" s="89" t="str">
        <f>HYPERLINK("https%3A%2F%2Fwww.webofscience.com%2Fwos%2Fwoscc%2Ffull-record%2FWOS:000396996100013","View Full Record in Web of Science")</f>
        <v>View Full Record in Web of Science</v>
      </c>
    </row>
    <row r="579" spans="1:81" ht="13.2" hidden="1" x14ac:dyDescent="0.25">
      <c r="A579" s="89" t="s">
        <v>22272</v>
      </c>
      <c r="B579" s="89" t="e">
        <f>+#REF!</f>
        <v>#REF!</v>
      </c>
      <c r="C579" s="89"/>
      <c r="D579" s="91" t="s">
        <v>717</v>
      </c>
      <c r="E579" s="90" t="e">
        <v>#REF!</v>
      </c>
      <c r="F579" s="89"/>
      <c r="G579" s="89"/>
      <c r="H579" s="89" t="s">
        <v>646</v>
      </c>
      <c r="I579" s="89" t="s">
        <v>22273</v>
      </c>
      <c r="J579" s="89" t="s">
        <v>646</v>
      </c>
      <c r="K579" s="89" t="s">
        <v>22278</v>
      </c>
      <c r="M579" s="89">
        <v>2015</v>
      </c>
      <c r="N579" s="89" t="s">
        <v>22274</v>
      </c>
      <c r="O579" s="89" t="s">
        <v>646</v>
      </c>
      <c r="P579" s="89" t="s">
        <v>646</v>
      </c>
      <c r="S579" s="89" t="s">
        <v>17475</v>
      </c>
      <c r="U579" s="89" t="s">
        <v>17474</v>
      </c>
      <c r="W579" s="89" t="s">
        <v>646</v>
      </c>
      <c r="X579" s="89" t="s">
        <v>646</v>
      </c>
      <c r="Y579" s="89" t="s">
        <v>22275</v>
      </c>
      <c r="Z579" s="89" t="s">
        <v>22276</v>
      </c>
      <c r="AA579" s="89" t="s">
        <v>19855</v>
      </c>
      <c r="AB579" s="89" t="s">
        <v>22277</v>
      </c>
      <c r="AC579" s="89" t="s">
        <v>646</v>
      </c>
      <c r="AD579" s="89" t="s">
        <v>646</v>
      </c>
      <c r="AE579" s="89" t="s">
        <v>646</v>
      </c>
      <c r="AF579" s="89" t="s">
        <v>22278</v>
      </c>
      <c r="AG579" s="89" t="s">
        <v>646</v>
      </c>
      <c r="AH579" s="89" t="s">
        <v>646</v>
      </c>
      <c r="AI579" s="89" t="s">
        <v>646</v>
      </c>
      <c r="AJ579" s="89" t="s">
        <v>646</v>
      </c>
      <c r="AK579" s="89" t="s">
        <v>646</v>
      </c>
      <c r="AL579" s="89" t="s">
        <v>646</v>
      </c>
      <c r="AM579" s="89" t="s">
        <v>646</v>
      </c>
      <c r="AN579" s="89" t="s">
        <v>646</v>
      </c>
      <c r="AO579" s="89" t="s">
        <v>646</v>
      </c>
      <c r="AP579" s="89" t="s">
        <v>646</v>
      </c>
      <c r="AQ579" s="89" t="s">
        <v>646</v>
      </c>
      <c r="AR579" s="89" t="s">
        <v>646</v>
      </c>
      <c r="AS579" s="89" t="s">
        <v>646</v>
      </c>
      <c r="AT579" s="89" t="s">
        <v>646</v>
      </c>
      <c r="AU579" s="89" t="s">
        <v>646</v>
      </c>
      <c r="AV579" s="89" t="s">
        <v>646</v>
      </c>
      <c r="AW579" s="89" t="s">
        <v>646</v>
      </c>
      <c r="AX579" s="89" t="s">
        <v>646</v>
      </c>
      <c r="AY579" s="89" t="s">
        <v>646</v>
      </c>
      <c r="AZ579" s="89" t="s">
        <v>646</v>
      </c>
      <c r="BA579" s="89" t="s">
        <v>22279</v>
      </c>
      <c r="BB579" s="89" t="s">
        <v>646</v>
      </c>
      <c r="BC579" s="89" t="s">
        <v>646</v>
      </c>
      <c r="BD579" s="89" t="s">
        <v>646</v>
      </c>
      <c r="BE579" s="89">
        <v>2015</v>
      </c>
      <c r="BF579" s="89" t="s">
        <v>646</v>
      </c>
      <c r="BG579" s="89" t="s">
        <v>646</v>
      </c>
      <c r="BH579" s="89" t="s">
        <v>646</v>
      </c>
      <c r="BI579" s="89" t="s">
        <v>646</v>
      </c>
      <c r="BJ579" s="89" t="s">
        <v>646</v>
      </c>
      <c r="BK579" s="89" t="s">
        <v>646</v>
      </c>
      <c r="BL579" s="89">
        <v>207</v>
      </c>
      <c r="BM579" s="89">
        <v>212</v>
      </c>
      <c r="BN579" s="89" t="s">
        <v>646</v>
      </c>
      <c r="BO579" s="89" t="s">
        <v>646</v>
      </c>
      <c r="BP579" s="89" t="s">
        <v>646</v>
      </c>
      <c r="BQ579" s="89" t="s">
        <v>646</v>
      </c>
      <c r="BR579" s="89" t="s">
        <v>646</v>
      </c>
      <c r="BS579" s="89" t="s">
        <v>646</v>
      </c>
      <c r="BT579" s="89" t="s">
        <v>646</v>
      </c>
      <c r="BU579" s="89" t="s">
        <v>646</v>
      </c>
      <c r="BV579" s="89" t="s">
        <v>646</v>
      </c>
      <c r="BW579" s="89" t="s">
        <v>646</v>
      </c>
      <c r="BX579" s="89" t="s">
        <v>646</v>
      </c>
      <c r="BY579" s="89" t="s">
        <v>646</v>
      </c>
      <c r="BZ579" s="89" t="s">
        <v>646</v>
      </c>
      <c r="CA579" s="89" t="s">
        <v>646</v>
      </c>
      <c r="CB579" s="89" t="s">
        <v>22280</v>
      </c>
      <c r="CC579" s="89" t="str">
        <f>HYPERLINK("https%3A%2F%2Fwww.webofscience.com%2Fwos%2Fwoscc%2Ffull-record%2FWOS:000381505400042","View Full Record in Web of Science")</f>
        <v>View Full Record in Web of Science</v>
      </c>
    </row>
    <row r="580" spans="1:81" ht="13.2" hidden="1" x14ac:dyDescent="0.25">
      <c r="A580" s="89" t="s">
        <v>13542</v>
      </c>
      <c r="B580" s="89" t="e">
        <f>+#REF!</f>
        <v>#REF!</v>
      </c>
      <c r="C580" s="89"/>
      <c r="D580" s="91" t="s">
        <v>717</v>
      </c>
      <c r="E580" s="90" t="e">
        <v>#REF!</v>
      </c>
      <c r="F580" s="89"/>
      <c r="G580" s="89"/>
      <c r="H580" s="89" t="s">
        <v>646</v>
      </c>
      <c r="I580" s="89" t="s">
        <v>22281</v>
      </c>
      <c r="J580" s="89" t="s">
        <v>646</v>
      </c>
      <c r="K580" s="89" t="s">
        <v>22283</v>
      </c>
      <c r="M580" s="89">
        <v>2007</v>
      </c>
      <c r="N580" s="89" t="s">
        <v>22282</v>
      </c>
      <c r="O580" s="89" t="s">
        <v>646</v>
      </c>
      <c r="P580" s="89" t="s">
        <v>646</v>
      </c>
      <c r="S580" s="89" t="s">
        <v>646</v>
      </c>
      <c r="U580" s="89" t="s">
        <v>17462</v>
      </c>
      <c r="W580" s="89" t="s">
        <v>646</v>
      </c>
      <c r="X580" s="89" t="s">
        <v>646</v>
      </c>
      <c r="Y580" s="89" t="s">
        <v>646</v>
      </c>
      <c r="Z580" s="89" t="s">
        <v>646</v>
      </c>
      <c r="AA580" s="89" t="s">
        <v>646</v>
      </c>
      <c r="AB580" s="89" t="s">
        <v>646</v>
      </c>
      <c r="AC580" s="89" t="s">
        <v>646</v>
      </c>
      <c r="AD580" s="89" t="s">
        <v>646</v>
      </c>
      <c r="AE580" s="89" t="s">
        <v>646</v>
      </c>
      <c r="AF580" s="89" t="s">
        <v>22283</v>
      </c>
      <c r="AG580" s="89" t="s">
        <v>646</v>
      </c>
      <c r="AH580" s="89" t="s">
        <v>646</v>
      </c>
      <c r="AI580" s="89" t="s">
        <v>646</v>
      </c>
      <c r="AJ580" s="89" t="s">
        <v>646</v>
      </c>
      <c r="AK580" s="89" t="s">
        <v>646</v>
      </c>
      <c r="AL580" s="89" t="s">
        <v>22284</v>
      </c>
      <c r="AM580" s="89" t="s">
        <v>646</v>
      </c>
      <c r="AN580" s="89" t="s">
        <v>646</v>
      </c>
      <c r="AO580" s="89" t="s">
        <v>646</v>
      </c>
      <c r="AP580" s="89" t="s">
        <v>646</v>
      </c>
      <c r="AQ580" s="89" t="s">
        <v>646</v>
      </c>
      <c r="AR580" s="89" t="s">
        <v>646</v>
      </c>
      <c r="AS580" s="89" t="s">
        <v>646</v>
      </c>
      <c r="AT580" s="89" t="s">
        <v>646</v>
      </c>
      <c r="AU580" s="89" t="s">
        <v>646</v>
      </c>
      <c r="AV580" s="89" t="s">
        <v>646</v>
      </c>
      <c r="AW580" s="89" t="s">
        <v>646</v>
      </c>
      <c r="AX580" s="89" t="s">
        <v>646</v>
      </c>
      <c r="AY580" s="89" t="s">
        <v>22285</v>
      </c>
      <c r="AZ580" s="89" t="s">
        <v>22286</v>
      </c>
      <c r="BA580" s="89" t="s">
        <v>646</v>
      </c>
      <c r="BB580" s="89" t="s">
        <v>646</v>
      </c>
      <c r="BC580" s="89" t="s">
        <v>646</v>
      </c>
      <c r="BD580" s="89" t="s">
        <v>646</v>
      </c>
      <c r="BE580" s="89">
        <v>2007</v>
      </c>
      <c r="BF580" s="89">
        <v>21</v>
      </c>
      <c r="BG580" s="89">
        <v>3</v>
      </c>
      <c r="BH580" s="89" t="s">
        <v>646</v>
      </c>
      <c r="BI580" s="89" t="s">
        <v>646</v>
      </c>
      <c r="BJ580" s="89" t="s">
        <v>646</v>
      </c>
      <c r="BK580" s="89" t="s">
        <v>646</v>
      </c>
      <c r="BL580" s="89">
        <v>232</v>
      </c>
      <c r="BM580" s="89">
        <v>251</v>
      </c>
      <c r="BN580" s="89" t="s">
        <v>646</v>
      </c>
      <c r="BO580" s="89" t="s">
        <v>646</v>
      </c>
      <c r="BP580" s="89" t="s">
        <v>646</v>
      </c>
      <c r="BQ580" s="89" t="s">
        <v>646</v>
      </c>
      <c r="BR580" s="89" t="s">
        <v>646</v>
      </c>
      <c r="BS580" s="89" t="s">
        <v>646</v>
      </c>
      <c r="BT580" s="89" t="s">
        <v>646</v>
      </c>
      <c r="BU580" s="89" t="s">
        <v>646</v>
      </c>
      <c r="BV580" s="89" t="s">
        <v>646</v>
      </c>
      <c r="BW580" s="89" t="s">
        <v>646</v>
      </c>
      <c r="BX580" s="89" t="s">
        <v>646</v>
      </c>
      <c r="BY580" s="89" t="s">
        <v>646</v>
      </c>
      <c r="BZ580" s="89" t="s">
        <v>646</v>
      </c>
      <c r="CA580" s="89" t="s">
        <v>646</v>
      </c>
      <c r="CB580" s="89" t="s">
        <v>22287</v>
      </c>
      <c r="CC580" s="89" t="str">
        <f>HYPERLINK("https%3A%2F%2Fwww.webofscience.com%2Fwos%2Fwoscc%2Ffull-record%2FWOS:000250266100003","View Full Record in Web of Science")</f>
        <v>View Full Record in Web of Science</v>
      </c>
    </row>
    <row r="581" spans="1:81" ht="13.2" hidden="1" x14ac:dyDescent="0.25">
      <c r="A581" s="89" t="s">
        <v>22288</v>
      </c>
      <c r="B581" s="89" t="e">
        <f>+#REF!</f>
        <v>#REF!</v>
      </c>
      <c r="C581" s="89"/>
      <c r="D581" s="91" t="s">
        <v>717</v>
      </c>
      <c r="E581" s="90" t="e">
        <v>#REF!</v>
      </c>
      <c r="F581" s="89"/>
      <c r="G581" s="89"/>
      <c r="H581" s="89" t="s">
        <v>13553</v>
      </c>
      <c r="I581" s="89" t="s">
        <v>22289</v>
      </c>
      <c r="J581" s="89" t="s">
        <v>19522</v>
      </c>
      <c r="K581" s="89" t="s">
        <v>22294</v>
      </c>
      <c r="M581" s="89">
        <v>2014</v>
      </c>
      <c r="N581" s="89" t="s">
        <v>22290</v>
      </c>
      <c r="O581" s="89" t="s">
        <v>646</v>
      </c>
      <c r="P581" s="89" t="str">
        <f>HYPERLINK("http://dx.doi.org/10.1145/2567948.2578997","http://dx.doi.org/10.1145/2567948.2578997")</f>
        <v>http://dx.doi.org/10.1145/2567948.2578997</v>
      </c>
      <c r="S581" s="89" t="s">
        <v>17804</v>
      </c>
      <c r="U581" s="89" t="s">
        <v>17474</v>
      </c>
      <c r="W581" s="89" t="s">
        <v>646</v>
      </c>
      <c r="X581" s="89" t="s">
        <v>646</v>
      </c>
      <c r="Y581" s="89" t="s">
        <v>22291</v>
      </c>
      <c r="Z581" s="89" t="s">
        <v>22292</v>
      </c>
      <c r="AA581" s="89" t="s">
        <v>18015</v>
      </c>
      <c r="AB581" s="89" t="s">
        <v>22293</v>
      </c>
      <c r="AC581" s="89" t="s">
        <v>646</v>
      </c>
      <c r="AD581" s="89" t="s">
        <v>646</v>
      </c>
      <c r="AE581" s="89" t="s">
        <v>646</v>
      </c>
      <c r="AF581" s="89" t="s">
        <v>22294</v>
      </c>
      <c r="AG581" s="89" t="s">
        <v>646</v>
      </c>
      <c r="AH581" s="89" t="s">
        <v>646</v>
      </c>
      <c r="AI581" s="89" t="s">
        <v>646</v>
      </c>
      <c r="AJ581" s="89" t="s">
        <v>646</v>
      </c>
      <c r="AK581" s="89" t="s">
        <v>19522</v>
      </c>
      <c r="AL581" s="89" t="s">
        <v>22295</v>
      </c>
      <c r="AM581" s="89" t="s">
        <v>646</v>
      </c>
      <c r="AN581" s="89" t="s">
        <v>646</v>
      </c>
      <c r="AO581" s="89" t="s">
        <v>646</v>
      </c>
      <c r="AP581" s="89" t="s">
        <v>646</v>
      </c>
      <c r="AQ581" s="89" t="s">
        <v>646</v>
      </c>
      <c r="AR581" s="89" t="s">
        <v>646</v>
      </c>
      <c r="AS581" s="89" t="s">
        <v>646</v>
      </c>
      <c r="AT581" s="89" t="s">
        <v>646</v>
      </c>
      <c r="AU581" s="89" t="s">
        <v>646</v>
      </c>
      <c r="AV581" s="89" t="s">
        <v>646</v>
      </c>
      <c r="AW581" s="89" t="s">
        <v>646</v>
      </c>
      <c r="AX581" s="89" t="s">
        <v>646</v>
      </c>
      <c r="AY581" s="89" t="s">
        <v>646</v>
      </c>
      <c r="AZ581" s="89" t="s">
        <v>646</v>
      </c>
      <c r="BA581" s="89" t="s">
        <v>22296</v>
      </c>
      <c r="BB581" s="89" t="s">
        <v>646</v>
      </c>
      <c r="BC581" s="89" t="s">
        <v>646</v>
      </c>
      <c r="BD581" s="89" t="s">
        <v>646</v>
      </c>
      <c r="BE581" s="89">
        <v>2014</v>
      </c>
      <c r="BF581" s="89" t="s">
        <v>646</v>
      </c>
      <c r="BG581" s="89" t="s">
        <v>646</v>
      </c>
      <c r="BH581" s="89" t="s">
        <v>646</v>
      </c>
      <c r="BI581" s="89" t="s">
        <v>646</v>
      </c>
      <c r="BJ581" s="89" t="s">
        <v>646</v>
      </c>
      <c r="BK581" s="89" t="s">
        <v>646</v>
      </c>
      <c r="BL581" s="89">
        <v>1117</v>
      </c>
      <c r="BM581" s="89">
        <v>1122</v>
      </c>
      <c r="BN581" s="89" t="s">
        <v>646</v>
      </c>
      <c r="BO581" s="89" t="str">
        <f>HYPERLINK("http://dx.doi.org/10.1145/2567948.2578997","http://dx.doi.org/10.1145/2567948.2578997")</f>
        <v>http://dx.doi.org/10.1145/2567948.2578997</v>
      </c>
      <c r="BP581" s="89" t="s">
        <v>646</v>
      </c>
      <c r="BQ581" s="89" t="s">
        <v>646</v>
      </c>
      <c r="BR581" s="89" t="s">
        <v>646</v>
      </c>
      <c r="BS581" s="89" t="s">
        <v>646</v>
      </c>
      <c r="BT581" s="89" t="s">
        <v>646</v>
      </c>
      <c r="BU581" s="89" t="s">
        <v>646</v>
      </c>
      <c r="BV581" s="89" t="s">
        <v>646</v>
      </c>
      <c r="BW581" s="89" t="s">
        <v>646</v>
      </c>
      <c r="BX581" s="89" t="s">
        <v>646</v>
      </c>
      <c r="BY581" s="89" t="s">
        <v>646</v>
      </c>
      <c r="BZ581" s="89" t="s">
        <v>646</v>
      </c>
      <c r="CA581" s="89" t="s">
        <v>646</v>
      </c>
      <c r="CB581" s="89" t="s">
        <v>22297</v>
      </c>
      <c r="CC581" s="89" t="str">
        <f>HYPERLINK("https%3A%2F%2Fwww.webofscience.com%2Fwos%2Fwoscc%2Ffull-record%2FWOS:000455947000295","View Full Record in Web of Science")</f>
        <v>View Full Record in Web of Science</v>
      </c>
    </row>
    <row r="582" spans="1:81" ht="13.2" hidden="1" x14ac:dyDescent="0.25">
      <c r="A582" s="89" t="s">
        <v>13561</v>
      </c>
      <c r="B582" s="89" t="e">
        <f>+#REF!</f>
        <v>#REF!</v>
      </c>
      <c r="C582" s="89"/>
      <c r="D582" s="91" t="s">
        <v>717</v>
      </c>
      <c r="E582" s="90" t="e">
        <v>#REF!</v>
      </c>
      <c r="F582" s="89"/>
      <c r="G582" s="89"/>
      <c r="H582" s="89" t="s">
        <v>13562</v>
      </c>
      <c r="I582" s="89" t="s">
        <v>22298</v>
      </c>
      <c r="J582" s="89" t="s">
        <v>646</v>
      </c>
      <c r="K582" s="89" t="s">
        <v>22300</v>
      </c>
      <c r="M582" s="89">
        <v>2005</v>
      </c>
      <c r="N582" s="89" t="s">
        <v>22299</v>
      </c>
      <c r="O582" s="89" t="s">
        <v>646</v>
      </c>
      <c r="P582" s="89" t="str">
        <f>HYPERLINK("http://dx.doi.org/10.1016/j.acn.2005.06.003","http://dx.doi.org/10.1016/j.acn.2005.06.003")</f>
        <v>http://dx.doi.org/10.1016/j.acn.2005.06.003</v>
      </c>
      <c r="S582" s="89" t="s">
        <v>646</v>
      </c>
      <c r="U582" s="89" t="s">
        <v>17462</v>
      </c>
      <c r="W582" s="89" t="s">
        <v>646</v>
      </c>
      <c r="X582" s="89" t="s">
        <v>646</v>
      </c>
      <c r="Y582" s="89" t="s">
        <v>646</v>
      </c>
      <c r="Z582" s="89" t="s">
        <v>646</v>
      </c>
      <c r="AA582" s="89" t="s">
        <v>646</v>
      </c>
      <c r="AB582" s="89" t="s">
        <v>646</v>
      </c>
      <c r="AC582" s="89" t="s">
        <v>646</v>
      </c>
      <c r="AD582" s="89" t="s">
        <v>646</v>
      </c>
      <c r="AE582" s="89" t="s">
        <v>646</v>
      </c>
      <c r="AF582" s="89" t="s">
        <v>22300</v>
      </c>
      <c r="AG582" s="89" t="s">
        <v>646</v>
      </c>
      <c r="AH582" s="89" t="s">
        <v>646</v>
      </c>
      <c r="AI582" s="89" t="s">
        <v>646</v>
      </c>
      <c r="AJ582" s="89" t="s">
        <v>646</v>
      </c>
      <c r="AK582" s="89" t="s">
        <v>646</v>
      </c>
      <c r="AL582" s="89" t="s">
        <v>646</v>
      </c>
      <c r="AM582" s="89" t="s">
        <v>646</v>
      </c>
      <c r="AN582" s="89" t="s">
        <v>646</v>
      </c>
      <c r="AO582" s="89" t="s">
        <v>646</v>
      </c>
      <c r="AP582" s="89" t="s">
        <v>646</v>
      </c>
      <c r="AQ582" s="89" t="s">
        <v>646</v>
      </c>
      <c r="AR582" s="89" t="s">
        <v>646</v>
      </c>
      <c r="AS582" s="89" t="s">
        <v>646</v>
      </c>
      <c r="AT582" s="89" t="s">
        <v>646</v>
      </c>
      <c r="AU582" s="89" t="s">
        <v>646</v>
      </c>
      <c r="AV582" s="89" t="s">
        <v>646</v>
      </c>
      <c r="AW582" s="89" t="s">
        <v>646</v>
      </c>
      <c r="AX582" s="89" t="s">
        <v>646</v>
      </c>
      <c r="AY582" s="89" t="s">
        <v>22301</v>
      </c>
      <c r="AZ582" s="89" t="s">
        <v>22302</v>
      </c>
      <c r="BA582" s="89" t="s">
        <v>646</v>
      </c>
      <c r="BB582" s="89" t="s">
        <v>646</v>
      </c>
      <c r="BC582" s="89" t="s">
        <v>646</v>
      </c>
      <c r="BD582" s="89" t="s">
        <v>17615</v>
      </c>
      <c r="BE582" s="89">
        <v>2005</v>
      </c>
      <c r="BF582" s="89">
        <v>20</v>
      </c>
      <c r="BG582" s="89">
        <v>8</v>
      </c>
      <c r="BH582" s="89" t="s">
        <v>646</v>
      </c>
      <c r="BI582" s="89" t="s">
        <v>646</v>
      </c>
      <c r="BJ582" s="89" t="s">
        <v>646</v>
      </c>
      <c r="BK582" s="89" t="s">
        <v>646</v>
      </c>
      <c r="BL582" s="89">
        <v>997</v>
      </c>
      <c r="BM582" s="89">
        <v>1007</v>
      </c>
      <c r="BN582" s="89" t="s">
        <v>646</v>
      </c>
      <c r="BO582" s="89" t="str">
        <f>HYPERLINK("http://dx.doi.org/10.1016/j.acn.2005.06.003","http://dx.doi.org/10.1016/j.acn.2005.06.003")</f>
        <v>http://dx.doi.org/10.1016/j.acn.2005.06.003</v>
      </c>
      <c r="BP582" s="89" t="s">
        <v>646</v>
      </c>
      <c r="BQ582" s="89" t="s">
        <v>646</v>
      </c>
      <c r="BR582" s="89" t="s">
        <v>646</v>
      </c>
      <c r="BS582" s="89" t="s">
        <v>646</v>
      </c>
      <c r="BT582" s="89" t="s">
        <v>646</v>
      </c>
      <c r="BU582" s="89" t="s">
        <v>646</v>
      </c>
      <c r="BV582" s="89" t="s">
        <v>646</v>
      </c>
      <c r="BW582" s="89">
        <v>16076547</v>
      </c>
      <c r="BX582" s="89" t="s">
        <v>646</v>
      </c>
      <c r="BY582" s="89" t="s">
        <v>646</v>
      </c>
      <c r="BZ582" s="89" t="s">
        <v>646</v>
      </c>
      <c r="CA582" s="89" t="s">
        <v>646</v>
      </c>
      <c r="CB582" s="89" t="s">
        <v>22303</v>
      </c>
      <c r="CC582" s="89" t="str">
        <f>HYPERLINK("https%3A%2F%2Fwww.webofscience.com%2Fwos%2Fwoscc%2Ffull-record%2FWOS:000233884500004","View Full Record in Web of Science")</f>
        <v>View Full Record in Web of Science</v>
      </c>
    </row>
    <row r="583" spans="1:81" ht="13.2" hidden="1" x14ac:dyDescent="0.25">
      <c r="A583" s="89" t="s">
        <v>13571</v>
      </c>
      <c r="B583" s="89" t="e">
        <f>+#REF!</f>
        <v>#REF!</v>
      </c>
      <c r="C583" s="89"/>
      <c r="D583" s="91" t="s">
        <v>717</v>
      </c>
      <c r="E583" s="90" t="e">
        <v>#REF!</v>
      </c>
      <c r="F583" s="89"/>
      <c r="G583" s="89"/>
      <c r="H583" s="89" t="s">
        <v>13572</v>
      </c>
      <c r="I583" s="89" t="s">
        <v>22304</v>
      </c>
      <c r="J583" s="89" t="s">
        <v>22306</v>
      </c>
      <c r="K583" s="89" t="s">
        <v>22305</v>
      </c>
      <c r="M583" s="89">
        <v>2019</v>
      </c>
      <c r="N583" s="89" t="s">
        <v>20313</v>
      </c>
      <c r="O583" s="89" t="s">
        <v>646</v>
      </c>
      <c r="P583" s="89" t="str">
        <f>HYPERLINK("http://dx.doi.org/10.1016/j.drugalcdep.2019.01.034","http://dx.doi.org/10.1016/j.drugalcdep.2019.01.034")</f>
        <v>http://dx.doi.org/10.1016/j.drugalcdep.2019.01.034</v>
      </c>
      <c r="S583" s="89" t="s">
        <v>646</v>
      </c>
      <c r="U583" s="89" t="s">
        <v>17462</v>
      </c>
      <c r="W583" s="89" t="s">
        <v>646</v>
      </c>
      <c r="X583" s="89" t="s">
        <v>646</v>
      </c>
      <c r="Y583" s="89" t="s">
        <v>646</v>
      </c>
      <c r="Z583" s="89" t="s">
        <v>646</v>
      </c>
      <c r="AA583" s="89" t="s">
        <v>646</v>
      </c>
      <c r="AB583" s="89" t="s">
        <v>646</v>
      </c>
      <c r="AC583" s="89" t="s">
        <v>646</v>
      </c>
      <c r="AD583" s="89" t="s">
        <v>646</v>
      </c>
      <c r="AE583" s="89" t="s">
        <v>646</v>
      </c>
      <c r="AF583" s="89" t="s">
        <v>22305</v>
      </c>
      <c r="AG583" s="89" t="s">
        <v>646</v>
      </c>
      <c r="AH583" s="89" t="s">
        <v>646</v>
      </c>
      <c r="AI583" s="89" t="s">
        <v>646</v>
      </c>
      <c r="AJ583" s="89" t="s">
        <v>646</v>
      </c>
      <c r="AK583" s="89" t="s">
        <v>22306</v>
      </c>
      <c r="AL583" s="89" t="s">
        <v>22307</v>
      </c>
      <c r="AM583" s="89" t="s">
        <v>646</v>
      </c>
      <c r="AN583" s="89" t="s">
        <v>646</v>
      </c>
      <c r="AO583" s="89" t="s">
        <v>646</v>
      </c>
      <c r="AP583" s="89" t="s">
        <v>646</v>
      </c>
      <c r="AQ583" s="89" t="s">
        <v>646</v>
      </c>
      <c r="AR583" s="89" t="s">
        <v>646</v>
      </c>
      <c r="AS583" s="89" t="s">
        <v>646</v>
      </c>
      <c r="AT583" s="89" t="s">
        <v>646</v>
      </c>
      <c r="AU583" s="89" t="s">
        <v>646</v>
      </c>
      <c r="AV583" s="89" t="s">
        <v>646</v>
      </c>
      <c r="AW583" s="89" t="s">
        <v>646</v>
      </c>
      <c r="AX583" s="89" t="s">
        <v>646</v>
      </c>
      <c r="AY583" s="89" t="s">
        <v>20317</v>
      </c>
      <c r="AZ583" s="89" t="s">
        <v>20318</v>
      </c>
      <c r="BA583" s="89" t="s">
        <v>646</v>
      </c>
      <c r="BB583" s="89" t="s">
        <v>646</v>
      </c>
      <c r="BC583" s="89" t="s">
        <v>646</v>
      </c>
      <c r="BD583" s="89" t="s">
        <v>22308</v>
      </c>
      <c r="BE583" s="89">
        <v>2019</v>
      </c>
      <c r="BF583" s="89">
        <v>198</v>
      </c>
      <c r="BG583" s="89" t="s">
        <v>646</v>
      </c>
      <c r="BH583" s="89" t="s">
        <v>646</v>
      </c>
      <c r="BI583" s="89" t="s">
        <v>646</v>
      </c>
      <c r="BJ583" s="89" t="s">
        <v>646</v>
      </c>
      <c r="BK583" s="89" t="s">
        <v>646</v>
      </c>
      <c r="BL583" s="89">
        <v>87</v>
      </c>
      <c r="BM583" s="89">
        <v>94</v>
      </c>
      <c r="BN583" s="89" t="s">
        <v>646</v>
      </c>
      <c r="BO583" s="89" t="str">
        <f>HYPERLINK("http://dx.doi.org/10.1016/j.drugalcdep.2019.01.034","http://dx.doi.org/10.1016/j.drugalcdep.2019.01.034")</f>
        <v>http://dx.doi.org/10.1016/j.drugalcdep.2019.01.034</v>
      </c>
      <c r="BP583" s="89" t="s">
        <v>646</v>
      </c>
      <c r="BQ583" s="89" t="s">
        <v>646</v>
      </c>
      <c r="BR583" s="89" t="s">
        <v>646</v>
      </c>
      <c r="BS583" s="89" t="s">
        <v>646</v>
      </c>
      <c r="BT583" s="89" t="s">
        <v>646</v>
      </c>
      <c r="BU583" s="89" t="s">
        <v>646</v>
      </c>
      <c r="BV583" s="89" t="s">
        <v>646</v>
      </c>
      <c r="BW583" s="89">
        <v>30889524</v>
      </c>
      <c r="BX583" s="89" t="s">
        <v>646</v>
      </c>
      <c r="BY583" s="89" t="s">
        <v>646</v>
      </c>
      <c r="BZ583" s="89" t="s">
        <v>646</v>
      </c>
      <c r="CA583" s="89" t="s">
        <v>646</v>
      </c>
      <c r="CB583" s="89" t="s">
        <v>22309</v>
      </c>
      <c r="CC583" s="89" t="str">
        <f>HYPERLINK("https%3A%2F%2Fwww.webofscience.com%2Fwos%2Fwoscc%2Ffull-record%2FWOS:000469306800013","View Full Record in Web of Science")</f>
        <v>View Full Record in Web of Science</v>
      </c>
    </row>
    <row r="584" spans="1:81" ht="13.2" hidden="1" x14ac:dyDescent="0.25">
      <c r="A584" s="89" t="s">
        <v>22310</v>
      </c>
      <c r="B584" s="89" t="e">
        <f>+#REF!</f>
        <v>#REF!</v>
      </c>
      <c r="C584" s="89"/>
      <c r="D584" s="91" t="s">
        <v>717</v>
      </c>
      <c r="E584" s="90" t="e">
        <v>#REF!</v>
      </c>
      <c r="F584" s="89"/>
      <c r="G584" s="89"/>
      <c r="H584" s="89" t="s">
        <v>646</v>
      </c>
      <c r="I584" s="89" t="s">
        <v>22311</v>
      </c>
      <c r="J584" s="89" t="s">
        <v>646</v>
      </c>
      <c r="K584" s="89" t="s">
        <v>22315</v>
      </c>
      <c r="M584" s="89">
        <v>2018</v>
      </c>
      <c r="N584" s="89" t="s">
        <v>22312</v>
      </c>
      <c r="O584" s="89" t="s">
        <v>17826</v>
      </c>
      <c r="P584" s="89" t="s">
        <v>646</v>
      </c>
      <c r="S584" s="89" t="s">
        <v>646</v>
      </c>
      <c r="U584" s="89" t="s">
        <v>17474</v>
      </c>
      <c r="W584" s="89" t="s">
        <v>646</v>
      </c>
      <c r="X584" s="89" t="s">
        <v>646</v>
      </c>
      <c r="Y584" s="89" t="s">
        <v>22313</v>
      </c>
      <c r="Z584" s="89" t="s">
        <v>22314</v>
      </c>
      <c r="AA584" s="89" t="s">
        <v>17831</v>
      </c>
      <c r="AB584" s="89" t="s">
        <v>17832</v>
      </c>
      <c r="AC584" s="89" t="s">
        <v>646</v>
      </c>
      <c r="AD584" s="89" t="s">
        <v>646</v>
      </c>
      <c r="AE584" s="89" t="s">
        <v>646</v>
      </c>
      <c r="AF584" s="89" t="s">
        <v>22315</v>
      </c>
      <c r="AG584" s="89" t="s">
        <v>646</v>
      </c>
      <c r="AH584" s="89" t="s">
        <v>646</v>
      </c>
      <c r="AI584" s="89" t="s">
        <v>646</v>
      </c>
      <c r="AJ584" s="89" t="s">
        <v>646</v>
      </c>
      <c r="AK584" s="89" t="s">
        <v>646</v>
      </c>
      <c r="AL584" s="89" t="s">
        <v>646</v>
      </c>
      <c r="AM584" s="89" t="s">
        <v>646</v>
      </c>
      <c r="AN584" s="89" t="s">
        <v>646</v>
      </c>
      <c r="AO584" s="89" t="s">
        <v>646</v>
      </c>
      <c r="AP584" s="89" t="s">
        <v>646</v>
      </c>
      <c r="AQ584" s="89" t="s">
        <v>646</v>
      </c>
      <c r="AR584" s="89" t="s">
        <v>646</v>
      </c>
      <c r="AS584" s="89" t="s">
        <v>646</v>
      </c>
      <c r="AT584" s="89" t="s">
        <v>646</v>
      </c>
      <c r="AU584" s="89" t="s">
        <v>646</v>
      </c>
      <c r="AV584" s="89" t="s">
        <v>646</v>
      </c>
      <c r="AW584" s="89" t="s">
        <v>646</v>
      </c>
      <c r="AX584" s="89" t="s">
        <v>646</v>
      </c>
      <c r="AY584" s="89" t="s">
        <v>646</v>
      </c>
      <c r="AZ584" s="89" t="s">
        <v>646</v>
      </c>
      <c r="BA584" s="89" t="s">
        <v>22316</v>
      </c>
      <c r="BB584" s="89" t="s">
        <v>646</v>
      </c>
      <c r="BC584" s="89" t="s">
        <v>646</v>
      </c>
      <c r="BD584" s="89" t="s">
        <v>646</v>
      </c>
      <c r="BE584" s="89">
        <v>2018</v>
      </c>
      <c r="BF584" s="89" t="s">
        <v>646</v>
      </c>
      <c r="BG584" s="89" t="s">
        <v>646</v>
      </c>
      <c r="BH584" s="89" t="s">
        <v>646</v>
      </c>
      <c r="BI584" s="89" t="s">
        <v>646</v>
      </c>
      <c r="BJ584" s="89" t="s">
        <v>646</v>
      </c>
      <c r="BK584" s="89" t="s">
        <v>646</v>
      </c>
      <c r="BL584" s="89">
        <v>1777</v>
      </c>
      <c r="BM584" s="89">
        <v>1786</v>
      </c>
      <c r="BN584" s="89" t="s">
        <v>646</v>
      </c>
      <c r="BO584" s="89" t="s">
        <v>646</v>
      </c>
      <c r="BP584" s="89" t="s">
        <v>646</v>
      </c>
      <c r="BQ584" s="89" t="s">
        <v>646</v>
      </c>
      <c r="BR584" s="89" t="s">
        <v>646</v>
      </c>
      <c r="BS584" s="89" t="s">
        <v>646</v>
      </c>
      <c r="BT584" s="89" t="s">
        <v>646</v>
      </c>
      <c r="BU584" s="89" t="s">
        <v>646</v>
      </c>
      <c r="BV584" s="89" t="s">
        <v>646</v>
      </c>
      <c r="BW584" s="89" t="s">
        <v>646</v>
      </c>
      <c r="BX584" s="89" t="s">
        <v>646</v>
      </c>
      <c r="BY584" s="89" t="s">
        <v>646</v>
      </c>
      <c r="BZ584" s="89" t="s">
        <v>646</v>
      </c>
      <c r="CA584" s="89" t="s">
        <v>646</v>
      </c>
      <c r="CB584" s="89" t="s">
        <v>22317</v>
      </c>
      <c r="CC584" s="89" t="str">
        <f>HYPERLINK("https%3A%2F%2Fwww.webofscience.com%2Fwos%2Fwoscc%2Ffull-record%2FWOS:000508553202088","View Full Record in Web of Science")</f>
        <v>View Full Record in Web of Science</v>
      </c>
    </row>
    <row r="585" spans="1:81" ht="13.2" hidden="1" x14ac:dyDescent="0.25">
      <c r="A585" s="89" t="s">
        <v>22318</v>
      </c>
      <c r="B585" s="89" t="e">
        <f>+#REF!</f>
        <v>#REF!</v>
      </c>
      <c r="C585" s="89"/>
      <c r="D585" s="91" t="s">
        <v>717</v>
      </c>
      <c r="E585" s="90" t="e">
        <v>#REF!</v>
      </c>
      <c r="F585" s="89"/>
      <c r="G585" s="89"/>
      <c r="H585" s="89" t="s">
        <v>13590</v>
      </c>
      <c r="I585" s="89" t="s">
        <v>22319</v>
      </c>
      <c r="J585" s="89" t="s">
        <v>646</v>
      </c>
      <c r="K585" s="89" t="s">
        <v>22321</v>
      </c>
      <c r="M585" s="89">
        <v>2012</v>
      </c>
      <c r="N585" s="89" t="s">
        <v>22320</v>
      </c>
      <c r="O585" s="89" t="s">
        <v>646</v>
      </c>
      <c r="P585" s="89" t="str">
        <f>HYPERLINK("http://dx.doi.org/10.1142/S0218843013500019","http://dx.doi.org/10.1142/S0218843013500019")</f>
        <v>http://dx.doi.org/10.1142/S0218843013500019</v>
      </c>
      <c r="S585" s="89" t="s">
        <v>646</v>
      </c>
      <c r="U585" s="89" t="s">
        <v>17462</v>
      </c>
      <c r="W585" s="89" t="s">
        <v>646</v>
      </c>
      <c r="X585" s="89" t="s">
        <v>646</v>
      </c>
      <c r="Y585" s="89" t="s">
        <v>646</v>
      </c>
      <c r="Z585" s="89" t="s">
        <v>646</v>
      </c>
      <c r="AA585" s="89" t="s">
        <v>646</v>
      </c>
      <c r="AB585" s="89" t="s">
        <v>646</v>
      </c>
      <c r="AC585" s="89" t="s">
        <v>646</v>
      </c>
      <c r="AD585" s="89" t="s">
        <v>646</v>
      </c>
      <c r="AE585" s="89" t="s">
        <v>646</v>
      </c>
      <c r="AF585" s="89" t="s">
        <v>22321</v>
      </c>
      <c r="AG585" s="89" t="s">
        <v>646</v>
      </c>
      <c r="AH585" s="89" t="s">
        <v>646</v>
      </c>
      <c r="AI585" s="89" t="s">
        <v>646</v>
      </c>
      <c r="AJ585" s="89" t="s">
        <v>646</v>
      </c>
      <c r="AK585" s="89" t="s">
        <v>646</v>
      </c>
      <c r="AL585" s="89" t="s">
        <v>646</v>
      </c>
      <c r="AM585" s="89" t="s">
        <v>646</v>
      </c>
      <c r="AN585" s="89" t="s">
        <v>646</v>
      </c>
      <c r="AO585" s="89" t="s">
        <v>646</v>
      </c>
      <c r="AP585" s="89" t="s">
        <v>646</v>
      </c>
      <c r="AQ585" s="89" t="s">
        <v>646</v>
      </c>
      <c r="AR585" s="89" t="s">
        <v>646</v>
      </c>
      <c r="AS585" s="89" t="s">
        <v>646</v>
      </c>
      <c r="AT585" s="89" t="s">
        <v>646</v>
      </c>
      <c r="AU585" s="89" t="s">
        <v>646</v>
      </c>
      <c r="AV585" s="89" t="s">
        <v>646</v>
      </c>
      <c r="AW585" s="89" t="s">
        <v>646</v>
      </c>
      <c r="AX585" s="89" t="s">
        <v>646</v>
      </c>
      <c r="AY585" s="89" t="s">
        <v>22322</v>
      </c>
      <c r="AZ585" s="89" t="s">
        <v>22323</v>
      </c>
      <c r="BA585" s="89" t="s">
        <v>646</v>
      </c>
      <c r="BB585" s="89" t="s">
        <v>646</v>
      </c>
      <c r="BC585" s="89" t="s">
        <v>646</v>
      </c>
      <c r="BD585" s="89" t="s">
        <v>17615</v>
      </c>
      <c r="BE585" s="89">
        <v>2012</v>
      </c>
      <c r="BF585" s="89">
        <v>21</v>
      </c>
      <c r="BG585" s="89">
        <v>4</v>
      </c>
      <c r="BH585" s="89" t="s">
        <v>646</v>
      </c>
      <c r="BI585" s="89" t="s">
        <v>646</v>
      </c>
      <c r="BJ585" s="89" t="s">
        <v>646</v>
      </c>
      <c r="BK585" s="89" t="s">
        <v>646</v>
      </c>
      <c r="BL585" s="89">
        <v>383</v>
      </c>
      <c r="BM585" s="89">
        <v>403</v>
      </c>
      <c r="BN585" s="89" t="s">
        <v>646</v>
      </c>
      <c r="BO585" s="89" t="str">
        <f>HYPERLINK("http://dx.doi.org/10.1142/S0218843013500019","http://dx.doi.org/10.1142/S0218843013500019")</f>
        <v>http://dx.doi.org/10.1142/S0218843013500019</v>
      </c>
      <c r="BP585" s="89" t="s">
        <v>646</v>
      </c>
      <c r="BQ585" s="89" t="s">
        <v>646</v>
      </c>
      <c r="BR585" s="89" t="s">
        <v>646</v>
      </c>
      <c r="BS585" s="89" t="s">
        <v>646</v>
      </c>
      <c r="BT585" s="89" t="s">
        <v>646</v>
      </c>
      <c r="BU585" s="89" t="s">
        <v>646</v>
      </c>
      <c r="BV585" s="89" t="s">
        <v>646</v>
      </c>
      <c r="BW585" s="89" t="s">
        <v>646</v>
      </c>
      <c r="BX585" s="89" t="s">
        <v>646</v>
      </c>
      <c r="BY585" s="89" t="s">
        <v>646</v>
      </c>
      <c r="BZ585" s="89" t="s">
        <v>646</v>
      </c>
      <c r="CA585" s="89" t="s">
        <v>646</v>
      </c>
      <c r="CB585" s="89" t="s">
        <v>22324</v>
      </c>
      <c r="CC585" s="89" t="str">
        <f>HYPERLINK("https%3A%2F%2Fwww.webofscience.com%2Fwos%2Fwoscc%2Ffull-record%2FWOS:000316268200004","View Full Record in Web of Science")</f>
        <v>View Full Record in Web of Science</v>
      </c>
    </row>
    <row r="586" spans="1:81" ht="13.2" hidden="1" x14ac:dyDescent="0.25">
      <c r="A586" s="89" t="s">
        <v>13599</v>
      </c>
      <c r="B586" s="89" t="e">
        <f>+#REF!</f>
        <v>#REF!</v>
      </c>
      <c r="C586" s="89"/>
      <c r="D586" s="91" t="s">
        <v>717</v>
      </c>
      <c r="E586" s="90" t="e">
        <v>#REF!</v>
      </c>
      <c r="F586" s="89"/>
      <c r="G586" s="89"/>
      <c r="H586" s="89" t="s">
        <v>646</v>
      </c>
      <c r="I586" s="89" t="s">
        <v>22325</v>
      </c>
      <c r="J586" s="89" t="s">
        <v>22328</v>
      </c>
      <c r="K586" s="89" t="s">
        <v>22327</v>
      </c>
      <c r="M586" s="89">
        <v>2009</v>
      </c>
      <c r="N586" s="89" t="s">
        <v>22326</v>
      </c>
      <c r="O586" s="89" t="s">
        <v>646</v>
      </c>
      <c r="P586" s="89" t="s">
        <v>646</v>
      </c>
      <c r="S586" s="89" t="s">
        <v>646</v>
      </c>
      <c r="U586" s="89" t="s">
        <v>17462</v>
      </c>
      <c r="W586" s="89" t="s">
        <v>646</v>
      </c>
      <c r="X586" s="89" t="s">
        <v>646</v>
      </c>
      <c r="Y586" s="89" t="s">
        <v>646</v>
      </c>
      <c r="Z586" s="89" t="s">
        <v>646</v>
      </c>
      <c r="AA586" s="89" t="s">
        <v>646</v>
      </c>
      <c r="AB586" s="89" t="s">
        <v>646</v>
      </c>
      <c r="AC586" s="89" t="s">
        <v>646</v>
      </c>
      <c r="AD586" s="89" t="s">
        <v>646</v>
      </c>
      <c r="AE586" s="89" t="s">
        <v>646</v>
      </c>
      <c r="AF586" s="89" t="s">
        <v>22327</v>
      </c>
      <c r="AG586" s="89" t="s">
        <v>646</v>
      </c>
      <c r="AH586" s="89" t="s">
        <v>646</v>
      </c>
      <c r="AI586" s="89" t="s">
        <v>646</v>
      </c>
      <c r="AJ586" s="89" t="s">
        <v>646</v>
      </c>
      <c r="AK586" s="89" t="s">
        <v>22328</v>
      </c>
      <c r="AL586" s="89" t="s">
        <v>22329</v>
      </c>
      <c r="AM586" s="89" t="s">
        <v>646</v>
      </c>
      <c r="AN586" s="89" t="s">
        <v>646</v>
      </c>
      <c r="AO586" s="89" t="s">
        <v>646</v>
      </c>
      <c r="AP586" s="89" t="s">
        <v>646</v>
      </c>
      <c r="AQ586" s="89" t="s">
        <v>646</v>
      </c>
      <c r="AR586" s="89" t="s">
        <v>646</v>
      </c>
      <c r="AS586" s="89" t="s">
        <v>646</v>
      </c>
      <c r="AT586" s="89" t="s">
        <v>646</v>
      </c>
      <c r="AU586" s="89" t="s">
        <v>646</v>
      </c>
      <c r="AV586" s="89" t="s">
        <v>646</v>
      </c>
      <c r="AW586" s="89" t="s">
        <v>646</v>
      </c>
      <c r="AX586" s="89" t="s">
        <v>646</v>
      </c>
      <c r="AY586" s="89" t="s">
        <v>22330</v>
      </c>
      <c r="AZ586" s="89" t="s">
        <v>646</v>
      </c>
      <c r="BA586" s="89" t="s">
        <v>646</v>
      </c>
      <c r="BB586" s="89" t="s">
        <v>646</v>
      </c>
      <c r="BC586" s="89" t="s">
        <v>646</v>
      </c>
      <c r="BD586" s="89" t="s">
        <v>646</v>
      </c>
      <c r="BE586" s="89">
        <v>2009</v>
      </c>
      <c r="BF586" s="89">
        <v>12</v>
      </c>
      <c r="BG586" s="89">
        <v>1</v>
      </c>
      <c r="BH586" s="89" t="s">
        <v>646</v>
      </c>
      <c r="BI586" s="89" t="s">
        <v>646</v>
      </c>
      <c r="BJ586" s="89" t="s">
        <v>646</v>
      </c>
      <c r="BK586" s="89" t="s">
        <v>646</v>
      </c>
      <c r="BL586" s="89">
        <v>285</v>
      </c>
      <c r="BM586" s="89">
        <v>297</v>
      </c>
      <c r="BN586" s="89" t="s">
        <v>646</v>
      </c>
      <c r="BO586" s="89" t="s">
        <v>646</v>
      </c>
      <c r="BP586" s="89" t="s">
        <v>646</v>
      </c>
      <c r="BQ586" s="89" t="s">
        <v>646</v>
      </c>
      <c r="BR586" s="89" t="s">
        <v>646</v>
      </c>
      <c r="BS586" s="89" t="s">
        <v>646</v>
      </c>
      <c r="BT586" s="89" t="s">
        <v>646</v>
      </c>
      <c r="BU586" s="89" t="s">
        <v>646</v>
      </c>
      <c r="BV586" s="89" t="s">
        <v>646</v>
      </c>
      <c r="BW586" s="89" t="s">
        <v>646</v>
      </c>
      <c r="BX586" s="89" t="s">
        <v>646</v>
      </c>
      <c r="BY586" s="89" t="s">
        <v>646</v>
      </c>
      <c r="BZ586" s="89" t="s">
        <v>646</v>
      </c>
      <c r="CA586" s="89" t="s">
        <v>646</v>
      </c>
      <c r="CB586" s="89" t="s">
        <v>22331</v>
      </c>
      <c r="CC586" s="89" t="str">
        <f>HYPERLINK("https%3A%2F%2Fwww.webofscience.com%2Fwos%2Fwoscc%2Ffull-record%2FWOS:000264258700022","View Full Record in Web of Science")</f>
        <v>View Full Record in Web of Science</v>
      </c>
    </row>
    <row r="587" spans="1:81" ht="13.2" hidden="1" x14ac:dyDescent="0.25">
      <c r="A587" s="89" t="s">
        <v>22332</v>
      </c>
      <c r="B587" s="89" t="e">
        <f>+#REF!</f>
        <v>#REF!</v>
      </c>
      <c r="C587" s="89"/>
      <c r="D587" s="91" t="s">
        <v>717</v>
      </c>
      <c r="E587" s="90" t="e">
        <v>#REF!</v>
      </c>
      <c r="F587" s="89"/>
      <c r="G587" s="89"/>
      <c r="H587" s="89" t="s">
        <v>646</v>
      </c>
      <c r="I587" s="89" t="s">
        <v>22333</v>
      </c>
      <c r="J587" s="89" t="s">
        <v>22337</v>
      </c>
      <c r="K587" s="89" t="s">
        <v>13610</v>
      </c>
      <c r="M587" s="89">
        <v>2016</v>
      </c>
      <c r="N587" s="89" t="s">
        <v>22334</v>
      </c>
      <c r="O587" s="89" t="s">
        <v>17826</v>
      </c>
      <c r="P587" s="89" t="s">
        <v>646</v>
      </c>
      <c r="S587" s="89" t="s">
        <v>646</v>
      </c>
      <c r="U587" s="89" t="s">
        <v>17474</v>
      </c>
      <c r="W587" s="89" t="s">
        <v>646</v>
      </c>
      <c r="X587" s="89" t="s">
        <v>646</v>
      </c>
      <c r="Y587" s="89" t="s">
        <v>22335</v>
      </c>
      <c r="Z587" s="89" t="s">
        <v>22336</v>
      </c>
      <c r="AA587" s="89" t="s">
        <v>17831</v>
      </c>
      <c r="AB587" s="89" t="s">
        <v>17832</v>
      </c>
      <c r="AC587" s="89" t="s">
        <v>646</v>
      </c>
      <c r="AD587" s="89" t="s">
        <v>646</v>
      </c>
      <c r="AE587" s="89" t="s">
        <v>646</v>
      </c>
      <c r="AF587" s="89" t="s">
        <v>13610</v>
      </c>
      <c r="AG587" s="89" t="s">
        <v>646</v>
      </c>
      <c r="AH587" s="89" t="s">
        <v>646</v>
      </c>
      <c r="AI587" s="89" t="s">
        <v>646</v>
      </c>
      <c r="AJ587" s="89" t="s">
        <v>646</v>
      </c>
      <c r="AK587" s="89" t="s">
        <v>22337</v>
      </c>
      <c r="AL587" s="89" t="s">
        <v>22338</v>
      </c>
      <c r="AM587" s="89" t="s">
        <v>646</v>
      </c>
      <c r="AN587" s="89" t="s">
        <v>646</v>
      </c>
      <c r="AO587" s="89" t="s">
        <v>646</v>
      </c>
      <c r="AP587" s="89" t="s">
        <v>646</v>
      </c>
      <c r="AQ587" s="89" t="s">
        <v>646</v>
      </c>
      <c r="AR587" s="89" t="s">
        <v>646</v>
      </c>
      <c r="AS587" s="89" t="s">
        <v>646</v>
      </c>
      <c r="AT587" s="89" t="s">
        <v>646</v>
      </c>
      <c r="AU587" s="89" t="s">
        <v>646</v>
      </c>
      <c r="AV587" s="89" t="s">
        <v>646</v>
      </c>
      <c r="AW587" s="89" t="s">
        <v>646</v>
      </c>
      <c r="AX587" s="89" t="s">
        <v>646</v>
      </c>
      <c r="AY587" s="89" t="s">
        <v>646</v>
      </c>
      <c r="AZ587" s="89" t="s">
        <v>646</v>
      </c>
      <c r="BA587" s="89" t="s">
        <v>22339</v>
      </c>
      <c r="BB587" s="89" t="s">
        <v>646</v>
      </c>
      <c r="BC587" s="89" t="s">
        <v>646</v>
      </c>
      <c r="BD587" s="89" t="s">
        <v>646</v>
      </c>
      <c r="BE587" s="89">
        <v>2016</v>
      </c>
      <c r="BF587" s="89" t="s">
        <v>646</v>
      </c>
      <c r="BG587" s="89" t="s">
        <v>646</v>
      </c>
      <c r="BH587" s="89" t="s">
        <v>646</v>
      </c>
      <c r="BI587" s="89" t="s">
        <v>646</v>
      </c>
      <c r="BJ587" s="89" t="s">
        <v>646</v>
      </c>
      <c r="BK587" s="89" t="s">
        <v>646</v>
      </c>
      <c r="BL587" s="89">
        <v>4275</v>
      </c>
      <c r="BM587" s="89" t="s">
        <v>18405</v>
      </c>
      <c r="BN587" s="89" t="s">
        <v>646</v>
      </c>
      <c r="BO587" s="89" t="s">
        <v>646</v>
      </c>
      <c r="BP587" s="89" t="s">
        <v>646</v>
      </c>
      <c r="BQ587" s="89" t="s">
        <v>646</v>
      </c>
      <c r="BR587" s="89" t="s">
        <v>646</v>
      </c>
      <c r="BS587" s="89" t="s">
        <v>646</v>
      </c>
      <c r="BT587" s="89" t="s">
        <v>646</v>
      </c>
      <c r="BU587" s="89" t="s">
        <v>646</v>
      </c>
      <c r="BV587" s="89" t="s">
        <v>646</v>
      </c>
      <c r="BW587" s="89" t="s">
        <v>646</v>
      </c>
      <c r="BX587" s="89" t="s">
        <v>646</v>
      </c>
      <c r="BY587" s="89" t="s">
        <v>646</v>
      </c>
      <c r="BZ587" s="89" t="s">
        <v>646</v>
      </c>
      <c r="CA587" s="89" t="s">
        <v>646</v>
      </c>
      <c r="CB587" s="89" t="s">
        <v>22340</v>
      </c>
      <c r="CC587" s="89" t="str">
        <f>HYPERLINK("https%3A%2F%2Fwww.webofscience.com%2Fwos%2Fwoscc%2Ffull-record%2FWOS:000392785700428","View Full Record in Web of Science")</f>
        <v>View Full Record in Web of Science</v>
      </c>
    </row>
    <row r="588" spans="1:81" ht="13.2" hidden="1" x14ac:dyDescent="0.25">
      <c r="A588" s="89" t="s">
        <v>22341</v>
      </c>
      <c r="B588" s="89" t="e">
        <f>+#REF!</f>
        <v>#REF!</v>
      </c>
      <c r="C588" s="89"/>
      <c r="D588" s="91" t="s">
        <v>717</v>
      </c>
      <c r="E588" s="90" t="e">
        <v>#REF!</v>
      </c>
      <c r="F588" s="89"/>
      <c r="G588" s="89"/>
      <c r="H588" s="89" t="s">
        <v>22342</v>
      </c>
      <c r="I588" s="89" t="s">
        <v>22343</v>
      </c>
      <c r="J588" s="89" t="s">
        <v>22345</v>
      </c>
      <c r="K588" s="89" t="s">
        <v>22344</v>
      </c>
      <c r="M588" s="89">
        <v>2020</v>
      </c>
      <c r="N588" s="89" t="s">
        <v>19218</v>
      </c>
      <c r="O588" s="89" t="s">
        <v>646</v>
      </c>
      <c r="P588" s="89" t="str">
        <f>HYPERLINK("http://dx.doi.org/10.3390/su12187470","http://dx.doi.org/10.3390/su12187470")</f>
        <v>http://dx.doi.org/10.3390/su12187470</v>
      </c>
      <c r="S588" s="89" t="s">
        <v>646</v>
      </c>
      <c r="U588" s="89" t="s">
        <v>17462</v>
      </c>
      <c r="W588" s="89" t="s">
        <v>646</v>
      </c>
      <c r="X588" s="89" t="s">
        <v>646</v>
      </c>
      <c r="Y588" s="89" t="s">
        <v>646</v>
      </c>
      <c r="Z588" s="89" t="s">
        <v>646</v>
      </c>
      <c r="AA588" s="89" t="s">
        <v>646</v>
      </c>
      <c r="AB588" s="89" t="s">
        <v>646</v>
      </c>
      <c r="AC588" s="89" t="s">
        <v>646</v>
      </c>
      <c r="AD588" s="89" t="s">
        <v>646</v>
      </c>
      <c r="AE588" s="89" t="s">
        <v>646</v>
      </c>
      <c r="AF588" s="89" t="s">
        <v>22344</v>
      </c>
      <c r="AG588" s="89" t="s">
        <v>646</v>
      </c>
      <c r="AH588" s="89" t="s">
        <v>646</v>
      </c>
      <c r="AI588" s="89" t="s">
        <v>646</v>
      </c>
      <c r="AJ588" s="89" t="s">
        <v>646</v>
      </c>
      <c r="AK588" s="89" t="s">
        <v>22345</v>
      </c>
      <c r="AL588" s="89" t="s">
        <v>22346</v>
      </c>
      <c r="AM588" s="89" t="s">
        <v>646</v>
      </c>
      <c r="AN588" s="89" t="s">
        <v>646</v>
      </c>
      <c r="AO588" s="89" t="s">
        <v>646</v>
      </c>
      <c r="AP588" s="89" t="s">
        <v>646</v>
      </c>
      <c r="AQ588" s="89" t="s">
        <v>646</v>
      </c>
      <c r="AR588" s="89" t="s">
        <v>646</v>
      </c>
      <c r="AS588" s="89" t="s">
        <v>646</v>
      </c>
      <c r="AT588" s="89" t="s">
        <v>646</v>
      </c>
      <c r="AU588" s="89" t="s">
        <v>646</v>
      </c>
      <c r="AV588" s="89" t="s">
        <v>646</v>
      </c>
      <c r="AW588" s="89" t="s">
        <v>646</v>
      </c>
      <c r="AX588" s="89" t="s">
        <v>646</v>
      </c>
      <c r="AY588" s="89" t="s">
        <v>646</v>
      </c>
      <c r="AZ588" s="89" t="s">
        <v>19222</v>
      </c>
      <c r="BA588" s="89" t="s">
        <v>646</v>
      </c>
      <c r="BB588" s="89" t="s">
        <v>646</v>
      </c>
      <c r="BC588" s="89" t="s">
        <v>646</v>
      </c>
      <c r="BD588" s="89" t="s">
        <v>17739</v>
      </c>
      <c r="BE588" s="89">
        <v>2020</v>
      </c>
      <c r="BF588" s="89">
        <v>12</v>
      </c>
      <c r="BG588" s="89">
        <v>18</v>
      </c>
      <c r="BH588" s="89" t="s">
        <v>646</v>
      </c>
      <c r="BI588" s="89" t="s">
        <v>646</v>
      </c>
      <c r="BJ588" s="89" t="s">
        <v>646</v>
      </c>
      <c r="BK588" s="89" t="s">
        <v>646</v>
      </c>
      <c r="BL588" s="89" t="s">
        <v>646</v>
      </c>
      <c r="BM588" s="89" t="s">
        <v>646</v>
      </c>
      <c r="BN588" s="89">
        <v>7470</v>
      </c>
      <c r="BO588" s="89" t="str">
        <f>HYPERLINK("http://dx.doi.org/10.3390/su12187470","http://dx.doi.org/10.3390/su12187470")</f>
        <v>http://dx.doi.org/10.3390/su12187470</v>
      </c>
      <c r="BP588" s="89" t="s">
        <v>646</v>
      </c>
      <c r="BQ588" s="89" t="s">
        <v>646</v>
      </c>
      <c r="BR588" s="89" t="s">
        <v>646</v>
      </c>
      <c r="BS588" s="89" t="s">
        <v>646</v>
      </c>
      <c r="BT588" s="89" t="s">
        <v>646</v>
      </c>
      <c r="BU588" s="89" t="s">
        <v>646</v>
      </c>
      <c r="BV588" s="89" t="s">
        <v>646</v>
      </c>
      <c r="BW588" s="89" t="s">
        <v>646</v>
      </c>
      <c r="BX588" s="89" t="s">
        <v>646</v>
      </c>
      <c r="BY588" s="89" t="s">
        <v>646</v>
      </c>
      <c r="BZ588" s="89" t="s">
        <v>646</v>
      </c>
      <c r="CA588" s="89" t="s">
        <v>646</v>
      </c>
      <c r="CB588" s="89" t="s">
        <v>22347</v>
      </c>
      <c r="CC588" s="89" t="str">
        <f>HYPERLINK("https%3A%2F%2Fwww.webofscience.com%2Fwos%2Fwoscc%2Ffull-record%2FWOS:000584416700001","View Full Record in Web of Science")</f>
        <v>View Full Record in Web of Science</v>
      </c>
    </row>
    <row r="589" spans="1:81" ht="13.2" hidden="1" x14ac:dyDescent="0.25">
      <c r="A589" s="89" t="s">
        <v>1499</v>
      </c>
      <c r="B589" s="89" t="e">
        <f>+#REF!</f>
        <v>#REF!</v>
      </c>
      <c r="C589" s="89"/>
      <c r="D589" s="91" t="s">
        <v>717</v>
      </c>
      <c r="E589" s="90" t="e">
        <v>#REF!</v>
      </c>
      <c r="F589" s="89"/>
      <c r="G589" s="89"/>
      <c r="H589" s="89" t="s">
        <v>1501</v>
      </c>
      <c r="I589" s="89" t="s">
        <v>22348</v>
      </c>
      <c r="J589" s="89" t="s">
        <v>22351</v>
      </c>
      <c r="K589" s="89" t="s">
        <v>22350</v>
      </c>
      <c r="M589" s="89">
        <v>2018</v>
      </c>
      <c r="N589" s="89" t="s">
        <v>22349</v>
      </c>
      <c r="O589" s="89" t="s">
        <v>646</v>
      </c>
      <c r="P589" s="89" t="str">
        <f>HYPERLINK("http://dx.doi.org/10.1007/s13042-015-0370-5","http://dx.doi.org/10.1007/s13042-015-0370-5")</f>
        <v>http://dx.doi.org/10.1007/s13042-015-0370-5</v>
      </c>
      <c r="S589" s="89" t="s">
        <v>646</v>
      </c>
      <c r="U589" s="89" t="s">
        <v>17462</v>
      </c>
      <c r="W589" s="89" t="s">
        <v>646</v>
      </c>
      <c r="X589" s="89" t="s">
        <v>646</v>
      </c>
      <c r="Y589" s="89" t="s">
        <v>646</v>
      </c>
      <c r="Z589" s="89" t="s">
        <v>646</v>
      </c>
      <c r="AA589" s="89" t="s">
        <v>646</v>
      </c>
      <c r="AB589" s="89" t="s">
        <v>646</v>
      </c>
      <c r="AC589" s="89" t="s">
        <v>646</v>
      </c>
      <c r="AD589" s="89" t="s">
        <v>646</v>
      </c>
      <c r="AE589" s="89" t="s">
        <v>646</v>
      </c>
      <c r="AF589" s="89" t="s">
        <v>22350</v>
      </c>
      <c r="AG589" s="89" t="s">
        <v>646</v>
      </c>
      <c r="AH589" s="89" t="s">
        <v>646</v>
      </c>
      <c r="AI589" s="89" t="s">
        <v>646</v>
      </c>
      <c r="AJ589" s="89" t="s">
        <v>646</v>
      </c>
      <c r="AK589" s="89" t="s">
        <v>22351</v>
      </c>
      <c r="AL589" s="89" t="s">
        <v>22352</v>
      </c>
      <c r="AM589" s="89" t="s">
        <v>646</v>
      </c>
      <c r="AN589" s="89" t="s">
        <v>646</v>
      </c>
      <c r="AO589" s="89" t="s">
        <v>646</v>
      </c>
      <c r="AP589" s="89" t="s">
        <v>646</v>
      </c>
      <c r="AQ589" s="89" t="s">
        <v>646</v>
      </c>
      <c r="AR589" s="89" t="s">
        <v>646</v>
      </c>
      <c r="AS589" s="89" t="s">
        <v>646</v>
      </c>
      <c r="AT589" s="89" t="s">
        <v>646</v>
      </c>
      <c r="AU589" s="89" t="s">
        <v>646</v>
      </c>
      <c r="AV589" s="89" t="s">
        <v>646</v>
      </c>
      <c r="AW589" s="89" t="s">
        <v>646</v>
      </c>
      <c r="AX589" s="89" t="s">
        <v>646</v>
      </c>
      <c r="AY589" s="89" t="s">
        <v>22353</v>
      </c>
      <c r="AZ589" s="89" t="s">
        <v>22354</v>
      </c>
      <c r="BA589" s="89" t="s">
        <v>646</v>
      </c>
      <c r="BB589" s="89" t="s">
        <v>646</v>
      </c>
      <c r="BC589" s="89" t="s">
        <v>646</v>
      </c>
      <c r="BD589" s="89" t="s">
        <v>17658</v>
      </c>
      <c r="BE589" s="89">
        <v>2018</v>
      </c>
      <c r="BF589" s="89">
        <v>9</v>
      </c>
      <c r="BG589" s="89">
        <v>2</v>
      </c>
      <c r="BH589" s="89" t="s">
        <v>646</v>
      </c>
      <c r="BI589" s="89" t="s">
        <v>646</v>
      </c>
      <c r="BJ589" s="89" t="s">
        <v>646</v>
      </c>
      <c r="BK589" s="89" t="s">
        <v>646</v>
      </c>
      <c r="BL589" s="89">
        <v>225</v>
      </c>
      <c r="BM589" s="89">
        <v>241</v>
      </c>
      <c r="BN589" s="89" t="s">
        <v>646</v>
      </c>
      <c r="BO589" s="89" t="str">
        <f>HYPERLINK("http://dx.doi.org/10.1007/s13042-015-0370-5","http://dx.doi.org/10.1007/s13042-015-0370-5")</f>
        <v>http://dx.doi.org/10.1007/s13042-015-0370-5</v>
      </c>
      <c r="BP589" s="89" t="s">
        <v>646</v>
      </c>
      <c r="BQ589" s="89" t="s">
        <v>646</v>
      </c>
      <c r="BR589" s="89" t="s">
        <v>646</v>
      </c>
      <c r="BS589" s="89" t="s">
        <v>646</v>
      </c>
      <c r="BT589" s="89" t="s">
        <v>646</v>
      </c>
      <c r="BU589" s="89" t="s">
        <v>646</v>
      </c>
      <c r="BV589" s="89" t="s">
        <v>646</v>
      </c>
      <c r="BW589" s="89" t="s">
        <v>646</v>
      </c>
      <c r="BX589" s="89" t="s">
        <v>646</v>
      </c>
      <c r="BY589" s="89" t="s">
        <v>646</v>
      </c>
      <c r="BZ589" s="89" t="s">
        <v>646</v>
      </c>
      <c r="CA589" s="89" t="s">
        <v>646</v>
      </c>
      <c r="CB589" s="89" t="s">
        <v>22355</v>
      </c>
      <c r="CC589" s="89" t="str">
        <f>HYPERLINK("https%3A%2F%2Fwww.webofscience.com%2Fwos%2Fwoscc%2Ffull-record%2FWOS:000422948600004","View Full Record in Web of Science")</f>
        <v>View Full Record in Web of Science</v>
      </c>
    </row>
    <row r="590" spans="1:81" ht="13.2" hidden="1" x14ac:dyDescent="0.25">
      <c r="A590" s="89" t="s">
        <v>22356</v>
      </c>
      <c r="B590" s="89" t="e">
        <f>+#REF!</f>
        <v>#REF!</v>
      </c>
      <c r="C590" s="89"/>
      <c r="D590" s="91" t="s">
        <v>717</v>
      </c>
      <c r="E590" s="90" t="e">
        <v>#REF!</v>
      </c>
      <c r="F590" s="89"/>
      <c r="G590" s="89"/>
      <c r="H590" s="89" t="s">
        <v>646</v>
      </c>
      <c r="I590" s="89" t="s">
        <v>22358</v>
      </c>
      <c r="J590" s="89" t="s">
        <v>646</v>
      </c>
      <c r="K590" s="89" t="s">
        <v>22364</v>
      </c>
      <c r="M590" s="89">
        <v>2015</v>
      </c>
      <c r="N590" s="89" t="s">
        <v>22359</v>
      </c>
      <c r="O590" s="89" t="s">
        <v>22357</v>
      </c>
      <c r="P590" s="89" t="s">
        <v>646</v>
      </c>
      <c r="S590" s="89" t="s">
        <v>646</v>
      </c>
      <c r="U590" s="89" t="s">
        <v>17474</v>
      </c>
      <c r="W590" s="89" t="s">
        <v>646</v>
      </c>
      <c r="X590" s="89" t="s">
        <v>646</v>
      </c>
      <c r="Y590" s="89" t="s">
        <v>22360</v>
      </c>
      <c r="Z590" s="89" t="s">
        <v>22361</v>
      </c>
      <c r="AA590" s="89" t="s">
        <v>22362</v>
      </c>
      <c r="AB590" s="89" t="s">
        <v>22363</v>
      </c>
      <c r="AC590" s="89" t="s">
        <v>646</v>
      </c>
      <c r="AD590" s="89" t="s">
        <v>646</v>
      </c>
      <c r="AE590" s="89" t="s">
        <v>646</v>
      </c>
      <c r="AF590" s="89" t="s">
        <v>22364</v>
      </c>
      <c r="AG590" s="89" t="s">
        <v>646</v>
      </c>
      <c r="AH590" s="89" t="s">
        <v>646</v>
      </c>
      <c r="AI590" s="89" t="s">
        <v>646</v>
      </c>
      <c r="AJ590" s="89" t="s">
        <v>646</v>
      </c>
      <c r="AK590" s="89" t="s">
        <v>646</v>
      </c>
      <c r="AL590" s="89" t="s">
        <v>646</v>
      </c>
      <c r="AM590" s="89" t="s">
        <v>646</v>
      </c>
      <c r="AN590" s="89" t="s">
        <v>646</v>
      </c>
      <c r="AO590" s="89" t="s">
        <v>646</v>
      </c>
      <c r="AP590" s="89" t="s">
        <v>646</v>
      </c>
      <c r="AQ590" s="89" t="s">
        <v>646</v>
      </c>
      <c r="AR590" s="89" t="s">
        <v>646</v>
      </c>
      <c r="AS590" s="89" t="s">
        <v>646</v>
      </c>
      <c r="AT590" s="89" t="s">
        <v>646</v>
      </c>
      <c r="AU590" s="89" t="s">
        <v>646</v>
      </c>
      <c r="AV590" s="89" t="s">
        <v>646</v>
      </c>
      <c r="AW590" s="89" t="s">
        <v>646</v>
      </c>
      <c r="AX590" s="89" t="s">
        <v>646</v>
      </c>
      <c r="AY590" s="89" t="s">
        <v>646</v>
      </c>
      <c r="AZ590" s="89" t="s">
        <v>646</v>
      </c>
      <c r="BA590" s="89" t="s">
        <v>22365</v>
      </c>
      <c r="BB590" s="89" t="s">
        <v>646</v>
      </c>
      <c r="BC590" s="89" t="s">
        <v>646</v>
      </c>
      <c r="BD590" s="89" t="s">
        <v>646</v>
      </c>
      <c r="BE590" s="89">
        <v>2015</v>
      </c>
      <c r="BF590" s="89" t="s">
        <v>646</v>
      </c>
      <c r="BG590" s="89" t="s">
        <v>646</v>
      </c>
      <c r="BH590" s="89" t="s">
        <v>646</v>
      </c>
      <c r="BI590" s="89" t="s">
        <v>646</v>
      </c>
      <c r="BJ590" s="89" t="s">
        <v>646</v>
      </c>
      <c r="BK590" s="89" t="s">
        <v>646</v>
      </c>
      <c r="BL590" s="89">
        <v>287</v>
      </c>
      <c r="BM590" s="89">
        <v>294</v>
      </c>
      <c r="BN590" s="89" t="s">
        <v>646</v>
      </c>
      <c r="BO590" s="89" t="s">
        <v>646</v>
      </c>
      <c r="BP590" s="89" t="s">
        <v>646</v>
      </c>
      <c r="BQ590" s="89" t="s">
        <v>646</v>
      </c>
      <c r="BR590" s="89" t="s">
        <v>646</v>
      </c>
      <c r="BS590" s="89" t="s">
        <v>646</v>
      </c>
      <c r="BT590" s="89" t="s">
        <v>646</v>
      </c>
      <c r="BU590" s="89" t="s">
        <v>646</v>
      </c>
      <c r="BV590" s="89" t="s">
        <v>646</v>
      </c>
      <c r="BW590" s="89" t="s">
        <v>646</v>
      </c>
      <c r="BX590" s="89" t="s">
        <v>646</v>
      </c>
      <c r="BY590" s="89" t="s">
        <v>646</v>
      </c>
      <c r="BZ590" s="89" t="s">
        <v>646</v>
      </c>
      <c r="CA590" s="89" t="s">
        <v>646</v>
      </c>
      <c r="CB590" s="89" t="s">
        <v>22366</v>
      </c>
      <c r="CC590" s="89" t="str">
        <f>HYPERLINK("https%3A%2F%2Fwww.webofscience.com%2Fwos%2Fwoscc%2Ffull-record%2FWOS:000380469300050","View Full Record in Web of Science")</f>
        <v>View Full Record in Web of Science</v>
      </c>
    </row>
    <row r="591" spans="1:81" ht="13.2" hidden="1" x14ac:dyDescent="0.25">
      <c r="A591" s="89" t="s">
        <v>22367</v>
      </c>
      <c r="B591" s="89" t="e">
        <f>+#REF!</f>
        <v>#REF!</v>
      </c>
      <c r="C591" s="89"/>
      <c r="D591" s="91" t="s">
        <v>717</v>
      </c>
      <c r="E591" s="90" t="e">
        <v>#REF!</v>
      </c>
      <c r="F591" s="89"/>
      <c r="G591" s="89"/>
      <c r="H591" s="89" t="s">
        <v>13626</v>
      </c>
      <c r="I591" s="89" t="s">
        <v>22368</v>
      </c>
      <c r="J591" s="89" t="s">
        <v>646</v>
      </c>
      <c r="K591" s="89" t="s">
        <v>22370</v>
      </c>
      <c r="M591" s="89">
        <v>2012</v>
      </c>
      <c r="N591" s="89" t="s">
        <v>22369</v>
      </c>
      <c r="O591" s="89" t="s">
        <v>646</v>
      </c>
      <c r="P591" s="89" t="str">
        <f>HYPERLINK("http://dx.doi.org/10.3233/WOR-2012-0741-4428","http://dx.doi.org/10.3233/WOR-2012-0741-4428")</f>
        <v>http://dx.doi.org/10.3233/WOR-2012-0741-4428</v>
      </c>
      <c r="S591" s="89" t="s">
        <v>646</v>
      </c>
      <c r="U591" s="89" t="s">
        <v>17462</v>
      </c>
      <c r="W591" s="89" t="s">
        <v>646</v>
      </c>
      <c r="X591" s="89" t="s">
        <v>646</v>
      </c>
      <c r="Y591" s="89" t="s">
        <v>646</v>
      </c>
      <c r="Z591" s="89" t="s">
        <v>646</v>
      </c>
      <c r="AA591" s="89" t="s">
        <v>646</v>
      </c>
      <c r="AB591" s="89" t="s">
        <v>646</v>
      </c>
      <c r="AC591" s="89" t="s">
        <v>646</v>
      </c>
      <c r="AD591" s="89" t="s">
        <v>646</v>
      </c>
      <c r="AE591" s="89" t="s">
        <v>646</v>
      </c>
      <c r="AF591" s="89" t="s">
        <v>22370</v>
      </c>
      <c r="AG591" s="89" t="s">
        <v>646</v>
      </c>
      <c r="AH591" s="89" t="s">
        <v>646</v>
      </c>
      <c r="AI591" s="89" t="s">
        <v>646</v>
      </c>
      <c r="AJ591" s="89" t="s">
        <v>646</v>
      </c>
      <c r="AK591" s="89" t="s">
        <v>646</v>
      </c>
      <c r="AL591" s="89" t="s">
        <v>646</v>
      </c>
      <c r="AM591" s="89" t="s">
        <v>646</v>
      </c>
      <c r="AN591" s="89" t="s">
        <v>646</v>
      </c>
      <c r="AO591" s="89" t="s">
        <v>646</v>
      </c>
      <c r="AP591" s="89" t="s">
        <v>646</v>
      </c>
      <c r="AQ591" s="89" t="s">
        <v>646</v>
      </c>
      <c r="AR591" s="89" t="s">
        <v>646</v>
      </c>
      <c r="AS591" s="89" t="s">
        <v>646</v>
      </c>
      <c r="AT591" s="89" t="s">
        <v>646</v>
      </c>
      <c r="AU591" s="89" t="s">
        <v>646</v>
      </c>
      <c r="AV591" s="89" t="s">
        <v>646</v>
      </c>
      <c r="AW591" s="89" t="s">
        <v>646</v>
      </c>
      <c r="AX591" s="89" t="s">
        <v>646</v>
      </c>
      <c r="AY591" s="89" t="s">
        <v>22371</v>
      </c>
      <c r="AZ591" s="89" t="s">
        <v>22372</v>
      </c>
      <c r="BA591" s="89" t="s">
        <v>646</v>
      </c>
      <c r="BB591" s="89" t="s">
        <v>646</v>
      </c>
      <c r="BC591" s="89" t="s">
        <v>646</v>
      </c>
      <c r="BD591" s="89" t="s">
        <v>646</v>
      </c>
      <c r="BE591" s="89">
        <v>2012</v>
      </c>
      <c r="BF591" s="89">
        <v>41</v>
      </c>
      <c r="BG591" s="89" t="s">
        <v>646</v>
      </c>
      <c r="BH591" s="89" t="s">
        <v>646</v>
      </c>
      <c r="BI591" s="89">
        <v>1</v>
      </c>
      <c r="BJ591" s="89" t="s">
        <v>646</v>
      </c>
      <c r="BK591" s="89" t="s">
        <v>646</v>
      </c>
      <c r="BL591" s="89">
        <v>4428</v>
      </c>
      <c r="BM591" s="89">
        <v>4432</v>
      </c>
      <c r="BN591" s="89" t="s">
        <v>646</v>
      </c>
      <c r="BO591" s="89" t="str">
        <f>HYPERLINK("http://dx.doi.org/10.3233/WOR-2012-0741-4428","http://dx.doi.org/10.3233/WOR-2012-0741-4428")</f>
        <v>http://dx.doi.org/10.3233/WOR-2012-0741-4428</v>
      </c>
      <c r="BP591" s="89" t="s">
        <v>646</v>
      </c>
      <c r="BQ591" s="89" t="s">
        <v>646</v>
      </c>
      <c r="BR591" s="89" t="s">
        <v>646</v>
      </c>
      <c r="BS591" s="89" t="s">
        <v>646</v>
      </c>
      <c r="BT591" s="89" t="s">
        <v>646</v>
      </c>
      <c r="BU591" s="89" t="s">
        <v>646</v>
      </c>
      <c r="BV591" s="89" t="s">
        <v>646</v>
      </c>
      <c r="BW591" s="89">
        <v>22317401</v>
      </c>
      <c r="BX591" s="89" t="s">
        <v>646</v>
      </c>
      <c r="BY591" s="89" t="s">
        <v>646</v>
      </c>
      <c r="BZ591" s="89" t="s">
        <v>646</v>
      </c>
      <c r="CA591" s="89" t="s">
        <v>646</v>
      </c>
      <c r="CB591" s="89" t="s">
        <v>22373</v>
      </c>
      <c r="CC591" s="89" t="str">
        <f>HYPERLINK("https%3A%2F%2Fwww.webofscience.com%2Fwos%2Fwoscc%2Ffull-record%2FWOS:000306361804091","View Full Record in Web of Science")</f>
        <v>View Full Record in Web of Science</v>
      </c>
    </row>
    <row r="592" spans="1:81" ht="13.2" hidden="1" x14ac:dyDescent="0.25">
      <c r="A592" s="89" t="s">
        <v>13635</v>
      </c>
      <c r="B592" s="89" t="e">
        <f>+#REF!</f>
        <v>#REF!</v>
      </c>
      <c r="C592" s="89"/>
      <c r="D592" s="91" t="s">
        <v>717</v>
      </c>
      <c r="E592" s="90" t="e">
        <v>#REF!</v>
      </c>
      <c r="F592" s="89"/>
      <c r="G592" s="89"/>
      <c r="H592" s="89" t="s">
        <v>13636</v>
      </c>
      <c r="I592" s="89" t="s">
        <v>22374</v>
      </c>
      <c r="J592" s="89" t="s">
        <v>646</v>
      </c>
      <c r="K592" s="89" t="s">
        <v>22376</v>
      </c>
      <c r="M592" s="89">
        <v>2019</v>
      </c>
      <c r="N592" s="89" t="s">
        <v>22375</v>
      </c>
      <c r="O592" s="89" t="s">
        <v>646</v>
      </c>
      <c r="P592" s="89" t="str">
        <f>HYPERLINK("http://dx.doi.org/10.1111/1467-923X.12775","http://dx.doi.org/10.1111/1467-923X.12775")</f>
        <v>http://dx.doi.org/10.1111/1467-923X.12775</v>
      </c>
      <c r="S592" s="89" t="s">
        <v>646</v>
      </c>
      <c r="U592" s="89" t="s">
        <v>17462</v>
      </c>
      <c r="W592" s="89" t="s">
        <v>646</v>
      </c>
      <c r="X592" s="89" t="s">
        <v>646</v>
      </c>
      <c r="Y592" s="89" t="s">
        <v>646</v>
      </c>
      <c r="Z592" s="89" t="s">
        <v>646</v>
      </c>
      <c r="AA592" s="89" t="s">
        <v>646</v>
      </c>
      <c r="AB592" s="89" t="s">
        <v>646</v>
      </c>
      <c r="AC592" s="89" t="s">
        <v>646</v>
      </c>
      <c r="AD592" s="89" t="s">
        <v>646</v>
      </c>
      <c r="AE592" s="89" t="s">
        <v>646</v>
      </c>
      <c r="AF592" s="89" t="s">
        <v>22376</v>
      </c>
      <c r="AG592" s="89" t="s">
        <v>646</v>
      </c>
      <c r="AH592" s="89" t="s">
        <v>646</v>
      </c>
      <c r="AI592" s="89" t="s">
        <v>646</v>
      </c>
      <c r="AJ592" s="89" t="s">
        <v>646</v>
      </c>
      <c r="AK592" s="89" t="s">
        <v>646</v>
      </c>
      <c r="AL592" s="89" t="s">
        <v>646</v>
      </c>
      <c r="AM592" s="89" t="s">
        <v>646</v>
      </c>
      <c r="AN592" s="89" t="s">
        <v>646</v>
      </c>
      <c r="AO592" s="89" t="s">
        <v>646</v>
      </c>
      <c r="AP592" s="89" t="s">
        <v>646</v>
      </c>
      <c r="AQ592" s="89" t="s">
        <v>646</v>
      </c>
      <c r="AR592" s="89" t="s">
        <v>646</v>
      </c>
      <c r="AS592" s="89" t="s">
        <v>646</v>
      </c>
      <c r="AT592" s="89" t="s">
        <v>646</v>
      </c>
      <c r="AU592" s="89" t="s">
        <v>646</v>
      </c>
      <c r="AV592" s="89" t="s">
        <v>646</v>
      </c>
      <c r="AW592" s="89" t="s">
        <v>646</v>
      </c>
      <c r="AX592" s="89" t="s">
        <v>646</v>
      </c>
      <c r="AY592" s="89" t="s">
        <v>22377</v>
      </c>
      <c r="AZ592" s="89" t="s">
        <v>22378</v>
      </c>
      <c r="BA592" s="89" t="s">
        <v>646</v>
      </c>
      <c r="BB592" s="89" t="s">
        <v>646</v>
      </c>
      <c r="BC592" s="89" t="s">
        <v>646</v>
      </c>
      <c r="BD592" s="89" t="s">
        <v>17687</v>
      </c>
      <c r="BE592" s="89">
        <v>2019</v>
      </c>
      <c r="BF592" s="89">
        <v>90</v>
      </c>
      <c r="BG592" s="89">
        <v>4</v>
      </c>
      <c r="BH592" s="89" t="s">
        <v>646</v>
      </c>
      <c r="BI592" s="89" t="s">
        <v>646</v>
      </c>
      <c r="BJ592" s="89" t="s">
        <v>646</v>
      </c>
      <c r="BK592" s="89" t="s">
        <v>646</v>
      </c>
      <c r="BL592" s="89">
        <v>620</v>
      </c>
      <c r="BM592" s="89">
        <v>628</v>
      </c>
      <c r="BN592" s="89" t="s">
        <v>646</v>
      </c>
      <c r="BO592" s="89" t="str">
        <f>HYPERLINK("http://dx.doi.org/10.1111/1467-923X.12775","http://dx.doi.org/10.1111/1467-923X.12775")</f>
        <v>http://dx.doi.org/10.1111/1467-923X.12775</v>
      </c>
      <c r="BP592" s="89" t="s">
        <v>646</v>
      </c>
      <c r="BQ592" s="89" t="s">
        <v>19670</v>
      </c>
      <c r="BR592" s="89" t="s">
        <v>646</v>
      </c>
      <c r="BS592" s="89" t="s">
        <v>646</v>
      </c>
      <c r="BT592" s="89" t="s">
        <v>646</v>
      </c>
      <c r="BU592" s="89" t="s">
        <v>646</v>
      </c>
      <c r="BV592" s="89" t="s">
        <v>646</v>
      </c>
      <c r="BW592" s="89" t="s">
        <v>646</v>
      </c>
      <c r="BX592" s="89" t="s">
        <v>646</v>
      </c>
      <c r="BY592" s="89" t="s">
        <v>646</v>
      </c>
      <c r="BZ592" s="89" t="s">
        <v>646</v>
      </c>
      <c r="CA592" s="89" t="s">
        <v>646</v>
      </c>
      <c r="CB592" s="89" t="s">
        <v>22379</v>
      </c>
      <c r="CC592" s="89" t="str">
        <f>HYPERLINK("https%3A%2F%2Fwww.webofscience.com%2Fwos%2Fwoscc%2Ffull-record%2FWOS:000493780700001","View Full Record in Web of Science")</f>
        <v>View Full Record in Web of Science</v>
      </c>
    </row>
    <row r="593" spans="1:81" ht="13.2" hidden="1" x14ac:dyDescent="0.25">
      <c r="A593" s="89" t="s">
        <v>13643</v>
      </c>
      <c r="B593" s="89" t="e">
        <f>+#REF!</f>
        <v>#REF!</v>
      </c>
      <c r="C593" s="89"/>
      <c r="D593" s="91" t="s">
        <v>717</v>
      </c>
      <c r="E593" s="90" t="e">
        <v>#REF!</v>
      </c>
      <c r="F593" s="89"/>
      <c r="G593" s="89"/>
      <c r="H593" s="89" t="s">
        <v>646</v>
      </c>
      <c r="I593" s="89" t="s">
        <v>22381</v>
      </c>
      <c r="J593" s="89" t="s">
        <v>22388</v>
      </c>
      <c r="K593" s="89" t="s">
        <v>22387</v>
      </c>
      <c r="M593" s="89">
        <v>2008</v>
      </c>
      <c r="N593" s="89" t="s">
        <v>22382</v>
      </c>
      <c r="O593" s="89" t="s">
        <v>22380</v>
      </c>
      <c r="P593" s="89" t="s">
        <v>646</v>
      </c>
      <c r="S593" s="89" t="s">
        <v>646</v>
      </c>
      <c r="U593" s="89" t="s">
        <v>17474</v>
      </c>
      <c r="W593" s="89" t="s">
        <v>646</v>
      </c>
      <c r="X593" s="89" t="s">
        <v>646</v>
      </c>
      <c r="Y593" s="89" t="s">
        <v>22383</v>
      </c>
      <c r="Z593" s="89" t="s">
        <v>22384</v>
      </c>
      <c r="AA593" s="89" t="s">
        <v>22385</v>
      </c>
      <c r="AB593" s="89" t="s">
        <v>22386</v>
      </c>
      <c r="AC593" s="89" t="s">
        <v>646</v>
      </c>
      <c r="AD593" s="89" t="s">
        <v>646</v>
      </c>
      <c r="AE593" s="89" t="s">
        <v>646</v>
      </c>
      <c r="AF593" s="89" t="s">
        <v>22387</v>
      </c>
      <c r="AG593" s="89" t="s">
        <v>646</v>
      </c>
      <c r="AH593" s="89" t="s">
        <v>646</v>
      </c>
      <c r="AI593" s="89" t="s">
        <v>646</v>
      </c>
      <c r="AJ593" s="89" t="s">
        <v>646</v>
      </c>
      <c r="AK593" s="89" t="s">
        <v>22388</v>
      </c>
      <c r="AL593" s="89" t="s">
        <v>22389</v>
      </c>
      <c r="AM593" s="89" t="s">
        <v>646</v>
      </c>
      <c r="AN593" s="89" t="s">
        <v>646</v>
      </c>
      <c r="AO593" s="89" t="s">
        <v>646</v>
      </c>
      <c r="AP593" s="89" t="s">
        <v>646</v>
      </c>
      <c r="AQ593" s="89" t="s">
        <v>646</v>
      </c>
      <c r="AR593" s="89" t="s">
        <v>646</v>
      </c>
      <c r="AS593" s="89" t="s">
        <v>646</v>
      </c>
      <c r="AT593" s="89" t="s">
        <v>646</v>
      </c>
      <c r="AU593" s="89" t="s">
        <v>646</v>
      </c>
      <c r="AV593" s="89" t="s">
        <v>646</v>
      </c>
      <c r="AW593" s="89" t="s">
        <v>646</v>
      </c>
      <c r="AX593" s="89" t="s">
        <v>646</v>
      </c>
      <c r="AY593" s="89" t="s">
        <v>18367</v>
      </c>
      <c r="AZ593" s="89" t="s">
        <v>18884</v>
      </c>
      <c r="BA593" s="89" t="s">
        <v>22390</v>
      </c>
      <c r="BB593" s="89" t="s">
        <v>646</v>
      </c>
      <c r="BC593" s="89" t="s">
        <v>646</v>
      </c>
      <c r="BD593" s="89" t="s">
        <v>646</v>
      </c>
      <c r="BE593" s="89">
        <v>2008</v>
      </c>
      <c r="BF593" s="89">
        <v>5082</v>
      </c>
      <c r="BG593" s="89" t="s">
        <v>646</v>
      </c>
      <c r="BH593" s="89" t="s">
        <v>646</v>
      </c>
      <c r="BI593" s="89" t="s">
        <v>646</v>
      </c>
      <c r="BJ593" s="89" t="s">
        <v>646</v>
      </c>
      <c r="BK593" s="89" t="s">
        <v>646</v>
      </c>
      <c r="BL593" s="89">
        <v>208</v>
      </c>
      <c r="BM593" s="89" t="s">
        <v>18405</v>
      </c>
      <c r="BN593" s="89" t="s">
        <v>646</v>
      </c>
      <c r="BO593" s="89" t="s">
        <v>646</v>
      </c>
      <c r="BP593" s="89" t="s">
        <v>646</v>
      </c>
      <c r="BQ593" s="89" t="s">
        <v>646</v>
      </c>
      <c r="BR593" s="89" t="s">
        <v>646</v>
      </c>
      <c r="BS593" s="89" t="s">
        <v>646</v>
      </c>
      <c r="BT593" s="89" t="s">
        <v>646</v>
      </c>
      <c r="BU593" s="89" t="s">
        <v>646</v>
      </c>
      <c r="BV593" s="89" t="s">
        <v>646</v>
      </c>
      <c r="BW593" s="89" t="s">
        <v>646</v>
      </c>
      <c r="BX593" s="89" t="s">
        <v>646</v>
      </c>
      <c r="BY593" s="89" t="s">
        <v>646</v>
      </c>
      <c r="BZ593" s="89" t="s">
        <v>646</v>
      </c>
      <c r="CA593" s="89" t="s">
        <v>646</v>
      </c>
      <c r="CB593" s="89" t="s">
        <v>22391</v>
      </c>
      <c r="CC593" s="89" t="str">
        <f>HYPERLINK("https%3A%2F%2Fwww.webofscience.com%2Fwos%2Fwoscc%2Ffull-record%2FWOS:000258930500017","View Full Record in Web of Science")</f>
        <v>View Full Record in Web of Science</v>
      </c>
    </row>
    <row r="594" spans="1:81" ht="13.2" hidden="1" x14ac:dyDescent="0.25">
      <c r="A594" s="89" t="s">
        <v>13652</v>
      </c>
      <c r="B594" s="89" t="e">
        <f>+#REF!</f>
        <v>#REF!</v>
      </c>
      <c r="C594" s="89"/>
      <c r="D594" s="91" t="s">
        <v>717</v>
      </c>
      <c r="E594" s="90" t="e">
        <v>#REF!</v>
      </c>
      <c r="F594" s="89"/>
      <c r="G594" s="89"/>
      <c r="H594" s="89" t="s">
        <v>13653</v>
      </c>
      <c r="I594" s="89" t="s">
        <v>22392</v>
      </c>
      <c r="J594" s="89" t="s">
        <v>646</v>
      </c>
      <c r="K594" s="89" t="s">
        <v>22394</v>
      </c>
      <c r="M594" s="89">
        <v>2018</v>
      </c>
      <c r="N594" s="89" t="s">
        <v>22393</v>
      </c>
      <c r="O594" s="89" t="s">
        <v>646</v>
      </c>
      <c r="P594" s="89" t="str">
        <f>HYPERLINK("http://dx.doi.org/10.1093/ejo/cjx040","http://dx.doi.org/10.1093/ejo/cjx040")</f>
        <v>http://dx.doi.org/10.1093/ejo/cjx040</v>
      </c>
      <c r="S594" s="89" t="s">
        <v>646</v>
      </c>
      <c r="U594" s="89" t="s">
        <v>17462</v>
      </c>
      <c r="W594" s="89" t="s">
        <v>646</v>
      </c>
      <c r="X594" s="89" t="s">
        <v>646</v>
      </c>
      <c r="Y594" s="89" t="s">
        <v>646</v>
      </c>
      <c r="Z594" s="89" t="s">
        <v>646</v>
      </c>
      <c r="AA594" s="89" t="s">
        <v>646</v>
      </c>
      <c r="AB594" s="89" t="s">
        <v>646</v>
      </c>
      <c r="AC594" s="89" t="s">
        <v>646</v>
      </c>
      <c r="AD594" s="89" t="s">
        <v>646</v>
      </c>
      <c r="AE594" s="89" t="s">
        <v>646</v>
      </c>
      <c r="AF594" s="89" t="s">
        <v>22394</v>
      </c>
      <c r="AG594" s="89" t="s">
        <v>646</v>
      </c>
      <c r="AH594" s="89" t="s">
        <v>646</v>
      </c>
      <c r="AI594" s="89" t="s">
        <v>646</v>
      </c>
      <c r="AJ594" s="89" t="s">
        <v>646</v>
      </c>
      <c r="AK594" s="89" t="s">
        <v>646</v>
      </c>
      <c r="AL594" s="89" t="s">
        <v>22395</v>
      </c>
      <c r="AM594" s="89" t="s">
        <v>646</v>
      </c>
      <c r="AN594" s="89" t="s">
        <v>646</v>
      </c>
      <c r="AO594" s="89" t="s">
        <v>646</v>
      </c>
      <c r="AP594" s="89" t="s">
        <v>646</v>
      </c>
      <c r="AQ594" s="89" t="s">
        <v>646</v>
      </c>
      <c r="AR594" s="89" t="s">
        <v>646</v>
      </c>
      <c r="AS594" s="89" t="s">
        <v>646</v>
      </c>
      <c r="AT594" s="89" t="s">
        <v>646</v>
      </c>
      <c r="AU594" s="89" t="s">
        <v>646</v>
      </c>
      <c r="AV594" s="89" t="s">
        <v>646</v>
      </c>
      <c r="AW594" s="89" t="s">
        <v>646</v>
      </c>
      <c r="AX594" s="89" t="s">
        <v>646</v>
      </c>
      <c r="AY594" s="89" t="s">
        <v>22396</v>
      </c>
      <c r="AZ594" s="89" t="s">
        <v>22397</v>
      </c>
      <c r="BA594" s="89" t="s">
        <v>646</v>
      </c>
      <c r="BB594" s="89" t="s">
        <v>646</v>
      </c>
      <c r="BC594" s="89" t="s">
        <v>646</v>
      </c>
      <c r="BD594" s="89" t="s">
        <v>17658</v>
      </c>
      <c r="BE594" s="89">
        <v>2018</v>
      </c>
      <c r="BF594" s="89">
        <v>40</v>
      </c>
      <c r="BG594" s="89">
        <v>1</v>
      </c>
      <c r="BH594" s="89" t="s">
        <v>646</v>
      </c>
      <c r="BI594" s="89" t="s">
        <v>646</v>
      </c>
      <c r="BJ594" s="89" t="s">
        <v>646</v>
      </c>
      <c r="BK594" s="89" t="s">
        <v>646</v>
      </c>
      <c r="BL594" s="89">
        <v>52</v>
      </c>
      <c r="BM594" s="89">
        <v>57</v>
      </c>
      <c r="BN594" s="89" t="s">
        <v>646</v>
      </c>
      <c r="BO594" s="89" t="str">
        <f>HYPERLINK("http://dx.doi.org/10.1093/ejo/cjx040","http://dx.doi.org/10.1093/ejo/cjx040")</f>
        <v>http://dx.doi.org/10.1093/ejo/cjx040</v>
      </c>
      <c r="BP594" s="89" t="s">
        <v>646</v>
      </c>
      <c r="BQ594" s="89" t="s">
        <v>646</v>
      </c>
      <c r="BR594" s="89" t="s">
        <v>646</v>
      </c>
      <c r="BS594" s="89" t="s">
        <v>646</v>
      </c>
      <c r="BT594" s="89" t="s">
        <v>646</v>
      </c>
      <c r="BU594" s="89" t="s">
        <v>646</v>
      </c>
      <c r="BV594" s="89" t="s">
        <v>646</v>
      </c>
      <c r="BW594" s="89">
        <v>28531341</v>
      </c>
      <c r="BX594" s="89" t="s">
        <v>646</v>
      </c>
      <c r="BY594" s="89" t="s">
        <v>646</v>
      </c>
      <c r="BZ594" s="89" t="s">
        <v>646</v>
      </c>
      <c r="CA594" s="89" t="s">
        <v>646</v>
      </c>
      <c r="CB594" s="89" t="s">
        <v>22398</v>
      </c>
      <c r="CC594" s="89" t="str">
        <f>HYPERLINK("https%3A%2F%2Fwww.webofscience.com%2Fwos%2Fwoscc%2Ffull-record%2FWOS:000423705400007","View Full Record in Web of Science")</f>
        <v>View Full Record in Web of Science</v>
      </c>
    </row>
    <row r="595" spans="1:81" ht="13.2" hidden="1" x14ac:dyDescent="0.25">
      <c r="A595" s="89" t="s">
        <v>22399</v>
      </c>
      <c r="B595" s="89" t="e">
        <f>+#REF!</f>
        <v>#REF!</v>
      </c>
      <c r="C595" s="89"/>
      <c r="D595" s="91" t="s">
        <v>717</v>
      </c>
      <c r="E595" s="90" t="e">
        <v>#REF!</v>
      </c>
      <c r="F595" s="89"/>
      <c r="G595" s="89"/>
      <c r="H595" s="89" t="s">
        <v>1215</v>
      </c>
      <c r="I595" s="89" t="s">
        <v>22400</v>
      </c>
      <c r="J595" s="89" t="s">
        <v>22403</v>
      </c>
      <c r="K595" s="89" t="s">
        <v>22402</v>
      </c>
      <c r="M595" s="89">
        <v>2020</v>
      </c>
      <c r="N595" s="89" t="s">
        <v>22401</v>
      </c>
      <c r="O595" s="89" t="s">
        <v>646</v>
      </c>
      <c r="P595" s="89" t="str">
        <f>HYPERLINK("http://dx.doi.org/10.4018/JITR.2020040105","http://dx.doi.org/10.4018/JITR.2020040105")</f>
        <v>http://dx.doi.org/10.4018/JITR.2020040105</v>
      </c>
      <c r="S595" s="89" t="s">
        <v>646</v>
      </c>
      <c r="U595" s="89" t="s">
        <v>17462</v>
      </c>
      <c r="W595" s="89" t="s">
        <v>646</v>
      </c>
      <c r="X595" s="89" t="s">
        <v>646</v>
      </c>
      <c r="Y595" s="89" t="s">
        <v>646</v>
      </c>
      <c r="Z595" s="89" t="s">
        <v>646</v>
      </c>
      <c r="AA595" s="89" t="s">
        <v>646</v>
      </c>
      <c r="AB595" s="89" t="s">
        <v>646</v>
      </c>
      <c r="AC595" s="89" t="s">
        <v>646</v>
      </c>
      <c r="AD595" s="89" t="s">
        <v>646</v>
      </c>
      <c r="AE595" s="89" t="s">
        <v>646</v>
      </c>
      <c r="AF595" s="89" t="s">
        <v>22402</v>
      </c>
      <c r="AG595" s="89" t="s">
        <v>646</v>
      </c>
      <c r="AH595" s="89" t="s">
        <v>646</v>
      </c>
      <c r="AI595" s="89" t="s">
        <v>646</v>
      </c>
      <c r="AJ595" s="89" t="s">
        <v>646</v>
      </c>
      <c r="AK595" s="89" t="s">
        <v>22403</v>
      </c>
      <c r="AL595" s="89" t="s">
        <v>22404</v>
      </c>
      <c r="AM595" s="89" t="s">
        <v>646</v>
      </c>
      <c r="AN595" s="89" t="s">
        <v>646</v>
      </c>
      <c r="AO595" s="89" t="s">
        <v>646</v>
      </c>
      <c r="AP595" s="89" t="s">
        <v>646</v>
      </c>
      <c r="AQ595" s="89" t="s">
        <v>646</v>
      </c>
      <c r="AR595" s="89" t="s">
        <v>646</v>
      </c>
      <c r="AS595" s="89" t="s">
        <v>646</v>
      </c>
      <c r="AT595" s="89" t="s">
        <v>646</v>
      </c>
      <c r="AU595" s="89" t="s">
        <v>646</v>
      </c>
      <c r="AV595" s="89" t="s">
        <v>646</v>
      </c>
      <c r="AW595" s="89" t="s">
        <v>646</v>
      </c>
      <c r="AX595" s="89" t="s">
        <v>646</v>
      </c>
      <c r="AY595" s="89" t="s">
        <v>22405</v>
      </c>
      <c r="AZ595" s="89" t="s">
        <v>22406</v>
      </c>
      <c r="BA595" s="89" t="s">
        <v>646</v>
      </c>
      <c r="BB595" s="89" t="s">
        <v>646</v>
      </c>
      <c r="BC595" s="89" t="s">
        <v>646</v>
      </c>
      <c r="BD595" s="89" t="s">
        <v>22407</v>
      </c>
      <c r="BE595" s="89">
        <v>2020</v>
      </c>
      <c r="BF595" s="89">
        <v>13</v>
      </c>
      <c r="BG595" s="89">
        <v>2</v>
      </c>
      <c r="BH595" s="89" t="s">
        <v>646</v>
      </c>
      <c r="BI595" s="89" t="s">
        <v>646</v>
      </c>
      <c r="BJ595" s="89" t="s">
        <v>646</v>
      </c>
      <c r="BK595" s="89" t="s">
        <v>646</v>
      </c>
      <c r="BL595" s="89">
        <v>75</v>
      </c>
      <c r="BM595" s="89">
        <v>93</v>
      </c>
      <c r="BN595" s="89" t="s">
        <v>646</v>
      </c>
      <c r="BO595" s="89" t="str">
        <f>HYPERLINK("http://dx.doi.org/10.4018/JITR.2020040105","http://dx.doi.org/10.4018/JITR.2020040105")</f>
        <v>http://dx.doi.org/10.4018/JITR.2020040105</v>
      </c>
      <c r="BP595" s="89" t="s">
        <v>646</v>
      </c>
      <c r="BQ595" s="89" t="s">
        <v>646</v>
      </c>
      <c r="BR595" s="89" t="s">
        <v>646</v>
      </c>
      <c r="BS595" s="89" t="s">
        <v>646</v>
      </c>
      <c r="BT595" s="89" t="s">
        <v>646</v>
      </c>
      <c r="BU595" s="89" t="s">
        <v>646</v>
      </c>
      <c r="BV595" s="89" t="s">
        <v>646</v>
      </c>
      <c r="BW595" s="89" t="s">
        <v>646</v>
      </c>
      <c r="BX595" s="89" t="s">
        <v>646</v>
      </c>
      <c r="BY595" s="89" t="s">
        <v>646</v>
      </c>
      <c r="BZ595" s="89" t="s">
        <v>646</v>
      </c>
      <c r="CA595" s="89" t="s">
        <v>646</v>
      </c>
      <c r="CB595" s="89" t="s">
        <v>22408</v>
      </c>
      <c r="CC595" s="89" t="str">
        <f>HYPERLINK("https%3A%2F%2Fwww.webofscience.com%2Fwos%2Fwoscc%2Ffull-record%2FWOS:000514811100005","View Full Record in Web of Science")</f>
        <v>View Full Record in Web of Science</v>
      </c>
    </row>
    <row r="596" spans="1:81" ht="13.2" hidden="1" x14ac:dyDescent="0.25">
      <c r="A596" s="89" t="s">
        <v>13663</v>
      </c>
      <c r="B596" s="89" t="e">
        <f>+#REF!</f>
        <v>#REF!</v>
      </c>
      <c r="C596" s="89"/>
      <c r="D596" s="91" t="s">
        <v>717</v>
      </c>
      <c r="E596" s="90" t="e">
        <v>#REF!</v>
      </c>
      <c r="F596" s="89"/>
      <c r="G596" s="89"/>
      <c r="H596" s="89" t="s">
        <v>13664</v>
      </c>
      <c r="I596" s="89" t="s">
        <v>22410</v>
      </c>
      <c r="J596" s="89" t="s">
        <v>646</v>
      </c>
      <c r="K596" s="89" t="s">
        <v>22417</v>
      </c>
      <c r="M596" s="89">
        <v>2019</v>
      </c>
      <c r="N596" s="89" t="s">
        <v>22411</v>
      </c>
      <c r="O596" s="89" t="s">
        <v>22409</v>
      </c>
      <c r="P596" s="89" t="str">
        <f>HYPERLINK("http://dx.doi.org/10.1007/978-3-030-13472-3_19","http://dx.doi.org/10.1007/978-3-030-13472-3_19")</f>
        <v>http://dx.doi.org/10.1007/978-3-030-13472-3_19</v>
      </c>
      <c r="S596" s="89" t="s">
        <v>646</v>
      </c>
      <c r="U596" s="89" t="s">
        <v>17474</v>
      </c>
      <c r="W596" s="89" t="s">
        <v>646</v>
      </c>
      <c r="X596" s="89" t="s">
        <v>646</v>
      </c>
      <c r="Y596" s="89" t="s">
        <v>22412</v>
      </c>
      <c r="Z596" s="89" t="s">
        <v>22413</v>
      </c>
      <c r="AA596" s="89" t="s">
        <v>22414</v>
      </c>
      <c r="AB596" s="89" t="s">
        <v>22415</v>
      </c>
      <c r="AC596" s="89" t="s">
        <v>22416</v>
      </c>
      <c r="AD596" s="89" t="s">
        <v>646</v>
      </c>
      <c r="AE596" s="89" t="s">
        <v>646</v>
      </c>
      <c r="AF596" s="89" t="s">
        <v>22417</v>
      </c>
      <c r="AG596" s="89" t="s">
        <v>646</v>
      </c>
      <c r="AH596" s="89" t="s">
        <v>646</v>
      </c>
      <c r="AI596" s="89" t="s">
        <v>646</v>
      </c>
      <c r="AJ596" s="89" t="s">
        <v>646</v>
      </c>
      <c r="AK596" s="89" t="s">
        <v>646</v>
      </c>
      <c r="AL596" s="89" t="s">
        <v>646</v>
      </c>
      <c r="AM596" s="89" t="s">
        <v>646</v>
      </c>
      <c r="AN596" s="89" t="s">
        <v>646</v>
      </c>
      <c r="AO596" s="89" t="s">
        <v>646</v>
      </c>
      <c r="AP596" s="89" t="s">
        <v>646</v>
      </c>
      <c r="AQ596" s="89" t="s">
        <v>646</v>
      </c>
      <c r="AR596" s="89" t="s">
        <v>646</v>
      </c>
      <c r="AS596" s="89" t="s">
        <v>646</v>
      </c>
      <c r="AT596" s="89" t="s">
        <v>646</v>
      </c>
      <c r="AU596" s="89" t="s">
        <v>646</v>
      </c>
      <c r="AV596" s="89" t="s">
        <v>646</v>
      </c>
      <c r="AW596" s="89" t="s">
        <v>646</v>
      </c>
      <c r="AX596" s="89" t="s">
        <v>646</v>
      </c>
      <c r="AY596" s="89" t="s">
        <v>22418</v>
      </c>
      <c r="AZ596" s="89" t="s">
        <v>22419</v>
      </c>
      <c r="BA596" s="89" t="s">
        <v>22420</v>
      </c>
      <c r="BB596" s="89" t="s">
        <v>646</v>
      </c>
      <c r="BC596" s="89" t="s">
        <v>646</v>
      </c>
      <c r="BD596" s="89" t="s">
        <v>646</v>
      </c>
      <c r="BE596" s="89">
        <v>2019</v>
      </c>
      <c r="BF596" s="89">
        <v>989</v>
      </c>
      <c r="BG596" s="89" t="s">
        <v>646</v>
      </c>
      <c r="BH596" s="89" t="s">
        <v>646</v>
      </c>
      <c r="BI596" s="89" t="s">
        <v>646</v>
      </c>
      <c r="BJ596" s="89" t="s">
        <v>646</v>
      </c>
      <c r="BK596" s="89" t="s">
        <v>646</v>
      </c>
      <c r="BL596" s="89">
        <v>201</v>
      </c>
      <c r="BM596" s="89">
        <v>210</v>
      </c>
      <c r="BN596" s="89" t="s">
        <v>646</v>
      </c>
      <c r="BO596" s="89" t="str">
        <f>HYPERLINK("http://dx.doi.org/10.1007/978-3-030-13472-3_19","http://dx.doi.org/10.1007/978-3-030-13472-3_19")</f>
        <v>http://dx.doi.org/10.1007/978-3-030-13472-3_19</v>
      </c>
      <c r="BP596" s="89" t="s">
        <v>646</v>
      </c>
      <c r="BQ596" s="89" t="s">
        <v>646</v>
      </c>
      <c r="BR596" s="89" t="s">
        <v>646</v>
      </c>
      <c r="BS596" s="89" t="s">
        <v>646</v>
      </c>
      <c r="BT596" s="89" t="s">
        <v>646</v>
      </c>
      <c r="BU596" s="89" t="s">
        <v>646</v>
      </c>
      <c r="BV596" s="89" t="s">
        <v>646</v>
      </c>
      <c r="BW596" s="89" t="s">
        <v>646</v>
      </c>
      <c r="BX596" s="89" t="s">
        <v>646</v>
      </c>
      <c r="BY596" s="89" t="s">
        <v>646</v>
      </c>
      <c r="BZ596" s="89" t="s">
        <v>646</v>
      </c>
      <c r="CA596" s="89" t="s">
        <v>646</v>
      </c>
      <c r="CB596" s="89" t="s">
        <v>22421</v>
      </c>
      <c r="CC596" s="89" t="str">
        <f>HYPERLINK("https%3A%2F%2Fwww.webofscience.com%2Fwos%2Fwoscc%2Ffull-record%2FWOS:000617912500019","View Full Record in Web of Science")</f>
        <v>View Full Record in Web of Science</v>
      </c>
    </row>
    <row r="597" spans="1:81" ht="13.2" hidden="1" x14ac:dyDescent="0.25">
      <c r="A597" s="89" t="s">
        <v>13672</v>
      </c>
      <c r="B597" s="89" t="e">
        <f>+#REF!</f>
        <v>#REF!</v>
      </c>
      <c r="C597" s="89"/>
      <c r="D597" s="91" t="s">
        <v>717</v>
      </c>
      <c r="E597" s="90" t="e">
        <v>#REF!</v>
      </c>
      <c r="F597" s="89"/>
      <c r="G597" s="89"/>
      <c r="H597" s="89" t="s">
        <v>13673</v>
      </c>
      <c r="I597" s="89" t="s">
        <v>22422</v>
      </c>
      <c r="J597" s="89" t="s">
        <v>646</v>
      </c>
      <c r="K597" s="89" t="s">
        <v>22424</v>
      </c>
      <c r="M597" s="89">
        <v>2019</v>
      </c>
      <c r="N597" s="89" t="s">
        <v>22423</v>
      </c>
      <c r="O597" s="89" t="s">
        <v>646</v>
      </c>
      <c r="P597" s="89" t="str">
        <f>HYPERLINK("http://dx.doi.org/10.1108/JMP-01-2018-0046","http://dx.doi.org/10.1108/JMP-01-2018-0046")</f>
        <v>http://dx.doi.org/10.1108/JMP-01-2018-0046</v>
      </c>
      <c r="S597" s="89" t="s">
        <v>646</v>
      </c>
      <c r="U597" s="89" t="s">
        <v>17462</v>
      </c>
      <c r="W597" s="89" t="s">
        <v>646</v>
      </c>
      <c r="X597" s="89" t="s">
        <v>646</v>
      </c>
      <c r="Y597" s="89" t="s">
        <v>646</v>
      </c>
      <c r="Z597" s="89" t="s">
        <v>646</v>
      </c>
      <c r="AA597" s="89" t="s">
        <v>646</v>
      </c>
      <c r="AB597" s="89" t="s">
        <v>646</v>
      </c>
      <c r="AC597" s="89" t="s">
        <v>646</v>
      </c>
      <c r="AD597" s="89" t="s">
        <v>646</v>
      </c>
      <c r="AE597" s="89" t="s">
        <v>646</v>
      </c>
      <c r="AF597" s="89" t="s">
        <v>22424</v>
      </c>
      <c r="AG597" s="89" t="s">
        <v>646</v>
      </c>
      <c r="AH597" s="89" t="s">
        <v>646</v>
      </c>
      <c r="AI597" s="89" t="s">
        <v>646</v>
      </c>
      <c r="AJ597" s="89" t="s">
        <v>646</v>
      </c>
      <c r="AK597" s="89" t="s">
        <v>646</v>
      </c>
      <c r="AL597" s="89" t="s">
        <v>646</v>
      </c>
      <c r="AM597" s="89" t="s">
        <v>646</v>
      </c>
      <c r="AN597" s="89" t="s">
        <v>646</v>
      </c>
      <c r="AO597" s="89" t="s">
        <v>646</v>
      </c>
      <c r="AP597" s="89" t="s">
        <v>646</v>
      </c>
      <c r="AQ597" s="89" t="s">
        <v>646</v>
      </c>
      <c r="AR597" s="89" t="s">
        <v>646</v>
      </c>
      <c r="AS597" s="89" t="s">
        <v>646</v>
      </c>
      <c r="AT597" s="89" t="s">
        <v>646</v>
      </c>
      <c r="AU597" s="89" t="s">
        <v>646</v>
      </c>
      <c r="AV597" s="89" t="s">
        <v>646</v>
      </c>
      <c r="AW597" s="89" t="s">
        <v>646</v>
      </c>
      <c r="AX597" s="89" t="s">
        <v>646</v>
      </c>
      <c r="AY597" s="89" t="s">
        <v>22425</v>
      </c>
      <c r="AZ597" s="89" t="s">
        <v>22426</v>
      </c>
      <c r="BA597" s="89" t="s">
        <v>646</v>
      </c>
      <c r="BB597" s="89" t="s">
        <v>646</v>
      </c>
      <c r="BC597" s="89" t="s">
        <v>646</v>
      </c>
      <c r="BD597" s="89" t="s">
        <v>646</v>
      </c>
      <c r="BE597" s="89">
        <v>2019</v>
      </c>
      <c r="BF597" s="89">
        <v>34</v>
      </c>
      <c r="BG597" s="89">
        <v>7</v>
      </c>
      <c r="BH597" s="89" t="s">
        <v>646</v>
      </c>
      <c r="BI597" s="89" t="s">
        <v>646</v>
      </c>
      <c r="BJ597" s="89" t="s">
        <v>646</v>
      </c>
      <c r="BK597" s="89" t="s">
        <v>646</v>
      </c>
      <c r="BL597" s="89">
        <v>459</v>
      </c>
      <c r="BM597" s="89">
        <v>473</v>
      </c>
      <c r="BN597" s="89" t="s">
        <v>646</v>
      </c>
      <c r="BO597" s="89" t="str">
        <f>HYPERLINK("http://dx.doi.org/10.1108/JMP-01-2018-0046","http://dx.doi.org/10.1108/JMP-01-2018-0046")</f>
        <v>http://dx.doi.org/10.1108/JMP-01-2018-0046</v>
      </c>
      <c r="BP597" s="89" t="s">
        <v>646</v>
      </c>
      <c r="BQ597" s="89" t="s">
        <v>646</v>
      </c>
      <c r="BR597" s="89" t="s">
        <v>646</v>
      </c>
      <c r="BS597" s="89" t="s">
        <v>646</v>
      </c>
      <c r="BT597" s="89" t="s">
        <v>646</v>
      </c>
      <c r="BU597" s="89" t="s">
        <v>646</v>
      </c>
      <c r="BV597" s="89" t="s">
        <v>646</v>
      </c>
      <c r="BW597" s="89" t="s">
        <v>646</v>
      </c>
      <c r="BX597" s="89" t="s">
        <v>646</v>
      </c>
      <c r="BY597" s="89" t="s">
        <v>646</v>
      </c>
      <c r="BZ597" s="89" t="s">
        <v>646</v>
      </c>
      <c r="CA597" s="89" t="s">
        <v>646</v>
      </c>
      <c r="CB597" s="89" t="s">
        <v>22427</v>
      </c>
      <c r="CC597" s="89" t="str">
        <f>HYPERLINK("https%3A%2F%2Fwww.webofscience.com%2Fwos%2Fwoscc%2Ffull-record%2FWOS:000489731600002","View Full Record in Web of Science")</f>
        <v>View Full Record in Web of Science</v>
      </c>
    </row>
    <row r="598" spans="1:81" ht="13.2" hidden="1" x14ac:dyDescent="0.25">
      <c r="A598" s="89" t="s">
        <v>9796</v>
      </c>
      <c r="B598" s="89" t="e">
        <f>+#REF!</f>
        <v>#REF!</v>
      </c>
      <c r="C598" s="89"/>
      <c r="D598" s="91" t="s">
        <v>717</v>
      </c>
      <c r="E598" s="90" t="e">
        <v>#REF!</v>
      </c>
      <c r="F598" s="89"/>
      <c r="G598" s="89"/>
      <c r="H598" s="89" t="s">
        <v>9797</v>
      </c>
      <c r="I598" s="89" t="s">
        <v>22428</v>
      </c>
      <c r="J598" s="89" t="s">
        <v>646</v>
      </c>
      <c r="K598" s="89" t="s">
        <v>22430</v>
      </c>
      <c r="M598" s="89">
        <v>2022</v>
      </c>
      <c r="N598" s="89" t="s">
        <v>22429</v>
      </c>
      <c r="O598" s="89" t="s">
        <v>646</v>
      </c>
      <c r="P598" s="89" t="str">
        <f>HYPERLINK("http://dx.doi.org/10.1108/JFMM-09-2020-0183","http://dx.doi.org/10.1108/JFMM-09-2020-0183")</f>
        <v>http://dx.doi.org/10.1108/JFMM-09-2020-0183</v>
      </c>
      <c r="S598" s="89" t="s">
        <v>646</v>
      </c>
      <c r="U598" s="89" t="s">
        <v>17462</v>
      </c>
      <c r="W598" s="89" t="s">
        <v>646</v>
      </c>
      <c r="X598" s="89" t="s">
        <v>646</v>
      </c>
      <c r="Y598" s="89" t="s">
        <v>646</v>
      </c>
      <c r="Z598" s="89" t="s">
        <v>646</v>
      </c>
      <c r="AA598" s="89" t="s">
        <v>646</v>
      </c>
      <c r="AB598" s="89" t="s">
        <v>646</v>
      </c>
      <c r="AC598" s="89" t="s">
        <v>646</v>
      </c>
      <c r="AD598" s="89" t="s">
        <v>646</v>
      </c>
      <c r="AE598" s="89" t="s">
        <v>646</v>
      </c>
      <c r="AF598" s="89" t="s">
        <v>22430</v>
      </c>
      <c r="AG598" s="89" t="s">
        <v>646</v>
      </c>
      <c r="AH598" s="89" t="s">
        <v>646</v>
      </c>
      <c r="AI598" s="89" t="s">
        <v>646</v>
      </c>
      <c r="AJ598" s="89" t="s">
        <v>646</v>
      </c>
      <c r="AK598" s="89" t="s">
        <v>646</v>
      </c>
      <c r="AL598" s="89" t="s">
        <v>22431</v>
      </c>
      <c r="AM598" s="89" t="s">
        <v>646</v>
      </c>
      <c r="AN598" s="89" t="s">
        <v>646</v>
      </c>
      <c r="AO598" s="89" t="s">
        <v>646</v>
      </c>
      <c r="AP598" s="89" t="s">
        <v>646</v>
      </c>
      <c r="AQ598" s="89" t="s">
        <v>646</v>
      </c>
      <c r="AR598" s="89" t="s">
        <v>646</v>
      </c>
      <c r="AS598" s="89" t="s">
        <v>646</v>
      </c>
      <c r="AT598" s="89" t="s">
        <v>646</v>
      </c>
      <c r="AU598" s="89" t="s">
        <v>646</v>
      </c>
      <c r="AV598" s="89" t="s">
        <v>646</v>
      </c>
      <c r="AW598" s="89" t="s">
        <v>646</v>
      </c>
      <c r="AX598" s="89" t="s">
        <v>646</v>
      </c>
      <c r="AY598" s="89" t="s">
        <v>22432</v>
      </c>
      <c r="AZ598" s="89" t="s">
        <v>22433</v>
      </c>
      <c r="BA598" s="89" t="s">
        <v>646</v>
      </c>
      <c r="BB598" s="89" t="s">
        <v>646</v>
      </c>
      <c r="BC598" s="89" t="s">
        <v>646</v>
      </c>
      <c r="BD598" s="89" t="s">
        <v>22434</v>
      </c>
      <c r="BE598" s="89">
        <v>2022</v>
      </c>
      <c r="BF598" s="89">
        <v>26</v>
      </c>
      <c r="BG598" s="89">
        <v>4</v>
      </c>
      <c r="BH598" s="89" t="s">
        <v>646</v>
      </c>
      <c r="BI598" s="89" t="s">
        <v>646</v>
      </c>
      <c r="BJ598" s="89" t="s">
        <v>646</v>
      </c>
      <c r="BK598" s="89" t="s">
        <v>646</v>
      </c>
      <c r="BL598" s="89">
        <v>565</v>
      </c>
      <c r="BM598" s="89">
        <v>581</v>
      </c>
      <c r="BN598" s="89" t="s">
        <v>646</v>
      </c>
      <c r="BO598" s="89" t="str">
        <f>HYPERLINK("http://dx.doi.org/10.1108/JFMM-09-2020-0183","http://dx.doi.org/10.1108/JFMM-09-2020-0183")</f>
        <v>http://dx.doi.org/10.1108/JFMM-09-2020-0183</v>
      </c>
      <c r="BP598" s="89" t="s">
        <v>646</v>
      </c>
      <c r="BQ598" s="89" t="s">
        <v>20065</v>
      </c>
      <c r="BR598" s="89" t="s">
        <v>646</v>
      </c>
      <c r="BS598" s="89" t="s">
        <v>646</v>
      </c>
      <c r="BT598" s="89" t="s">
        <v>646</v>
      </c>
      <c r="BU598" s="89" t="s">
        <v>646</v>
      </c>
      <c r="BV598" s="89" t="s">
        <v>646</v>
      </c>
      <c r="BW598" s="89" t="s">
        <v>646</v>
      </c>
      <c r="BX598" s="89" t="s">
        <v>646</v>
      </c>
      <c r="BY598" s="89" t="s">
        <v>646</v>
      </c>
      <c r="BZ598" s="89" t="s">
        <v>646</v>
      </c>
      <c r="CA598" s="89" t="s">
        <v>646</v>
      </c>
      <c r="CB598" s="89" t="s">
        <v>22435</v>
      </c>
      <c r="CC598" s="89" t="str">
        <f>HYPERLINK("https%3A%2F%2Fwww.webofscience.com%2Fwos%2Fwoscc%2Ffull-record%2FWOS:000685070900001","View Full Record in Web of Science")</f>
        <v>View Full Record in Web of Science</v>
      </c>
    </row>
    <row r="599" spans="1:81" ht="13.2" hidden="1" x14ac:dyDescent="0.25">
      <c r="A599" s="89" t="s">
        <v>22436</v>
      </c>
      <c r="B599" s="89" t="e">
        <f>+#REF!</f>
        <v>#REF!</v>
      </c>
      <c r="C599" s="89"/>
      <c r="D599" s="91" t="s">
        <v>717</v>
      </c>
      <c r="E599" s="90" t="e">
        <v>#REF!</v>
      </c>
      <c r="F599" s="89"/>
      <c r="G599" s="89"/>
      <c r="H599" s="89" t="s">
        <v>646</v>
      </c>
      <c r="I599" s="89" t="s">
        <v>22438</v>
      </c>
      <c r="J599" s="89" t="s">
        <v>646</v>
      </c>
      <c r="K599" s="89" t="s">
        <v>22443</v>
      </c>
      <c r="M599" s="89">
        <v>2008</v>
      </c>
      <c r="N599" s="89" t="s">
        <v>22439</v>
      </c>
      <c r="O599" s="89" t="s">
        <v>22437</v>
      </c>
      <c r="P599" s="89" t="s">
        <v>646</v>
      </c>
      <c r="S599" s="89" t="s">
        <v>646</v>
      </c>
      <c r="U599" s="89" t="s">
        <v>17474</v>
      </c>
      <c r="W599" s="89" t="s">
        <v>646</v>
      </c>
      <c r="X599" s="89" t="s">
        <v>646</v>
      </c>
      <c r="Y599" s="89" t="s">
        <v>22440</v>
      </c>
      <c r="Z599" s="89" t="s">
        <v>22441</v>
      </c>
      <c r="AA599" s="89" t="s">
        <v>22442</v>
      </c>
      <c r="AB599" s="89" t="s">
        <v>646</v>
      </c>
      <c r="AC599" s="89" t="s">
        <v>646</v>
      </c>
      <c r="AD599" s="89" t="s">
        <v>646</v>
      </c>
      <c r="AE599" s="89" t="s">
        <v>646</v>
      </c>
      <c r="AF599" s="89" t="s">
        <v>22443</v>
      </c>
      <c r="AG599" s="89" t="s">
        <v>646</v>
      </c>
      <c r="AH599" s="89" t="s">
        <v>646</v>
      </c>
      <c r="AI599" s="89" t="s">
        <v>646</v>
      </c>
      <c r="AJ599" s="89" t="s">
        <v>646</v>
      </c>
      <c r="AK599" s="89" t="s">
        <v>646</v>
      </c>
      <c r="AL599" s="89" t="s">
        <v>646</v>
      </c>
      <c r="AM599" s="89" t="s">
        <v>646</v>
      </c>
      <c r="AN599" s="89" t="s">
        <v>646</v>
      </c>
      <c r="AO599" s="89" t="s">
        <v>646</v>
      </c>
      <c r="AP599" s="89" t="s">
        <v>646</v>
      </c>
      <c r="AQ599" s="89" t="s">
        <v>646</v>
      </c>
      <c r="AR599" s="89" t="s">
        <v>646</v>
      </c>
      <c r="AS599" s="89" t="s">
        <v>646</v>
      </c>
      <c r="AT599" s="89" t="s">
        <v>646</v>
      </c>
      <c r="AU599" s="89" t="s">
        <v>646</v>
      </c>
      <c r="AV599" s="89" t="s">
        <v>646</v>
      </c>
      <c r="AW599" s="89" t="s">
        <v>646</v>
      </c>
      <c r="AX599" s="89" t="s">
        <v>646</v>
      </c>
      <c r="AY599" s="89" t="s">
        <v>18367</v>
      </c>
      <c r="AZ599" s="89" t="s">
        <v>646</v>
      </c>
      <c r="BA599" s="89" t="s">
        <v>22444</v>
      </c>
      <c r="BB599" s="89" t="s">
        <v>646</v>
      </c>
      <c r="BC599" s="89" t="s">
        <v>646</v>
      </c>
      <c r="BD599" s="89" t="s">
        <v>646</v>
      </c>
      <c r="BE599" s="89">
        <v>2008</v>
      </c>
      <c r="BF599" s="89">
        <v>5247</v>
      </c>
      <c r="BG599" s="89" t="s">
        <v>646</v>
      </c>
      <c r="BH599" s="89" t="s">
        <v>646</v>
      </c>
      <c r="BI599" s="89" t="s">
        <v>646</v>
      </c>
      <c r="BJ599" s="89" t="s">
        <v>646</v>
      </c>
      <c r="BK599" s="89" t="s">
        <v>646</v>
      </c>
      <c r="BL599" s="89">
        <v>221</v>
      </c>
      <c r="BM599" s="89">
        <v>228</v>
      </c>
      <c r="BN599" s="89" t="s">
        <v>646</v>
      </c>
      <c r="BO599" s="89" t="s">
        <v>646</v>
      </c>
      <c r="BP599" s="89" t="s">
        <v>646</v>
      </c>
      <c r="BQ599" s="89" t="s">
        <v>646</v>
      </c>
      <c r="BR599" s="89" t="s">
        <v>646</v>
      </c>
      <c r="BS599" s="89" t="s">
        <v>646</v>
      </c>
      <c r="BT599" s="89" t="s">
        <v>646</v>
      </c>
      <c r="BU599" s="89" t="s">
        <v>646</v>
      </c>
      <c r="BV599" s="89" t="s">
        <v>646</v>
      </c>
      <c r="BW599" s="89" t="s">
        <v>646</v>
      </c>
      <c r="BX599" s="89" t="s">
        <v>646</v>
      </c>
      <c r="BY599" s="89" t="s">
        <v>646</v>
      </c>
      <c r="BZ599" s="89" t="s">
        <v>646</v>
      </c>
      <c r="CA599" s="89" t="s">
        <v>646</v>
      </c>
      <c r="CB599" s="89" t="s">
        <v>22445</v>
      </c>
      <c r="CC599" s="89" t="str">
        <f>HYPERLINK("https%3A%2F%2Fwww.webofscience.com%2Fwos%2Fwoscc%2Ffull-record%2FWOS:000260477700020","View Full Record in Web of Science")</f>
        <v>View Full Record in Web of Science</v>
      </c>
    </row>
    <row r="600" spans="1:81" ht="13.2" hidden="1" x14ac:dyDescent="0.25">
      <c r="A600" s="89" t="s">
        <v>9805</v>
      </c>
      <c r="B600" s="89" t="e">
        <f>+#REF!</f>
        <v>#REF!</v>
      </c>
      <c r="C600" s="89"/>
      <c r="D600" s="91" t="s">
        <v>717</v>
      </c>
      <c r="E600" s="90" t="e">
        <v>#REF!</v>
      </c>
      <c r="F600" s="89"/>
      <c r="G600" s="89"/>
      <c r="H600" s="89" t="s">
        <v>9806</v>
      </c>
      <c r="I600" s="89" t="s">
        <v>22446</v>
      </c>
      <c r="J600" s="89" t="s">
        <v>646</v>
      </c>
      <c r="K600" s="89" t="s">
        <v>22448</v>
      </c>
      <c r="M600" s="89">
        <v>2021</v>
      </c>
      <c r="N600" s="89" t="s">
        <v>22447</v>
      </c>
      <c r="O600" s="89" t="s">
        <v>646</v>
      </c>
      <c r="P600" s="89" t="str">
        <f>HYPERLINK("http://dx.doi.org/10.1016/j.esxm.2021.100352","http://dx.doi.org/10.1016/j.esxm.2021.100352")</f>
        <v>http://dx.doi.org/10.1016/j.esxm.2021.100352</v>
      </c>
      <c r="S600" s="89" t="s">
        <v>646</v>
      </c>
      <c r="U600" s="89" t="s">
        <v>17462</v>
      </c>
      <c r="W600" s="89" t="s">
        <v>646</v>
      </c>
      <c r="X600" s="89" t="s">
        <v>646</v>
      </c>
      <c r="Y600" s="89" t="s">
        <v>646</v>
      </c>
      <c r="Z600" s="89" t="s">
        <v>646</v>
      </c>
      <c r="AA600" s="89" t="s">
        <v>646</v>
      </c>
      <c r="AB600" s="89" t="s">
        <v>646</v>
      </c>
      <c r="AC600" s="89" t="s">
        <v>646</v>
      </c>
      <c r="AD600" s="89" t="s">
        <v>646</v>
      </c>
      <c r="AE600" s="89" t="s">
        <v>646</v>
      </c>
      <c r="AF600" s="89" t="s">
        <v>22448</v>
      </c>
      <c r="AG600" s="89" t="s">
        <v>646</v>
      </c>
      <c r="AH600" s="89" t="s">
        <v>646</v>
      </c>
      <c r="AI600" s="89" t="s">
        <v>646</v>
      </c>
      <c r="AJ600" s="89" t="s">
        <v>646</v>
      </c>
      <c r="AK600" s="89" t="s">
        <v>646</v>
      </c>
      <c r="AL600" s="89" t="s">
        <v>646</v>
      </c>
      <c r="AM600" s="89" t="s">
        <v>646</v>
      </c>
      <c r="AN600" s="89" t="s">
        <v>646</v>
      </c>
      <c r="AO600" s="89" t="s">
        <v>646</v>
      </c>
      <c r="AP600" s="89" t="s">
        <v>646</v>
      </c>
      <c r="AQ600" s="89" t="s">
        <v>646</v>
      </c>
      <c r="AR600" s="89" t="s">
        <v>646</v>
      </c>
      <c r="AS600" s="89" t="s">
        <v>646</v>
      </c>
      <c r="AT600" s="89" t="s">
        <v>646</v>
      </c>
      <c r="AU600" s="89" t="s">
        <v>646</v>
      </c>
      <c r="AV600" s="89" t="s">
        <v>646</v>
      </c>
      <c r="AW600" s="89" t="s">
        <v>646</v>
      </c>
      <c r="AX600" s="89" t="s">
        <v>646</v>
      </c>
      <c r="AY600" s="89" t="s">
        <v>646</v>
      </c>
      <c r="AZ600" s="89" t="s">
        <v>22449</v>
      </c>
      <c r="BA600" s="89" t="s">
        <v>646</v>
      </c>
      <c r="BB600" s="89" t="s">
        <v>646</v>
      </c>
      <c r="BC600" s="89" t="s">
        <v>646</v>
      </c>
      <c r="BD600" s="89" t="s">
        <v>17772</v>
      </c>
      <c r="BE600" s="89">
        <v>2021</v>
      </c>
      <c r="BF600" s="89">
        <v>9</v>
      </c>
      <c r="BG600" s="89">
        <v>3</v>
      </c>
      <c r="BH600" s="89" t="s">
        <v>646</v>
      </c>
      <c r="BI600" s="89" t="s">
        <v>646</v>
      </c>
      <c r="BJ600" s="89" t="s">
        <v>646</v>
      </c>
      <c r="BK600" s="89" t="s">
        <v>646</v>
      </c>
      <c r="BL600" s="89" t="s">
        <v>646</v>
      </c>
      <c r="BM600" s="89" t="s">
        <v>646</v>
      </c>
      <c r="BN600" s="89">
        <v>100352</v>
      </c>
      <c r="BO600" s="89" t="str">
        <f>HYPERLINK("http://dx.doi.org/10.1016/j.esxm.2021.100352","http://dx.doi.org/10.1016/j.esxm.2021.100352")</f>
        <v>http://dx.doi.org/10.1016/j.esxm.2021.100352</v>
      </c>
      <c r="BP600" s="89" t="s">
        <v>646</v>
      </c>
      <c r="BQ600" s="89" t="s">
        <v>19267</v>
      </c>
      <c r="BR600" s="89" t="s">
        <v>646</v>
      </c>
      <c r="BS600" s="89" t="s">
        <v>646</v>
      </c>
      <c r="BT600" s="89" t="s">
        <v>646</v>
      </c>
      <c r="BU600" s="89" t="s">
        <v>646</v>
      </c>
      <c r="BV600" s="89" t="s">
        <v>646</v>
      </c>
      <c r="BW600" s="89">
        <v>34062495</v>
      </c>
      <c r="BX600" s="89" t="s">
        <v>646</v>
      </c>
      <c r="BY600" s="89" t="s">
        <v>646</v>
      </c>
      <c r="BZ600" s="89" t="s">
        <v>646</v>
      </c>
      <c r="CA600" s="89" t="s">
        <v>646</v>
      </c>
      <c r="CB600" s="89" t="s">
        <v>22450</v>
      </c>
      <c r="CC600" s="89" t="str">
        <f>HYPERLINK("https%3A%2F%2Fwww.webofscience.com%2Fwos%2Fwoscc%2Ffull-record%2FWOS:000675535400021","View Full Record in Web of Science")</f>
        <v>View Full Record in Web of Science</v>
      </c>
    </row>
    <row r="601" spans="1:81" ht="13.2" hidden="1" x14ac:dyDescent="0.25">
      <c r="A601" s="89" t="s">
        <v>22451</v>
      </c>
      <c r="B601" s="89" t="e">
        <f>+#REF!</f>
        <v>#REF!</v>
      </c>
      <c r="C601" s="89"/>
      <c r="D601" s="91" t="s">
        <v>717</v>
      </c>
      <c r="E601" s="90" t="e">
        <v>#REF!</v>
      </c>
      <c r="F601" s="89"/>
      <c r="G601" s="89"/>
      <c r="H601" s="89" t="s">
        <v>9816</v>
      </c>
      <c r="I601" s="89" t="s">
        <v>22452</v>
      </c>
      <c r="J601" s="89" t="s">
        <v>646</v>
      </c>
      <c r="K601" s="89" t="s">
        <v>22454</v>
      </c>
      <c r="M601" s="89">
        <v>2021</v>
      </c>
      <c r="N601" s="89" t="s">
        <v>22453</v>
      </c>
      <c r="O601" s="89" t="s">
        <v>646</v>
      </c>
      <c r="P601" s="89" t="str">
        <f>HYPERLINK("http://dx.doi.org/10.3399/BJGP.2020.0178","http://dx.doi.org/10.3399/BJGP.2020.0178")</f>
        <v>http://dx.doi.org/10.3399/BJGP.2020.0178</v>
      </c>
      <c r="S601" s="89" t="s">
        <v>646</v>
      </c>
      <c r="U601" s="89" t="s">
        <v>17462</v>
      </c>
      <c r="W601" s="89" t="s">
        <v>646</v>
      </c>
      <c r="X601" s="89" t="s">
        <v>646</v>
      </c>
      <c r="Y601" s="89" t="s">
        <v>646</v>
      </c>
      <c r="Z601" s="89" t="s">
        <v>646</v>
      </c>
      <c r="AA601" s="89" t="s">
        <v>646</v>
      </c>
      <c r="AB601" s="89" t="s">
        <v>646</v>
      </c>
      <c r="AC601" s="89" t="s">
        <v>646</v>
      </c>
      <c r="AD601" s="89" t="s">
        <v>646</v>
      </c>
      <c r="AE601" s="89" t="s">
        <v>646</v>
      </c>
      <c r="AF601" s="89" t="s">
        <v>22454</v>
      </c>
      <c r="AG601" s="89" t="s">
        <v>646</v>
      </c>
      <c r="AH601" s="89" t="s">
        <v>646</v>
      </c>
      <c r="AI601" s="89" t="s">
        <v>646</v>
      </c>
      <c r="AJ601" s="89" t="s">
        <v>646</v>
      </c>
      <c r="AK601" s="89" t="s">
        <v>646</v>
      </c>
      <c r="AL601" s="89" t="s">
        <v>22455</v>
      </c>
      <c r="AM601" s="89" t="s">
        <v>646</v>
      </c>
      <c r="AN601" s="89" t="s">
        <v>646</v>
      </c>
      <c r="AO601" s="89" t="s">
        <v>646</v>
      </c>
      <c r="AP601" s="89" t="s">
        <v>646</v>
      </c>
      <c r="AQ601" s="89" t="s">
        <v>646</v>
      </c>
      <c r="AR601" s="89" t="s">
        <v>646</v>
      </c>
      <c r="AS601" s="89" t="s">
        <v>646</v>
      </c>
      <c r="AT601" s="89" t="s">
        <v>646</v>
      </c>
      <c r="AU601" s="89" t="s">
        <v>646</v>
      </c>
      <c r="AV601" s="89" t="s">
        <v>646</v>
      </c>
      <c r="AW601" s="89" t="s">
        <v>646</v>
      </c>
      <c r="AX601" s="89" t="s">
        <v>646</v>
      </c>
      <c r="AY601" s="89" t="s">
        <v>22456</v>
      </c>
      <c r="AZ601" s="89" t="s">
        <v>22457</v>
      </c>
      <c r="BA601" s="89" t="s">
        <v>646</v>
      </c>
      <c r="BB601" s="89" t="s">
        <v>646</v>
      </c>
      <c r="BC601" s="89" t="s">
        <v>646</v>
      </c>
      <c r="BD601" s="89" t="s">
        <v>18655</v>
      </c>
      <c r="BE601" s="89">
        <v>2021</v>
      </c>
      <c r="BF601" s="89">
        <v>71</v>
      </c>
      <c r="BG601" s="89">
        <v>709</v>
      </c>
      <c r="BH601" s="89" t="s">
        <v>646</v>
      </c>
      <c r="BI601" s="89" t="s">
        <v>646</v>
      </c>
      <c r="BJ601" s="89" t="s">
        <v>646</v>
      </c>
      <c r="BK601" s="89" t="s">
        <v>646</v>
      </c>
      <c r="BL601" s="89" t="s">
        <v>22458</v>
      </c>
      <c r="BM601" s="89" t="s">
        <v>22459</v>
      </c>
      <c r="BN601" s="89" t="s">
        <v>646</v>
      </c>
      <c r="BO601" s="89" t="str">
        <f>HYPERLINK("http://dx.doi.org/10.3399/BJGP.2020.0178","http://dx.doi.org/10.3399/BJGP.2020.0178")</f>
        <v>http://dx.doi.org/10.3399/BJGP.2020.0178</v>
      </c>
      <c r="BP601" s="89" t="s">
        <v>646</v>
      </c>
      <c r="BQ601" s="89" t="s">
        <v>646</v>
      </c>
      <c r="BR601" s="89" t="s">
        <v>646</v>
      </c>
      <c r="BS601" s="89" t="s">
        <v>646</v>
      </c>
      <c r="BT601" s="89" t="s">
        <v>646</v>
      </c>
      <c r="BU601" s="89" t="s">
        <v>646</v>
      </c>
      <c r="BV601" s="89" t="s">
        <v>646</v>
      </c>
      <c r="BW601" s="89">
        <v>33657008</v>
      </c>
      <c r="BX601" s="89" t="s">
        <v>646</v>
      </c>
      <c r="BY601" s="89" t="s">
        <v>646</v>
      </c>
      <c r="BZ601" s="89" t="s">
        <v>646</v>
      </c>
      <c r="CA601" s="89" t="s">
        <v>646</v>
      </c>
      <c r="CB601" s="89" t="s">
        <v>22460</v>
      </c>
      <c r="CC601" s="89" t="str">
        <f>HYPERLINK("https%3A%2F%2Fwww.webofscience.com%2Fwos%2Fwoscc%2Ffull-record%2FWOS:000680055000005","View Full Record in Web of Science")</f>
        <v>View Full Record in Web of Science</v>
      </c>
    </row>
    <row r="602" spans="1:81" ht="13.2" hidden="1" x14ac:dyDescent="0.25">
      <c r="A602" s="89" t="s">
        <v>13691</v>
      </c>
      <c r="B602" s="89" t="e">
        <f>+#REF!</f>
        <v>#REF!</v>
      </c>
      <c r="C602" s="89"/>
      <c r="D602" s="91" t="s">
        <v>717</v>
      </c>
      <c r="E602" s="90" t="e">
        <v>#REF!</v>
      </c>
      <c r="F602" s="89"/>
      <c r="G602" s="89"/>
      <c r="H602" s="89" t="s">
        <v>13692</v>
      </c>
      <c r="I602" s="89" t="s">
        <v>22461</v>
      </c>
      <c r="J602" s="89" t="s">
        <v>646</v>
      </c>
      <c r="K602" s="89" t="s">
        <v>22463</v>
      </c>
      <c r="M602" s="89">
        <v>2018</v>
      </c>
      <c r="N602" s="89" t="s">
        <v>22462</v>
      </c>
      <c r="O602" s="89" t="s">
        <v>646</v>
      </c>
      <c r="P602" s="89" t="str">
        <f>HYPERLINK("http://dx.doi.org/10.1080/10826084.2017.1408653","http://dx.doi.org/10.1080/10826084.2017.1408653")</f>
        <v>http://dx.doi.org/10.1080/10826084.2017.1408653</v>
      </c>
      <c r="S602" s="89" t="s">
        <v>646</v>
      </c>
      <c r="U602" s="89" t="s">
        <v>17462</v>
      </c>
      <c r="W602" s="89" t="s">
        <v>646</v>
      </c>
      <c r="X602" s="89" t="s">
        <v>646</v>
      </c>
      <c r="Y602" s="89" t="s">
        <v>646</v>
      </c>
      <c r="Z602" s="89" t="s">
        <v>646</v>
      </c>
      <c r="AA602" s="89" t="s">
        <v>646</v>
      </c>
      <c r="AB602" s="89" t="s">
        <v>646</v>
      </c>
      <c r="AC602" s="89" t="s">
        <v>646</v>
      </c>
      <c r="AD602" s="89" t="s">
        <v>646</v>
      </c>
      <c r="AE602" s="89" t="s">
        <v>646</v>
      </c>
      <c r="AF602" s="89" t="s">
        <v>22463</v>
      </c>
      <c r="AG602" s="89" t="s">
        <v>646</v>
      </c>
      <c r="AH602" s="89" t="s">
        <v>646</v>
      </c>
      <c r="AI602" s="89" t="s">
        <v>646</v>
      </c>
      <c r="AJ602" s="89" t="s">
        <v>646</v>
      </c>
      <c r="AK602" s="89" t="s">
        <v>646</v>
      </c>
      <c r="AL602" s="89" t="s">
        <v>646</v>
      </c>
      <c r="AM602" s="89" t="s">
        <v>646</v>
      </c>
      <c r="AN602" s="89" t="s">
        <v>646</v>
      </c>
      <c r="AO602" s="89" t="s">
        <v>646</v>
      </c>
      <c r="AP602" s="89" t="s">
        <v>646</v>
      </c>
      <c r="AQ602" s="89" t="s">
        <v>646</v>
      </c>
      <c r="AR602" s="89" t="s">
        <v>646</v>
      </c>
      <c r="AS602" s="89" t="s">
        <v>646</v>
      </c>
      <c r="AT602" s="89" t="s">
        <v>646</v>
      </c>
      <c r="AU602" s="89" t="s">
        <v>646</v>
      </c>
      <c r="AV602" s="89" t="s">
        <v>646</v>
      </c>
      <c r="AW602" s="89" t="s">
        <v>646</v>
      </c>
      <c r="AX602" s="89" t="s">
        <v>646</v>
      </c>
      <c r="AY602" s="89" t="s">
        <v>22464</v>
      </c>
      <c r="AZ602" s="89" t="s">
        <v>22465</v>
      </c>
      <c r="BA602" s="89" t="s">
        <v>646</v>
      </c>
      <c r="BB602" s="89" t="s">
        <v>646</v>
      </c>
      <c r="BC602" s="89" t="s">
        <v>646</v>
      </c>
      <c r="BD602" s="89" t="s">
        <v>646</v>
      </c>
      <c r="BE602" s="89">
        <v>2018</v>
      </c>
      <c r="BF602" s="89">
        <v>53</v>
      </c>
      <c r="BG602" s="89">
        <v>8</v>
      </c>
      <c r="BH602" s="89" t="s">
        <v>646</v>
      </c>
      <c r="BI602" s="89" t="s">
        <v>646</v>
      </c>
      <c r="BJ602" s="89" t="s">
        <v>646</v>
      </c>
      <c r="BK602" s="89" t="s">
        <v>646</v>
      </c>
      <c r="BL602" s="89">
        <v>1331</v>
      </c>
      <c r="BM602" s="89">
        <v>1341</v>
      </c>
      <c r="BN602" s="89" t="s">
        <v>646</v>
      </c>
      <c r="BO602" s="89" t="str">
        <f>HYPERLINK("http://dx.doi.org/10.1080/10826084.2017.1408653","http://dx.doi.org/10.1080/10826084.2017.1408653")</f>
        <v>http://dx.doi.org/10.1080/10826084.2017.1408653</v>
      </c>
      <c r="BP602" s="89" t="s">
        <v>646</v>
      </c>
      <c r="BQ602" s="89" t="s">
        <v>646</v>
      </c>
      <c r="BR602" s="89" t="s">
        <v>646</v>
      </c>
      <c r="BS602" s="89" t="s">
        <v>646</v>
      </c>
      <c r="BT602" s="89" t="s">
        <v>646</v>
      </c>
      <c r="BU602" s="89" t="s">
        <v>646</v>
      </c>
      <c r="BV602" s="89" t="s">
        <v>646</v>
      </c>
      <c r="BW602" s="89">
        <v>29297734</v>
      </c>
      <c r="BX602" s="89" t="s">
        <v>646</v>
      </c>
      <c r="BY602" s="89" t="s">
        <v>646</v>
      </c>
      <c r="BZ602" s="89" t="s">
        <v>646</v>
      </c>
      <c r="CA602" s="89" t="s">
        <v>646</v>
      </c>
      <c r="CB602" s="89" t="s">
        <v>22466</v>
      </c>
      <c r="CC602" s="89" t="str">
        <f>HYPERLINK("https%3A%2F%2Fwww.webofscience.com%2Fwos%2Fwoscc%2Ffull-record%2FWOS:000434687300012","View Full Record in Web of Science")</f>
        <v>View Full Record in Web of Science</v>
      </c>
    </row>
    <row r="603" spans="1:81" ht="13.2" hidden="1" x14ac:dyDescent="0.25">
      <c r="A603" s="89" t="s">
        <v>22467</v>
      </c>
      <c r="B603" s="89" t="e">
        <f>+#REF!</f>
        <v>#REF!</v>
      </c>
      <c r="C603" s="89"/>
      <c r="D603" s="91" t="s">
        <v>717</v>
      </c>
      <c r="E603" s="90" t="e">
        <v>#REF!</v>
      </c>
      <c r="F603" s="89"/>
      <c r="G603" s="89"/>
      <c r="H603" s="89" t="s">
        <v>16504</v>
      </c>
      <c r="I603" s="89" t="s">
        <v>22468</v>
      </c>
      <c r="J603" s="89" t="s">
        <v>22471</v>
      </c>
      <c r="K603" s="89" t="s">
        <v>22470</v>
      </c>
      <c r="M603" s="89">
        <v>2020</v>
      </c>
      <c r="N603" s="89" t="s">
        <v>22469</v>
      </c>
      <c r="O603" s="89" t="s">
        <v>646</v>
      </c>
      <c r="P603" s="89" t="str">
        <f>HYPERLINK("http://dx.doi.org/10.1093/geronb/gbz163","http://dx.doi.org/10.1093/geronb/gbz163")</f>
        <v>http://dx.doi.org/10.1093/geronb/gbz163</v>
      </c>
      <c r="S603" s="89" t="s">
        <v>646</v>
      </c>
      <c r="U603" s="89" t="s">
        <v>17462</v>
      </c>
      <c r="W603" s="89" t="s">
        <v>646</v>
      </c>
      <c r="X603" s="89" t="s">
        <v>646</v>
      </c>
      <c r="Y603" s="89" t="s">
        <v>646</v>
      </c>
      <c r="Z603" s="89" t="s">
        <v>646</v>
      </c>
      <c r="AA603" s="89" t="s">
        <v>646</v>
      </c>
      <c r="AB603" s="89" t="s">
        <v>646</v>
      </c>
      <c r="AC603" s="89" t="s">
        <v>646</v>
      </c>
      <c r="AD603" s="89" t="s">
        <v>646</v>
      </c>
      <c r="AE603" s="89" t="s">
        <v>646</v>
      </c>
      <c r="AF603" s="89" t="s">
        <v>22470</v>
      </c>
      <c r="AG603" s="89" t="s">
        <v>646</v>
      </c>
      <c r="AH603" s="89" t="s">
        <v>646</v>
      </c>
      <c r="AI603" s="89" t="s">
        <v>646</v>
      </c>
      <c r="AJ603" s="89" t="s">
        <v>646</v>
      </c>
      <c r="AK603" s="89" t="s">
        <v>22471</v>
      </c>
      <c r="AL603" s="89" t="s">
        <v>22472</v>
      </c>
      <c r="AM603" s="89" t="s">
        <v>646</v>
      </c>
      <c r="AN603" s="89" t="s">
        <v>646</v>
      </c>
      <c r="AO603" s="89" t="s">
        <v>646</v>
      </c>
      <c r="AP603" s="89" t="s">
        <v>646</v>
      </c>
      <c r="AQ603" s="89" t="s">
        <v>646</v>
      </c>
      <c r="AR603" s="89" t="s">
        <v>646</v>
      </c>
      <c r="AS603" s="89" t="s">
        <v>646</v>
      </c>
      <c r="AT603" s="89" t="s">
        <v>646</v>
      </c>
      <c r="AU603" s="89" t="s">
        <v>646</v>
      </c>
      <c r="AV603" s="89" t="s">
        <v>646</v>
      </c>
      <c r="AW603" s="89" t="s">
        <v>646</v>
      </c>
      <c r="AX603" s="89" t="s">
        <v>646</v>
      </c>
      <c r="AY603" s="89" t="s">
        <v>22473</v>
      </c>
      <c r="AZ603" s="89" t="s">
        <v>22474</v>
      </c>
      <c r="BA603" s="89" t="s">
        <v>646</v>
      </c>
      <c r="BB603" s="89" t="s">
        <v>646</v>
      </c>
      <c r="BC603" s="89" t="s">
        <v>646</v>
      </c>
      <c r="BD603" s="89" t="s">
        <v>17615</v>
      </c>
      <c r="BE603" s="89">
        <v>2020</v>
      </c>
      <c r="BF603" s="89">
        <v>75</v>
      </c>
      <c r="BG603" s="89">
        <v>10</v>
      </c>
      <c r="BH603" s="89" t="s">
        <v>646</v>
      </c>
      <c r="BI603" s="89" t="s">
        <v>646</v>
      </c>
      <c r="BJ603" s="89" t="s">
        <v>646</v>
      </c>
      <c r="BK603" s="89" t="s">
        <v>646</v>
      </c>
      <c r="BL603" s="89">
        <v>2106</v>
      </c>
      <c r="BM603" s="89">
        <v>2111</v>
      </c>
      <c r="BN603" s="89" t="s">
        <v>646</v>
      </c>
      <c r="BO603" s="89" t="str">
        <f>HYPERLINK("http://dx.doi.org/10.1093/geronb/gbz163","http://dx.doi.org/10.1093/geronb/gbz163")</f>
        <v>http://dx.doi.org/10.1093/geronb/gbz163</v>
      </c>
      <c r="BP603" s="89" t="s">
        <v>646</v>
      </c>
      <c r="BQ603" s="89" t="s">
        <v>646</v>
      </c>
      <c r="BR603" s="89" t="s">
        <v>646</v>
      </c>
      <c r="BS603" s="89" t="s">
        <v>646</v>
      </c>
      <c r="BT603" s="89" t="s">
        <v>646</v>
      </c>
      <c r="BU603" s="89" t="s">
        <v>646</v>
      </c>
      <c r="BV603" s="89" t="s">
        <v>646</v>
      </c>
      <c r="BW603" s="89">
        <v>31900492</v>
      </c>
      <c r="BX603" s="89" t="s">
        <v>646</v>
      </c>
      <c r="BY603" s="89" t="s">
        <v>646</v>
      </c>
      <c r="BZ603" s="89" t="s">
        <v>646</v>
      </c>
      <c r="CA603" s="89" t="s">
        <v>646</v>
      </c>
      <c r="CB603" s="89" t="s">
        <v>22475</v>
      </c>
      <c r="CC603" s="89" t="str">
        <f>HYPERLINK("https%3A%2F%2Fwww.webofscience.com%2Fwos%2Fwoscc%2Ffull-record%2FWOS:000593405700004","View Full Record in Web of Science")</f>
        <v>View Full Record in Web of Science</v>
      </c>
    </row>
    <row r="604" spans="1:81" ht="13.2" hidden="1" x14ac:dyDescent="0.25">
      <c r="A604" s="89" t="s">
        <v>22476</v>
      </c>
      <c r="B604" s="89" t="e">
        <f>+#REF!</f>
        <v>#REF!</v>
      </c>
      <c r="C604" s="89"/>
      <c r="D604" s="91" t="s">
        <v>717</v>
      </c>
      <c r="E604" s="90" t="e">
        <v>#REF!</v>
      </c>
      <c r="F604" s="89"/>
      <c r="G604" s="89"/>
      <c r="H604" s="89" t="s">
        <v>9826</v>
      </c>
      <c r="I604" s="89" t="s">
        <v>22477</v>
      </c>
      <c r="J604" s="89" t="s">
        <v>646</v>
      </c>
      <c r="K604" s="89" t="s">
        <v>22479</v>
      </c>
      <c r="M604" s="89">
        <v>2022</v>
      </c>
      <c r="N604" s="89" t="s">
        <v>22478</v>
      </c>
      <c r="O604" s="89" t="s">
        <v>646</v>
      </c>
      <c r="P604" s="89" t="str">
        <f>HYPERLINK("http://dx.doi.org/10.1186/s12884-022-04436-1","http://dx.doi.org/10.1186/s12884-022-04436-1")</f>
        <v>http://dx.doi.org/10.1186/s12884-022-04436-1</v>
      </c>
      <c r="S604" s="89" t="s">
        <v>646</v>
      </c>
      <c r="U604" s="89" t="s">
        <v>17462</v>
      </c>
      <c r="W604" s="89" t="s">
        <v>646</v>
      </c>
      <c r="X604" s="89" t="s">
        <v>646</v>
      </c>
      <c r="Y604" s="89" t="s">
        <v>646</v>
      </c>
      <c r="Z604" s="89" t="s">
        <v>646</v>
      </c>
      <c r="AA604" s="89" t="s">
        <v>646</v>
      </c>
      <c r="AB604" s="89" t="s">
        <v>646</v>
      </c>
      <c r="AC604" s="89" t="s">
        <v>646</v>
      </c>
      <c r="AD604" s="89" t="s">
        <v>646</v>
      </c>
      <c r="AE604" s="89" t="s">
        <v>646</v>
      </c>
      <c r="AF604" s="89" t="s">
        <v>22479</v>
      </c>
      <c r="AG604" s="89" t="s">
        <v>646</v>
      </c>
      <c r="AH604" s="89" t="s">
        <v>646</v>
      </c>
      <c r="AI604" s="89" t="s">
        <v>646</v>
      </c>
      <c r="AJ604" s="89" t="s">
        <v>646</v>
      </c>
      <c r="AK604" s="89" t="s">
        <v>646</v>
      </c>
      <c r="AL604" s="89" t="s">
        <v>22480</v>
      </c>
      <c r="AM604" s="89" t="s">
        <v>646</v>
      </c>
      <c r="AN604" s="89" t="s">
        <v>646</v>
      </c>
      <c r="AO604" s="89" t="s">
        <v>646</v>
      </c>
      <c r="AP604" s="89" t="s">
        <v>646</v>
      </c>
      <c r="AQ604" s="89" t="s">
        <v>646</v>
      </c>
      <c r="AR604" s="89" t="s">
        <v>646</v>
      </c>
      <c r="AS604" s="89" t="s">
        <v>646</v>
      </c>
      <c r="AT604" s="89" t="s">
        <v>646</v>
      </c>
      <c r="AU604" s="89" t="s">
        <v>646</v>
      </c>
      <c r="AV604" s="89" t="s">
        <v>646</v>
      </c>
      <c r="AW604" s="89" t="s">
        <v>646</v>
      </c>
      <c r="AX604" s="89" t="s">
        <v>646</v>
      </c>
      <c r="AY604" s="89" t="s">
        <v>646</v>
      </c>
      <c r="AZ604" s="89" t="s">
        <v>22481</v>
      </c>
      <c r="BA604" s="89" t="s">
        <v>646</v>
      </c>
      <c r="BB604" s="89" t="s">
        <v>646</v>
      </c>
      <c r="BC604" s="89" t="s">
        <v>646</v>
      </c>
      <c r="BD604" s="89" t="s">
        <v>22482</v>
      </c>
      <c r="BE604" s="89">
        <v>2022</v>
      </c>
      <c r="BF604" s="89">
        <v>22</v>
      </c>
      <c r="BG604" s="89">
        <v>1</v>
      </c>
      <c r="BH604" s="89" t="s">
        <v>646</v>
      </c>
      <c r="BI604" s="89" t="s">
        <v>646</v>
      </c>
      <c r="BJ604" s="89" t="s">
        <v>646</v>
      </c>
      <c r="BK604" s="89" t="s">
        <v>646</v>
      </c>
      <c r="BL604" s="89" t="s">
        <v>646</v>
      </c>
      <c r="BM604" s="89" t="s">
        <v>646</v>
      </c>
      <c r="BN604" s="89">
        <v>122</v>
      </c>
      <c r="BO604" s="89" t="str">
        <f>HYPERLINK("http://dx.doi.org/10.1186/s12884-022-04436-1","http://dx.doi.org/10.1186/s12884-022-04436-1")</f>
        <v>http://dx.doi.org/10.1186/s12884-022-04436-1</v>
      </c>
      <c r="BP604" s="89" t="s">
        <v>646</v>
      </c>
      <c r="BQ604" s="89" t="s">
        <v>646</v>
      </c>
      <c r="BR604" s="89" t="s">
        <v>646</v>
      </c>
      <c r="BS604" s="89" t="s">
        <v>646</v>
      </c>
      <c r="BT604" s="89" t="s">
        <v>646</v>
      </c>
      <c r="BU604" s="89" t="s">
        <v>646</v>
      </c>
      <c r="BV604" s="89" t="s">
        <v>646</v>
      </c>
      <c r="BW604" s="89">
        <v>35151260</v>
      </c>
      <c r="BX604" s="89" t="s">
        <v>646</v>
      </c>
      <c r="BY604" s="89" t="s">
        <v>646</v>
      </c>
      <c r="BZ604" s="89" t="s">
        <v>646</v>
      </c>
      <c r="CA604" s="89" t="s">
        <v>646</v>
      </c>
      <c r="CB604" s="89" t="s">
        <v>22483</v>
      </c>
      <c r="CC604" s="89" t="str">
        <f>HYPERLINK("https%3A%2F%2Fwww.webofscience.com%2Fwos%2Fwoscc%2Ffull-record%2FWOS:000754357200001","View Full Record in Web of Science")</f>
        <v>View Full Record in Web of Science</v>
      </c>
    </row>
    <row r="605" spans="1:81" ht="13.2" hidden="1" x14ac:dyDescent="0.25">
      <c r="A605" s="89" t="s">
        <v>13700</v>
      </c>
      <c r="B605" s="89" t="e">
        <f>+#REF!</f>
        <v>#REF!</v>
      </c>
      <c r="C605" s="89"/>
      <c r="D605" s="91" t="s">
        <v>717</v>
      </c>
      <c r="E605" s="90" t="e">
        <v>#REF!</v>
      </c>
      <c r="F605" s="89"/>
      <c r="G605" s="89"/>
      <c r="H605" s="89" t="s">
        <v>13701</v>
      </c>
      <c r="I605" s="89" t="s">
        <v>22484</v>
      </c>
      <c r="J605" s="89" t="s">
        <v>646</v>
      </c>
      <c r="K605" s="89" t="s">
        <v>13702</v>
      </c>
      <c r="M605" s="89">
        <v>2008</v>
      </c>
      <c r="N605" s="89" t="s">
        <v>22485</v>
      </c>
      <c r="O605" s="89" t="s">
        <v>646</v>
      </c>
      <c r="P605" s="89" t="str">
        <f>HYPERLINK("http://dx.doi.org/10.1080/09585190801895528","http://dx.doi.org/10.1080/09585190801895528")</f>
        <v>http://dx.doi.org/10.1080/09585190801895528</v>
      </c>
      <c r="S605" s="89" t="s">
        <v>646</v>
      </c>
      <c r="U605" s="89" t="s">
        <v>17462</v>
      </c>
      <c r="W605" s="89" t="s">
        <v>646</v>
      </c>
      <c r="X605" s="89" t="s">
        <v>646</v>
      </c>
      <c r="Y605" s="89" t="s">
        <v>646</v>
      </c>
      <c r="Z605" s="89" t="s">
        <v>646</v>
      </c>
      <c r="AA605" s="89" t="s">
        <v>646</v>
      </c>
      <c r="AB605" s="89" t="s">
        <v>646</v>
      </c>
      <c r="AC605" s="89" t="s">
        <v>646</v>
      </c>
      <c r="AD605" s="89" t="s">
        <v>646</v>
      </c>
      <c r="AE605" s="89" t="s">
        <v>646</v>
      </c>
      <c r="AF605" s="89" t="s">
        <v>13702</v>
      </c>
      <c r="AG605" s="89" t="s">
        <v>646</v>
      </c>
      <c r="AH605" s="89" t="s">
        <v>646</v>
      </c>
      <c r="AI605" s="89" t="s">
        <v>646</v>
      </c>
      <c r="AJ605" s="89" t="s">
        <v>646</v>
      </c>
      <c r="AK605" s="89" t="s">
        <v>646</v>
      </c>
      <c r="AL605" s="89" t="s">
        <v>646</v>
      </c>
      <c r="AM605" s="89" t="s">
        <v>646</v>
      </c>
      <c r="AN605" s="89" t="s">
        <v>646</v>
      </c>
      <c r="AO605" s="89" t="s">
        <v>646</v>
      </c>
      <c r="AP605" s="89" t="s">
        <v>646</v>
      </c>
      <c r="AQ605" s="89" t="s">
        <v>646</v>
      </c>
      <c r="AR605" s="89" t="s">
        <v>646</v>
      </c>
      <c r="AS605" s="89" t="s">
        <v>646</v>
      </c>
      <c r="AT605" s="89" t="s">
        <v>646</v>
      </c>
      <c r="AU605" s="89" t="s">
        <v>646</v>
      </c>
      <c r="AV605" s="89" t="s">
        <v>646</v>
      </c>
      <c r="AW605" s="89" t="s">
        <v>646</v>
      </c>
      <c r="AX605" s="89" t="s">
        <v>646</v>
      </c>
      <c r="AY605" s="89" t="s">
        <v>22486</v>
      </c>
      <c r="AZ605" s="89" t="s">
        <v>22487</v>
      </c>
      <c r="BA605" s="89" t="s">
        <v>646</v>
      </c>
      <c r="BB605" s="89" t="s">
        <v>646</v>
      </c>
      <c r="BC605" s="89" t="s">
        <v>646</v>
      </c>
      <c r="BD605" s="89" t="s">
        <v>17779</v>
      </c>
      <c r="BE605" s="89">
        <v>2008</v>
      </c>
      <c r="BF605" s="89">
        <v>19</v>
      </c>
      <c r="BG605" s="89">
        <v>3</v>
      </c>
      <c r="BH605" s="89" t="s">
        <v>646</v>
      </c>
      <c r="BI605" s="89" t="s">
        <v>646</v>
      </c>
      <c r="BJ605" s="89" t="s">
        <v>646</v>
      </c>
      <c r="BK605" s="89" t="s">
        <v>646</v>
      </c>
      <c r="BL605" s="89">
        <v>446</v>
      </c>
      <c r="BM605" s="89">
        <v>460</v>
      </c>
      <c r="BN605" s="89" t="s">
        <v>646</v>
      </c>
      <c r="BO605" s="89" t="str">
        <f>HYPERLINK("http://dx.doi.org/10.1080/09585190801895528","http://dx.doi.org/10.1080/09585190801895528")</f>
        <v>http://dx.doi.org/10.1080/09585190801895528</v>
      </c>
      <c r="BP605" s="89" t="s">
        <v>646</v>
      </c>
      <c r="BQ605" s="89" t="s">
        <v>646</v>
      </c>
      <c r="BR605" s="89" t="s">
        <v>646</v>
      </c>
      <c r="BS605" s="89" t="s">
        <v>646</v>
      </c>
      <c r="BT605" s="89" t="s">
        <v>646</v>
      </c>
      <c r="BU605" s="89" t="s">
        <v>646</v>
      </c>
      <c r="BV605" s="89" t="s">
        <v>646</v>
      </c>
      <c r="BW605" s="89" t="s">
        <v>646</v>
      </c>
      <c r="BX605" s="89" t="s">
        <v>646</v>
      </c>
      <c r="BY605" s="89" t="s">
        <v>646</v>
      </c>
      <c r="BZ605" s="89" t="s">
        <v>646</v>
      </c>
      <c r="CA605" s="89" t="s">
        <v>646</v>
      </c>
      <c r="CB605" s="89" t="s">
        <v>22488</v>
      </c>
      <c r="CC605" s="89" t="str">
        <f>HYPERLINK("https%3A%2F%2Fwww.webofscience.com%2Fwos%2Fwoscc%2Ffull-record%2FWOS:000254919700004","View Full Record in Web of Science")</f>
        <v>View Full Record in Web of Science</v>
      </c>
    </row>
    <row r="606" spans="1:81" ht="13.2" hidden="1" x14ac:dyDescent="0.25">
      <c r="A606" s="89" t="s">
        <v>22489</v>
      </c>
      <c r="B606" s="89" t="e">
        <f>+#REF!</f>
        <v>#REF!</v>
      </c>
      <c r="C606" s="89"/>
      <c r="D606" s="91" t="s">
        <v>717</v>
      </c>
      <c r="E606" s="90" t="e">
        <v>#REF!</v>
      </c>
      <c r="F606" s="89"/>
      <c r="G606" s="89"/>
      <c r="H606" s="89" t="s">
        <v>13708</v>
      </c>
      <c r="I606" s="89" t="s">
        <v>22490</v>
      </c>
      <c r="J606" s="89" t="s">
        <v>646</v>
      </c>
      <c r="K606" s="89" t="s">
        <v>22492</v>
      </c>
      <c r="M606" s="89">
        <v>2012</v>
      </c>
      <c r="N606" s="89" t="s">
        <v>22491</v>
      </c>
      <c r="O606" s="89" t="s">
        <v>646</v>
      </c>
      <c r="P606" s="89" t="str">
        <f>HYPERLINK("http://dx.doi.org/10.1007/s10645-011-9180-7","http://dx.doi.org/10.1007/s10645-011-9180-7")</f>
        <v>http://dx.doi.org/10.1007/s10645-011-9180-7</v>
      </c>
      <c r="S606" s="89" t="s">
        <v>646</v>
      </c>
      <c r="U606" s="89" t="s">
        <v>17462</v>
      </c>
      <c r="W606" s="89" t="s">
        <v>646</v>
      </c>
      <c r="X606" s="89" t="s">
        <v>646</v>
      </c>
      <c r="Y606" s="89" t="s">
        <v>646</v>
      </c>
      <c r="Z606" s="89" t="s">
        <v>646</v>
      </c>
      <c r="AA606" s="89" t="s">
        <v>646</v>
      </c>
      <c r="AB606" s="89" t="s">
        <v>646</v>
      </c>
      <c r="AC606" s="89" t="s">
        <v>646</v>
      </c>
      <c r="AD606" s="89" t="s">
        <v>646</v>
      </c>
      <c r="AE606" s="89" t="s">
        <v>646</v>
      </c>
      <c r="AF606" s="89" t="s">
        <v>22492</v>
      </c>
      <c r="AG606" s="89" t="s">
        <v>646</v>
      </c>
      <c r="AH606" s="89" t="s">
        <v>646</v>
      </c>
      <c r="AI606" s="89" t="s">
        <v>646</v>
      </c>
      <c r="AJ606" s="89" t="s">
        <v>646</v>
      </c>
      <c r="AK606" s="89" t="s">
        <v>646</v>
      </c>
      <c r="AL606" s="89" t="s">
        <v>646</v>
      </c>
      <c r="AM606" s="89" t="s">
        <v>646</v>
      </c>
      <c r="AN606" s="89" t="s">
        <v>646</v>
      </c>
      <c r="AO606" s="89" t="s">
        <v>646</v>
      </c>
      <c r="AP606" s="89" t="s">
        <v>646</v>
      </c>
      <c r="AQ606" s="89" t="s">
        <v>646</v>
      </c>
      <c r="AR606" s="89" t="s">
        <v>646</v>
      </c>
      <c r="AS606" s="89" t="s">
        <v>646</v>
      </c>
      <c r="AT606" s="89" t="s">
        <v>646</v>
      </c>
      <c r="AU606" s="89" t="s">
        <v>646</v>
      </c>
      <c r="AV606" s="89" t="s">
        <v>646</v>
      </c>
      <c r="AW606" s="89" t="s">
        <v>646</v>
      </c>
      <c r="AX606" s="89" t="s">
        <v>646</v>
      </c>
      <c r="AY606" s="89" t="s">
        <v>22493</v>
      </c>
      <c r="AZ606" s="89" t="s">
        <v>22494</v>
      </c>
      <c r="BA606" s="89" t="s">
        <v>646</v>
      </c>
      <c r="BB606" s="89" t="s">
        <v>646</v>
      </c>
      <c r="BC606" s="89" t="s">
        <v>646</v>
      </c>
      <c r="BD606" s="89" t="s">
        <v>17772</v>
      </c>
      <c r="BE606" s="89">
        <v>2012</v>
      </c>
      <c r="BF606" s="89">
        <v>160</v>
      </c>
      <c r="BG606" s="89">
        <v>2</v>
      </c>
      <c r="BH606" s="89" t="s">
        <v>646</v>
      </c>
      <c r="BI606" s="89" t="s">
        <v>646</v>
      </c>
      <c r="BJ606" s="89" t="s">
        <v>17555</v>
      </c>
      <c r="BK606" s="89" t="s">
        <v>646</v>
      </c>
      <c r="BL606" s="89">
        <v>197</v>
      </c>
      <c r="BM606" s="89">
        <v>218</v>
      </c>
      <c r="BN606" s="89" t="s">
        <v>646</v>
      </c>
      <c r="BO606" s="89" t="str">
        <f>HYPERLINK("http://dx.doi.org/10.1007/s10645-011-9180-7","http://dx.doi.org/10.1007/s10645-011-9180-7")</f>
        <v>http://dx.doi.org/10.1007/s10645-011-9180-7</v>
      </c>
      <c r="BP606" s="89" t="s">
        <v>646</v>
      </c>
      <c r="BQ606" s="89" t="s">
        <v>646</v>
      </c>
      <c r="BR606" s="89" t="s">
        <v>646</v>
      </c>
      <c r="BS606" s="89" t="s">
        <v>646</v>
      </c>
      <c r="BT606" s="89" t="s">
        <v>646</v>
      </c>
      <c r="BU606" s="89" t="s">
        <v>646</v>
      </c>
      <c r="BV606" s="89" t="s">
        <v>646</v>
      </c>
      <c r="BW606" s="89" t="s">
        <v>646</v>
      </c>
      <c r="BX606" s="89" t="s">
        <v>646</v>
      </c>
      <c r="BY606" s="89" t="s">
        <v>646</v>
      </c>
      <c r="BZ606" s="89" t="s">
        <v>646</v>
      </c>
      <c r="CA606" s="89" t="s">
        <v>646</v>
      </c>
      <c r="CB606" s="89" t="s">
        <v>22495</v>
      </c>
      <c r="CC606" s="89" t="str">
        <f>HYPERLINK("https%3A%2F%2Fwww.webofscience.com%2Fwos%2Fwoscc%2Ffull-record%2FWOS:000303536700007","View Full Record in Web of Science")</f>
        <v>View Full Record in Web of Science</v>
      </c>
    </row>
    <row r="607" spans="1:81" ht="13.2" hidden="1" x14ac:dyDescent="0.25">
      <c r="A607" s="89" t="s">
        <v>13717</v>
      </c>
      <c r="B607" s="89" t="e">
        <f>+#REF!</f>
        <v>#REF!</v>
      </c>
      <c r="C607" s="89"/>
      <c r="D607" s="91" t="s">
        <v>717</v>
      </c>
      <c r="E607" s="90" t="e">
        <v>#REF!</v>
      </c>
      <c r="F607" s="89"/>
      <c r="G607" s="89"/>
      <c r="H607" s="89" t="s">
        <v>13718</v>
      </c>
      <c r="I607" s="89" t="s">
        <v>22496</v>
      </c>
      <c r="J607" s="89" t="s">
        <v>646</v>
      </c>
      <c r="K607" s="89" t="s">
        <v>22498</v>
      </c>
      <c r="M607" s="89">
        <v>2020</v>
      </c>
      <c r="N607" s="89" t="s">
        <v>22497</v>
      </c>
      <c r="O607" s="89" t="s">
        <v>646</v>
      </c>
      <c r="P607" s="89" t="str">
        <f>HYPERLINK("http://dx.doi.org/10.1080/02678373.2019.1567619","http://dx.doi.org/10.1080/02678373.2019.1567619")</f>
        <v>http://dx.doi.org/10.1080/02678373.2019.1567619</v>
      </c>
      <c r="S607" s="89" t="s">
        <v>646</v>
      </c>
      <c r="U607" s="89" t="s">
        <v>17462</v>
      </c>
      <c r="W607" s="89" t="s">
        <v>646</v>
      </c>
      <c r="X607" s="89" t="s">
        <v>646</v>
      </c>
      <c r="Y607" s="89" t="s">
        <v>646</v>
      </c>
      <c r="Z607" s="89" t="s">
        <v>646</v>
      </c>
      <c r="AA607" s="89" t="s">
        <v>646</v>
      </c>
      <c r="AB607" s="89" t="s">
        <v>646</v>
      </c>
      <c r="AC607" s="89" t="s">
        <v>646</v>
      </c>
      <c r="AD607" s="89" t="s">
        <v>646</v>
      </c>
      <c r="AE607" s="89" t="s">
        <v>646</v>
      </c>
      <c r="AF607" s="89" t="s">
        <v>22498</v>
      </c>
      <c r="AG607" s="89" t="s">
        <v>646</v>
      </c>
      <c r="AH607" s="89" t="s">
        <v>646</v>
      </c>
      <c r="AI607" s="89" t="s">
        <v>646</v>
      </c>
      <c r="AJ607" s="89" t="s">
        <v>646</v>
      </c>
      <c r="AK607" s="89" t="s">
        <v>646</v>
      </c>
      <c r="AL607" s="89" t="s">
        <v>646</v>
      </c>
      <c r="AM607" s="89" t="s">
        <v>646</v>
      </c>
      <c r="AN607" s="89" t="s">
        <v>646</v>
      </c>
      <c r="AO607" s="89" t="s">
        <v>646</v>
      </c>
      <c r="AP607" s="89" t="s">
        <v>646</v>
      </c>
      <c r="AQ607" s="89" t="s">
        <v>646</v>
      </c>
      <c r="AR607" s="89" t="s">
        <v>646</v>
      </c>
      <c r="AS607" s="89" t="s">
        <v>646</v>
      </c>
      <c r="AT607" s="89" t="s">
        <v>646</v>
      </c>
      <c r="AU607" s="89" t="s">
        <v>646</v>
      </c>
      <c r="AV607" s="89" t="s">
        <v>646</v>
      </c>
      <c r="AW607" s="89" t="s">
        <v>646</v>
      </c>
      <c r="AX607" s="89" t="s">
        <v>646</v>
      </c>
      <c r="AY607" s="89" t="s">
        <v>22499</v>
      </c>
      <c r="AZ607" s="89" t="s">
        <v>22500</v>
      </c>
      <c r="BA607" s="89" t="s">
        <v>646</v>
      </c>
      <c r="BB607" s="89" t="s">
        <v>646</v>
      </c>
      <c r="BC607" s="89" t="s">
        <v>646</v>
      </c>
      <c r="BD607" s="89" t="s">
        <v>20847</v>
      </c>
      <c r="BE607" s="89">
        <v>2020</v>
      </c>
      <c r="BF607" s="89">
        <v>34</v>
      </c>
      <c r="BG607" s="89">
        <v>1</v>
      </c>
      <c r="BH607" s="89" t="s">
        <v>646</v>
      </c>
      <c r="BI607" s="89" t="s">
        <v>646</v>
      </c>
      <c r="BJ607" s="89" t="s">
        <v>646</v>
      </c>
      <c r="BK607" s="89" t="s">
        <v>646</v>
      </c>
      <c r="BL607" s="89">
        <v>82</v>
      </c>
      <c r="BM607" s="89">
        <v>110</v>
      </c>
      <c r="BN607" s="89" t="s">
        <v>646</v>
      </c>
      <c r="BO607" s="89" t="str">
        <f>HYPERLINK("http://dx.doi.org/10.1080/02678373.2019.1567619","http://dx.doi.org/10.1080/02678373.2019.1567619")</f>
        <v>http://dx.doi.org/10.1080/02678373.2019.1567619</v>
      </c>
      <c r="BP607" s="89" t="s">
        <v>646</v>
      </c>
      <c r="BQ607" s="89" t="s">
        <v>646</v>
      </c>
      <c r="BR607" s="89" t="s">
        <v>646</v>
      </c>
      <c r="BS607" s="89" t="s">
        <v>646</v>
      </c>
      <c r="BT607" s="89" t="s">
        <v>646</v>
      </c>
      <c r="BU607" s="89" t="s">
        <v>646</v>
      </c>
      <c r="BV607" s="89" t="s">
        <v>646</v>
      </c>
      <c r="BW607" s="89" t="s">
        <v>646</v>
      </c>
      <c r="BX607" s="89" t="s">
        <v>646</v>
      </c>
      <c r="BY607" s="89" t="s">
        <v>646</v>
      </c>
      <c r="BZ607" s="89" t="s">
        <v>646</v>
      </c>
      <c r="CA607" s="89" t="s">
        <v>646</v>
      </c>
      <c r="CB607" s="89" t="s">
        <v>22501</v>
      </c>
      <c r="CC607" s="89" t="str">
        <f>HYPERLINK("https%3A%2F%2Fwww.webofscience.com%2Fwos%2Fwoscc%2Ffull-record%2FWOS:000510730300005","View Full Record in Web of Science")</f>
        <v>View Full Record in Web of Science</v>
      </c>
    </row>
    <row r="608" spans="1:81" ht="13.2" hidden="1" x14ac:dyDescent="0.25">
      <c r="A608" s="89" t="s">
        <v>22502</v>
      </c>
      <c r="B608" s="89" t="e">
        <f>+#REF!</f>
        <v>#REF!</v>
      </c>
      <c r="C608" s="89"/>
      <c r="D608" s="91" t="s">
        <v>717</v>
      </c>
      <c r="E608" s="90" t="e">
        <v>#REF!</v>
      </c>
      <c r="F608" s="89"/>
      <c r="G608" s="89"/>
      <c r="H608" s="89" t="s">
        <v>13728</v>
      </c>
      <c r="I608" s="89" t="s">
        <v>22503</v>
      </c>
      <c r="J608" s="89" t="s">
        <v>646</v>
      </c>
      <c r="K608" s="89" t="s">
        <v>22509</v>
      </c>
      <c r="M608" s="89">
        <v>2014</v>
      </c>
      <c r="N608" s="89" t="s">
        <v>22504</v>
      </c>
      <c r="O608" s="89" t="s">
        <v>646</v>
      </c>
      <c r="P608" s="89" t="str">
        <f>HYPERLINK("http://dx.doi.org/10.1109/CVPR.2014.538","http://dx.doi.org/10.1109/CVPR.2014.538")</f>
        <v>http://dx.doi.org/10.1109/CVPR.2014.538</v>
      </c>
      <c r="S608" s="89" t="s">
        <v>17475</v>
      </c>
      <c r="U608" s="89" t="s">
        <v>17474</v>
      </c>
      <c r="W608" s="89" t="s">
        <v>646</v>
      </c>
      <c r="X608" s="89" t="s">
        <v>646</v>
      </c>
      <c r="Y608" s="89" t="s">
        <v>22505</v>
      </c>
      <c r="Z608" s="89" t="s">
        <v>22506</v>
      </c>
      <c r="AA608" s="89" t="s">
        <v>22507</v>
      </c>
      <c r="AB608" s="89" t="s">
        <v>22508</v>
      </c>
      <c r="AC608" s="89" t="s">
        <v>646</v>
      </c>
      <c r="AD608" s="89" t="s">
        <v>646</v>
      </c>
      <c r="AE608" s="89" t="s">
        <v>646</v>
      </c>
      <c r="AF608" s="89" t="s">
        <v>22509</v>
      </c>
      <c r="AG608" s="89" t="s">
        <v>646</v>
      </c>
      <c r="AH608" s="89" t="s">
        <v>646</v>
      </c>
      <c r="AI608" s="89" t="s">
        <v>646</v>
      </c>
      <c r="AJ608" s="89" t="s">
        <v>646</v>
      </c>
      <c r="AK608" s="89" t="s">
        <v>646</v>
      </c>
      <c r="AL608" s="89" t="s">
        <v>646</v>
      </c>
      <c r="AM608" s="89" t="s">
        <v>646</v>
      </c>
      <c r="AN608" s="89" t="s">
        <v>646</v>
      </c>
      <c r="AO608" s="89" t="s">
        <v>646</v>
      </c>
      <c r="AP608" s="89" t="s">
        <v>646</v>
      </c>
      <c r="AQ608" s="89" t="s">
        <v>646</v>
      </c>
      <c r="AR608" s="89" t="s">
        <v>646</v>
      </c>
      <c r="AS608" s="89" t="s">
        <v>646</v>
      </c>
      <c r="AT608" s="89" t="s">
        <v>646</v>
      </c>
      <c r="AU608" s="89" t="s">
        <v>646</v>
      </c>
      <c r="AV608" s="89" t="s">
        <v>646</v>
      </c>
      <c r="AW608" s="89" t="s">
        <v>646</v>
      </c>
      <c r="AX608" s="89" t="s">
        <v>646</v>
      </c>
      <c r="AY608" s="89" t="s">
        <v>19775</v>
      </c>
      <c r="AZ608" s="89" t="s">
        <v>646</v>
      </c>
      <c r="BA608" s="89" t="s">
        <v>22510</v>
      </c>
      <c r="BB608" s="89" t="s">
        <v>646</v>
      </c>
      <c r="BC608" s="89" t="s">
        <v>646</v>
      </c>
      <c r="BD608" s="89" t="s">
        <v>646</v>
      </c>
      <c r="BE608" s="89">
        <v>2014</v>
      </c>
      <c r="BF608" s="89" t="s">
        <v>646</v>
      </c>
      <c r="BG608" s="89" t="s">
        <v>646</v>
      </c>
      <c r="BH608" s="89" t="s">
        <v>646</v>
      </c>
      <c r="BI608" s="89" t="s">
        <v>646</v>
      </c>
      <c r="BJ608" s="89" t="s">
        <v>646</v>
      </c>
      <c r="BK608" s="89" t="s">
        <v>646</v>
      </c>
      <c r="BL608" s="89">
        <v>4225</v>
      </c>
      <c r="BM608" s="89">
        <v>4232</v>
      </c>
      <c r="BN608" s="89" t="s">
        <v>646</v>
      </c>
      <c r="BO608" s="89" t="str">
        <f>HYPERLINK("http://dx.doi.org/10.1109/CVPR.2014.538","http://dx.doi.org/10.1109/CVPR.2014.538")</f>
        <v>http://dx.doi.org/10.1109/CVPR.2014.538</v>
      </c>
      <c r="BP608" s="89" t="s">
        <v>646</v>
      </c>
      <c r="BQ608" s="89" t="s">
        <v>646</v>
      </c>
      <c r="BR608" s="89" t="s">
        <v>646</v>
      </c>
      <c r="BS608" s="89" t="s">
        <v>646</v>
      </c>
      <c r="BT608" s="89" t="s">
        <v>646</v>
      </c>
      <c r="BU608" s="89" t="s">
        <v>646</v>
      </c>
      <c r="BV608" s="89" t="s">
        <v>646</v>
      </c>
      <c r="BW608" s="89" t="s">
        <v>646</v>
      </c>
      <c r="BX608" s="89" t="s">
        <v>646</v>
      </c>
      <c r="BY608" s="89" t="s">
        <v>646</v>
      </c>
      <c r="BZ608" s="89" t="s">
        <v>646</v>
      </c>
      <c r="CA608" s="89" t="s">
        <v>646</v>
      </c>
      <c r="CB608" s="89" t="s">
        <v>22511</v>
      </c>
      <c r="CC608" s="89" t="str">
        <f>HYPERLINK("https%3A%2F%2Fwww.webofscience.com%2Fwos%2Fwoscc%2Ffull-record%2FWOS:000361555604036","View Full Record in Web of Science")</f>
        <v>View Full Record in Web of Science</v>
      </c>
    </row>
    <row r="609" spans="1:81" ht="13.2" hidden="1" x14ac:dyDescent="0.25">
      <c r="A609" s="89" t="s">
        <v>16513</v>
      </c>
      <c r="B609" s="89" t="e">
        <f>+#REF!</f>
        <v>#REF!</v>
      </c>
      <c r="C609" s="89"/>
      <c r="D609" s="91" t="s">
        <v>717</v>
      </c>
      <c r="E609" s="90" t="e">
        <v>#REF!</v>
      </c>
      <c r="F609" s="89"/>
      <c r="G609" s="89"/>
      <c r="H609" s="89" t="s">
        <v>16514</v>
      </c>
      <c r="I609" s="89" t="s">
        <v>22512</v>
      </c>
      <c r="J609" s="89" t="s">
        <v>22514</v>
      </c>
      <c r="K609" s="89" t="s">
        <v>22513</v>
      </c>
      <c r="M609" s="89">
        <v>2020</v>
      </c>
      <c r="N609" s="89" t="s">
        <v>18088</v>
      </c>
      <c r="O609" s="89" t="s">
        <v>646</v>
      </c>
      <c r="P609" s="89" t="str">
        <f>HYPERLINK("http://dx.doi.org/10.1177/1035304620959750","http://dx.doi.org/10.1177/1035304620959750")</f>
        <v>http://dx.doi.org/10.1177/1035304620959750</v>
      </c>
      <c r="S609" s="89" t="s">
        <v>646</v>
      </c>
      <c r="U609" s="89" t="s">
        <v>17462</v>
      </c>
      <c r="W609" s="89" t="s">
        <v>646</v>
      </c>
      <c r="X609" s="89" t="s">
        <v>646</v>
      </c>
      <c r="Y609" s="89" t="s">
        <v>646</v>
      </c>
      <c r="Z609" s="89" t="s">
        <v>646</v>
      </c>
      <c r="AA609" s="89" t="s">
        <v>646</v>
      </c>
      <c r="AB609" s="89" t="s">
        <v>646</v>
      </c>
      <c r="AC609" s="89" t="s">
        <v>646</v>
      </c>
      <c r="AD609" s="89" t="s">
        <v>646</v>
      </c>
      <c r="AE609" s="89" t="s">
        <v>646</v>
      </c>
      <c r="AF609" s="89" t="s">
        <v>22513</v>
      </c>
      <c r="AG609" s="89" t="s">
        <v>646</v>
      </c>
      <c r="AH609" s="89" t="s">
        <v>646</v>
      </c>
      <c r="AI609" s="89" t="s">
        <v>646</v>
      </c>
      <c r="AJ609" s="89" t="s">
        <v>646</v>
      </c>
      <c r="AK609" s="89" t="s">
        <v>22514</v>
      </c>
      <c r="AL609" s="89" t="s">
        <v>22515</v>
      </c>
      <c r="AM609" s="89" t="s">
        <v>646</v>
      </c>
      <c r="AN609" s="89" t="s">
        <v>646</v>
      </c>
      <c r="AO609" s="89" t="s">
        <v>646</v>
      </c>
      <c r="AP609" s="89" t="s">
        <v>646</v>
      </c>
      <c r="AQ609" s="89" t="s">
        <v>646</v>
      </c>
      <c r="AR609" s="89" t="s">
        <v>646</v>
      </c>
      <c r="AS609" s="89" t="s">
        <v>646</v>
      </c>
      <c r="AT609" s="89" t="s">
        <v>646</v>
      </c>
      <c r="AU609" s="89" t="s">
        <v>646</v>
      </c>
      <c r="AV609" s="89" t="s">
        <v>646</v>
      </c>
      <c r="AW609" s="89" t="s">
        <v>646</v>
      </c>
      <c r="AX609" s="89" t="s">
        <v>646</v>
      </c>
      <c r="AY609" s="89" t="s">
        <v>18090</v>
      </c>
      <c r="AZ609" s="89" t="s">
        <v>18091</v>
      </c>
      <c r="BA609" s="89" t="s">
        <v>646</v>
      </c>
      <c r="BB609" s="89" t="s">
        <v>646</v>
      </c>
      <c r="BC609" s="89" t="s">
        <v>646</v>
      </c>
      <c r="BD609" s="89" t="s">
        <v>17615</v>
      </c>
      <c r="BE609" s="89">
        <v>2020</v>
      </c>
      <c r="BF609" s="89">
        <v>31</v>
      </c>
      <c r="BG609" s="89">
        <v>4</v>
      </c>
      <c r="BH609" s="89" t="s">
        <v>646</v>
      </c>
      <c r="BI609" s="89" t="s">
        <v>646</v>
      </c>
      <c r="BJ609" s="89" t="s">
        <v>646</v>
      </c>
      <c r="BK609" s="89" t="s">
        <v>646</v>
      </c>
      <c r="BL609" s="89">
        <v>483</v>
      </c>
      <c r="BM609" s="89">
        <v>501</v>
      </c>
      <c r="BN609" s="89">
        <v>1035304620959750</v>
      </c>
      <c r="BO609" s="89" t="str">
        <f>HYPERLINK("http://dx.doi.org/10.1177/1035304620959750","http://dx.doi.org/10.1177/1035304620959750")</f>
        <v>http://dx.doi.org/10.1177/1035304620959750</v>
      </c>
      <c r="BP609" s="89" t="s">
        <v>646</v>
      </c>
      <c r="BQ609" s="89" t="s">
        <v>19874</v>
      </c>
      <c r="BR609" s="89" t="s">
        <v>646</v>
      </c>
      <c r="BS609" s="89" t="s">
        <v>646</v>
      </c>
      <c r="BT609" s="89" t="s">
        <v>646</v>
      </c>
      <c r="BU609" s="89" t="s">
        <v>646</v>
      </c>
      <c r="BV609" s="89" t="s">
        <v>646</v>
      </c>
      <c r="BW609" s="89" t="s">
        <v>646</v>
      </c>
      <c r="BX609" s="89" t="s">
        <v>646</v>
      </c>
      <c r="BY609" s="89" t="s">
        <v>646</v>
      </c>
      <c r="BZ609" s="89" t="s">
        <v>646</v>
      </c>
      <c r="CA609" s="89" t="s">
        <v>646</v>
      </c>
      <c r="CB609" s="89" t="s">
        <v>22516</v>
      </c>
      <c r="CC609" s="89" t="str">
        <f>HYPERLINK("https%3A%2F%2Fwww.webofscience.com%2Fwos%2Fwoscc%2Ffull-record%2FWOS:000572752200001","View Full Record in Web of Science")</f>
        <v>View Full Record in Web of Science</v>
      </c>
    </row>
    <row r="610" spans="1:81" ht="13.2" hidden="1" x14ac:dyDescent="0.25">
      <c r="A610" s="89" t="s">
        <v>22517</v>
      </c>
      <c r="B610" s="89" t="e">
        <f>+#REF!</f>
        <v>#REF!</v>
      </c>
      <c r="C610" s="89"/>
      <c r="D610" s="91" t="s">
        <v>717</v>
      </c>
      <c r="E610" s="90" t="e">
        <v>#REF!</v>
      </c>
      <c r="F610" s="89"/>
      <c r="G610" s="89"/>
      <c r="H610" s="89" t="s">
        <v>13738</v>
      </c>
      <c r="I610" s="89" t="s">
        <v>22518</v>
      </c>
      <c r="J610" s="89" t="s">
        <v>646</v>
      </c>
      <c r="K610" s="89" t="s">
        <v>22522</v>
      </c>
      <c r="M610" s="89">
        <v>2020</v>
      </c>
      <c r="N610" s="89" t="s">
        <v>22519</v>
      </c>
      <c r="O610" s="89" t="s">
        <v>646</v>
      </c>
      <c r="P610" s="89" t="str">
        <f>HYPERLINK("http://dx.doi.org/10.1145/3357236.3395528","http://dx.doi.org/10.1145/3357236.3395528")</f>
        <v>http://dx.doi.org/10.1145/3357236.3395528</v>
      </c>
      <c r="S610" s="89" t="s">
        <v>19206</v>
      </c>
      <c r="U610" s="89" t="s">
        <v>17474</v>
      </c>
      <c r="W610" s="89" t="s">
        <v>646</v>
      </c>
      <c r="X610" s="89" t="s">
        <v>646</v>
      </c>
      <c r="Y610" s="89" t="s">
        <v>22520</v>
      </c>
      <c r="Z610" s="89" t="s">
        <v>22521</v>
      </c>
      <c r="AA610" s="89" t="s">
        <v>17494</v>
      </c>
      <c r="AB610" s="89" t="s">
        <v>17804</v>
      </c>
      <c r="AC610" s="89" t="s">
        <v>646</v>
      </c>
      <c r="AD610" s="89" t="s">
        <v>646</v>
      </c>
      <c r="AE610" s="89" t="s">
        <v>646</v>
      </c>
      <c r="AF610" s="89" t="s">
        <v>22522</v>
      </c>
      <c r="AG610" s="89" t="s">
        <v>646</v>
      </c>
      <c r="AH610" s="89" t="s">
        <v>646</v>
      </c>
      <c r="AI610" s="89" t="s">
        <v>646</v>
      </c>
      <c r="AJ610" s="89" t="s">
        <v>646</v>
      </c>
      <c r="AK610" s="89" t="s">
        <v>646</v>
      </c>
      <c r="AL610" s="89" t="s">
        <v>22523</v>
      </c>
      <c r="AM610" s="89" t="s">
        <v>646</v>
      </c>
      <c r="AN610" s="89" t="s">
        <v>646</v>
      </c>
      <c r="AO610" s="89" t="s">
        <v>646</v>
      </c>
      <c r="AP610" s="89" t="s">
        <v>646</v>
      </c>
      <c r="AQ610" s="89" t="s">
        <v>646</v>
      </c>
      <c r="AR610" s="89" t="s">
        <v>646</v>
      </c>
      <c r="AS610" s="89" t="s">
        <v>646</v>
      </c>
      <c r="AT610" s="89" t="s">
        <v>646</v>
      </c>
      <c r="AU610" s="89" t="s">
        <v>646</v>
      </c>
      <c r="AV610" s="89" t="s">
        <v>646</v>
      </c>
      <c r="AW610" s="89" t="s">
        <v>646</v>
      </c>
      <c r="AX610" s="89" t="s">
        <v>646</v>
      </c>
      <c r="AY610" s="89" t="s">
        <v>646</v>
      </c>
      <c r="AZ610" s="89" t="s">
        <v>646</v>
      </c>
      <c r="BA610" s="89" t="s">
        <v>22524</v>
      </c>
      <c r="BB610" s="89" t="s">
        <v>646</v>
      </c>
      <c r="BC610" s="89" t="s">
        <v>646</v>
      </c>
      <c r="BD610" s="89" t="s">
        <v>646</v>
      </c>
      <c r="BE610" s="89">
        <v>2020</v>
      </c>
      <c r="BF610" s="89" t="s">
        <v>646</v>
      </c>
      <c r="BG610" s="89" t="s">
        <v>646</v>
      </c>
      <c r="BH610" s="89" t="s">
        <v>646</v>
      </c>
      <c r="BI610" s="89" t="s">
        <v>646</v>
      </c>
      <c r="BJ610" s="89" t="s">
        <v>646</v>
      </c>
      <c r="BK610" s="89" t="s">
        <v>646</v>
      </c>
      <c r="BL610" s="89">
        <v>1245</v>
      </c>
      <c r="BM610" s="89">
        <v>1257</v>
      </c>
      <c r="BN610" s="89" t="s">
        <v>646</v>
      </c>
      <c r="BO610" s="89" t="str">
        <f>HYPERLINK("http://dx.doi.org/10.1145/3357236.3395528","http://dx.doi.org/10.1145/3357236.3395528")</f>
        <v>http://dx.doi.org/10.1145/3357236.3395528</v>
      </c>
      <c r="BP610" s="89" t="s">
        <v>646</v>
      </c>
      <c r="BQ610" s="89" t="s">
        <v>646</v>
      </c>
      <c r="BR610" s="89" t="s">
        <v>646</v>
      </c>
      <c r="BS610" s="89" t="s">
        <v>646</v>
      </c>
      <c r="BT610" s="89" t="s">
        <v>646</v>
      </c>
      <c r="BU610" s="89" t="s">
        <v>646</v>
      </c>
      <c r="BV610" s="89" t="s">
        <v>646</v>
      </c>
      <c r="BW610" s="89" t="s">
        <v>646</v>
      </c>
      <c r="BX610" s="89" t="s">
        <v>646</v>
      </c>
      <c r="BY610" s="89" t="s">
        <v>646</v>
      </c>
      <c r="BZ610" s="89" t="s">
        <v>646</v>
      </c>
      <c r="CA610" s="89" t="s">
        <v>646</v>
      </c>
      <c r="CB610" s="89" t="s">
        <v>22525</v>
      </c>
      <c r="CC610" s="89" t="str">
        <f>HYPERLINK("https%3A%2F%2Fwww.webofscience.com%2Fwos%2Fwoscc%2Ffull-record%2FWOS:000747501900093","View Full Record in Web of Science")</f>
        <v>View Full Record in Web of Science</v>
      </c>
    </row>
    <row r="611" spans="1:81" ht="13.2" hidden="1" x14ac:dyDescent="0.25">
      <c r="A611" s="89" t="s">
        <v>22526</v>
      </c>
      <c r="B611" s="89" t="e">
        <f>+#REF!</f>
        <v>#REF!</v>
      </c>
      <c r="C611" s="89"/>
      <c r="D611" s="91" t="s">
        <v>717</v>
      </c>
      <c r="E611" s="90" t="e">
        <v>#REF!</v>
      </c>
      <c r="F611" s="89"/>
      <c r="G611" s="89"/>
      <c r="H611" s="89" t="s">
        <v>646</v>
      </c>
      <c r="I611" s="89" t="s">
        <v>22528</v>
      </c>
      <c r="J611" s="89" t="s">
        <v>646</v>
      </c>
      <c r="K611" s="89" t="s">
        <v>22533</v>
      </c>
      <c r="M611" s="89">
        <v>2011</v>
      </c>
      <c r="N611" s="89" t="s">
        <v>22529</v>
      </c>
      <c r="O611" s="89" t="s">
        <v>22527</v>
      </c>
      <c r="P611" s="89" t="s">
        <v>646</v>
      </c>
      <c r="S611" s="89" t="s">
        <v>646</v>
      </c>
      <c r="U611" s="89" t="s">
        <v>17474</v>
      </c>
      <c r="W611" s="89" t="s">
        <v>646</v>
      </c>
      <c r="X611" s="89" t="s">
        <v>646</v>
      </c>
      <c r="Y611" s="89" t="s">
        <v>22530</v>
      </c>
      <c r="Z611" s="89" t="s">
        <v>22531</v>
      </c>
      <c r="AA611" s="89" t="s">
        <v>19855</v>
      </c>
      <c r="AB611" s="89" t="s">
        <v>22532</v>
      </c>
      <c r="AC611" s="89" t="s">
        <v>646</v>
      </c>
      <c r="AD611" s="89" t="s">
        <v>646</v>
      </c>
      <c r="AE611" s="89" t="s">
        <v>646</v>
      </c>
      <c r="AF611" s="89" t="s">
        <v>22533</v>
      </c>
      <c r="AG611" s="89" t="s">
        <v>646</v>
      </c>
      <c r="AH611" s="89" t="s">
        <v>646</v>
      </c>
      <c r="AI611" s="89" t="s">
        <v>646</v>
      </c>
      <c r="AJ611" s="89" t="s">
        <v>646</v>
      </c>
      <c r="AK611" s="89" t="s">
        <v>646</v>
      </c>
      <c r="AL611" s="89" t="s">
        <v>646</v>
      </c>
      <c r="AM611" s="89" t="s">
        <v>646</v>
      </c>
      <c r="AN611" s="89" t="s">
        <v>646</v>
      </c>
      <c r="AO611" s="89" t="s">
        <v>646</v>
      </c>
      <c r="AP611" s="89" t="s">
        <v>646</v>
      </c>
      <c r="AQ611" s="89" t="s">
        <v>646</v>
      </c>
      <c r="AR611" s="89" t="s">
        <v>646</v>
      </c>
      <c r="AS611" s="89" t="s">
        <v>646</v>
      </c>
      <c r="AT611" s="89" t="s">
        <v>646</v>
      </c>
      <c r="AU611" s="89" t="s">
        <v>646</v>
      </c>
      <c r="AV611" s="89" t="s">
        <v>646</v>
      </c>
      <c r="AW611" s="89" t="s">
        <v>646</v>
      </c>
      <c r="AX611" s="89" t="s">
        <v>646</v>
      </c>
      <c r="AY611" s="89" t="s">
        <v>646</v>
      </c>
      <c r="AZ611" s="89" t="s">
        <v>646</v>
      </c>
      <c r="BA611" s="89" t="s">
        <v>22534</v>
      </c>
      <c r="BB611" s="89" t="s">
        <v>646</v>
      </c>
      <c r="BC611" s="89" t="s">
        <v>646</v>
      </c>
      <c r="BD611" s="89" t="s">
        <v>646</v>
      </c>
      <c r="BE611" s="89">
        <v>2011</v>
      </c>
      <c r="BF611" s="89" t="s">
        <v>646</v>
      </c>
      <c r="BG611" s="89" t="s">
        <v>646</v>
      </c>
      <c r="BH611" s="89" t="s">
        <v>646</v>
      </c>
      <c r="BI611" s="89" t="s">
        <v>646</v>
      </c>
      <c r="BJ611" s="89" t="s">
        <v>646</v>
      </c>
      <c r="BK611" s="89" t="s">
        <v>646</v>
      </c>
      <c r="BL611" s="89" t="s">
        <v>646</v>
      </c>
      <c r="BM611" s="89" t="s">
        <v>646</v>
      </c>
      <c r="BN611" s="89" t="s">
        <v>646</v>
      </c>
      <c r="BO611" s="89" t="s">
        <v>646</v>
      </c>
      <c r="BP611" s="89" t="s">
        <v>646</v>
      </c>
      <c r="BQ611" s="89" t="s">
        <v>646</v>
      </c>
      <c r="BR611" s="89" t="s">
        <v>646</v>
      </c>
      <c r="BS611" s="89" t="s">
        <v>646</v>
      </c>
      <c r="BT611" s="89" t="s">
        <v>646</v>
      </c>
      <c r="BU611" s="89" t="s">
        <v>646</v>
      </c>
      <c r="BV611" s="89" t="s">
        <v>646</v>
      </c>
      <c r="BW611" s="89" t="s">
        <v>646</v>
      </c>
      <c r="BX611" s="89" t="s">
        <v>646</v>
      </c>
      <c r="BY611" s="89" t="s">
        <v>646</v>
      </c>
      <c r="BZ611" s="89" t="s">
        <v>646</v>
      </c>
      <c r="CA611" s="89" t="s">
        <v>646</v>
      </c>
      <c r="CB611" s="89" t="s">
        <v>22535</v>
      </c>
      <c r="CC611" s="89" t="str">
        <f>HYPERLINK("https%3A%2F%2Fwww.webofscience.com%2Fwos%2Fwoscc%2Ffull-record%2FWOS:000298384400206","View Full Record in Web of Science")</f>
        <v>View Full Record in Web of Science</v>
      </c>
    </row>
    <row r="612" spans="1:81" ht="13.2" hidden="1" x14ac:dyDescent="0.25">
      <c r="A612" s="89" t="s">
        <v>22536</v>
      </c>
      <c r="B612" s="89" t="e">
        <f>+#REF!</f>
        <v>#REF!</v>
      </c>
      <c r="C612" s="89"/>
      <c r="D612" s="91" t="s">
        <v>717</v>
      </c>
      <c r="E612" s="90" t="e">
        <v>#REF!</v>
      </c>
      <c r="F612" s="89"/>
      <c r="G612" s="89"/>
      <c r="H612" s="89" t="s">
        <v>738</v>
      </c>
      <c r="I612" s="89" t="s">
        <v>22537</v>
      </c>
      <c r="J612" s="89" t="s">
        <v>646</v>
      </c>
      <c r="K612" s="89" t="s">
        <v>22538</v>
      </c>
      <c r="M612" s="89">
        <v>2013</v>
      </c>
      <c r="N612" s="89" t="s">
        <v>18387</v>
      </c>
      <c r="O612" s="89" t="s">
        <v>646</v>
      </c>
      <c r="P612" s="89" t="str">
        <f>HYPERLINK("http://dx.doi.org/10.1016/j.ijinfomgt.2012.11.004","http://dx.doi.org/10.1016/j.ijinfomgt.2012.11.004")</f>
        <v>http://dx.doi.org/10.1016/j.ijinfomgt.2012.11.004</v>
      </c>
      <c r="S612" s="89" t="s">
        <v>646</v>
      </c>
      <c r="U612" s="89" t="s">
        <v>17462</v>
      </c>
      <c r="W612" s="89" t="s">
        <v>646</v>
      </c>
      <c r="X612" s="89" t="s">
        <v>646</v>
      </c>
      <c r="Y612" s="89" t="s">
        <v>646</v>
      </c>
      <c r="Z612" s="89" t="s">
        <v>646</v>
      </c>
      <c r="AA612" s="89" t="s">
        <v>646</v>
      </c>
      <c r="AB612" s="89" t="s">
        <v>646</v>
      </c>
      <c r="AC612" s="89" t="s">
        <v>646</v>
      </c>
      <c r="AD612" s="89" t="s">
        <v>646</v>
      </c>
      <c r="AE612" s="89" t="s">
        <v>646</v>
      </c>
      <c r="AF612" s="89" t="s">
        <v>22538</v>
      </c>
      <c r="AG612" s="89" t="s">
        <v>646</v>
      </c>
      <c r="AH612" s="89" t="s">
        <v>646</v>
      </c>
      <c r="AI612" s="89" t="s">
        <v>646</v>
      </c>
      <c r="AJ612" s="89" t="s">
        <v>646</v>
      </c>
      <c r="AK612" s="89" t="s">
        <v>646</v>
      </c>
      <c r="AL612" s="89" t="s">
        <v>646</v>
      </c>
      <c r="AM612" s="89" t="s">
        <v>646</v>
      </c>
      <c r="AN612" s="89" t="s">
        <v>646</v>
      </c>
      <c r="AO612" s="89" t="s">
        <v>646</v>
      </c>
      <c r="AP612" s="89" t="s">
        <v>646</v>
      </c>
      <c r="AQ612" s="89" t="s">
        <v>646</v>
      </c>
      <c r="AR612" s="89" t="s">
        <v>646</v>
      </c>
      <c r="AS612" s="89" t="s">
        <v>646</v>
      </c>
      <c r="AT612" s="89" t="s">
        <v>646</v>
      </c>
      <c r="AU612" s="89" t="s">
        <v>646</v>
      </c>
      <c r="AV612" s="89" t="s">
        <v>646</v>
      </c>
      <c r="AW612" s="89" t="s">
        <v>646</v>
      </c>
      <c r="AX612" s="89" t="s">
        <v>646</v>
      </c>
      <c r="AY612" s="89" t="s">
        <v>18391</v>
      </c>
      <c r="AZ612" s="89" t="s">
        <v>18392</v>
      </c>
      <c r="BA612" s="89" t="s">
        <v>646</v>
      </c>
      <c r="BB612" s="89" t="s">
        <v>646</v>
      </c>
      <c r="BC612" s="89" t="s">
        <v>646</v>
      </c>
      <c r="BD612" s="89" t="s">
        <v>17823</v>
      </c>
      <c r="BE612" s="89">
        <v>2013</v>
      </c>
      <c r="BF612" s="89">
        <v>33</v>
      </c>
      <c r="BG612" s="89">
        <v>2</v>
      </c>
      <c r="BH612" s="89" t="s">
        <v>646</v>
      </c>
      <c r="BI612" s="89" t="s">
        <v>646</v>
      </c>
      <c r="BJ612" s="89" t="s">
        <v>646</v>
      </c>
      <c r="BK612" s="89" t="s">
        <v>646</v>
      </c>
      <c r="BL612" s="89">
        <v>333</v>
      </c>
      <c r="BM612" s="89">
        <v>355</v>
      </c>
      <c r="BN612" s="89" t="s">
        <v>646</v>
      </c>
      <c r="BO612" s="89" t="str">
        <f>HYPERLINK("http://dx.doi.org/10.1016/j.ijinfomgt.2012.11.004","http://dx.doi.org/10.1016/j.ijinfomgt.2012.11.004")</f>
        <v>http://dx.doi.org/10.1016/j.ijinfomgt.2012.11.004</v>
      </c>
      <c r="BP612" s="89" t="s">
        <v>646</v>
      </c>
      <c r="BQ612" s="89" t="s">
        <v>646</v>
      </c>
      <c r="BR612" s="89" t="s">
        <v>646</v>
      </c>
      <c r="BS612" s="89" t="s">
        <v>646</v>
      </c>
      <c r="BT612" s="89" t="s">
        <v>646</v>
      </c>
      <c r="BU612" s="89" t="s">
        <v>646</v>
      </c>
      <c r="BV612" s="89" t="s">
        <v>646</v>
      </c>
      <c r="BW612" s="89" t="s">
        <v>646</v>
      </c>
      <c r="BX612" s="89" t="s">
        <v>646</v>
      </c>
      <c r="BY612" s="89" t="s">
        <v>646</v>
      </c>
      <c r="BZ612" s="89" t="s">
        <v>646</v>
      </c>
      <c r="CA612" s="89" t="s">
        <v>646</v>
      </c>
      <c r="CB612" s="89" t="s">
        <v>22539</v>
      </c>
      <c r="CC612" s="89" t="str">
        <f>HYPERLINK("https%3A%2F%2Fwww.webofscience.com%2Fwos%2Fwoscc%2Ffull-record%2FWOS:000316428300011","View Full Record in Web of Science")</f>
        <v>View Full Record in Web of Science</v>
      </c>
    </row>
    <row r="613" spans="1:81" ht="13.2" hidden="1" x14ac:dyDescent="0.25">
      <c r="A613" s="89" t="s">
        <v>13756</v>
      </c>
      <c r="B613" s="89" t="e">
        <f>+#REF!</f>
        <v>#REF!</v>
      </c>
      <c r="C613" s="89"/>
      <c r="D613" s="91" t="s">
        <v>717</v>
      </c>
      <c r="E613" s="90" t="e">
        <v>#REF!</v>
      </c>
      <c r="F613" s="89"/>
      <c r="G613" s="89"/>
      <c r="H613" s="89" t="s">
        <v>22540</v>
      </c>
      <c r="I613" s="89" t="s">
        <v>22541</v>
      </c>
      <c r="J613" s="89" t="s">
        <v>22544</v>
      </c>
      <c r="K613" s="89" t="s">
        <v>22543</v>
      </c>
      <c r="M613" s="89">
        <v>2014</v>
      </c>
      <c r="N613" s="89" t="s">
        <v>22542</v>
      </c>
      <c r="O613" s="89" t="s">
        <v>646</v>
      </c>
      <c r="P613" s="89" t="str">
        <f>HYPERLINK("http://dx.doi.org/10.1111/exsy.608","http://dx.doi.org/10.1111/exsy.608")</f>
        <v>http://dx.doi.org/10.1111/exsy.608</v>
      </c>
      <c r="S613" s="89" t="s">
        <v>646</v>
      </c>
      <c r="U613" s="89" t="s">
        <v>17462</v>
      </c>
      <c r="W613" s="89" t="s">
        <v>646</v>
      </c>
      <c r="X613" s="89" t="s">
        <v>646</v>
      </c>
      <c r="Y613" s="89" t="s">
        <v>646</v>
      </c>
      <c r="Z613" s="89" t="s">
        <v>646</v>
      </c>
      <c r="AA613" s="89" t="s">
        <v>646</v>
      </c>
      <c r="AB613" s="89" t="s">
        <v>646</v>
      </c>
      <c r="AC613" s="89" t="s">
        <v>646</v>
      </c>
      <c r="AD613" s="89" t="s">
        <v>646</v>
      </c>
      <c r="AE613" s="89" t="s">
        <v>646</v>
      </c>
      <c r="AF613" s="89" t="s">
        <v>22543</v>
      </c>
      <c r="AG613" s="89" t="s">
        <v>646</v>
      </c>
      <c r="AH613" s="89" t="s">
        <v>646</v>
      </c>
      <c r="AI613" s="89" t="s">
        <v>646</v>
      </c>
      <c r="AJ613" s="89" t="s">
        <v>646</v>
      </c>
      <c r="AK613" s="89" t="s">
        <v>22544</v>
      </c>
      <c r="AL613" s="89" t="s">
        <v>22545</v>
      </c>
      <c r="AM613" s="89" t="s">
        <v>646</v>
      </c>
      <c r="AN613" s="89" t="s">
        <v>646</v>
      </c>
      <c r="AO613" s="89" t="s">
        <v>646</v>
      </c>
      <c r="AP613" s="89" t="s">
        <v>646</v>
      </c>
      <c r="AQ613" s="89" t="s">
        <v>646</v>
      </c>
      <c r="AR613" s="89" t="s">
        <v>646</v>
      </c>
      <c r="AS613" s="89" t="s">
        <v>646</v>
      </c>
      <c r="AT613" s="89" t="s">
        <v>646</v>
      </c>
      <c r="AU613" s="89" t="s">
        <v>646</v>
      </c>
      <c r="AV613" s="89" t="s">
        <v>646</v>
      </c>
      <c r="AW613" s="89" t="s">
        <v>646</v>
      </c>
      <c r="AX613" s="89" t="s">
        <v>646</v>
      </c>
      <c r="AY613" s="89" t="s">
        <v>22546</v>
      </c>
      <c r="AZ613" s="89" t="s">
        <v>22547</v>
      </c>
      <c r="BA613" s="89" t="s">
        <v>646</v>
      </c>
      <c r="BB613" s="89" t="s">
        <v>646</v>
      </c>
      <c r="BC613" s="89" t="s">
        <v>646</v>
      </c>
      <c r="BD613" s="89" t="s">
        <v>17676</v>
      </c>
      <c r="BE613" s="89">
        <v>2014</v>
      </c>
      <c r="BF613" s="89">
        <v>31</v>
      </c>
      <c r="BG613" s="89">
        <v>3</v>
      </c>
      <c r="BH613" s="89" t="s">
        <v>646</v>
      </c>
      <c r="BI613" s="89" t="s">
        <v>646</v>
      </c>
      <c r="BJ613" s="89" t="s">
        <v>646</v>
      </c>
      <c r="BK613" s="89" t="s">
        <v>646</v>
      </c>
      <c r="BL613" s="89">
        <v>253</v>
      </c>
      <c r="BM613" s="89">
        <v>266</v>
      </c>
      <c r="BN613" s="89" t="s">
        <v>646</v>
      </c>
      <c r="BO613" s="89" t="str">
        <f>HYPERLINK("http://dx.doi.org/10.1111/exsy.608","http://dx.doi.org/10.1111/exsy.608")</f>
        <v>http://dx.doi.org/10.1111/exsy.608</v>
      </c>
      <c r="BP613" s="89" t="s">
        <v>646</v>
      </c>
      <c r="BQ613" s="89" t="s">
        <v>646</v>
      </c>
      <c r="BR613" s="89" t="s">
        <v>646</v>
      </c>
      <c r="BS613" s="89" t="s">
        <v>646</v>
      </c>
      <c r="BT613" s="89" t="s">
        <v>646</v>
      </c>
      <c r="BU613" s="89" t="s">
        <v>646</v>
      </c>
      <c r="BV613" s="89" t="s">
        <v>646</v>
      </c>
      <c r="BW613" s="89" t="s">
        <v>646</v>
      </c>
      <c r="BX613" s="89" t="s">
        <v>646</v>
      </c>
      <c r="BY613" s="89" t="s">
        <v>646</v>
      </c>
      <c r="BZ613" s="89" t="s">
        <v>646</v>
      </c>
      <c r="CA613" s="89" t="s">
        <v>646</v>
      </c>
      <c r="CB613" s="89" t="s">
        <v>22548</v>
      </c>
      <c r="CC613" s="89" t="str">
        <f>HYPERLINK("https%3A%2F%2Fwww.webofscience.com%2Fwos%2Fwoscc%2Ffull-record%2FWOS:000340161100006","View Full Record in Web of Science")</f>
        <v>View Full Record in Web of Science</v>
      </c>
    </row>
    <row r="614" spans="1:81" ht="13.2" hidden="1" x14ac:dyDescent="0.25">
      <c r="A614" s="89" t="s">
        <v>13765</v>
      </c>
      <c r="B614" s="89" t="e">
        <f>+#REF!</f>
        <v>#REF!</v>
      </c>
      <c r="C614" s="89"/>
      <c r="D614" s="91" t="s">
        <v>717</v>
      </c>
      <c r="E614" s="90" t="e">
        <v>#REF!</v>
      </c>
      <c r="F614" s="89"/>
      <c r="G614" s="89"/>
      <c r="H614" s="89" t="s">
        <v>13766</v>
      </c>
      <c r="I614" s="89" t="s">
        <v>22549</v>
      </c>
      <c r="J614" s="89" t="s">
        <v>22552</v>
      </c>
      <c r="K614" s="89" t="s">
        <v>22551</v>
      </c>
      <c r="M614" s="89">
        <v>2019</v>
      </c>
      <c r="N614" s="89" t="s">
        <v>22550</v>
      </c>
      <c r="O614" s="89" t="s">
        <v>646</v>
      </c>
      <c r="P614" s="89" t="str">
        <f>HYPERLINK("http://dx.doi.org/10.1177/0022185619854472","http://dx.doi.org/10.1177/0022185619854472")</f>
        <v>http://dx.doi.org/10.1177/0022185619854472</v>
      </c>
      <c r="S614" s="89" t="s">
        <v>646</v>
      </c>
      <c r="U614" s="89" t="s">
        <v>17462</v>
      </c>
      <c r="W614" s="89" t="s">
        <v>646</v>
      </c>
      <c r="X614" s="89" t="s">
        <v>646</v>
      </c>
      <c r="Y614" s="89" t="s">
        <v>646</v>
      </c>
      <c r="Z614" s="89" t="s">
        <v>646</v>
      </c>
      <c r="AA614" s="89" t="s">
        <v>646</v>
      </c>
      <c r="AB614" s="89" t="s">
        <v>646</v>
      </c>
      <c r="AC614" s="89" t="s">
        <v>646</v>
      </c>
      <c r="AD614" s="89" t="s">
        <v>646</v>
      </c>
      <c r="AE614" s="89" t="s">
        <v>646</v>
      </c>
      <c r="AF614" s="89" t="s">
        <v>22551</v>
      </c>
      <c r="AG614" s="89" t="s">
        <v>646</v>
      </c>
      <c r="AH614" s="89" t="s">
        <v>646</v>
      </c>
      <c r="AI614" s="89" t="s">
        <v>646</v>
      </c>
      <c r="AJ614" s="89" t="s">
        <v>646</v>
      </c>
      <c r="AK614" s="89" t="s">
        <v>22552</v>
      </c>
      <c r="AL614" s="89" t="s">
        <v>22553</v>
      </c>
      <c r="AM614" s="89" t="s">
        <v>646</v>
      </c>
      <c r="AN614" s="89" t="s">
        <v>646</v>
      </c>
      <c r="AO614" s="89" t="s">
        <v>646</v>
      </c>
      <c r="AP614" s="89" t="s">
        <v>646</v>
      </c>
      <c r="AQ614" s="89" t="s">
        <v>646</v>
      </c>
      <c r="AR614" s="89" t="s">
        <v>646</v>
      </c>
      <c r="AS614" s="89" t="s">
        <v>646</v>
      </c>
      <c r="AT614" s="89" t="s">
        <v>646</v>
      </c>
      <c r="AU614" s="89" t="s">
        <v>646</v>
      </c>
      <c r="AV614" s="89" t="s">
        <v>646</v>
      </c>
      <c r="AW614" s="89" t="s">
        <v>646</v>
      </c>
      <c r="AX614" s="89" t="s">
        <v>646</v>
      </c>
      <c r="AY614" s="89" t="s">
        <v>22554</v>
      </c>
      <c r="AZ614" s="89" t="s">
        <v>22555</v>
      </c>
      <c r="BA614" s="89" t="s">
        <v>646</v>
      </c>
      <c r="BB614" s="89" t="s">
        <v>646</v>
      </c>
      <c r="BC614" s="89" t="s">
        <v>646</v>
      </c>
      <c r="BD614" s="89" t="s">
        <v>17739</v>
      </c>
      <c r="BE614" s="89">
        <v>2019</v>
      </c>
      <c r="BF614" s="89">
        <v>61</v>
      </c>
      <c r="BG614" s="89">
        <v>4</v>
      </c>
      <c r="BH614" s="89" t="s">
        <v>646</v>
      </c>
      <c r="BI614" s="89" t="s">
        <v>646</v>
      </c>
      <c r="BJ614" s="89" t="s">
        <v>17555</v>
      </c>
      <c r="BK614" s="89" t="s">
        <v>646</v>
      </c>
      <c r="BL614" s="89">
        <v>574</v>
      </c>
      <c r="BM614" s="89">
        <v>596</v>
      </c>
      <c r="BN614" s="89">
        <v>22185619854472</v>
      </c>
      <c r="BO614" s="89" t="str">
        <f>HYPERLINK("http://dx.doi.org/10.1177/0022185619854472","http://dx.doi.org/10.1177/0022185619854472")</f>
        <v>http://dx.doi.org/10.1177/0022185619854472</v>
      </c>
      <c r="BP614" s="89" t="s">
        <v>646</v>
      </c>
      <c r="BQ614" s="89" t="s">
        <v>21267</v>
      </c>
      <c r="BR614" s="89" t="s">
        <v>646</v>
      </c>
      <c r="BS614" s="89" t="s">
        <v>646</v>
      </c>
      <c r="BT614" s="89" t="s">
        <v>646</v>
      </c>
      <c r="BU614" s="89" t="s">
        <v>646</v>
      </c>
      <c r="BV614" s="89" t="s">
        <v>646</v>
      </c>
      <c r="BW614" s="89" t="s">
        <v>646</v>
      </c>
      <c r="BX614" s="89" t="s">
        <v>646</v>
      </c>
      <c r="BY614" s="89" t="s">
        <v>646</v>
      </c>
      <c r="BZ614" s="89" t="s">
        <v>646</v>
      </c>
      <c r="CA614" s="89" t="s">
        <v>646</v>
      </c>
      <c r="CB614" s="89" t="s">
        <v>22556</v>
      </c>
      <c r="CC614" s="89" t="str">
        <f>HYPERLINK("https%3A%2F%2Fwww.webofscience.com%2Fwos%2Fwoscc%2Ffull-record%2FWOS:000483418200001","View Full Record in Web of Science")</f>
        <v>View Full Record in Web of Science</v>
      </c>
    </row>
    <row r="615" spans="1:81" ht="13.2" hidden="1" x14ac:dyDescent="0.25">
      <c r="A615" s="89" t="s">
        <v>13774</v>
      </c>
      <c r="B615" s="89" t="e">
        <f>+#REF!</f>
        <v>#REF!</v>
      </c>
      <c r="C615" s="89"/>
      <c r="D615" s="91" t="s">
        <v>717</v>
      </c>
      <c r="E615" s="90" t="e">
        <v>#REF!</v>
      </c>
      <c r="F615" s="89"/>
      <c r="G615" s="89"/>
      <c r="H615" s="89" t="s">
        <v>646</v>
      </c>
      <c r="I615" s="89" t="s">
        <v>22557</v>
      </c>
      <c r="J615" s="89" t="s">
        <v>646</v>
      </c>
      <c r="K615" s="89" t="s">
        <v>22558</v>
      </c>
      <c r="M615" s="89">
        <v>2020</v>
      </c>
      <c r="N615" s="89" t="s">
        <v>18466</v>
      </c>
      <c r="O615" s="89" t="s">
        <v>646</v>
      </c>
      <c r="P615" s="89" t="s">
        <v>646</v>
      </c>
      <c r="S615" s="89" t="s">
        <v>646</v>
      </c>
      <c r="U615" s="89" t="s">
        <v>17462</v>
      </c>
      <c r="W615" s="89" t="s">
        <v>646</v>
      </c>
      <c r="X615" s="89" t="s">
        <v>646</v>
      </c>
      <c r="Y615" s="89" t="s">
        <v>646</v>
      </c>
      <c r="Z615" s="89" t="s">
        <v>646</v>
      </c>
      <c r="AA615" s="89" t="s">
        <v>646</v>
      </c>
      <c r="AB615" s="89" t="s">
        <v>646</v>
      </c>
      <c r="AC615" s="89" t="s">
        <v>646</v>
      </c>
      <c r="AD615" s="89" t="s">
        <v>646</v>
      </c>
      <c r="AE615" s="89" t="s">
        <v>646</v>
      </c>
      <c r="AF615" s="89" t="s">
        <v>22558</v>
      </c>
      <c r="AG615" s="89" t="s">
        <v>646</v>
      </c>
      <c r="AH615" s="89" t="s">
        <v>646</v>
      </c>
      <c r="AI615" s="89" t="s">
        <v>646</v>
      </c>
      <c r="AJ615" s="89" t="s">
        <v>646</v>
      </c>
      <c r="AK615" s="89" t="s">
        <v>646</v>
      </c>
      <c r="AL615" s="89" t="s">
        <v>646</v>
      </c>
      <c r="AM615" s="89" t="s">
        <v>646</v>
      </c>
      <c r="AN615" s="89" t="s">
        <v>646</v>
      </c>
      <c r="AO615" s="89" t="s">
        <v>646</v>
      </c>
      <c r="AP615" s="89" t="s">
        <v>646</v>
      </c>
      <c r="AQ615" s="89" t="s">
        <v>646</v>
      </c>
      <c r="AR615" s="89" t="s">
        <v>646</v>
      </c>
      <c r="AS615" s="89" t="s">
        <v>646</v>
      </c>
      <c r="AT615" s="89" t="s">
        <v>646</v>
      </c>
      <c r="AU615" s="89" t="s">
        <v>646</v>
      </c>
      <c r="AV615" s="89" t="s">
        <v>646</v>
      </c>
      <c r="AW615" s="89" t="s">
        <v>646</v>
      </c>
      <c r="AX615" s="89" t="s">
        <v>646</v>
      </c>
      <c r="AY615" s="89" t="s">
        <v>18468</v>
      </c>
      <c r="AZ615" s="89" t="s">
        <v>18469</v>
      </c>
      <c r="BA615" s="89" t="s">
        <v>646</v>
      </c>
      <c r="BB615" s="89" t="s">
        <v>646</v>
      </c>
      <c r="BC615" s="89" t="s">
        <v>646</v>
      </c>
      <c r="BD615" s="89" t="s">
        <v>17779</v>
      </c>
      <c r="BE615" s="89">
        <v>2020</v>
      </c>
      <c r="BF615" s="89">
        <v>159</v>
      </c>
      <c r="BG615" s="89">
        <v>1</v>
      </c>
      <c r="BH615" s="89" t="s">
        <v>646</v>
      </c>
      <c r="BI615" s="89" t="s">
        <v>646</v>
      </c>
      <c r="BJ615" s="89" t="s">
        <v>17555</v>
      </c>
      <c r="BK615" s="89" t="s">
        <v>646</v>
      </c>
      <c r="BL615" s="89">
        <v>25</v>
      </c>
      <c r="BM615" s="89">
        <v>45</v>
      </c>
      <c r="BN615" s="89" t="s">
        <v>646</v>
      </c>
      <c r="BO615" s="89" t="s">
        <v>646</v>
      </c>
      <c r="BP615" s="89" t="s">
        <v>646</v>
      </c>
      <c r="BQ615" s="89" t="s">
        <v>646</v>
      </c>
      <c r="BR615" s="89" t="s">
        <v>646</v>
      </c>
      <c r="BS615" s="89" t="s">
        <v>646</v>
      </c>
      <c r="BT615" s="89" t="s">
        <v>646</v>
      </c>
      <c r="BU615" s="89" t="s">
        <v>646</v>
      </c>
      <c r="BV615" s="89" t="s">
        <v>646</v>
      </c>
      <c r="BW615" s="89" t="s">
        <v>646</v>
      </c>
      <c r="BX615" s="89" t="s">
        <v>646</v>
      </c>
      <c r="BY615" s="89" t="s">
        <v>646</v>
      </c>
      <c r="BZ615" s="89" t="s">
        <v>646</v>
      </c>
      <c r="CA615" s="89" t="s">
        <v>646</v>
      </c>
      <c r="CB615" s="89" t="s">
        <v>22559</v>
      </c>
      <c r="CC615" s="89" t="str">
        <f>HYPERLINK("https%3A%2F%2Fwww.webofscience.com%2Fwos%2Fwoscc%2Ffull-record%2FWOS:000619398600002","View Full Record in Web of Science")</f>
        <v>View Full Record in Web of Science</v>
      </c>
    </row>
    <row r="616" spans="1:81" ht="13.2" hidden="1" x14ac:dyDescent="0.25">
      <c r="A616" s="89" t="s">
        <v>9835</v>
      </c>
      <c r="B616" s="89" t="e">
        <f>+#REF!</f>
        <v>#REF!</v>
      </c>
      <c r="C616" s="89"/>
      <c r="D616" s="91" t="s">
        <v>717</v>
      </c>
      <c r="E616" s="90" t="e">
        <v>#REF!</v>
      </c>
      <c r="F616" s="89"/>
      <c r="G616" s="89"/>
      <c r="H616" s="89" t="s">
        <v>9836</v>
      </c>
      <c r="I616" s="89" t="s">
        <v>22560</v>
      </c>
      <c r="J616" s="89" t="s">
        <v>646</v>
      </c>
      <c r="K616" s="89" t="s">
        <v>22561</v>
      </c>
      <c r="M616" s="89">
        <v>2021</v>
      </c>
      <c r="N616" s="89" t="s">
        <v>21549</v>
      </c>
      <c r="O616" s="89" t="s">
        <v>646</v>
      </c>
      <c r="P616" s="89" t="str">
        <f>HYPERLINK("http://dx.doi.org/10.1037/lhb0000457","http://dx.doi.org/10.1037/lhb0000457")</f>
        <v>http://dx.doi.org/10.1037/lhb0000457</v>
      </c>
      <c r="S616" s="89" t="s">
        <v>646</v>
      </c>
      <c r="U616" s="89" t="s">
        <v>17462</v>
      </c>
      <c r="W616" s="89" t="s">
        <v>646</v>
      </c>
      <c r="X616" s="89" t="s">
        <v>646</v>
      </c>
      <c r="Y616" s="89" t="s">
        <v>646</v>
      </c>
      <c r="Z616" s="89" t="s">
        <v>646</v>
      </c>
      <c r="AA616" s="89" t="s">
        <v>646</v>
      </c>
      <c r="AB616" s="89" t="s">
        <v>646</v>
      </c>
      <c r="AC616" s="89" t="s">
        <v>646</v>
      </c>
      <c r="AD616" s="89" t="s">
        <v>646</v>
      </c>
      <c r="AE616" s="89" t="s">
        <v>646</v>
      </c>
      <c r="AF616" s="89" t="s">
        <v>22561</v>
      </c>
      <c r="AG616" s="89" t="s">
        <v>646</v>
      </c>
      <c r="AH616" s="89" t="s">
        <v>646</v>
      </c>
      <c r="AI616" s="89" t="s">
        <v>646</v>
      </c>
      <c r="AJ616" s="89" t="s">
        <v>646</v>
      </c>
      <c r="AK616" s="89" t="s">
        <v>646</v>
      </c>
      <c r="AL616" s="89" t="s">
        <v>22562</v>
      </c>
      <c r="AM616" s="89" t="s">
        <v>646</v>
      </c>
      <c r="AN616" s="89" t="s">
        <v>646</v>
      </c>
      <c r="AO616" s="89" t="s">
        <v>646</v>
      </c>
      <c r="AP616" s="89" t="s">
        <v>646</v>
      </c>
      <c r="AQ616" s="89" t="s">
        <v>646</v>
      </c>
      <c r="AR616" s="89" t="s">
        <v>646</v>
      </c>
      <c r="AS616" s="89" t="s">
        <v>646</v>
      </c>
      <c r="AT616" s="89" t="s">
        <v>646</v>
      </c>
      <c r="AU616" s="89" t="s">
        <v>646</v>
      </c>
      <c r="AV616" s="89" t="s">
        <v>646</v>
      </c>
      <c r="AW616" s="89" t="s">
        <v>646</v>
      </c>
      <c r="AX616" s="89" t="s">
        <v>646</v>
      </c>
      <c r="AY616" s="89" t="s">
        <v>21551</v>
      </c>
      <c r="AZ616" s="89" t="s">
        <v>21552</v>
      </c>
      <c r="BA616" s="89" t="s">
        <v>646</v>
      </c>
      <c r="BB616" s="89" t="s">
        <v>646</v>
      </c>
      <c r="BC616" s="89" t="s">
        <v>646</v>
      </c>
      <c r="BD616" s="89" t="s">
        <v>18655</v>
      </c>
      <c r="BE616" s="89">
        <v>2021</v>
      </c>
      <c r="BF616" s="89">
        <v>45</v>
      </c>
      <c r="BG616" s="89">
        <v>4</v>
      </c>
      <c r="BH616" s="89" t="s">
        <v>646</v>
      </c>
      <c r="BI616" s="89" t="s">
        <v>646</v>
      </c>
      <c r="BJ616" s="89" t="s">
        <v>646</v>
      </c>
      <c r="BK616" s="89" t="s">
        <v>646</v>
      </c>
      <c r="BL616" s="89">
        <v>370</v>
      </c>
      <c r="BM616" s="89">
        <v>390</v>
      </c>
      <c r="BN616" s="89" t="s">
        <v>646</v>
      </c>
      <c r="BO616" s="89" t="str">
        <f>HYPERLINK("http://dx.doi.org/10.1037/lhb0000457","http://dx.doi.org/10.1037/lhb0000457")</f>
        <v>http://dx.doi.org/10.1037/lhb0000457</v>
      </c>
      <c r="BP616" s="89" t="s">
        <v>646</v>
      </c>
      <c r="BQ616" s="89" t="s">
        <v>646</v>
      </c>
      <c r="BR616" s="89" t="s">
        <v>646</v>
      </c>
      <c r="BS616" s="89" t="s">
        <v>646</v>
      </c>
      <c r="BT616" s="89" t="s">
        <v>646</v>
      </c>
      <c r="BU616" s="89" t="s">
        <v>646</v>
      </c>
      <c r="BV616" s="89" t="s">
        <v>646</v>
      </c>
      <c r="BW616" s="89" t="s">
        <v>646</v>
      </c>
      <c r="BX616" s="89" t="s">
        <v>646</v>
      </c>
      <c r="BY616" s="89" t="s">
        <v>646</v>
      </c>
      <c r="BZ616" s="89" t="s">
        <v>646</v>
      </c>
      <c r="CA616" s="89" t="s">
        <v>646</v>
      </c>
      <c r="CB616" s="89" t="s">
        <v>22563</v>
      </c>
      <c r="CC616" s="89" t="str">
        <f>HYPERLINK("https%3A%2F%2Fwww.webofscience.com%2Fwos%2Fwoscc%2Ffull-record%2FWOS:000704237100007","View Full Record in Web of Science")</f>
        <v>View Full Record in Web of Science</v>
      </c>
    </row>
    <row r="617" spans="1:81" ht="13.2" hidden="1" x14ac:dyDescent="0.25">
      <c r="A617" s="89" t="s">
        <v>22564</v>
      </c>
      <c r="B617" s="89" t="e">
        <f>+#REF!</f>
        <v>#REF!</v>
      </c>
      <c r="C617" s="89"/>
      <c r="D617" s="91" t="s">
        <v>717</v>
      </c>
      <c r="E617" s="90" t="e">
        <v>#REF!</v>
      </c>
      <c r="F617" s="89"/>
      <c r="G617" s="89"/>
      <c r="H617" s="89" t="s">
        <v>13785</v>
      </c>
      <c r="I617" s="89" t="s">
        <v>22565</v>
      </c>
      <c r="J617" s="89" t="s">
        <v>646</v>
      </c>
      <c r="K617" s="89" t="s">
        <v>22566</v>
      </c>
      <c r="M617" s="89">
        <v>2019</v>
      </c>
      <c r="N617" s="89" t="s">
        <v>21549</v>
      </c>
      <c r="O617" s="89" t="s">
        <v>646</v>
      </c>
      <c r="P617" s="89" t="str">
        <f>HYPERLINK("http://dx.doi.org/10.1037/lhb0000333","http://dx.doi.org/10.1037/lhb0000333")</f>
        <v>http://dx.doi.org/10.1037/lhb0000333</v>
      </c>
      <c r="S617" s="89" t="s">
        <v>646</v>
      </c>
      <c r="U617" s="89" t="s">
        <v>17462</v>
      </c>
      <c r="W617" s="89" t="s">
        <v>646</v>
      </c>
      <c r="X617" s="89" t="s">
        <v>646</v>
      </c>
      <c r="Y617" s="89" t="s">
        <v>646</v>
      </c>
      <c r="Z617" s="89" t="s">
        <v>646</v>
      </c>
      <c r="AA617" s="89" t="s">
        <v>646</v>
      </c>
      <c r="AB617" s="89" t="s">
        <v>646</v>
      </c>
      <c r="AC617" s="89" t="s">
        <v>646</v>
      </c>
      <c r="AD617" s="89" t="s">
        <v>646</v>
      </c>
      <c r="AE617" s="89" t="s">
        <v>646</v>
      </c>
      <c r="AF617" s="89" t="s">
        <v>22566</v>
      </c>
      <c r="AG617" s="89" t="s">
        <v>646</v>
      </c>
      <c r="AH617" s="89" t="s">
        <v>646</v>
      </c>
      <c r="AI617" s="89" t="s">
        <v>646</v>
      </c>
      <c r="AJ617" s="89" t="s">
        <v>646</v>
      </c>
      <c r="AK617" s="89" t="s">
        <v>646</v>
      </c>
      <c r="AL617" s="89" t="s">
        <v>646</v>
      </c>
      <c r="AM617" s="89" t="s">
        <v>646</v>
      </c>
      <c r="AN617" s="89" t="s">
        <v>646</v>
      </c>
      <c r="AO617" s="89" t="s">
        <v>646</v>
      </c>
      <c r="AP617" s="89" t="s">
        <v>646</v>
      </c>
      <c r="AQ617" s="89" t="s">
        <v>646</v>
      </c>
      <c r="AR617" s="89" t="s">
        <v>646</v>
      </c>
      <c r="AS617" s="89" t="s">
        <v>646</v>
      </c>
      <c r="AT617" s="89" t="s">
        <v>646</v>
      </c>
      <c r="AU617" s="89" t="s">
        <v>646</v>
      </c>
      <c r="AV617" s="89" t="s">
        <v>646</v>
      </c>
      <c r="AW617" s="89" t="s">
        <v>646</v>
      </c>
      <c r="AX617" s="89" t="s">
        <v>646</v>
      </c>
      <c r="AY617" s="89" t="s">
        <v>21551</v>
      </c>
      <c r="AZ617" s="89" t="s">
        <v>21552</v>
      </c>
      <c r="BA617" s="89" t="s">
        <v>646</v>
      </c>
      <c r="BB617" s="89" t="s">
        <v>646</v>
      </c>
      <c r="BC617" s="89" t="s">
        <v>646</v>
      </c>
      <c r="BD617" s="89" t="s">
        <v>17772</v>
      </c>
      <c r="BE617" s="89">
        <v>2019</v>
      </c>
      <c r="BF617" s="89">
        <v>43</v>
      </c>
      <c r="BG617" s="89">
        <v>3</v>
      </c>
      <c r="BH617" s="89" t="s">
        <v>646</v>
      </c>
      <c r="BI617" s="89" t="s">
        <v>646</v>
      </c>
      <c r="BJ617" s="89" t="s">
        <v>646</v>
      </c>
      <c r="BK617" s="89" t="s">
        <v>646</v>
      </c>
      <c r="BL617" s="89">
        <v>290</v>
      </c>
      <c r="BM617" s="89">
        <v>305</v>
      </c>
      <c r="BN617" s="89" t="s">
        <v>646</v>
      </c>
      <c r="BO617" s="89" t="str">
        <f>HYPERLINK("http://dx.doi.org/10.1037/lhb0000333","http://dx.doi.org/10.1037/lhb0000333")</f>
        <v>http://dx.doi.org/10.1037/lhb0000333</v>
      </c>
      <c r="BP617" s="89" t="s">
        <v>646</v>
      </c>
      <c r="BQ617" s="89" t="s">
        <v>646</v>
      </c>
      <c r="BR617" s="89" t="s">
        <v>646</v>
      </c>
      <c r="BS617" s="89" t="s">
        <v>646</v>
      </c>
      <c r="BT617" s="89" t="s">
        <v>646</v>
      </c>
      <c r="BU617" s="89" t="s">
        <v>646</v>
      </c>
      <c r="BV617" s="89" t="s">
        <v>646</v>
      </c>
      <c r="BW617" s="89">
        <v>31120277</v>
      </c>
      <c r="BX617" s="89" t="s">
        <v>646</v>
      </c>
      <c r="BY617" s="89" t="s">
        <v>646</v>
      </c>
      <c r="BZ617" s="89" t="s">
        <v>646</v>
      </c>
      <c r="CA617" s="89" t="s">
        <v>646</v>
      </c>
      <c r="CB617" s="89" t="s">
        <v>22567</v>
      </c>
      <c r="CC617" s="89" t="str">
        <f>HYPERLINK("https%3A%2F%2Fwww.webofscience.com%2Fwos%2Fwoscc%2Ffull-record%2FWOS:000468757100007","View Full Record in Web of Science")</f>
        <v>View Full Record in Web of Science</v>
      </c>
    </row>
    <row r="618" spans="1:81" ht="13.2" hidden="1" x14ac:dyDescent="0.25">
      <c r="A618" s="89" t="s">
        <v>13793</v>
      </c>
      <c r="B618" s="89" t="e">
        <f>+#REF!</f>
        <v>#REF!</v>
      </c>
      <c r="C618" s="89"/>
      <c r="D618" s="91" t="s">
        <v>717</v>
      </c>
      <c r="E618" s="90" t="e">
        <v>#REF!</v>
      </c>
      <c r="F618" s="89"/>
      <c r="G618" s="89"/>
      <c r="H618" s="89" t="s">
        <v>13794</v>
      </c>
      <c r="I618" s="89" t="s">
        <v>22568</v>
      </c>
      <c r="J618" s="89" t="s">
        <v>646</v>
      </c>
      <c r="K618" s="89" t="s">
        <v>22569</v>
      </c>
      <c r="M618" s="89">
        <v>2018</v>
      </c>
      <c r="N618" s="89" t="s">
        <v>22010</v>
      </c>
      <c r="O618" s="89" t="s">
        <v>646</v>
      </c>
      <c r="P618" s="89" t="str">
        <f>HYPERLINK("http://dx.doi.org/10.1016/j.jneb.2017.12.012","http://dx.doi.org/10.1016/j.jneb.2017.12.012")</f>
        <v>http://dx.doi.org/10.1016/j.jneb.2017.12.012</v>
      </c>
      <c r="S618" s="89" t="s">
        <v>646</v>
      </c>
      <c r="U618" s="89" t="s">
        <v>17462</v>
      </c>
      <c r="W618" s="89" t="s">
        <v>646</v>
      </c>
      <c r="X618" s="89" t="s">
        <v>646</v>
      </c>
      <c r="Y618" s="89" t="s">
        <v>646</v>
      </c>
      <c r="Z618" s="89" t="s">
        <v>646</v>
      </c>
      <c r="AA618" s="89" t="s">
        <v>646</v>
      </c>
      <c r="AB618" s="89" t="s">
        <v>646</v>
      </c>
      <c r="AC618" s="89" t="s">
        <v>646</v>
      </c>
      <c r="AD618" s="89" t="s">
        <v>646</v>
      </c>
      <c r="AE618" s="89" t="s">
        <v>646</v>
      </c>
      <c r="AF618" s="89" t="s">
        <v>22569</v>
      </c>
      <c r="AG618" s="89" t="s">
        <v>646</v>
      </c>
      <c r="AH618" s="89" t="s">
        <v>646</v>
      </c>
      <c r="AI618" s="89" t="s">
        <v>646</v>
      </c>
      <c r="AJ618" s="89" t="s">
        <v>646</v>
      </c>
      <c r="AK618" s="89" t="s">
        <v>646</v>
      </c>
      <c r="AL618" s="89" t="s">
        <v>646</v>
      </c>
      <c r="AM618" s="89" t="s">
        <v>646</v>
      </c>
      <c r="AN618" s="89" t="s">
        <v>646</v>
      </c>
      <c r="AO618" s="89" t="s">
        <v>646</v>
      </c>
      <c r="AP618" s="89" t="s">
        <v>646</v>
      </c>
      <c r="AQ618" s="89" t="s">
        <v>646</v>
      </c>
      <c r="AR618" s="89" t="s">
        <v>646</v>
      </c>
      <c r="AS618" s="89" t="s">
        <v>646</v>
      </c>
      <c r="AT618" s="89" t="s">
        <v>646</v>
      </c>
      <c r="AU618" s="89" t="s">
        <v>646</v>
      </c>
      <c r="AV618" s="89" t="s">
        <v>646</v>
      </c>
      <c r="AW618" s="89" t="s">
        <v>646</v>
      </c>
      <c r="AX618" s="89" t="s">
        <v>646</v>
      </c>
      <c r="AY618" s="89" t="s">
        <v>22013</v>
      </c>
      <c r="AZ618" s="89" t="s">
        <v>22014</v>
      </c>
      <c r="BA618" s="89" t="s">
        <v>646</v>
      </c>
      <c r="BB618" s="89" t="s">
        <v>646</v>
      </c>
      <c r="BC618" s="89" t="s">
        <v>646</v>
      </c>
      <c r="BD618" s="89" t="s">
        <v>17823</v>
      </c>
      <c r="BE618" s="89">
        <v>2018</v>
      </c>
      <c r="BF618" s="89">
        <v>50</v>
      </c>
      <c r="BG618" s="89">
        <v>4</v>
      </c>
      <c r="BH618" s="89" t="s">
        <v>646</v>
      </c>
      <c r="BI618" s="89" t="s">
        <v>646</v>
      </c>
      <c r="BJ618" s="89" t="s">
        <v>646</v>
      </c>
      <c r="BK618" s="89" t="s">
        <v>646</v>
      </c>
      <c r="BL618" s="89">
        <v>365</v>
      </c>
      <c r="BM618" s="89" t="s">
        <v>18405</v>
      </c>
      <c r="BN618" s="89" t="s">
        <v>646</v>
      </c>
      <c r="BO618" s="89" t="str">
        <f>HYPERLINK("http://dx.doi.org/10.1016/j.jneb.2017.12.012","http://dx.doi.org/10.1016/j.jneb.2017.12.012")</f>
        <v>http://dx.doi.org/10.1016/j.jneb.2017.12.012</v>
      </c>
      <c r="BP618" s="89" t="s">
        <v>646</v>
      </c>
      <c r="BQ618" s="89" t="s">
        <v>646</v>
      </c>
      <c r="BR618" s="89" t="s">
        <v>646</v>
      </c>
      <c r="BS618" s="89" t="s">
        <v>646</v>
      </c>
      <c r="BT618" s="89" t="s">
        <v>646</v>
      </c>
      <c r="BU618" s="89" t="s">
        <v>646</v>
      </c>
      <c r="BV618" s="89" t="s">
        <v>646</v>
      </c>
      <c r="BW618" s="89">
        <v>29478950</v>
      </c>
      <c r="BX618" s="89" t="s">
        <v>646</v>
      </c>
      <c r="BY618" s="89" t="s">
        <v>646</v>
      </c>
      <c r="BZ618" s="89" t="s">
        <v>646</v>
      </c>
      <c r="CA618" s="89" t="s">
        <v>646</v>
      </c>
      <c r="CB618" s="89" t="s">
        <v>22570</v>
      </c>
      <c r="CC618" s="89" t="str">
        <f>HYPERLINK("https%3A%2F%2Fwww.webofscience.com%2Fwos%2Fwoscc%2Ffull-record%2FWOS:000429424100007","View Full Record in Web of Science")</f>
        <v>View Full Record in Web of Science</v>
      </c>
    </row>
    <row r="619" spans="1:81" ht="13.2" hidden="1" x14ac:dyDescent="0.25">
      <c r="A619" s="89" t="s">
        <v>22571</v>
      </c>
      <c r="B619" s="89" t="e">
        <f>+#REF!</f>
        <v>#REF!</v>
      </c>
      <c r="C619" s="89"/>
      <c r="D619" s="91" t="s">
        <v>717</v>
      </c>
      <c r="E619" s="90" t="e">
        <v>#REF!</v>
      </c>
      <c r="F619" s="89"/>
      <c r="G619" s="89"/>
      <c r="H619" s="89" t="s">
        <v>13803</v>
      </c>
      <c r="I619" s="89" t="s">
        <v>22572</v>
      </c>
      <c r="J619" s="89" t="s">
        <v>646</v>
      </c>
      <c r="K619" s="89" t="s">
        <v>22574</v>
      </c>
      <c r="M619" s="89">
        <v>2014</v>
      </c>
      <c r="N619" s="89" t="s">
        <v>22573</v>
      </c>
      <c r="O619" s="89" t="s">
        <v>646</v>
      </c>
      <c r="P619" s="89" t="str">
        <f>HYPERLINK("http://dx.doi.org/10.1109/TLT.2014.2337900","http://dx.doi.org/10.1109/TLT.2014.2337900")</f>
        <v>http://dx.doi.org/10.1109/TLT.2014.2337900</v>
      </c>
      <c r="S619" s="89" t="s">
        <v>646</v>
      </c>
      <c r="U619" s="89" t="s">
        <v>17462</v>
      </c>
      <c r="W619" s="89" t="s">
        <v>646</v>
      </c>
      <c r="X619" s="89" t="s">
        <v>646</v>
      </c>
      <c r="Y619" s="89" t="s">
        <v>646</v>
      </c>
      <c r="Z619" s="89" t="s">
        <v>646</v>
      </c>
      <c r="AA619" s="89" t="s">
        <v>646</v>
      </c>
      <c r="AB619" s="89" t="s">
        <v>646</v>
      </c>
      <c r="AC619" s="89" t="s">
        <v>646</v>
      </c>
      <c r="AD619" s="89" t="s">
        <v>646</v>
      </c>
      <c r="AE619" s="89" t="s">
        <v>646</v>
      </c>
      <c r="AF619" s="89" t="s">
        <v>22574</v>
      </c>
      <c r="AG619" s="89" t="s">
        <v>646</v>
      </c>
      <c r="AH619" s="89" t="s">
        <v>646</v>
      </c>
      <c r="AI619" s="89" t="s">
        <v>646</v>
      </c>
      <c r="AJ619" s="89" t="s">
        <v>646</v>
      </c>
      <c r="AK619" s="89" t="s">
        <v>646</v>
      </c>
      <c r="AL619" s="89" t="s">
        <v>22575</v>
      </c>
      <c r="AM619" s="89" t="s">
        <v>646</v>
      </c>
      <c r="AN619" s="89" t="s">
        <v>646</v>
      </c>
      <c r="AO619" s="89" t="s">
        <v>646</v>
      </c>
      <c r="AP619" s="89" t="s">
        <v>646</v>
      </c>
      <c r="AQ619" s="89" t="s">
        <v>646</v>
      </c>
      <c r="AR619" s="89" t="s">
        <v>646</v>
      </c>
      <c r="AS619" s="89" t="s">
        <v>646</v>
      </c>
      <c r="AT619" s="89" t="s">
        <v>646</v>
      </c>
      <c r="AU619" s="89" t="s">
        <v>646</v>
      </c>
      <c r="AV619" s="89" t="s">
        <v>646</v>
      </c>
      <c r="AW619" s="89" t="s">
        <v>646</v>
      </c>
      <c r="AX619" s="89" t="s">
        <v>646</v>
      </c>
      <c r="AY619" s="89" t="s">
        <v>22576</v>
      </c>
      <c r="AZ619" s="89" t="s">
        <v>646</v>
      </c>
      <c r="BA619" s="89" t="s">
        <v>646</v>
      </c>
      <c r="BB619" s="89" t="s">
        <v>646</v>
      </c>
      <c r="BC619" s="89" t="s">
        <v>646</v>
      </c>
      <c r="BD619" s="89" t="s">
        <v>22577</v>
      </c>
      <c r="BE619" s="89">
        <v>2014</v>
      </c>
      <c r="BF619" s="89">
        <v>7</v>
      </c>
      <c r="BG619" s="89">
        <v>4</v>
      </c>
      <c r="BH619" s="89" t="s">
        <v>646</v>
      </c>
      <c r="BI619" s="89" t="s">
        <v>646</v>
      </c>
      <c r="BJ619" s="89" t="s">
        <v>646</v>
      </c>
      <c r="BK619" s="89" t="s">
        <v>646</v>
      </c>
      <c r="BL619" s="89">
        <v>346</v>
      </c>
      <c r="BM619" s="89">
        <v>359</v>
      </c>
      <c r="BN619" s="89" t="s">
        <v>646</v>
      </c>
      <c r="BO619" s="89" t="str">
        <f>HYPERLINK("http://dx.doi.org/10.1109/TLT.2014.2337900","http://dx.doi.org/10.1109/TLT.2014.2337900")</f>
        <v>http://dx.doi.org/10.1109/TLT.2014.2337900</v>
      </c>
      <c r="BP619" s="89" t="s">
        <v>646</v>
      </c>
      <c r="BQ619" s="89" t="s">
        <v>646</v>
      </c>
      <c r="BR619" s="89" t="s">
        <v>646</v>
      </c>
      <c r="BS619" s="89" t="s">
        <v>646</v>
      </c>
      <c r="BT619" s="89" t="s">
        <v>646</v>
      </c>
      <c r="BU619" s="89" t="s">
        <v>646</v>
      </c>
      <c r="BV619" s="89" t="s">
        <v>646</v>
      </c>
      <c r="BW619" s="89" t="s">
        <v>646</v>
      </c>
      <c r="BX619" s="89" t="s">
        <v>646</v>
      </c>
      <c r="BY619" s="89" t="s">
        <v>646</v>
      </c>
      <c r="BZ619" s="89" t="s">
        <v>646</v>
      </c>
      <c r="CA619" s="89" t="s">
        <v>646</v>
      </c>
      <c r="CB619" s="89" t="s">
        <v>22578</v>
      </c>
      <c r="CC619" s="89" t="str">
        <f>HYPERLINK("https%3A%2F%2Fwww.webofscience.com%2Fwos%2Fwoscc%2Ffull-record%2FWOS:000348905200005","View Full Record in Web of Science")</f>
        <v>View Full Record in Web of Science</v>
      </c>
    </row>
    <row r="620" spans="1:81" ht="13.2" hidden="1" x14ac:dyDescent="0.25">
      <c r="A620" s="89" t="s">
        <v>22579</v>
      </c>
      <c r="B620" s="89" t="e">
        <f>+#REF!</f>
        <v>#REF!</v>
      </c>
      <c r="C620" s="89"/>
      <c r="D620" s="91" t="s">
        <v>717</v>
      </c>
      <c r="E620" s="90" t="e">
        <v>#REF!</v>
      </c>
      <c r="F620" s="89"/>
      <c r="G620" s="89"/>
      <c r="H620" s="89" t="s">
        <v>13812</v>
      </c>
      <c r="I620" s="89" t="s">
        <v>22580</v>
      </c>
      <c r="J620" s="89" t="s">
        <v>20372</v>
      </c>
      <c r="K620" s="89" t="s">
        <v>22581</v>
      </c>
      <c r="M620" s="89">
        <v>2013</v>
      </c>
      <c r="N620" s="89" t="s">
        <v>20785</v>
      </c>
      <c r="O620" s="89" t="s">
        <v>646</v>
      </c>
      <c r="P620" s="89" t="str">
        <f>HYPERLINK("http://dx.doi.org/10.1109/TMM.2013.2261481","http://dx.doi.org/10.1109/TMM.2013.2261481")</f>
        <v>http://dx.doi.org/10.1109/TMM.2013.2261481</v>
      </c>
      <c r="S620" s="89" t="s">
        <v>646</v>
      </c>
      <c r="U620" s="89" t="s">
        <v>17462</v>
      </c>
      <c r="W620" s="89" t="s">
        <v>646</v>
      </c>
      <c r="X620" s="89" t="s">
        <v>646</v>
      </c>
      <c r="Y620" s="89" t="s">
        <v>646</v>
      </c>
      <c r="Z620" s="89" t="s">
        <v>646</v>
      </c>
      <c r="AA620" s="89" t="s">
        <v>646</v>
      </c>
      <c r="AB620" s="89" t="s">
        <v>646</v>
      </c>
      <c r="AC620" s="89" t="s">
        <v>646</v>
      </c>
      <c r="AD620" s="89" t="s">
        <v>646</v>
      </c>
      <c r="AE620" s="89" t="s">
        <v>646</v>
      </c>
      <c r="AF620" s="89" t="s">
        <v>22581</v>
      </c>
      <c r="AG620" s="89" t="s">
        <v>646</v>
      </c>
      <c r="AH620" s="89" t="s">
        <v>646</v>
      </c>
      <c r="AI620" s="89" t="s">
        <v>646</v>
      </c>
      <c r="AJ620" s="89" t="s">
        <v>646</v>
      </c>
      <c r="AK620" s="89" t="s">
        <v>20372</v>
      </c>
      <c r="AL620" s="89" t="s">
        <v>22582</v>
      </c>
      <c r="AM620" s="89" t="s">
        <v>646</v>
      </c>
      <c r="AN620" s="89" t="s">
        <v>646</v>
      </c>
      <c r="AO620" s="89" t="s">
        <v>646</v>
      </c>
      <c r="AP620" s="89" t="s">
        <v>646</v>
      </c>
      <c r="AQ620" s="89" t="s">
        <v>646</v>
      </c>
      <c r="AR620" s="89" t="s">
        <v>646</v>
      </c>
      <c r="AS620" s="89" t="s">
        <v>646</v>
      </c>
      <c r="AT620" s="89" t="s">
        <v>646</v>
      </c>
      <c r="AU620" s="89" t="s">
        <v>646</v>
      </c>
      <c r="AV620" s="89" t="s">
        <v>646</v>
      </c>
      <c r="AW620" s="89" t="s">
        <v>646</v>
      </c>
      <c r="AX620" s="89" t="s">
        <v>646</v>
      </c>
      <c r="AY620" s="89" t="s">
        <v>20789</v>
      </c>
      <c r="AZ620" s="89" t="s">
        <v>20790</v>
      </c>
      <c r="BA620" s="89" t="s">
        <v>646</v>
      </c>
      <c r="BB620" s="89" t="s">
        <v>646</v>
      </c>
      <c r="BC620" s="89" t="s">
        <v>646</v>
      </c>
      <c r="BD620" s="89" t="s">
        <v>17687</v>
      </c>
      <c r="BE620" s="89">
        <v>2013</v>
      </c>
      <c r="BF620" s="89">
        <v>15</v>
      </c>
      <c r="BG620" s="89">
        <v>6</v>
      </c>
      <c r="BH620" s="89" t="s">
        <v>646</v>
      </c>
      <c r="BI620" s="89" t="s">
        <v>646</v>
      </c>
      <c r="BJ620" s="89" t="s">
        <v>646</v>
      </c>
      <c r="BK620" s="89" t="s">
        <v>646</v>
      </c>
      <c r="BL620" s="89">
        <v>1231</v>
      </c>
      <c r="BM620" s="89">
        <v>1243</v>
      </c>
      <c r="BN620" s="89" t="s">
        <v>646</v>
      </c>
      <c r="BO620" s="89" t="str">
        <f>HYPERLINK("http://dx.doi.org/10.1109/TMM.2013.2261481","http://dx.doi.org/10.1109/TMM.2013.2261481")</f>
        <v>http://dx.doi.org/10.1109/TMM.2013.2261481</v>
      </c>
      <c r="BP620" s="89" t="s">
        <v>646</v>
      </c>
      <c r="BQ620" s="89" t="s">
        <v>646</v>
      </c>
      <c r="BR620" s="89" t="s">
        <v>646</v>
      </c>
      <c r="BS620" s="89" t="s">
        <v>646</v>
      </c>
      <c r="BT620" s="89" t="s">
        <v>646</v>
      </c>
      <c r="BU620" s="89" t="s">
        <v>646</v>
      </c>
      <c r="BV620" s="89" t="s">
        <v>646</v>
      </c>
      <c r="BW620" s="89" t="s">
        <v>646</v>
      </c>
      <c r="BX620" s="89" t="s">
        <v>646</v>
      </c>
      <c r="BY620" s="89" t="s">
        <v>646</v>
      </c>
      <c r="BZ620" s="89" t="s">
        <v>646</v>
      </c>
      <c r="CA620" s="89" t="s">
        <v>646</v>
      </c>
      <c r="CB620" s="89" t="s">
        <v>22583</v>
      </c>
      <c r="CC620" s="89" t="str">
        <f>HYPERLINK("https%3A%2F%2Fwww.webofscience.com%2Fwos%2Fwoscc%2Ffull-record%2FWOS:000324765400002","View Full Record in Web of Science")</f>
        <v>View Full Record in Web of Science</v>
      </c>
    </row>
    <row r="621" spans="1:81" ht="13.2" hidden="1" x14ac:dyDescent="0.25">
      <c r="A621" s="89" t="s">
        <v>13820</v>
      </c>
      <c r="B621" s="89" t="e">
        <f>+#REF!</f>
        <v>#REF!</v>
      </c>
      <c r="C621" s="89"/>
      <c r="D621" s="91" t="s">
        <v>717</v>
      </c>
      <c r="E621" s="90" t="e">
        <v>#REF!</v>
      </c>
      <c r="F621" s="89"/>
      <c r="G621" s="89"/>
      <c r="H621" s="89" t="s">
        <v>13821</v>
      </c>
      <c r="I621" s="89" t="s">
        <v>22584</v>
      </c>
      <c r="J621" s="89" t="s">
        <v>646</v>
      </c>
      <c r="K621" s="89" t="s">
        <v>22585</v>
      </c>
      <c r="M621" s="89">
        <v>2018</v>
      </c>
      <c r="N621" s="89" t="s">
        <v>18728</v>
      </c>
      <c r="O621" s="89" t="s">
        <v>646</v>
      </c>
      <c r="P621" s="89" t="str">
        <f>HYPERLINK("http://dx.doi.org/10.1007/s00521-017-2878-y","http://dx.doi.org/10.1007/s00521-017-2878-y")</f>
        <v>http://dx.doi.org/10.1007/s00521-017-2878-y</v>
      </c>
      <c r="S621" s="89" t="s">
        <v>646</v>
      </c>
      <c r="U621" s="89" t="s">
        <v>17462</v>
      </c>
      <c r="W621" s="89" t="s">
        <v>646</v>
      </c>
      <c r="X621" s="89" t="s">
        <v>646</v>
      </c>
      <c r="Y621" s="89" t="s">
        <v>646</v>
      </c>
      <c r="Z621" s="89" t="s">
        <v>646</v>
      </c>
      <c r="AA621" s="89" t="s">
        <v>646</v>
      </c>
      <c r="AB621" s="89" t="s">
        <v>646</v>
      </c>
      <c r="AC621" s="89" t="s">
        <v>646</v>
      </c>
      <c r="AD621" s="89" t="s">
        <v>646</v>
      </c>
      <c r="AE621" s="89" t="s">
        <v>646</v>
      </c>
      <c r="AF621" s="89" t="s">
        <v>22585</v>
      </c>
      <c r="AG621" s="89" t="s">
        <v>646</v>
      </c>
      <c r="AH621" s="89" t="s">
        <v>646</v>
      </c>
      <c r="AI621" s="89" t="s">
        <v>646</v>
      </c>
      <c r="AJ621" s="89" t="s">
        <v>646</v>
      </c>
      <c r="AK621" s="89" t="s">
        <v>646</v>
      </c>
      <c r="AL621" s="89" t="s">
        <v>646</v>
      </c>
      <c r="AM621" s="89" t="s">
        <v>646</v>
      </c>
      <c r="AN621" s="89" t="s">
        <v>646</v>
      </c>
      <c r="AO621" s="89" t="s">
        <v>646</v>
      </c>
      <c r="AP621" s="89" t="s">
        <v>646</v>
      </c>
      <c r="AQ621" s="89" t="s">
        <v>646</v>
      </c>
      <c r="AR621" s="89" t="s">
        <v>646</v>
      </c>
      <c r="AS621" s="89" t="s">
        <v>646</v>
      </c>
      <c r="AT621" s="89" t="s">
        <v>646</v>
      </c>
      <c r="AU621" s="89" t="s">
        <v>646</v>
      </c>
      <c r="AV621" s="89" t="s">
        <v>646</v>
      </c>
      <c r="AW621" s="89" t="s">
        <v>646</v>
      </c>
      <c r="AX621" s="89" t="s">
        <v>646</v>
      </c>
      <c r="AY621" s="89" t="s">
        <v>18732</v>
      </c>
      <c r="AZ621" s="89" t="s">
        <v>18733</v>
      </c>
      <c r="BA621" s="89" t="s">
        <v>646</v>
      </c>
      <c r="BB621" s="89" t="s">
        <v>646</v>
      </c>
      <c r="BC621" s="89" t="s">
        <v>646</v>
      </c>
      <c r="BD621" s="89" t="s">
        <v>18292</v>
      </c>
      <c r="BE621" s="89">
        <v>2018</v>
      </c>
      <c r="BF621" s="89">
        <v>30</v>
      </c>
      <c r="BG621" s="89">
        <v>9</v>
      </c>
      <c r="BH621" s="89" t="s">
        <v>646</v>
      </c>
      <c r="BI621" s="89" t="s">
        <v>646</v>
      </c>
      <c r="BJ621" s="89" t="s">
        <v>646</v>
      </c>
      <c r="BK621" s="89" t="s">
        <v>646</v>
      </c>
      <c r="BL621" s="89">
        <v>2883</v>
      </c>
      <c r="BM621" s="89">
        <v>2894</v>
      </c>
      <c r="BN621" s="89" t="s">
        <v>646</v>
      </c>
      <c r="BO621" s="89" t="str">
        <f>HYPERLINK("http://dx.doi.org/10.1007/s00521-017-2878-y","http://dx.doi.org/10.1007/s00521-017-2878-y")</f>
        <v>http://dx.doi.org/10.1007/s00521-017-2878-y</v>
      </c>
      <c r="BP621" s="89" t="s">
        <v>646</v>
      </c>
      <c r="BQ621" s="89" t="s">
        <v>646</v>
      </c>
      <c r="BR621" s="89" t="s">
        <v>646</v>
      </c>
      <c r="BS621" s="89" t="s">
        <v>646</v>
      </c>
      <c r="BT621" s="89" t="s">
        <v>646</v>
      </c>
      <c r="BU621" s="89" t="s">
        <v>646</v>
      </c>
      <c r="BV621" s="89" t="s">
        <v>646</v>
      </c>
      <c r="BW621" s="89" t="s">
        <v>646</v>
      </c>
      <c r="BX621" s="89" t="s">
        <v>646</v>
      </c>
      <c r="BY621" s="89" t="s">
        <v>646</v>
      </c>
      <c r="BZ621" s="89" t="s">
        <v>646</v>
      </c>
      <c r="CA621" s="89" t="s">
        <v>646</v>
      </c>
      <c r="CB621" s="89" t="s">
        <v>22586</v>
      </c>
      <c r="CC621" s="89" t="str">
        <f>HYPERLINK("https%3A%2F%2Fwww.webofscience.com%2Fwos%2Fwoscc%2Ffull-record%2FWOS:000448839100019","View Full Record in Web of Science")</f>
        <v>View Full Record in Web of Science</v>
      </c>
    </row>
    <row r="622" spans="1:81" ht="13.2" hidden="1" x14ac:dyDescent="0.25">
      <c r="A622" s="89" t="s">
        <v>22587</v>
      </c>
      <c r="B622" s="89" t="e">
        <f>+#REF!</f>
        <v>#REF!</v>
      </c>
      <c r="C622" s="89"/>
      <c r="D622" s="91" t="s">
        <v>717</v>
      </c>
      <c r="E622" s="90" t="e">
        <v>#REF!</v>
      </c>
      <c r="F622" s="89"/>
      <c r="G622" s="89"/>
      <c r="H622" s="89" t="s">
        <v>646</v>
      </c>
      <c r="I622" s="89" t="s">
        <v>22588</v>
      </c>
      <c r="J622" s="89" t="s">
        <v>646</v>
      </c>
      <c r="K622" s="89" t="s">
        <v>13831</v>
      </c>
      <c r="M622" s="89">
        <v>2014</v>
      </c>
      <c r="N622" s="89" t="s">
        <v>18297</v>
      </c>
      <c r="O622" s="89" t="s">
        <v>18295</v>
      </c>
      <c r="P622" s="89" t="s">
        <v>646</v>
      </c>
      <c r="S622" s="89" t="s">
        <v>646</v>
      </c>
      <c r="U622" s="89" t="s">
        <v>17474</v>
      </c>
      <c r="W622" s="89" t="s">
        <v>646</v>
      </c>
      <c r="X622" s="89" t="s">
        <v>646</v>
      </c>
      <c r="Y622" s="89" t="s">
        <v>18298</v>
      </c>
      <c r="Z622" s="89" t="s">
        <v>18299</v>
      </c>
      <c r="AA622" s="89" t="s">
        <v>18300</v>
      </c>
      <c r="AB622" s="89" t="s">
        <v>646</v>
      </c>
      <c r="AC622" s="89" t="s">
        <v>646</v>
      </c>
      <c r="AD622" s="89" t="s">
        <v>646</v>
      </c>
      <c r="AE622" s="89" t="s">
        <v>646</v>
      </c>
      <c r="AF622" s="89" t="s">
        <v>13831</v>
      </c>
      <c r="AG622" s="89" t="s">
        <v>646</v>
      </c>
      <c r="AH622" s="89" t="s">
        <v>646</v>
      </c>
      <c r="AI622" s="89" t="s">
        <v>646</v>
      </c>
      <c r="AJ622" s="89" t="s">
        <v>646</v>
      </c>
      <c r="AK622" s="89" t="s">
        <v>646</v>
      </c>
      <c r="AL622" s="89" t="s">
        <v>646</v>
      </c>
      <c r="AM622" s="89" t="s">
        <v>646</v>
      </c>
      <c r="AN622" s="89" t="s">
        <v>646</v>
      </c>
      <c r="AO622" s="89" t="s">
        <v>646</v>
      </c>
      <c r="AP622" s="89" t="s">
        <v>646</v>
      </c>
      <c r="AQ622" s="89" t="s">
        <v>646</v>
      </c>
      <c r="AR622" s="89" t="s">
        <v>646</v>
      </c>
      <c r="AS622" s="89" t="s">
        <v>646</v>
      </c>
      <c r="AT622" s="89" t="s">
        <v>646</v>
      </c>
      <c r="AU622" s="89" t="s">
        <v>646</v>
      </c>
      <c r="AV622" s="89" t="s">
        <v>646</v>
      </c>
      <c r="AW622" s="89" t="s">
        <v>646</v>
      </c>
      <c r="AX622" s="89" t="s">
        <v>646</v>
      </c>
      <c r="AY622" s="89" t="s">
        <v>18301</v>
      </c>
      <c r="AZ622" s="89" t="s">
        <v>646</v>
      </c>
      <c r="BA622" s="89" t="s">
        <v>646</v>
      </c>
      <c r="BB622" s="89" t="s">
        <v>646</v>
      </c>
      <c r="BC622" s="89" t="s">
        <v>646</v>
      </c>
      <c r="BD622" s="89" t="s">
        <v>646</v>
      </c>
      <c r="BE622" s="89">
        <v>2014</v>
      </c>
      <c r="BF622" s="89">
        <v>27</v>
      </c>
      <c r="BG622" s="89" t="s">
        <v>646</v>
      </c>
      <c r="BH622" s="89" t="s">
        <v>646</v>
      </c>
      <c r="BI622" s="89" t="s">
        <v>646</v>
      </c>
      <c r="BJ622" s="89" t="s">
        <v>646</v>
      </c>
      <c r="BK622" s="89" t="s">
        <v>646</v>
      </c>
      <c r="BL622" s="89" t="s">
        <v>646</v>
      </c>
      <c r="BM622" s="89" t="s">
        <v>646</v>
      </c>
      <c r="BN622" s="89" t="s">
        <v>646</v>
      </c>
      <c r="BO622" s="89" t="s">
        <v>646</v>
      </c>
      <c r="BP622" s="89" t="s">
        <v>646</v>
      </c>
      <c r="BQ622" s="89" t="s">
        <v>646</v>
      </c>
      <c r="BR622" s="89" t="s">
        <v>646</v>
      </c>
      <c r="BS622" s="89" t="s">
        <v>646</v>
      </c>
      <c r="BT622" s="89" t="s">
        <v>646</v>
      </c>
      <c r="BU622" s="89" t="s">
        <v>646</v>
      </c>
      <c r="BV622" s="89" t="s">
        <v>646</v>
      </c>
      <c r="BW622" s="89" t="s">
        <v>646</v>
      </c>
      <c r="BX622" s="89" t="s">
        <v>646</v>
      </c>
      <c r="BY622" s="89" t="s">
        <v>646</v>
      </c>
      <c r="BZ622" s="89" t="s">
        <v>646</v>
      </c>
      <c r="CA622" s="89" t="s">
        <v>646</v>
      </c>
      <c r="CB622" s="89" t="s">
        <v>22589</v>
      </c>
      <c r="CC622" s="89" t="str">
        <f>HYPERLINK("https%3A%2F%2Fwww.webofscience.com%2Fwos%2Fwoscc%2Ffull-record%2FWOS:000452647101086","View Full Record in Web of Science")</f>
        <v>View Full Record in Web of Science</v>
      </c>
    </row>
    <row r="623" spans="1:81" ht="13.2" hidden="1" x14ac:dyDescent="0.25">
      <c r="A623" s="89" t="s">
        <v>9844</v>
      </c>
      <c r="B623" s="89" t="e">
        <f>+#REF!</f>
        <v>#REF!</v>
      </c>
      <c r="C623" s="89"/>
      <c r="D623" s="91" t="s">
        <v>717</v>
      </c>
      <c r="E623" s="90" t="e">
        <v>#REF!</v>
      </c>
      <c r="F623" s="89"/>
      <c r="G623" s="89"/>
      <c r="H623" s="89" t="s">
        <v>9845</v>
      </c>
      <c r="I623" s="89" t="s">
        <v>22590</v>
      </c>
      <c r="J623" s="89" t="s">
        <v>646</v>
      </c>
      <c r="K623" s="89" t="s">
        <v>22592</v>
      </c>
      <c r="M623" s="89">
        <v>2022</v>
      </c>
      <c r="N623" s="89" t="s">
        <v>22591</v>
      </c>
      <c r="O623" s="89" t="s">
        <v>646</v>
      </c>
      <c r="P623" s="89" t="str">
        <f>HYPERLINK("http://dx.doi.org/10.1016/j.joep.2022.102490","http://dx.doi.org/10.1016/j.joep.2022.102490")</f>
        <v>http://dx.doi.org/10.1016/j.joep.2022.102490</v>
      </c>
      <c r="S623" s="89" t="s">
        <v>646</v>
      </c>
      <c r="U623" s="89" t="s">
        <v>17462</v>
      </c>
      <c r="W623" s="89" t="s">
        <v>646</v>
      </c>
      <c r="X623" s="89" t="s">
        <v>646</v>
      </c>
      <c r="Y623" s="89" t="s">
        <v>646</v>
      </c>
      <c r="Z623" s="89" t="s">
        <v>646</v>
      </c>
      <c r="AA623" s="89" t="s">
        <v>646</v>
      </c>
      <c r="AB623" s="89" t="s">
        <v>646</v>
      </c>
      <c r="AC623" s="89" t="s">
        <v>646</v>
      </c>
      <c r="AD623" s="89" t="s">
        <v>646</v>
      </c>
      <c r="AE623" s="89" t="s">
        <v>646</v>
      </c>
      <c r="AF623" s="89" t="s">
        <v>22592</v>
      </c>
      <c r="AG623" s="89" t="s">
        <v>646</v>
      </c>
      <c r="AH623" s="89" t="s">
        <v>646</v>
      </c>
      <c r="AI623" s="89" t="s">
        <v>646</v>
      </c>
      <c r="AJ623" s="89" t="s">
        <v>646</v>
      </c>
      <c r="AK623" s="89" t="s">
        <v>646</v>
      </c>
      <c r="AL623" s="89" t="s">
        <v>646</v>
      </c>
      <c r="AM623" s="89" t="s">
        <v>646</v>
      </c>
      <c r="AN623" s="89" t="s">
        <v>646</v>
      </c>
      <c r="AO623" s="89" t="s">
        <v>646</v>
      </c>
      <c r="AP623" s="89" t="s">
        <v>646</v>
      </c>
      <c r="AQ623" s="89" t="s">
        <v>646</v>
      </c>
      <c r="AR623" s="89" t="s">
        <v>646</v>
      </c>
      <c r="AS623" s="89" t="s">
        <v>646</v>
      </c>
      <c r="AT623" s="89" t="s">
        <v>646</v>
      </c>
      <c r="AU623" s="89" t="s">
        <v>646</v>
      </c>
      <c r="AV623" s="89" t="s">
        <v>646</v>
      </c>
      <c r="AW623" s="89" t="s">
        <v>646</v>
      </c>
      <c r="AX623" s="89" t="s">
        <v>646</v>
      </c>
      <c r="AY623" s="89" t="s">
        <v>22593</v>
      </c>
      <c r="AZ623" s="89" t="s">
        <v>22594</v>
      </c>
      <c r="BA623" s="89" t="s">
        <v>646</v>
      </c>
      <c r="BB623" s="89" t="s">
        <v>646</v>
      </c>
      <c r="BC623" s="89" t="s">
        <v>646</v>
      </c>
      <c r="BD623" s="89" t="s">
        <v>17772</v>
      </c>
      <c r="BE623" s="89">
        <v>2022</v>
      </c>
      <c r="BF623" s="89">
        <v>90</v>
      </c>
      <c r="BG623" s="89" t="s">
        <v>646</v>
      </c>
      <c r="BH623" s="89" t="s">
        <v>646</v>
      </c>
      <c r="BI623" s="89" t="s">
        <v>646</v>
      </c>
      <c r="BJ623" s="89" t="s">
        <v>646</v>
      </c>
      <c r="BK623" s="89" t="s">
        <v>646</v>
      </c>
      <c r="BL623" s="89" t="s">
        <v>646</v>
      </c>
      <c r="BM623" s="89" t="s">
        <v>646</v>
      </c>
      <c r="BN623" s="89">
        <v>102490</v>
      </c>
      <c r="BO623" s="89" t="str">
        <f>HYPERLINK("http://dx.doi.org/10.1016/j.joep.2022.102490","http://dx.doi.org/10.1016/j.joep.2022.102490")</f>
        <v>http://dx.doi.org/10.1016/j.joep.2022.102490</v>
      </c>
      <c r="BP623" s="89" t="s">
        <v>646</v>
      </c>
      <c r="BQ623" s="89" t="s">
        <v>646</v>
      </c>
      <c r="BR623" s="89" t="s">
        <v>646</v>
      </c>
      <c r="BS623" s="89" t="s">
        <v>646</v>
      </c>
      <c r="BT623" s="89" t="s">
        <v>646</v>
      </c>
      <c r="BU623" s="89" t="s">
        <v>646</v>
      </c>
      <c r="BV623" s="89" t="s">
        <v>646</v>
      </c>
      <c r="BW623" s="89" t="s">
        <v>646</v>
      </c>
      <c r="BX623" s="89" t="s">
        <v>646</v>
      </c>
      <c r="BY623" s="89" t="s">
        <v>646</v>
      </c>
      <c r="BZ623" s="89" t="s">
        <v>646</v>
      </c>
      <c r="CA623" s="89" t="s">
        <v>646</v>
      </c>
      <c r="CB623" s="89" t="s">
        <v>22595</v>
      </c>
      <c r="CC623" s="89" t="str">
        <f>HYPERLINK("https%3A%2F%2Fwww.webofscience.com%2Fwos%2Fwoscc%2Ffull-record%2FWOS:000819914700005","View Full Record in Web of Science")</f>
        <v>View Full Record in Web of Science</v>
      </c>
    </row>
    <row r="624" spans="1:81" ht="13.2" hidden="1" x14ac:dyDescent="0.25">
      <c r="A624" s="89" t="s">
        <v>22596</v>
      </c>
      <c r="B624" s="89" t="e">
        <f>+#REF!</f>
        <v>#REF!</v>
      </c>
      <c r="C624" s="89"/>
      <c r="D624" s="91" t="s">
        <v>717</v>
      </c>
      <c r="E624" s="90" t="e">
        <v>#REF!</v>
      </c>
      <c r="F624" s="89"/>
      <c r="G624" s="89"/>
      <c r="H624" s="89" t="s">
        <v>13837</v>
      </c>
      <c r="I624" s="89" t="s">
        <v>22597</v>
      </c>
      <c r="J624" s="89" t="s">
        <v>646</v>
      </c>
      <c r="K624" s="89" t="s">
        <v>22598</v>
      </c>
      <c r="M624" s="89">
        <v>2018</v>
      </c>
      <c r="N624" s="89" t="s">
        <v>19184</v>
      </c>
      <c r="O624" s="89" t="s">
        <v>646</v>
      </c>
      <c r="P624" s="89" t="str">
        <f>HYPERLINK("http://dx.doi.org/10.1287/mnsc.2017.2871","http://dx.doi.org/10.1287/mnsc.2017.2871")</f>
        <v>http://dx.doi.org/10.1287/mnsc.2017.2871</v>
      </c>
      <c r="S624" s="89" t="s">
        <v>646</v>
      </c>
      <c r="U624" s="89" t="s">
        <v>17462</v>
      </c>
      <c r="W624" s="89" t="s">
        <v>646</v>
      </c>
      <c r="X624" s="89" t="s">
        <v>646</v>
      </c>
      <c r="Y624" s="89" t="s">
        <v>646</v>
      </c>
      <c r="Z624" s="89" t="s">
        <v>646</v>
      </c>
      <c r="AA624" s="89" t="s">
        <v>646</v>
      </c>
      <c r="AB624" s="89" t="s">
        <v>646</v>
      </c>
      <c r="AC624" s="89" t="s">
        <v>646</v>
      </c>
      <c r="AD624" s="89" t="s">
        <v>646</v>
      </c>
      <c r="AE624" s="89" t="s">
        <v>646</v>
      </c>
      <c r="AF624" s="89" t="s">
        <v>22598</v>
      </c>
      <c r="AG624" s="89" t="s">
        <v>646</v>
      </c>
      <c r="AH624" s="89" t="s">
        <v>646</v>
      </c>
      <c r="AI624" s="89" t="s">
        <v>646</v>
      </c>
      <c r="AJ624" s="89" t="s">
        <v>646</v>
      </c>
      <c r="AK624" s="89" t="s">
        <v>646</v>
      </c>
      <c r="AL624" s="89" t="s">
        <v>646</v>
      </c>
      <c r="AM624" s="89" t="s">
        <v>646</v>
      </c>
      <c r="AN624" s="89" t="s">
        <v>646</v>
      </c>
      <c r="AO624" s="89" t="s">
        <v>646</v>
      </c>
      <c r="AP624" s="89" t="s">
        <v>646</v>
      </c>
      <c r="AQ624" s="89" t="s">
        <v>646</v>
      </c>
      <c r="AR624" s="89" t="s">
        <v>646</v>
      </c>
      <c r="AS624" s="89" t="s">
        <v>646</v>
      </c>
      <c r="AT624" s="89" t="s">
        <v>646</v>
      </c>
      <c r="AU624" s="89" t="s">
        <v>646</v>
      </c>
      <c r="AV624" s="89" t="s">
        <v>646</v>
      </c>
      <c r="AW624" s="89" t="s">
        <v>646</v>
      </c>
      <c r="AX624" s="89" t="s">
        <v>646</v>
      </c>
      <c r="AY624" s="89" t="s">
        <v>19187</v>
      </c>
      <c r="AZ624" s="89" t="s">
        <v>19188</v>
      </c>
      <c r="BA624" s="89" t="s">
        <v>646</v>
      </c>
      <c r="BB624" s="89" t="s">
        <v>646</v>
      </c>
      <c r="BC624" s="89" t="s">
        <v>646</v>
      </c>
      <c r="BD624" s="89" t="s">
        <v>17615</v>
      </c>
      <c r="BE624" s="89">
        <v>2018</v>
      </c>
      <c r="BF624" s="89">
        <v>64</v>
      </c>
      <c r="BG624" s="89">
        <v>12</v>
      </c>
      <c r="BH624" s="89" t="s">
        <v>646</v>
      </c>
      <c r="BI624" s="89" t="s">
        <v>646</v>
      </c>
      <c r="BJ624" s="89" t="s">
        <v>646</v>
      </c>
      <c r="BK624" s="89" t="s">
        <v>646</v>
      </c>
      <c r="BL624" s="89">
        <v>5651</v>
      </c>
      <c r="BM624" s="89">
        <v>5668</v>
      </c>
      <c r="BN624" s="89" t="s">
        <v>646</v>
      </c>
      <c r="BO624" s="89" t="str">
        <f>HYPERLINK("http://dx.doi.org/10.1287/mnsc.2017.2871","http://dx.doi.org/10.1287/mnsc.2017.2871")</f>
        <v>http://dx.doi.org/10.1287/mnsc.2017.2871</v>
      </c>
      <c r="BP624" s="89" t="s">
        <v>646</v>
      </c>
      <c r="BQ624" s="89" t="s">
        <v>646</v>
      </c>
      <c r="BR624" s="89" t="s">
        <v>646</v>
      </c>
      <c r="BS624" s="89" t="s">
        <v>646</v>
      </c>
      <c r="BT624" s="89" t="s">
        <v>646</v>
      </c>
      <c r="BU624" s="89" t="s">
        <v>646</v>
      </c>
      <c r="BV624" s="89" t="s">
        <v>646</v>
      </c>
      <c r="BW624" s="89" t="s">
        <v>646</v>
      </c>
      <c r="BX624" s="89" t="s">
        <v>646</v>
      </c>
      <c r="BY624" s="89" t="s">
        <v>646</v>
      </c>
      <c r="BZ624" s="89" t="s">
        <v>646</v>
      </c>
      <c r="CA624" s="89" t="s">
        <v>646</v>
      </c>
      <c r="CB624" s="89" t="s">
        <v>22599</v>
      </c>
      <c r="CC624" s="89" t="str">
        <f>HYPERLINK("https%3A%2F%2Fwww.webofscience.com%2Fwos%2Fwoscc%2Ffull-record%2FWOS:000453018000011","View Full Record in Web of Science")</f>
        <v>View Full Record in Web of Science</v>
      </c>
    </row>
    <row r="625" spans="1:81" ht="13.2" hidden="1" x14ac:dyDescent="0.25">
      <c r="A625" s="89" t="s">
        <v>13845</v>
      </c>
      <c r="B625" s="89" t="e">
        <f>+#REF!</f>
        <v>#REF!</v>
      </c>
      <c r="C625" s="89"/>
      <c r="D625" s="91" t="s">
        <v>717</v>
      </c>
      <c r="E625" s="90" t="e">
        <v>#REF!</v>
      </c>
      <c r="F625" s="89"/>
      <c r="G625" s="89"/>
      <c r="H625" s="89" t="s">
        <v>13846</v>
      </c>
      <c r="I625" s="89" t="s">
        <v>22600</v>
      </c>
      <c r="J625" s="89" t="s">
        <v>646</v>
      </c>
      <c r="K625" s="89" t="s">
        <v>22602</v>
      </c>
      <c r="M625" s="89">
        <v>2018</v>
      </c>
      <c r="N625" s="89" t="s">
        <v>22601</v>
      </c>
      <c r="O625" s="89" t="s">
        <v>646</v>
      </c>
      <c r="P625" s="89" t="str">
        <f>HYPERLINK("http://dx.doi.org/10.1111/tran.12216","http://dx.doi.org/10.1111/tran.12216")</f>
        <v>http://dx.doi.org/10.1111/tran.12216</v>
      </c>
      <c r="S625" s="89" t="s">
        <v>646</v>
      </c>
      <c r="U625" s="89" t="s">
        <v>17462</v>
      </c>
      <c r="W625" s="89" t="s">
        <v>646</v>
      </c>
      <c r="X625" s="89" t="s">
        <v>646</v>
      </c>
      <c r="Y625" s="89" t="s">
        <v>646</v>
      </c>
      <c r="Z625" s="89" t="s">
        <v>646</v>
      </c>
      <c r="AA625" s="89" t="s">
        <v>646</v>
      </c>
      <c r="AB625" s="89" t="s">
        <v>646</v>
      </c>
      <c r="AC625" s="89" t="s">
        <v>646</v>
      </c>
      <c r="AD625" s="89" t="s">
        <v>646</v>
      </c>
      <c r="AE625" s="89" t="s">
        <v>646</v>
      </c>
      <c r="AF625" s="89" t="s">
        <v>22602</v>
      </c>
      <c r="AG625" s="89" t="s">
        <v>646</v>
      </c>
      <c r="AH625" s="89" t="s">
        <v>646</v>
      </c>
      <c r="AI625" s="89" t="s">
        <v>646</v>
      </c>
      <c r="AJ625" s="89" t="s">
        <v>646</v>
      </c>
      <c r="AK625" s="89" t="s">
        <v>646</v>
      </c>
      <c r="AL625" s="89" t="s">
        <v>22603</v>
      </c>
      <c r="AM625" s="89" t="s">
        <v>646</v>
      </c>
      <c r="AN625" s="89" t="s">
        <v>646</v>
      </c>
      <c r="AO625" s="89" t="s">
        <v>646</v>
      </c>
      <c r="AP625" s="89" t="s">
        <v>646</v>
      </c>
      <c r="AQ625" s="89" t="s">
        <v>646</v>
      </c>
      <c r="AR625" s="89" t="s">
        <v>646</v>
      </c>
      <c r="AS625" s="89" t="s">
        <v>646</v>
      </c>
      <c r="AT625" s="89" t="s">
        <v>646</v>
      </c>
      <c r="AU625" s="89" t="s">
        <v>646</v>
      </c>
      <c r="AV625" s="89" t="s">
        <v>646</v>
      </c>
      <c r="AW625" s="89" t="s">
        <v>646</v>
      </c>
      <c r="AX625" s="89" t="s">
        <v>646</v>
      </c>
      <c r="AY625" s="89" t="s">
        <v>22604</v>
      </c>
      <c r="AZ625" s="89" t="s">
        <v>22605</v>
      </c>
      <c r="BA625" s="89" t="s">
        <v>646</v>
      </c>
      <c r="BB625" s="89" t="s">
        <v>646</v>
      </c>
      <c r="BC625" s="89" t="s">
        <v>646</v>
      </c>
      <c r="BD625" s="89" t="s">
        <v>17772</v>
      </c>
      <c r="BE625" s="89">
        <v>2018</v>
      </c>
      <c r="BF625" s="89">
        <v>43</v>
      </c>
      <c r="BG625" s="89">
        <v>2</v>
      </c>
      <c r="BH625" s="89" t="s">
        <v>646</v>
      </c>
      <c r="BI625" s="89" t="s">
        <v>646</v>
      </c>
      <c r="BJ625" s="89" t="s">
        <v>646</v>
      </c>
      <c r="BK625" s="89" t="s">
        <v>646</v>
      </c>
      <c r="BL625" s="89">
        <v>200</v>
      </c>
      <c r="BM625" s="89">
        <v>214</v>
      </c>
      <c r="BN625" s="89" t="s">
        <v>646</v>
      </c>
      <c r="BO625" s="89" t="str">
        <f>HYPERLINK("http://dx.doi.org/10.1111/tran.12216","http://dx.doi.org/10.1111/tran.12216")</f>
        <v>http://dx.doi.org/10.1111/tran.12216</v>
      </c>
      <c r="BP625" s="89" t="s">
        <v>646</v>
      </c>
      <c r="BQ625" s="89" t="s">
        <v>646</v>
      </c>
      <c r="BR625" s="89" t="s">
        <v>646</v>
      </c>
      <c r="BS625" s="89" t="s">
        <v>646</v>
      </c>
      <c r="BT625" s="89" t="s">
        <v>646</v>
      </c>
      <c r="BU625" s="89" t="s">
        <v>646</v>
      </c>
      <c r="BV625" s="89" t="s">
        <v>646</v>
      </c>
      <c r="BW625" s="89" t="s">
        <v>646</v>
      </c>
      <c r="BX625" s="89" t="s">
        <v>646</v>
      </c>
      <c r="BY625" s="89" t="s">
        <v>646</v>
      </c>
      <c r="BZ625" s="89" t="s">
        <v>646</v>
      </c>
      <c r="CA625" s="89" t="s">
        <v>646</v>
      </c>
      <c r="CB625" s="89" t="s">
        <v>22606</v>
      </c>
      <c r="CC625" s="89" t="str">
        <f>HYPERLINK("https%3A%2F%2Fwww.webofscience.com%2Fwos%2Fwoscc%2Ffull-record%2FWOS:000433226500004","View Full Record in Web of Science")</f>
        <v>View Full Record in Web of Science</v>
      </c>
    </row>
    <row r="626" spans="1:81" ht="13.2" hidden="1" x14ac:dyDescent="0.25">
      <c r="A626" s="89" t="s">
        <v>22607</v>
      </c>
      <c r="B626" s="89" t="e">
        <f>+#REF!</f>
        <v>#REF!</v>
      </c>
      <c r="C626" s="89"/>
      <c r="D626" s="91" t="s">
        <v>717</v>
      </c>
      <c r="E626" s="90" t="e">
        <v>#REF!</v>
      </c>
      <c r="F626" s="89"/>
      <c r="G626" s="89"/>
      <c r="H626" s="89" t="s">
        <v>646</v>
      </c>
      <c r="I626" s="89" t="s">
        <v>22609</v>
      </c>
      <c r="J626" s="89" t="s">
        <v>646</v>
      </c>
      <c r="K626" s="89" t="s">
        <v>22614</v>
      </c>
      <c r="M626" s="89">
        <v>2021</v>
      </c>
      <c r="N626" s="89" t="s">
        <v>22610</v>
      </c>
      <c r="O626" s="89" t="s">
        <v>646</v>
      </c>
      <c r="P626" s="89" t="s">
        <v>646</v>
      </c>
      <c r="S626" s="89" t="s">
        <v>22608</v>
      </c>
      <c r="U626" s="89" t="s">
        <v>17474</v>
      </c>
      <c r="W626" s="89" t="s">
        <v>646</v>
      </c>
      <c r="X626" s="89" t="s">
        <v>646</v>
      </c>
      <c r="Y626" s="89" t="s">
        <v>22611</v>
      </c>
      <c r="Z626" s="89" t="s">
        <v>22612</v>
      </c>
      <c r="AA626" s="89" t="s">
        <v>17494</v>
      </c>
      <c r="AB626" s="89" t="s">
        <v>22613</v>
      </c>
      <c r="AC626" s="89" t="s">
        <v>646</v>
      </c>
      <c r="AD626" s="89" t="s">
        <v>646</v>
      </c>
      <c r="AE626" s="89" t="s">
        <v>646</v>
      </c>
      <c r="AF626" s="89" t="s">
        <v>22614</v>
      </c>
      <c r="AG626" s="89" t="s">
        <v>646</v>
      </c>
      <c r="AH626" s="89" t="s">
        <v>646</v>
      </c>
      <c r="AI626" s="89" t="s">
        <v>646</v>
      </c>
      <c r="AJ626" s="89" t="s">
        <v>646</v>
      </c>
      <c r="AK626" s="89" t="s">
        <v>646</v>
      </c>
      <c r="AL626" s="89" t="s">
        <v>646</v>
      </c>
      <c r="AM626" s="89" t="s">
        <v>646</v>
      </c>
      <c r="AN626" s="89" t="s">
        <v>646</v>
      </c>
      <c r="AO626" s="89" t="s">
        <v>646</v>
      </c>
      <c r="AP626" s="89" t="s">
        <v>646</v>
      </c>
      <c r="AQ626" s="89" t="s">
        <v>646</v>
      </c>
      <c r="AR626" s="89" t="s">
        <v>646</v>
      </c>
      <c r="AS626" s="89" t="s">
        <v>646</v>
      </c>
      <c r="AT626" s="89" t="s">
        <v>646</v>
      </c>
      <c r="AU626" s="89" t="s">
        <v>646</v>
      </c>
      <c r="AV626" s="89" t="s">
        <v>646</v>
      </c>
      <c r="AW626" s="89" t="s">
        <v>646</v>
      </c>
      <c r="AX626" s="89" t="s">
        <v>646</v>
      </c>
      <c r="AY626" s="89" t="s">
        <v>646</v>
      </c>
      <c r="AZ626" s="89" t="s">
        <v>646</v>
      </c>
      <c r="BA626" s="89" t="s">
        <v>22615</v>
      </c>
      <c r="BB626" s="89" t="s">
        <v>646</v>
      </c>
      <c r="BC626" s="89" t="s">
        <v>646</v>
      </c>
      <c r="BD626" s="89" t="s">
        <v>646</v>
      </c>
      <c r="BE626" s="89">
        <v>2021</v>
      </c>
      <c r="BF626" s="89" t="s">
        <v>646</v>
      </c>
      <c r="BG626" s="89" t="s">
        <v>646</v>
      </c>
      <c r="BH626" s="89" t="s">
        <v>646</v>
      </c>
      <c r="BI626" s="89" t="s">
        <v>646</v>
      </c>
      <c r="BJ626" s="89" t="s">
        <v>646</v>
      </c>
      <c r="BK626" s="89" t="s">
        <v>646</v>
      </c>
      <c r="BL626" s="89">
        <v>317</v>
      </c>
      <c r="BM626" s="89">
        <v>324</v>
      </c>
      <c r="BN626" s="89" t="s">
        <v>646</v>
      </c>
      <c r="BO626" s="89" t="s">
        <v>646</v>
      </c>
      <c r="BP626" s="89" t="s">
        <v>646</v>
      </c>
      <c r="BQ626" s="89" t="s">
        <v>646</v>
      </c>
      <c r="BR626" s="89" t="s">
        <v>646</v>
      </c>
      <c r="BS626" s="89" t="s">
        <v>646</v>
      </c>
      <c r="BT626" s="89" t="s">
        <v>646</v>
      </c>
      <c r="BU626" s="89" t="s">
        <v>646</v>
      </c>
      <c r="BV626" s="89" t="s">
        <v>646</v>
      </c>
      <c r="BW626" s="89" t="s">
        <v>646</v>
      </c>
      <c r="BX626" s="89" t="s">
        <v>646</v>
      </c>
      <c r="BY626" s="89" t="s">
        <v>646</v>
      </c>
      <c r="BZ626" s="89" t="s">
        <v>646</v>
      </c>
      <c r="CA626" s="89" t="s">
        <v>646</v>
      </c>
      <c r="CB626" s="89" t="s">
        <v>22616</v>
      </c>
      <c r="CC626" s="89" t="str">
        <f>HYPERLINK("https%3A%2F%2Fwww.webofscience.com%2Fwos%2Fwoscc%2Ffull-record%2FWOS:000694722500038","View Full Record in Web of Science")</f>
        <v>View Full Record in Web of Science</v>
      </c>
    </row>
    <row r="627" spans="1:81" ht="13.2" hidden="1" x14ac:dyDescent="0.25">
      <c r="A627" s="89" t="s">
        <v>22617</v>
      </c>
      <c r="B627" s="89" t="e">
        <f>+#REF!</f>
        <v>#REF!</v>
      </c>
      <c r="C627" s="89"/>
      <c r="D627" s="91" t="s">
        <v>717</v>
      </c>
      <c r="E627" s="90" t="e">
        <v>#REF!</v>
      </c>
      <c r="F627" s="89"/>
      <c r="G627" s="89"/>
      <c r="H627" s="89" t="s">
        <v>13856</v>
      </c>
      <c r="I627" s="89" t="s">
        <v>22618</v>
      </c>
      <c r="J627" s="89" t="s">
        <v>646</v>
      </c>
      <c r="K627" s="89" t="s">
        <v>22620</v>
      </c>
      <c r="M627" s="89">
        <v>2009</v>
      </c>
      <c r="N627" s="89" t="s">
        <v>22619</v>
      </c>
      <c r="O627" s="89" t="s">
        <v>646</v>
      </c>
      <c r="P627" s="89" t="str">
        <f>HYPERLINK("http://dx.doi.org/10.1093/cjres/rsp007","http://dx.doi.org/10.1093/cjres/rsp007")</f>
        <v>http://dx.doi.org/10.1093/cjres/rsp007</v>
      </c>
      <c r="S627" s="89" t="s">
        <v>646</v>
      </c>
      <c r="U627" s="89" t="s">
        <v>17462</v>
      </c>
      <c r="W627" s="89" t="s">
        <v>646</v>
      </c>
      <c r="X627" s="89" t="s">
        <v>646</v>
      </c>
      <c r="Y627" s="89" t="s">
        <v>646</v>
      </c>
      <c r="Z627" s="89" t="s">
        <v>646</v>
      </c>
      <c r="AA627" s="89" t="s">
        <v>646</v>
      </c>
      <c r="AB627" s="89" t="s">
        <v>646</v>
      </c>
      <c r="AC627" s="89" t="s">
        <v>646</v>
      </c>
      <c r="AD627" s="89" t="s">
        <v>646</v>
      </c>
      <c r="AE627" s="89" t="s">
        <v>646</v>
      </c>
      <c r="AF627" s="89" t="s">
        <v>22620</v>
      </c>
      <c r="AG627" s="89" t="s">
        <v>646</v>
      </c>
      <c r="AH627" s="89" t="s">
        <v>646</v>
      </c>
      <c r="AI627" s="89" t="s">
        <v>646</v>
      </c>
      <c r="AJ627" s="89" t="s">
        <v>646</v>
      </c>
      <c r="AK627" s="89" t="s">
        <v>646</v>
      </c>
      <c r="AL627" s="89" t="s">
        <v>646</v>
      </c>
      <c r="AM627" s="89" t="s">
        <v>646</v>
      </c>
      <c r="AN627" s="89" t="s">
        <v>646</v>
      </c>
      <c r="AO627" s="89" t="s">
        <v>646</v>
      </c>
      <c r="AP627" s="89" t="s">
        <v>646</v>
      </c>
      <c r="AQ627" s="89" t="s">
        <v>646</v>
      </c>
      <c r="AR627" s="89" t="s">
        <v>646</v>
      </c>
      <c r="AS627" s="89" t="s">
        <v>646</v>
      </c>
      <c r="AT627" s="89" t="s">
        <v>646</v>
      </c>
      <c r="AU627" s="89" t="s">
        <v>646</v>
      </c>
      <c r="AV627" s="89" t="s">
        <v>646</v>
      </c>
      <c r="AW627" s="89" t="s">
        <v>646</v>
      </c>
      <c r="AX627" s="89" t="s">
        <v>646</v>
      </c>
      <c r="AY627" s="89" t="s">
        <v>22621</v>
      </c>
      <c r="AZ627" s="89" t="s">
        <v>22622</v>
      </c>
      <c r="BA627" s="89" t="s">
        <v>646</v>
      </c>
      <c r="BB627" s="89" t="s">
        <v>646</v>
      </c>
      <c r="BC627" s="89" t="s">
        <v>646</v>
      </c>
      <c r="BD627" s="89" t="s">
        <v>18292</v>
      </c>
      <c r="BE627" s="89">
        <v>2009</v>
      </c>
      <c r="BF627" s="89">
        <v>2</v>
      </c>
      <c r="BG627" s="89">
        <v>3</v>
      </c>
      <c r="BH627" s="89" t="s">
        <v>646</v>
      </c>
      <c r="BI627" s="89" t="s">
        <v>646</v>
      </c>
      <c r="BJ627" s="89" t="s">
        <v>646</v>
      </c>
      <c r="BK627" s="89" t="s">
        <v>646</v>
      </c>
      <c r="BL627" s="89">
        <v>395</v>
      </c>
      <c r="BM627" s="89">
        <v>411</v>
      </c>
      <c r="BN627" s="89" t="s">
        <v>646</v>
      </c>
      <c r="BO627" s="89" t="str">
        <f>HYPERLINK("http://dx.doi.org/10.1093/cjres/rsp007","http://dx.doi.org/10.1093/cjres/rsp007")</f>
        <v>http://dx.doi.org/10.1093/cjres/rsp007</v>
      </c>
      <c r="BP627" s="89" t="s">
        <v>646</v>
      </c>
      <c r="BQ627" s="89" t="s">
        <v>646</v>
      </c>
      <c r="BR627" s="89" t="s">
        <v>646</v>
      </c>
      <c r="BS627" s="89" t="s">
        <v>646</v>
      </c>
      <c r="BT627" s="89" t="s">
        <v>646</v>
      </c>
      <c r="BU627" s="89" t="s">
        <v>646</v>
      </c>
      <c r="BV627" s="89" t="s">
        <v>646</v>
      </c>
      <c r="BW627" s="89" t="s">
        <v>646</v>
      </c>
      <c r="BX627" s="89" t="s">
        <v>646</v>
      </c>
      <c r="BY627" s="89" t="s">
        <v>646</v>
      </c>
      <c r="BZ627" s="89" t="s">
        <v>646</v>
      </c>
      <c r="CA627" s="89" t="s">
        <v>646</v>
      </c>
      <c r="CB627" s="89" t="s">
        <v>22623</v>
      </c>
      <c r="CC627" s="89" t="str">
        <f>HYPERLINK("https%3A%2F%2Fwww.webofscience.com%2Fwos%2Fwoscc%2Ffull-record%2FWOS:000207964200005","View Full Record in Web of Science")</f>
        <v>View Full Record in Web of Science</v>
      </c>
    </row>
    <row r="628" spans="1:81" ht="13.2" hidden="1" x14ac:dyDescent="0.25">
      <c r="A628" s="89" t="s">
        <v>22624</v>
      </c>
      <c r="B628" s="89" t="e">
        <f>+#REF!</f>
        <v>#REF!</v>
      </c>
      <c r="C628" s="89"/>
      <c r="D628" s="91" t="s">
        <v>717</v>
      </c>
      <c r="E628" s="90" t="e">
        <v>#REF!</v>
      </c>
      <c r="F628" s="89"/>
      <c r="G628" s="89"/>
      <c r="H628" s="89" t="s">
        <v>646</v>
      </c>
      <c r="I628" s="89" t="s">
        <v>22625</v>
      </c>
      <c r="J628" s="89" t="s">
        <v>646</v>
      </c>
      <c r="K628" s="89" t="s">
        <v>22631</v>
      </c>
      <c r="M628" s="89">
        <v>2013</v>
      </c>
      <c r="N628" s="89" t="s">
        <v>22626</v>
      </c>
      <c r="O628" s="89" t="s">
        <v>646</v>
      </c>
      <c r="P628" s="89" t="s">
        <v>646</v>
      </c>
      <c r="S628" s="89" t="s">
        <v>17475</v>
      </c>
      <c r="U628" s="89" t="s">
        <v>17474</v>
      </c>
      <c r="W628" s="89" t="s">
        <v>646</v>
      </c>
      <c r="X628" s="89" t="s">
        <v>646</v>
      </c>
      <c r="Y628" s="89" t="s">
        <v>22627</v>
      </c>
      <c r="Z628" s="89" t="s">
        <v>22628</v>
      </c>
      <c r="AA628" s="89" t="s">
        <v>22629</v>
      </c>
      <c r="AB628" s="89" t="s">
        <v>22630</v>
      </c>
      <c r="AC628" s="89" t="s">
        <v>646</v>
      </c>
      <c r="AD628" s="89" t="s">
        <v>646</v>
      </c>
      <c r="AE628" s="89" t="s">
        <v>646</v>
      </c>
      <c r="AF628" s="89" t="s">
        <v>22631</v>
      </c>
      <c r="AG628" s="89" t="s">
        <v>646</v>
      </c>
      <c r="AH628" s="89" t="s">
        <v>646</v>
      </c>
      <c r="AI628" s="89" t="s">
        <v>646</v>
      </c>
      <c r="AJ628" s="89" t="s">
        <v>646</v>
      </c>
      <c r="AK628" s="89" t="s">
        <v>646</v>
      </c>
      <c r="AL628" s="89" t="s">
        <v>646</v>
      </c>
      <c r="AM628" s="89" t="s">
        <v>646</v>
      </c>
      <c r="AN628" s="89" t="s">
        <v>646</v>
      </c>
      <c r="AO628" s="89" t="s">
        <v>646</v>
      </c>
      <c r="AP628" s="89" t="s">
        <v>646</v>
      </c>
      <c r="AQ628" s="89" t="s">
        <v>646</v>
      </c>
      <c r="AR628" s="89" t="s">
        <v>646</v>
      </c>
      <c r="AS628" s="89" t="s">
        <v>646</v>
      </c>
      <c r="AT628" s="89" t="s">
        <v>646</v>
      </c>
      <c r="AU628" s="89" t="s">
        <v>646</v>
      </c>
      <c r="AV628" s="89" t="s">
        <v>646</v>
      </c>
      <c r="AW628" s="89" t="s">
        <v>646</v>
      </c>
      <c r="AX628" s="89" t="s">
        <v>646</v>
      </c>
      <c r="AY628" s="89" t="s">
        <v>22632</v>
      </c>
      <c r="AZ628" s="89" t="s">
        <v>646</v>
      </c>
      <c r="BA628" s="89" t="s">
        <v>22633</v>
      </c>
      <c r="BB628" s="89" t="s">
        <v>646</v>
      </c>
      <c r="BC628" s="89" t="s">
        <v>646</v>
      </c>
      <c r="BD628" s="89" t="s">
        <v>646</v>
      </c>
      <c r="BE628" s="89">
        <v>2013</v>
      </c>
      <c r="BF628" s="89" t="s">
        <v>646</v>
      </c>
      <c r="BG628" s="89" t="s">
        <v>646</v>
      </c>
      <c r="BH628" s="89" t="s">
        <v>646</v>
      </c>
      <c r="BI628" s="89" t="s">
        <v>646</v>
      </c>
      <c r="BJ628" s="89" t="s">
        <v>646</v>
      </c>
      <c r="BK628" s="89" t="s">
        <v>646</v>
      </c>
      <c r="BL628" s="89">
        <v>82</v>
      </c>
      <c r="BM628" s="89">
        <v>90</v>
      </c>
      <c r="BN628" s="89" t="s">
        <v>646</v>
      </c>
      <c r="BO628" s="89" t="s">
        <v>646</v>
      </c>
      <c r="BP628" s="89" t="s">
        <v>646</v>
      </c>
      <c r="BQ628" s="89" t="s">
        <v>646</v>
      </c>
      <c r="BR628" s="89" t="s">
        <v>646</v>
      </c>
      <c r="BS628" s="89" t="s">
        <v>646</v>
      </c>
      <c r="BT628" s="89" t="s">
        <v>646</v>
      </c>
      <c r="BU628" s="89" t="s">
        <v>646</v>
      </c>
      <c r="BV628" s="89" t="s">
        <v>646</v>
      </c>
      <c r="BW628" s="89" t="s">
        <v>646</v>
      </c>
      <c r="BX628" s="89" t="s">
        <v>646</v>
      </c>
      <c r="BY628" s="89" t="s">
        <v>646</v>
      </c>
      <c r="BZ628" s="89" t="s">
        <v>646</v>
      </c>
      <c r="CA628" s="89" t="s">
        <v>646</v>
      </c>
      <c r="CB628" s="89" t="s">
        <v>22634</v>
      </c>
      <c r="CC628" s="89" t="str">
        <f>HYPERLINK("https%3A%2F%2Fwww.webofscience.com%2Fwos%2Fwoscc%2Ffull-record%2FWOS:000332881600010","View Full Record in Web of Science")</f>
        <v>View Full Record in Web of Science</v>
      </c>
    </row>
    <row r="629" spans="1:81" ht="13.2" hidden="1" x14ac:dyDescent="0.25">
      <c r="A629" s="89" t="s">
        <v>22635</v>
      </c>
      <c r="B629" s="89" t="e">
        <f>+#REF!</f>
        <v>#REF!</v>
      </c>
      <c r="C629" s="89"/>
      <c r="D629" s="91" t="s">
        <v>717</v>
      </c>
      <c r="E629" s="90" t="e">
        <v>#REF!</v>
      </c>
      <c r="F629" s="89"/>
      <c r="G629" s="89"/>
      <c r="H629" s="89" t="s">
        <v>13876</v>
      </c>
      <c r="I629" s="89" t="s">
        <v>22636</v>
      </c>
      <c r="J629" s="89" t="s">
        <v>22638</v>
      </c>
      <c r="K629" s="89" t="s">
        <v>22637</v>
      </c>
      <c r="M629" s="89">
        <v>2018</v>
      </c>
      <c r="N629" s="89" t="s">
        <v>19710</v>
      </c>
      <c r="O629" s="89" t="s">
        <v>646</v>
      </c>
      <c r="P629" s="89" t="str">
        <f>HYPERLINK("http://dx.doi.org/10.1186/s12913-018-3118-6","http://dx.doi.org/10.1186/s12913-018-3118-6")</f>
        <v>http://dx.doi.org/10.1186/s12913-018-3118-6</v>
      </c>
      <c r="S629" s="89" t="s">
        <v>646</v>
      </c>
      <c r="U629" s="89" t="s">
        <v>17462</v>
      </c>
      <c r="W629" s="89" t="s">
        <v>646</v>
      </c>
      <c r="X629" s="89" t="s">
        <v>646</v>
      </c>
      <c r="Y629" s="89" t="s">
        <v>646</v>
      </c>
      <c r="Z629" s="89" t="s">
        <v>646</v>
      </c>
      <c r="AA629" s="89" t="s">
        <v>646</v>
      </c>
      <c r="AB629" s="89" t="s">
        <v>646</v>
      </c>
      <c r="AC629" s="89" t="s">
        <v>646</v>
      </c>
      <c r="AD629" s="89" t="s">
        <v>646</v>
      </c>
      <c r="AE629" s="89" t="s">
        <v>646</v>
      </c>
      <c r="AF629" s="89" t="s">
        <v>22637</v>
      </c>
      <c r="AG629" s="89" t="s">
        <v>646</v>
      </c>
      <c r="AH629" s="89" t="s">
        <v>646</v>
      </c>
      <c r="AI629" s="89" t="s">
        <v>646</v>
      </c>
      <c r="AJ629" s="89" t="s">
        <v>646</v>
      </c>
      <c r="AK629" s="89" t="s">
        <v>22638</v>
      </c>
      <c r="AL629" s="89" t="s">
        <v>22639</v>
      </c>
      <c r="AM629" s="89" t="s">
        <v>646</v>
      </c>
      <c r="AN629" s="89" t="s">
        <v>646</v>
      </c>
      <c r="AO629" s="89" t="s">
        <v>646</v>
      </c>
      <c r="AP629" s="89" t="s">
        <v>646</v>
      </c>
      <c r="AQ629" s="89" t="s">
        <v>646</v>
      </c>
      <c r="AR629" s="89" t="s">
        <v>646</v>
      </c>
      <c r="AS629" s="89" t="s">
        <v>646</v>
      </c>
      <c r="AT629" s="89" t="s">
        <v>646</v>
      </c>
      <c r="AU629" s="89" t="s">
        <v>646</v>
      </c>
      <c r="AV629" s="89" t="s">
        <v>646</v>
      </c>
      <c r="AW629" s="89" t="s">
        <v>646</v>
      </c>
      <c r="AX629" s="89" t="s">
        <v>646</v>
      </c>
      <c r="AY629" s="89" t="s">
        <v>19714</v>
      </c>
      <c r="AZ629" s="89" t="s">
        <v>646</v>
      </c>
      <c r="BA629" s="89" t="s">
        <v>646</v>
      </c>
      <c r="BB629" s="89" t="s">
        <v>646</v>
      </c>
      <c r="BC629" s="89" t="s">
        <v>646</v>
      </c>
      <c r="BD629" s="89" t="s">
        <v>22640</v>
      </c>
      <c r="BE629" s="89">
        <v>2018</v>
      </c>
      <c r="BF629" s="89">
        <v>18</v>
      </c>
      <c r="BG629" s="89" t="s">
        <v>646</v>
      </c>
      <c r="BH629" s="89" t="s">
        <v>646</v>
      </c>
      <c r="BI629" s="89" t="s">
        <v>646</v>
      </c>
      <c r="BJ629" s="89" t="s">
        <v>646</v>
      </c>
      <c r="BK629" s="89" t="s">
        <v>646</v>
      </c>
      <c r="BL629" s="89" t="s">
        <v>646</v>
      </c>
      <c r="BM629" s="89" t="s">
        <v>646</v>
      </c>
      <c r="BN629" s="89">
        <v>333</v>
      </c>
      <c r="BO629" s="89" t="str">
        <f>HYPERLINK("http://dx.doi.org/10.1186/s12913-018-3118-6","http://dx.doi.org/10.1186/s12913-018-3118-6")</f>
        <v>http://dx.doi.org/10.1186/s12913-018-3118-6</v>
      </c>
      <c r="BP629" s="89" t="s">
        <v>646</v>
      </c>
      <c r="BQ629" s="89" t="s">
        <v>646</v>
      </c>
      <c r="BR629" s="89" t="s">
        <v>646</v>
      </c>
      <c r="BS629" s="89" t="s">
        <v>646</v>
      </c>
      <c r="BT629" s="89" t="s">
        <v>646</v>
      </c>
      <c r="BU629" s="89" t="s">
        <v>646</v>
      </c>
      <c r="BV629" s="89" t="s">
        <v>646</v>
      </c>
      <c r="BW629" s="89">
        <v>29739411</v>
      </c>
      <c r="BX629" s="89" t="s">
        <v>646</v>
      </c>
      <c r="BY629" s="89" t="s">
        <v>646</v>
      </c>
      <c r="BZ629" s="89" t="s">
        <v>646</v>
      </c>
      <c r="CA629" s="89" t="s">
        <v>646</v>
      </c>
      <c r="CB629" s="89" t="s">
        <v>22641</v>
      </c>
      <c r="CC629" s="89" t="str">
        <f>HYPERLINK("https%3A%2F%2Fwww.webofscience.com%2Fwos%2Fwoscc%2Ffull-record%2FWOS:000431925400001","View Full Record in Web of Science")</f>
        <v>View Full Record in Web of Science</v>
      </c>
    </row>
    <row r="630" spans="1:81" ht="13.2" hidden="1" x14ac:dyDescent="0.25">
      <c r="A630" s="89" t="s">
        <v>22642</v>
      </c>
      <c r="B630" s="89" t="e">
        <f>+#REF!</f>
        <v>#REF!</v>
      </c>
      <c r="C630" s="89"/>
      <c r="D630" s="91" t="s">
        <v>717</v>
      </c>
      <c r="E630" s="90" t="e">
        <v>#REF!</v>
      </c>
      <c r="F630" s="89"/>
      <c r="G630" s="89"/>
      <c r="H630" s="89" t="s">
        <v>646</v>
      </c>
      <c r="I630" s="89" t="s">
        <v>22643</v>
      </c>
      <c r="J630" s="89" t="s">
        <v>646</v>
      </c>
      <c r="K630" s="89" t="s">
        <v>22648</v>
      </c>
      <c r="M630" s="89">
        <v>2014</v>
      </c>
      <c r="N630" s="89" t="s">
        <v>22644</v>
      </c>
      <c r="O630" s="89" t="s">
        <v>646</v>
      </c>
      <c r="P630" s="89" t="s">
        <v>646</v>
      </c>
      <c r="S630" s="89" t="s">
        <v>17475</v>
      </c>
      <c r="U630" s="89" t="s">
        <v>17474</v>
      </c>
      <c r="W630" s="89" t="s">
        <v>646</v>
      </c>
      <c r="X630" s="89" t="s">
        <v>646</v>
      </c>
      <c r="Y630" s="89" t="s">
        <v>22645</v>
      </c>
      <c r="Z630" s="89" t="s">
        <v>22646</v>
      </c>
      <c r="AA630" s="89" t="s">
        <v>22647</v>
      </c>
      <c r="AB630" s="89" t="s">
        <v>646</v>
      </c>
      <c r="AC630" s="89" t="s">
        <v>646</v>
      </c>
      <c r="AD630" s="89" t="s">
        <v>646</v>
      </c>
      <c r="AE630" s="89" t="s">
        <v>646</v>
      </c>
      <c r="AF630" s="89" t="s">
        <v>22648</v>
      </c>
      <c r="AG630" s="89" t="s">
        <v>646</v>
      </c>
      <c r="AH630" s="89" t="s">
        <v>646</v>
      </c>
      <c r="AI630" s="89" t="s">
        <v>646</v>
      </c>
      <c r="AJ630" s="89" t="s">
        <v>646</v>
      </c>
      <c r="AK630" s="89" t="s">
        <v>646</v>
      </c>
      <c r="AL630" s="89" t="s">
        <v>646</v>
      </c>
      <c r="AM630" s="89" t="s">
        <v>646</v>
      </c>
      <c r="AN630" s="89" t="s">
        <v>646</v>
      </c>
      <c r="AO630" s="89" t="s">
        <v>646</v>
      </c>
      <c r="AP630" s="89" t="s">
        <v>646</v>
      </c>
      <c r="AQ630" s="89" t="s">
        <v>646</v>
      </c>
      <c r="AR630" s="89" t="s">
        <v>646</v>
      </c>
      <c r="AS630" s="89" t="s">
        <v>646</v>
      </c>
      <c r="AT630" s="89" t="s">
        <v>646</v>
      </c>
      <c r="AU630" s="89" t="s">
        <v>646</v>
      </c>
      <c r="AV630" s="89" t="s">
        <v>646</v>
      </c>
      <c r="AW630" s="89" t="s">
        <v>646</v>
      </c>
      <c r="AX630" s="89" t="s">
        <v>646</v>
      </c>
      <c r="AY630" s="89" t="s">
        <v>22649</v>
      </c>
      <c r="AZ630" s="89" t="s">
        <v>646</v>
      </c>
      <c r="BA630" s="89" t="s">
        <v>646</v>
      </c>
      <c r="BB630" s="89" t="s">
        <v>646</v>
      </c>
      <c r="BC630" s="89" t="s">
        <v>646</v>
      </c>
      <c r="BD630" s="89" t="s">
        <v>646</v>
      </c>
      <c r="BE630" s="89">
        <v>2014</v>
      </c>
      <c r="BF630" s="89" t="s">
        <v>646</v>
      </c>
      <c r="BG630" s="89" t="s">
        <v>646</v>
      </c>
      <c r="BH630" s="89" t="s">
        <v>646</v>
      </c>
      <c r="BI630" s="89" t="s">
        <v>646</v>
      </c>
      <c r="BJ630" s="89" t="s">
        <v>646</v>
      </c>
      <c r="BK630" s="89" t="s">
        <v>646</v>
      </c>
      <c r="BL630" s="89" t="s">
        <v>646</v>
      </c>
      <c r="BM630" s="89" t="s">
        <v>646</v>
      </c>
      <c r="BN630" s="89" t="s">
        <v>646</v>
      </c>
      <c r="BO630" s="89" t="s">
        <v>646</v>
      </c>
      <c r="BP630" s="89" t="s">
        <v>646</v>
      </c>
      <c r="BQ630" s="89" t="s">
        <v>646</v>
      </c>
      <c r="BR630" s="89" t="s">
        <v>646</v>
      </c>
      <c r="BS630" s="89" t="s">
        <v>646</v>
      </c>
      <c r="BT630" s="89" t="s">
        <v>646</v>
      </c>
      <c r="BU630" s="89" t="s">
        <v>646</v>
      </c>
      <c r="BV630" s="89" t="s">
        <v>646</v>
      </c>
      <c r="BW630" s="89" t="s">
        <v>646</v>
      </c>
      <c r="BX630" s="89" t="s">
        <v>646</v>
      </c>
      <c r="BY630" s="89" t="s">
        <v>646</v>
      </c>
      <c r="BZ630" s="89" t="s">
        <v>646</v>
      </c>
      <c r="CA630" s="89" t="s">
        <v>646</v>
      </c>
      <c r="CB630" s="89" t="s">
        <v>22650</v>
      </c>
      <c r="CC630" s="89" t="str">
        <f>HYPERLINK("https%3A%2F%2Fwww.webofscience.com%2Fwos%2Fwoscc%2Ffull-record%2FWOS:000350659500013","View Full Record in Web of Science")</f>
        <v>View Full Record in Web of Science</v>
      </c>
    </row>
    <row r="631" spans="1:81" ht="13.2" hidden="1" x14ac:dyDescent="0.25">
      <c r="A631" s="89" t="s">
        <v>22651</v>
      </c>
      <c r="B631" s="89" t="e">
        <f>+#REF!</f>
        <v>#REF!</v>
      </c>
      <c r="C631" s="89"/>
      <c r="D631" s="91" t="s">
        <v>717</v>
      </c>
      <c r="E631" s="90" t="e">
        <v>#REF!</v>
      </c>
      <c r="F631" s="89"/>
      <c r="G631" s="89"/>
      <c r="H631" s="89" t="s">
        <v>13895</v>
      </c>
      <c r="I631" s="89" t="s">
        <v>22652</v>
      </c>
      <c r="J631" s="89" t="s">
        <v>646</v>
      </c>
      <c r="K631" s="89" t="s">
        <v>22659</v>
      </c>
      <c r="M631" s="89">
        <v>2006</v>
      </c>
      <c r="N631" s="89" t="s">
        <v>22653</v>
      </c>
      <c r="O631" s="89" t="s">
        <v>646</v>
      </c>
      <c r="P631" s="89" t="str">
        <f>HYPERLINK("http://dx.doi.org/10.1002/ajim.20388","http://dx.doi.org/10.1002/ajim.20388")</f>
        <v>http://dx.doi.org/10.1002/ajim.20388</v>
      </c>
      <c r="S631" s="89" t="s">
        <v>646</v>
      </c>
      <c r="U631" s="89" t="s">
        <v>17462</v>
      </c>
      <c r="W631" s="89" t="s">
        <v>646</v>
      </c>
      <c r="X631" s="89" t="s">
        <v>646</v>
      </c>
      <c r="Y631" s="89" t="s">
        <v>22654</v>
      </c>
      <c r="Z631" s="89" t="s">
        <v>22655</v>
      </c>
      <c r="AA631" s="89" t="s">
        <v>22656</v>
      </c>
      <c r="AB631" s="89" t="s">
        <v>22657</v>
      </c>
      <c r="AC631" s="89" t="s">
        <v>22658</v>
      </c>
      <c r="AD631" s="89" t="s">
        <v>646</v>
      </c>
      <c r="AE631" s="89" t="s">
        <v>646</v>
      </c>
      <c r="AF631" s="89" t="s">
        <v>22659</v>
      </c>
      <c r="AG631" s="89" t="s">
        <v>646</v>
      </c>
      <c r="AH631" s="89" t="s">
        <v>646</v>
      </c>
      <c r="AI631" s="89" t="s">
        <v>646</v>
      </c>
      <c r="AJ631" s="89" t="s">
        <v>646</v>
      </c>
      <c r="AK631" s="89" t="s">
        <v>646</v>
      </c>
      <c r="AL631" s="89" t="s">
        <v>646</v>
      </c>
      <c r="AM631" s="89" t="s">
        <v>646</v>
      </c>
      <c r="AN631" s="89" t="s">
        <v>646</v>
      </c>
      <c r="AO631" s="89" t="s">
        <v>646</v>
      </c>
      <c r="AP631" s="89" t="s">
        <v>646</v>
      </c>
      <c r="AQ631" s="89" t="s">
        <v>646</v>
      </c>
      <c r="AR631" s="89" t="s">
        <v>646</v>
      </c>
      <c r="AS631" s="89" t="s">
        <v>646</v>
      </c>
      <c r="AT631" s="89" t="s">
        <v>646</v>
      </c>
      <c r="AU631" s="89" t="s">
        <v>646</v>
      </c>
      <c r="AV631" s="89" t="s">
        <v>646</v>
      </c>
      <c r="AW631" s="89" t="s">
        <v>646</v>
      </c>
      <c r="AX631" s="89" t="s">
        <v>646</v>
      </c>
      <c r="AY631" s="89" t="s">
        <v>22660</v>
      </c>
      <c r="AZ631" s="89" t="s">
        <v>22661</v>
      </c>
      <c r="BA631" s="89" t="s">
        <v>646</v>
      </c>
      <c r="BB631" s="89" t="s">
        <v>646</v>
      </c>
      <c r="BC631" s="89" t="s">
        <v>646</v>
      </c>
      <c r="BD631" s="89" t="s">
        <v>18292</v>
      </c>
      <c r="BE631" s="89">
        <v>2006</v>
      </c>
      <c r="BF631" s="89">
        <v>49</v>
      </c>
      <c r="BG631" s="89">
        <v>11</v>
      </c>
      <c r="BH631" s="89" t="s">
        <v>646</v>
      </c>
      <c r="BI631" s="89" t="s">
        <v>646</v>
      </c>
      <c r="BJ631" s="89" t="s">
        <v>646</v>
      </c>
      <c r="BK631" s="89" t="s">
        <v>646</v>
      </c>
      <c r="BL631" s="89">
        <v>943</v>
      </c>
      <c r="BM631" s="89">
        <v>952</v>
      </c>
      <c r="BN631" s="89" t="s">
        <v>646</v>
      </c>
      <c r="BO631" s="89" t="str">
        <f>HYPERLINK("http://dx.doi.org/10.1002/ajim.20388","http://dx.doi.org/10.1002/ajim.20388")</f>
        <v>http://dx.doi.org/10.1002/ajim.20388</v>
      </c>
      <c r="BP631" s="89" t="s">
        <v>646</v>
      </c>
      <c r="BQ631" s="89" t="s">
        <v>646</v>
      </c>
      <c r="BR631" s="89" t="s">
        <v>646</v>
      </c>
      <c r="BS631" s="89" t="s">
        <v>646</v>
      </c>
      <c r="BT631" s="89" t="s">
        <v>646</v>
      </c>
      <c r="BU631" s="89" t="s">
        <v>646</v>
      </c>
      <c r="BV631" s="89" t="s">
        <v>646</v>
      </c>
      <c r="BW631" s="89">
        <v>17036350</v>
      </c>
      <c r="BX631" s="89" t="s">
        <v>646</v>
      </c>
      <c r="BY631" s="89" t="s">
        <v>646</v>
      </c>
      <c r="BZ631" s="89" t="s">
        <v>646</v>
      </c>
      <c r="CA631" s="89" t="s">
        <v>646</v>
      </c>
      <c r="CB631" s="89" t="s">
        <v>22662</v>
      </c>
      <c r="CC631" s="89" t="str">
        <f>HYPERLINK("https%3A%2F%2Fwww.webofscience.com%2Fwos%2Fwoscc%2Ffull-record%2FWOS:000241397300008","View Full Record in Web of Science")</f>
        <v>View Full Record in Web of Science</v>
      </c>
    </row>
    <row r="632" spans="1:81" ht="13.2" hidden="1" x14ac:dyDescent="0.25">
      <c r="A632" s="89" t="s">
        <v>22663</v>
      </c>
      <c r="B632" s="89" t="e">
        <f>+#REF!</f>
        <v>#REF!</v>
      </c>
      <c r="C632" s="89"/>
      <c r="D632" s="91" t="s">
        <v>717</v>
      </c>
      <c r="E632" s="90" t="e">
        <v>#REF!</v>
      </c>
      <c r="F632" s="89"/>
      <c r="G632" s="89"/>
      <c r="H632" s="89" t="s">
        <v>13905</v>
      </c>
      <c r="I632" s="89" t="s">
        <v>22664</v>
      </c>
      <c r="J632" s="89" t="s">
        <v>646</v>
      </c>
      <c r="K632" s="89" t="s">
        <v>22666</v>
      </c>
      <c r="M632" s="89">
        <v>2021</v>
      </c>
      <c r="N632" s="89" t="s">
        <v>22665</v>
      </c>
      <c r="O632" s="89" t="s">
        <v>646</v>
      </c>
      <c r="P632" s="89" t="str">
        <f>HYPERLINK("http://dx.doi.org/10.1177/0091415020912956","http://dx.doi.org/10.1177/0091415020912956")</f>
        <v>http://dx.doi.org/10.1177/0091415020912956</v>
      </c>
      <c r="S632" s="89" t="s">
        <v>646</v>
      </c>
      <c r="U632" s="89" t="s">
        <v>17462</v>
      </c>
      <c r="W632" s="89" t="s">
        <v>646</v>
      </c>
      <c r="X632" s="89" t="s">
        <v>646</v>
      </c>
      <c r="Y632" s="89" t="s">
        <v>646</v>
      </c>
      <c r="Z632" s="89" t="s">
        <v>646</v>
      </c>
      <c r="AA632" s="89" t="s">
        <v>646</v>
      </c>
      <c r="AB632" s="89" t="s">
        <v>646</v>
      </c>
      <c r="AC632" s="89" t="s">
        <v>646</v>
      </c>
      <c r="AD632" s="89" t="s">
        <v>646</v>
      </c>
      <c r="AE632" s="89" t="s">
        <v>646</v>
      </c>
      <c r="AF632" s="89" t="s">
        <v>22666</v>
      </c>
      <c r="AG632" s="89" t="s">
        <v>646</v>
      </c>
      <c r="AH632" s="89" t="s">
        <v>646</v>
      </c>
      <c r="AI632" s="89" t="s">
        <v>646</v>
      </c>
      <c r="AJ632" s="89" t="s">
        <v>646</v>
      </c>
      <c r="AK632" s="89" t="s">
        <v>646</v>
      </c>
      <c r="AL632" s="89" t="s">
        <v>22667</v>
      </c>
      <c r="AM632" s="89" t="s">
        <v>646</v>
      </c>
      <c r="AN632" s="89" t="s">
        <v>646</v>
      </c>
      <c r="AO632" s="89" t="s">
        <v>646</v>
      </c>
      <c r="AP632" s="89" t="s">
        <v>646</v>
      </c>
      <c r="AQ632" s="89" t="s">
        <v>646</v>
      </c>
      <c r="AR632" s="89" t="s">
        <v>646</v>
      </c>
      <c r="AS632" s="89" t="s">
        <v>646</v>
      </c>
      <c r="AT632" s="89" t="s">
        <v>646</v>
      </c>
      <c r="AU632" s="89" t="s">
        <v>646</v>
      </c>
      <c r="AV632" s="89" t="s">
        <v>646</v>
      </c>
      <c r="AW632" s="89" t="s">
        <v>646</v>
      </c>
      <c r="AX632" s="89" t="s">
        <v>646</v>
      </c>
      <c r="AY632" s="89" t="s">
        <v>22668</v>
      </c>
      <c r="AZ632" s="89" t="s">
        <v>22669</v>
      </c>
      <c r="BA632" s="89" t="s">
        <v>646</v>
      </c>
      <c r="BB632" s="89" t="s">
        <v>646</v>
      </c>
      <c r="BC632" s="89" t="s">
        <v>646</v>
      </c>
      <c r="BD632" s="89" t="s">
        <v>17772</v>
      </c>
      <c r="BE632" s="89">
        <v>2021</v>
      </c>
      <c r="BF632" s="89">
        <v>92</v>
      </c>
      <c r="BG632" s="89">
        <v>4</v>
      </c>
      <c r="BH632" s="89" t="s">
        <v>646</v>
      </c>
      <c r="BI632" s="89" t="s">
        <v>646</v>
      </c>
      <c r="BJ632" s="89" t="s">
        <v>646</v>
      </c>
      <c r="BK632" s="89" t="s">
        <v>646</v>
      </c>
      <c r="BL632" s="89">
        <v>450</v>
      </c>
      <c r="BM632" s="89">
        <v>471</v>
      </c>
      <c r="BN632" s="89">
        <v>91415020912956</v>
      </c>
      <c r="BO632" s="89" t="str">
        <f>HYPERLINK("http://dx.doi.org/10.1177/0091415020912956","http://dx.doi.org/10.1177/0091415020912956")</f>
        <v>http://dx.doi.org/10.1177/0091415020912956</v>
      </c>
      <c r="BP632" s="89" t="s">
        <v>646</v>
      </c>
      <c r="BQ632" s="89" t="s">
        <v>22670</v>
      </c>
      <c r="BR632" s="89" t="s">
        <v>646</v>
      </c>
      <c r="BS632" s="89" t="s">
        <v>646</v>
      </c>
      <c r="BT632" s="89" t="s">
        <v>646</v>
      </c>
      <c r="BU632" s="89" t="s">
        <v>646</v>
      </c>
      <c r="BV632" s="89" t="s">
        <v>646</v>
      </c>
      <c r="BW632" s="89">
        <v>32223421</v>
      </c>
      <c r="BX632" s="89" t="s">
        <v>646</v>
      </c>
      <c r="BY632" s="89" t="s">
        <v>646</v>
      </c>
      <c r="BZ632" s="89" t="s">
        <v>646</v>
      </c>
      <c r="CA632" s="89" t="s">
        <v>646</v>
      </c>
      <c r="CB632" s="89" t="s">
        <v>22671</v>
      </c>
      <c r="CC632" s="89" t="str">
        <f>HYPERLINK("https%3A%2F%2Fwww.webofscience.com%2Fwos%2Fwoscc%2Ffull-record%2FWOS:000523008500001","View Full Record in Web of Science")</f>
        <v>View Full Record in Web of Science</v>
      </c>
    </row>
    <row r="633" spans="1:81" ht="13.2" hidden="1" x14ac:dyDescent="0.25">
      <c r="A633" s="89" t="s">
        <v>9862</v>
      </c>
      <c r="B633" s="89" t="e">
        <f>+#REF!</f>
        <v>#REF!</v>
      </c>
      <c r="C633" s="89"/>
      <c r="D633" s="91" t="s">
        <v>717</v>
      </c>
      <c r="E633" s="90" t="e">
        <v>#REF!</v>
      </c>
      <c r="F633" s="89"/>
      <c r="G633" s="89"/>
      <c r="H633" s="89" t="s">
        <v>9863</v>
      </c>
      <c r="I633" s="89" t="s">
        <v>22672</v>
      </c>
      <c r="J633" s="89" t="s">
        <v>646</v>
      </c>
      <c r="K633" s="89" t="s">
        <v>22673</v>
      </c>
      <c r="M633" s="89">
        <v>2022</v>
      </c>
      <c r="N633" s="89" t="s">
        <v>20313</v>
      </c>
      <c r="O633" s="89" t="s">
        <v>646</v>
      </c>
      <c r="P633" s="89" t="str">
        <f>HYPERLINK("http://dx.doi.org/10.1016/j.drugalcdep.2022.109307","http://dx.doi.org/10.1016/j.drugalcdep.2022.109307")</f>
        <v>http://dx.doi.org/10.1016/j.drugalcdep.2022.109307</v>
      </c>
      <c r="S633" s="89" t="s">
        <v>646</v>
      </c>
      <c r="U633" s="89" t="s">
        <v>17462</v>
      </c>
      <c r="W633" s="89" t="s">
        <v>646</v>
      </c>
      <c r="X633" s="89" t="s">
        <v>646</v>
      </c>
      <c r="Y633" s="89" t="s">
        <v>646</v>
      </c>
      <c r="Z633" s="89" t="s">
        <v>646</v>
      </c>
      <c r="AA633" s="89" t="s">
        <v>646</v>
      </c>
      <c r="AB633" s="89" t="s">
        <v>646</v>
      </c>
      <c r="AC633" s="89" t="s">
        <v>646</v>
      </c>
      <c r="AD633" s="89" t="s">
        <v>646</v>
      </c>
      <c r="AE633" s="89" t="s">
        <v>646</v>
      </c>
      <c r="AF633" s="89" t="s">
        <v>22673</v>
      </c>
      <c r="AG633" s="89" t="s">
        <v>646</v>
      </c>
      <c r="AH633" s="89" t="s">
        <v>646</v>
      </c>
      <c r="AI633" s="89" t="s">
        <v>646</v>
      </c>
      <c r="AJ633" s="89" t="s">
        <v>646</v>
      </c>
      <c r="AK633" s="89" t="s">
        <v>646</v>
      </c>
      <c r="AL633" s="89" t="s">
        <v>646</v>
      </c>
      <c r="AM633" s="89" t="s">
        <v>646</v>
      </c>
      <c r="AN633" s="89" t="s">
        <v>646</v>
      </c>
      <c r="AO633" s="89" t="s">
        <v>646</v>
      </c>
      <c r="AP633" s="89" t="s">
        <v>646</v>
      </c>
      <c r="AQ633" s="89" t="s">
        <v>646</v>
      </c>
      <c r="AR633" s="89" t="s">
        <v>646</v>
      </c>
      <c r="AS633" s="89" t="s">
        <v>646</v>
      </c>
      <c r="AT633" s="89" t="s">
        <v>646</v>
      </c>
      <c r="AU633" s="89" t="s">
        <v>646</v>
      </c>
      <c r="AV633" s="89" t="s">
        <v>646</v>
      </c>
      <c r="AW633" s="89" t="s">
        <v>646</v>
      </c>
      <c r="AX633" s="89" t="s">
        <v>646</v>
      </c>
      <c r="AY633" s="89" t="s">
        <v>20317</v>
      </c>
      <c r="AZ633" s="89" t="s">
        <v>20318</v>
      </c>
      <c r="BA633" s="89" t="s">
        <v>646</v>
      </c>
      <c r="BB633" s="89" t="s">
        <v>646</v>
      </c>
      <c r="BC633" s="89" t="s">
        <v>646</v>
      </c>
      <c r="BD633" s="89" t="s">
        <v>22674</v>
      </c>
      <c r="BE633" s="89">
        <v>2022</v>
      </c>
      <c r="BF633" s="89">
        <v>232</v>
      </c>
      <c r="BG633" s="89" t="s">
        <v>646</v>
      </c>
      <c r="BH633" s="89" t="s">
        <v>646</v>
      </c>
      <c r="BI633" s="89" t="s">
        <v>646</v>
      </c>
      <c r="BJ633" s="89" t="s">
        <v>646</v>
      </c>
      <c r="BK633" s="89" t="s">
        <v>646</v>
      </c>
      <c r="BL633" s="89" t="s">
        <v>646</v>
      </c>
      <c r="BM633" s="89" t="s">
        <v>646</v>
      </c>
      <c r="BN633" s="89">
        <v>109307</v>
      </c>
      <c r="BO633" s="89" t="str">
        <f>HYPERLINK("http://dx.doi.org/10.1016/j.drugalcdep.2022.109307","http://dx.doi.org/10.1016/j.drugalcdep.2022.109307")</f>
        <v>http://dx.doi.org/10.1016/j.drugalcdep.2022.109307</v>
      </c>
      <c r="BP633" s="89" t="s">
        <v>646</v>
      </c>
      <c r="BQ633" s="89" t="s">
        <v>646</v>
      </c>
      <c r="BR633" s="89" t="s">
        <v>646</v>
      </c>
      <c r="BS633" s="89" t="s">
        <v>646</v>
      </c>
      <c r="BT633" s="89" t="s">
        <v>646</v>
      </c>
      <c r="BU633" s="89" t="s">
        <v>646</v>
      </c>
      <c r="BV633" s="89" t="s">
        <v>646</v>
      </c>
      <c r="BW633" s="89">
        <v>35093680</v>
      </c>
      <c r="BX633" s="89" t="s">
        <v>646</v>
      </c>
      <c r="BY633" s="89" t="s">
        <v>646</v>
      </c>
      <c r="BZ633" s="89" t="s">
        <v>646</v>
      </c>
      <c r="CA633" s="89" t="s">
        <v>646</v>
      </c>
      <c r="CB633" s="89" t="s">
        <v>22675</v>
      </c>
      <c r="CC633" s="89" t="str">
        <f>HYPERLINK("https%3A%2F%2Fwww.webofscience.com%2Fwos%2Fwoscc%2Ffull-record%2FWOS:000820119400016","View Full Record in Web of Science")</f>
        <v>View Full Record in Web of Science</v>
      </c>
    </row>
    <row r="634" spans="1:81" ht="13.2" hidden="1" x14ac:dyDescent="0.25">
      <c r="A634" s="89" t="s">
        <v>13913</v>
      </c>
      <c r="B634" s="89" t="e">
        <f>+#REF!</f>
        <v>#REF!</v>
      </c>
      <c r="C634" s="89"/>
      <c r="D634" s="91" t="s">
        <v>717</v>
      </c>
      <c r="E634" s="90" t="e">
        <v>#REF!</v>
      </c>
      <c r="F634" s="89"/>
      <c r="G634" s="89"/>
      <c r="H634" s="89" t="s">
        <v>13914</v>
      </c>
      <c r="I634" s="89" t="s">
        <v>22676</v>
      </c>
      <c r="J634" s="89" t="s">
        <v>646</v>
      </c>
      <c r="K634" s="89" t="s">
        <v>22677</v>
      </c>
      <c r="M634" s="89">
        <v>2021</v>
      </c>
      <c r="N634" s="89" t="s">
        <v>20886</v>
      </c>
      <c r="O634" s="89" t="s">
        <v>646</v>
      </c>
      <c r="P634" s="89" t="str">
        <f>HYPERLINK("http://dx.doi.org/10.1177/1461444819891613","http://dx.doi.org/10.1177/1461444819891613")</f>
        <v>http://dx.doi.org/10.1177/1461444819891613</v>
      </c>
      <c r="S634" s="89" t="s">
        <v>646</v>
      </c>
      <c r="U634" s="89" t="s">
        <v>17462</v>
      </c>
      <c r="W634" s="89" t="s">
        <v>646</v>
      </c>
      <c r="X634" s="89" t="s">
        <v>646</v>
      </c>
      <c r="Y634" s="89" t="s">
        <v>646</v>
      </c>
      <c r="Z634" s="89" t="s">
        <v>646</v>
      </c>
      <c r="AA634" s="89" t="s">
        <v>646</v>
      </c>
      <c r="AB634" s="89" t="s">
        <v>646</v>
      </c>
      <c r="AC634" s="89" t="s">
        <v>646</v>
      </c>
      <c r="AD634" s="89" t="s">
        <v>646</v>
      </c>
      <c r="AE634" s="89" t="s">
        <v>646</v>
      </c>
      <c r="AF634" s="89" t="s">
        <v>22677</v>
      </c>
      <c r="AG634" s="89" t="s">
        <v>646</v>
      </c>
      <c r="AH634" s="89" t="s">
        <v>646</v>
      </c>
      <c r="AI634" s="89" t="s">
        <v>646</v>
      </c>
      <c r="AJ634" s="89" t="s">
        <v>646</v>
      </c>
      <c r="AK634" s="89" t="s">
        <v>646</v>
      </c>
      <c r="AL634" s="89" t="s">
        <v>646</v>
      </c>
      <c r="AM634" s="89" t="s">
        <v>646</v>
      </c>
      <c r="AN634" s="89" t="s">
        <v>646</v>
      </c>
      <c r="AO634" s="89" t="s">
        <v>646</v>
      </c>
      <c r="AP634" s="89" t="s">
        <v>646</v>
      </c>
      <c r="AQ634" s="89" t="s">
        <v>646</v>
      </c>
      <c r="AR634" s="89" t="s">
        <v>646</v>
      </c>
      <c r="AS634" s="89" t="s">
        <v>646</v>
      </c>
      <c r="AT634" s="89" t="s">
        <v>646</v>
      </c>
      <c r="AU634" s="89" t="s">
        <v>646</v>
      </c>
      <c r="AV634" s="89" t="s">
        <v>646</v>
      </c>
      <c r="AW634" s="89" t="s">
        <v>646</v>
      </c>
      <c r="AX634" s="89" t="s">
        <v>646</v>
      </c>
      <c r="AY634" s="89" t="s">
        <v>20889</v>
      </c>
      <c r="AZ634" s="89" t="s">
        <v>20890</v>
      </c>
      <c r="BA634" s="89" t="s">
        <v>646</v>
      </c>
      <c r="BB634" s="89" t="s">
        <v>646</v>
      </c>
      <c r="BC634" s="89" t="s">
        <v>646</v>
      </c>
      <c r="BD634" s="89" t="s">
        <v>17513</v>
      </c>
      <c r="BE634" s="89">
        <v>2021</v>
      </c>
      <c r="BF634" s="89">
        <v>23</v>
      </c>
      <c r="BG634" s="89">
        <v>1</v>
      </c>
      <c r="BH634" s="89" t="s">
        <v>646</v>
      </c>
      <c r="BI634" s="89" t="s">
        <v>646</v>
      </c>
      <c r="BJ634" s="89" t="s">
        <v>646</v>
      </c>
      <c r="BK634" s="89" t="s">
        <v>646</v>
      </c>
      <c r="BL634" s="89">
        <v>39</v>
      </c>
      <c r="BM634" s="89">
        <v>55</v>
      </c>
      <c r="BN634" s="89">
        <v>1461444819891613</v>
      </c>
      <c r="BO634" s="89" t="str">
        <f>HYPERLINK("http://dx.doi.org/10.1177/1461444819891613","http://dx.doi.org/10.1177/1461444819891613")</f>
        <v>http://dx.doi.org/10.1177/1461444819891613</v>
      </c>
      <c r="BP634" s="89" t="s">
        <v>646</v>
      </c>
      <c r="BQ634" s="89" t="s">
        <v>19749</v>
      </c>
      <c r="BR634" s="89" t="s">
        <v>646</v>
      </c>
      <c r="BS634" s="89" t="s">
        <v>646</v>
      </c>
      <c r="BT634" s="89" t="s">
        <v>646</v>
      </c>
      <c r="BU634" s="89" t="s">
        <v>646</v>
      </c>
      <c r="BV634" s="89" t="s">
        <v>646</v>
      </c>
      <c r="BW634" s="89" t="s">
        <v>646</v>
      </c>
      <c r="BX634" s="89" t="s">
        <v>646</v>
      </c>
      <c r="BY634" s="89" t="s">
        <v>646</v>
      </c>
      <c r="BZ634" s="89" t="s">
        <v>646</v>
      </c>
      <c r="CA634" s="89" t="s">
        <v>646</v>
      </c>
      <c r="CB634" s="89" t="s">
        <v>22678</v>
      </c>
      <c r="CC634" s="89" t="str">
        <f>HYPERLINK("https%3A%2F%2Fwww.webofscience.com%2Fwos%2Fwoscc%2Ffull-record%2FWOS:000501345400001","View Full Record in Web of Science")</f>
        <v>View Full Record in Web of Science</v>
      </c>
    </row>
    <row r="635" spans="1:81" ht="13.2" hidden="1" x14ac:dyDescent="0.25">
      <c r="A635" s="89" t="s">
        <v>22679</v>
      </c>
      <c r="B635" s="89" t="e">
        <f>+#REF!</f>
        <v>#REF!</v>
      </c>
      <c r="C635" s="89"/>
      <c r="D635" s="91" t="s">
        <v>717</v>
      </c>
      <c r="E635" s="90" t="e">
        <v>#REF!</v>
      </c>
      <c r="F635" s="89"/>
      <c r="G635" s="89"/>
      <c r="H635" s="89" t="s">
        <v>13923</v>
      </c>
      <c r="I635" s="89" t="s">
        <v>22680</v>
      </c>
      <c r="J635" s="89" t="s">
        <v>22682</v>
      </c>
      <c r="K635" s="89" t="s">
        <v>22681</v>
      </c>
      <c r="M635" s="89">
        <v>2011</v>
      </c>
      <c r="N635" s="89" t="s">
        <v>22485</v>
      </c>
      <c r="O635" s="89" t="s">
        <v>646</v>
      </c>
      <c r="P635" s="89" t="str">
        <f>HYPERLINK("http://dx.doi.org/10.1080/09585192.2011.560866","http://dx.doi.org/10.1080/09585192.2011.560866")</f>
        <v>http://dx.doi.org/10.1080/09585192.2011.560866</v>
      </c>
      <c r="S635" s="89" t="s">
        <v>646</v>
      </c>
      <c r="U635" s="89" t="s">
        <v>17462</v>
      </c>
      <c r="W635" s="89" t="s">
        <v>646</v>
      </c>
      <c r="X635" s="89" t="s">
        <v>646</v>
      </c>
      <c r="Y635" s="89" t="s">
        <v>646</v>
      </c>
      <c r="Z635" s="89" t="s">
        <v>646</v>
      </c>
      <c r="AA635" s="89" t="s">
        <v>646</v>
      </c>
      <c r="AB635" s="89" t="s">
        <v>646</v>
      </c>
      <c r="AC635" s="89" t="s">
        <v>646</v>
      </c>
      <c r="AD635" s="89" t="s">
        <v>646</v>
      </c>
      <c r="AE635" s="89" t="s">
        <v>646</v>
      </c>
      <c r="AF635" s="89" t="s">
        <v>22681</v>
      </c>
      <c r="AG635" s="89" t="s">
        <v>646</v>
      </c>
      <c r="AH635" s="89" t="s">
        <v>646</v>
      </c>
      <c r="AI635" s="89" t="s">
        <v>646</v>
      </c>
      <c r="AJ635" s="89" t="s">
        <v>646</v>
      </c>
      <c r="AK635" s="89" t="s">
        <v>22682</v>
      </c>
      <c r="AL635" s="89" t="s">
        <v>22683</v>
      </c>
      <c r="AM635" s="89" t="s">
        <v>646</v>
      </c>
      <c r="AN635" s="89" t="s">
        <v>646</v>
      </c>
      <c r="AO635" s="89" t="s">
        <v>646</v>
      </c>
      <c r="AP635" s="89" t="s">
        <v>646</v>
      </c>
      <c r="AQ635" s="89" t="s">
        <v>646</v>
      </c>
      <c r="AR635" s="89" t="s">
        <v>646</v>
      </c>
      <c r="AS635" s="89" t="s">
        <v>646</v>
      </c>
      <c r="AT635" s="89" t="s">
        <v>646</v>
      </c>
      <c r="AU635" s="89" t="s">
        <v>646</v>
      </c>
      <c r="AV635" s="89" t="s">
        <v>646</v>
      </c>
      <c r="AW635" s="89" t="s">
        <v>646</v>
      </c>
      <c r="AX635" s="89" t="s">
        <v>646</v>
      </c>
      <c r="AY635" s="89" t="s">
        <v>22486</v>
      </c>
      <c r="AZ635" s="89" t="s">
        <v>646</v>
      </c>
      <c r="BA635" s="89" t="s">
        <v>646</v>
      </c>
      <c r="BB635" s="89" t="s">
        <v>646</v>
      </c>
      <c r="BC635" s="89" t="s">
        <v>646</v>
      </c>
      <c r="BD635" s="89" t="s">
        <v>646</v>
      </c>
      <c r="BE635" s="89">
        <v>2011</v>
      </c>
      <c r="BF635" s="89">
        <v>22</v>
      </c>
      <c r="BG635" s="89">
        <v>15</v>
      </c>
      <c r="BH635" s="89" t="s">
        <v>646</v>
      </c>
      <c r="BI635" s="89" t="s">
        <v>646</v>
      </c>
      <c r="BJ635" s="89" t="s">
        <v>646</v>
      </c>
      <c r="BK635" s="89" t="s">
        <v>646</v>
      </c>
      <c r="BL635" s="89">
        <v>3127</v>
      </c>
      <c r="BM635" s="89">
        <v>3145</v>
      </c>
      <c r="BN635" s="89" t="s">
        <v>646</v>
      </c>
      <c r="BO635" s="89" t="str">
        <f>HYPERLINK("http://dx.doi.org/10.1080/09585192.2011.560866","http://dx.doi.org/10.1080/09585192.2011.560866")</f>
        <v>http://dx.doi.org/10.1080/09585192.2011.560866</v>
      </c>
      <c r="BP635" s="89" t="s">
        <v>646</v>
      </c>
      <c r="BQ635" s="89" t="s">
        <v>646</v>
      </c>
      <c r="BR635" s="89" t="s">
        <v>646</v>
      </c>
      <c r="BS635" s="89" t="s">
        <v>646</v>
      </c>
      <c r="BT635" s="89" t="s">
        <v>646</v>
      </c>
      <c r="BU635" s="89" t="s">
        <v>646</v>
      </c>
      <c r="BV635" s="89" t="s">
        <v>646</v>
      </c>
      <c r="BW635" s="89" t="s">
        <v>646</v>
      </c>
      <c r="BX635" s="89" t="s">
        <v>646</v>
      </c>
      <c r="BY635" s="89" t="s">
        <v>646</v>
      </c>
      <c r="BZ635" s="89" t="s">
        <v>646</v>
      </c>
      <c r="CA635" s="89" t="s">
        <v>646</v>
      </c>
      <c r="CB635" s="89" t="s">
        <v>22684</v>
      </c>
      <c r="CC635" s="89" t="str">
        <f>HYPERLINK("https%3A%2F%2Fwww.webofscience.com%2Fwos%2Fwoscc%2Ffull-record%2FWOS:000299825700009","View Full Record in Web of Science")</f>
        <v>View Full Record in Web of Science</v>
      </c>
    </row>
    <row r="636" spans="1:81" ht="13.2" hidden="1" x14ac:dyDescent="0.25">
      <c r="A636" s="89" t="s">
        <v>13931</v>
      </c>
      <c r="B636" s="89" t="e">
        <f>+#REF!</f>
        <v>#REF!</v>
      </c>
      <c r="C636" s="89"/>
      <c r="D636" s="91" t="s">
        <v>717</v>
      </c>
      <c r="E636" s="90" t="e">
        <v>#REF!</v>
      </c>
      <c r="F636" s="89"/>
      <c r="G636" s="89"/>
      <c r="H636" s="89" t="s">
        <v>13932</v>
      </c>
      <c r="I636" s="89" t="s">
        <v>22685</v>
      </c>
      <c r="J636" s="89" t="s">
        <v>646</v>
      </c>
      <c r="K636" s="89" t="s">
        <v>22691</v>
      </c>
      <c r="M636" s="89">
        <v>2017</v>
      </c>
      <c r="N636" s="89" t="s">
        <v>22686</v>
      </c>
      <c r="O636" s="89" t="s">
        <v>646</v>
      </c>
      <c r="P636" s="89" t="str">
        <f>HYPERLINK("http://dx.doi.org/10.1145/2909824.3020238","http://dx.doi.org/10.1145/2909824.3020238")</f>
        <v>http://dx.doi.org/10.1145/2909824.3020238</v>
      </c>
      <c r="S636" s="89" t="s">
        <v>17475</v>
      </c>
      <c r="U636" s="89" t="s">
        <v>17474</v>
      </c>
      <c r="W636" s="89" t="s">
        <v>646</v>
      </c>
      <c r="X636" s="89" t="s">
        <v>646</v>
      </c>
      <c r="Y636" s="89" t="s">
        <v>22687</v>
      </c>
      <c r="Z636" s="89" t="s">
        <v>22688</v>
      </c>
      <c r="AA636" s="89" t="s">
        <v>22689</v>
      </c>
      <c r="AB636" s="89" t="s">
        <v>22690</v>
      </c>
      <c r="AC636" s="89" t="s">
        <v>646</v>
      </c>
      <c r="AD636" s="89" t="s">
        <v>646</v>
      </c>
      <c r="AE636" s="89" t="s">
        <v>646</v>
      </c>
      <c r="AF636" s="89" t="s">
        <v>22691</v>
      </c>
      <c r="AG636" s="89" t="s">
        <v>646</v>
      </c>
      <c r="AH636" s="89" t="s">
        <v>646</v>
      </c>
      <c r="AI636" s="89" t="s">
        <v>646</v>
      </c>
      <c r="AJ636" s="89" t="s">
        <v>646</v>
      </c>
      <c r="AK636" s="89" t="s">
        <v>646</v>
      </c>
      <c r="AL636" s="89" t="s">
        <v>22692</v>
      </c>
      <c r="AM636" s="89" t="s">
        <v>646</v>
      </c>
      <c r="AN636" s="89" t="s">
        <v>646</v>
      </c>
      <c r="AO636" s="89" t="s">
        <v>646</v>
      </c>
      <c r="AP636" s="89" t="s">
        <v>646</v>
      </c>
      <c r="AQ636" s="89" t="s">
        <v>646</v>
      </c>
      <c r="AR636" s="89" t="s">
        <v>646</v>
      </c>
      <c r="AS636" s="89" t="s">
        <v>646</v>
      </c>
      <c r="AT636" s="89" t="s">
        <v>646</v>
      </c>
      <c r="AU636" s="89" t="s">
        <v>646</v>
      </c>
      <c r="AV636" s="89" t="s">
        <v>646</v>
      </c>
      <c r="AW636" s="89" t="s">
        <v>646</v>
      </c>
      <c r="AX636" s="89" t="s">
        <v>646</v>
      </c>
      <c r="AY636" s="89" t="s">
        <v>22693</v>
      </c>
      <c r="AZ636" s="89" t="s">
        <v>22694</v>
      </c>
      <c r="BA636" s="89" t="s">
        <v>22695</v>
      </c>
      <c r="BB636" s="89" t="s">
        <v>646</v>
      </c>
      <c r="BC636" s="89" t="s">
        <v>646</v>
      </c>
      <c r="BD636" s="89" t="s">
        <v>646</v>
      </c>
      <c r="BE636" s="89">
        <v>2017</v>
      </c>
      <c r="BF636" s="89" t="s">
        <v>646</v>
      </c>
      <c r="BG636" s="89" t="s">
        <v>646</v>
      </c>
      <c r="BH636" s="89" t="s">
        <v>646</v>
      </c>
      <c r="BI636" s="89" t="s">
        <v>646</v>
      </c>
      <c r="BJ636" s="89" t="s">
        <v>646</v>
      </c>
      <c r="BK636" s="89" t="s">
        <v>646</v>
      </c>
      <c r="BL636" s="89">
        <v>12</v>
      </c>
      <c r="BM636" s="89">
        <v>21</v>
      </c>
      <c r="BN636" s="89" t="s">
        <v>646</v>
      </c>
      <c r="BO636" s="89" t="str">
        <f>HYPERLINK("http://dx.doi.org/10.1145/2909824.3020238","http://dx.doi.org/10.1145/2909824.3020238")</f>
        <v>http://dx.doi.org/10.1145/2909824.3020238</v>
      </c>
      <c r="BP636" s="89" t="s">
        <v>646</v>
      </c>
      <c r="BQ636" s="89" t="s">
        <v>646</v>
      </c>
      <c r="BR636" s="89" t="s">
        <v>646</v>
      </c>
      <c r="BS636" s="89" t="s">
        <v>646</v>
      </c>
      <c r="BT636" s="89" t="s">
        <v>646</v>
      </c>
      <c r="BU636" s="89" t="s">
        <v>646</v>
      </c>
      <c r="BV636" s="89" t="s">
        <v>646</v>
      </c>
      <c r="BW636" s="89" t="s">
        <v>646</v>
      </c>
      <c r="BX636" s="89" t="s">
        <v>646</v>
      </c>
      <c r="BY636" s="89" t="s">
        <v>646</v>
      </c>
      <c r="BZ636" s="89" t="s">
        <v>646</v>
      </c>
      <c r="CA636" s="89" t="s">
        <v>646</v>
      </c>
      <c r="CB636" s="89" t="s">
        <v>22696</v>
      </c>
      <c r="CC636" s="89" t="str">
        <f>HYPERLINK("https%3A%2F%2Fwww.webofscience.com%2Fwos%2Fwoscc%2Ffull-record%2FWOS:000463724200003","View Full Record in Web of Science")</f>
        <v>View Full Record in Web of Science</v>
      </c>
    </row>
    <row r="637" spans="1:81" ht="13.2" hidden="1" x14ac:dyDescent="0.25">
      <c r="A637" s="89" t="s">
        <v>22697</v>
      </c>
      <c r="B637" s="89" t="e">
        <f>+#REF!</f>
        <v>#REF!</v>
      </c>
      <c r="C637" s="89"/>
      <c r="D637" s="91" t="s">
        <v>717</v>
      </c>
      <c r="E637" s="90" t="e">
        <v>#REF!</v>
      </c>
      <c r="F637" s="89"/>
      <c r="G637" s="89"/>
      <c r="H637" s="89" t="s">
        <v>9872</v>
      </c>
      <c r="I637" s="89" t="s">
        <v>22698</v>
      </c>
      <c r="J637" s="89" t="s">
        <v>646</v>
      </c>
      <c r="K637" s="89" t="s">
        <v>22700</v>
      </c>
      <c r="M637" s="89">
        <v>2020</v>
      </c>
      <c r="N637" s="89" t="s">
        <v>22699</v>
      </c>
      <c r="O637" s="89" t="s">
        <v>646</v>
      </c>
      <c r="P637" s="89" t="str">
        <f>HYPERLINK("http://dx.doi.org/10.3917/jie.032.0159","http://dx.doi.org/10.3917/jie.032.0159")</f>
        <v>http://dx.doi.org/10.3917/jie.032.0159</v>
      </c>
      <c r="S637" s="89" t="s">
        <v>646</v>
      </c>
      <c r="U637" s="89" t="s">
        <v>17462</v>
      </c>
      <c r="W637" s="89" t="s">
        <v>646</v>
      </c>
      <c r="X637" s="89" t="s">
        <v>646</v>
      </c>
      <c r="Y637" s="89" t="s">
        <v>646</v>
      </c>
      <c r="Z637" s="89" t="s">
        <v>646</v>
      </c>
      <c r="AA637" s="89" t="s">
        <v>646</v>
      </c>
      <c r="AB637" s="89" t="s">
        <v>646</v>
      </c>
      <c r="AC637" s="89" t="s">
        <v>646</v>
      </c>
      <c r="AD637" s="89" t="s">
        <v>646</v>
      </c>
      <c r="AE637" s="89" t="s">
        <v>646</v>
      </c>
      <c r="AF637" s="89" t="s">
        <v>22700</v>
      </c>
      <c r="AG637" s="89" t="s">
        <v>646</v>
      </c>
      <c r="AH637" s="89" t="s">
        <v>646</v>
      </c>
      <c r="AI637" s="89" t="s">
        <v>646</v>
      </c>
      <c r="AJ637" s="89" t="s">
        <v>646</v>
      </c>
      <c r="AK637" s="89" t="s">
        <v>646</v>
      </c>
      <c r="AL637" s="89" t="s">
        <v>646</v>
      </c>
      <c r="AM637" s="89" t="s">
        <v>646</v>
      </c>
      <c r="AN637" s="89" t="s">
        <v>646</v>
      </c>
      <c r="AO637" s="89" t="s">
        <v>646</v>
      </c>
      <c r="AP637" s="89" t="s">
        <v>646</v>
      </c>
      <c r="AQ637" s="89" t="s">
        <v>646</v>
      </c>
      <c r="AR637" s="89" t="s">
        <v>646</v>
      </c>
      <c r="AS637" s="89" t="s">
        <v>646</v>
      </c>
      <c r="AT637" s="89" t="s">
        <v>646</v>
      </c>
      <c r="AU637" s="89" t="s">
        <v>646</v>
      </c>
      <c r="AV637" s="89" t="s">
        <v>646</v>
      </c>
      <c r="AW637" s="89" t="s">
        <v>646</v>
      </c>
      <c r="AX637" s="89" t="s">
        <v>646</v>
      </c>
      <c r="AY637" s="89" t="s">
        <v>646</v>
      </c>
      <c r="AZ637" s="89" t="s">
        <v>22701</v>
      </c>
      <c r="BA637" s="89" t="s">
        <v>646</v>
      </c>
      <c r="BB637" s="89" t="s">
        <v>646</v>
      </c>
      <c r="BC637" s="89" t="s">
        <v>646</v>
      </c>
      <c r="BD637" s="89" t="s">
        <v>646</v>
      </c>
      <c r="BE637" s="89">
        <v>2020</v>
      </c>
      <c r="BF637" s="89" t="s">
        <v>646</v>
      </c>
      <c r="BG637" s="89">
        <v>32</v>
      </c>
      <c r="BH637" s="89" t="s">
        <v>646</v>
      </c>
      <c r="BI637" s="89" t="s">
        <v>646</v>
      </c>
      <c r="BJ637" s="89" t="s">
        <v>646</v>
      </c>
      <c r="BK637" s="89" t="s">
        <v>646</v>
      </c>
      <c r="BL637" s="89">
        <v>159</v>
      </c>
      <c r="BM637" s="89">
        <v>180</v>
      </c>
      <c r="BN637" s="89" t="s">
        <v>646</v>
      </c>
      <c r="BO637" s="89" t="str">
        <f>HYPERLINK("http://dx.doi.org/10.3917/jie.032.0159","http://dx.doi.org/10.3917/jie.032.0159")</f>
        <v>http://dx.doi.org/10.3917/jie.032.0159</v>
      </c>
      <c r="BP637" s="89" t="s">
        <v>646</v>
      </c>
      <c r="BQ637" s="89" t="s">
        <v>646</v>
      </c>
      <c r="BR637" s="89" t="s">
        <v>646</v>
      </c>
      <c r="BS637" s="89" t="s">
        <v>646</v>
      </c>
      <c r="BT637" s="89" t="s">
        <v>646</v>
      </c>
      <c r="BU637" s="89" t="s">
        <v>646</v>
      </c>
      <c r="BV637" s="89" t="s">
        <v>646</v>
      </c>
      <c r="BW637" s="89" t="s">
        <v>646</v>
      </c>
      <c r="BX637" s="89" t="s">
        <v>646</v>
      </c>
      <c r="BY637" s="89" t="s">
        <v>646</v>
      </c>
      <c r="BZ637" s="89" t="s">
        <v>646</v>
      </c>
      <c r="CA637" s="89" t="s">
        <v>646</v>
      </c>
      <c r="CB637" s="89" t="s">
        <v>22702</v>
      </c>
      <c r="CC637" s="89" t="str">
        <f>HYPERLINK("https%3A%2F%2Fwww.webofscience.com%2Fwos%2Fwoscc%2Ffull-record%2FWOS:000532767300007","View Full Record in Web of Science")</f>
        <v>View Full Record in Web of Science</v>
      </c>
    </row>
    <row r="638" spans="1:81" ht="13.2" hidden="1" x14ac:dyDescent="0.25">
      <c r="A638" s="89" t="s">
        <v>9880</v>
      </c>
      <c r="B638" s="89" t="e">
        <f>+#REF!</f>
        <v>#REF!</v>
      </c>
      <c r="C638" s="89"/>
      <c r="D638" s="91" t="s">
        <v>717</v>
      </c>
      <c r="E638" s="90" t="e">
        <v>#REF!</v>
      </c>
      <c r="F638" s="89"/>
      <c r="G638" s="89"/>
      <c r="H638" s="89" t="s">
        <v>9881</v>
      </c>
      <c r="I638" s="89" t="s">
        <v>22703</v>
      </c>
      <c r="J638" s="89" t="s">
        <v>22706</v>
      </c>
      <c r="K638" s="89" t="s">
        <v>22705</v>
      </c>
      <c r="M638" s="89">
        <v>2020</v>
      </c>
      <c r="N638" s="89" t="s">
        <v>22704</v>
      </c>
      <c r="O638" s="89" t="s">
        <v>646</v>
      </c>
      <c r="P638" s="89" t="str">
        <f>HYPERLINK("http://dx.doi.org/10.1177/2515245918785165","http://dx.doi.org/10.1177/2515245918785165")</f>
        <v>http://dx.doi.org/10.1177/2515245918785165</v>
      </c>
      <c r="S638" s="89" t="s">
        <v>646</v>
      </c>
      <c r="U638" s="89" t="s">
        <v>17462</v>
      </c>
      <c r="W638" s="89" t="s">
        <v>646</v>
      </c>
      <c r="X638" s="89" t="s">
        <v>646</v>
      </c>
      <c r="Y638" s="89" t="s">
        <v>646</v>
      </c>
      <c r="Z638" s="89" t="s">
        <v>646</v>
      </c>
      <c r="AA638" s="89" t="s">
        <v>646</v>
      </c>
      <c r="AB638" s="89" t="s">
        <v>646</v>
      </c>
      <c r="AC638" s="89" t="s">
        <v>646</v>
      </c>
      <c r="AD638" s="89" t="s">
        <v>646</v>
      </c>
      <c r="AE638" s="89" t="s">
        <v>646</v>
      </c>
      <c r="AF638" s="89" t="s">
        <v>22705</v>
      </c>
      <c r="AG638" s="89" t="s">
        <v>646</v>
      </c>
      <c r="AH638" s="89" t="s">
        <v>646</v>
      </c>
      <c r="AI638" s="89" t="s">
        <v>646</v>
      </c>
      <c r="AJ638" s="89" t="s">
        <v>646</v>
      </c>
      <c r="AK638" s="89" t="s">
        <v>22706</v>
      </c>
      <c r="AL638" s="89" t="s">
        <v>22707</v>
      </c>
      <c r="AM638" s="89" t="s">
        <v>646</v>
      </c>
      <c r="AN638" s="89" t="s">
        <v>646</v>
      </c>
      <c r="AO638" s="89" t="s">
        <v>646</v>
      </c>
      <c r="AP638" s="89" t="s">
        <v>646</v>
      </c>
      <c r="AQ638" s="89" t="s">
        <v>646</v>
      </c>
      <c r="AR638" s="89" t="s">
        <v>646</v>
      </c>
      <c r="AS638" s="89" t="s">
        <v>646</v>
      </c>
      <c r="AT638" s="89" t="s">
        <v>646</v>
      </c>
      <c r="AU638" s="89" t="s">
        <v>646</v>
      </c>
      <c r="AV638" s="89" t="s">
        <v>646</v>
      </c>
      <c r="AW638" s="89" t="s">
        <v>646</v>
      </c>
      <c r="AX638" s="89" t="s">
        <v>646</v>
      </c>
      <c r="AY638" s="89" t="s">
        <v>22708</v>
      </c>
      <c r="AZ638" s="89" t="s">
        <v>22709</v>
      </c>
      <c r="BA638" s="89" t="s">
        <v>646</v>
      </c>
      <c r="BB638" s="89" t="s">
        <v>646</v>
      </c>
      <c r="BC638" s="89" t="s">
        <v>646</v>
      </c>
      <c r="BD638" s="89" t="s">
        <v>17739</v>
      </c>
      <c r="BE638" s="89">
        <v>2020</v>
      </c>
      <c r="BF638" s="89">
        <v>3</v>
      </c>
      <c r="BG638" s="89">
        <v>3</v>
      </c>
      <c r="BH638" s="89" t="s">
        <v>646</v>
      </c>
      <c r="BI638" s="89" t="s">
        <v>646</v>
      </c>
      <c r="BJ638" s="89" t="s">
        <v>646</v>
      </c>
      <c r="BK638" s="89" t="s">
        <v>646</v>
      </c>
      <c r="BL638" s="89">
        <v>394</v>
      </c>
      <c r="BM638" s="89">
        <v>404</v>
      </c>
      <c r="BN638" s="89" t="s">
        <v>646</v>
      </c>
      <c r="BO638" s="89" t="str">
        <f>HYPERLINK("http://dx.doi.org/10.1177/2515245918785165","http://dx.doi.org/10.1177/2515245918785165")</f>
        <v>http://dx.doi.org/10.1177/2515245918785165</v>
      </c>
      <c r="BP638" s="89" t="s">
        <v>646</v>
      </c>
      <c r="BQ638" s="89" t="s">
        <v>646</v>
      </c>
      <c r="BR638" s="89" t="s">
        <v>646</v>
      </c>
      <c r="BS638" s="89" t="s">
        <v>646</v>
      </c>
      <c r="BT638" s="89" t="s">
        <v>646</v>
      </c>
      <c r="BU638" s="89" t="s">
        <v>646</v>
      </c>
      <c r="BV638" s="89" t="s">
        <v>646</v>
      </c>
      <c r="BW638" s="89" t="s">
        <v>646</v>
      </c>
      <c r="BX638" s="89" t="s">
        <v>646</v>
      </c>
      <c r="BY638" s="89" t="s">
        <v>646</v>
      </c>
      <c r="BZ638" s="89" t="s">
        <v>646</v>
      </c>
      <c r="CA638" s="89" t="s">
        <v>646</v>
      </c>
      <c r="CB638" s="89" t="s">
        <v>22710</v>
      </c>
      <c r="CC638" s="89" t="str">
        <f>HYPERLINK("https%3A%2F%2Fwww.webofscience.com%2Fwos%2Fwoscc%2Ffull-record%2FWOS:000707049600001","View Full Record in Web of Science")</f>
        <v>View Full Record in Web of Science</v>
      </c>
    </row>
    <row r="639" spans="1:81" ht="13.2" hidden="1" x14ac:dyDescent="0.25">
      <c r="A639" s="89" t="s">
        <v>13940</v>
      </c>
      <c r="B639" s="89" t="e">
        <f>+#REF!</f>
        <v>#REF!</v>
      </c>
      <c r="C639" s="89"/>
      <c r="D639" s="91" t="s">
        <v>717</v>
      </c>
      <c r="E639" s="90" t="e">
        <v>#REF!</v>
      </c>
      <c r="F639" s="89"/>
      <c r="G639" s="89"/>
      <c r="H639" s="89" t="s">
        <v>13941</v>
      </c>
      <c r="I639" s="89" t="s">
        <v>22711</v>
      </c>
      <c r="J639" s="89" t="s">
        <v>22714</v>
      </c>
      <c r="K639" s="89" t="s">
        <v>22713</v>
      </c>
      <c r="M639" s="89">
        <v>2018</v>
      </c>
      <c r="N639" s="89" t="s">
        <v>22712</v>
      </c>
      <c r="O639" s="89" t="s">
        <v>646</v>
      </c>
      <c r="P639" s="89" t="str">
        <f>HYPERLINK("http://dx.doi.org/10.1108/MD-11-2016-0766","http://dx.doi.org/10.1108/MD-11-2016-0766")</f>
        <v>http://dx.doi.org/10.1108/MD-11-2016-0766</v>
      </c>
      <c r="S639" s="89" t="s">
        <v>646</v>
      </c>
      <c r="U639" s="89" t="s">
        <v>17462</v>
      </c>
      <c r="W639" s="89" t="s">
        <v>646</v>
      </c>
      <c r="X639" s="89" t="s">
        <v>646</v>
      </c>
      <c r="Y639" s="89" t="s">
        <v>646</v>
      </c>
      <c r="Z639" s="89" t="s">
        <v>646</v>
      </c>
      <c r="AA639" s="89" t="s">
        <v>646</v>
      </c>
      <c r="AB639" s="89" t="s">
        <v>646</v>
      </c>
      <c r="AC639" s="89" t="s">
        <v>646</v>
      </c>
      <c r="AD639" s="89" t="s">
        <v>646</v>
      </c>
      <c r="AE639" s="89" t="s">
        <v>646</v>
      </c>
      <c r="AF639" s="89" t="s">
        <v>22713</v>
      </c>
      <c r="AG639" s="89" t="s">
        <v>646</v>
      </c>
      <c r="AH639" s="89" t="s">
        <v>646</v>
      </c>
      <c r="AI639" s="89" t="s">
        <v>646</v>
      </c>
      <c r="AJ639" s="89" t="s">
        <v>646</v>
      </c>
      <c r="AK639" s="89" t="s">
        <v>22714</v>
      </c>
      <c r="AL639" s="89" t="s">
        <v>22715</v>
      </c>
      <c r="AM639" s="89" t="s">
        <v>646</v>
      </c>
      <c r="AN639" s="89" t="s">
        <v>646</v>
      </c>
      <c r="AO639" s="89" t="s">
        <v>646</v>
      </c>
      <c r="AP639" s="89" t="s">
        <v>646</v>
      </c>
      <c r="AQ639" s="89" t="s">
        <v>646</v>
      </c>
      <c r="AR639" s="89" t="s">
        <v>646</v>
      </c>
      <c r="AS639" s="89" t="s">
        <v>646</v>
      </c>
      <c r="AT639" s="89" t="s">
        <v>646</v>
      </c>
      <c r="AU639" s="89" t="s">
        <v>646</v>
      </c>
      <c r="AV639" s="89" t="s">
        <v>646</v>
      </c>
      <c r="AW639" s="89" t="s">
        <v>646</v>
      </c>
      <c r="AX639" s="89" t="s">
        <v>646</v>
      </c>
      <c r="AY639" s="89" t="s">
        <v>22716</v>
      </c>
      <c r="AZ639" s="89" t="s">
        <v>22717</v>
      </c>
      <c r="BA639" s="89" t="s">
        <v>646</v>
      </c>
      <c r="BB639" s="89" t="s">
        <v>646</v>
      </c>
      <c r="BC639" s="89" t="s">
        <v>646</v>
      </c>
      <c r="BD639" s="89" t="s">
        <v>646</v>
      </c>
      <c r="BE639" s="89">
        <v>2018</v>
      </c>
      <c r="BF639" s="89">
        <v>56</v>
      </c>
      <c r="BG639" s="89">
        <v>3</v>
      </c>
      <c r="BH639" s="89" t="s">
        <v>646</v>
      </c>
      <c r="BI639" s="89" t="s">
        <v>646</v>
      </c>
      <c r="BJ639" s="89" t="s">
        <v>17555</v>
      </c>
      <c r="BK639" s="89" t="s">
        <v>646</v>
      </c>
      <c r="BL639" s="89">
        <v>570</v>
      </c>
      <c r="BM639" s="89">
        <v>583</v>
      </c>
      <c r="BN639" s="89" t="s">
        <v>646</v>
      </c>
      <c r="BO639" s="89" t="str">
        <f>HYPERLINK("http://dx.doi.org/10.1108/MD-11-2016-0766","http://dx.doi.org/10.1108/MD-11-2016-0766")</f>
        <v>http://dx.doi.org/10.1108/MD-11-2016-0766</v>
      </c>
      <c r="BP639" s="89" t="s">
        <v>646</v>
      </c>
      <c r="BQ639" s="89" t="s">
        <v>646</v>
      </c>
      <c r="BR639" s="89" t="s">
        <v>646</v>
      </c>
      <c r="BS639" s="89" t="s">
        <v>646</v>
      </c>
      <c r="BT639" s="89" t="s">
        <v>646</v>
      </c>
      <c r="BU639" s="89" t="s">
        <v>646</v>
      </c>
      <c r="BV639" s="89" t="s">
        <v>646</v>
      </c>
      <c r="BW639" s="89" t="s">
        <v>646</v>
      </c>
      <c r="BX639" s="89" t="s">
        <v>646</v>
      </c>
      <c r="BY639" s="89" t="s">
        <v>646</v>
      </c>
      <c r="BZ639" s="89" t="s">
        <v>646</v>
      </c>
      <c r="CA639" s="89" t="s">
        <v>646</v>
      </c>
      <c r="CB639" s="89" t="s">
        <v>22718</v>
      </c>
      <c r="CC639" s="89" t="str">
        <f>HYPERLINK("https%3A%2F%2Fwww.webofscience.com%2Fwos%2Fwoscc%2Ffull-record%2FWOS:000428477700005","View Full Record in Web of Science")</f>
        <v>View Full Record in Web of Science</v>
      </c>
    </row>
    <row r="640" spans="1:81" ht="13.2" hidden="1" x14ac:dyDescent="0.25">
      <c r="A640" s="89" t="s">
        <v>13950</v>
      </c>
      <c r="B640" s="89" t="e">
        <f>+#REF!</f>
        <v>#REF!</v>
      </c>
      <c r="C640" s="89"/>
      <c r="D640" s="91" t="s">
        <v>717</v>
      </c>
      <c r="E640" s="90" t="e">
        <v>#REF!</v>
      </c>
      <c r="F640" s="89"/>
      <c r="G640" s="89"/>
      <c r="H640" s="89" t="s">
        <v>13951</v>
      </c>
      <c r="I640" s="89" t="s">
        <v>22719</v>
      </c>
      <c r="J640" s="89" t="s">
        <v>646</v>
      </c>
      <c r="K640" s="89" t="s">
        <v>22721</v>
      </c>
      <c r="M640" s="89">
        <v>2013</v>
      </c>
      <c r="N640" s="89" t="s">
        <v>22720</v>
      </c>
      <c r="O640" s="89" t="s">
        <v>646</v>
      </c>
      <c r="P640" s="89" t="str">
        <f>HYPERLINK("http://dx.doi.org/10.1111/aman.12052","http://dx.doi.org/10.1111/aman.12052")</f>
        <v>http://dx.doi.org/10.1111/aman.12052</v>
      </c>
      <c r="S640" s="89" t="s">
        <v>646</v>
      </c>
      <c r="U640" s="89" t="s">
        <v>17462</v>
      </c>
      <c r="W640" s="89" t="s">
        <v>646</v>
      </c>
      <c r="X640" s="89" t="s">
        <v>646</v>
      </c>
      <c r="Y640" s="89" t="s">
        <v>646</v>
      </c>
      <c r="Z640" s="89" t="s">
        <v>646</v>
      </c>
      <c r="AA640" s="89" t="s">
        <v>646</v>
      </c>
      <c r="AB640" s="89" t="s">
        <v>646</v>
      </c>
      <c r="AC640" s="89" t="s">
        <v>646</v>
      </c>
      <c r="AD640" s="89" t="s">
        <v>646</v>
      </c>
      <c r="AE640" s="89" t="s">
        <v>646</v>
      </c>
      <c r="AF640" s="89" t="s">
        <v>22721</v>
      </c>
      <c r="AG640" s="89" t="s">
        <v>646</v>
      </c>
      <c r="AH640" s="89" t="s">
        <v>646</v>
      </c>
      <c r="AI640" s="89" t="s">
        <v>646</v>
      </c>
      <c r="AJ640" s="89" t="s">
        <v>646</v>
      </c>
      <c r="AK640" s="89" t="s">
        <v>646</v>
      </c>
      <c r="AL640" s="89" t="s">
        <v>646</v>
      </c>
      <c r="AM640" s="89" t="s">
        <v>646</v>
      </c>
      <c r="AN640" s="89" t="s">
        <v>646</v>
      </c>
      <c r="AO640" s="89" t="s">
        <v>646</v>
      </c>
      <c r="AP640" s="89" t="s">
        <v>646</v>
      </c>
      <c r="AQ640" s="89" t="s">
        <v>646</v>
      </c>
      <c r="AR640" s="89" t="s">
        <v>646</v>
      </c>
      <c r="AS640" s="89" t="s">
        <v>646</v>
      </c>
      <c r="AT640" s="89" t="s">
        <v>646</v>
      </c>
      <c r="AU640" s="89" t="s">
        <v>646</v>
      </c>
      <c r="AV640" s="89" t="s">
        <v>646</v>
      </c>
      <c r="AW640" s="89" t="s">
        <v>646</v>
      </c>
      <c r="AX640" s="89" t="s">
        <v>646</v>
      </c>
      <c r="AY640" s="89" t="s">
        <v>22722</v>
      </c>
      <c r="AZ640" s="89" t="s">
        <v>22723</v>
      </c>
      <c r="BA640" s="89" t="s">
        <v>646</v>
      </c>
      <c r="BB640" s="89" t="s">
        <v>646</v>
      </c>
      <c r="BC640" s="89" t="s">
        <v>646</v>
      </c>
      <c r="BD640" s="89" t="s">
        <v>17615</v>
      </c>
      <c r="BE640" s="89">
        <v>2013</v>
      </c>
      <c r="BF640" s="89">
        <v>115</v>
      </c>
      <c r="BG640" s="89">
        <v>4</v>
      </c>
      <c r="BH640" s="89" t="s">
        <v>646</v>
      </c>
      <c r="BI640" s="89" t="s">
        <v>646</v>
      </c>
      <c r="BJ640" s="89" t="s">
        <v>646</v>
      </c>
      <c r="BK640" s="89" t="s">
        <v>646</v>
      </c>
      <c r="BL640" s="89">
        <v>555</v>
      </c>
      <c r="BM640" s="89">
        <v>569</v>
      </c>
      <c r="BN640" s="89" t="s">
        <v>646</v>
      </c>
      <c r="BO640" s="89" t="str">
        <f>HYPERLINK("http://dx.doi.org/10.1111/aman.12052","http://dx.doi.org/10.1111/aman.12052")</f>
        <v>http://dx.doi.org/10.1111/aman.12052</v>
      </c>
      <c r="BP640" s="89" t="s">
        <v>646</v>
      </c>
      <c r="BQ640" s="89" t="s">
        <v>646</v>
      </c>
      <c r="BR640" s="89" t="s">
        <v>646</v>
      </c>
      <c r="BS640" s="89" t="s">
        <v>646</v>
      </c>
      <c r="BT640" s="89" t="s">
        <v>646</v>
      </c>
      <c r="BU640" s="89" t="s">
        <v>646</v>
      </c>
      <c r="BV640" s="89" t="s">
        <v>646</v>
      </c>
      <c r="BW640" s="89" t="s">
        <v>646</v>
      </c>
      <c r="BX640" s="89" t="s">
        <v>646</v>
      </c>
      <c r="BY640" s="89" t="s">
        <v>646</v>
      </c>
      <c r="BZ640" s="89" t="s">
        <v>646</v>
      </c>
      <c r="CA640" s="89" t="s">
        <v>646</v>
      </c>
      <c r="CB640" s="89" t="s">
        <v>22724</v>
      </c>
      <c r="CC640" s="89" t="str">
        <f>HYPERLINK("https%3A%2F%2Fwww.webofscience.com%2Fwos%2Fwoscc%2Ffull-record%2FWOS:000327955900003","View Full Record in Web of Science")</f>
        <v>View Full Record in Web of Science</v>
      </c>
    </row>
    <row r="641" spans="1:81" ht="13.2" hidden="1" x14ac:dyDescent="0.25">
      <c r="A641" s="89" t="s">
        <v>22725</v>
      </c>
      <c r="B641" s="89" t="e">
        <f>+#REF!</f>
        <v>#REF!</v>
      </c>
      <c r="C641" s="89"/>
      <c r="D641" s="91" t="s">
        <v>717</v>
      </c>
      <c r="E641" s="90" t="e">
        <v>#REF!</v>
      </c>
      <c r="F641" s="89"/>
      <c r="G641" s="89"/>
      <c r="H641" s="89" t="s">
        <v>9891</v>
      </c>
      <c r="I641" s="89" t="s">
        <v>22726</v>
      </c>
      <c r="J641" s="89" t="s">
        <v>646</v>
      </c>
      <c r="K641" s="89" t="s">
        <v>22728</v>
      </c>
      <c r="M641" s="89">
        <v>2022</v>
      </c>
      <c r="N641" s="89" t="s">
        <v>22727</v>
      </c>
      <c r="O641" s="89" t="s">
        <v>646</v>
      </c>
      <c r="P641" s="89" t="str">
        <f>HYPERLINK("http://dx.doi.org/10.1016/j.tranpol.2022.01.023","http://dx.doi.org/10.1016/j.tranpol.2022.01.023")</f>
        <v>http://dx.doi.org/10.1016/j.tranpol.2022.01.023</v>
      </c>
      <c r="S641" s="89" t="s">
        <v>646</v>
      </c>
      <c r="U641" s="89" t="s">
        <v>17462</v>
      </c>
      <c r="W641" s="89" t="s">
        <v>646</v>
      </c>
      <c r="X641" s="89" t="s">
        <v>646</v>
      </c>
      <c r="Y641" s="89" t="s">
        <v>646</v>
      </c>
      <c r="Z641" s="89" t="s">
        <v>646</v>
      </c>
      <c r="AA641" s="89" t="s">
        <v>646</v>
      </c>
      <c r="AB641" s="89" t="s">
        <v>646</v>
      </c>
      <c r="AC641" s="89" t="s">
        <v>646</v>
      </c>
      <c r="AD641" s="89" t="s">
        <v>646</v>
      </c>
      <c r="AE641" s="89" t="s">
        <v>646</v>
      </c>
      <c r="AF641" s="89" t="s">
        <v>22728</v>
      </c>
      <c r="AG641" s="89" t="s">
        <v>646</v>
      </c>
      <c r="AH641" s="89" t="s">
        <v>646</v>
      </c>
      <c r="AI641" s="89" t="s">
        <v>646</v>
      </c>
      <c r="AJ641" s="89" t="s">
        <v>646</v>
      </c>
      <c r="AK641" s="89" t="s">
        <v>646</v>
      </c>
      <c r="AL641" s="89" t="s">
        <v>646</v>
      </c>
      <c r="AM641" s="89" t="s">
        <v>646</v>
      </c>
      <c r="AN641" s="89" t="s">
        <v>646</v>
      </c>
      <c r="AO641" s="89" t="s">
        <v>646</v>
      </c>
      <c r="AP641" s="89" t="s">
        <v>646</v>
      </c>
      <c r="AQ641" s="89" t="s">
        <v>646</v>
      </c>
      <c r="AR641" s="89" t="s">
        <v>646</v>
      </c>
      <c r="AS641" s="89" t="s">
        <v>646</v>
      </c>
      <c r="AT641" s="89" t="s">
        <v>646</v>
      </c>
      <c r="AU641" s="89" t="s">
        <v>646</v>
      </c>
      <c r="AV641" s="89" t="s">
        <v>646</v>
      </c>
      <c r="AW641" s="89" t="s">
        <v>646</v>
      </c>
      <c r="AX641" s="89" t="s">
        <v>646</v>
      </c>
      <c r="AY641" s="89" t="s">
        <v>22729</v>
      </c>
      <c r="AZ641" s="89" t="s">
        <v>22730</v>
      </c>
      <c r="BA641" s="89" t="s">
        <v>646</v>
      </c>
      <c r="BB641" s="89" t="s">
        <v>646</v>
      </c>
      <c r="BC641" s="89" t="s">
        <v>646</v>
      </c>
      <c r="BD641" s="89" t="s">
        <v>17823</v>
      </c>
      <c r="BE641" s="89">
        <v>2022</v>
      </c>
      <c r="BF641" s="89">
        <v>119</v>
      </c>
      <c r="BG641" s="89" t="s">
        <v>646</v>
      </c>
      <c r="BH641" s="89" t="s">
        <v>646</v>
      </c>
      <c r="BI641" s="89" t="s">
        <v>646</v>
      </c>
      <c r="BJ641" s="89" t="s">
        <v>646</v>
      </c>
      <c r="BK641" s="89" t="s">
        <v>646</v>
      </c>
      <c r="BL641" s="89">
        <v>32</v>
      </c>
      <c r="BM641" s="89">
        <v>44</v>
      </c>
      <c r="BN641" s="89" t="s">
        <v>646</v>
      </c>
      <c r="BO641" s="89" t="str">
        <f>HYPERLINK("http://dx.doi.org/10.1016/j.tranpol.2022.01.023","http://dx.doi.org/10.1016/j.tranpol.2022.01.023")</f>
        <v>http://dx.doi.org/10.1016/j.tranpol.2022.01.023</v>
      </c>
      <c r="BP641" s="89" t="s">
        <v>646</v>
      </c>
      <c r="BQ641" s="89" t="s">
        <v>646</v>
      </c>
      <c r="BR641" s="89" t="s">
        <v>646</v>
      </c>
      <c r="BS641" s="89" t="s">
        <v>646</v>
      </c>
      <c r="BT641" s="89" t="s">
        <v>646</v>
      </c>
      <c r="BU641" s="89" t="s">
        <v>646</v>
      </c>
      <c r="BV641" s="89" t="s">
        <v>646</v>
      </c>
      <c r="BW641" s="89">
        <v>35185300</v>
      </c>
      <c r="BX641" s="89" t="s">
        <v>646</v>
      </c>
      <c r="BY641" s="89" t="s">
        <v>646</v>
      </c>
      <c r="BZ641" s="89" t="s">
        <v>646</v>
      </c>
      <c r="CA641" s="89" t="s">
        <v>646</v>
      </c>
      <c r="CB641" s="89" t="s">
        <v>22731</v>
      </c>
      <c r="CC641" s="89" t="str">
        <f>HYPERLINK("https%3A%2F%2Fwww.webofscience.com%2Fwos%2Fwoscc%2Ffull-record%2FWOS:000782498700003","View Full Record in Web of Science")</f>
        <v>View Full Record in Web of Science</v>
      </c>
    </row>
    <row r="642" spans="1:81" ht="13.2" hidden="1" x14ac:dyDescent="0.25">
      <c r="A642" s="89" t="s">
        <v>22732</v>
      </c>
      <c r="B642" s="89" t="e">
        <f>+#REF!</f>
        <v>#REF!</v>
      </c>
      <c r="C642" s="89"/>
      <c r="D642" s="91" t="s">
        <v>717</v>
      </c>
      <c r="E642" s="90" t="e">
        <v>#REF!</v>
      </c>
      <c r="F642" s="89"/>
      <c r="G642" s="89"/>
      <c r="H642" s="89" t="s">
        <v>16523</v>
      </c>
      <c r="I642" s="89" t="s">
        <v>22733</v>
      </c>
      <c r="J642" s="89" t="s">
        <v>646</v>
      </c>
      <c r="K642" s="89" t="s">
        <v>22735</v>
      </c>
      <c r="M642" s="89">
        <v>2020</v>
      </c>
      <c r="N642" s="89" t="s">
        <v>22734</v>
      </c>
      <c r="O642" s="89" t="s">
        <v>646</v>
      </c>
      <c r="P642" s="89" t="str">
        <f>HYPERLINK("http://dx.doi.org/10.3390/math8122144","http://dx.doi.org/10.3390/math8122144")</f>
        <v>http://dx.doi.org/10.3390/math8122144</v>
      </c>
      <c r="S642" s="89" t="s">
        <v>646</v>
      </c>
      <c r="U642" s="89" t="s">
        <v>17462</v>
      </c>
      <c r="W642" s="89" t="s">
        <v>646</v>
      </c>
      <c r="X642" s="89" t="s">
        <v>646</v>
      </c>
      <c r="Y642" s="89" t="s">
        <v>646</v>
      </c>
      <c r="Z642" s="89" t="s">
        <v>646</v>
      </c>
      <c r="AA642" s="89" t="s">
        <v>646</v>
      </c>
      <c r="AB642" s="89" t="s">
        <v>646</v>
      </c>
      <c r="AC642" s="89" t="s">
        <v>646</v>
      </c>
      <c r="AD642" s="89" t="s">
        <v>646</v>
      </c>
      <c r="AE642" s="89" t="s">
        <v>646</v>
      </c>
      <c r="AF642" s="89" t="s">
        <v>22735</v>
      </c>
      <c r="AG642" s="89" t="s">
        <v>646</v>
      </c>
      <c r="AH642" s="89" t="s">
        <v>646</v>
      </c>
      <c r="AI642" s="89" t="s">
        <v>646</v>
      </c>
      <c r="AJ642" s="89" t="s">
        <v>646</v>
      </c>
      <c r="AK642" s="89" t="s">
        <v>646</v>
      </c>
      <c r="AL642" s="89" t="s">
        <v>646</v>
      </c>
      <c r="AM642" s="89" t="s">
        <v>646</v>
      </c>
      <c r="AN642" s="89" t="s">
        <v>646</v>
      </c>
      <c r="AO642" s="89" t="s">
        <v>646</v>
      </c>
      <c r="AP642" s="89" t="s">
        <v>646</v>
      </c>
      <c r="AQ642" s="89" t="s">
        <v>646</v>
      </c>
      <c r="AR642" s="89" t="s">
        <v>646</v>
      </c>
      <c r="AS642" s="89" t="s">
        <v>646</v>
      </c>
      <c r="AT642" s="89" t="s">
        <v>646</v>
      </c>
      <c r="AU642" s="89" t="s">
        <v>646</v>
      </c>
      <c r="AV642" s="89" t="s">
        <v>646</v>
      </c>
      <c r="AW642" s="89" t="s">
        <v>646</v>
      </c>
      <c r="AX642" s="89" t="s">
        <v>646</v>
      </c>
      <c r="AY642" s="89" t="s">
        <v>646</v>
      </c>
      <c r="AZ642" s="89" t="s">
        <v>22736</v>
      </c>
      <c r="BA642" s="89" t="s">
        <v>646</v>
      </c>
      <c r="BB642" s="89" t="s">
        <v>646</v>
      </c>
      <c r="BC642" s="89" t="s">
        <v>646</v>
      </c>
      <c r="BD642" s="89" t="s">
        <v>17615</v>
      </c>
      <c r="BE642" s="89">
        <v>2020</v>
      </c>
      <c r="BF642" s="89">
        <v>8</v>
      </c>
      <c r="BG642" s="89">
        <v>12</v>
      </c>
      <c r="BH642" s="89" t="s">
        <v>646</v>
      </c>
      <c r="BI642" s="89" t="s">
        <v>646</v>
      </c>
      <c r="BJ642" s="89" t="s">
        <v>646</v>
      </c>
      <c r="BK642" s="89" t="s">
        <v>646</v>
      </c>
      <c r="BL642" s="89" t="s">
        <v>646</v>
      </c>
      <c r="BM642" s="89" t="s">
        <v>646</v>
      </c>
      <c r="BN642" s="89">
        <v>2144</v>
      </c>
      <c r="BO642" s="89" t="str">
        <f>HYPERLINK("http://dx.doi.org/10.3390/math8122144","http://dx.doi.org/10.3390/math8122144")</f>
        <v>http://dx.doi.org/10.3390/math8122144</v>
      </c>
      <c r="BP642" s="89" t="s">
        <v>646</v>
      </c>
      <c r="BQ642" s="89" t="s">
        <v>646</v>
      </c>
      <c r="BR642" s="89" t="s">
        <v>646</v>
      </c>
      <c r="BS642" s="89" t="s">
        <v>646</v>
      </c>
      <c r="BT642" s="89" t="s">
        <v>646</v>
      </c>
      <c r="BU642" s="89" t="s">
        <v>646</v>
      </c>
      <c r="BV642" s="89" t="s">
        <v>646</v>
      </c>
      <c r="BW642" s="89" t="s">
        <v>646</v>
      </c>
      <c r="BX642" s="89" t="s">
        <v>646</v>
      </c>
      <c r="BY642" s="89" t="s">
        <v>646</v>
      </c>
      <c r="BZ642" s="89" t="s">
        <v>646</v>
      </c>
      <c r="CA642" s="89" t="s">
        <v>646</v>
      </c>
      <c r="CB642" s="89" t="s">
        <v>22737</v>
      </c>
      <c r="CC642" s="89" t="str">
        <f>HYPERLINK("https%3A%2F%2Fwww.webofscience.com%2Fwos%2Fwoscc%2Ffull-record%2FWOS:000602162900001","View Full Record in Web of Science")</f>
        <v>View Full Record in Web of Science</v>
      </c>
    </row>
    <row r="643" spans="1:81" ht="13.2" hidden="1" x14ac:dyDescent="0.25">
      <c r="A643" s="89" t="s">
        <v>22738</v>
      </c>
      <c r="B643" s="89" t="e">
        <f>+#REF!</f>
        <v>#REF!</v>
      </c>
      <c r="C643" s="89"/>
      <c r="D643" s="91" t="s">
        <v>717</v>
      </c>
      <c r="E643" s="90" t="e">
        <v>#REF!</v>
      </c>
      <c r="F643" s="89"/>
      <c r="G643" s="89"/>
      <c r="H643" s="89" t="s">
        <v>13961</v>
      </c>
      <c r="I643" s="89" t="s">
        <v>22739</v>
      </c>
      <c r="J643" s="89" t="s">
        <v>646</v>
      </c>
      <c r="K643" s="89" t="s">
        <v>22740</v>
      </c>
      <c r="M643" s="89">
        <v>2016</v>
      </c>
      <c r="N643" s="89" t="s">
        <v>20289</v>
      </c>
      <c r="O643" s="89" t="s">
        <v>646</v>
      </c>
      <c r="P643" s="89" t="str">
        <f>HYPERLINK("http://dx.doi.org/10.1109/ICGSEW.2016.23","http://dx.doi.org/10.1109/ICGSEW.2016.23")</f>
        <v>http://dx.doi.org/10.1109/ICGSEW.2016.23</v>
      </c>
      <c r="S643" s="89" t="s">
        <v>17475</v>
      </c>
      <c r="U643" s="89" t="s">
        <v>17474</v>
      </c>
      <c r="W643" s="89" t="s">
        <v>646</v>
      </c>
      <c r="X643" s="89" t="s">
        <v>646</v>
      </c>
      <c r="Y643" s="89" t="s">
        <v>20290</v>
      </c>
      <c r="Z643" s="89" t="s">
        <v>20291</v>
      </c>
      <c r="AA643" s="89" t="s">
        <v>20292</v>
      </c>
      <c r="AB643" s="89" t="s">
        <v>20293</v>
      </c>
      <c r="AC643" s="89" t="s">
        <v>20294</v>
      </c>
      <c r="AD643" s="89" t="s">
        <v>646</v>
      </c>
      <c r="AE643" s="89" t="s">
        <v>646</v>
      </c>
      <c r="AF643" s="89" t="s">
        <v>22740</v>
      </c>
      <c r="AG643" s="89" t="s">
        <v>646</v>
      </c>
      <c r="AH643" s="89" t="s">
        <v>646</v>
      </c>
      <c r="AI643" s="89" t="s">
        <v>646</v>
      </c>
      <c r="AJ643" s="89" t="s">
        <v>646</v>
      </c>
      <c r="AK643" s="89" t="s">
        <v>646</v>
      </c>
      <c r="AL643" s="89" t="s">
        <v>646</v>
      </c>
      <c r="AM643" s="89" t="s">
        <v>646</v>
      </c>
      <c r="AN643" s="89" t="s">
        <v>646</v>
      </c>
      <c r="AO643" s="89" t="s">
        <v>646</v>
      </c>
      <c r="AP643" s="89" t="s">
        <v>646</v>
      </c>
      <c r="AQ643" s="89" t="s">
        <v>646</v>
      </c>
      <c r="AR643" s="89" t="s">
        <v>646</v>
      </c>
      <c r="AS643" s="89" t="s">
        <v>646</v>
      </c>
      <c r="AT643" s="89" t="s">
        <v>646</v>
      </c>
      <c r="AU643" s="89" t="s">
        <v>646</v>
      </c>
      <c r="AV643" s="89" t="s">
        <v>646</v>
      </c>
      <c r="AW643" s="89" t="s">
        <v>646</v>
      </c>
      <c r="AX643" s="89" t="s">
        <v>646</v>
      </c>
      <c r="AY643" s="89" t="s">
        <v>646</v>
      </c>
      <c r="AZ643" s="89" t="s">
        <v>646</v>
      </c>
      <c r="BA643" s="89" t="s">
        <v>20296</v>
      </c>
      <c r="BB643" s="89" t="s">
        <v>646</v>
      </c>
      <c r="BC643" s="89" t="s">
        <v>646</v>
      </c>
      <c r="BD643" s="89" t="s">
        <v>646</v>
      </c>
      <c r="BE643" s="89">
        <v>2016</v>
      </c>
      <c r="BF643" s="89" t="s">
        <v>646</v>
      </c>
      <c r="BG643" s="89" t="s">
        <v>646</v>
      </c>
      <c r="BH643" s="89" t="s">
        <v>646</v>
      </c>
      <c r="BI643" s="89" t="s">
        <v>646</v>
      </c>
      <c r="BJ643" s="89" t="s">
        <v>646</v>
      </c>
      <c r="BK643" s="89" t="s">
        <v>646</v>
      </c>
      <c r="BL643" s="89">
        <v>31</v>
      </c>
      <c r="BM643" s="89">
        <v>36</v>
      </c>
      <c r="BN643" s="89" t="s">
        <v>646</v>
      </c>
      <c r="BO643" s="89" t="str">
        <f>HYPERLINK("http://dx.doi.org/10.1109/ICGSEW.2016.23","http://dx.doi.org/10.1109/ICGSEW.2016.23")</f>
        <v>http://dx.doi.org/10.1109/ICGSEW.2016.23</v>
      </c>
      <c r="BP643" s="89" t="s">
        <v>646</v>
      </c>
      <c r="BQ643" s="89" t="s">
        <v>646</v>
      </c>
      <c r="BR643" s="89" t="s">
        <v>646</v>
      </c>
      <c r="BS643" s="89" t="s">
        <v>646</v>
      </c>
      <c r="BT643" s="89" t="s">
        <v>646</v>
      </c>
      <c r="BU643" s="89" t="s">
        <v>646</v>
      </c>
      <c r="BV643" s="89" t="s">
        <v>646</v>
      </c>
      <c r="BW643" s="89" t="s">
        <v>646</v>
      </c>
      <c r="BX643" s="89" t="s">
        <v>646</v>
      </c>
      <c r="BY643" s="89" t="s">
        <v>646</v>
      </c>
      <c r="BZ643" s="89" t="s">
        <v>646</v>
      </c>
      <c r="CA643" s="89" t="s">
        <v>646</v>
      </c>
      <c r="CB643" s="89" t="s">
        <v>22741</v>
      </c>
      <c r="CC643" s="89" t="str">
        <f>HYPERLINK("https%3A%2F%2Fwww.webofscience.com%2Fwos%2Fwoscc%2Ffull-record%2FWOS:000392497200006","View Full Record in Web of Science")</f>
        <v>View Full Record in Web of Science</v>
      </c>
    </row>
    <row r="644" spans="1:81" ht="13.2" hidden="1" x14ac:dyDescent="0.25">
      <c r="A644" s="89" t="s">
        <v>22742</v>
      </c>
      <c r="B644" s="89" t="e">
        <f>+#REF!</f>
        <v>#REF!</v>
      </c>
      <c r="C644" s="89"/>
      <c r="D644" s="91" t="s">
        <v>717</v>
      </c>
      <c r="E644" s="90" t="e">
        <v>#REF!</v>
      </c>
      <c r="F644" s="89"/>
      <c r="G644" s="89"/>
      <c r="H644" s="89" t="s">
        <v>13969</v>
      </c>
      <c r="I644" s="89" t="s">
        <v>22743</v>
      </c>
      <c r="J644" s="89" t="s">
        <v>22746</v>
      </c>
      <c r="K644" s="89" t="s">
        <v>22745</v>
      </c>
      <c r="M644" s="89">
        <v>2017</v>
      </c>
      <c r="N644" s="89" t="s">
        <v>22744</v>
      </c>
      <c r="O644" s="89" t="s">
        <v>646</v>
      </c>
      <c r="P644" s="89" t="str">
        <f>HYPERLINK("http://dx.doi.org/10.1037/aca0000074","http://dx.doi.org/10.1037/aca0000074")</f>
        <v>http://dx.doi.org/10.1037/aca0000074</v>
      </c>
      <c r="S644" s="89" t="s">
        <v>646</v>
      </c>
      <c r="U644" s="89" t="s">
        <v>17462</v>
      </c>
      <c r="W644" s="89" t="s">
        <v>646</v>
      </c>
      <c r="X644" s="89" t="s">
        <v>646</v>
      </c>
      <c r="Y644" s="89" t="s">
        <v>646</v>
      </c>
      <c r="Z644" s="89" t="s">
        <v>646</v>
      </c>
      <c r="AA644" s="89" t="s">
        <v>646</v>
      </c>
      <c r="AB644" s="89" t="s">
        <v>646</v>
      </c>
      <c r="AC644" s="89" t="s">
        <v>646</v>
      </c>
      <c r="AD644" s="89" t="s">
        <v>646</v>
      </c>
      <c r="AE644" s="89" t="s">
        <v>646</v>
      </c>
      <c r="AF644" s="89" t="s">
        <v>22745</v>
      </c>
      <c r="AG644" s="89" t="s">
        <v>646</v>
      </c>
      <c r="AH644" s="89" t="s">
        <v>646</v>
      </c>
      <c r="AI644" s="89" t="s">
        <v>646</v>
      </c>
      <c r="AJ644" s="89" t="s">
        <v>646</v>
      </c>
      <c r="AK644" s="89" t="s">
        <v>22746</v>
      </c>
      <c r="AL644" s="89" t="s">
        <v>22747</v>
      </c>
      <c r="AM644" s="89" t="s">
        <v>646</v>
      </c>
      <c r="AN644" s="89" t="s">
        <v>646</v>
      </c>
      <c r="AO644" s="89" t="s">
        <v>646</v>
      </c>
      <c r="AP644" s="89" t="s">
        <v>646</v>
      </c>
      <c r="AQ644" s="89" t="s">
        <v>646</v>
      </c>
      <c r="AR644" s="89" t="s">
        <v>646</v>
      </c>
      <c r="AS644" s="89" t="s">
        <v>646</v>
      </c>
      <c r="AT644" s="89" t="s">
        <v>646</v>
      </c>
      <c r="AU644" s="89" t="s">
        <v>646</v>
      </c>
      <c r="AV644" s="89" t="s">
        <v>646</v>
      </c>
      <c r="AW644" s="89" t="s">
        <v>646</v>
      </c>
      <c r="AX644" s="89" t="s">
        <v>646</v>
      </c>
      <c r="AY644" s="89" t="s">
        <v>22748</v>
      </c>
      <c r="AZ644" s="89" t="s">
        <v>22749</v>
      </c>
      <c r="BA644" s="89" t="s">
        <v>646</v>
      </c>
      <c r="BB644" s="89" t="s">
        <v>646</v>
      </c>
      <c r="BC644" s="89" t="s">
        <v>646</v>
      </c>
      <c r="BD644" s="89" t="s">
        <v>18436</v>
      </c>
      <c r="BE644" s="89">
        <v>2017</v>
      </c>
      <c r="BF644" s="89">
        <v>11</v>
      </c>
      <c r="BG644" s="89">
        <v>2</v>
      </c>
      <c r="BH644" s="89" t="s">
        <v>646</v>
      </c>
      <c r="BI644" s="89" t="s">
        <v>646</v>
      </c>
      <c r="BJ644" s="89" t="s">
        <v>646</v>
      </c>
      <c r="BK644" s="89" t="s">
        <v>646</v>
      </c>
      <c r="BL644" s="89">
        <v>216</v>
      </c>
      <c r="BM644" s="89">
        <v>230</v>
      </c>
      <c r="BN644" s="89" t="s">
        <v>646</v>
      </c>
      <c r="BO644" s="89" t="str">
        <f>HYPERLINK("http://dx.doi.org/10.1037/aca0000074","http://dx.doi.org/10.1037/aca0000074")</f>
        <v>http://dx.doi.org/10.1037/aca0000074</v>
      </c>
      <c r="BP644" s="89" t="s">
        <v>646</v>
      </c>
      <c r="BQ644" s="89" t="s">
        <v>646</v>
      </c>
      <c r="BR644" s="89" t="s">
        <v>646</v>
      </c>
      <c r="BS644" s="89" t="s">
        <v>646</v>
      </c>
      <c r="BT644" s="89" t="s">
        <v>646</v>
      </c>
      <c r="BU644" s="89" t="s">
        <v>646</v>
      </c>
      <c r="BV644" s="89" t="s">
        <v>646</v>
      </c>
      <c r="BW644" s="89" t="s">
        <v>646</v>
      </c>
      <c r="BX644" s="89" t="s">
        <v>646</v>
      </c>
      <c r="BY644" s="89" t="s">
        <v>646</v>
      </c>
      <c r="BZ644" s="89" t="s">
        <v>646</v>
      </c>
      <c r="CA644" s="89" t="s">
        <v>646</v>
      </c>
      <c r="CB644" s="89" t="s">
        <v>22750</v>
      </c>
      <c r="CC644" s="89" t="str">
        <f>HYPERLINK("https%3A%2F%2Fwww.webofscience.com%2Fwos%2Fwoscc%2Ffull-record%2FWOS:000402043900011","View Full Record in Web of Science")</f>
        <v>View Full Record in Web of Science</v>
      </c>
    </row>
    <row r="645" spans="1:81" ht="13.2" hidden="1" x14ac:dyDescent="0.25">
      <c r="A645" s="89" t="s">
        <v>9900</v>
      </c>
      <c r="B645" s="89" t="e">
        <f>+#REF!</f>
        <v>#REF!</v>
      </c>
      <c r="C645" s="89"/>
      <c r="D645" s="91" t="s">
        <v>717</v>
      </c>
      <c r="E645" s="90" t="e">
        <v>#REF!</v>
      </c>
      <c r="F645" s="89"/>
      <c r="G645" s="89"/>
      <c r="H645" s="89" t="s">
        <v>9901</v>
      </c>
      <c r="I645" s="89" t="s">
        <v>22751</v>
      </c>
      <c r="J645" s="89" t="s">
        <v>646</v>
      </c>
      <c r="K645" s="89" t="s">
        <v>22753</v>
      </c>
      <c r="M645" s="89">
        <v>2022</v>
      </c>
      <c r="N645" s="89" t="s">
        <v>22752</v>
      </c>
      <c r="O645" s="89" t="s">
        <v>646</v>
      </c>
      <c r="P645" s="89" t="str">
        <f>HYPERLINK("http://dx.doi.org/10.1016/j.bodyim.2022.06.003","http://dx.doi.org/10.1016/j.bodyim.2022.06.003")</f>
        <v>http://dx.doi.org/10.1016/j.bodyim.2022.06.003</v>
      </c>
      <c r="S645" s="89" t="s">
        <v>646</v>
      </c>
      <c r="U645" s="89" t="s">
        <v>17462</v>
      </c>
      <c r="W645" s="89" t="s">
        <v>646</v>
      </c>
      <c r="X645" s="89" t="s">
        <v>646</v>
      </c>
      <c r="Y645" s="89" t="s">
        <v>646</v>
      </c>
      <c r="Z645" s="89" t="s">
        <v>646</v>
      </c>
      <c r="AA645" s="89" t="s">
        <v>646</v>
      </c>
      <c r="AB645" s="89" t="s">
        <v>646</v>
      </c>
      <c r="AC645" s="89" t="s">
        <v>646</v>
      </c>
      <c r="AD645" s="89" t="s">
        <v>646</v>
      </c>
      <c r="AE645" s="89" t="s">
        <v>646</v>
      </c>
      <c r="AF645" s="89" t="s">
        <v>22753</v>
      </c>
      <c r="AG645" s="89" t="s">
        <v>646</v>
      </c>
      <c r="AH645" s="89" t="s">
        <v>646</v>
      </c>
      <c r="AI645" s="89" t="s">
        <v>646</v>
      </c>
      <c r="AJ645" s="89" t="s">
        <v>646</v>
      </c>
      <c r="AK645" s="89" t="s">
        <v>646</v>
      </c>
      <c r="AL645" s="89" t="s">
        <v>22754</v>
      </c>
      <c r="AM645" s="89" t="s">
        <v>646</v>
      </c>
      <c r="AN645" s="89" t="s">
        <v>646</v>
      </c>
      <c r="AO645" s="89" t="s">
        <v>646</v>
      </c>
      <c r="AP645" s="89" t="s">
        <v>646</v>
      </c>
      <c r="AQ645" s="89" t="s">
        <v>646</v>
      </c>
      <c r="AR645" s="89" t="s">
        <v>646</v>
      </c>
      <c r="AS645" s="89" t="s">
        <v>646</v>
      </c>
      <c r="AT645" s="89" t="s">
        <v>646</v>
      </c>
      <c r="AU645" s="89" t="s">
        <v>646</v>
      </c>
      <c r="AV645" s="89" t="s">
        <v>646</v>
      </c>
      <c r="AW645" s="89" t="s">
        <v>646</v>
      </c>
      <c r="AX645" s="89" t="s">
        <v>646</v>
      </c>
      <c r="AY645" s="89" t="s">
        <v>22755</v>
      </c>
      <c r="AZ645" s="89" t="s">
        <v>22756</v>
      </c>
      <c r="BA645" s="89" t="s">
        <v>646</v>
      </c>
      <c r="BB645" s="89" t="s">
        <v>646</v>
      </c>
      <c r="BC645" s="89" t="s">
        <v>646</v>
      </c>
      <c r="BD645" s="89" t="s">
        <v>17739</v>
      </c>
      <c r="BE645" s="89">
        <v>2022</v>
      </c>
      <c r="BF645" s="89">
        <v>42</v>
      </c>
      <c r="BG645" s="89" t="s">
        <v>646</v>
      </c>
      <c r="BH645" s="89" t="s">
        <v>646</v>
      </c>
      <c r="BI645" s="89" t="s">
        <v>646</v>
      </c>
      <c r="BJ645" s="89" t="s">
        <v>646</v>
      </c>
      <c r="BK645" s="89" t="s">
        <v>646</v>
      </c>
      <c r="BL645" s="89">
        <v>136</v>
      </c>
      <c r="BM645" s="89">
        <v>144</v>
      </c>
      <c r="BN645" s="89" t="s">
        <v>646</v>
      </c>
      <c r="BO645" s="89" t="str">
        <f>HYPERLINK("http://dx.doi.org/10.1016/j.bodyim.2022.06.003","http://dx.doi.org/10.1016/j.bodyim.2022.06.003")</f>
        <v>http://dx.doi.org/10.1016/j.bodyim.2022.06.003</v>
      </c>
      <c r="BP645" s="89" t="s">
        <v>646</v>
      </c>
      <c r="BQ645" s="89" t="s">
        <v>646</v>
      </c>
      <c r="BR645" s="89" t="s">
        <v>646</v>
      </c>
      <c r="BS645" s="89" t="s">
        <v>646</v>
      </c>
      <c r="BT645" s="89" t="s">
        <v>646</v>
      </c>
      <c r="BU645" s="89" t="s">
        <v>646</v>
      </c>
      <c r="BV645" s="89" t="s">
        <v>646</v>
      </c>
      <c r="BW645" s="89">
        <v>35714420</v>
      </c>
      <c r="BX645" s="89" t="s">
        <v>646</v>
      </c>
      <c r="BY645" s="89" t="s">
        <v>646</v>
      </c>
      <c r="BZ645" s="89" t="s">
        <v>646</v>
      </c>
      <c r="CA645" s="89" t="s">
        <v>646</v>
      </c>
      <c r="CB645" s="89" t="s">
        <v>22757</v>
      </c>
      <c r="CC645" s="89" t="str">
        <f>HYPERLINK("https%3A%2F%2Fwww.webofscience.com%2Fwos%2Fwoscc%2Ffull-record%2FWOS:000822678500011","View Full Record in Web of Science")</f>
        <v>View Full Record in Web of Science</v>
      </c>
    </row>
    <row r="646" spans="1:81" ht="13.2" hidden="1" x14ac:dyDescent="0.25">
      <c r="A646" s="89" t="s">
        <v>13978</v>
      </c>
      <c r="B646" s="89" t="e">
        <f>+#REF!</f>
        <v>#REF!</v>
      </c>
      <c r="C646" s="89"/>
      <c r="D646" s="91" t="s">
        <v>717</v>
      </c>
      <c r="E646" s="90" t="e">
        <v>#REF!</v>
      </c>
      <c r="F646" s="89"/>
      <c r="G646" s="89"/>
      <c r="H646" s="89" t="s">
        <v>13979</v>
      </c>
      <c r="I646" s="89" t="s">
        <v>22758</v>
      </c>
      <c r="J646" s="89" t="s">
        <v>646</v>
      </c>
      <c r="K646" s="89" t="s">
        <v>22760</v>
      </c>
      <c r="M646" s="89">
        <v>2019</v>
      </c>
      <c r="N646" s="89" t="s">
        <v>22759</v>
      </c>
      <c r="O646" s="89" t="s">
        <v>646</v>
      </c>
      <c r="P646" s="89" t="str">
        <f>HYPERLINK("http://dx.doi.org/10.1007/s12671-018-1064-3","http://dx.doi.org/10.1007/s12671-018-1064-3")</f>
        <v>http://dx.doi.org/10.1007/s12671-018-1064-3</v>
      </c>
      <c r="S646" s="89" t="s">
        <v>646</v>
      </c>
      <c r="U646" s="89" t="s">
        <v>17462</v>
      </c>
      <c r="W646" s="89" t="s">
        <v>646</v>
      </c>
      <c r="X646" s="89" t="s">
        <v>646</v>
      </c>
      <c r="Y646" s="89" t="s">
        <v>646</v>
      </c>
      <c r="Z646" s="89" t="s">
        <v>646</v>
      </c>
      <c r="AA646" s="89" t="s">
        <v>646</v>
      </c>
      <c r="AB646" s="89" t="s">
        <v>646</v>
      </c>
      <c r="AC646" s="89" t="s">
        <v>646</v>
      </c>
      <c r="AD646" s="89" t="s">
        <v>646</v>
      </c>
      <c r="AE646" s="89" t="s">
        <v>646</v>
      </c>
      <c r="AF646" s="89" t="s">
        <v>22760</v>
      </c>
      <c r="AG646" s="89" t="s">
        <v>646</v>
      </c>
      <c r="AH646" s="89" t="s">
        <v>646</v>
      </c>
      <c r="AI646" s="89" t="s">
        <v>646</v>
      </c>
      <c r="AJ646" s="89" t="s">
        <v>646</v>
      </c>
      <c r="AK646" s="89" t="s">
        <v>646</v>
      </c>
      <c r="AL646" s="89" t="s">
        <v>22761</v>
      </c>
      <c r="AM646" s="89" t="s">
        <v>646</v>
      </c>
      <c r="AN646" s="89" t="s">
        <v>646</v>
      </c>
      <c r="AO646" s="89" t="s">
        <v>646</v>
      </c>
      <c r="AP646" s="89" t="s">
        <v>646</v>
      </c>
      <c r="AQ646" s="89" t="s">
        <v>646</v>
      </c>
      <c r="AR646" s="89" t="s">
        <v>646</v>
      </c>
      <c r="AS646" s="89" t="s">
        <v>646</v>
      </c>
      <c r="AT646" s="89" t="s">
        <v>646</v>
      </c>
      <c r="AU646" s="89" t="s">
        <v>646</v>
      </c>
      <c r="AV646" s="89" t="s">
        <v>646</v>
      </c>
      <c r="AW646" s="89" t="s">
        <v>646</v>
      </c>
      <c r="AX646" s="89" t="s">
        <v>646</v>
      </c>
      <c r="AY646" s="89" t="s">
        <v>22762</v>
      </c>
      <c r="AZ646" s="89" t="s">
        <v>22763</v>
      </c>
      <c r="BA646" s="89" t="s">
        <v>646</v>
      </c>
      <c r="BB646" s="89" t="s">
        <v>646</v>
      </c>
      <c r="BC646" s="89" t="s">
        <v>646</v>
      </c>
      <c r="BD646" s="89" t="s">
        <v>17772</v>
      </c>
      <c r="BE646" s="89">
        <v>2019</v>
      </c>
      <c r="BF646" s="89">
        <v>10</v>
      </c>
      <c r="BG646" s="89">
        <v>6</v>
      </c>
      <c r="BH646" s="89" t="s">
        <v>646</v>
      </c>
      <c r="BI646" s="89" t="s">
        <v>646</v>
      </c>
      <c r="BJ646" s="89" t="s">
        <v>646</v>
      </c>
      <c r="BK646" s="89" t="s">
        <v>646</v>
      </c>
      <c r="BL646" s="89">
        <v>1153</v>
      </c>
      <c r="BM646" s="89">
        <v>1162</v>
      </c>
      <c r="BN646" s="89" t="s">
        <v>646</v>
      </c>
      <c r="BO646" s="89" t="str">
        <f>HYPERLINK("http://dx.doi.org/10.1007/s12671-018-1064-3","http://dx.doi.org/10.1007/s12671-018-1064-3")</f>
        <v>http://dx.doi.org/10.1007/s12671-018-1064-3</v>
      </c>
      <c r="BP646" s="89" t="s">
        <v>646</v>
      </c>
      <c r="BQ646" s="89" t="s">
        <v>646</v>
      </c>
      <c r="BR646" s="89" t="s">
        <v>646</v>
      </c>
      <c r="BS646" s="89" t="s">
        <v>646</v>
      </c>
      <c r="BT646" s="89" t="s">
        <v>646</v>
      </c>
      <c r="BU646" s="89" t="s">
        <v>646</v>
      </c>
      <c r="BV646" s="89" t="s">
        <v>646</v>
      </c>
      <c r="BW646" s="89" t="s">
        <v>646</v>
      </c>
      <c r="BX646" s="89" t="s">
        <v>646</v>
      </c>
      <c r="BY646" s="89" t="s">
        <v>646</v>
      </c>
      <c r="BZ646" s="89" t="s">
        <v>646</v>
      </c>
      <c r="CA646" s="89" t="s">
        <v>646</v>
      </c>
      <c r="CB646" s="89" t="s">
        <v>22764</v>
      </c>
      <c r="CC646" s="89" t="str">
        <f>HYPERLINK("https%3A%2F%2Fwww.webofscience.com%2Fwos%2Fwoscc%2Ffull-record%2FWOS:000468071600014","View Full Record in Web of Science")</f>
        <v>View Full Record in Web of Science</v>
      </c>
    </row>
    <row r="647" spans="1:81" ht="13.2" hidden="1" x14ac:dyDescent="0.25">
      <c r="A647" s="89" t="s">
        <v>22765</v>
      </c>
      <c r="B647" s="89" t="e">
        <f>+#REF!</f>
        <v>#REF!</v>
      </c>
      <c r="C647" s="89"/>
      <c r="D647" s="91" t="s">
        <v>717</v>
      </c>
      <c r="E647" s="90" t="e">
        <v>#REF!</v>
      </c>
      <c r="F647" s="89"/>
      <c r="G647" s="89"/>
      <c r="H647" s="89" t="s">
        <v>13988</v>
      </c>
      <c r="I647" s="89" t="s">
        <v>22766</v>
      </c>
      <c r="J647" s="89" t="s">
        <v>22768</v>
      </c>
      <c r="K647" s="89" t="s">
        <v>22767</v>
      </c>
      <c r="M647" s="89">
        <v>2018</v>
      </c>
      <c r="N647" s="89" t="s">
        <v>20968</v>
      </c>
      <c r="O647" s="89" t="s">
        <v>646</v>
      </c>
      <c r="P647" s="89" t="str">
        <f>HYPERLINK("http://dx.doi.org/10.17645/mac.v6i2.1316","http://dx.doi.org/10.17645/mac.v6i2.1316")</f>
        <v>http://dx.doi.org/10.17645/mac.v6i2.1316</v>
      </c>
      <c r="S647" s="89" t="s">
        <v>646</v>
      </c>
      <c r="U647" s="89" t="s">
        <v>17462</v>
      </c>
      <c r="W647" s="89" t="s">
        <v>646</v>
      </c>
      <c r="X647" s="89" t="s">
        <v>646</v>
      </c>
      <c r="Y647" s="89" t="s">
        <v>646</v>
      </c>
      <c r="Z647" s="89" t="s">
        <v>646</v>
      </c>
      <c r="AA647" s="89" t="s">
        <v>646</v>
      </c>
      <c r="AB647" s="89" t="s">
        <v>646</v>
      </c>
      <c r="AC647" s="89" t="s">
        <v>646</v>
      </c>
      <c r="AD647" s="89" t="s">
        <v>646</v>
      </c>
      <c r="AE647" s="89" t="s">
        <v>646</v>
      </c>
      <c r="AF647" s="89" t="s">
        <v>22767</v>
      </c>
      <c r="AG647" s="89" t="s">
        <v>646</v>
      </c>
      <c r="AH647" s="89" t="s">
        <v>646</v>
      </c>
      <c r="AI647" s="89" t="s">
        <v>646</v>
      </c>
      <c r="AJ647" s="89" t="s">
        <v>646</v>
      </c>
      <c r="AK647" s="89" t="s">
        <v>22768</v>
      </c>
      <c r="AL647" s="89" t="s">
        <v>22769</v>
      </c>
      <c r="AM647" s="89" t="s">
        <v>646</v>
      </c>
      <c r="AN647" s="89" t="s">
        <v>646</v>
      </c>
      <c r="AO647" s="89" t="s">
        <v>646</v>
      </c>
      <c r="AP647" s="89" t="s">
        <v>646</v>
      </c>
      <c r="AQ647" s="89" t="s">
        <v>646</v>
      </c>
      <c r="AR647" s="89" t="s">
        <v>646</v>
      </c>
      <c r="AS647" s="89" t="s">
        <v>646</v>
      </c>
      <c r="AT647" s="89" t="s">
        <v>646</v>
      </c>
      <c r="AU647" s="89" t="s">
        <v>646</v>
      </c>
      <c r="AV647" s="89" t="s">
        <v>646</v>
      </c>
      <c r="AW647" s="89" t="s">
        <v>646</v>
      </c>
      <c r="AX647" s="89" t="s">
        <v>646</v>
      </c>
      <c r="AY647" s="89" t="s">
        <v>20972</v>
      </c>
      <c r="AZ647" s="89" t="s">
        <v>646</v>
      </c>
      <c r="BA647" s="89" t="s">
        <v>646</v>
      </c>
      <c r="BB647" s="89" t="s">
        <v>646</v>
      </c>
      <c r="BC647" s="89" t="s">
        <v>646</v>
      </c>
      <c r="BD647" s="89" t="s">
        <v>646</v>
      </c>
      <c r="BE647" s="89">
        <v>2018</v>
      </c>
      <c r="BF647" s="89">
        <v>6</v>
      </c>
      <c r="BG647" s="89">
        <v>2</v>
      </c>
      <c r="BH647" s="89" t="s">
        <v>646</v>
      </c>
      <c r="BI647" s="89" t="s">
        <v>646</v>
      </c>
      <c r="BJ647" s="89" t="s">
        <v>646</v>
      </c>
      <c r="BK647" s="89" t="s">
        <v>646</v>
      </c>
      <c r="BL647" s="89">
        <v>29</v>
      </c>
      <c r="BM647" s="89">
        <v>38</v>
      </c>
      <c r="BN647" s="89" t="s">
        <v>646</v>
      </c>
      <c r="BO647" s="89" t="str">
        <f>HYPERLINK("http://dx.doi.org/10.17645/mac.v6i2.1316","http://dx.doi.org/10.17645/mac.v6i2.1316")</f>
        <v>http://dx.doi.org/10.17645/mac.v6i2.1316</v>
      </c>
      <c r="BP647" s="89" t="s">
        <v>646</v>
      </c>
      <c r="BQ647" s="89" t="s">
        <v>646</v>
      </c>
      <c r="BR647" s="89" t="s">
        <v>646</v>
      </c>
      <c r="BS647" s="89" t="s">
        <v>646</v>
      </c>
      <c r="BT647" s="89" t="s">
        <v>646</v>
      </c>
      <c r="BU647" s="89" t="s">
        <v>646</v>
      </c>
      <c r="BV647" s="89" t="s">
        <v>646</v>
      </c>
      <c r="BW647" s="89" t="s">
        <v>646</v>
      </c>
      <c r="BX647" s="89" t="s">
        <v>646</v>
      </c>
      <c r="BY647" s="89" t="s">
        <v>646</v>
      </c>
      <c r="BZ647" s="89" t="s">
        <v>646</v>
      </c>
      <c r="CA647" s="89" t="s">
        <v>646</v>
      </c>
      <c r="CB647" s="89" t="s">
        <v>22770</v>
      </c>
      <c r="CC647" s="89" t="str">
        <f>HYPERLINK("https%3A%2F%2Fwww.webofscience.com%2Fwos%2Fwoscc%2Ffull-record%2FWOS:000433079800004","View Full Record in Web of Science")</f>
        <v>View Full Record in Web of Science</v>
      </c>
    </row>
    <row r="648" spans="1:81" ht="13.2" hidden="1" x14ac:dyDescent="0.25">
      <c r="A648" s="89" t="s">
        <v>9909</v>
      </c>
      <c r="B648" s="89" t="e">
        <f>+#REF!</f>
        <v>#REF!</v>
      </c>
      <c r="C648" s="89"/>
      <c r="D648" s="91" t="s">
        <v>717</v>
      </c>
      <c r="E648" s="90" t="e">
        <v>#REF!</v>
      </c>
      <c r="F648" s="89"/>
      <c r="G648" s="89"/>
      <c r="H648" s="89" t="s">
        <v>9910</v>
      </c>
      <c r="I648" s="89" t="s">
        <v>22771</v>
      </c>
      <c r="J648" s="89" t="s">
        <v>646</v>
      </c>
      <c r="K648" s="89" t="s">
        <v>22773</v>
      </c>
      <c r="M648" s="89">
        <v>2022</v>
      </c>
      <c r="N648" s="89" t="s">
        <v>22772</v>
      </c>
      <c r="O648" s="89" t="s">
        <v>646</v>
      </c>
      <c r="P648" s="89" t="str">
        <f>HYPERLINK("http://dx.doi.org/10.1080/07347332.2022.2032530","http://dx.doi.org/10.1080/07347332.2022.2032530")</f>
        <v>http://dx.doi.org/10.1080/07347332.2022.2032530</v>
      </c>
      <c r="S648" s="89" t="s">
        <v>646</v>
      </c>
      <c r="U648" s="89" t="s">
        <v>17462</v>
      </c>
      <c r="W648" s="89" t="s">
        <v>646</v>
      </c>
      <c r="X648" s="89" t="s">
        <v>646</v>
      </c>
      <c r="Y648" s="89" t="s">
        <v>646</v>
      </c>
      <c r="Z648" s="89" t="s">
        <v>646</v>
      </c>
      <c r="AA648" s="89" t="s">
        <v>646</v>
      </c>
      <c r="AB648" s="89" t="s">
        <v>646</v>
      </c>
      <c r="AC648" s="89" t="s">
        <v>646</v>
      </c>
      <c r="AD648" s="89" t="s">
        <v>646</v>
      </c>
      <c r="AE648" s="89" t="s">
        <v>646</v>
      </c>
      <c r="AF648" s="89" t="s">
        <v>22773</v>
      </c>
      <c r="AG648" s="89" t="s">
        <v>646</v>
      </c>
      <c r="AH648" s="89" t="s">
        <v>646</v>
      </c>
      <c r="AI648" s="89" t="s">
        <v>646</v>
      </c>
      <c r="AJ648" s="89" t="s">
        <v>646</v>
      </c>
      <c r="AK648" s="89" t="s">
        <v>646</v>
      </c>
      <c r="AL648" s="89" t="s">
        <v>22774</v>
      </c>
      <c r="AM648" s="89" t="s">
        <v>646</v>
      </c>
      <c r="AN648" s="89" t="s">
        <v>646</v>
      </c>
      <c r="AO648" s="89" t="s">
        <v>646</v>
      </c>
      <c r="AP648" s="89" t="s">
        <v>646</v>
      </c>
      <c r="AQ648" s="89" t="s">
        <v>646</v>
      </c>
      <c r="AR648" s="89" t="s">
        <v>646</v>
      </c>
      <c r="AS648" s="89" t="s">
        <v>646</v>
      </c>
      <c r="AT648" s="89" t="s">
        <v>646</v>
      </c>
      <c r="AU648" s="89" t="s">
        <v>646</v>
      </c>
      <c r="AV648" s="89" t="s">
        <v>646</v>
      </c>
      <c r="AW648" s="89" t="s">
        <v>646</v>
      </c>
      <c r="AX648" s="89" t="s">
        <v>646</v>
      </c>
      <c r="AY648" s="89" t="s">
        <v>22775</v>
      </c>
      <c r="AZ648" s="89" t="s">
        <v>22776</v>
      </c>
      <c r="BA648" s="89" t="s">
        <v>646</v>
      </c>
      <c r="BB648" s="89" t="s">
        <v>646</v>
      </c>
      <c r="BC648" s="89" t="s">
        <v>646</v>
      </c>
      <c r="BD648" s="89" t="s">
        <v>22777</v>
      </c>
      <c r="BE648" s="89">
        <v>2022</v>
      </c>
      <c r="BF648" s="89">
        <v>40</v>
      </c>
      <c r="BG648" s="89">
        <v>5</v>
      </c>
      <c r="BH648" s="89" t="s">
        <v>646</v>
      </c>
      <c r="BI648" s="89" t="s">
        <v>646</v>
      </c>
      <c r="BJ648" s="89" t="s">
        <v>646</v>
      </c>
      <c r="BK648" s="89" t="s">
        <v>646</v>
      </c>
      <c r="BL648" s="89">
        <v>652</v>
      </c>
      <c r="BM648" s="89">
        <v>665</v>
      </c>
      <c r="BN648" s="89" t="s">
        <v>646</v>
      </c>
      <c r="BO648" s="89" t="str">
        <f>HYPERLINK("http://dx.doi.org/10.1080/07347332.2022.2032530","http://dx.doi.org/10.1080/07347332.2022.2032530")</f>
        <v>http://dx.doi.org/10.1080/07347332.2022.2032530</v>
      </c>
      <c r="BP648" s="89" t="s">
        <v>646</v>
      </c>
      <c r="BQ648" s="89" t="s">
        <v>17878</v>
      </c>
      <c r="BR648" s="89" t="s">
        <v>646</v>
      </c>
      <c r="BS648" s="89" t="s">
        <v>646</v>
      </c>
      <c r="BT648" s="89" t="s">
        <v>646</v>
      </c>
      <c r="BU648" s="89" t="s">
        <v>646</v>
      </c>
      <c r="BV648" s="89" t="s">
        <v>646</v>
      </c>
      <c r="BW648" s="89">
        <v>35114916</v>
      </c>
      <c r="BX648" s="89" t="s">
        <v>646</v>
      </c>
      <c r="BY648" s="89" t="s">
        <v>646</v>
      </c>
      <c r="BZ648" s="89" t="s">
        <v>646</v>
      </c>
      <c r="CA648" s="89" t="s">
        <v>646</v>
      </c>
      <c r="CB648" s="89" t="s">
        <v>22778</v>
      </c>
      <c r="CC648" s="89" t="str">
        <f>HYPERLINK("https%3A%2F%2Fwww.webofscience.com%2Fwos%2Fwoscc%2Ffull-record%2FWOS:000751540000001","View Full Record in Web of Science")</f>
        <v>View Full Record in Web of Science</v>
      </c>
    </row>
    <row r="649" spans="1:81" ht="13.2" hidden="1" x14ac:dyDescent="0.25">
      <c r="A649" s="89" t="s">
        <v>13996</v>
      </c>
      <c r="B649" s="89" t="e">
        <f>+#REF!</f>
        <v>#REF!</v>
      </c>
      <c r="C649" s="89"/>
      <c r="D649" s="91" t="s">
        <v>717</v>
      </c>
      <c r="E649" s="90" t="e">
        <v>#REF!</v>
      </c>
      <c r="F649" s="89"/>
      <c r="G649" s="89"/>
      <c r="H649" s="89" t="s">
        <v>13997</v>
      </c>
      <c r="I649" s="89" t="s">
        <v>22779</v>
      </c>
      <c r="J649" s="89" t="s">
        <v>22781</v>
      </c>
      <c r="K649" s="89" t="s">
        <v>22780</v>
      </c>
      <c r="M649" s="89">
        <v>2018</v>
      </c>
      <c r="N649" s="89" t="s">
        <v>20176</v>
      </c>
      <c r="O649" s="89" t="s">
        <v>646</v>
      </c>
      <c r="P649" s="89" t="str">
        <f>HYPERLINK("http://dx.doi.org/10.3758/s13428-018-1035-6","http://dx.doi.org/10.3758/s13428-018-1035-6")</f>
        <v>http://dx.doi.org/10.3758/s13428-018-1035-6</v>
      </c>
      <c r="S649" s="89" t="s">
        <v>646</v>
      </c>
      <c r="U649" s="89" t="s">
        <v>17462</v>
      </c>
      <c r="W649" s="89" t="s">
        <v>646</v>
      </c>
      <c r="X649" s="89" t="s">
        <v>646</v>
      </c>
      <c r="Y649" s="89" t="s">
        <v>646</v>
      </c>
      <c r="Z649" s="89" t="s">
        <v>646</v>
      </c>
      <c r="AA649" s="89" t="s">
        <v>646</v>
      </c>
      <c r="AB649" s="89" t="s">
        <v>646</v>
      </c>
      <c r="AC649" s="89" t="s">
        <v>646</v>
      </c>
      <c r="AD649" s="89" t="s">
        <v>646</v>
      </c>
      <c r="AE649" s="89" t="s">
        <v>646</v>
      </c>
      <c r="AF649" s="89" t="s">
        <v>22780</v>
      </c>
      <c r="AG649" s="89" t="s">
        <v>646</v>
      </c>
      <c r="AH649" s="89" t="s">
        <v>646</v>
      </c>
      <c r="AI649" s="89" t="s">
        <v>646</v>
      </c>
      <c r="AJ649" s="89" t="s">
        <v>646</v>
      </c>
      <c r="AK649" s="89" t="s">
        <v>22781</v>
      </c>
      <c r="AL649" s="89" t="s">
        <v>22782</v>
      </c>
      <c r="AM649" s="89" t="s">
        <v>646</v>
      </c>
      <c r="AN649" s="89" t="s">
        <v>646</v>
      </c>
      <c r="AO649" s="89" t="s">
        <v>646</v>
      </c>
      <c r="AP649" s="89" t="s">
        <v>646</v>
      </c>
      <c r="AQ649" s="89" t="s">
        <v>646</v>
      </c>
      <c r="AR649" s="89" t="s">
        <v>646</v>
      </c>
      <c r="AS649" s="89" t="s">
        <v>646</v>
      </c>
      <c r="AT649" s="89" t="s">
        <v>646</v>
      </c>
      <c r="AU649" s="89" t="s">
        <v>646</v>
      </c>
      <c r="AV649" s="89" t="s">
        <v>646</v>
      </c>
      <c r="AW649" s="89" t="s">
        <v>646</v>
      </c>
      <c r="AX649" s="89" t="s">
        <v>646</v>
      </c>
      <c r="AY649" s="89" t="s">
        <v>20178</v>
      </c>
      <c r="AZ649" s="89" t="s">
        <v>20179</v>
      </c>
      <c r="BA649" s="89" t="s">
        <v>646</v>
      </c>
      <c r="BB649" s="89" t="s">
        <v>646</v>
      </c>
      <c r="BC649" s="89" t="s">
        <v>646</v>
      </c>
      <c r="BD649" s="89" t="s">
        <v>17615</v>
      </c>
      <c r="BE649" s="89">
        <v>2018</v>
      </c>
      <c r="BF649" s="89">
        <v>50</v>
      </c>
      <c r="BG649" s="89">
        <v>6</v>
      </c>
      <c r="BH649" s="89" t="s">
        <v>646</v>
      </c>
      <c r="BI649" s="89" t="s">
        <v>646</v>
      </c>
      <c r="BJ649" s="89" t="s">
        <v>646</v>
      </c>
      <c r="BK649" s="89" t="s">
        <v>646</v>
      </c>
      <c r="BL649" s="89">
        <v>2586</v>
      </c>
      <c r="BM649" s="89">
        <v>2596</v>
      </c>
      <c r="BN649" s="89" t="s">
        <v>646</v>
      </c>
      <c r="BO649" s="89" t="str">
        <f>HYPERLINK("http://dx.doi.org/10.3758/s13428-018-1035-6","http://dx.doi.org/10.3758/s13428-018-1035-6")</f>
        <v>http://dx.doi.org/10.3758/s13428-018-1035-6</v>
      </c>
      <c r="BP649" s="89" t="s">
        <v>646</v>
      </c>
      <c r="BQ649" s="89" t="s">
        <v>646</v>
      </c>
      <c r="BR649" s="89" t="s">
        <v>646</v>
      </c>
      <c r="BS649" s="89" t="s">
        <v>646</v>
      </c>
      <c r="BT649" s="89" t="s">
        <v>646</v>
      </c>
      <c r="BU649" s="89" t="s">
        <v>646</v>
      </c>
      <c r="BV649" s="89" t="s">
        <v>646</v>
      </c>
      <c r="BW649" s="89">
        <v>29542063</v>
      </c>
      <c r="BX649" s="89" t="s">
        <v>646</v>
      </c>
      <c r="BY649" s="89" t="s">
        <v>646</v>
      </c>
      <c r="BZ649" s="89" t="s">
        <v>646</v>
      </c>
      <c r="CA649" s="89" t="s">
        <v>646</v>
      </c>
      <c r="CB649" s="89" t="s">
        <v>22783</v>
      </c>
      <c r="CC649" s="89" t="str">
        <f>HYPERLINK("https%3A%2F%2Fwww.webofscience.com%2Fwos%2Fwoscc%2Ffull-record%2FWOS:000451259100028","View Full Record in Web of Science")</f>
        <v>View Full Record in Web of Science</v>
      </c>
    </row>
    <row r="650" spans="1:81" ht="13.2" hidden="1" x14ac:dyDescent="0.25">
      <c r="A650" s="89" t="s">
        <v>22784</v>
      </c>
      <c r="B650" s="89" t="e">
        <f>+#REF!</f>
        <v>#REF!</v>
      </c>
      <c r="C650" s="89"/>
      <c r="D650" s="91" t="s">
        <v>717</v>
      </c>
      <c r="E650" s="90" t="e">
        <v>#REF!</v>
      </c>
      <c r="F650" s="89"/>
      <c r="G650" s="89"/>
      <c r="H650" s="89" t="s">
        <v>14006</v>
      </c>
      <c r="I650" s="89" t="s">
        <v>22785</v>
      </c>
      <c r="J650" s="89" t="s">
        <v>22788</v>
      </c>
      <c r="K650" s="89" t="s">
        <v>22787</v>
      </c>
      <c r="M650" s="89">
        <v>2014</v>
      </c>
      <c r="N650" s="89" t="s">
        <v>22786</v>
      </c>
      <c r="O650" s="89" t="s">
        <v>646</v>
      </c>
      <c r="P650" s="89" t="str">
        <f>HYPERLINK("http://dx.doi.org/10.1145/2611526","http://dx.doi.org/10.1145/2611526")</f>
        <v>http://dx.doi.org/10.1145/2611526</v>
      </c>
      <c r="S650" s="89" t="s">
        <v>646</v>
      </c>
      <c r="U650" s="89" t="s">
        <v>17462</v>
      </c>
      <c r="W650" s="89" t="s">
        <v>646</v>
      </c>
      <c r="X650" s="89" t="s">
        <v>646</v>
      </c>
      <c r="Y650" s="89" t="s">
        <v>646</v>
      </c>
      <c r="Z650" s="89" t="s">
        <v>646</v>
      </c>
      <c r="AA650" s="89" t="s">
        <v>646</v>
      </c>
      <c r="AB650" s="89" t="s">
        <v>646</v>
      </c>
      <c r="AC650" s="89" t="s">
        <v>646</v>
      </c>
      <c r="AD650" s="89" t="s">
        <v>646</v>
      </c>
      <c r="AE650" s="89" t="s">
        <v>646</v>
      </c>
      <c r="AF650" s="89" t="s">
        <v>22787</v>
      </c>
      <c r="AG650" s="89" t="s">
        <v>646</v>
      </c>
      <c r="AH650" s="89" t="s">
        <v>646</v>
      </c>
      <c r="AI650" s="89" t="s">
        <v>646</v>
      </c>
      <c r="AJ650" s="89" t="s">
        <v>646</v>
      </c>
      <c r="AK650" s="89" t="s">
        <v>22788</v>
      </c>
      <c r="AL650" s="89" t="s">
        <v>22789</v>
      </c>
      <c r="AM650" s="89" t="s">
        <v>646</v>
      </c>
      <c r="AN650" s="89" t="s">
        <v>646</v>
      </c>
      <c r="AO650" s="89" t="s">
        <v>646</v>
      </c>
      <c r="AP650" s="89" t="s">
        <v>646</v>
      </c>
      <c r="AQ650" s="89" t="s">
        <v>646</v>
      </c>
      <c r="AR650" s="89" t="s">
        <v>646</v>
      </c>
      <c r="AS650" s="89" t="s">
        <v>646</v>
      </c>
      <c r="AT650" s="89" t="s">
        <v>646</v>
      </c>
      <c r="AU650" s="89" t="s">
        <v>646</v>
      </c>
      <c r="AV650" s="89" t="s">
        <v>646</v>
      </c>
      <c r="AW650" s="89" t="s">
        <v>646</v>
      </c>
      <c r="AX650" s="89" t="s">
        <v>646</v>
      </c>
      <c r="AY650" s="89" t="s">
        <v>22790</v>
      </c>
      <c r="AZ650" s="89" t="s">
        <v>22791</v>
      </c>
      <c r="BA650" s="89" t="s">
        <v>646</v>
      </c>
      <c r="BB650" s="89" t="s">
        <v>646</v>
      </c>
      <c r="BC650" s="89" t="s">
        <v>646</v>
      </c>
      <c r="BD650" s="89" t="s">
        <v>18436</v>
      </c>
      <c r="BE650" s="89">
        <v>2014</v>
      </c>
      <c r="BF650" s="89">
        <v>13</v>
      </c>
      <c r="BG650" s="89">
        <v>3</v>
      </c>
      <c r="BH650" s="89" t="s">
        <v>646</v>
      </c>
      <c r="BI650" s="89" t="s">
        <v>646</v>
      </c>
      <c r="BJ650" s="89" t="s">
        <v>646</v>
      </c>
      <c r="BK650" s="89" t="s">
        <v>646</v>
      </c>
      <c r="BL650" s="89" t="s">
        <v>646</v>
      </c>
      <c r="BM650" s="89" t="s">
        <v>646</v>
      </c>
      <c r="BN650" s="89">
        <v>8</v>
      </c>
      <c r="BO650" s="89" t="str">
        <f>HYPERLINK("http://dx.doi.org/10.1145/2611526","http://dx.doi.org/10.1145/2611526")</f>
        <v>http://dx.doi.org/10.1145/2611526</v>
      </c>
      <c r="BP650" s="89" t="s">
        <v>646</v>
      </c>
      <c r="BQ650" s="89" t="s">
        <v>646</v>
      </c>
      <c r="BR650" s="89" t="s">
        <v>646</v>
      </c>
      <c r="BS650" s="89" t="s">
        <v>646</v>
      </c>
      <c r="BT650" s="89" t="s">
        <v>646</v>
      </c>
      <c r="BU650" s="89" t="s">
        <v>646</v>
      </c>
      <c r="BV650" s="89" t="s">
        <v>646</v>
      </c>
      <c r="BW650" s="89" t="s">
        <v>646</v>
      </c>
      <c r="BX650" s="89" t="s">
        <v>646</v>
      </c>
      <c r="BY650" s="89" t="s">
        <v>646</v>
      </c>
      <c r="BZ650" s="89" t="s">
        <v>646</v>
      </c>
      <c r="CA650" s="89" t="s">
        <v>646</v>
      </c>
      <c r="CB650" s="89" t="s">
        <v>22792</v>
      </c>
      <c r="CC650" s="89" t="str">
        <f>HYPERLINK("https%3A%2F%2Fwww.webofscience.com%2Fwos%2Fwoscc%2Ffull-record%2FWOS:000337021100002","View Full Record in Web of Science")</f>
        <v>View Full Record in Web of Science</v>
      </c>
    </row>
    <row r="651" spans="1:81" ht="13.2" hidden="1" x14ac:dyDescent="0.25">
      <c r="A651" s="89" t="s">
        <v>22793</v>
      </c>
      <c r="B651" s="89" t="e">
        <f>+#REF!</f>
        <v>#REF!</v>
      </c>
      <c r="C651" s="89"/>
      <c r="D651" s="91" t="s">
        <v>717</v>
      </c>
      <c r="E651" s="90" t="e">
        <v>#REF!</v>
      </c>
      <c r="F651" s="89"/>
      <c r="G651" s="89"/>
      <c r="H651" s="89" t="s">
        <v>14015</v>
      </c>
      <c r="I651" s="89" t="s">
        <v>22794</v>
      </c>
      <c r="J651" s="89" t="s">
        <v>646</v>
      </c>
      <c r="K651" s="89" t="s">
        <v>22799</v>
      </c>
      <c r="M651" s="89">
        <v>2019</v>
      </c>
      <c r="N651" s="89" t="s">
        <v>22795</v>
      </c>
      <c r="O651" s="89" t="s">
        <v>646</v>
      </c>
      <c r="P651" s="89" t="str">
        <f>HYPERLINK("http://dx.doi.org/10.1145/3311957.3359466","http://dx.doi.org/10.1145/3311957.3359466")</f>
        <v>http://dx.doi.org/10.1145/3311957.3359466</v>
      </c>
      <c r="S651" s="89" t="s">
        <v>19206</v>
      </c>
      <c r="U651" s="89" t="s">
        <v>17474</v>
      </c>
      <c r="W651" s="89" t="s">
        <v>646</v>
      </c>
      <c r="X651" s="89" t="s">
        <v>646</v>
      </c>
      <c r="Y651" s="89" t="s">
        <v>22796</v>
      </c>
      <c r="Z651" s="89" t="s">
        <v>22797</v>
      </c>
      <c r="AA651" s="89" t="s">
        <v>20171</v>
      </c>
      <c r="AB651" s="89" t="s">
        <v>22798</v>
      </c>
      <c r="AC651" s="89" t="s">
        <v>646</v>
      </c>
      <c r="AD651" s="89" t="s">
        <v>646</v>
      </c>
      <c r="AE651" s="89" t="s">
        <v>646</v>
      </c>
      <c r="AF651" s="89" t="s">
        <v>22799</v>
      </c>
      <c r="AG651" s="89" t="s">
        <v>646</v>
      </c>
      <c r="AH651" s="89" t="s">
        <v>646</v>
      </c>
      <c r="AI651" s="89" t="s">
        <v>646</v>
      </c>
      <c r="AJ651" s="89" t="s">
        <v>646</v>
      </c>
      <c r="AK651" s="89" t="s">
        <v>646</v>
      </c>
      <c r="AL651" s="89" t="s">
        <v>646</v>
      </c>
      <c r="AM651" s="89" t="s">
        <v>646</v>
      </c>
      <c r="AN651" s="89" t="s">
        <v>646</v>
      </c>
      <c r="AO651" s="89" t="s">
        <v>646</v>
      </c>
      <c r="AP651" s="89" t="s">
        <v>646</v>
      </c>
      <c r="AQ651" s="89" t="s">
        <v>646</v>
      </c>
      <c r="AR651" s="89" t="s">
        <v>646</v>
      </c>
      <c r="AS651" s="89" t="s">
        <v>646</v>
      </c>
      <c r="AT651" s="89" t="s">
        <v>646</v>
      </c>
      <c r="AU651" s="89" t="s">
        <v>646</v>
      </c>
      <c r="AV651" s="89" t="s">
        <v>646</v>
      </c>
      <c r="AW651" s="89" t="s">
        <v>646</v>
      </c>
      <c r="AX651" s="89" t="s">
        <v>646</v>
      </c>
      <c r="AY651" s="89" t="s">
        <v>646</v>
      </c>
      <c r="AZ651" s="89" t="s">
        <v>646</v>
      </c>
      <c r="BA651" s="89" t="s">
        <v>22800</v>
      </c>
      <c r="BB651" s="89" t="s">
        <v>646</v>
      </c>
      <c r="BC651" s="89" t="s">
        <v>646</v>
      </c>
      <c r="BD651" s="89" t="s">
        <v>646</v>
      </c>
      <c r="BE651" s="89">
        <v>2019</v>
      </c>
      <c r="BF651" s="89" t="s">
        <v>646</v>
      </c>
      <c r="BG651" s="89" t="s">
        <v>646</v>
      </c>
      <c r="BH651" s="89" t="s">
        <v>646</v>
      </c>
      <c r="BI651" s="89" t="s">
        <v>646</v>
      </c>
      <c r="BJ651" s="89" t="s">
        <v>646</v>
      </c>
      <c r="BK651" s="89" t="s">
        <v>646</v>
      </c>
      <c r="BL651" s="89">
        <v>352</v>
      </c>
      <c r="BM651" s="89">
        <v>356</v>
      </c>
      <c r="BN651" s="89" t="s">
        <v>646</v>
      </c>
      <c r="BO651" s="89" t="str">
        <f>HYPERLINK("http://dx.doi.org/10.1145/3311957.3359466","http://dx.doi.org/10.1145/3311957.3359466")</f>
        <v>http://dx.doi.org/10.1145/3311957.3359466</v>
      </c>
      <c r="BP651" s="89" t="s">
        <v>646</v>
      </c>
      <c r="BQ651" s="89" t="s">
        <v>646</v>
      </c>
      <c r="BR651" s="89" t="s">
        <v>646</v>
      </c>
      <c r="BS651" s="89" t="s">
        <v>646</v>
      </c>
      <c r="BT651" s="89" t="s">
        <v>646</v>
      </c>
      <c r="BU651" s="89" t="s">
        <v>646</v>
      </c>
      <c r="BV651" s="89" t="s">
        <v>646</v>
      </c>
      <c r="BW651" s="89" t="s">
        <v>646</v>
      </c>
      <c r="BX651" s="89" t="s">
        <v>646</v>
      </c>
      <c r="BY651" s="89" t="s">
        <v>646</v>
      </c>
      <c r="BZ651" s="89" t="s">
        <v>646</v>
      </c>
      <c r="CA651" s="89" t="s">
        <v>646</v>
      </c>
      <c r="CB651" s="89" t="s">
        <v>22801</v>
      </c>
      <c r="CC651" s="89" t="str">
        <f>HYPERLINK("https%3A%2F%2Fwww.webofscience.com%2Fwos%2Fwoscc%2Ffull-record%2FWOS:000539904100073","View Full Record in Web of Science")</f>
        <v>View Full Record in Web of Science</v>
      </c>
    </row>
    <row r="652" spans="1:81" ht="13.2" hidden="1" x14ac:dyDescent="0.25">
      <c r="A652" s="89" t="s">
        <v>14022</v>
      </c>
      <c r="B652" s="89" t="e">
        <f>+#REF!</f>
        <v>#REF!</v>
      </c>
      <c r="C652" s="89"/>
      <c r="D652" s="91" t="s">
        <v>717</v>
      </c>
      <c r="E652" s="90" t="e">
        <v>#REF!</v>
      </c>
      <c r="F652" s="89"/>
      <c r="G652" s="89"/>
      <c r="H652" s="89" t="s">
        <v>14023</v>
      </c>
      <c r="I652" s="89" t="s">
        <v>22802</v>
      </c>
      <c r="J652" s="89" t="s">
        <v>646</v>
      </c>
      <c r="K652" s="89" t="s">
        <v>22803</v>
      </c>
      <c r="M652" s="89">
        <v>2017</v>
      </c>
      <c r="N652" s="89" t="s">
        <v>21520</v>
      </c>
      <c r="O652" s="89" t="s">
        <v>646</v>
      </c>
      <c r="P652" s="89" t="str">
        <f>HYPERLINK("http://dx.doi.org/10.1016/j.eatbeh.2016.12.002","http://dx.doi.org/10.1016/j.eatbeh.2016.12.002")</f>
        <v>http://dx.doi.org/10.1016/j.eatbeh.2016.12.002</v>
      </c>
      <c r="S652" s="89" t="s">
        <v>646</v>
      </c>
      <c r="U652" s="89" t="s">
        <v>17462</v>
      </c>
      <c r="W652" s="89" t="s">
        <v>646</v>
      </c>
      <c r="X652" s="89" t="s">
        <v>646</v>
      </c>
      <c r="Y652" s="89" t="s">
        <v>646</v>
      </c>
      <c r="Z652" s="89" t="s">
        <v>646</v>
      </c>
      <c r="AA652" s="89" t="s">
        <v>646</v>
      </c>
      <c r="AB652" s="89" t="s">
        <v>646</v>
      </c>
      <c r="AC652" s="89" t="s">
        <v>646</v>
      </c>
      <c r="AD652" s="89" t="s">
        <v>646</v>
      </c>
      <c r="AE652" s="89" t="s">
        <v>646</v>
      </c>
      <c r="AF652" s="89" t="s">
        <v>22803</v>
      </c>
      <c r="AG652" s="89" t="s">
        <v>646</v>
      </c>
      <c r="AH652" s="89" t="s">
        <v>646</v>
      </c>
      <c r="AI652" s="89" t="s">
        <v>646</v>
      </c>
      <c r="AJ652" s="89" t="s">
        <v>646</v>
      </c>
      <c r="AK652" s="89" t="s">
        <v>646</v>
      </c>
      <c r="AL652" s="89" t="s">
        <v>22804</v>
      </c>
      <c r="AM652" s="89" t="s">
        <v>646</v>
      </c>
      <c r="AN652" s="89" t="s">
        <v>646</v>
      </c>
      <c r="AO652" s="89" t="s">
        <v>646</v>
      </c>
      <c r="AP652" s="89" t="s">
        <v>646</v>
      </c>
      <c r="AQ652" s="89" t="s">
        <v>646</v>
      </c>
      <c r="AR652" s="89" t="s">
        <v>646</v>
      </c>
      <c r="AS652" s="89" t="s">
        <v>646</v>
      </c>
      <c r="AT652" s="89" t="s">
        <v>646</v>
      </c>
      <c r="AU652" s="89" t="s">
        <v>646</v>
      </c>
      <c r="AV652" s="89" t="s">
        <v>646</v>
      </c>
      <c r="AW652" s="89" t="s">
        <v>646</v>
      </c>
      <c r="AX652" s="89" t="s">
        <v>646</v>
      </c>
      <c r="AY652" s="89" t="s">
        <v>21522</v>
      </c>
      <c r="AZ652" s="89" t="s">
        <v>21523</v>
      </c>
      <c r="BA652" s="89" t="s">
        <v>646</v>
      </c>
      <c r="BB652" s="89" t="s">
        <v>646</v>
      </c>
      <c r="BC652" s="89" t="s">
        <v>646</v>
      </c>
      <c r="BD652" s="89" t="s">
        <v>17513</v>
      </c>
      <c r="BE652" s="89">
        <v>2017</v>
      </c>
      <c r="BF652" s="89">
        <v>24</v>
      </c>
      <c r="BG652" s="89" t="s">
        <v>646</v>
      </c>
      <c r="BH652" s="89" t="s">
        <v>646</v>
      </c>
      <c r="BI652" s="89" t="s">
        <v>646</v>
      </c>
      <c r="BJ652" s="89" t="s">
        <v>646</v>
      </c>
      <c r="BK652" s="89" t="s">
        <v>646</v>
      </c>
      <c r="BL652" s="89">
        <v>89</v>
      </c>
      <c r="BM652" s="89">
        <v>94</v>
      </c>
      <c r="BN652" s="89" t="s">
        <v>646</v>
      </c>
      <c r="BO652" s="89" t="str">
        <f>HYPERLINK("http://dx.doi.org/10.1016/j.eatbeh.2016.12.002","http://dx.doi.org/10.1016/j.eatbeh.2016.12.002")</f>
        <v>http://dx.doi.org/10.1016/j.eatbeh.2016.12.002</v>
      </c>
      <c r="BP652" s="89" t="s">
        <v>646</v>
      </c>
      <c r="BQ652" s="89" t="s">
        <v>646</v>
      </c>
      <c r="BR652" s="89" t="s">
        <v>646</v>
      </c>
      <c r="BS652" s="89" t="s">
        <v>646</v>
      </c>
      <c r="BT652" s="89" t="s">
        <v>646</v>
      </c>
      <c r="BU652" s="89" t="s">
        <v>646</v>
      </c>
      <c r="BV652" s="89" t="s">
        <v>646</v>
      </c>
      <c r="BW652" s="89">
        <v>28063326</v>
      </c>
      <c r="BX652" s="89" t="s">
        <v>646</v>
      </c>
      <c r="BY652" s="89" t="s">
        <v>646</v>
      </c>
      <c r="BZ652" s="89" t="s">
        <v>646</v>
      </c>
      <c r="CA652" s="89" t="s">
        <v>646</v>
      </c>
      <c r="CB652" s="89" t="s">
        <v>22805</v>
      </c>
      <c r="CC652" s="89" t="str">
        <f>HYPERLINK("https%3A%2F%2Fwww.webofscience.com%2Fwos%2Fwoscc%2Ffull-record%2FWOS:000393245800015","View Full Record in Web of Science")</f>
        <v>View Full Record in Web of Science</v>
      </c>
    </row>
    <row r="653" spans="1:81" ht="13.2" hidden="1" x14ac:dyDescent="0.25">
      <c r="A653" s="89" t="s">
        <v>22806</v>
      </c>
      <c r="B653" s="89" t="e">
        <f>+#REF!</f>
        <v>#REF!</v>
      </c>
      <c r="C653" s="89"/>
      <c r="D653" s="91" t="s">
        <v>717</v>
      </c>
      <c r="E653" s="90" t="e">
        <v>#REF!</v>
      </c>
      <c r="F653" s="89"/>
      <c r="G653" s="89"/>
      <c r="H653" s="89" t="s">
        <v>646</v>
      </c>
      <c r="I653" s="89" t="s">
        <v>22807</v>
      </c>
      <c r="J653" s="89" t="s">
        <v>22809</v>
      </c>
      <c r="K653" s="89" t="s">
        <v>22808</v>
      </c>
      <c r="M653" s="89">
        <v>2019</v>
      </c>
      <c r="N653" s="89" t="s">
        <v>22204</v>
      </c>
      <c r="O653" s="89" t="s">
        <v>22202</v>
      </c>
      <c r="P653" s="89" t="s">
        <v>646</v>
      </c>
      <c r="S653" s="89" t="s">
        <v>646</v>
      </c>
      <c r="U653" s="89" t="s">
        <v>17474</v>
      </c>
      <c r="W653" s="89" t="s">
        <v>646</v>
      </c>
      <c r="X653" s="89" t="s">
        <v>646</v>
      </c>
      <c r="Y653" s="89" t="s">
        <v>22205</v>
      </c>
      <c r="Z653" s="89" t="s">
        <v>22206</v>
      </c>
      <c r="AA653" s="89" t="s">
        <v>22207</v>
      </c>
      <c r="AB653" s="89" t="s">
        <v>22208</v>
      </c>
      <c r="AC653" s="89" t="s">
        <v>646</v>
      </c>
      <c r="AD653" s="89" t="s">
        <v>646</v>
      </c>
      <c r="AE653" s="89" t="s">
        <v>646</v>
      </c>
      <c r="AF653" s="89" t="s">
        <v>22808</v>
      </c>
      <c r="AG653" s="89" t="s">
        <v>646</v>
      </c>
      <c r="AH653" s="89" t="s">
        <v>646</v>
      </c>
      <c r="AI653" s="89" t="s">
        <v>646</v>
      </c>
      <c r="AJ653" s="89" t="s">
        <v>646</v>
      </c>
      <c r="AK653" s="89" t="s">
        <v>22809</v>
      </c>
      <c r="AL653" s="89" t="s">
        <v>646</v>
      </c>
      <c r="AM653" s="89" t="s">
        <v>646</v>
      </c>
      <c r="AN653" s="89" t="s">
        <v>646</v>
      </c>
      <c r="AO653" s="89" t="s">
        <v>646</v>
      </c>
      <c r="AP653" s="89" t="s">
        <v>646</v>
      </c>
      <c r="AQ653" s="89" t="s">
        <v>646</v>
      </c>
      <c r="AR653" s="89" t="s">
        <v>646</v>
      </c>
      <c r="AS653" s="89" t="s">
        <v>646</v>
      </c>
      <c r="AT653" s="89" t="s">
        <v>646</v>
      </c>
      <c r="AU653" s="89" t="s">
        <v>646</v>
      </c>
      <c r="AV653" s="89" t="s">
        <v>646</v>
      </c>
      <c r="AW653" s="89" t="s">
        <v>646</v>
      </c>
      <c r="AX653" s="89" t="s">
        <v>646</v>
      </c>
      <c r="AY653" s="89" t="s">
        <v>646</v>
      </c>
      <c r="AZ653" s="89" t="s">
        <v>646</v>
      </c>
      <c r="BA653" s="89" t="s">
        <v>22210</v>
      </c>
      <c r="BB653" s="89" t="s">
        <v>646</v>
      </c>
      <c r="BC653" s="89" t="s">
        <v>646</v>
      </c>
      <c r="BD653" s="89" t="s">
        <v>646</v>
      </c>
      <c r="BE653" s="89">
        <v>2019</v>
      </c>
      <c r="BF653" s="89" t="s">
        <v>646</v>
      </c>
      <c r="BG653" s="89" t="s">
        <v>646</v>
      </c>
      <c r="BH653" s="89" t="s">
        <v>646</v>
      </c>
      <c r="BI653" s="89" t="s">
        <v>646</v>
      </c>
      <c r="BJ653" s="89" t="s">
        <v>646</v>
      </c>
      <c r="BK653" s="89" t="s">
        <v>646</v>
      </c>
      <c r="BL653" s="89">
        <v>1408</v>
      </c>
      <c r="BM653" s="89">
        <v>1414</v>
      </c>
      <c r="BN653" s="89" t="s">
        <v>646</v>
      </c>
      <c r="BO653" s="89" t="s">
        <v>646</v>
      </c>
      <c r="BP653" s="89" t="s">
        <v>646</v>
      </c>
      <c r="BQ653" s="89" t="s">
        <v>646</v>
      </c>
      <c r="BR653" s="89" t="s">
        <v>646</v>
      </c>
      <c r="BS653" s="89" t="s">
        <v>646</v>
      </c>
      <c r="BT653" s="89" t="s">
        <v>646</v>
      </c>
      <c r="BU653" s="89" t="s">
        <v>646</v>
      </c>
      <c r="BV653" s="89" t="s">
        <v>646</v>
      </c>
      <c r="BW653" s="89" t="s">
        <v>646</v>
      </c>
      <c r="BX653" s="89" t="s">
        <v>646</v>
      </c>
      <c r="BY653" s="89" t="s">
        <v>646</v>
      </c>
      <c r="BZ653" s="89" t="s">
        <v>646</v>
      </c>
      <c r="CA653" s="89" t="s">
        <v>646</v>
      </c>
      <c r="CB653" s="89" t="s">
        <v>22810</v>
      </c>
      <c r="CC653" s="89" t="str">
        <f>HYPERLINK("https%3A%2F%2Fwww.webofscience.com%2Fwos%2Fwoscc%2Ffull-record%2FWOS:000761735101074","View Full Record in Web of Science")</f>
        <v>View Full Record in Web of Science</v>
      </c>
    </row>
    <row r="654" spans="1:81" ht="13.2" hidden="1" x14ac:dyDescent="0.25">
      <c r="A654" s="89" t="s">
        <v>22811</v>
      </c>
      <c r="B654" s="89" t="e">
        <f>+#REF!</f>
        <v>#REF!</v>
      </c>
      <c r="C654" s="89"/>
      <c r="D654" s="91" t="s">
        <v>717</v>
      </c>
      <c r="E654" s="90" t="e">
        <v>#REF!</v>
      </c>
      <c r="F654" s="89"/>
      <c r="G654" s="89"/>
      <c r="H654" s="89" t="s">
        <v>646</v>
      </c>
      <c r="I654" s="89" t="s">
        <v>22812</v>
      </c>
      <c r="J654" s="89" t="s">
        <v>646</v>
      </c>
      <c r="K654" s="89" t="s">
        <v>22817</v>
      </c>
      <c r="M654" s="89">
        <v>2016</v>
      </c>
      <c r="N654" s="89" t="s">
        <v>22813</v>
      </c>
      <c r="O654" s="89" t="s">
        <v>646</v>
      </c>
      <c r="P654" s="89" t="s">
        <v>646</v>
      </c>
      <c r="S654" s="89" t="s">
        <v>17475</v>
      </c>
      <c r="U654" s="89" t="s">
        <v>17474</v>
      </c>
      <c r="W654" s="89" t="s">
        <v>646</v>
      </c>
      <c r="X654" s="89" t="s">
        <v>646</v>
      </c>
      <c r="Y654" s="89" t="s">
        <v>22814</v>
      </c>
      <c r="Z654" s="89" t="s">
        <v>22815</v>
      </c>
      <c r="AA654" s="89" t="s">
        <v>20079</v>
      </c>
      <c r="AB654" s="89" t="s">
        <v>22816</v>
      </c>
      <c r="AC654" s="89" t="s">
        <v>646</v>
      </c>
      <c r="AD654" s="89" t="s">
        <v>646</v>
      </c>
      <c r="AE654" s="89" t="s">
        <v>646</v>
      </c>
      <c r="AF654" s="89" t="s">
        <v>22817</v>
      </c>
      <c r="AG654" s="89" t="s">
        <v>646</v>
      </c>
      <c r="AH654" s="89" t="s">
        <v>646</v>
      </c>
      <c r="AI654" s="89" t="s">
        <v>646</v>
      </c>
      <c r="AJ654" s="89" t="s">
        <v>646</v>
      </c>
      <c r="AK654" s="89" t="s">
        <v>646</v>
      </c>
      <c r="AL654" s="89" t="s">
        <v>646</v>
      </c>
      <c r="AM654" s="89" t="s">
        <v>646</v>
      </c>
      <c r="AN654" s="89" t="s">
        <v>646</v>
      </c>
      <c r="AO654" s="89" t="s">
        <v>646</v>
      </c>
      <c r="AP654" s="89" t="s">
        <v>646</v>
      </c>
      <c r="AQ654" s="89" t="s">
        <v>646</v>
      </c>
      <c r="AR654" s="89" t="s">
        <v>646</v>
      </c>
      <c r="AS654" s="89" t="s">
        <v>646</v>
      </c>
      <c r="AT654" s="89" t="s">
        <v>646</v>
      </c>
      <c r="AU654" s="89" t="s">
        <v>646</v>
      </c>
      <c r="AV654" s="89" t="s">
        <v>646</v>
      </c>
      <c r="AW654" s="89" t="s">
        <v>646</v>
      </c>
      <c r="AX654" s="89" t="s">
        <v>646</v>
      </c>
      <c r="AY654" s="89" t="s">
        <v>22818</v>
      </c>
      <c r="AZ654" s="89" t="s">
        <v>646</v>
      </c>
      <c r="BA654" s="89" t="s">
        <v>22819</v>
      </c>
      <c r="BB654" s="89" t="s">
        <v>646</v>
      </c>
      <c r="BC654" s="89" t="s">
        <v>646</v>
      </c>
      <c r="BD654" s="89" t="s">
        <v>646</v>
      </c>
      <c r="BE654" s="89">
        <v>2016</v>
      </c>
      <c r="BF654" s="89" t="s">
        <v>646</v>
      </c>
      <c r="BG654" s="89" t="s">
        <v>646</v>
      </c>
      <c r="BH654" s="89" t="s">
        <v>646</v>
      </c>
      <c r="BI654" s="89" t="s">
        <v>646</v>
      </c>
      <c r="BJ654" s="89" t="s">
        <v>646</v>
      </c>
      <c r="BK654" s="89" t="s">
        <v>646</v>
      </c>
      <c r="BL654" s="89">
        <v>64</v>
      </c>
      <c r="BM654" s="89">
        <v>76</v>
      </c>
      <c r="BN654" s="89" t="s">
        <v>646</v>
      </c>
      <c r="BO654" s="89" t="s">
        <v>646</v>
      </c>
      <c r="BP654" s="89" t="s">
        <v>646</v>
      </c>
      <c r="BQ654" s="89" t="s">
        <v>646</v>
      </c>
      <c r="BR654" s="89" t="s">
        <v>646</v>
      </c>
      <c r="BS654" s="89" t="s">
        <v>646</v>
      </c>
      <c r="BT654" s="89" t="s">
        <v>646</v>
      </c>
      <c r="BU654" s="89" t="s">
        <v>646</v>
      </c>
      <c r="BV654" s="89" t="s">
        <v>646</v>
      </c>
      <c r="BW654" s="89" t="s">
        <v>646</v>
      </c>
      <c r="BX654" s="89" t="s">
        <v>646</v>
      </c>
      <c r="BY654" s="89" t="s">
        <v>646</v>
      </c>
      <c r="BZ654" s="89" t="s">
        <v>646</v>
      </c>
      <c r="CA654" s="89" t="s">
        <v>646</v>
      </c>
      <c r="CB654" s="89" t="s">
        <v>22820</v>
      </c>
      <c r="CC654" s="89" t="str">
        <f>HYPERLINK("https%3A%2F%2Fwww.webofscience.com%2Fwos%2Fwoscc%2Ffull-record%2FWOS:000381808200006","View Full Record in Web of Science")</f>
        <v>View Full Record in Web of Science</v>
      </c>
    </row>
    <row r="655" spans="1:81" ht="13.2" hidden="1" x14ac:dyDescent="0.25">
      <c r="A655" s="89" t="s">
        <v>22821</v>
      </c>
      <c r="B655" s="89" t="e">
        <f>+#REF!</f>
        <v>#REF!</v>
      </c>
      <c r="C655" s="89"/>
      <c r="D655" s="91" t="s">
        <v>717</v>
      </c>
      <c r="E655" s="90" t="e">
        <v>#REF!</v>
      </c>
      <c r="F655" s="89"/>
      <c r="G655" s="89"/>
      <c r="H655" s="89" t="s">
        <v>9921</v>
      </c>
      <c r="I655" s="89" t="s">
        <v>22822</v>
      </c>
      <c r="J655" s="89" t="s">
        <v>646</v>
      </c>
      <c r="K655" s="89" t="s">
        <v>22823</v>
      </c>
      <c r="M655" s="89">
        <v>2022</v>
      </c>
      <c r="N655" s="89" t="s">
        <v>18423</v>
      </c>
      <c r="O655" s="89" t="s">
        <v>646</v>
      </c>
      <c r="P655" s="89" t="str">
        <f>HYPERLINK("http://dx.doi.org/10.1109/ACCESS.2022.3182393","http://dx.doi.org/10.1109/ACCESS.2022.3182393")</f>
        <v>http://dx.doi.org/10.1109/ACCESS.2022.3182393</v>
      </c>
      <c r="S655" s="89" t="s">
        <v>646</v>
      </c>
      <c r="U655" s="89" t="s">
        <v>17462</v>
      </c>
      <c r="W655" s="89" t="s">
        <v>646</v>
      </c>
      <c r="X655" s="89" t="s">
        <v>646</v>
      </c>
      <c r="Y655" s="89" t="s">
        <v>646</v>
      </c>
      <c r="Z655" s="89" t="s">
        <v>646</v>
      </c>
      <c r="AA655" s="89" t="s">
        <v>646</v>
      </c>
      <c r="AB655" s="89" t="s">
        <v>646</v>
      </c>
      <c r="AC655" s="89" t="s">
        <v>646</v>
      </c>
      <c r="AD655" s="89" t="s">
        <v>646</v>
      </c>
      <c r="AE655" s="89" t="s">
        <v>646</v>
      </c>
      <c r="AF655" s="89" t="s">
        <v>22823</v>
      </c>
      <c r="AG655" s="89" t="s">
        <v>646</v>
      </c>
      <c r="AH655" s="89" t="s">
        <v>646</v>
      </c>
      <c r="AI655" s="89" t="s">
        <v>646</v>
      </c>
      <c r="AJ655" s="89" t="s">
        <v>646</v>
      </c>
      <c r="AK655" s="89" t="s">
        <v>646</v>
      </c>
      <c r="AL655" s="89" t="s">
        <v>22824</v>
      </c>
      <c r="AM655" s="89" t="s">
        <v>646</v>
      </c>
      <c r="AN655" s="89" t="s">
        <v>646</v>
      </c>
      <c r="AO655" s="89" t="s">
        <v>646</v>
      </c>
      <c r="AP655" s="89" t="s">
        <v>646</v>
      </c>
      <c r="AQ655" s="89" t="s">
        <v>646</v>
      </c>
      <c r="AR655" s="89" t="s">
        <v>646</v>
      </c>
      <c r="AS655" s="89" t="s">
        <v>646</v>
      </c>
      <c r="AT655" s="89" t="s">
        <v>646</v>
      </c>
      <c r="AU655" s="89" t="s">
        <v>646</v>
      </c>
      <c r="AV655" s="89" t="s">
        <v>646</v>
      </c>
      <c r="AW655" s="89" t="s">
        <v>646</v>
      </c>
      <c r="AX655" s="89" t="s">
        <v>646</v>
      </c>
      <c r="AY655" s="89" t="s">
        <v>18427</v>
      </c>
      <c r="AZ655" s="89" t="s">
        <v>646</v>
      </c>
      <c r="BA655" s="89" t="s">
        <v>646</v>
      </c>
      <c r="BB655" s="89" t="s">
        <v>646</v>
      </c>
      <c r="BC655" s="89" t="s">
        <v>646</v>
      </c>
      <c r="BD655" s="89" t="s">
        <v>646</v>
      </c>
      <c r="BE655" s="89">
        <v>2022</v>
      </c>
      <c r="BF655" s="89">
        <v>10</v>
      </c>
      <c r="BG655" s="89" t="s">
        <v>646</v>
      </c>
      <c r="BH655" s="89" t="s">
        <v>646</v>
      </c>
      <c r="BI655" s="89" t="s">
        <v>646</v>
      </c>
      <c r="BJ655" s="89" t="s">
        <v>646</v>
      </c>
      <c r="BK655" s="89" t="s">
        <v>646</v>
      </c>
      <c r="BL655" s="89">
        <v>63199</v>
      </c>
      <c r="BM655" s="89">
        <v>63229</v>
      </c>
      <c r="BN655" s="89" t="s">
        <v>646</v>
      </c>
      <c r="BO655" s="89" t="str">
        <f>HYPERLINK("http://dx.doi.org/10.1109/ACCESS.2022.3182393","http://dx.doi.org/10.1109/ACCESS.2022.3182393")</f>
        <v>http://dx.doi.org/10.1109/ACCESS.2022.3182393</v>
      </c>
      <c r="BP655" s="89" t="s">
        <v>646</v>
      </c>
      <c r="BQ655" s="89" t="s">
        <v>646</v>
      </c>
      <c r="BR655" s="89" t="s">
        <v>646</v>
      </c>
      <c r="BS655" s="89" t="s">
        <v>646</v>
      </c>
      <c r="BT655" s="89" t="s">
        <v>646</v>
      </c>
      <c r="BU655" s="89" t="s">
        <v>646</v>
      </c>
      <c r="BV655" s="89" t="s">
        <v>646</v>
      </c>
      <c r="BW655" s="89" t="s">
        <v>646</v>
      </c>
      <c r="BX655" s="89" t="s">
        <v>646</v>
      </c>
      <c r="BY655" s="89" t="s">
        <v>646</v>
      </c>
      <c r="BZ655" s="89" t="s">
        <v>646</v>
      </c>
      <c r="CA655" s="89" t="s">
        <v>646</v>
      </c>
      <c r="CB655" s="89" t="s">
        <v>22825</v>
      </c>
      <c r="CC655" s="89" t="str">
        <f>HYPERLINK("https%3A%2F%2Fwww.webofscience.com%2Fwos%2Fwoscc%2Ffull-record%2FWOS:000814540000001","View Full Record in Web of Science")</f>
        <v>View Full Record in Web of Science</v>
      </c>
    </row>
    <row r="656" spans="1:81" ht="13.2" hidden="1" x14ac:dyDescent="0.25">
      <c r="A656" s="89" t="s">
        <v>22826</v>
      </c>
      <c r="B656" s="89" t="e">
        <f>+#REF!</f>
        <v>#REF!</v>
      </c>
      <c r="C656" s="89"/>
      <c r="D656" s="91" t="s">
        <v>717</v>
      </c>
      <c r="E656" s="90" t="e">
        <v>#REF!</v>
      </c>
      <c r="F656" s="89"/>
      <c r="G656" s="89"/>
      <c r="H656" s="89" t="s">
        <v>646</v>
      </c>
      <c r="I656" s="89" t="s">
        <v>22828</v>
      </c>
      <c r="J656" s="89" t="s">
        <v>19018</v>
      </c>
      <c r="K656" s="89" t="s">
        <v>22833</v>
      </c>
      <c r="M656" s="89">
        <v>2010</v>
      </c>
      <c r="N656" s="89" t="s">
        <v>22829</v>
      </c>
      <c r="O656" s="89" t="s">
        <v>22827</v>
      </c>
      <c r="P656" s="89" t="s">
        <v>646</v>
      </c>
      <c r="S656" s="89" t="s">
        <v>646</v>
      </c>
      <c r="U656" s="89" t="s">
        <v>17474</v>
      </c>
      <c r="W656" s="89" t="s">
        <v>646</v>
      </c>
      <c r="X656" s="89" t="s">
        <v>646</v>
      </c>
      <c r="Y656" s="89" t="s">
        <v>22830</v>
      </c>
      <c r="Z656" s="89" t="s">
        <v>22831</v>
      </c>
      <c r="AA656" s="89" t="s">
        <v>22832</v>
      </c>
      <c r="AB656" s="89" t="s">
        <v>646</v>
      </c>
      <c r="AC656" s="89" t="s">
        <v>646</v>
      </c>
      <c r="AD656" s="89" t="s">
        <v>646</v>
      </c>
      <c r="AE656" s="89" t="s">
        <v>646</v>
      </c>
      <c r="AF656" s="89" t="s">
        <v>22833</v>
      </c>
      <c r="AG656" s="89" t="s">
        <v>646</v>
      </c>
      <c r="AH656" s="89" t="s">
        <v>646</v>
      </c>
      <c r="AI656" s="89" t="s">
        <v>646</v>
      </c>
      <c r="AJ656" s="89" t="s">
        <v>646</v>
      </c>
      <c r="AK656" s="89" t="s">
        <v>19018</v>
      </c>
      <c r="AL656" s="89" t="s">
        <v>19019</v>
      </c>
      <c r="AM656" s="89" t="s">
        <v>646</v>
      </c>
      <c r="AN656" s="89" t="s">
        <v>646</v>
      </c>
      <c r="AO656" s="89" t="s">
        <v>646</v>
      </c>
      <c r="AP656" s="89" t="s">
        <v>646</v>
      </c>
      <c r="AQ656" s="89" t="s">
        <v>646</v>
      </c>
      <c r="AR656" s="89" t="s">
        <v>646</v>
      </c>
      <c r="AS656" s="89" t="s">
        <v>646</v>
      </c>
      <c r="AT656" s="89" t="s">
        <v>646</v>
      </c>
      <c r="AU656" s="89" t="s">
        <v>646</v>
      </c>
      <c r="AV656" s="89" t="s">
        <v>646</v>
      </c>
      <c r="AW656" s="89" t="s">
        <v>646</v>
      </c>
      <c r="AX656" s="89" t="s">
        <v>646</v>
      </c>
      <c r="AY656" s="89" t="s">
        <v>18403</v>
      </c>
      <c r="AZ656" s="89" t="s">
        <v>646</v>
      </c>
      <c r="BA656" s="89" t="s">
        <v>22834</v>
      </c>
      <c r="BB656" s="89" t="s">
        <v>646</v>
      </c>
      <c r="BC656" s="89" t="s">
        <v>646</v>
      </c>
      <c r="BD656" s="89" t="s">
        <v>646</v>
      </c>
      <c r="BE656" s="89">
        <v>2010</v>
      </c>
      <c r="BF656" s="89">
        <v>54</v>
      </c>
      <c r="BG656" s="89" t="s">
        <v>646</v>
      </c>
      <c r="BH656" s="89" t="s">
        <v>646</v>
      </c>
      <c r="BI656" s="89" t="s">
        <v>646</v>
      </c>
      <c r="BJ656" s="89" t="s">
        <v>646</v>
      </c>
      <c r="BK656" s="89" t="s">
        <v>646</v>
      </c>
      <c r="BL656" s="89">
        <v>37</v>
      </c>
      <c r="BM656" s="89">
        <v>53</v>
      </c>
      <c r="BN656" s="89" t="s">
        <v>646</v>
      </c>
      <c r="BO656" s="89" t="s">
        <v>646</v>
      </c>
      <c r="BP656" s="89" t="s">
        <v>646</v>
      </c>
      <c r="BQ656" s="89" t="s">
        <v>646</v>
      </c>
      <c r="BR656" s="89" t="s">
        <v>646</v>
      </c>
      <c r="BS656" s="89" t="s">
        <v>646</v>
      </c>
      <c r="BT656" s="89" t="s">
        <v>646</v>
      </c>
      <c r="BU656" s="89" t="s">
        <v>646</v>
      </c>
      <c r="BV656" s="89" t="s">
        <v>646</v>
      </c>
      <c r="BW656" s="89" t="s">
        <v>646</v>
      </c>
      <c r="BX656" s="89" t="s">
        <v>646</v>
      </c>
      <c r="BY656" s="89" t="s">
        <v>646</v>
      </c>
      <c r="BZ656" s="89" t="s">
        <v>646</v>
      </c>
      <c r="CA656" s="89" t="s">
        <v>646</v>
      </c>
      <c r="CB656" s="89" t="s">
        <v>22835</v>
      </c>
      <c r="CC656" s="89" t="str">
        <f>HYPERLINK("https%3A%2F%2Fwww.webofscience.com%2Fwos%2Fwoscc%2Ffull-record%2FWOS:000282908800005","View Full Record in Web of Science")</f>
        <v>View Full Record in Web of Science</v>
      </c>
    </row>
    <row r="657" spans="1:81" ht="13.2" hidden="1" x14ac:dyDescent="0.25">
      <c r="A657" s="89" t="s">
        <v>14054</v>
      </c>
      <c r="B657" s="89" t="e">
        <f>+#REF!</f>
        <v>#REF!</v>
      </c>
      <c r="C657" s="89"/>
      <c r="D657" s="91" t="s">
        <v>717</v>
      </c>
      <c r="E657" s="90" t="e">
        <v>#REF!</v>
      </c>
      <c r="F657" s="89"/>
      <c r="G657" s="89"/>
      <c r="H657" s="89" t="s">
        <v>14055</v>
      </c>
      <c r="I657" s="89" t="s">
        <v>22836</v>
      </c>
      <c r="J657" s="89" t="s">
        <v>646</v>
      </c>
      <c r="K657" s="89" t="s">
        <v>22842</v>
      </c>
      <c r="M657" s="89">
        <v>2005</v>
      </c>
      <c r="N657" s="89" t="s">
        <v>22837</v>
      </c>
      <c r="O657" s="89" t="s">
        <v>646</v>
      </c>
      <c r="P657" s="89" t="str">
        <f>HYPERLINK("http://dx.doi.org/10.1016/j.compind.2005.01.005","http://dx.doi.org/10.1016/j.compind.2005.01.005")</f>
        <v>http://dx.doi.org/10.1016/j.compind.2005.01.005</v>
      </c>
      <c r="S657" s="89" t="s">
        <v>646</v>
      </c>
      <c r="U657" s="89" t="s">
        <v>17462</v>
      </c>
      <c r="W657" s="89" t="s">
        <v>646</v>
      </c>
      <c r="X657" s="89" t="s">
        <v>646</v>
      </c>
      <c r="Y657" s="89" t="s">
        <v>22838</v>
      </c>
      <c r="Z657" s="89" t="s">
        <v>22839</v>
      </c>
      <c r="AA657" s="89" t="s">
        <v>22840</v>
      </c>
      <c r="AB657" s="89" t="s">
        <v>22841</v>
      </c>
      <c r="AC657" s="89" t="s">
        <v>646</v>
      </c>
      <c r="AD657" s="89" t="s">
        <v>646</v>
      </c>
      <c r="AE657" s="89" t="s">
        <v>646</v>
      </c>
      <c r="AF657" s="89" t="s">
        <v>22842</v>
      </c>
      <c r="AG657" s="89" t="s">
        <v>646</v>
      </c>
      <c r="AH657" s="89" t="s">
        <v>646</v>
      </c>
      <c r="AI657" s="89" t="s">
        <v>646</v>
      </c>
      <c r="AJ657" s="89" t="s">
        <v>646</v>
      </c>
      <c r="AK657" s="89" t="s">
        <v>646</v>
      </c>
      <c r="AL657" s="89" t="s">
        <v>646</v>
      </c>
      <c r="AM657" s="89" t="s">
        <v>646</v>
      </c>
      <c r="AN657" s="89" t="s">
        <v>646</v>
      </c>
      <c r="AO657" s="89" t="s">
        <v>646</v>
      </c>
      <c r="AP657" s="89" t="s">
        <v>646</v>
      </c>
      <c r="AQ657" s="89" t="s">
        <v>646</v>
      </c>
      <c r="AR657" s="89" t="s">
        <v>646</v>
      </c>
      <c r="AS657" s="89" t="s">
        <v>646</v>
      </c>
      <c r="AT657" s="89" t="s">
        <v>646</v>
      </c>
      <c r="AU657" s="89" t="s">
        <v>646</v>
      </c>
      <c r="AV657" s="89" t="s">
        <v>646</v>
      </c>
      <c r="AW657" s="89" t="s">
        <v>646</v>
      </c>
      <c r="AX657" s="89" t="s">
        <v>646</v>
      </c>
      <c r="AY657" s="89" t="s">
        <v>22843</v>
      </c>
      <c r="AZ657" s="89" t="s">
        <v>646</v>
      </c>
      <c r="BA657" s="89" t="s">
        <v>646</v>
      </c>
      <c r="BB657" s="89" t="s">
        <v>646</v>
      </c>
      <c r="BC657" s="89" t="s">
        <v>646</v>
      </c>
      <c r="BD657" s="89" t="s">
        <v>18436</v>
      </c>
      <c r="BE657" s="89">
        <v>2005</v>
      </c>
      <c r="BF657" s="89">
        <v>56</v>
      </c>
      <c r="BG657" s="89">
        <v>4</v>
      </c>
      <c r="BH657" s="89" t="s">
        <v>646</v>
      </c>
      <c r="BI657" s="89" t="s">
        <v>646</v>
      </c>
      <c r="BJ657" s="89" t="s">
        <v>646</v>
      </c>
      <c r="BK657" s="89" t="s">
        <v>646</v>
      </c>
      <c r="BL657" s="89">
        <v>384</v>
      </c>
      <c r="BM657" s="89">
        <v>392</v>
      </c>
      <c r="BN657" s="89" t="s">
        <v>646</v>
      </c>
      <c r="BO657" s="89" t="str">
        <f>HYPERLINK("http://dx.doi.org/10.1016/j.compind.2005.01.005","http://dx.doi.org/10.1016/j.compind.2005.01.005")</f>
        <v>http://dx.doi.org/10.1016/j.compind.2005.01.005</v>
      </c>
      <c r="BP657" s="89" t="s">
        <v>646</v>
      </c>
      <c r="BQ657" s="89" t="s">
        <v>646</v>
      </c>
      <c r="BR657" s="89" t="s">
        <v>646</v>
      </c>
      <c r="BS657" s="89" t="s">
        <v>646</v>
      </c>
      <c r="BT657" s="89" t="s">
        <v>646</v>
      </c>
      <c r="BU657" s="89" t="s">
        <v>646</v>
      </c>
      <c r="BV657" s="89" t="s">
        <v>646</v>
      </c>
      <c r="BW657" s="89" t="s">
        <v>646</v>
      </c>
      <c r="BX657" s="89" t="s">
        <v>646</v>
      </c>
      <c r="BY657" s="89" t="s">
        <v>646</v>
      </c>
      <c r="BZ657" s="89" t="s">
        <v>646</v>
      </c>
      <c r="CA657" s="89" t="s">
        <v>646</v>
      </c>
      <c r="CB657" s="89" t="s">
        <v>22844</v>
      </c>
      <c r="CC657" s="89" t="str">
        <f>HYPERLINK("https%3A%2F%2Fwww.webofscience.com%2Fwos%2Fwoscc%2Ffull-record%2FWOS:000229537900007","View Full Record in Web of Science")</f>
        <v>View Full Record in Web of Science</v>
      </c>
    </row>
    <row r="658" spans="1:81" ht="13.2" hidden="1" x14ac:dyDescent="0.25">
      <c r="A658" s="89" t="s">
        <v>9929</v>
      </c>
      <c r="B658" s="89" t="e">
        <f>+#REF!</f>
        <v>#REF!</v>
      </c>
      <c r="C658" s="89"/>
      <c r="D658" s="91" t="s">
        <v>717</v>
      </c>
      <c r="E658" s="90" t="e">
        <v>#REF!</v>
      </c>
      <c r="F658" s="89"/>
      <c r="G658" s="89"/>
      <c r="H658" s="89" t="s">
        <v>9930</v>
      </c>
      <c r="I658" s="89" t="s">
        <v>22845</v>
      </c>
      <c r="J658" s="89" t="s">
        <v>646</v>
      </c>
      <c r="K658" s="89" t="s">
        <v>22847</v>
      </c>
      <c r="M658" s="89">
        <v>2021</v>
      </c>
      <c r="N658" s="89" t="s">
        <v>22846</v>
      </c>
      <c r="O658" s="89" t="s">
        <v>646</v>
      </c>
      <c r="P658" s="89" t="str">
        <f>HYPERLINK("http://dx.doi.org/10.1002/jclp.23142","http://dx.doi.org/10.1002/jclp.23142")</f>
        <v>http://dx.doi.org/10.1002/jclp.23142</v>
      </c>
      <c r="S658" s="89" t="s">
        <v>646</v>
      </c>
      <c r="U658" s="89" t="s">
        <v>17462</v>
      </c>
      <c r="W658" s="89" t="s">
        <v>646</v>
      </c>
      <c r="X658" s="89" t="s">
        <v>646</v>
      </c>
      <c r="Y658" s="89" t="s">
        <v>646</v>
      </c>
      <c r="Z658" s="89" t="s">
        <v>646</v>
      </c>
      <c r="AA658" s="89" t="s">
        <v>646</v>
      </c>
      <c r="AB658" s="89" t="s">
        <v>646</v>
      </c>
      <c r="AC658" s="89" t="s">
        <v>646</v>
      </c>
      <c r="AD658" s="89" t="s">
        <v>646</v>
      </c>
      <c r="AE658" s="89" t="s">
        <v>646</v>
      </c>
      <c r="AF658" s="89" t="s">
        <v>22847</v>
      </c>
      <c r="AG658" s="89" t="s">
        <v>646</v>
      </c>
      <c r="AH658" s="89" t="s">
        <v>646</v>
      </c>
      <c r="AI658" s="89" t="s">
        <v>646</v>
      </c>
      <c r="AJ658" s="89" t="s">
        <v>646</v>
      </c>
      <c r="AK658" s="89" t="s">
        <v>646</v>
      </c>
      <c r="AL658" s="89" t="s">
        <v>22848</v>
      </c>
      <c r="AM658" s="89" t="s">
        <v>646</v>
      </c>
      <c r="AN658" s="89" t="s">
        <v>646</v>
      </c>
      <c r="AO658" s="89" t="s">
        <v>646</v>
      </c>
      <c r="AP658" s="89" t="s">
        <v>646</v>
      </c>
      <c r="AQ658" s="89" t="s">
        <v>646</v>
      </c>
      <c r="AR658" s="89" t="s">
        <v>646</v>
      </c>
      <c r="AS658" s="89" t="s">
        <v>646</v>
      </c>
      <c r="AT658" s="89" t="s">
        <v>646</v>
      </c>
      <c r="AU658" s="89" t="s">
        <v>646</v>
      </c>
      <c r="AV658" s="89" t="s">
        <v>646</v>
      </c>
      <c r="AW658" s="89" t="s">
        <v>646</v>
      </c>
      <c r="AX658" s="89" t="s">
        <v>646</v>
      </c>
      <c r="AY658" s="89" t="s">
        <v>22849</v>
      </c>
      <c r="AZ658" s="89" t="s">
        <v>22850</v>
      </c>
      <c r="BA658" s="89" t="s">
        <v>646</v>
      </c>
      <c r="BB658" s="89" t="s">
        <v>646</v>
      </c>
      <c r="BC658" s="89" t="s">
        <v>646</v>
      </c>
      <c r="BD658" s="89" t="s">
        <v>17739</v>
      </c>
      <c r="BE658" s="89">
        <v>2021</v>
      </c>
      <c r="BF658" s="89">
        <v>77</v>
      </c>
      <c r="BG658" s="89">
        <v>9</v>
      </c>
      <c r="BH658" s="89" t="s">
        <v>646</v>
      </c>
      <c r="BI658" s="89" t="s">
        <v>646</v>
      </c>
      <c r="BJ658" s="89" t="s">
        <v>646</v>
      </c>
      <c r="BK658" s="89" t="s">
        <v>646</v>
      </c>
      <c r="BL658" s="89">
        <v>2057</v>
      </c>
      <c r="BM658" s="89">
        <v>2076</v>
      </c>
      <c r="BN658" s="89" t="s">
        <v>646</v>
      </c>
      <c r="BO658" s="89" t="str">
        <f>HYPERLINK("http://dx.doi.org/10.1002/jclp.23142","http://dx.doi.org/10.1002/jclp.23142")</f>
        <v>http://dx.doi.org/10.1002/jclp.23142</v>
      </c>
      <c r="BP658" s="89" t="s">
        <v>646</v>
      </c>
      <c r="BQ658" s="89" t="s">
        <v>19283</v>
      </c>
      <c r="BR658" s="89" t="s">
        <v>646</v>
      </c>
      <c r="BS658" s="89" t="s">
        <v>646</v>
      </c>
      <c r="BT658" s="89" t="s">
        <v>646</v>
      </c>
      <c r="BU658" s="89" t="s">
        <v>646</v>
      </c>
      <c r="BV658" s="89" t="s">
        <v>646</v>
      </c>
      <c r="BW658" s="89">
        <v>33871878</v>
      </c>
      <c r="BX658" s="89" t="s">
        <v>646</v>
      </c>
      <c r="BY658" s="89" t="s">
        <v>646</v>
      </c>
      <c r="BZ658" s="89" t="s">
        <v>646</v>
      </c>
      <c r="CA658" s="89" t="s">
        <v>646</v>
      </c>
      <c r="CB658" s="89" t="s">
        <v>22851</v>
      </c>
      <c r="CC658" s="89" t="str">
        <f>HYPERLINK("https%3A%2F%2Fwww.webofscience.com%2Fwos%2Fwoscc%2Ffull-record%2FWOS:000641075100001","View Full Record in Web of Science")</f>
        <v>View Full Record in Web of Science</v>
      </c>
    </row>
    <row r="659" spans="1:81" ht="13.2" hidden="1" x14ac:dyDescent="0.25">
      <c r="A659" s="89" t="s">
        <v>22852</v>
      </c>
      <c r="B659" s="89" t="e">
        <f>+#REF!</f>
        <v>#REF!</v>
      </c>
      <c r="C659" s="89"/>
      <c r="D659" s="91" t="s">
        <v>717</v>
      </c>
      <c r="E659" s="90" t="e">
        <v>#REF!</v>
      </c>
      <c r="F659" s="89"/>
      <c r="G659" s="89"/>
      <c r="H659" s="89" t="s">
        <v>14065</v>
      </c>
      <c r="I659" s="89" t="s">
        <v>22853</v>
      </c>
      <c r="J659" s="89" t="s">
        <v>22856</v>
      </c>
      <c r="K659" s="89" t="s">
        <v>22855</v>
      </c>
      <c r="M659" s="89">
        <v>2017</v>
      </c>
      <c r="N659" s="89" t="s">
        <v>22854</v>
      </c>
      <c r="O659" s="89" t="s">
        <v>646</v>
      </c>
      <c r="P659" s="89" t="str">
        <f>HYPERLINK("http://dx.doi.org/10.7417/T.2017.2011","http://dx.doi.org/10.7417/T.2017.2011")</f>
        <v>http://dx.doi.org/10.7417/T.2017.2011</v>
      </c>
      <c r="S659" s="89" t="s">
        <v>646</v>
      </c>
      <c r="U659" s="89" t="s">
        <v>17462</v>
      </c>
      <c r="W659" s="89" t="s">
        <v>646</v>
      </c>
      <c r="X659" s="89" t="s">
        <v>646</v>
      </c>
      <c r="Y659" s="89" t="s">
        <v>646</v>
      </c>
      <c r="Z659" s="89" t="s">
        <v>646</v>
      </c>
      <c r="AA659" s="89" t="s">
        <v>646</v>
      </c>
      <c r="AB659" s="89" t="s">
        <v>646</v>
      </c>
      <c r="AC659" s="89" t="s">
        <v>646</v>
      </c>
      <c r="AD659" s="89" t="s">
        <v>646</v>
      </c>
      <c r="AE659" s="89" t="s">
        <v>646</v>
      </c>
      <c r="AF659" s="89" t="s">
        <v>22855</v>
      </c>
      <c r="AG659" s="89" t="s">
        <v>646</v>
      </c>
      <c r="AH659" s="89" t="s">
        <v>646</v>
      </c>
      <c r="AI659" s="89" t="s">
        <v>646</v>
      </c>
      <c r="AJ659" s="89" t="s">
        <v>646</v>
      </c>
      <c r="AK659" s="89" t="s">
        <v>22856</v>
      </c>
      <c r="AL659" s="89" t="s">
        <v>22857</v>
      </c>
      <c r="AM659" s="89" t="s">
        <v>646</v>
      </c>
      <c r="AN659" s="89" t="s">
        <v>646</v>
      </c>
      <c r="AO659" s="89" t="s">
        <v>646</v>
      </c>
      <c r="AP659" s="89" t="s">
        <v>646</v>
      </c>
      <c r="AQ659" s="89" t="s">
        <v>646</v>
      </c>
      <c r="AR659" s="89" t="s">
        <v>646</v>
      </c>
      <c r="AS659" s="89" t="s">
        <v>646</v>
      </c>
      <c r="AT659" s="89" t="s">
        <v>646</v>
      </c>
      <c r="AU659" s="89" t="s">
        <v>646</v>
      </c>
      <c r="AV659" s="89" t="s">
        <v>646</v>
      </c>
      <c r="AW659" s="89" t="s">
        <v>646</v>
      </c>
      <c r="AX659" s="89" t="s">
        <v>646</v>
      </c>
      <c r="AY659" s="89" t="s">
        <v>22858</v>
      </c>
      <c r="AZ659" s="89" t="s">
        <v>22859</v>
      </c>
      <c r="BA659" s="89" t="s">
        <v>646</v>
      </c>
      <c r="BB659" s="89" t="s">
        <v>646</v>
      </c>
      <c r="BC659" s="89" t="s">
        <v>646</v>
      </c>
      <c r="BD659" s="89" t="s">
        <v>22860</v>
      </c>
      <c r="BE659" s="89">
        <v>2017</v>
      </c>
      <c r="BF659" s="89">
        <v>168</v>
      </c>
      <c r="BG659" s="89">
        <v>4</v>
      </c>
      <c r="BH659" s="89" t="s">
        <v>646</v>
      </c>
      <c r="BI659" s="89" t="s">
        <v>646</v>
      </c>
      <c r="BJ659" s="89" t="s">
        <v>646</v>
      </c>
      <c r="BK659" s="89" t="s">
        <v>646</v>
      </c>
      <c r="BL659" s="89" t="s">
        <v>22861</v>
      </c>
      <c r="BM659" s="89" t="s">
        <v>22862</v>
      </c>
      <c r="BN659" s="89" t="s">
        <v>646</v>
      </c>
      <c r="BO659" s="89" t="str">
        <f>HYPERLINK("http://dx.doi.org/10.7417/T.2017.2011","http://dx.doi.org/10.7417/T.2017.2011")</f>
        <v>http://dx.doi.org/10.7417/T.2017.2011</v>
      </c>
      <c r="BP659" s="89" t="s">
        <v>646</v>
      </c>
      <c r="BQ659" s="89" t="s">
        <v>646</v>
      </c>
      <c r="BR659" s="89" t="s">
        <v>646</v>
      </c>
      <c r="BS659" s="89" t="s">
        <v>646</v>
      </c>
      <c r="BT659" s="89" t="s">
        <v>646</v>
      </c>
      <c r="BU659" s="89" t="s">
        <v>646</v>
      </c>
      <c r="BV659" s="89" t="s">
        <v>646</v>
      </c>
      <c r="BW659" s="89">
        <v>28703836</v>
      </c>
      <c r="BX659" s="89" t="s">
        <v>646</v>
      </c>
      <c r="BY659" s="89" t="s">
        <v>646</v>
      </c>
      <c r="BZ659" s="89" t="s">
        <v>646</v>
      </c>
      <c r="CA659" s="89" t="s">
        <v>646</v>
      </c>
      <c r="CB659" s="89" t="s">
        <v>22863</v>
      </c>
      <c r="CC659" s="89" t="str">
        <f>HYPERLINK("https%3A%2F%2Fwww.webofscience.com%2Fwos%2Fwoscc%2Ffull-record%2FWOS:000410938800001","View Full Record in Web of Science")</f>
        <v>View Full Record in Web of Science</v>
      </c>
    </row>
    <row r="660" spans="1:81" ht="13.2" hidden="1" x14ac:dyDescent="0.25">
      <c r="A660" s="89" t="s">
        <v>14074</v>
      </c>
      <c r="B660" s="89" t="e">
        <f>+#REF!</f>
        <v>#REF!</v>
      </c>
      <c r="C660" s="89"/>
      <c r="D660" s="91" t="s">
        <v>717</v>
      </c>
      <c r="E660" s="90" t="e">
        <v>#REF!</v>
      </c>
      <c r="F660" s="89"/>
      <c r="G660" s="89"/>
      <c r="H660" s="89" t="s">
        <v>14075</v>
      </c>
      <c r="I660" s="89" t="s">
        <v>22864</v>
      </c>
      <c r="J660" s="89" t="s">
        <v>22866</v>
      </c>
      <c r="K660" s="89" t="s">
        <v>22865</v>
      </c>
      <c r="M660" s="89">
        <v>2018</v>
      </c>
      <c r="N660" s="89" t="s">
        <v>18595</v>
      </c>
      <c r="O660" s="89" t="s">
        <v>646</v>
      </c>
      <c r="P660" s="89" t="str">
        <f>HYPERLINK("http://dx.doi.org/10.1371/journal.pone.0201770","http://dx.doi.org/10.1371/journal.pone.0201770")</f>
        <v>http://dx.doi.org/10.1371/journal.pone.0201770</v>
      </c>
      <c r="S660" s="89" t="s">
        <v>646</v>
      </c>
      <c r="U660" s="89" t="s">
        <v>17462</v>
      </c>
      <c r="W660" s="89" t="s">
        <v>646</v>
      </c>
      <c r="X660" s="89" t="s">
        <v>646</v>
      </c>
      <c r="Y660" s="89" t="s">
        <v>646</v>
      </c>
      <c r="Z660" s="89" t="s">
        <v>646</v>
      </c>
      <c r="AA660" s="89" t="s">
        <v>646</v>
      </c>
      <c r="AB660" s="89" t="s">
        <v>646</v>
      </c>
      <c r="AC660" s="89" t="s">
        <v>646</v>
      </c>
      <c r="AD660" s="89" t="s">
        <v>646</v>
      </c>
      <c r="AE660" s="89" t="s">
        <v>646</v>
      </c>
      <c r="AF660" s="89" t="s">
        <v>22865</v>
      </c>
      <c r="AG660" s="89" t="s">
        <v>646</v>
      </c>
      <c r="AH660" s="89" t="s">
        <v>646</v>
      </c>
      <c r="AI660" s="89" t="s">
        <v>646</v>
      </c>
      <c r="AJ660" s="89" t="s">
        <v>646</v>
      </c>
      <c r="AK660" s="89" t="s">
        <v>22866</v>
      </c>
      <c r="AL660" s="89" t="s">
        <v>22867</v>
      </c>
      <c r="AM660" s="89" t="s">
        <v>646</v>
      </c>
      <c r="AN660" s="89" t="s">
        <v>646</v>
      </c>
      <c r="AO660" s="89" t="s">
        <v>646</v>
      </c>
      <c r="AP660" s="89" t="s">
        <v>646</v>
      </c>
      <c r="AQ660" s="89" t="s">
        <v>646</v>
      </c>
      <c r="AR660" s="89" t="s">
        <v>646</v>
      </c>
      <c r="AS660" s="89" t="s">
        <v>646</v>
      </c>
      <c r="AT660" s="89" t="s">
        <v>646</v>
      </c>
      <c r="AU660" s="89" t="s">
        <v>646</v>
      </c>
      <c r="AV660" s="89" t="s">
        <v>646</v>
      </c>
      <c r="AW660" s="89" t="s">
        <v>646</v>
      </c>
      <c r="AX660" s="89" t="s">
        <v>646</v>
      </c>
      <c r="AY660" s="89" t="s">
        <v>18599</v>
      </c>
      <c r="AZ660" s="89" t="s">
        <v>646</v>
      </c>
      <c r="BA660" s="89" t="s">
        <v>646</v>
      </c>
      <c r="BB660" s="89" t="s">
        <v>646</v>
      </c>
      <c r="BC660" s="89" t="s">
        <v>646</v>
      </c>
      <c r="BD660" s="89" t="s">
        <v>22868</v>
      </c>
      <c r="BE660" s="89">
        <v>2018</v>
      </c>
      <c r="BF660" s="89">
        <v>13</v>
      </c>
      <c r="BG660" s="89">
        <v>8</v>
      </c>
      <c r="BH660" s="89" t="s">
        <v>646</v>
      </c>
      <c r="BI660" s="89" t="s">
        <v>646</v>
      </c>
      <c r="BJ660" s="89" t="s">
        <v>646</v>
      </c>
      <c r="BK660" s="89" t="s">
        <v>646</v>
      </c>
      <c r="BL660" s="89" t="s">
        <v>646</v>
      </c>
      <c r="BM660" s="89" t="s">
        <v>646</v>
      </c>
      <c r="BN660" s="89" t="s">
        <v>22869</v>
      </c>
      <c r="BO660" s="89" t="str">
        <f>HYPERLINK("http://dx.doi.org/10.1371/journal.pone.0201770","http://dx.doi.org/10.1371/journal.pone.0201770")</f>
        <v>http://dx.doi.org/10.1371/journal.pone.0201770</v>
      </c>
      <c r="BP660" s="89" t="s">
        <v>646</v>
      </c>
      <c r="BQ660" s="89" t="s">
        <v>646</v>
      </c>
      <c r="BR660" s="89" t="s">
        <v>646</v>
      </c>
      <c r="BS660" s="89" t="s">
        <v>646</v>
      </c>
      <c r="BT660" s="89" t="s">
        <v>646</v>
      </c>
      <c r="BU660" s="89" t="s">
        <v>646</v>
      </c>
      <c r="BV660" s="89" t="s">
        <v>646</v>
      </c>
      <c r="BW660" s="89">
        <v>30106973</v>
      </c>
      <c r="BX660" s="89" t="s">
        <v>646</v>
      </c>
      <c r="BY660" s="89" t="s">
        <v>646</v>
      </c>
      <c r="BZ660" s="89" t="s">
        <v>646</v>
      </c>
      <c r="CA660" s="89" t="s">
        <v>646</v>
      </c>
      <c r="CB660" s="89" t="s">
        <v>22870</v>
      </c>
      <c r="CC660" s="89" t="str">
        <f>HYPERLINK("https%3A%2F%2Fwww.webofscience.com%2Fwos%2Fwoscc%2Ffull-record%2FWOS:000441662800014","View Full Record in Web of Science")</f>
        <v>View Full Record in Web of Science</v>
      </c>
    </row>
    <row r="661" spans="1:81" ht="13.2" hidden="1" x14ac:dyDescent="0.25">
      <c r="A661" s="89" t="s">
        <v>16532</v>
      </c>
      <c r="B661" s="89" t="e">
        <f>+#REF!</f>
        <v>#REF!</v>
      </c>
      <c r="C661" s="89"/>
      <c r="D661" s="91" t="s">
        <v>717</v>
      </c>
      <c r="E661" s="90" t="e">
        <v>#REF!</v>
      </c>
      <c r="F661" s="89"/>
      <c r="G661" s="89"/>
      <c r="H661" s="89" t="s">
        <v>16533</v>
      </c>
      <c r="I661" s="89" t="s">
        <v>22871</v>
      </c>
      <c r="J661" s="89" t="s">
        <v>22874</v>
      </c>
      <c r="K661" s="89" t="s">
        <v>22873</v>
      </c>
      <c r="M661" s="89">
        <v>2022</v>
      </c>
      <c r="N661" s="89" t="s">
        <v>22872</v>
      </c>
      <c r="O661" s="89" t="s">
        <v>646</v>
      </c>
      <c r="P661" s="89" t="str">
        <f>HYPERLINK("http://dx.doi.org/10.1080/0144929X.2020.1851770","http://dx.doi.org/10.1080/0144929X.2020.1851770")</f>
        <v>http://dx.doi.org/10.1080/0144929X.2020.1851770</v>
      </c>
      <c r="S661" s="89" t="s">
        <v>646</v>
      </c>
      <c r="U661" s="89" t="s">
        <v>17462</v>
      </c>
      <c r="W661" s="89" t="s">
        <v>646</v>
      </c>
      <c r="X661" s="89" t="s">
        <v>646</v>
      </c>
      <c r="Y661" s="89" t="s">
        <v>646</v>
      </c>
      <c r="Z661" s="89" t="s">
        <v>646</v>
      </c>
      <c r="AA661" s="89" t="s">
        <v>646</v>
      </c>
      <c r="AB661" s="89" t="s">
        <v>646</v>
      </c>
      <c r="AC661" s="89" t="s">
        <v>646</v>
      </c>
      <c r="AD661" s="89" t="s">
        <v>646</v>
      </c>
      <c r="AE661" s="89" t="s">
        <v>646</v>
      </c>
      <c r="AF661" s="89" t="s">
        <v>22873</v>
      </c>
      <c r="AG661" s="89" t="s">
        <v>646</v>
      </c>
      <c r="AH661" s="89" t="s">
        <v>646</v>
      </c>
      <c r="AI661" s="89" t="s">
        <v>646</v>
      </c>
      <c r="AJ661" s="89" t="s">
        <v>646</v>
      </c>
      <c r="AK661" s="89" t="s">
        <v>22874</v>
      </c>
      <c r="AL661" s="89" t="s">
        <v>22875</v>
      </c>
      <c r="AM661" s="89" t="s">
        <v>646</v>
      </c>
      <c r="AN661" s="89" t="s">
        <v>646</v>
      </c>
      <c r="AO661" s="89" t="s">
        <v>646</v>
      </c>
      <c r="AP661" s="89" t="s">
        <v>646</v>
      </c>
      <c r="AQ661" s="89" t="s">
        <v>646</v>
      </c>
      <c r="AR661" s="89" t="s">
        <v>646</v>
      </c>
      <c r="AS661" s="89" t="s">
        <v>646</v>
      </c>
      <c r="AT661" s="89" t="s">
        <v>646</v>
      </c>
      <c r="AU661" s="89" t="s">
        <v>646</v>
      </c>
      <c r="AV661" s="89" t="s">
        <v>646</v>
      </c>
      <c r="AW661" s="89" t="s">
        <v>646</v>
      </c>
      <c r="AX661" s="89" t="s">
        <v>646</v>
      </c>
      <c r="AY661" s="89" t="s">
        <v>22876</v>
      </c>
      <c r="AZ661" s="89" t="s">
        <v>22877</v>
      </c>
      <c r="BA661" s="89" t="s">
        <v>646</v>
      </c>
      <c r="BB661" s="89" t="s">
        <v>646</v>
      </c>
      <c r="BC661" s="89" t="s">
        <v>646</v>
      </c>
      <c r="BD661" s="89" t="s">
        <v>21545</v>
      </c>
      <c r="BE661" s="89">
        <v>2022</v>
      </c>
      <c r="BF661" s="89">
        <v>41</v>
      </c>
      <c r="BG661" s="89">
        <v>5</v>
      </c>
      <c r="BH661" s="89" t="s">
        <v>646</v>
      </c>
      <c r="BI661" s="89" t="s">
        <v>646</v>
      </c>
      <c r="BJ661" s="89" t="s">
        <v>646</v>
      </c>
      <c r="BK661" s="89" t="s">
        <v>646</v>
      </c>
      <c r="BL661" s="89">
        <v>1065</v>
      </c>
      <c r="BM661" s="89">
        <v>1079</v>
      </c>
      <c r="BN661" s="89" t="s">
        <v>646</v>
      </c>
      <c r="BO661" s="89" t="str">
        <f>HYPERLINK("http://dx.doi.org/10.1080/0144929X.2020.1851770","http://dx.doi.org/10.1080/0144929X.2020.1851770")</f>
        <v>http://dx.doi.org/10.1080/0144929X.2020.1851770</v>
      </c>
      <c r="BP661" s="89" t="s">
        <v>646</v>
      </c>
      <c r="BQ661" s="89" t="s">
        <v>19180</v>
      </c>
      <c r="BR661" s="89" t="s">
        <v>646</v>
      </c>
      <c r="BS661" s="89" t="s">
        <v>646</v>
      </c>
      <c r="BT661" s="89" t="s">
        <v>646</v>
      </c>
      <c r="BU661" s="89" t="s">
        <v>646</v>
      </c>
      <c r="BV661" s="89" t="s">
        <v>646</v>
      </c>
      <c r="BW661" s="89" t="s">
        <v>646</v>
      </c>
      <c r="BX661" s="89" t="s">
        <v>646</v>
      </c>
      <c r="BY661" s="89" t="s">
        <v>646</v>
      </c>
      <c r="BZ661" s="89" t="s">
        <v>646</v>
      </c>
      <c r="CA661" s="89" t="s">
        <v>646</v>
      </c>
      <c r="CB661" s="89" t="s">
        <v>22878</v>
      </c>
      <c r="CC661" s="89" t="str">
        <f>HYPERLINK("https%3A%2F%2Fwww.webofscience.com%2Fwos%2Fwoscc%2Ffull-record%2FWOS:000594133800001","View Full Record in Web of Science")</f>
        <v>View Full Record in Web of Science</v>
      </c>
    </row>
    <row r="662" spans="1:81" ht="13.2" hidden="1" x14ac:dyDescent="0.25">
      <c r="A662" s="89" t="s">
        <v>22879</v>
      </c>
      <c r="B662" s="89" t="e">
        <f>+#REF!</f>
        <v>#REF!</v>
      </c>
      <c r="C662" s="89"/>
      <c r="D662" s="91" t="s">
        <v>717</v>
      </c>
      <c r="E662" s="90" t="e">
        <v>#REF!</v>
      </c>
      <c r="F662" s="89"/>
      <c r="G662" s="89"/>
      <c r="H662" s="89" t="s">
        <v>14084</v>
      </c>
      <c r="I662" s="89" t="s">
        <v>22880</v>
      </c>
      <c r="J662" s="89" t="s">
        <v>22883</v>
      </c>
      <c r="K662" s="89" t="s">
        <v>22882</v>
      </c>
      <c r="M662" s="89">
        <v>2018</v>
      </c>
      <c r="N662" s="89" t="s">
        <v>22881</v>
      </c>
      <c r="O662" s="89" t="s">
        <v>646</v>
      </c>
      <c r="P662" s="89" t="str">
        <f>HYPERLINK("http://dx.doi.org/10.1177/0038026118758539","http://dx.doi.org/10.1177/0038026118758539")</f>
        <v>http://dx.doi.org/10.1177/0038026118758539</v>
      </c>
      <c r="S662" s="89" t="s">
        <v>646</v>
      </c>
      <c r="U662" s="89" t="s">
        <v>17462</v>
      </c>
      <c r="W662" s="89" t="s">
        <v>646</v>
      </c>
      <c r="X662" s="89" t="s">
        <v>646</v>
      </c>
      <c r="Y662" s="89" t="s">
        <v>646</v>
      </c>
      <c r="Z662" s="89" t="s">
        <v>646</v>
      </c>
      <c r="AA662" s="89" t="s">
        <v>646</v>
      </c>
      <c r="AB662" s="89" t="s">
        <v>646</v>
      </c>
      <c r="AC662" s="89" t="s">
        <v>646</v>
      </c>
      <c r="AD662" s="89" t="s">
        <v>646</v>
      </c>
      <c r="AE662" s="89" t="s">
        <v>646</v>
      </c>
      <c r="AF662" s="89" t="s">
        <v>22882</v>
      </c>
      <c r="AG662" s="89" t="s">
        <v>646</v>
      </c>
      <c r="AH662" s="89" t="s">
        <v>646</v>
      </c>
      <c r="AI662" s="89" t="s">
        <v>646</v>
      </c>
      <c r="AJ662" s="89" t="s">
        <v>646</v>
      </c>
      <c r="AK662" s="89" t="s">
        <v>22883</v>
      </c>
      <c r="AL662" s="89" t="s">
        <v>22884</v>
      </c>
      <c r="AM662" s="89" t="s">
        <v>646</v>
      </c>
      <c r="AN662" s="89" t="s">
        <v>646</v>
      </c>
      <c r="AO662" s="89" t="s">
        <v>646</v>
      </c>
      <c r="AP662" s="89" t="s">
        <v>646</v>
      </c>
      <c r="AQ662" s="89" t="s">
        <v>646</v>
      </c>
      <c r="AR662" s="89" t="s">
        <v>646</v>
      </c>
      <c r="AS662" s="89" t="s">
        <v>646</v>
      </c>
      <c r="AT662" s="89" t="s">
        <v>646</v>
      </c>
      <c r="AU662" s="89" t="s">
        <v>646</v>
      </c>
      <c r="AV662" s="89" t="s">
        <v>646</v>
      </c>
      <c r="AW662" s="89" t="s">
        <v>646</v>
      </c>
      <c r="AX662" s="89" t="s">
        <v>646</v>
      </c>
      <c r="AY662" s="89" t="s">
        <v>22885</v>
      </c>
      <c r="AZ662" s="89" t="s">
        <v>22886</v>
      </c>
      <c r="BA662" s="89" t="s">
        <v>646</v>
      </c>
      <c r="BB662" s="89" t="s">
        <v>646</v>
      </c>
      <c r="BC662" s="89" t="s">
        <v>646</v>
      </c>
      <c r="BD662" s="89" t="s">
        <v>17779</v>
      </c>
      <c r="BE662" s="89">
        <v>2018</v>
      </c>
      <c r="BF662" s="89">
        <v>66</v>
      </c>
      <c r="BG662" s="89">
        <v>2</v>
      </c>
      <c r="BH662" s="89" t="s">
        <v>646</v>
      </c>
      <c r="BI662" s="89" t="s">
        <v>646</v>
      </c>
      <c r="BJ662" s="89" t="s">
        <v>646</v>
      </c>
      <c r="BK662" s="89" t="s">
        <v>646</v>
      </c>
      <c r="BL662" s="89">
        <v>401</v>
      </c>
      <c r="BM662" s="89">
        <v>424</v>
      </c>
      <c r="BN662" s="89" t="s">
        <v>646</v>
      </c>
      <c r="BO662" s="89" t="str">
        <f>HYPERLINK("http://dx.doi.org/10.1177/0038026118758539","http://dx.doi.org/10.1177/0038026118758539")</f>
        <v>http://dx.doi.org/10.1177/0038026118758539</v>
      </c>
      <c r="BP662" s="89" t="s">
        <v>646</v>
      </c>
      <c r="BQ662" s="89" t="s">
        <v>646</v>
      </c>
      <c r="BR662" s="89" t="s">
        <v>646</v>
      </c>
      <c r="BS662" s="89" t="s">
        <v>646</v>
      </c>
      <c r="BT662" s="89" t="s">
        <v>646</v>
      </c>
      <c r="BU662" s="89" t="s">
        <v>646</v>
      </c>
      <c r="BV662" s="89" t="s">
        <v>646</v>
      </c>
      <c r="BW662" s="89" t="s">
        <v>646</v>
      </c>
      <c r="BX662" s="89" t="s">
        <v>646</v>
      </c>
      <c r="BY662" s="89" t="s">
        <v>646</v>
      </c>
      <c r="BZ662" s="89" t="s">
        <v>646</v>
      </c>
      <c r="CA662" s="89" t="s">
        <v>646</v>
      </c>
      <c r="CB662" s="89" t="s">
        <v>22887</v>
      </c>
      <c r="CC662" s="89" t="str">
        <f>HYPERLINK("https%3A%2F%2Fwww.webofscience.com%2Fwos%2Fwoscc%2Ffull-record%2FWOS:000446031500011","View Full Record in Web of Science")</f>
        <v>View Full Record in Web of Science</v>
      </c>
    </row>
    <row r="663" spans="1:81" ht="13.2" hidden="1" x14ac:dyDescent="0.25">
      <c r="A663" s="89" t="s">
        <v>1635</v>
      </c>
      <c r="B663" s="89" t="e">
        <f>+#REF!</f>
        <v>#REF!</v>
      </c>
      <c r="C663" s="89"/>
      <c r="D663" s="91" t="s">
        <v>717</v>
      </c>
      <c r="E663" s="90" t="e">
        <v>#REF!</v>
      </c>
      <c r="F663" s="89"/>
      <c r="G663" s="89"/>
      <c r="H663" s="89" t="s">
        <v>1630</v>
      </c>
      <c r="I663" s="89" t="s">
        <v>22888</v>
      </c>
      <c r="J663" s="89" t="s">
        <v>22890</v>
      </c>
      <c r="K663" s="89" t="s">
        <v>22889</v>
      </c>
      <c r="M663" s="89">
        <v>2020</v>
      </c>
      <c r="N663" s="89" t="s">
        <v>18423</v>
      </c>
      <c r="O663" s="89" t="s">
        <v>646</v>
      </c>
      <c r="P663" s="89" t="str">
        <f>HYPERLINK("http://dx.doi.org/10.1109/ACCESS.2020.3030124","http://dx.doi.org/10.1109/ACCESS.2020.3030124")</f>
        <v>http://dx.doi.org/10.1109/ACCESS.2020.3030124</v>
      </c>
      <c r="S663" s="89" t="s">
        <v>646</v>
      </c>
      <c r="U663" s="89" t="s">
        <v>17462</v>
      </c>
      <c r="W663" s="89" t="s">
        <v>646</v>
      </c>
      <c r="X663" s="89" t="s">
        <v>646</v>
      </c>
      <c r="Y663" s="89" t="s">
        <v>646</v>
      </c>
      <c r="Z663" s="89" t="s">
        <v>646</v>
      </c>
      <c r="AA663" s="89" t="s">
        <v>646</v>
      </c>
      <c r="AB663" s="89" t="s">
        <v>646</v>
      </c>
      <c r="AC663" s="89" t="s">
        <v>646</v>
      </c>
      <c r="AD663" s="89" t="s">
        <v>646</v>
      </c>
      <c r="AE663" s="89" t="s">
        <v>646</v>
      </c>
      <c r="AF663" s="89" t="s">
        <v>22889</v>
      </c>
      <c r="AG663" s="89" t="s">
        <v>646</v>
      </c>
      <c r="AH663" s="89" t="s">
        <v>646</v>
      </c>
      <c r="AI663" s="89" t="s">
        <v>646</v>
      </c>
      <c r="AJ663" s="89" t="s">
        <v>646</v>
      </c>
      <c r="AK663" s="89" t="s">
        <v>22890</v>
      </c>
      <c r="AL663" s="89" t="s">
        <v>22891</v>
      </c>
      <c r="AM663" s="89" t="s">
        <v>646</v>
      </c>
      <c r="AN663" s="89" t="s">
        <v>646</v>
      </c>
      <c r="AO663" s="89" t="s">
        <v>646</v>
      </c>
      <c r="AP663" s="89" t="s">
        <v>646</v>
      </c>
      <c r="AQ663" s="89" t="s">
        <v>646</v>
      </c>
      <c r="AR663" s="89" t="s">
        <v>646</v>
      </c>
      <c r="AS663" s="89" t="s">
        <v>646</v>
      </c>
      <c r="AT663" s="89" t="s">
        <v>646</v>
      </c>
      <c r="AU663" s="89" t="s">
        <v>646</v>
      </c>
      <c r="AV663" s="89" t="s">
        <v>646</v>
      </c>
      <c r="AW663" s="89" t="s">
        <v>646</v>
      </c>
      <c r="AX663" s="89" t="s">
        <v>646</v>
      </c>
      <c r="AY663" s="89" t="s">
        <v>18427</v>
      </c>
      <c r="AZ663" s="89" t="s">
        <v>646</v>
      </c>
      <c r="BA663" s="89" t="s">
        <v>646</v>
      </c>
      <c r="BB663" s="89" t="s">
        <v>646</v>
      </c>
      <c r="BC663" s="89" t="s">
        <v>646</v>
      </c>
      <c r="BD663" s="89" t="s">
        <v>646</v>
      </c>
      <c r="BE663" s="89">
        <v>2020</v>
      </c>
      <c r="BF663" s="89">
        <v>8</v>
      </c>
      <c r="BG663" s="89" t="s">
        <v>646</v>
      </c>
      <c r="BH663" s="89" t="s">
        <v>646</v>
      </c>
      <c r="BI663" s="89" t="s">
        <v>646</v>
      </c>
      <c r="BJ663" s="89" t="s">
        <v>646</v>
      </c>
      <c r="BK663" s="89" t="s">
        <v>646</v>
      </c>
      <c r="BL663" s="89">
        <v>185290</v>
      </c>
      <c r="BM663" s="89">
        <v>185310</v>
      </c>
      <c r="BN663" s="89" t="s">
        <v>646</v>
      </c>
      <c r="BO663" s="89" t="str">
        <f>HYPERLINK("http://dx.doi.org/10.1109/ACCESS.2020.3030124","http://dx.doi.org/10.1109/ACCESS.2020.3030124")</f>
        <v>http://dx.doi.org/10.1109/ACCESS.2020.3030124</v>
      </c>
      <c r="BP663" s="89" t="s">
        <v>646</v>
      </c>
      <c r="BQ663" s="89" t="s">
        <v>646</v>
      </c>
      <c r="BR663" s="89" t="s">
        <v>646</v>
      </c>
      <c r="BS663" s="89" t="s">
        <v>646</v>
      </c>
      <c r="BT663" s="89" t="s">
        <v>646</v>
      </c>
      <c r="BU663" s="89" t="s">
        <v>646</v>
      </c>
      <c r="BV663" s="89" t="s">
        <v>646</v>
      </c>
      <c r="BW663" s="89" t="s">
        <v>646</v>
      </c>
      <c r="BX663" s="89" t="s">
        <v>646</v>
      </c>
      <c r="BY663" s="89" t="s">
        <v>646</v>
      </c>
      <c r="BZ663" s="89" t="s">
        <v>646</v>
      </c>
      <c r="CA663" s="89" t="s">
        <v>646</v>
      </c>
      <c r="CB663" s="89" t="s">
        <v>22892</v>
      </c>
      <c r="CC663" s="89" t="str">
        <f>HYPERLINK("https%3A%2F%2Fwww.webofscience.com%2Fwos%2Fwoscc%2Ffull-record%2FWOS:000583580500001","View Full Record in Web of Science")</f>
        <v>View Full Record in Web of Science</v>
      </c>
    </row>
    <row r="664" spans="1:81" ht="13.2" hidden="1" x14ac:dyDescent="0.25">
      <c r="A664" s="89" t="s">
        <v>22893</v>
      </c>
      <c r="B664" s="89" t="e">
        <f>+#REF!</f>
        <v>#REF!</v>
      </c>
      <c r="C664" s="89"/>
      <c r="D664" s="91" t="s">
        <v>717</v>
      </c>
      <c r="E664" s="90" t="e">
        <v>#REF!</v>
      </c>
      <c r="F664" s="89"/>
      <c r="G664" s="89"/>
      <c r="H664" s="89" t="s">
        <v>646</v>
      </c>
      <c r="I664" s="89" t="s">
        <v>22895</v>
      </c>
      <c r="J664" s="89" t="s">
        <v>646</v>
      </c>
      <c r="K664" s="89" t="s">
        <v>22899</v>
      </c>
      <c r="M664" s="89">
        <v>2005</v>
      </c>
      <c r="N664" s="89" t="s">
        <v>22896</v>
      </c>
      <c r="O664" s="89" t="s">
        <v>22894</v>
      </c>
      <c r="P664" s="89" t="s">
        <v>646</v>
      </c>
      <c r="S664" s="89" t="s">
        <v>646</v>
      </c>
      <c r="U664" s="89" t="s">
        <v>17474</v>
      </c>
      <c r="W664" s="89" t="s">
        <v>646</v>
      </c>
      <c r="X664" s="89" t="s">
        <v>646</v>
      </c>
      <c r="Y664" s="89" t="s">
        <v>22897</v>
      </c>
      <c r="Z664" s="89" t="s">
        <v>22898</v>
      </c>
      <c r="AA664" s="89" t="s">
        <v>20745</v>
      </c>
      <c r="AB664" s="89" t="s">
        <v>646</v>
      </c>
      <c r="AC664" s="89" t="s">
        <v>646</v>
      </c>
      <c r="AD664" s="89" t="s">
        <v>646</v>
      </c>
      <c r="AE664" s="89" t="s">
        <v>646</v>
      </c>
      <c r="AF664" s="89" t="s">
        <v>22899</v>
      </c>
      <c r="AG664" s="89" t="s">
        <v>646</v>
      </c>
      <c r="AH664" s="89" t="s">
        <v>646</v>
      </c>
      <c r="AI664" s="89" t="s">
        <v>646</v>
      </c>
      <c r="AJ664" s="89" t="s">
        <v>646</v>
      </c>
      <c r="AK664" s="89" t="s">
        <v>646</v>
      </c>
      <c r="AL664" s="89" t="s">
        <v>646</v>
      </c>
      <c r="AM664" s="89" t="s">
        <v>646</v>
      </c>
      <c r="AN664" s="89" t="s">
        <v>646</v>
      </c>
      <c r="AO664" s="89" t="s">
        <v>646</v>
      </c>
      <c r="AP664" s="89" t="s">
        <v>646</v>
      </c>
      <c r="AQ664" s="89" t="s">
        <v>646</v>
      </c>
      <c r="AR664" s="89" t="s">
        <v>646</v>
      </c>
      <c r="AS664" s="89" t="s">
        <v>646</v>
      </c>
      <c r="AT664" s="89" t="s">
        <v>646</v>
      </c>
      <c r="AU664" s="89" t="s">
        <v>646</v>
      </c>
      <c r="AV664" s="89" t="s">
        <v>646</v>
      </c>
      <c r="AW664" s="89" t="s">
        <v>646</v>
      </c>
      <c r="AX664" s="89" t="s">
        <v>646</v>
      </c>
      <c r="AY664" s="89" t="s">
        <v>21790</v>
      </c>
      <c r="AZ664" s="89" t="s">
        <v>646</v>
      </c>
      <c r="BA664" s="89" t="s">
        <v>22900</v>
      </c>
      <c r="BB664" s="89" t="s">
        <v>646</v>
      </c>
      <c r="BC664" s="89" t="s">
        <v>646</v>
      </c>
      <c r="BD664" s="89" t="s">
        <v>646</v>
      </c>
      <c r="BE664" s="89">
        <v>2005</v>
      </c>
      <c r="BF664" s="89">
        <v>133</v>
      </c>
      <c r="BG664" s="89" t="s">
        <v>646</v>
      </c>
      <c r="BH664" s="89" t="s">
        <v>646</v>
      </c>
      <c r="BI664" s="89" t="s">
        <v>646</v>
      </c>
      <c r="BJ664" s="89" t="s">
        <v>646</v>
      </c>
      <c r="BK664" s="89" t="s">
        <v>646</v>
      </c>
      <c r="BL664" s="89">
        <v>819</v>
      </c>
      <c r="BM664" s="89">
        <v>823</v>
      </c>
      <c r="BN664" s="89" t="s">
        <v>646</v>
      </c>
      <c r="BO664" s="89" t="s">
        <v>646</v>
      </c>
      <c r="BP664" s="89" t="s">
        <v>646</v>
      </c>
      <c r="BQ664" s="89" t="s">
        <v>646</v>
      </c>
      <c r="BR664" s="89" t="s">
        <v>646</v>
      </c>
      <c r="BS664" s="89" t="s">
        <v>646</v>
      </c>
      <c r="BT664" s="89" t="s">
        <v>646</v>
      </c>
      <c r="BU664" s="89" t="s">
        <v>646</v>
      </c>
      <c r="BV664" s="89" t="s">
        <v>646</v>
      </c>
      <c r="BW664" s="89" t="s">
        <v>646</v>
      </c>
      <c r="BX664" s="89" t="s">
        <v>646</v>
      </c>
      <c r="BY664" s="89" t="s">
        <v>646</v>
      </c>
      <c r="BZ664" s="89" t="s">
        <v>646</v>
      </c>
      <c r="CA664" s="89" t="s">
        <v>646</v>
      </c>
      <c r="CB664" s="89" t="s">
        <v>22901</v>
      </c>
      <c r="CC664" s="89" t="str">
        <f>HYPERLINK("https%3A%2F%2Fwww.webofscience.com%2Fwos%2Fwoscc%2Ffull-record%2FWOS:000279364400129","View Full Record in Web of Science")</f>
        <v>View Full Record in Web of Science</v>
      </c>
    </row>
    <row r="665" spans="1:81" ht="13.2" hidden="1" x14ac:dyDescent="0.25">
      <c r="A665" s="89" t="s">
        <v>22902</v>
      </c>
      <c r="B665" s="89" t="e">
        <f>+#REF!</f>
        <v>#REF!</v>
      </c>
      <c r="C665" s="89"/>
      <c r="D665" s="91" t="s">
        <v>717</v>
      </c>
      <c r="E665" s="90" t="e">
        <v>#REF!</v>
      </c>
      <c r="F665" s="89"/>
      <c r="G665" s="89"/>
      <c r="H665" s="89" t="s">
        <v>14103</v>
      </c>
      <c r="I665" s="89" t="s">
        <v>22903</v>
      </c>
      <c r="J665" s="89" t="s">
        <v>646</v>
      </c>
      <c r="K665" s="89" t="s">
        <v>22908</v>
      </c>
      <c r="M665" s="89">
        <v>2019</v>
      </c>
      <c r="N665" s="89" t="s">
        <v>22904</v>
      </c>
      <c r="O665" s="89" t="s">
        <v>646</v>
      </c>
      <c r="P665" s="89" t="str">
        <f>HYPERLINK("http://dx.doi.org/10.1145/3340555.3353750","http://dx.doi.org/10.1145/3340555.3353750")</f>
        <v>http://dx.doi.org/10.1145/3340555.3353750</v>
      </c>
      <c r="S665" s="89" t="s">
        <v>17804</v>
      </c>
      <c r="U665" s="89" t="s">
        <v>17474</v>
      </c>
      <c r="W665" s="89" t="s">
        <v>646</v>
      </c>
      <c r="X665" s="89" t="s">
        <v>646</v>
      </c>
      <c r="Y665" s="89" t="s">
        <v>22905</v>
      </c>
      <c r="Z665" s="89" t="s">
        <v>22906</v>
      </c>
      <c r="AA665" s="89" t="s">
        <v>20499</v>
      </c>
      <c r="AB665" s="89" t="s">
        <v>22907</v>
      </c>
      <c r="AC665" s="89" t="s">
        <v>646</v>
      </c>
      <c r="AD665" s="89" t="s">
        <v>646</v>
      </c>
      <c r="AE665" s="89" t="s">
        <v>646</v>
      </c>
      <c r="AF665" s="89" t="s">
        <v>22908</v>
      </c>
      <c r="AG665" s="89" t="s">
        <v>646</v>
      </c>
      <c r="AH665" s="89" t="s">
        <v>646</v>
      </c>
      <c r="AI665" s="89" t="s">
        <v>646</v>
      </c>
      <c r="AJ665" s="89" t="s">
        <v>646</v>
      </c>
      <c r="AK665" s="89" t="s">
        <v>646</v>
      </c>
      <c r="AL665" s="89" t="s">
        <v>646</v>
      </c>
      <c r="AM665" s="89" t="s">
        <v>646</v>
      </c>
      <c r="AN665" s="89" t="s">
        <v>646</v>
      </c>
      <c r="AO665" s="89" t="s">
        <v>646</v>
      </c>
      <c r="AP665" s="89" t="s">
        <v>646</v>
      </c>
      <c r="AQ665" s="89" t="s">
        <v>646</v>
      </c>
      <c r="AR665" s="89" t="s">
        <v>646</v>
      </c>
      <c r="AS665" s="89" t="s">
        <v>646</v>
      </c>
      <c r="AT665" s="89" t="s">
        <v>646</v>
      </c>
      <c r="AU665" s="89" t="s">
        <v>646</v>
      </c>
      <c r="AV665" s="89" t="s">
        <v>646</v>
      </c>
      <c r="AW665" s="89" t="s">
        <v>646</v>
      </c>
      <c r="AX665" s="89" t="s">
        <v>646</v>
      </c>
      <c r="AY665" s="89" t="s">
        <v>646</v>
      </c>
      <c r="AZ665" s="89" t="s">
        <v>646</v>
      </c>
      <c r="BA665" s="89" t="s">
        <v>22909</v>
      </c>
      <c r="BB665" s="89" t="s">
        <v>646</v>
      </c>
      <c r="BC665" s="89" t="s">
        <v>646</v>
      </c>
      <c r="BD665" s="89" t="s">
        <v>646</v>
      </c>
      <c r="BE665" s="89">
        <v>2019</v>
      </c>
      <c r="BF665" s="89" t="s">
        <v>646</v>
      </c>
      <c r="BG665" s="89" t="s">
        <v>646</v>
      </c>
      <c r="BH665" s="89" t="s">
        <v>646</v>
      </c>
      <c r="BI665" s="89" t="s">
        <v>646</v>
      </c>
      <c r="BJ665" s="89" t="s">
        <v>646</v>
      </c>
      <c r="BK665" s="89" t="s">
        <v>646</v>
      </c>
      <c r="BL665" s="89">
        <v>95</v>
      </c>
      <c r="BM665" s="89">
        <v>104</v>
      </c>
      <c r="BN665" s="89" t="s">
        <v>646</v>
      </c>
      <c r="BO665" s="89" t="str">
        <f>HYPERLINK("http://dx.doi.org/10.1145/3340555.3353750","http://dx.doi.org/10.1145/3340555.3353750")</f>
        <v>http://dx.doi.org/10.1145/3340555.3353750</v>
      </c>
      <c r="BP665" s="89" t="s">
        <v>646</v>
      </c>
      <c r="BQ665" s="89" t="s">
        <v>646</v>
      </c>
      <c r="BR665" s="89" t="s">
        <v>646</v>
      </c>
      <c r="BS665" s="89" t="s">
        <v>646</v>
      </c>
      <c r="BT665" s="89" t="s">
        <v>646</v>
      </c>
      <c r="BU665" s="89" t="s">
        <v>646</v>
      </c>
      <c r="BV665" s="89" t="s">
        <v>646</v>
      </c>
      <c r="BW665" s="89" t="s">
        <v>646</v>
      </c>
      <c r="BX665" s="89" t="s">
        <v>646</v>
      </c>
      <c r="BY665" s="89" t="s">
        <v>646</v>
      </c>
      <c r="BZ665" s="89" t="s">
        <v>646</v>
      </c>
      <c r="CA665" s="89" t="s">
        <v>646</v>
      </c>
      <c r="CB665" s="89" t="s">
        <v>22910</v>
      </c>
      <c r="CC665" s="89" t="str">
        <f>HYPERLINK("https%3A%2F%2Fwww.webofscience.com%2Fwos%2Fwoscc%2Ffull-record%2FWOS:000518657800015","View Full Record in Web of Science")</f>
        <v>View Full Record in Web of Science</v>
      </c>
    </row>
    <row r="666" spans="1:81" ht="13.2" hidden="1" x14ac:dyDescent="0.25">
      <c r="A666" s="89" t="s">
        <v>14111</v>
      </c>
      <c r="B666" s="89" t="e">
        <f>+#REF!</f>
        <v>#REF!</v>
      </c>
      <c r="C666" s="89"/>
      <c r="D666" s="91" t="s">
        <v>717</v>
      </c>
      <c r="E666" s="90" t="e">
        <v>#REF!</v>
      </c>
      <c r="F666" s="89"/>
      <c r="G666" s="89"/>
      <c r="H666" s="89" t="s">
        <v>14112</v>
      </c>
      <c r="I666" s="89" t="s">
        <v>22911</v>
      </c>
      <c r="J666" s="89" t="s">
        <v>646</v>
      </c>
      <c r="K666" s="89" t="s">
        <v>22912</v>
      </c>
      <c r="M666" s="89">
        <v>2020</v>
      </c>
      <c r="N666" s="89" t="s">
        <v>18088</v>
      </c>
      <c r="O666" s="89" t="s">
        <v>646</v>
      </c>
      <c r="P666" s="89" t="str">
        <f>HYPERLINK("http://dx.doi.org/10.1177/1035304620933399","http://dx.doi.org/10.1177/1035304620933399")</f>
        <v>http://dx.doi.org/10.1177/1035304620933399</v>
      </c>
      <c r="S666" s="89" t="s">
        <v>646</v>
      </c>
      <c r="U666" s="89" t="s">
        <v>17462</v>
      </c>
      <c r="W666" s="89" t="s">
        <v>646</v>
      </c>
      <c r="X666" s="89" t="s">
        <v>646</v>
      </c>
      <c r="Y666" s="89" t="s">
        <v>646</v>
      </c>
      <c r="Z666" s="89" t="s">
        <v>646</v>
      </c>
      <c r="AA666" s="89" t="s">
        <v>646</v>
      </c>
      <c r="AB666" s="89" t="s">
        <v>646</v>
      </c>
      <c r="AC666" s="89" t="s">
        <v>646</v>
      </c>
      <c r="AD666" s="89" t="s">
        <v>646</v>
      </c>
      <c r="AE666" s="89" t="s">
        <v>646</v>
      </c>
      <c r="AF666" s="89" t="s">
        <v>22912</v>
      </c>
      <c r="AG666" s="89" t="s">
        <v>646</v>
      </c>
      <c r="AH666" s="89" t="s">
        <v>646</v>
      </c>
      <c r="AI666" s="89" t="s">
        <v>646</v>
      </c>
      <c r="AJ666" s="89" t="s">
        <v>646</v>
      </c>
      <c r="AK666" s="89" t="s">
        <v>646</v>
      </c>
      <c r="AL666" s="89" t="s">
        <v>646</v>
      </c>
      <c r="AM666" s="89" t="s">
        <v>646</v>
      </c>
      <c r="AN666" s="89" t="s">
        <v>646</v>
      </c>
      <c r="AO666" s="89" t="s">
        <v>646</v>
      </c>
      <c r="AP666" s="89" t="s">
        <v>646</v>
      </c>
      <c r="AQ666" s="89" t="s">
        <v>646</v>
      </c>
      <c r="AR666" s="89" t="s">
        <v>646</v>
      </c>
      <c r="AS666" s="89" t="s">
        <v>646</v>
      </c>
      <c r="AT666" s="89" t="s">
        <v>646</v>
      </c>
      <c r="AU666" s="89" t="s">
        <v>646</v>
      </c>
      <c r="AV666" s="89" t="s">
        <v>646</v>
      </c>
      <c r="AW666" s="89" t="s">
        <v>646</v>
      </c>
      <c r="AX666" s="89" t="s">
        <v>646</v>
      </c>
      <c r="AY666" s="89" t="s">
        <v>18090</v>
      </c>
      <c r="AZ666" s="89" t="s">
        <v>18091</v>
      </c>
      <c r="BA666" s="89" t="s">
        <v>646</v>
      </c>
      <c r="BB666" s="89" t="s">
        <v>646</v>
      </c>
      <c r="BC666" s="89" t="s">
        <v>646</v>
      </c>
      <c r="BD666" s="89" t="s">
        <v>17739</v>
      </c>
      <c r="BE666" s="89">
        <v>2020</v>
      </c>
      <c r="BF666" s="89">
        <v>31</v>
      </c>
      <c r="BG666" s="89">
        <v>3</v>
      </c>
      <c r="BH666" s="89" t="s">
        <v>646</v>
      </c>
      <c r="BI666" s="89" t="s">
        <v>646</v>
      </c>
      <c r="BJ666" s="89" t="s">
        <v>17555</v>
      </c>
      <c r="BK666" s="89" t="s">
        <v>646</v>
      </c>
      <c r="BL666" s="89">
        <v>383</v>
      </c>
      <c r="BM666" s="89">
        <v>402</v>
      </c>
      <c r="BN666" s="89">
        <v>1035304620933399</v>
      </c>
      <c r="BO666" s="89" t="str">
        <f>HYPERLINK("http://dx.doi.org/10.1177/1035304620933399","http://dx.doi.org/10.1177/1035304620933399")</f>
        <v>http://dx.doi.org/10.1177/1035304620933399</v>
      </c>
      <c r="BP666" s="89" t="s">
        <v>646</v>
      </c>
      <c r="BQ666" s="89" t="s">
        <v>18873</v>
      </c>
      <c r="BR666" s="89" t="s">
        <v>646</v>
      </c>
      <c r="BS666" s="89" t="s">
        <v>646</v>
      </c>
      <c r="BT666" s="89" t="s">
        <v>646</v>
      </c>
      <c r="BU666" s="89" t="s">
        <v>646</v>
      </c>
      <c r="BV666" s="89" t="s">
        <v>646</v>
      </c>
      <c r="BW666" s="89" t="s">
        <v>646</v>
      </c>
      <c r="BX666" s="89" t="s">
        <v>646</v>
      </c>
      <c r="BY666" s="89" t="s">
        <v>646</v>
      </c>
      <c r="BZ666" s="89" t="s">
        <v>646</v>
      </c>
      <c r="CA666" s="89" t="s">
        <v>646</v>
      </c>
      <c r="CB666" s="89" t="s">
        <v>22913</v>
      </c>
      <c r="CC666" s="89" t="str">
        <f>HYPERLINK("https%3A%2F%2Fwww.webofscience.com%2Fwos%2Fwoscc%2Ffull-record%2FWOS:000552018700001","View Full Record in Web of Science")</f>
        <v>View Full Record in Web of Science</v>
      </c>
    </row>
    <row r="667" spans="1:81" ht="13.2" hidden="1" x14ac:dyDescent="0.25">
      <c r="A667" s="89" t="s">
        <v>22914</v>
      </c>
      <c r="B667" s="89" t="e">
        <f>+#REF!</f>
        <v>#REF!</v>
      </c>
      <c r="C667" s="89"/>
      <c r="D667" s="91" t="s">
        <v>717</v>
      </c>
      <c r="E667" s="90" t="e">
        <v>#REF!</v>
      </c>
      <c r="F667" s="89"/>
      <c r="G667" s="89"/>
      <c r="H667" s="89" t="s">
        <v>646</v>
      </c>
      <c r="I667" s="89" t="s">
        <v>22915</v>
      </c>
      <c r="J667" s="89" t="s">
        <v>22919</v>
      </c>
      <c r="K667" s="89" t="s">
        <v>22918</v>
      </c>
      <c r="M667" s="89">
        <v>2015</v>
      </c>
      <c r="N667" s="89" t="s">
        <v>22916</v>
      </c>
      <c r="O667" s="89" t="s">
        <v>646</v>
      </c>
      <c r="P667" s="89" t="s">
        <v>646</v>
      </c>
      <c r="S667" s="89" t="s">
        <v>17475</v>
      </c>
      <c r="U667" s="89" t="s">
        <v>17474</v>
      </c>
      <c r="W667" s="89" t="s">
        <v>646</v>
      </c>
      <c r="X667" s="89" t="s">
        <v>646</v>
      </c>
      <c r="Y667" s="89" t="s">
        <v>20160</v>
      </c>
      <c r="Z667" s="89" t="s">
        <v>22917</v>
      </c>
      <c r="AA667" s="89" t="s">
        <v>20695</v>
      </c>
      <c r="AB667" s="89" t="s">
        <v>17475</v>
      </c>
      <c r="AC667" s="89" t="s">
        <v>646</v>
      </c>
      <c r="AD667" s="89" t="s">
        <v>646</v>
      </c>
      <c r="AE667" s="89" t="s">
        <v>646</v>
      </c>
      <c r="AF667" s="89" t="s">
        <v>22918</v>
      </c>
      <c r="AG667" s="89" t="s">
        <v>646</v>
      </c>
      <c r="AH667" s="89" t="s">
        <v>646</v>
      </c>
      <c r="AI667" s="89" t="s">
        <v>646</v>
      </c>
      <c r="AJ667" s="89" t="s">
        <v>646</v>
      </c>
      <c r="AK667" s="89" t="s">
        <v>22919</v>
      </c>
      <c r="AL667" s="89" t="s">
        <v>22920</v>
      </c>
      <c r="AM667" s="89" t="s">
        <v>646</v>
      </c>
      <c r="AN667" s="89" t="s">
        <v>646</v>
      </c>
      <c r="AO667" s="89" t="s">
        <v>646</v>
      </c>
      <c r="AP667" s="89" t="s">
        <v>646</v>
      </c>
      <c r="AQ667" s="89" t="s">
        <v>646</v>
      </c>
      <c r="AR667" s="89" t="s">
        <v>646</v>
      </c>
      <c r="AS667" s="89" t="s">
        <v>646</v>
      </c>
      <c r="AT667" s="89" t="s">
        <v>646</v>
      </c>
      <c r="AU667" s="89" t="s">
        <v>646</v>
      </c>
      <c r="AV667" s="89" t="s">
        <v>646</v>
      </c>
      <c r="AW667" s="89" t="s">
        <v>646</v>
      </c>
      <c r="AX667" s="89" t="s">
        <v>646</v>
      </c>
      <c r="AY667" s="89" t="s">
        <v>19775</v>
      </c>
      <c r="AZ667" s="89" t="s">
        <v>646</v>
      </c>
      <c r="BA667" s="89" t="s">
        <v>22921</v>
      </c>
      <c r="BB667" s="89" t="s">
        <v>646</v>
      </c>
      <c r="BC667" s="89" t="s">
        <v>646</v>
      </c>
      <c r="BD667" s="89" t="s">
        <v>646</v>
      </c>
      <c r="BE667" s="89">
        <v>2015</v>
      </c>
      <c r="BF667" s="89" t="s">
        <v>646</v>
      </c>
      <c r="BG667" s="89" t="s">
        <v>646</v>
      </c>
      <c r="BH667" s="89" t="s">
        <v>646</v>
      </c>
      <c r="BI667" s="89" t="s">
        <v>646</v>
      </c>
      <c r="BJ667" s="89" t="s">
        <v>646</v>
      </c>
      <c r="BK667" s="89" t="s">
        <v>646</v>
      </c>
      <c r="BL667" s="89">
        <v>3707</v>
      </c>
      <c r="BM667" s="89">
        <v>3715</v>
      </c>
      <c r="BN667" s="89" t="s">
        <v>646</v>
      </c>
      <c r="BO667" s="89" t="s">
        <v>646</v>
      </c>
      <c r="BP667" s="89" t="s">
        <v>646</v>
      </c>
      <c r="BQ667" s="89" t="s">
        <v>646</v>
      </c>
      <c r="BR667" s="89" t="s">
        <v>646</v>
      </c>
      <c r="BS667" s="89" t="s">
        <v>646</v>
      </c>
      <c r="BT667" s="89" t="s">
        <v>646</v>
      </c>
      <c r="BU667" s="89" t="s">
        <v>646</v>
      </c>
      <c r="BV667" s="89" t="s">
        <v>646</v>
      </c>
      <c r="BW667" s="89" t="s">
        <v>646</v>
      </c>
      <c r="BX667" s="89" t="s">
        <v>646</v>
      </c>
      <c r="BY667" s="89" t="s">
        <v>646</v>
      </c>
      <c r="BZ667" s="89" t="s">
        <v>646</v>
      </c>
      <c r="CA667" s="89" t="s">
        <v>646</v>
      </c>
      <c r="CB667" s="89" t="s">
        <v>22922</v>
      </c>
      <c r="CC667" s="89" t="str">
        <f>HYPERLINK("https%3A%2F%2Fwww.webofscience.com%2Fwos%2Fwoscc%2Ffull-record%2FWOS:000387959203079","View Full Record in Web of Science")</f>
        <v>View Full Record in Web of Science</v>
      </c>
    </row>
    <row r="668" spans="1:81" ht="13.2" hidden="1" x14ac:dyDescent="0.25">
      <c r="A668" s="89" t="s">
        <v>22923</v>
      </c>
      <c r="B668" s="89" t="e">
        <f>+#REF!</f>
        <v>#REF!</v>
      </c>
      <c r="C668" s="89"/>
      <c r="D668" s="91" t="s">
        <v>717</v>
      </c>
      <c r="E668" s="90" t="e">
        <v>#REF!</v>
      </c>
      <c r="F668" s="89"/>
      <c r="G668" s="89"/>
      <c r="H668" s="89" t="s">
        <v>955</v>
      </c>
      <c r="I668" s="89" t="s">
        <v>22924</v>
      </c>
      <c r="J668" s="89" t="s">
        <v>22930</v>
      </c>
      <c r="K668" s="89" t="s">
        <v>22929</v>
      </c>
      <c r="M668" s="89">
        <v>2018</v>
      </c>
      <c r="N668" s="89" t="s">
        <v>22925</v>
      </c>
      <c r="O668" s="89" t="s">
        <v>646</v>
      </c>
      <c r="P668" s="89" t="str">
        <f>HYPERLINK("http://dx.doi.org/10.1145/3194124.3194131","http://dx.doi.org/10.1145/3194124.3194131")</f>
        <v>http://dx.doi.org/10.1145/3194124.3194131</v>
      </c>
      <c r="S668" s="89" t="s">
        <v>17475</v>
      </c>
      <c r="U668" s="89" t="s">
        <v>17474</v>
      </c>
      <c r="W668" s="89" t="s">
        <v>646</v>
      </c>
      <c r="X668" s="89" t="s">
        <v>646</v>
      </c>
      <c r="Y668" s="89" t="s">
        <v>22926</v>
      </c>
      <c r="Z668" s="89" t="s">
        <v>22927</v>
      </c>
      <c r="AA668" s="89" t="s">
        <v>20092</v>
      </c>
      <c r="AB668" s="89" t="s">
        <v>22928</v>
      </c>
      <c r="AC668" s="89" t="s">
        <v>646</v>
      </c>
      <c r="AD668" s="89" t="s">
        <v>646</v>
      </c>
      <c r="AE668" s="89" t="s">
        <v>646</v>
      </c>
      <c r="AF668" s="89" t="s">
        <v>22929</v>
      </c>
      <c r="AG668" s="89" t="s">
        <v>646</v>
      </c>
      <c r="AH668" s="89" t="s">
        <v>646</v>
      </c>
      <c r="AI668" s="89" t="s">
        <v>646</v>
      </c>
      <c r="AJ668" s="89" t="s">
        <v>646</v>
      </c>
      <c r="AK668" s="89" t="s">
        <v>22930</v>
      </c>
      <c r="AL668" s="89" t="s">
        <v>22931</v>
      </c>
      <c r="AM668" s="89" t="s">
        <v>646</v>
      </c>
      <c r="AN668" s="89" t="s">
        <v>646</v>
      </c>
      <c r="AO668" s="89" t="s">
        <v>646</v>
      </c>
      <c r="AP668" s="89" t="s">
        <v>646</v>
      </c>
      <c r="AQ668" s="89" t="s">
        <v>646</v>
      </c>
      <c r="AR668" s="89" t="s">
        <v>646</v>
      </c>
      <c r="AS668" s="89" t="s">
        <v>646</v>
      </c>
      <c r="AT668" s="89" t="s">
        <v>646</v>
      </c>
      <c r="AU668" s="89" t="s">
        <v>646</v>
      </c>
      <c r="AV668" s="89" t="s">
        <v>646</v>
      </c>
      <c r="AW668" s="89" t="s">
        <v>646</v>
      </c>
      <c r="AX668" s="89" t="s">
        <v>646</v>
      </c>
      <c r="AY668" s="89" t="s">
        <v>22932</v>
      </c>
      <c r="AZ668" s="89" t="s">
        <v>646</v>
      </c>
      <c r="BA668" s="89" t="s">
        <v>22933</v>
      </c>
      <c r="BB668" s="89" t="s">
        <v>646</v>
      </c>
      <c r="BC668" s="89" t="s">
        <v>646</v>
      </c>
      <c r="BD668" s="89" t="s">
        <v>646</v>
      </c>
      <c r="BE668" s="89">
        <v>2018</v>
      </c>
      <c r="BF668" s="89" t="s">
        <v>646</v>
      </c>
      <c r="BG668" s="89" t="s">
        <v>646</v>
      </c>
      <c r="BH668" s="89" t="s">
        <v>646</v>
      </c>
      <c r="BI668" s="89" t="s">
        <v>646</v>
      </c>
      <c r="BJ668" s="89" t="s">
        <v>646</v>
      </c>
      <c r="BK668" s="89" t="s">
        <v>646</v>
      </c>
      <c r="BL668" s="89">
        <v>33</v>
      </c>
      <c r="BM668" s="89">
        <v>39</v>
      </c>
      <c r="BN668" s="89" t="s">
        <v>646</v>
      </c>
      <c r="BO668" s="89" t="str">
        <f>HYPERLINK("http://dx.doi.org/10.1145/3194124.3194131","http://dx.doi.org/10.1145/3194124.3194131")</f>
        <v>http://dx.doi.org/10.1145/3194124.3194131</v>
      </c>
      <c r="BP668" s="89" t="s">
        <v>646</v>
      </c>
      <c r="BQ668" s="89" t="s">
        <v>646</v>
      </c>
      <c r="BR668" s="89" t="s">
        <v>646</v>
      </c>
      <c r="BS668" s="89" t="s">
        <v>646</v>
      </c>
      <c r="BT668" s="89" t="s">
        <v>646</v>
      </c>
      <c r="BU668" s="89" t="s">
        <v>646</v>
      </c>
      <c r="BV668" s="89" t="s">
        <v>646</v>
      </c>
      <c r="BW668" s="89" t="s">
        <v>646</v>
      </c>
      <c r="BX668" s="89" t="s">
        <v>646</v>
      </c>
      <c r="BY668" s="89" t="s">
        <v>646</v>
      </c>
      <c r="BZ668" s="89" t="s">
        <v>646</v>
      </c>
      <c r="CA668" s="89" t="s">
        <v>646</v>
      </c>
      <c r="CB668" s="89" t="s">
        <v>22934</v>
      </c>
      <c r="CC668" s="89" t="str">
        <f>HYPERLINK("https%3A%2F%2Fwww.webofscience.com%2Fwos%2Fwoscc%2Ffull-record%2FWOS:000454782200006","View Full Record in Web of Science")</f>
        <v>View Full Record in Web of Science</v>
      </c>
    </row>
    <row r="669" spans="1:81" ht="13.2" hidden="1" x14ac:dyDescent="0.25">
      <c r="A669" s="89" t="s">
        <v>22935</v>
      </c>
      <c r="B669" s="89" t="e">
        <f>+#REF!</f>
        <v>#REF!</v>
      </c>
      <c r="C669" s="89"/>
      <c r="D669" s="91" t="s">
        <v>717</v>
      </c>
      <c r="E669" s="90" t="e">
        <v>#REF!</v>
      </c>
      <c r="F669" s="89"/>
      <c r="G669" s="89"/>
      <c r="H669" s="89" t="s">
        <v>14129</v>
      </c>
      <c r="I669" s="89" t="s">
        <v>22936</v>
      </c>
      <c r="J669" s="89" t="s">
        <v>646</v>
      </c>
      <c r="K669" s="89" t="s">
        <v>22938</v>
      </c>
      <c r="M669" s="89">
        <v>2015</v>
      </c>
      <c r="N669" s="89" t="s">
        <v>22937</v>
      </c>
      <c r="O669" s="89" t="s">
        <v>646</v>
      </c>
      <c r="P669" s="89" t="str">
        <f>HYPERLINK("http://dx.doi.org/10.1016/j.ijar.2014.11.003","http://dx.doi.org/10.1016/j.ijar.2014.11.003")</f>
        <v>http://dx.doi.org/10.1016/j.ijar.2014.11.003</v>
      </c>
      <c r="S669" s="89" t="s">
        <v>646</v>
      </c>
      <c r="U669" s="89" t="s">
        <v>17462</v>
      </c>
      <c r="W669" s="89" t="s">
        <v>646</v>
      </c>
      <c r="X669" s="89" t="s">
        <v>646</v>
      </c>
      <c r="Y669" s="89" t="s">
        <v>646</v>
      </c>
      <c r="Z669" s="89" t="s">
        <v>646</v>
      </c>
      <c r="AA669" s="89" t="s">
        <v>646</v>
      </c>
      <c r="AB669" s="89" t="s">
        <v>646</v>
      </c>
      <c r="AC669" s="89" t="s">
        <v>646</v>
      </c>
      <c r="AD669" s="89" t="s">
        <v>646</v>
      </c>
      <c r="AE669" s="89" t="s">
        <v>646</v>
      </c>
      <c r="AF669" s="89" t="s">
        <v>22938</v>
      </c>
      <c r="AG669" s="89" t="s">
        <v>646</v>
      </c>
      <c r="AH669" s="89" t="s">
        <v>646</v>
      </c>
      <c r="AI669" s="89" t="s">
        <v>646</v>
      </c>
      <c r="AJ669" s="89" t="s">
        <v>646</v>
      </c>
      <c r="AK669" s="89" t="s">
        <v>646</v>
      </c>
      <c r="AL669" s="89" t="s">
        <v>22939</v>
      </c>
      <c r="AM669" s="89" t="s">
        <v>646</v>
      </c>
      <c r="AN669" s="89" t="s">
        <v>646</v>
      </c>
      <c r="AO669" s="89" t="s">
        <v>646</v>
      </c>
      <c r="AP669" s="89" t="s">
        <v>646</v>
      </c>
      <c r="AQ669" s="89" t="s">
        <v>646</v>
      </c>
      <c r="AR669" s="89" t="s">
        <v>646</v>
      </c>
      <c r="AS669" s="89" t="s">
        <v>646</v>
      </c>
      <c r="AT669" s="89" t="s">
        <v>646</v>
      </c>
      <c r="AU669" s="89" t="s">
        <v>646</v>
      </c>
      <c r="AV669" s="89" t="s">
        <v>646</v>
      </c>
      <c r="AW669" s="89" t="s">
        <v>646</v>
      </c>
      <c r="AX669" s="89" t="s">
        <v>646</v>
      </c>
      <c r="AY669" s="89" t="s">
        <v>22940</v>
      </c>
      <c r="AZ669" s="89" t="s">
        <v>22941</v>
      </c>
      <c r="BA669" s="89" t="s">
        <v>646</v>
      </c>
      <c r="BB669" s="89" t="s">
        <v>646</v>
      </c>
      <c r="BC669" s="89" t="s">
        <v>646</v>
      </c>
      <c r="BD669" s="89" t="s">
        <v>17658</v>
      </c>
      <c r="BE669" s="89">
        <v>2015</v>
      </c>
      <c r="BF669" s="89">
        <v>57</v>
      </c>
      <c r="BG669" s="89" t="s">
        <v>646</v>
      </c>
      <c r="BH669" s="89" t="s">
        <v>646</v>
      </c>
      <c r="BI669" s="89" t="s">
        <v>646</v>
      </c>
      <c r="BJ669" s="89" t="s">
        <v>646</v>
      </c>
      <c r="BK669" s="89" t="s">
        <v>646</v>
      </c>
      <c r="BL669" s="89">
        <v>19</v>
      </c>
      <c r="BM669" s="89">
        <v>39</v>
      </c>
      <c r="BN669" s="89" t="s">
        <v>646</v>
      </c>
      <c r="BO669" s="89" t="str">
        <f>HYPERLINK("http://dx.doi.org/10.1016/j.ijar.2014.11.003","http://dx.doi.org/10.1016/j.ijar.2014.11.003")</f>
        <v>http://dx.doi.org/10.1016/j.ijar.2014.11.003</v>
      </c>
      <c r="BP669" s="89" t="s">
        <v>646</v>
      </c>
      <c r="BQ669" s="89" t="s">
        <v>646</v>
      </c>
      <c r="BR669" s="89" t="s">
        <v>646</v>
      </c>
      <c r="BS669" s="89" t="s">
        <v>646</v>
      </c>
      <c r="BT669" s="89" t="s">
        <v>646</v>
      </c>
      <c r="BU669" s="89" t="s">
        <v>646</v>
      </c>
      <c r="BV669" s="89" t="s">
        <v>646</v>
      </c>
      <c r="BW669" s="89" t="s">
        <v>646</v>
      </c>
      <c r="BX669" s="89" t="s">
        <v>646</v>
      </c>
      <c r="BY669" s="89" t="s">
        <v>646</v>
      </c>
      <c r="BZ669" s="89" t="s">
        <v>646</v>
      </c>
      <c r="CA669" s="89" t="s">
        <v>646</v>
      </c>
      <c r="CB669" s="89" t="s">
        <v>22942</v>
      </c>
      <c r="CC669" s="89" t="str">
        <f>HYPERLINK("https%3A%2F%2Fwww.webofscience.com%2Fwos%2Fwoscc%2Ffull-record%2FWOS:000349879900002","View Full Record in Web of Science")</f>
        <v>View Full Record in Web of Science</v>
      </c>
    </row>
    <row r="670" spans="1:81" ht="13.2" hidden="1" x14ac:dyDescent="0.25">
      <c r="A670" s="89" t="s">
        <v>22943</v>
      </c>
      <c r="B670" s="89" t="e">
        <f>+#REF!</f>
        <v>#REF!</v>
      </c>
      <c r="C670" s="89"/>
      <c r="D670" s="91" t="s">
        <v>717</v>
      </c>
      <c r="E670" s="90" t="e">
        <v>#REF!</v>
      </c>
      <c r="F670" s="89"/>
      <c r="G670" s="89"/>
      <c r="H670" s="89" t="s">
        <v>14139</v>
      </c>
      <c r="I670" s="89" t="s">
        <v>22944</v>
      </c>
      <c r="J670" s="89" t="s">
        <v>22946</v>
      </c>
      <c r="K670" s="89" t="s">
        <v>22945</v>
      </c>
      <c r="M670" s="89">
        <v>2021</v>
      </c>
      <c r="N670" s="89" t="s">
        <v>21676</v>
      </c>
      <c r="O670" s="89" t="s">
        <v>646</v>
      </c>
      <c r="P670" s="89" t="str">
        <f>HYPERLINK("http://dx.doi.org/10.1108/TR-10-2019-0404","http://dx.doi.org/10.1108/TR-10-2019-0404")</f>
        <v>http://dx.doi.org/10.1108/TR-10-2019-0404</v>
      </c>
      <c r="S670" s="89" t="s">
        <v>646</v>
      </c>
      <c r="U670" s="89" t="s">
        <v>17462</v>
      </c>
      <c r="W670" s="89" t="s">
        <v>646</v>
      </c>
      <c r="X670" s="89" t="s">
        <v>646</v>
      </c>
      <c r="Y670" s="89" t="s">
        <v>646</v>
      </c>
      <c r="Z670" s="89" t="s">
        <v>646</v>
      </c>
      <c r="AA670" s="89" t="s">
        <v>646</v>
      </c>
      <c r="AB670" s="89" t="s">
        <v>646</v>
      </c>
      <c r="AC670" s="89" t="s">
        <v>646</v>
      </c>
      <c r="AD670" s="89" t="s">
        <v>646</v>
      </c>
      <c r="AE670" s="89" t="s">
        <v>646</v>
      </c>
      <c r="AF670" s="89" t="s">
        <v>22945</v>
      </c>
      <c r="AG670" s="89" t="s">
        <v>646</v>
      </c>
      <c r="AH670" s="89" t="s">
        <v>646</v>
      </c>
      <c r="AI670" s="89" t="s">
        <v>646</v>
      </c>
      <c r="AJ670" s="89" t="s">
        <v>646</v>
      </c>
      <c r="AK670" s="89" t="s">
        <v>22946</v>
      </c>
      <c r="AL670" s="89" t="s">
        <v>22947</v>
      </c>
      <c r="AM670" s="89" t="s">
        <v>646</v>
      </c>
      <c r="AN670" s="89" t="s">
        <v>646</v>
      </c>
      <c r="AO670" s="89" t="s">
        <v>646</v>
      </c>
      <c r="AP670" s="89" t="s">
        <v>646</v>
      </c>
      <c r="AQ670" s="89" t="s">
        <v>646</v>
      </c>
      <c r="AR670" s="89" t="s">
        <v>646</v>
      </c>
      <c r="AS670" s="89" t="s">
        <v>646</v>
      </c>
      <c r="AT670" s="89" t="s">
        <v>646</v>
      </c>
      <c r="AU670" s="89" t="s">
        <v>646</v>
      </c>
      <c r="AV670" s="89" t="s">
        <v>646</v>
      </c>
      <c r="AW670" s="89" t="s">
        <v>646</v>
      </c>
      <c r="AX670" s="89" t="s">
        <v>646</v>
      </c>
      <c r="AY670" s="89" t="s">
        <v>21680</v>
      </c>
      <c r="AZ670" s="89" t="s">
        <v>21681</v>
      </c>
      <c r="BA670" s="89" t="s">
        <v>646</v>
      </c>
      <c r="BB670" s="89" t="s">
        <v>646</v>
      </c>
      <c r="BC670" s="89" t="s">
        <v>646</v>
      </c>
      <c r="BD670" s="89" t="s">
        <v>22948</v>
      </c>
      <c r="BE670" s="89">
        <v>2021</v>
      </c>
      <c r="BF670" s="89">
        <v>76</v>
      </c>
      <c r="BG670" s="89">
        <v>3</v>
      </c>
      <c r="BH670" s="89" t="s">
        <v>646</v>
      </c>
      <c r="BI670" s="89" t="s">
        <v>646</v>
      </c>
      <c r="BJ670" s="89" t="s">
        <v>646</v>
      </c>
      <c r="BK670" s="89" t="s">
        <v>646</v>
      </c>
      <c r="BL670" s="89">
        <v>639</v>
      </c>
      <c r="BM670" s="89">
        <v>653</v>
      </c>
      <c r="BN670" s="89" t="s">
        <v>646</v>
      </c>
      <c r="BO670" s="89" t="str">
        <f>HYPERLINK("http://dx.doi.org/10.1108/TR-10-2019-0404","http://dx.doi.org/10.1108/TR-10-2019-0404")</f>
        <v>http://dx.doi.org/10.1108/TR-10-2019-0404</v>
      </c>
      <c r="BP670" s="89" t="s">
        <v>646</v>
      </c>
      <c r="BQ670" s="89" t="s">
        <v>22670</v>
      </c>
      <c r="BR670" s="89" t="s">
        <v>646</v>
      </c>
      <c r="BS670" s="89" t="s">
        <v>646</v>
      </c>
      <c r="BT670" s="89" t="s">
        <v>646</v>
      </c>
      <c r="BU670" s="89" t="s">
        <v>646</v>
      </c>
      <c r="BV670" s="89" t="s">
        <v>646</v>
      </c>
      <c r="BW670" s="89" t="s">
        <v>646</v>
      </c>
      <c r="BX670" s="89" t="s">
        <v>646</v>
      </c>
      <c r="BY670" s="89" t="s">
        <v>646</v>
      </c>
      <c r="BZ670" s="89" t="s">
        <v>646</v>
      </c>
      <c r="CA670" s="89" t="s">
        <v>646</v>
      </c>
      <c r="CB670" s="89" t="s">
        <v>22949</v>
      </c>
      <c r="CC670" s="89" t="str">
        <f>HYPERLINK("https%3A%2F%2Fwww.webofscience.com%2Fwos%2Fwoscc%2Ffull-record%2FWOS:000525446300001","View Full Record in Web of Science")</f>
        <v>View Full Record in Web of Science</v>
      </c>
    </row>
    <row r="671" spans="1:81" ht="13.2" hidden="1" x14ac:dyDescent="0.25">
      <c r="A671" s="89" t="s">
        <v>22950</v>
      </c>
      <c r="B671" s="89" t="e">
        <f>+#REF!</f>
        <v>#REF!</v>
      </c>
      <c r="C671" s="89"/>
      <c r="D671" s="91" t="s">
        <v>717</v>
      </c>
      <c r="E671" s="90" t="e">
        <v>#REF!</v>
      </c>
      <c r="F671" s="89"/>
      <c r="G671" s="89"/>
      <c r="H671" s="89" t="s">
        <v>9947</v>
      </c>
      <c r="I671" s="89" t="s">
        <v>22951</v>
      </c>
      <c r="J671" s="89" t="s">
        <v>646</v>
      </c>
      <c r="K671" s="89" t="s">
        <v>22952</v>
      </c>
      <c r="M671" s="89">
        <v>2022</v>
      </c>
      <c r="N671" s="89" t="s">
        <v>22752</v>
      </c>
      <c r="O671" s="89" t="s">
        <v>646</v>
      </c>
      <c r="P671" s="89" t="str">
        <f>HYPERLINK("http://dx.doi.org/10.1016/j.bodyim.2022.05.011","http://dx.doi.org/10.1016/j.bodyim.2022.05.011")</f>
        <v>http://dx.doi.org/10.1016/j.bodyim.2022.05.011</v>
      </c>
      <c r="S671" s="89" t="s">
        <v>646</v>
      </c>
      <c r="U671" s="89" t="s">
        <v>17462</v>
      </c>
      <c r="W671" s="89" t="s">
        <v>646</v>
      </c>
      <c r="X671" s="89" t="s">
        <v>646</v>
      </c>
      <c r="Y671" s="89" t="s">
        <v>646</v>
      </c>
      <c r="Z671" s="89" t="s">
        <v>646</v>
      </c>
      <c r="AA671" s="89" t="s">
        <v>646</v>
      </c>
      <c r="AB671" s="89" t="s">
        <v>646</v>
      </c>
      <c r="AC671" s="89" t="s">
        <v>646</v>
      </c>
      <c r="AD671" s="89" t="s">
        <v>646</v>
      </c>
      <c r="AE671" s="89" t="s">
        <v>646</v>
      </c>
      <c r="AF671" s="89" t="s">
        <v>22952</v>
      </c>
      <c r="AG671" s="89" t="s">
        <v>646</v>
      </c>
      <c r="AH671" s="89" t="s">
        <v>646</v>
      </c>
      <c r="AI671" s="89" t="s">
        <v>646</v>
      </c>
      <c r="AJ671" s="89" t="s">
        <v>646</v>
      </c>
      <c r="AK671" s="89" t="s">
        <v>646</v>
      </c>
      <c r="AL671" s="89" t="s">
        <v>646</v>
      </c>
      <c r="AM671" s="89" t="s">
        <v>646</v>
      </c>
      <c r="AN671" s="89" t="s">
        <v>646</v>
      </c>
      <c r="AO671" s="89" t="s">
        <v>646</v>
      </c>
      <c r="AP671" s="89" t="s">
        <v>646</v>
      </c>
      <c r="AQ671" s="89" t="s">
        <v>646</v>
      </c>
      <c r="AR671" s="89" t="s">
        <v>646</v>
      </c>
      <c r="AS671" s="89" t="s">
        <v>646</v>
      </c>
      <c r="AT671" s="89" t="s">
        <v>646</v>
      </c>
      <c r="AU671" s="89" t="s">
        <v>646</v>
      </c>
      <c r="AV671" s="89" t="s">
        <v>646</v>
      </c>
      <c r="AW671" s="89" t="s">
        <v>646</v>
      </c>
      <c r="AX671" s="89" t="s">
        <v>646</v>
      </c>
      <c r="AY671" s="89" t="s">
        <v>22755</v>
      </c>
      <c r="AZ671" s="89" t="s">
        <v>22756</v>
      </c>
      <c r="BA671" s="89" t="s">
        <v>646</v>
      </c>
      <c r="BB671" s="89" t="s">
        <v>646</v>
      </c>
      <c r="BC671" s="89" t="s">
        <v>646</v>
      </c>
      <c r="BD671" s="89" t="s">
        <v>17739</v>
      </c>
      <c r="BE671" s="89">
        <v>2022</v>
      </c>
      <c r="BF671" s="89">
        <v>42</v>
      </c>
      <c r="BG671" s="89" t="s">
        <v>646</v>
      </c>
      <c r="BH671" s="89" t="s">
        <v>646</v>
      </c>
      <c r="BI671" s="89" t="s">
        <v>646</v>
      </c>
      <c r="BJ671" s="89" t="s">
        <v>646</v>
      </c>
      <c r="BK671" s="89" t="s">
        <v>646</v>
      </c>
      <c r="BL671" s="89">
        <v>98</v>
      </c>
      <c r="BM671" s="89">
        <v>109</v>
      </c>
      <c r="BN671" s="89" t="s">
        <v>646</v>
      </c>
      <c r="BO671" s="89" t="str">
        <f>HYPERLINK("http://dx.doi.org/10.1016/j.bodyim.2022.05.011","http://dx.doi.org/10.1016/j.bodyim.2022.05.011")</f>
        <v>http://dx.doi.org/10.1016/j.bodyim.2022.05.011</v>
      </c>
      <c r="BP671" s="89" t="s">
        <v>646</v>
      </c>
      <c r="BQ671" s="89" t="s">
        <v>646</v>
      </c>
      <c r="BR671" s="89" t="s">
        <v>646</v>
      </c>
      <c r="BS671" s="89" t="s">
        <v>646</v>
      </c>
      <c r="BT671" s="89" t="s">
        <v>646</v>
      </c>
      <c r="BU671" s="89" t="s">
        <v>646</v>
      </c>
      <c r="BV671" s="89" t="s">
        <v>646</v>
      </c>
      <c r="BW671" s="89">
        <v>35688055</v>
      </c>
      <c r="BX671" s="89" t="s">
        <v>646</v>
      </c>
      <c r="BY671" s="89" t="s">
        <v>646</v>
      </c>
      <c r="BZ671" s="89" t="s">
        <v>646</v>
      </c>
      <c r="CA671" s="89" t="s">
        <v>646</v>
      </c>
      <c r="CB671" s="89" t="s">
        <v>22953</v>
      </c>
      <c r="CC671" s="89" t="str">
        <f>HYPERLINK("https%3A%2F%2Fwww.webofscience.com%2Fwos%2Fwoscc%2Ffull-record%2FWOS:000822678500007","View Full Record in Web of Science")</f>
        <v>View Full Record in Web of Science</v>
      </c>
    </row>
    <row r="672" spans="1:81" ht="13.2" hidden="1" x14ac:dyDescent="0.25">
      <c r="A672" s="89" t="s">
        <v>9955</v>
      </c>
      <c r="B672" s="89" t="e">
        <f>+#REF!</f>
        <v>#REF!</v>
      </c>
      <c r="C672" s="89"/>
      <c r="D672" s="91" t="s">
        <v>717</v>
      </c>
      <c r="E672" s="90" t="e">
        <v>#REF!</v>
      </c>
      <c r="F672" s="89"/>
      <c r="G672" s="89"/>
      <c r="H672" s="89" t="s">
        <v>9956</v>
      </c>
      <c r="I672" s="89" t="s">
        <v>22954</v>
      </c>
      <c r="J672" s="89" t="s">
        <v>646</v>
      </c>
      <c r="K672" s="89" t="s">
        <v>22956</v>
      </c>
      <c r="M672" s="89">
        <v>2022</v>
      </c>
      <c r="N672" s="89" t="s">
        <v>22955</v>
      </c>
      <c r="O672" s="89" t="s">
        <v>646</v>
      </c>
      <c r="P672" s="89" t="str">
        <f>HYPERLINK("http://dx.doi.org/10.1177/00187267211025283","http://dx.doi.org/10.1177/00187267211025283")</f>
        <v>http://dx.doi.org/10.1177/00187267211025283</v>
      </c>
      <c r="S672" s="89" t="s">
        <v>646</v>
      </c>
      <c r="U672" s="89" t="s">
        <v>17462</v>
      </c>
      <c r="W672" s="89" t="s">
        <v>646</v>
      </c>
      <c r="X672" s="89" t="s">
        <v>646</v>
      </c>
      <c r="Y672" s="89" t="s">
        <v>646</v>
      </c>
      <c r="Z672" s="89" t="s">
        <v>646</v>
      </c>
      <c r="AA672" s="89" t="s">
        <v>646</v>
      </c>
      <c r="AB672" s="89" t="s">
        <v>646</v>
      </c>
      <c r="AC672" s="89" t="s">
        <v>646</v>
      </c>
      <c r="AD672" s="89" t="s">
        <v>646</v>
      </c>
      <c r="AE672" s="89" t="s">
        <v>646</v>
      </c>
      <c r="AF672" s="89" t="s">
        <v>22956</v>
      </c>
      <c r="AG672" s="89" t="s">
        <v>646</v>
      </c>
      <c r="AH672" s="89" t="s">
        <v>646</v>
      </c>
      <c r="AI672" s="89" t="s">
        <v>646</v>
      </c>
      <c r="AJ672" s="89" t="s">
        <v>646</v>
      </c>
      <c r="AK672" s="89" t="s">
        <v>646</v>
      </c>
      <c r="AL672" s="89" t="s">
        <v>22957</v>
      </c>
      <c r="AM672" s="89" t="s">
        <v>646</v>
      </c>
      <c r="AN672" s="89" t="s">
        <v>646</v>
      </c>
      <c r="AO672" s="89" t="s">
        <v>646</v>
      </c>
      <c r="AP672" s="89" t="s">
        <v>646</v>
      </c>
      <c r="AQ672" s="89" t="s">
        <v>646</v>
      </c>
      <c r="AR672" s="89" t="s">
        <v>646</v>
      </c>
      <c r="AS672" s="89" t="s">
        <v>646</v>
      </c>
      <c r="AT672" s="89" t="s">
        <v>646</v>
      </c>
      <c r="AU672" s="89" t="s">
        <v>646</v>
      </c>
      <c r="AV672" s="89" t="s">
        <v>646</v>
      </c>
      <c r="AW672" s="89" t="s">
        <v>646</v>
      </c>
      <c r="AX672" s="89" t="s">
        <v>646</v>
      </c>
      <c r="AY672" s="89" t="s">
        <v>22958</v>
      </c>
      <c r="AZ672" s="89" t="s">
        <v>22959</v>
      </c>
      <c r="BA672" s="89" t="s">
        <v>646</v>
      </c>
      <c r="BB672" s="89" t="s">
        <v>646</v>
      </c>
      <c r="BC672" s="89" t="s">
        <v>646</v>
      </c>
      <c r="BD672" s="89" t="s">
        <v>17739</v>
      </c>
      <c r="BE672" s="89">
        <v>2022</v>
      </c>
      <c r="BF672" s="89">
        <v>75</v>
      </c>
      <c r="BG672" s="89">
        <v>9</v>
      </c>
      <c r="BH672" s="89" t="s">
        <v>646</v>
      </c>
      <c r="BI672" s="89" t="s">
        <v>646</v>
      </c>
      <c r="BJ672" s="89" t="s">
        <v>646</v>
      </c>
      <c r="BK672" s="89" t="s">
        <v>646</v>
      </c>
      <c r="BL672" s="89">
        <v>1824</v>
      </c>
      <c r="BM672" s="89">
        <v>1848</v>
      </c>
      <c r="BN672" s="89">
        <v>187267211025283</v>
      </c>
      <c r="BO672" s="89" t="str">
        <f>HYPERLINK("http://dx.doi.org/10.1177/00187267211025283","http://dx.doi.org/10.1177/00187267211025283")</f>
        <v>http://dx.doi.org/10.1177/00187267211025283</v>
      </c>
      <c r="BP672" s="89" t="s">
        <v>646</v>
      </c>
      <c r="BQ672" s="89" t="s">
        <v>17514</v>
      </c>
      <c r="BR672" s="89" t="s">
        <v>646</v>
      </c>
      <c r="BS672" s="89" t="s">
        <v>646</v>
      </c>
      <c r="BT672" s="89" t="s">
        <v>646</v>
      </c>
      <c r="BU672" s="89" t="s">
        <v>646</v>
      </c>
      <c r="BV672" s="89" t="s">
        <v>646</v>
      </c>
      <c r="BW672" s="89" t="s">
        <v>646</v>
      </c>
      <c r="BX672" s="89" t="s">
        <v>646</v>
      </c>
      <c r="BY672" s="89" t="s">
        <v>646</v>
      </c>
      <c r="BZ672" s="89" t="s">
        <v>646</v>
      </c>
      <c r="CA672" s="89" t="s">
        <v>646</v>
      </c>
      <c r="CB672" s="89" t="s">
        <v>22960</v>
      </c>
      <c r="CC672" s="89" t="str">
        <f>HYPERLINK("https%3A%2F%2Fwww.webofscience.com%2Fwos%2Fwoscc%2Ffull-record%2FWOS:000666619600001","View Full Record in Web of Science")</f>
        <v>View Full Record in Web of Science</v>
      </c>
    </row>
    <row r="673" spans="1:81" ht="13.2" hidden="1" x14ac:dyDescent="0.25">
      <c r="A673" s="89" t="s">
        <v>14147</v>
      </c>
      <c r="B673" s="89" t="e">
        <f>+#REF!</f>
        <v>#REF!</v>
      </c>
      <c r="C673" s="89"/>
      <c r="D673" s="91" t="s">
        <v>717</v>
      </c>
      <c r="E673" s="90" t="e">
        <v>#REF!</v>
      </c>
      <c r="F673" s="89"/>
      <c r="G673" s="89"/>
      <c r="H673" s="89" t="s">
        <v>646</v>
      </c>
      <c r="I673" s="89" t="s">
        <v>22962</v>
      </c>
      <c r="J673" s="89" t="s">
        <v>22969</v>
      </c>
      <c r="K673" s="89" t="s">
        <v>22968</v>
      </c>
      <c r="M673" s="89">
        <v>2019</v>
      </c>
      <c r="N673" s="89" t="s">
        <v>22963</v>
      </c>
      <c r="O673" s="89" t="s">
        <v>22961</v>
      </c>
      <c r="P673" s="89" t="s">
        <v>646</v>
      </c>
      <c r="S673" s="89" t="s">
        <v>646</v>
      </c>
      <c r="U673" s="89" t="s">
        <v>17474</v>
      </c>
      <c r="W673" s="89" t="s">
        <v>646</v>
      </c>
      <c r="X673" s="89" t="s">
        <v>646</v>
      </c>
      <c r="Y673" s="89" t="s">
        <v>22964</v>
      </c>
      <c r="Z673" s="89" t="s">
        <v>22965</v>
      </c>
      <c r="AA673" s="89" t="s">
        <v>22966</v>
      </c>
      <c r="AB673" s="89" t="s">
        <v>17475</v>
      </c>
      <c r="AC673" s="89" t="s">
        <v>22967</v>
      </c>
      <c r="AD673" s="89" t="s">
        <v>646</v>
      </c>
      <c r="AE673" s="89" t="s">
        <v>646</v>
      </c>
      <c r="AF673" s="89" t="s">
        <v>22968</v>
      </c>
      <c r="AG673" s="89" t="s">
        <v>646</v>
      </c>
      <c r="AH673" s="89" t="s">
        <v>646</v>
      </c>
      <c r="AI673" s="89" t="s">
        <v>646</v>
      </c>
      <c r="AJ673" s="89" t="s">
        <v>646</v>
      </c>
      <c r="AK673" s="89" t="s">
        <v>22969</v>
      </c>
      <c r="AL673" s="89" t="s">
        <v>22970</v>
      </c>
      <c r="AM673" s="89" t="s">
        <v>646</v>
      </c>
      <c r="AN673" s="89" t="s">
        <v>646</v>
      </c>
      <c r="AO673" s="89" t="s">
        <v>646</v>
      </c>
      <c r="AP673" s="89" t="s">
        <v>646</v>
      </c>
      <c r="AQ673" s="89" t="s">
        <v>646</v>
      </c>
      <c r="AR673" s="89" t="s">
        <v>646</v>
      </c>
      <c r="AS673" s="89" t="s">
        <v>646</v>
      </c>
      <c r="AT673" s="89" t="s">
        <v>646</v>
      </c>
      <c r="AU673" s="89" t="s">
        <v>646</v>
      </c>
      <c r="AV673" s="89" t="s">
        <v>646</v>
      </c>
      <c r="AW673" s="89" t="s">
        <v>646</v>
      </c>
      <c r="AX673" s="89" t="s">
        <v>646</v>
      </c>
      <c r="AY673" s="89" t="s">
        <v>646</v>
      </c>
      <c r="AZ673" s="89" t="s">
        <v>646</v>
      </c>
      <c r="BA673" s="89" t="s">
        <v>22971</v>
      </c>
      <c r="BB673" s="89" t="s">
        <v>646</v>
      </c>
      <c r="BC673" s="89" t="s">
        <v>646</v>
      </c>
      <c r="BD673" s="89" t="s">
        <v>646</v>
      </c>
      <c r="BE673" s="89">
        <v>2019</v>
      </c>
      <c r="BF673" s="89" t="s">
        <v>646</v>
      </c>
      <c r="BG673" s="89" t="s">
        <v>646</v>
      </c>
      <c r="BH673" s="89" t="s">
        <v>646</v>
      </c>
      <c r="BI673" s="89" t="s">
        <v>646</v>
      </c>
      <c r="BJ673" s="89" t="s">
        <v>646</v>
      </c>
      <c r="BK673" s="89" t="s">
        <v>646</v>
      </c>
      <c r="BL673" s="89">
        <v>70</v>
      </c>
      <c r="BM673" s="89">
        <v>75</v>
      </c>
      <c r="BN673" s="89" t="s">
        <v>646</v>
      </c>
      <c r="BO673" s="89" t="s">
        <v>646</v>
      </c>
      <c r="BP673" s="89" t="s">
        <v>646</v>
      </c>
      <c r="BQ673" s="89" t="s">
        <v>646</v>
      </c>
      <c r="BR673" s="89" t="s">
        <v>646</v>
      </c>
      <c r="BS673" s="89" t="s">
        <v>646</v>
      </c>
      <c r="BT673" s="89" t="s">
        <v>646</v>
      </c>
      <c r="BU673" s="89" t="s">
        <v>646</v>
      </c>
      <c r="BV673" s="89" t="s">
        <v>646</v>
      </c>
      <c r="BW673" s="89" t="s">
        <v>646</v>
      </c>
      <c r="BX673" s="89" t="s">
        <v>646</v>
      </c>
      <c r="BY673" s="89" t="s">
        <v>646</v>
      </c>
      <c r="BZ673" s="89" t="s">
        <v>646</v>
      </c>
      <c r="CA673" s="89" t="s">
        <v>646</v>
      </c>
      <c r="CB673" s="89" t="s">
        <v>22972</v>
      </c>
      <c r="CC673" s="89" t="str">
        <f>HYPERLINK("https%3A%2F%2Fwww.webofscience.com%2Fwos%2Fwoscc%2Ffull-record%2FWOS:000474728000016","View Full Record in Web of Science")</f>
        <v>View Full Record in Web of Science</v>
      </c>
    </row>
    <row r="674" spans="1:81" ht="13.2" hidden="1" x14ac:dyDescent="0.25">
      <c r="A674" s="89" t="s">
        <v>9965</v>
      </c>
      <c r="B674" s="89" t="e">
        <f>+#REF!</f>
        <v>#REF!</v>
      </c>
      <c r="C674" s="89"/>
      <c r="D674" s="91" t="s">
        <v>717</v>
      </c>
      <c r="E674" s="90" t="e">
        <v>#REF!</v>
      </c>
      <c r="F674" s="89"/>
      <c r="G674" s="89"/>
      <c r="H674" s="89" t="s">
        <v>9966</v>
      </c>
      <c r="I674" s="89" t="s">
        <v>22973</v>
      </c>
      <c r="J674" s="89" t="s">
        <v>646</v>
      </c>
      <c r="K674" s="89" t="s">
        <v>22974</v>
      </c>
      <c r="M674" s="89">
        <v>2022</v>
      </c>
      <c r="N674" s="89" t="s">
        <v>21058</v>
      </c>
      <c r="O674" s="89" t="s">
        <v>646</v>
      </c>
      <c r="P674" s="89" t="str">
        <f>HYPERLINK("http://dx.doi.org/10.1108/JPBM-09-2020-3121","http://dx.doi.org/10.1108/JPBM-09-2020-3121")</f>
        <v>http://dx.doi.org/10.1108/JPBM-09-2020-3121</v>
      </c>
      <c r="S674" s="89" t="s">
        <v>646</v>
      </c>
      <c r="U674" s="89" t="s">
        <v>17462</v>
      </c>
      <c r="W674" s="89" t="s">
        <v>646</v>
      </c>
      <c r="X674" s="89" t="s">
        <v>646</v>
      </c>
      <c r="Y674" s="89" t="s">
        <v>646</v>
      </c>
      <c r="Z674" s="89" t="s">
        <v>646</v>
      </c>
      <c r="AA674" s="89" t="s">
        <v>646</v>
      </c>
      <c r="AB674" s="89" t="s">
        <v>646</v>
      </c>
      <c r="AC674" s="89" t="s">
        <v>646</v>
      </c>
      <c r="AD674" s="89" t="s">
        <v>646</v>
      </c>
      <c r="AE674" s="89" t="s">
        <v>646</v>
      </c>
      <c r="AF674" s="89" t="s">
        <v>22974</v>
      </c>
      <c r="AG674" s="89" t="s">
        <v>646</v>
      </c>
      <c r="AH674" s="89" t="s">
        <v>646</v>
      </c>
      <c r="AI674" s="89" t="s">
        <v>646</v>
      </c>
      <c r="AJ674" s="89" t="s">
        <v>646</v>
      </c>
      <c r="AK674" s="89" t="s">
        <v>646</v>
      </c>
      <c r="AL674" s="89" t="s">
        <v>646</v>
      </c>
      <c r="AM674" s="89" t="s">
        <v>646</v>
      </c>
      <c r="AN674" s="89" t="s">
        <v>646</v>
      </c>
      <c r="AO674" s="89" t="s">
        <v>646</v>
      </c>
      <c r="AP674" s="89" t="s">
        <v>646</v>
      </c>
      <c r="AQ674" s="89" t="s">
        <v>646</v>
      </c>
      <c r="AR674" s="89" t="s">
        <v>646</v>
      </c>
      <c r="AS674" s="89" t="s">
        <v>646</v>
      </c>
      <c r="AT674" s="89" t="s">
        <v>646</v>
      </c>
      <c r="AU674" s="89" t="s">
        <v>646</v>
      </c>
      <c r="AV674" s="89" t="s">
        <v>646</v>
      </c>
      <c r="AW674" s="89" t="s">
        <v>646</v>
      </c>
      <c r="AX674" s="89" t="s">
        <v>646</v>
      </c>
      <c r="AY674" s="89" t="s">
        <v>21062</v>
      </c>
      <c r="AZ674" s="89" t="s">
        <v>21063</v>
      </c>
      <c r="BA674" s="89" t="s">
        <v>646</v>
      </c>
      <c r="BB674" s="89" t="s">
        <v>646</v>
      </c>
      <c r="BC674" s="89" t="s">
        <v>646</v>
      </c>
      <c r="BD674" s="89" t="s">
        <v>18590</v>
      </c>
      <c r="BE674" s="89">
        <v>2022</v>
      </c>
      <c r="BF674" s="89">
        <v>31</v>
      </c>
      <c r="BG674" s="89">
        <v>3</v>
      </c>
      <c r="BH674" s="89" t="s">
        <v>646</v>
      </c>
      <c r="BI674" s="89" t="s">
        <v>646</v>
      </c>
      <c r="BJ674" s="89" t="s">
        <v>17555</v>
      </c>
      <c r="BK674" s="89" t="s">
        <v>646</v>
      </c>
      <c r="BL674" s="89">
        <v>377</v>
      </c>
      <c r="BM674" s="89">
        <v>393</v>
      </c>
      <c r="BN674" s="89" t="s">
        <v>646</v>
      </c>
      <c r="BO674" s="89" t="str">
        <f>HYPERLINK("http://dx.doi.org/10.1108/JPBM-09-2020-3121","http://dx.doi.org/10.1108/JPBM-09-2020-3121")</f>
        <v>http://dx.doi.org/10.1108/JPBM-09-2020-3121</v>
      </c>
      <c r="BP674" s="89" t="s">
        <v>646</v>
      </c>
      <c r="BQ674" s="89" t="s">
        <v>17598</v>
      </c>
      <c r="BR674" s="89" t="s">
        <v>646</v>
      </c>
      <c r="BS674" s="89" t="s">
        <v>646</v>
      </c>
      <c r="BT674" s="89" t="s">
        <v>646</v>
      </c>
      <c r="BU674" s="89" t="s">
        <v>646</v>
      </c>
      <c r="BV674" s="89" t="s">
        <v>646</v>
      </c>
      <c r="BW674" s="89" t="s">
        <v>646</v>
      </c>
      <c r="BX674" s="89" t="s">
        <v>646</v>
      </c>
      <c r="BY674" s="89" t="s">
        <v>646</v>
      </c>
      <c r="BZ674" s="89" t="s">
        <v>646</v>
      </c>
      <c r="CA674" s="89" t="s">
        <v>646</v>
      </c>
      <c r="CB674" s="89" t="s">
        <v>22975</v>
      </c>
      <c r="CC674" s="89" t="str">
        <f>HYPERLINK("https%3A%2F%2Fwww.webofscience.com%2Fwos%2Fwoscc%2Ffull-record%2FWOS:000694966800001","View Full Record in Web of Science")</f>
        <v>View Full Record in Web of Science</v>
      </c>
    </row>
    <row r="675" spans="1:81" ht="13.2" hidden="1" x14ac:dyDescent="0.25">
      <c r="A675" s="89" t="s">
        <v>14156</v>
      </c>
      <c r="B675" s="89" t="e">
        <f>+#REF!</f>
        <v>#REF!</v>
      </c>
      <c r="C675" s="89"/>
      <c r="D675" s="91" t="s">
        <v>717</v>
      </c>
      <c r="E675" s="90" t="e">
        <v>#REF!</v>
      </c>
      <c r="F675" s="89"/>
      <c r="G675" s="89"/>
      <c r="H675" s="89" t="s">
        <v>14157</v>
      </c>
      <c r="I675" s="89" t="s">
        <v>22976</v>
      </c>
      <c r="J675" s="89" t="s">
        <v>646</v>
      </c>
      <c r="K675" s="89" t="s">
        <v>22977</v>
      </c>
      <c r="M675" s="89">
        <v>2018</v>
      </c>
      <c r="N675" s="89" t="s">
        <v>22462</v>
      </c>
      <c r="O675" s="89" t="s">
        <v>646</v>
      </c>
      <c r="P675" s="89" t="str">
        <f>HYPERLINK("http://dx.doi.org/10.1080/10826084.2017.1365087","http://dx.doi.org/10.1080/10826084.2017.1365087")</f>
        <v>http://dx.doi.org/10.1080/10826084.2017.1365087</v>
      </c>
      <c r="S675" s="89" t="s">
        <v>646</v>
      </c>
      <c r="U675" s="89" t="s">
        <v>17462</v>
      </c>
      <c r="W675" s="89" t="s">
        <v>646</v>
      </c>
      <c r="X675" s="89" t="s">
        <v>646</v>
      </c>
      <c r="Y675" s="89" t="s">
        <v>646</v>
      </c>
      <c r="Z675" s="89" t="s">
        <v>646</v>
      </c>
      <c r="AA675" s="89" t="s">
        <v>646</v>
      </c>
      <c r="AB675" s="89" t="s">
        <v>646</v>
      </c>
      <c r="AC675" s="89" t="s">
        <v>646</v>
      </c>
      <c r="AD675" s="89" t="s">
        <v>646</v>
      </c>
      <c r="AE675" s="89" t="s">
        <v>646</v>
      </c>
      <c r="AF675" s="89" t="s">
        <v>22977</v>
      </c>
      <c r="AG675" s="89" t="s">
        <v>646</v>
      </c>
      <c r="AH675" s="89" t="s">
        <v>646</v>
      </c>
      <c r="AI675" s="89" t="s">
        <v>646</v>
      </c>
      <c r="AJ675" s="89" t="s">
        <v>646</v>
      </c>
      <c r="AK675" s="89" t="s">
        <v>646</v>
      </c>
      <c r="AL675" s="89" t="s">
        <v>646</v>
      </c>
      <c r="AM675" s="89" t="s">
        <v>646</v>
      </c>
      <c r="AN675" s="89" t="s">
        <v>646</v>
      </c>
      <c r="AO675" s="89" t="s">
        <v>646</v>
      </c>
      <c r="AP675" s="89" t="s">
        <v>646</v>
      </c>
      <c r="AQ675" s="89" t="s">
        <v>646</v>
      </c>
      <c r="AR675" s="89" t="s">
        <v>646</v>
      </c>
      <c r="AS675" s="89" t="s">
        <v>646</v>
      </c>
      <c r="AT675" s="89" t="s">
        <v>646</v>
      </c>
      <c r="AU675" s="89" t="s">
        <v>646</v>
      </c>
      <c r="AV675" s="89" t="s">
        <v>646</v>
      </c>
      <c r="AW675" s="89" t="s">
        <v>646</v>
      </c>
      <c r="AX675" s="89" t="s">
        <v>646</v>
      </c>
      <c r="AY675" s="89" t="s">
        <v>22464</v>
      </c>
      <c r="AZ675" s="89" t="s">
        <v>22465</v>
      </c>
      <c r="BA675" s="89" t="s">
        <v>646</v>
      </c>
      <c r="BB675" s="89" t="s">
        <v>646</v>
      </c>
      <c r="BC675" s="89" t="s">
        <v>646</v>
      </c>
      <c r="BD675" s="89" t="s">
        <v>646</v>
      </c>
      <c r="BE675" s="89">
        <v>2018</v>
      </c>
      <c r="BF675" s="89">
        <v>53</v>
      </c>
      <c r="BG675" s="89">
        <v>5</v>
      </c>
      <c r="BH675" s="89" t="s">
        <v>646</v>
      </c>
      <c r="BI675" s="89" t="s">
        <v>646</v>
      </c>
      <c r="BJ675" s="89" t="s">
        <v>646</v>
      </c>
      <c r="BK675" s="89" t="s">
        <v>646</v>
      </c>
      <c r="BL675" s="89">
        <v>773</v>
      </c>
      <c r="BM675" s="89">
        <v>781</v>
      </c>
      <c r="BN675" s="89" t="s">
        <v>646</v>
      </c>
      <c r="BO675" s="89" t="str">
        <f>HYPERLINK("http://dx.doi.org/10.1080/10826084.2017.1365087","http://dx.doi.org/10.1080/10826084.2017.1365087")</f>
        <v>http://dx.doi.org/10.1080/10826084.2017.1365087</v>
      </c>
      <c r="BP675" s="89" t="s">
        <v>646</v>
      </c>
      <c r="BQ675" s="89" t="s">
        <v>646</v>
      </c>
      <c r="BR675" s="89" t="s">
        <v>646</v>
      </c>
      <c r="BS675" s="89" t="s">
        <v>646</v>
      </c>
      <c r="BT675" s="89" t="s">
        <v>646</v>
      </c>
      <c r="BU675" s="89" t="s">
        <v>646</v>
      </c>
      <c r="BV675" s="89" t="s">
        <v>646</v>
      </c>
      <c r="BW675" s="89">
        <v>28960146</v>
      </c>
      <c r="BX675" s="89" t="s">
        <v>646</v>
      </c>
      <c r="BY675" s="89" t="s">
        <v>646</v>
      </c>
      <c r="BZ675" s="89" t="s">
        <v>646</v>
      </c>
      <c r="CA675" s="89" t="s">
        <v>646</v>
      </c>
      <c r="CB675" s="89" t="s">
        <v>22978</v>
      </c>
      <c r="CC675" s="89" t="str">
        <f>HYPERLINK("https%3A%2F%2Fwww.webofscience.com%2Fwos%2Fwoscc%2Ffull-record%2FWOS:000429242900008","View Full Record in Web of Science")</f>
        <v>View Full Record in Web of Science</v>
      </c>
    </row>
    <row r="676" spans="1:81" ht="13.2" hidden="1" x14ac:dyDescent="0.25">
      <c r="A676" s="89" t="s">
        <v>22979</v>
      </c>
      <c r="B676" s="89" t="e">
        <f>+#REF!</f>
        <v>#REF!</v>
      </c>
      <c r="C676" s="89"/>
      <c r="D676" s="91" t="s">
        <v>717</v>
      </c>
      <c r="E676" s="90" t="e">
        <v>#REF!</v>
      </c>
      <c r="F676" s="89"/>
      <c r="G676" s="89"/>
      <c r="H676" s="89" t="s">
        <v>9976</v>
      </c>
      <c r="I676" s="89" t="s">
        <v>22980</v>
      </c>
      <c r="J676" s="89" t="s">
        <v>22983</v>
      </c>
      <c r="K676" s="89" t="s">
        <v>22982</v>
      </c>
      <c r="M676" s="89">
        <v>2021</v>
      </c>
      <c r="N676" s="89" t="s">
        <v>22981</v>
      </c>
      <c r="O676" s="89" t="s">
        <v>646</v>
      </c>
      <c r="P676" s="89" t="str">
        <f>HYPERLINK("http://dx.doi.org/10.5271/sjweh.3931","http://dx.doi.org/10.5271/sjweh.3931")</f>
        <v>http://dx.doi.org/10.5271/sjweh.3931</v>
      </c>
      <c r="S676" s="89" t="s">
        <v>646</v>
      </c>
      <c r="U676" s="89" t="s">
        <v>17462</v>
      </c>
      <c r="W676" s="89" t="s">
        <v>646</v>
      </c>
      <c r="X676" s="89" t="s">
        <v>646</v>
      </c>
      <c r="Y676" s="89" t="s">
        <v>646</v>
      </c>
      <c r="Z676" s="89" t="s">
        <v>646</v>
      </c>
      <c r="AA676" s="89" t="s">
        <v>646</v>
      </c>
      <c r="AB676" s="89" t="s">
        <v>646</v>
      </c>
      <c r="AC676" s="89" t="s">
        <v>646</v>
      </c>
      <c r="AD676" s="89" t="s">
        <v>646</v>
      </c>
      <c r="AE676" s="89" t="s">
        <v>646</v>
      </c>
      <c r="AF676" s="89" t="s">
        <v>22982</v>
      </c>
      <c r="AG676" s="89" t="s">
        <v>646</v>
      </c>
      <c r="AH676" s="89" t="s">
        <v>646</v>
      </c>
      <c r="AI676" s="89" t="s">
        <v>646</v>
      </c>
      <c r="AJ676" s="89" t="s">
        <v>646</v>
      </c>
      <c r="AK676" s="89" t="s">
        <v>22983</v>
      </c>
      <c r="AL676" s="89" t="s">
        <v>22984</v>
      </c>
      <c r="AM676" s="89" t="s">
        <v>646</v>
      </c>
      <c r="AN676" s="89" t="s">
        <v>646</v>
      </c>
      <c r="AO676" s="89" t="s">
        <v>646</v>
      </c>
      <c r="AP676" s="89" t="s">
        <v>646</v>
      </c>
      <c r="AQ676" s="89" t="s">
        <v>646</v>
      </c>
      <c r="AR676" s="89" t="s">
        <v>646</v>
      </c>
      <c r="AS676" s="89" t="s">
        <v>646</v>
      </c>
      <c r="AT676" s="89" t="s">
        <v>646</v>
      </c>
      <c r="AU676" s="89" t="s">
        <v>646</v>
      </c>
      <c r="AV676" s="89" t="s">
        <v>646</v>
      </c>
      <c r="AW676" s="89" t="s">
        <v>646</v>
      </c>
      <c r="AX676" s="89" t="s">
        <v>646</v>
      </c>
      <c r="AY676" s="89" t="s">
        <v>22985</v>
      </c>
      <c r="AZ676" s="89" t="s">
        <v>22986</v>
      </c>
      <c r="BA676" s="89" t="s">
        <v>646</v>
      </c>
      <c r="BB676" s="89" t="s">
        <v>646</v>
      </c>
      <c r="BC676" s="89" t="s">
        <v>646</v>
      </c>
      <c r="BD676" s="89" t="s">
        <v>646</v>
      </c>
      <c r="BE676" s="89">
        <v>2021</v>
      </c>
      <c r="BF676" s="89">
        <v>47</v>
      </c>
      <c r="BG676" s="89">
        <v>2</v>
      </c>
      <c r="BH676" s="89" t="s">
        <v>646</v>
      </c>
      <c r="BI676" s="89" t="s">
        <v>646</v>
      </c>
      <c r="BJ676" s="89" t="s">
        <v>646</v>
      </c>
      <c r="BK676" s="89" t="s">
        <v>646</v>
      </c>
      <c r="BL676" s="89">
        <v>108</v>
      </c>
      <c r="BM676" s="89">
        <v>116</v>
      </c>
      <c r="BN676" s="89" t="s">
        <v>646</v>
      </c>
      <c r="BO676" s="89" t="str">
        <f>HYPERLINK("http://dx.doi.org/10.5271/sjweh.3931","http://dx.doi.org/10.5271/sjweh.3931")</f>
        <v>http://dx.doi.org/10.5271/sjweh.3931</v>
      </c>
      <c r="BP676" s="89" t="s">
        <v>646</v>
      </c>
      <c r="BQ676" s="89" t="s">
        <v>646</v>
      </c>
      <c r="BR676" s="89" t="s">
        <v>646</v>
      </c>
      <c r="BS676" s="89" t="s">
        <v>646</v>
      </c>
      <c r="BT676" s="89" t="s">
        <v>646</v>
      </c>
      <c r="BU676" s="89" t="s">
        <v>646</v>
      </c>
      <c r="BV676" s="89" t="s">
        <v>646</v>
      </c>
      <c r="BW676" s="89">
        <v>33146399</v>
      </c>
      <c r="BX676" s="89" t="s">
        <v>646</v>
      </c>
      <c r="BY676" s="89" t="s">
        <v>646</v>
      </c>
      <c r="BZ676" s="89" t="s">
        <v>646</v>
      </c>
      <c r="CA676" s="89" t="s">
        <v>646</v>
      </c>
      <c r="CB676" s="89" t="s">
        <v>22987</v>
      </c>
      <c r="CC676" s="89" t="str">
        <f>HYPERLINK("https%3A%2F%2Fwww.webofscience.com%2Fwos%2Fwoscc%2Ffull-record%2FWOS:000624549300003","View Full Record in Web of Science")</f>
        <v>View Full Record in Web of Science</v>
      </c>
    </row>
    <row r="677" spans="1:81" ht="13.2" hidden="1" x14ac:dyDescent="0.25">
      <c r="A677" s="89" t="s">
        <v>14165</v>
      </c>
      <c r="B677" s="89" t="e">
        <f>+#REF!</f>
        <v>#REF!</v>
      </c>
      <c r="C677" s="89"/>
      <c r="D677" s="91" t="s">
        <v>717</v>
      </c>
      <c r="E677" s="90" t="e">
        <v>#REF!</v>
      </c>
      <c r="F677" s="89"/>
      <c r="G677" s="89"/>
      <c r="H677" s="89" t="s">
        <v>14166</v>
      </c>
      <c r="I677" s="89" t="s">
        <v>22988</v>
      </c>
      <c r="J677" s="89" t="s">
        <v>646</v>
      </c>
      <c r="K677" s="89" t="s">
        <v>22990</v>
      </c>
      <c r="M677" s="89">
        <v>2021</v>
      </c>
      <c r="N677" s="89" t="s">
        <v>22989</v>
      </c>
      <c r="O677" s="89" t="s">
        <v>646</v>
      </c>
      <c r="P677" s="89" t="str">
        <f>HYPERLINK("http://dx.doi.org/10.1080/10410236.2020.1794549","http://dx.doi.org/10.1080/10410236.2020.1794549")</f>
        <v>http://dx.doi.org/10.1080/10410236.2020.1794549</v>
      </c>
      <c r="S677" s="89" t="s">
        <v>646</v>
      </c>
      <c r="U677" s="89" t="s">
        <v>17462</v>
      </c>
      <c r="W677" s="89" t="s">
        <v>646</v>
      </c>
      <c r="X677" s="89" t="s">
        <v>646</v>
      </c>
      <c r="Y677" s="89" t="s">
        <v>646</v>
      </c>
      <c r="Z677" s="89" t="s">
        <v>646</v>
      </c>
      <c r="AA677" s="89" t="s">
        <v>646</v>
      </c>
      <c r="AB677" s="89" t="s">
        <v>646</v>
      </c>
      <c r="AC677" s="89" t="s">
        <v>646</v>
      </c>
      <c r="AD677" s="89" t="s">
        <v>646</v>
      </c>
      <c r="AE677" s="89" t="s">
        <v>646</v>
      </c>
      <c r="AF677" s="89" t="s">
        <v>22990</v>
      </c>
      <c r="AG677" s="89" t="s">
        <v>646</v>
      </c>
      <c r="AH677" s="89" t="s">
        <v>646</v>
      </c>
      <c r="AI677" s="89" t="s">
        <v>646</v>
      </c>
      <c r="AJ677" s="89" t="s">
        <v>646</v>
      </c>
      <c r="AK677" s="89" t="s">
        <v>646</v>
      </c>
      <c r="AL677" s="89" t="s">
        <v>22991</v>
      </c>
      <c r="AM677" s="89" t="s">
        <v>646</v>
      </c>
      <c r="AN677" s="89" t="s">
        <v>646</v>
      </c>
      <c r="AO677" s="89" t="s">
        <v>646</v>
      </c>
      <c r="AP677" s="89" t="s">
        <v>646</v>
      </c>
      <c r="AQ677" s="89" t="s">
        <v>646</v>
      </c>
      <c r="AR677" s="89" t="s">
        <v>646</v>
      </c>
      <c r="AS677" s="89" t="s">
        <v>646</v>
      </c>
      <c r="AT677" s="89" t="s">
        <v>646</v>
      </c>
      <c r="AU677" s="89" t="s">
        <v>646</v>
      </c>
      <c r="AV677" s="89" t="s">
        <v>646</v>
      </c>
      <c r="AW677" s="89" t="s">
        <v>646</v>
      </c>
      <c r="AX677" s="89" t="s">
        <v>646</v>
      </c>
      <c r="AY677" s="89" t="s">
        <v>22992</v>
      </c>
      <c r="AZ677" s="89" t="s">
        <v>22993</v>
      </c>
      <c r="BA677" s="89" t="s">
        <v>646</v>
      </c>
      <c r="BB677" s="89" t="s">
        <v>646</v>
      </c>
      <c r="BC677" s="89" t="s">
        <v>646</v>
      </c>
      <c r="BD677" s="89" t="s">
        <v>22994</v>
      </c>
      <c r="BE677" s="89">
        <v>2021</v>
      </c>
      <c r="BF677" s="89">
        <v>36</v>
      </c>
      <c r="BG677" s="89">
        <v>13</v>
      </c>
      <c r="BH677" s="89" t="s">
        <v>646</v>
      </c>
      <c r="BI677" s="89" t="s">
        <v>646</v>
      </c>
      <c r="BJ677" s="89" t="s">
        <v>646</v>
      </c>
      <c r="BK677" s="89" t="s">
        <v>646</v>
      </c>
      <c r="BL677" s="89">
        <v>1731</v>
      </c>
      <c r="BM677" s="89">
        <v>1742</v>
      </c>
      <c r="BN677" s="89" t="s">
        <v>646</v>
      </c>
      <c r="BO677" s="89" t="str">
        <f>HYPERLINK("http://dx.doi.org/10.1080/10410236.2020.1794549","http://dx.doi.org/10.1080/10410236.2020.1794549")</f>
        <v>http://dx.doi.org/10.1080/10410236.2020.1794549</v>
      </c>
      <c r="BP677" s="89" t="s">
        <v>646</v>
      </c>
      <c r="BQ677" s="89" t="s">
        <v>18873</v>
      </c>
      <c r="BR677" s="89" t="s">
        <v>646</v>
      </c>
      <c r="BS677" s="89" t="s">
        <v>646</v>
      </c>
      <c r="BT677" s="89" t="s">
        <v>646</v>
      </c>
      <c r="BU677" s="89" t="s">
        <v>646</v>
      </c>
      <c r="BV677" s="89" t="s">
        <v>646</v>
      </c>
      <c r="BW677" s="89">
        <v>32698622</v>
      </c>
      <c r="BX677" s="89" t="s">
        <v>646</v>
      </c>
      <c r="BY677" s="89" t="s">
        <v>646</v>
      </c>
      <c r="BZ677" s="89" t="s">
        <v>646</v>
      </c>
      <c r="CA677" s="89" t="s">
        <v>646</v>
      </c>
      <c r="CB677" s="89" t="s">
        <v>22995</v>
      </c>
      <c r="CC677" s="89" t="str">
        <f>HYPERLINK("https%3A%2F%2Fwww.webofscience.com%2Fwos%2Fwoscc%2Ffull-record%2FWOS:000551298700001","View Full Record in Web of Science")</f>
        <v>View Full Record in Web of Science</v>
      </c>
    </row>
    <row r="678" spans="1:81" ht="13.2" hidden="1" x14ac:dyDescent="0.25">
      <c r="A678" s="89" t="s">
        <v>14175</v>
      </c>
      <c r="B678" s="89" t="e">
        <f>+#REF!</f>
        <v>#REF!</v>
      </c>
      <c r="C678" s="89"/>
      <c r="D678" s="91" t="s">
        <v>717</v>
      </c>
      <c r="E678" s="90" t="e">
        <v>#REF!</v>
      </c>
      <c r="F678" s="89"/>
      <c r="G678" s="89"/>
      <c r="H678" s="89" t="s">
        <v>14176</v>
      </c>
      <c r="I678" s="89" t="s">
        <v>22996</v>
      </c>
      <c r="J678" s="89" t="s">
        <v>646</v>
      </c>
      <c r="K678" s="89" t="s">
        <v>22998</v>
      </c>
      <c r="M678" s="89">
        <v>2021</v>
      </c>
      <c r="N678" s="89" t="s">
        <v>22997</v>
      </c>
      <c r="O678" s="89" t="s">
        <v>646</v>
      </c>
      <c r="P678" s="89" t="str">
        <f>HYPERLINK("http://dx.doi.org/10.1177/1056492619841705","http://dx.doi.org/10.1177/1056492619841705")</f>
        <v>http://dx.doi.org/10.1177/1056492619841705</v>
      </c>
      <c r="S678" s="89" t="s">
        <v>646</v>
      </c>
      <c r="U678" s="89" t="s">
        <v>17462</v>
      </c>
      <c r="W678" s="89" t="s">
        <v>646</v>
      </c>
      <c r="X678" s="89" t="s">
        <v>646</v>
      </c>
      <c r="Y678" s="89" t="s">
        <v>646</v>
      </c>
      <c r="Z678" s="89" t="s">
        <v>646</v>
      </c>
      <c r="AA678" s="89" t="s">
        <v>646</v>
      </c>
      <c r="AB678" s="89" t="s">
        <v>646</v>
      </c>
      <c r="AC678" s="89" t="s">
        <v>646</v>
      </c>
      <c r="AD678" s="89" t="s">
        <v>646</v>
      </c>
      <c r="AE678" s="89" t="s">
        <v>646</v>
      </c>
      <c r="AF678" s="89" t="s">
        <v>22998</v>
      </c>
      <c r="AG678" s="89" t="s">
        <v>646</v>
      </c>
      <c r="AH678" s="89" t="s">
        <v>646</v>
      </c>
      <c r="AI678" s="89" t="s">
        <v>646</v>
      </c>
      <c r="AJ678" s="89" t="s">
        <v>646</v>
      </c>
      <c r="AK678" s="89" t="s">
        <v>646</v>
      </c>
      <c r="AL678" s="89" t="s">
        <v>22999</v>
      </c>
      <c r="AM678" s="89" t="s">
        <v>646</v>
      </c>
      <c r="AN678" s="89" t="s">
        <v>646</v>
      </c>
      <c r="AO678" s="89" t="s">
        <v>646</v>
      </c>
      <c r="AP678" s="89" t="s">
        <v>646</v>
      </c>
      <c r="AQ678" s="89" t="s">
        <v>646</v>
      </c>
      <c r="AR678" s="89" t="s">
        <v>646</v>
      </c>
      <c r="AS678" s="89" t="s">
        <v>646</v>
      </c>
      <c r="AT678" s="89" t="s">
        <v>646</v>
      </c>
      <c r="AU678" s="89" t="s">
        <v>646</v>
      </c>
      <c r="AV678" s="89" t="s">
        <v>646</v>
      </c>
      <c r="AW678" s="89" t="s">
        <v>646</v>
      </c>
      <c r="AX678" s="89" t="s">
        <v>646</v>
      </c>
      <c r="AY678" s="89" t="s">
        <v>23000</v>
      </c>
      <c r="AZ678" s="89" t="s">
        <v>23001</v>
      </c>
      <c r="BA678" s="89" t="s">
        <v>646</v>
      </c>
      <c r="BB678" s="89" t="s">
        <v>646</v>
      </c>
      <c r="BC678" s="89" t="s">
        <v>646</v>
      </c>
      <c r="BD678" s="89" t="s">
        <v>17823</v>
      </c>
      <c r="BE678" s="89">
        <v>2021</v>
      </c>
      <c r="BF678" s="89">
        <v>30</v>
      </c>
      <c r="BG678" s="89">
        <v>2</v>
      </c>
      <c r="BH678" s="89" t="s">
        <v>646</v>
      </c>
      <c r="BI678" s="89" t="s">
        <v>646</v>
      </c>
      <c r="BJ678" s="89" t="s">
        <v>646</v>
      </c>
      <c r="BK678" s="89" t="s">
        <v>646</v>
      </c>
      <c r="BL678" s="89">
        <v>207</v>
      </c>
      <c r="BM678" s="89">
        <v>220</v>
      </c>
      <c r="BN678" s="89" t="s">
        <v>646</v>
      </c>
      <c r="BO678" s="89" t="str">
        <f>HYPERLINK("http://dx.doi.org/10.1177/1056492619841705","http://dx.doi.org/10.1177/1056492619841705")</f>
        <v>http://dx.doi.org/10.1177/1056492619841705</v>
      </c>
      <c r="BP678" s="89" t="s">
        <v>646</v>
      </c>
      <c r="BQ678" s="89" t="s">
        <v>646</v>
      </c>
      <c r="BR678" s="89" t="s">
        <v>646</v>
      </c>
      <c r="BS678" s="89" t="s">
        <v>646</v>
      </c>
      <c r="BT678" s="89" t="s">
        <v>646</v>
      </c>
      <c r="BU678" s="89" t="s">
        <v>646</v>
      </c>
      <c r="BV678" s="89" t="s">
        <v>646</v>
      </c>
      <c r="BW678" s="89" t="s">
        <v>646</v>
      </c>
      <c r="BX678" s="89" t="s">
        <v>646</v>
      </c>
      <c r="BY678" s="89" t="s">
        <v>646</v>
      </c>
      <c r="BZ678" s="89" t="s">
        <v>646</v>
      </c>
      <c r="CA678" s="89" t="s">
        <v>646</v>
      </c>
      <c r="CB678" s="89" t="s">
        <v>23002</v>
      </c>
      <c r="CC678" s="89" t="str">
        <f>HYPERLINK("https%3A%2F%2Fwww.webofscience.com%2Fwos%2Fwoscc%2Ffull-record%2FWOS:000630484400008","View Full Record in Web of Science")</f>
        <v>View Full Record in Web of Science</v>
      </c>
    </row>
    <row r="679" spans="1:81" ht="13.2" hidden="1" x14ac:dyDescent="0.25">
      <c r="A679" s="89" t="s">
        <v>14185</v>
      </c>
      <c r="B679" s="89" t="e">
        <f>+#REF!</f>
        <v>#REF!</v>
      </c>
      <c r="C679" s="89"/>
      <c r="D679" s="91" t="s">
        <v>717</v>
      </c>
      <c r="E679" s="90" t="e">
        <v>#REF!</v>
      </c>
      <c r="F679" s="89"/>
      <c r="G679" s="89"/>
      <c r="H679" s="89" t="s">
        <v>14186</v>
      </c>
      <c r="I679" s="89" t="s">
        <v>23003</v>
      </c>
      <c r="J679" s="89" t="s">
        <v>23005</v>
      </c>
      <c r="K679" s="89" t="s">
        <v>23004</v>
      </c>
      <c r="M679" s="89">
        <v>2020</v>
      </c>
      <c r="N679" s="89" t="s">
        <v>21527</v>
      </c>
      <c r="O679" s="89" t="s">
        <v>646</v>
      </c>
      <c r="P679" s="89" t="str">
        <f>HYPERLINK("http://dx.doi.org/10.1037/per0000378","http://dx.doi.org/10.1037/per0000378")</f>
        <v>http://dx.doi.org/10.1037/per0000378</v>
      </c>
      <c r="S679" s="89" t="s">
        <v>646</v>
      </c>
      <c r="U679" s="89" t="s">
        <v>17462</v>
      </c>
      <c r="W679" s="89" t="s">
        <v>646</v>
      </c>
      <c r="X679" s="89" t="s">
        <v>646</v>
      </c>
      <c r="Y679" s="89" t="s">
        <v>646</v>
      </c>
      <c r="Z679" s="89" t="s">
        <v>646</v>
      </c>
      <c r="AA679" s="89" t="s">
        <v>646</v>
      </c>
      <c r="AB679" s="89" t="s">
        <v>646</v>
      </c>
      <c r="AC679" s="89" t="s">
        <v>646</v>
      </c>
      <c r="AD679" s="89" t="s">
        <v>646</v>
      </c>
      <c r="AE679" s="89" t="s">
        <v>646</v>
      </c>
      <c r="AF679" s="89" t="s">
        <v>23004</v>
      </c>
      <c r="AG679" s="89" t="s">
        <v>646</v>
      </c>
      <c r="AH679" s="89" t="s">
        <v>646</v>
      </c>
      <c r="AI679" s="89" t="s">
        <v>646</v>
      </c>
      <c r="AJ679" s="89" t="s">
        <v>646</v>
      </c>
      <c r="AK679" s="89" t="s">
        <v>23005</v>
      </c>
      <c r="AL679" s="89" t="s">
        <v>646</v>
      </c>
      <c r="AM679" s="89" t="s">
        <v>646</v>
      </c>
      <c r="AN679" s="89" t="s">
        <v>646</v>
      </c>
      <c r="AO679" s="89" t="s">
        <v>646</v>
      </c>
      <c r="AP679" s="89" t="s">
        <v>646</v>
      </c>
      <c r="AQ679" s="89" t="s">
        <v>646</v>
      </c>
      <c r="AR679" s="89" t="s">
        <v>646</v>
      </c>
      <c r="AS679" s="89" t="s">
        <v>646</v>
      </c>
      <c r="AT679" s="89" t="s">
        <v>646</v>
      </c>
      <c r="AU679" s="89" t="s">
        <v>646</v>
      </c>
      <c r="AV679" s="89" t="s">
        <v>646</v>
      </c>
      <c r="AW679" s="89" t="s">
        <v>646</v>
      </c>
      <c r="AX679" s="89" t="s">
        <v>646</v>
      </c>
      <c r="AY679" s="89" t="s">
        <v>21531</v>
      </c>
      <c r="AZ679" s="89" t="s">
        <v>21532</v>
      </c>
      <c r="BA679" s="89" t="s">
        <v>646</v>
      </c>
      <c r="BB679" s="89" t="s">
        <v>646</v>
      </c>
      <c r="BC679" s="89" t="s">
        <v>646</v>
      </c>
      <c r="BD679" s="89" t="s">
        <v>17779</v>
      </c>
      <c r="BE679" s="89">
        <v>2020</v>
      </c>
      <c r="BF679" s="89">
        <v>11</v>
      </c>
      <c r="BG679" s="89">
        <v>2</v>
      </c>
      <c r="BH679" s="89" t="s">
        <v>646</v>
      </c>
      <c r="BI679" s="89" t="s">
        <v>646</v>
      </c>
      <c r="BJ679" s="89" t="s">
        <v>646</v>
      </c>
      <c r="BK679" s="89" t="s">
        <v>646</v>
      </c>
      <c r="BL679" s="89">
        <v>119</v>
      </c>
      <c r="BM679" s="89">
        <v>130</v>
      </c>
      <c r="BN679" s="89" t="s">
        <v>646</v>
      </c>
      <c r="BO679" s="89" t="str">
        <f>HYPERLINK("http://dx.doi.org/10.1037/per0000378","http://dx.doi.org/10.1037/per0000378")</f>
        <v>http://dx.doi.org/10.1037/per0000378</v>
      </c>
      <c r="BP679" s="89" t="s">
        <v>646</v>
      </c>
      <c r="BQ679" s="89" t="s">
        <v>646</v>
      </c>
      <c r="BR679" s="89" t="s">
        <v>646</v>
      </c>
      <c r="BS679" s="89" t="s">
        <v>646</v>
      </c>
      <c r="BT679" s="89" t="s">
        <v>646</v>
      </c>
      <c r="BU679" s="89" t="s">
        <v>646</v>
      </c>
      <c r="BV679" s="89" t="s">
        <v>646</v>
      </c>
      <c r="BW679" s="89">
        <v>31804127</v>
      </c>
      <c r="BX679" s="89" t="s">
        <v>646</v>
      </c>
      <c r="BY679" s="89" t="s">
        <v>646</v>
      </c>
      <c r="BZ679" s="89" t="s">
        <v>646</v>
      </c>
      <c r="CA679" s="89" t="s">
        <v>646</v>
      </c>
      <c r="CB679" s="89" t="s">
        <v>23006</v>
      </c>
      <c r="CC679" s="89" t="str">
        <f>HYPERLINK("https%3A%2F%2Fwww.webofscience.com%2Fwos%2Fwoscc%2Ffull-record%2FWOS:000516776900005","View Full Record in Web of Science")</f>
        <v>View Full Record in Web of Science</v>
      </c>
    </row>
    <row r="680" spans="1:81" ht="13.2" hidden="1" x14ac:dyDescent="0.25">
      <c r="A680" s="89" t="s">
        <v>23007</v>
      </c>
      <c r="B680" s="89" t="e">
        <f>+#REF!</f>
        <v>#REF!</v>
      </c>
      <c r="C680" s="89"/>
      <c r="D680" s="91" t="s">
        <v>717</v>
      </c>
      <c r="E680" s="90" t="e">
        <v>#REF!</v>
      </c>
      <c r="F680" s="89"/>
      <c r="G680" s="89"/>
      <c r="H680" s="89" t="s">
        <v>646</v>
      </c>
      <c r="I680" s="89" t="s">
        <v>23008</v>
      </c>
      <c r="J680" s="89" t="s">
        <v>23010</v>
      </c>
      <c r="K680" s="89" t="s">
        <v>23009</v>
      </c>
      <c r="M680" s="89">
        <v>2012</v>
      </c>
      <c r="N680" s="89" t="s">
        <v>19050</v>
      </c>
      <c r="O680" s="89" t="s">
        <v>646</v>
      </c>
      <c r="P680" s="89" t="s">
        <v>646</v>
      </c>
      <c r="S680" s="89" t="s">
        <v>646</v>
      </c>
      <c r="U680" s="89" t="s">
        <v>17462</v>
      </c>
      <c r="W680" s="89" t="s">
        <v>646</v>
      </c>
      <c r="X680" s="89" t="s">
        <v>646</v>
      </c>
      <c r="Y680" s="89" t="s">
        <v>646</v>
      </c>
      <c r="Z680" s="89" t="s">
        <v>646</v>
      </c>
      <c r="AA680" s="89" t="s">
        <v>646</v>
      </c>
      <c r="AB680" s="89" t="s">
        <v>646</v>
      </c>
      <c r="AC680" s="89" t="s">
        <v>646</v>
      </c>
      <c r="AD680" s="89" t="s">
        <v>646</v>
      </c>
      <c r="AE680" s="89" t="s">
        <v>646</v>
      </c>
      <c r="AF680" s="89" t="s">
        <v>23009</v>
      </c>
      <c r="AG680" s="89" t="s">
        <v>646</v>
      </c>
      <c r="AH680" s="89" t="s">
        <v>646</v>
      </c>
      <c r="AI680" s="89" t="s">
        <v>646</v>
      </c>
      <c r="AJ680" s="89" t="s">
        <v>646</v>
      </c>
      <c r="AK680" s="89" t="s">
        <v>23010</v>
      </c>
      <c r="AL680" s="89" t="s">
        <v>23011</v>
      </c>
      <c r="AM680" s="89" t="s">
        <v>646</v>
      </c>
      <c r="AN680" s="89" t="s">
        <v>646</v>
      </c>
      <c r="AO680" s="89" t="s">
        <v>646</v>
      </c>
      <c r="AP680" s="89" t="s">
        <v>646</v>
      </c>
      <c r="AQ680" s="89" t="s">
        <v>646</v>
      </c>
      <c r="AR680" s="89" t="s">
        <v>646</v>
      </c>
      <c r="AS680" s="89" t="s">
        <v>646</v>
      </c>
      <c r="AT680" s="89" t="s">
        <v>646</v>
      </c>
      <c r="AU680" s="89" t="s">
        <v>646</v>
      </c>
      <c r="AV680" s="89" t="s">
        <v>646</v>
      </c>
      <c r="AW680" s="89" t="s">
        <v>646</v>
      </c>
      <c r="AX680" s="89" t="s">
        <v>646</v>
      </c>
      <c r="AY680" s="89" t="s">
        <v>19054</v>
      </c>
      <c r="AZ680" s="89" t="s">
        <v>646</v>
      </c>
      <c r="BA680" s="89" t="s">
        <v>646</v>
      </c>
      <c r="BB680" s="89" t="s">
        <v>646</v>
      </c>
      <c r="BC680" s="89" t="s">
        <v>646</v>
      </c>
      <c r="BD680" s="89" t="s">
        <v>646</v>
      </c>
      <c r="BE680" s="89">
        <v>2012</v>
      </c>
      <c r="BF680" s="89">
        <v>18</v>
      </c>
      <c r="BG680" s="89">
        <v>19</v>
      </c>
      <c r="BH680" s="89" t="s">
        <v>646</v>
      </c>
      <c r="BI680" s="89" t="s">
        <v>646</v>
      </c>
      <c r="BJ680" s="89" t="s">
        <v>646</v>
      </c>
      <c r="BK680" s="89" t="s">
        <v>646</v>
      </c>
      <c r="BL680" s="89">
        <v>2602</v>
      </c>
      <c r="BM680" s="89">
        <v>2624</v>
      </c>
      <c r="BN680" s="89" t="s">
        <v>646</v>
      </c>
      <c r="BO680" s="89" t="s">
        <v>646</v>
      </c>
      <c r="BP680" s="89" t="s">
        <v>646</v>
      </c>
      <c r="BQ680" s="89" t="s">
        <v>646</v>
      </c>
      <c r="BR680" s="89" t="s">
        <v>646</v>
      </c>
      <c r="BS680" s="89" t="s">
        <v>646</v>
      </c>
      <c r="BT680" s="89" t="s">
        <v>646</v>
      </c>
      <c r="BU680" s="89" t="s">
        <v>646</v>
      </c>
      <c r="BV680" s="89" t="s">
        <v>646</v>
      </c>
      <c r="BW680" s="89" t="s">
        <v>646</v>
      </c>
      <c r="BX680" s="89" t="s">
        <v>646</v>
      </c>
      <c r="BY680" s="89" t="s">
        <v>646</v>
      </c>
      <c r="BZ680" s="89" t="s">
        <v>646</v>
      </c>
      <c r="CA680" s="89" t="s">
        <v>646</v>
      </c>
      <c r="CB680" s="89" t="s">
        <v>23012</v>
      </c>
      <c r="CC680" s="89" t="str">
        <f>HYPERLINK("https%3A%2F%2Fwww.webofscience.com%2Fwos%2Fwoscc%2Ffull-record%2FWOS:000314533500002","View Full Record in Web of Science")</f>
        <v>View Full Record in Web of Science</v>
      </c>
    </row>
    <row r="681" spans="1:81" ht="13.2" hidden="1" x14ac:dyDescent="0.25">
      <c r="A681" s="89" t="s">
        <v>9985</v>
      </c>
      <c r="B681" s="89" t="e">
        <f>+#REF!</f>
        <v>#REF!</v>
      </c>
      <c r="C681" s="89"/>
      <c r="D681" s="91" t="s">
        <v>717</v>
      </c>
      <c r="E681" s="90" t="e">
        <v>#REF!</v>
      </c>
      <c r="F681" s="89"/>
      <c r="G681" s="89"/>
      <c r="H681" s="89" t="s">
        <v>9986</v>
      </c>
      <c r="I681" s="89" t="s">
        <v>23013</v>
      </c>
      <c r="J681" s="89" t="s">
        <v>646</v>
      </c>
      <c r="K681" s="89" t="s">
        <v>23015</v>
      </c>
      <c r="M681" s="89">
        <v>2022</v>
      </c>
      <c r="N681" s="89" t="s">
        <v>23014</v>
      </c>
      <c r="O681" s="89" t="s">
        <v>646</v>
      </c>
      <c r="P681" s="89" t="str">
        <f>HYPERLINK("http://dx.doi.org/10.1159/000521903","http://dx.doi.org/10.1159/000521903")</f>
        <v>http://dx.doi.org/10.1159/000521903</v>
      </c>
      <c r="S681" s="89" t="s">
        <v>646</v>
      </c>
      <c r="U681" s="89" t="s">
        <v>17462</v>
      </c>
      <c r="W681" s="89" t="s">
        <v>646</v>
      </c>
      <c r="X681" s="89" t="s">
        <v>646</v>
      </c>
      <c r="Y681" s="89" t="s">
        <v>646</v>
      </c>
      <c r="Z681" s="89" t="s">
        <v>646</v>
      </c>
      <c r="AA681" s="89" t="s">
        <v>646</v>
      </c>
      <c r="AB681" s="89" t="s">
        <v>646</v>
      </c>
      <c r="AC681" s="89" t="s">
        <v>646</v>
      </c>
      <c r="AD681" s="89" t="s">
        <v>646</v>
      </c>
      <c r="AE681" s="89" t="s">
        <v>646</v>
      </c>
      <c r="AF681" s="89" t="s">
        <v>23015</v>
      </c>
      <c r="AG681" s="89" t="s">
        <v>646</v>
      </c>
      <c r="AH681" s="89" t="s">
        <v>646</v>
      </c>
      <c r="AI681" s="89" t="s">
        <v>646</v>
      </c>
      <c r="AJ681" s="89" t="s">
        <v>646</v>
      </c>
      <c r="AK681" s="89" t="s">
        <v>646</v>
      </c>
      <c r="AL681" s="89" t="s">
        <v>646</v>
      </c>
      <c r="AM681" s="89" t="s">
        <v>646</v>
      </c>
      <c r="AN681" s="89" t="s">
        <v>646</v>
      </c>
      <c r="AO681" s="89" t="s">
        <v>646</v>
      </c>
      <c r="AP681" s="89" t="s">
        <v>646</v>
      </c>
      <c r="AQ681" s="89" t="s">
        <v>646</v>
      </c>
      <c r="AR681" s="89" t="s">
        <v>646</v>
      </c>
      <c r="AS681" s="89" t="s">
        <v>646</v>
      </c>
      <c r="AT681" s="89" t="s">
        <v>646</v>
      </c>
      <c r="AU681" s="89" t="s">
        <v>646</v>
      </c>
      <c r="AV681" s="89" t="s">
        <v>646</v>
      </c>
      <c r="AW681" s="89" t="s">
        <v>646</v>
      </c>
      <c r="AX681" s="89" t="s">
        <v>646</v>
      </c>
      <c r="AY681" s="89" t="s">
        <v>23016</v>
      </c>
      <c r="AZ681" s="89" t="s">
        <v>23017</v>
      </c>
      <c r="BA681" s="89" t="s">
        <v>646</v>
      </c>
      <c r="BB681" s="89" t="s">
        <v>646</v>
      </c>
      <c r="BC681" s="89" t="s">
        <v>646</v>
      </c>
      <c r="BD681" s="89" t="s">
        <v>17823</v>
      </c>
      <c r="BE681" s="89">
        <v>2022</v>
      </c>
      <c r="BF681" s="89">
        <v>51</v>
      </c>
      <c r="BG681" s="89">
        <v>1</v>
      </c>
      <c r="BH681" s="89" t="s">
        <v>646</v>
      </c>
      <c r="BI681" s="89" t="s">
        <v>646</v>
      </c>
      <c r="BJ681" s="89" t="s">
        <v>646</v>
      </c>
      <c r="BK681" s="89" t="s">
        <v>646</v>
      </c>
      <c r="BL681" s="89">
        <v>32</v>
      </c>
      <c r="BM681" s="89">
        <v>41</v>
      </c>
      <c r="BN681" s="89" t="s">
        <v>646</v>
      </c>
      <c r="BO681" s="89" t="str">
        <f>HYPERLINK("http://dx.doi.org/10.1159/000521903","http://dx.doi.org/10.1159/000521903")</f>
        <v>http://dx.doi.org/10.1159/000521903</v>
      </c>
      <c r="BP681" s="89" t="s">
        <v>646</v>
      </c>
      <c r="BQ681" s="89" t="s">
        <v>20029</v>
      </c>
      <c r="BR681" s="89" t="s">
        <v>646</v>
      </c>
      <c r="BS681" s="89" t="s">
        <v>646</v>
      </c>
      <c r="BT681" s="89" t="s">
        <v>646</v>
      </c>
      <c r="BU681" s="89" t="s">
        <v>646</v>
      </c>
      <c r="BV681" s="89" t="s">
        <v>646</v>
      </c>
      <c r="BW681" s="89">
        <v>35193138</v>
      </c>
      <c r="BX681" s="89" t="s">
        <v>646</v>
      </c>
      <c r="BY681" s="89" t="s">
        <v>646</v>
      </c>
      <c r="BZ681" s="89" t="s">
        <v>646</v>
      </c>
      <c r="CA681" s="89" t="s">
        <v>646</v>
      </c>
      <c r="CB681" s="89" t="s">
        <v>23018</v>
      </c>
      <c r="CC681" s="89" t="str">
        <f>HYPERLINK("https%3A%2F%2Fwww.webofscience.com%2Fwos%2Fwoscc%2Ffull-record%2FWOS:000761077000001","View Full Record in Web of Science")</f>
        <v>View Full Record in Web of Science</v>
      </c>
    </row>
    <row r="682" spans="1:81" ht="13.2" hidden="1" x14ac:dyDescent="0.25">
      <c r="A682" s="89" t="s">
        <v>14201</v>
      </c>
      <c r="B682" s="89" t="e">
        <f>+#REF!</f>
        <v>#REF!</v>
      </c>
      <c r="C682" s="89"/>
      <c r="D682" s="91" t="s">
        <v>717</v>
      </c>
      <c r="E682" s="90" t="e">
        <v>#REF!</v>
      </c>
      <c r="F682" s="89"/>
      <c r="G682" s="89"/>
      <c r="H682" s="89" t="s">
        <v>14202</v>
      </c>
      <c r="I682" s="89" t="s">
        <v>23019</v>
      </c>
      <c r="J682" s="89" t="s">
        <v>23022</v>
      </c>
      <c r="K682" s="89" t="s">
        <v>23021</v>
      </c>
      <c r="M682" s="89">
        <v>2008</v>
      </c>
      <c r="N682" s="89" t="s">
        <v>23020</v>
      </c>
      <c r="O682" s="89" t="s">
        <v>646</v>
      </c>
      <c r="P682" s="89" t="str">
        <f>HYPERLINK("http://dx.doi.org/10.1109/TSE.2007.70758","http://dx.doi.org/10.1109/TSE.2007.70758")</f>
        <v>http://dx.doi.org/10.1109/TSE.2007.70758</v>
      </c>
      <c r="S682" s="89" t="s">
        <v>646</v>
      </c>
      <c r="U682" s="89" t="s">
        <v>17462</v>
      </c>
      <c r="W682" s="89" t="s">
        <v>646</v>
      </c>
      <c r="X682" s="89" t="s">
        <v>646</v>
      </c>
      <c r="Y682" s="89" t="s">
        <v>646</v>
      </c>
      <c r="Z682" s="89" t="s">
        <v>646</v>
      </c>
      <c r="AA682" s="89" t="s">
        <v>646</v>
      </c>
      <c r="AB682" s="89" t="s">
        <v>646</v>
      </c>
      <c r="AC682" s="89" t="s">
        <v>646</v>
      </c>
      <c r="AD682" s="89" t="s">
        <v>646</v>
      </c>
      <c r="AE682" s="89" t="s">
        <v>646</v>
      </c>
      <c r="AF682" s="89" t="s">
        <v>23021</v>
      </c>
      <c r="AG682" s="89" t="s">
        <v>646</v>
      </c>
      <c r="AH682" s="89" t="s">
        <v>646</v>
      </c>
      <c r="AI682" s="89" t="s">
        <v>646</v>
      </c>
      <c r="AJ682" s="89" t="s">
        <v>646</v>
      </c>
      <c r="AK682" s="89" t="s">
        <v>23022</v>
      </c>
      <c r="AL682" s="89" t="s">
        <v>23023</v>
      </c>
      <c r="AM682" s="89" t="s">
        <v>646</v>
      </c>
      <c r="AN682" s="89" t="s">
        <v>646</v>
      </c>
      <c r="AO682" s="89" t="s">
        <v>646</v>
      </c>
      <c r="AP682" s="89" t="s">
        <v>646</v>
      </c>
      <c r="AQ682" s="89" t="s">
        <v>646</v>
      </c>
      <c r="AR682" s="89" t="s">
        <v>646</v>
      </c>
      <c r="AS682" s="89" t="s">
        <v>646</v>
      </c>
      <c r="AT682" s="89" t="s">
        <v>646</v>
      </c>
      <c r="AU682" s="89" t="s">
        <v>646</v>
      </c>
      <c r="AV682" s="89" t="s">
        <v>646</v>
      </c>
      <c r="AW682" s="89" t="s">
        <v>646</v>
      </c>
      <c r="AX682" s="89" t="s">
        <v>646</v>
      </c>
      <c r="AY682" s="89" t="s">
        <v>23024</v>
      </c>
      <c r="AZ682" s="89" t="s">
        <v>646</v>
      </c>
      <c r="BA682" s="89" t="s">
        <v>646</v>
      </c>
      <c r="BB682" s="89" t="s">
        <v>646</v>
      </c>
      <c r="BC682" s="89" t="s">
        <v>646</v>
      </c>
      <c r="BD682" s="89" t="s">
        <v>23025</v>
      </c>
      <c r="BE682" s="89">
        <v>2008</v>
      </c>
      <c r="BF682" s="89">
        <v>34</v>
      </c>
      <c r="BG682" s="89">
        <v>1</v>
      </c>
      <c r="BH682" s="89" t="s">
        <v>646</v>
      </c>
      <c r="BI682" s="89" t="s">
        <v>646</v>
      </c>
      <c r="BJ682" s="89" t="s">
        <v>646</v>
      </c>
      <c r="BK682" s="89" t="s">
        <v>646</v>
      </c>
      <c r="BL682" s="89">
        <v>116</v>
      </c>
      <c r="BM682" s="89">
        <v>132</v>
      </c>
      <c r="BN682" s="89" t="s">
        <v>646</v>
      </c>
      <c r="BO682" s="89" t="str">
        <f>HYPERLINK("http://dx.doi.org/10.1109/TSE.2007.70758","http://dx.doi.org/10.1109/TSE.2007.70758")</f>
        <v>http://dx.doi.org/10.1109/TSE.2007.70758</v>
      </c>
      <c r="BP682" s="89" t="s">
        <v>646</v>
      </c>
      <c r="BQ682" s="89" t="s">
        <v>646</v>
      </c>
      <c r="BR682" s="89" t="s">
        <v>646</v>
      </c>
      <c r="BS682" s="89" t="s">
        <v>646</v>
      </c>
      <c r="BT682" s="89" t="s">
        <v>646</v>
      </c>
      <c r="BU682" s="89" t="s">
        <v>646</v>
      </c>
      <c r="BV682" s="89" t="s">
        <v>646</v>
      </c>
      <c r="BW682" s="89" t="s">
        <v>646</v>
      </c>
      <c r="BX682" s="89" t="s">
        <v>646</v>
      </c>
      <c r="BY682" s="89" t="s">
        <v>646</v>
      </c>
      <c r="BZ682" s="89" t="s">
        <v>646</v>
      </c>
      <c r="CA682" s="89" t="s">
        <v>646</v>
      </c>
      <c r="CB682" s="89" t="s">
        <v>23026</v>
      </c>
      <c r="CC682" s="89" t="str">
        <f>HYPERLINK("https%3A%2F%2Fwww.webofscience.com%2Fwos%2Fwoscc%2Ffull-record%2FWOS:000253375500009","View Full Record in Web of Science")</f>
        <v>View Full Record in Web of Science</v>
      </c>
    </row>
    <row r="683" spans="1:81" ht="13.2" hidden="1" x14ac:dyDescent="0.25">
      <c r="A683" s="89" t="s">
        <v>23027</v>
      </c>
      <c r="B683" s="89" t="e">
        <f>+#REF!</f>
        <v>#REF!</v>
      </c>
      <c r="C683" s="89"/>
      <c r="D683" s="91" t="s">
        <v>717</v>
      </c>
      <c r="E683" s="90" t="e">
        <v>#REF!</v>
      </c>
      <c r="F683" s="89"/>
      <c r="G683" s="89"/>
      <c r="H683" s="89" t="s">
        <v>14212</v>
      </c>
      <c r="I683" s="89" t="s">
        <v>23028</v>
      </c>
      <c r="J683" s="89" t="s">
        <v>646</v>
      </c>
      <c r="K683" s="89" t="s">
        <v>23034</v>
      </c>
      <c r="M683" s="89">
        <v>2009</v>
      </c>
      <c r="N683" s="89" t="s">
        <v>23029</v>
      </c>
      <c r="O683" s="89" t="s">
        <v>646</v>
      </c>
      <c r="P683" s="89" t="str">
        <f>HYPERLINK("http://dx.doi.org/10.1145/1595696.1595714","http://dx.doi.org/10.1145/1595696.1595714")</f>
        <v>http://dx.doi.org/10.1145/1595696.1595714</v>
      </c>
      <c r="S683" s="89" t="s">
        <v>19206</v>
      </c>
      <c r="U683" s="89" t="s">
        <v>17474</v>
      </c>
      <c r="W683" s="89" t="s">
        <v>646</v>
      </c>
      <c r="X683" s="89" t="s">
        <v>646</v>
      </c>
      <c r="Y683" s="89" t="s">
        <v>23030</v>
      </c>
      <c r="Z683" s="89" t="s">
        <v>23031</v>
      </c>
      <c r="AA683" s="89" t="s">
        <v>23032</v>
      </c>
      <c r="AB683" s="89" t="s">
        <v>23033</v>
      </c>
      <c r="AC683" s="89" t="s">
        <v>646</v>
      </c>
      <c r="AD683" s="89" t="s">
        <v>646</v>
      </c>
      <c r="AE683" s="89" t="s">
        <v>646</v>
      </c>
      <c r="AF683" s="89" t="s">
        <v>23034</v>
      </c>
      <c r="AG683" s="89" t="s">
        <v>646</v>
      </c>
      <c r="AH683" s="89" t="s">
        <v>646</v>
      </c>
      <c r="AI683" s="89" t="s">
        <v>646</v>
      </c>
      <c r="AJ683" s="89" t="s">
        <v>646</v>
      </c>
      <c r="AK683" s="89" t="s">
        <v>646</v>
      </c>
      <c r="AL683" s="89" t="s">
        <v>646</v>
      </c>
      <c r="AM683" s="89" t="s">
        <v>646</v>
      </c>
      <c r="AN683" s="89" t="s">
        <v>646</v>
      </c>
      <c r="AO683" s="89" t="s">
        <v>646</v>
      </c>
      <c r="AP683" s="89" t="s">
        <v>646</v>
      </c>
      <c r="AQ683" s="89" t="s">
        <v>646</v>
      </c>
      <c r="AR683" s="89" t="s">
        <v>646</v>
      </c>
      <c r="AS683" s="89" t="s">
        <v>646</v>
      </c>
      <c r="AT683" s="89" t="s">
        <v>646</v>
      </c>
      <c r="AU683" s="89" t="s">
        <v>646</v>
      </c>
      <c r="AV683" s="89" t="s">
        <v>646</v>
      </c>
      <c r="AW683" s="89" t="s">
        <v>646</v>
      </c>
      <c r="AX683" s="89" t="s">
        <v>646</v>
      </c>
      <c r="AY683" s="89" t="s">
        <v>646</v>
      </c>
      <c r="AZ683" s="89" t="s">
        <v>646</v>
      </c>
      <c r="BA683" s="89" t="s">
        <v>23035</v>
      </c>
      <c r="BB683" s="89" t="s">
        <v>646</v>
      </c>
      <c r="BC683" s="89" t="s">
        <v>646</v>
      </c>
      <c r="BD683" s="89" t="s">
        <v>646</v>
      </c>
      <c r="BE683" s="89">
        <v>2009</v>
      </c>
      <c r="BF683" s="89" t="s">
        <v>646</v>
      </c>
      <c r="BG683" s="89" t="s">
        <v>646</v>
      </c>
      <c r="BH683" s="89" t="s">
        <v>646</v>
      </c>
      <c r="BI683" s="89" t="s">
        <v>646</v>
      </c>
      <c r="BJ683" s="89" t="s">
        <v>646</v>
      </c>
      <c r="BK683" s="89" t="s">
        <v>646</v>
      </c>
      <c r="BL683" s="89">
        <v>101</v>
      </c>
      <c r="BM683" s="89">
        <v>110</v>
      </c>
      <c r="BN683" s="89" t="s">
        <v>646</v>
      </c>
      <c r="BO683" s="89" t="str">
        <f>HYPERLINK("http://dx.doi.org/10.1145/1595696.1595714","http://dx.doi.org/10.1145/1595696.1595714")</f>
        <v>http://dx.doi.org/10.1145/1595696.1595714</v>
      </c>
      <c r="BP683" s="89" t="s">
        <v>646</v>
      </c>
      <c r="BQ683" s="89" t="s">
        <v>646</v>
      </c>
      <c r="BR683" s="89" t="s">
        <v>646</v>
      </c>
      <c r="BS683" s="89" t="s">
        <v>646</v>
      </c>
      <c r="BT683" s="89" t="s">
        <v>646</v>
      </c>
      <c r="BU683" s="89" t="s">
        <v>646</v>
      </c>
      <c r="BV683" s="89" t="s">
        <v>646</v>
      </c>
      <c r="BW683" s="89" t="s">
        <v>646</v>
      </c>
      <c r="BX683" s="89" t="s">
        <v>646</v>
      </c>
      <c r="BY683" s="89" t="s">
        <v>646</v>
      </c>
      <c r="BZ683" s="89" t="s">
        <v>646</v>
      </c>
      <c r="CA683" s="89" t="s">
        <v>646</v>
      </c>
      <c r="CB683" s="89" t="s">
        <v>23036</v>
      </c>
      <c r="CC683" s="89" t="str">
        <f>HYPERLINK("https%3A%2F%2Fwww.webofscience.com%2Fwos%2Fwoscc%2Ffull-record%2FWOS:000295315700012","View Full Record in Web of Science")</f>
        <v>View Full Record in Web of Science</v>
      </c>
    </row>
    <row r="684" spans="1:81" ht="13.2" hidden="1" x14ac:dyDescent="0.25">
      <c r="A684" s="89" t="s">
        <v>23037</v>
      </c>
      <c r="B684" s="89" t="e">
        <f>+#REF!</f>
        <v>#REF!</v>
      </c>
      <c r="C684" s="89"/>
      <c r="D684" s="91" t="s">
        <v>717</v>
      </c>
      <c r="E684" s="90" t="e">
        <v>#REF!</v>
      </c>
      <c r="F684" s="89"/>
      <c r="G684" s="89"/>
      <c r="H684" s="89" t="s">
        <v>14219</v>
      </c>
      <c r="I684" s="89" t="s">
        <v>23038</v>
      </c>
      <c r="J684" s="89" t="s">
        <v>646</v>
      </c>
      <c r="K684" s="89" t="s">
        <v>23040</v>
      </c>
      <c r="M684" s="89">
        <v>2018</v>
      </c>
      <c r="N684" s="89" t="s">
        <v>23039</v>
      </c>
      <c r="O684" s="89" t="s">
        <v>646</v>
      </c>
      <c r="P684" s="89" t="str">
        <f>HYPERLINK("http://dx.doi.org/10.13106/jafeb.2018.vol5.no4.107","http://dx.doi.org/10.13106/jafeb.2018.vol5.no4.107")</f>
        <v>http://dx.doi.org/10.13106/jafeb.2018.vol5.no4.107</v>
      </c>
      <c r="S684" s="89" t="s">
        <v>646</v>
      </c>
      <c r="U684" s="89" t="s">
        <v>17462</v>
      </c>
      <c r="W684" s="89" t="s">
        <v>646</v>
      </c>
      <c r="X684" s="89" t="s">
        <v>646</v>
      </c>
      <c r="Y684" s="89" t="s">
        <v>646</v>
      </c>
      <c r="Z684" s="89" t="s">
        <v>646</v>
      </c>
      <c r="AA684" s="89" t="s">
        <v>646</v>
      </c>
      <c r="AB684" s="89" t="s">
        <v>646</v>
      </c>
      <c r="AC684" s="89" t="s">
        <v>646</v>
      </c>
      <c r="AD684" s="89" t="s">
        <v>646</v>
      </c>
      <c r="AE684" s="89" t="s">
        <v>646</v>
      </c>
      <c r="AF684" s="89" t="s">
        <v>23040</v>
      </c>
      <c r="AG684" s="89" t="s">
        <v>646</v>
      </c>
      <c r="AH684" s="89" t="s">
        <v>646</v>
      </c>
      <c r="AI684" s="89" t="s">
        <v>646</v>
      </c>
      <c r="AJ684" s="89" t="s">
        <v>646</v>
      </c>
      <c r="AK684" s="89" t="s">
        <v>646</v>
      </c>
      <c r="AL684" s="89" t="s">
        <v>646</v>
      </c>
      <c r="AM684" s="89" t="s">
        <v>646</v>
      </c>
      <c r="AN684" s="89" t="s">
        <v>646</v>
      </c>
      <c r="AO684" s="89" t="s">
        <v>646</v>
      </c>
      <c r="AP684" s="89" t="s">
        <v>646</v>
      </c>
      <c r="AQ684" s="89" t="s">
        <v>646</v>
      </c>
      <c r="AR684" s="89" t="s">
        <v>646</v>
      </c>
      <c r="AS684" s="89" t="s">
        <v>646</v>
      </c>
      <c r="AT684" s="89" t="s">
        <v>646</v>
      </c>
      <c r="AU684" s="89" t="s">
        <v>646</v>
      </c>
      <c r="AV684" s="89" t="s">
        <v>646</v>
      </c>
      <c r="AW684" s="89" t="s">
        <v>646</v>
      </c>
      <c r="AX684" s="89" t="s">
        <v>646</v>
      </c>
      <c r="AY684" s="89" t="s">
        <v>23041</v>
      </c>
      <c r="AZ684" s="89" t="s">
        <v>23042</v>
      </c>
      <c r="BA684" s="89" t="s">
        <v>646</v>
      </c>
      <c r="BB684" s="89" t="s">
        <v>646</v>
      </c>
      <c r="BC684" s="89" t="s">
        <v>646</v>
      </c>
      <c r="BD684" s="89" t="s">
        <v>18292</v>
      </c>
      <c r="BE684" s="89">
        <v>2018</v>
      </c>
      <c r="BF684" s="89">
        <v>5</v>
      </c>
      <c r="BG684" s="89">
        <v>4</v>
      </c>
      <c r="BH684" s="89" t="s">
        <v>646</v>
      </c>
      <c r="BI684" s="89" t="s">
        <v>646</v>
      </c>
      <c r="BJ684" s="89" t="s">
        <v>646</v>
      </c>
      <c r="BK684" s="89" t="s">
        <v>646</v>
      </c>
      <c r="BL684" s="89">
        <v>107</v>
      </c>
      <c r="BM684" s="89">
        <v>116</v>
      </c>
      <c r="BN684" s="89" t="s">
        <v>646</v>
      </c>
      <c r="BO684" s="89" t="str">
        <f>HYPERLINK("http://dx.doi.org/10.13106/jafeb.2018.vol5.no4.107","http://dx.doi.org/10.13106/jafeb.2018.vol5.no4.107")</f>
        <v>http://dx.doi.org/10.13106/jafeb.2018.vol5.no4.107</v>
      </c>
      <c r="BP684" s="89" t="s">
        <v>646</v>
      </c>
      <c r="BQ684" s="89" t="s">
        <v>646</v>
      </c>
      <c r="BR684" s="89" t="s">
        <v>646</v>
      </c>
      <c r="BS684" s="89" t="s">
        <v>646</v>
      </c>
      <c r="BT684" s="89" t="s">
        <v>646</v>
      </c>
      <c r="BU684" s="89" t="s">
        <v>646</v>
      </c>
      <c r="BV684" s="89" t="s">
        <v>646</v>
      </c>
      <c r="BW684" s="89" t="s">
        <v>646</v>
      </c>
      <c r="BX684" s="89" t="s">
        <v>646</v>
      </c>
      <c r="BY684" s="89" t="s">
        <v>646</v>
      </c>
      <c r="BZ684" s="89" t="s">
        <v>646</v>
      </c>
      <c r="CA684" s="89" t="s">
        <v>646</v>
      </c>
      <c r="CB684" s="89" t="s">
        <v>23043</v>
      </c>
      <c r="CC684" s="89" t="str">
        <f>HYPERLINK("https%3A%2F%2Fwww.webofscience.com%2Fwos%2Fwoscc%2Ffull-record%2FWOS:000450499100011","View Full Record in Web of Science")</f>
        <v>View Full Record in Web of Science</v>
      </c>
    </row>
    <row r="685" spans="1:81" ht="13.2" hidden="1" x14ac:dyDescent="0.25">
      <c r="A685" s="89" t="s">
        <v>14226</v>
      </c>
      <c r="B685" s="89" t="e">
        <f>+#REF!</f>
        <v>#REF!</v>
      </c>
      <c r="C685" s="89"/>
      <c r="D685" s="91" t="s">
        <v>717</v>
      </c>
      <c r="E685" s="90" t="e">
        <v>#REF!</v>
      </c>
      <c r="F685" s="89"/>
      <c r="G685" s="89"/>
      <c r="H685" s="89" t="s">
        <v>14227</v>
      </c>
      <c r="I685" s="89" t="s">
        <v>23044</v>
      </c>
      <c r="J685" s="89" t="s">
        <v>18766</v>
      </c>
      <c r="K685" s="89" t="s">
        <v>23045</v>
      </c>
      <c r="M685" s="89">
        <v>2011</v>
      </c>
      <c r="N685" s="89" t="s">
        <v>19313</v>
      </c>
      <c r="O685" s="89" t="s">
        <v>646</v>
      </c>
      <c r="P685" s="89" t="str">
        <f>HYPERLINK("http://dx.doi.org/10.1016/j.chb.2010.09.017","http://dx.doi.org/10.1016/j.chb.2010.09.017")</f>
        <v>http://dx.doi.org/10.1016/j.chb.2010.09.017</v>
      </c>
      <c r="S685" s="89" t="s">
        <v>646</v>
      </c>
      <c r="U685" s="89" t="s">
        <v>17462</v>
      </c>
      <c r="W685" s="89" t="s">
        <v>646</v>
      </c>
      <c r="X685" s="89" t="s">
        <v>646</v>
      </c>
      <c r="Y685" s="89" t="s">
        <v>646</v>
      </c>
      <c r="Z685" s="89" t="s">
        <v>646</v>
      </c>
      <c r="AA685" s="89" t="s">
        <v>646</v>
      </c>
      <c r="AB685" s="89" t="s">
        <v>646</v>
      </c>
      <c r="AC685" s="89" t="s">
        <v>646</v>
      </c>
      <c r="AD685" s="89" t="s">
        <v>646</v>
      </c>
      <c r="AE685" s="89" t="s">
        <v>646</v>
      </c>
      <c r="AF685" s="89" t="s">
        <v>23045</v>
      </c>
      <c r="AG685" s="89" t="s">
        <v>646</v>
      </c>
      <c r="AH685" s="89" t="s">
        <v>646</v>
      </c>
      <c r="AI685" s="89" t="s">
        <v>646</v>
      </c>
      <c r="AJ685" s="89" t="s">
        <v>646</v>
      </c>
      <c r="AK685" s="89" t="s">
        <v>18766</v>
      </c>
      <c r="AL685" s="89" t="s">
        <v>18767</v>
      </c>
      <c r="AM685" s="89" t="s">
        <v>646</v>
      </c>
      <c r="AN685" s="89" t="s">
        <v>646</v>
      </c>
      <c r="AO685" s="89" t="s">
        <v>646</v>
      </c>
      <c r="AP685" s="89" t="s">
        <v>646</v>
      </c>
      <c r="AQ685" s="89" t="s">
        <v>646</v>
      </c>
      <c r="AR685" s="89" t="s">
        <v>646</v>
      </c>
      <c r="AS685" s="89" t="s">
        <v>646</v>
      </c>
      <c r="AT685" s="89" t="s">
        <v>646</v>
      </c>
      <c r="AU685" s="89" t="s">
        <v>646</v>
      </c>
      <c r="AV685" s="89" t="s">
        <v>646</v>
      </c>
      <c r="AW685" s="89" t="s">
        <v>646</v>
      </c>
      <c r="AX685" s="89" t="s">
        <v>646</v>
      </c>
      <c r="AY685" s="89" t="s">
        <v>19317</v>
      </c>
      <c r="AZ685" s="89" t="s">
        <v>19318</v>
      </c>
      <c r="BA685" s="89" t="s">
        <v>646</v>
      </c>
      <c r="BB685" s="89" t="s">
        <v>646</v>
      </c>
      <c r="BC685" s="89" t="s">
        <v>646</v>
      </c>
      <c r="BD685" s="89" t="s">
        <v>17513</v>
      </c>
      <c r="BE685" s="89">
        <v>2011</v>
      </c>
      <c r="BF685" s="89">
        <v>27</v>
      </c>
      <c r="BG685" s="89">
        <v>1</v>
      </c>
      <c r="BH685" s="89" t="s">
        <v>646</v>
      </c>
      <c r="BI685" s="89" t="s">
        <v>646</v>
      </c>
      <c r="BJ685" s="89" t="s">
        <v>646</v>
      </c>
      <c r="BK685" s="89" t="s">
        <v>646</v>
      </c>
      <c r="BL685" s="89">
        <v>490</v>
      </c>
      <c r="BM685" s="89">
        <v>503</v>
      </c>
      <c r="BN685" s="89" t="s">
        <v>646</v>
      </c>
      <c r="BO685" s="89" t="str">
        <f>HYPERLINK("http://dx.doi.org/10.1016/j.chb.2010.09.017","http://dx.doi.org/10.1016/j.chb.2010.09.017")</f>
        <v>http://dx.doi.org/10.1016/j.chb.2010.09.017</v>
      </c>
      <c r="BP685" s="89" t="s">
        <v>646</v>
      </c>
      <c r="BQ685" s="89" t="s">
        <v>646</v>
      </c>
      <c r="BR685" s="89" t="s">
        <v>646</v>
      </c>
      <c r="BS685" s="89" t="s">
        <v>646</v>
      </c>
      <c r="BT685" s="89" t="s">
        <v>646</v>
      </c>
      <c r="BU685" s="89" t="s">
        <v>646</v>
      </c>
      <c r="BV685" s="89" t="s">
        <v>646</v>
      </c>
      <c r="BW685" s="89" t="s">
        <v>646</v>
      </c>
      <c r="BX685" s="89" t="s">
        <v>646</v>
      </c>
      <c r="BY685" s="89" t="s">
        <v>646</v>
      </c>
      <c r="BZ685" s="89" t="s">
        <v>646</v>
      </c>
      <c r="CA685" s="89" t="s">
        <v>646</v>
      </c>
      <c r="CB685" s="89" t="s">
        <v>23046</v>
      </c>
      <c r="CC685" s="89" t="str">
        <f>HYPERLINK("https%3A%2F%2Fwww.webofscience.com%2Fwos%2Fwoscc%2Ffull-record%2FWOS:000285368400059","View Full Record in Web of Science")</f>
        <v>View Full Record in Web of Science</v>
      </c>
    </row>
    <row r="686" spans="1:81" ht="13.2" hidden="1" x14ac:dyDescent="0.25">
      <c r="A686" s="89" t="s">
        <v>9995</v>
      </c>
      <c r="B686" s="89" t="e">
        <f>+#REF!</f>
        <v>#REF!</v>
      </c>
      <c r="C686" s="89"/>
      <c r="D686" s="91" t="s">
        <v>717</v>
      </c>
      <c r="E686" s="90" t="e">
        <v>#REF!</v>
      </c>
      <c r="F686" s="89"/>
      <c r="G686" s="89"/>
      <c r="H686" s="89" t="s">
        <v>9996</v>
      </c>
      <c r="I686" s="89" t="s">
        <v>23047</v>
      </c>
      <c r="J686" s="89" t="s">
        <v>646</v>
      </c>
      <c r="K686" s="89" t="s">
        <v>23049</v>
      </c>
      <c r="M686" s="89">
        <v>2022</v>
      </c>
      <c r="N686" s="89" t="s">
        <v>23048</v>
      </c>
      <c r="O686" s="89" t="s">
        <v>646</v>
      </c>
      <c r="P686" s="89" t="str">
        <f>HYPERLINK("http://dx.doi.org/10.1016/j.jad.2022.04.107","http://dx.doi.org/10.1016/j.jad.2022.04.107")</f>
        <v>http://dx.doi.org/10.1016/j.jad.2022.04.107</v>
      </c>
      <c r="S686" s="89" t="s">
        <v>646</v>
      </c>
      <c r="U686" s="89" t="s">
        <v>17462</v>
      </c>
      <c r="W686" s="89" t="s">
        <v>646</v>
      </c>
      <c r="X686" s="89" t="s">
        <v>646</v>
      </c>
      <c r="Y686" s="89" t="s">
        <v>646</v>
      </c>
      <c r="Z686" s="89" t="s">
        <v>646</v>
      </c>
      <c r="AA686" s="89" t="s">
        <v>646</v>
      </c>
      <c r="AB686" s="89" t="s">
        <v>646</v>
      </c>
      <c r="AC686" s="89" t="s">
        <v>646</v>
      </c>
      <c r="AD686" s="89" t="s">
        <v>646</v>
      </c>
      <c r="AE686" s="89" t="s">
        <v>646</v>
      </c>
      <c r="AF686" s="89" t="s">
        <v>23049</v>
      </c>
      <c r="AG686" s="89" t="s">
        <v>646</v>
      </c>
      <c r="AH686" s="89" t="s">
        <v>646</v>
      </c>
      <c r="AI686" s="89" t="s">
        <v>646</v>
      </c>
      <c r="AJ686" s="89" t="s">
        <v>646</v>
      </c>
      <c r="AK686" s="89" t="s">
        <v>646</v>
      </c>
      <c r="AL686" s="89" t="s">
        <v>646</v>
      </c>
      <c r="AM686" s="89" t="s">
        <v>646</v>
      </c>
      <c r="AN686" s="89" t="s">
        <v>646</v>
      </c>
      <c r="AO686" s="89" t="s">
        <v>646</v>
      </c>
      <c r="AP686" s="89" t="s">
        <v>646</v>
      </c>
      <c r="AQ686" s="89" t="s">
        <v>646</v>
      </c>
      <c r="AR686" s="89" t="s">
        <v>646</v>
      </c>
      <c r="AS686" s="89" t="s">
        <v>646</v>
      </c>
      <c r="AT686" s="89" t="s">
        <v>646</v>
      </c>
      <c r="AU686" s="89" t="s">
        <v>646</v>
      </c>
      <c r="AV686" s="89" t="s">
        <v>646</v>
      </c>
      <c r="AW686" s="89" t="s">
        <v>646</v>
      </c>
      <c r="AX686" s="89" t="s">
        <v>646</v>
      </c>
      <c r="AY686" s="89" t="s">
        <v>23050</v>
      </c>
      <c r="AZ686" s="89" t="s">
        <v>23051</v>
      </c>
      <c r="BA686" s="89" t="s">
        <v>646</v>
      </c>
      <c r="BB686" s="89" t="s">
        <v>646</v>
      </c>
      <c r="BC686" s="89" t="s">
        <v>646</v>
      </c>
      <c r="BD686" s="89" t="s">
        <v>19592</v>
      </c>
      <c r="BE686" s="89">
        <v>2022</v>
      </c>
      <c r="BF686" s="89">
        <v>309</v>
      </c>
      <c r="BG686" s="89" t="s">
        <v>646</v>
      </c>
      <c r="BH686" s="89" t="s">
        <v>646</v>
      </c>
      <c r="BI686" s="89" t="s">
        <v>646</v>
      </c>
      <c r="BJ686" s="89" t="s">
        <v>646</v>
      </c>
      <c r="BK686" s="89" t="s">
        <v>646</v>
      </c>
      <c r="BL686" s="89">
        <v>45</v>
      </c>
      <c r="BM686" s="89">
        <v>51</v>
      </c>
      <c r="BN686" s="89" t="s">
        <v>646</v>
      </c>
      <c r="BO686" s="89" t="str">
        <f>HYPERLINK("http://dx.doi.org/10.1016/j.jad.2022.04.107","http://dx.doi.org/10.1016/j.jad.2022.04.107")</f>
        <v>http://dx.doi.org/10.1016/j.jad.2022.04.107</v>
      </c>
      <c r="BP686" s="89" t="s">
        <v>646</v>
      </c>
      <c r="BQ686" s="89" t="s">
        <v>646</v>
      </c>
      <c r="BR686" s="89" t="s">
        <v>646</v>
      </c>
      <c r="BS686" s="89" t="s">
        <v>646</v>
      </c>
      <c r="BT686" s="89" t="s">
        <v>646</v>
      </c>
      <c r="BU686" s="89" t="s">
        <v>646</v>
      </c>
      <c r="BV686" s="89" t="s">
        <v>646</v>
      </c>
      <c r="BW686" s="89">
        <v>35472472</v>
      </c>
      <c r="BX686" s="89" t="s">
        <v>646</v>
      </c>
      <c r="BY686" s="89" t="s">
        <v>646</v>
      </c>
      <c r="BZ686" s="89" t="s">
        <v>646</v>
      </c>
      <c r="CA686" s="89" t="s">
        <v>646</v>
      </c>
      <c r="CB686" s="89" t="s">
        <v>23052</v>
      </c>
      <c r="CC686" s="89" t="str">
        <f>HYPERLINK("https%3A%2F%2Fwww.webofscience.com%2Fwos%2Fwoscc%2Ffull-record%2FWOS:000795670900006","View Full Record in Web of Science")</f>
        <v>View Full Record in Web of Science</v>
      </c>
    </row>
    <row r="687" spans="1:81" ht="13.2" hidden="1" x14ac:dyDescent="0.25">
      <c r="A687" s="89" t="s">
        <v>14235</v>
      </c>
      <c r="B687" s="89" t="e">
        <f>+#REF!</f>
        <v>#REF!</v>
      </c>
      <c r="C687" s="89"/>
      <c r="D687" s="91" t="s">
        <v>717</v>
      </c>
      <c r="E687" s="90" t="e">
        <v>#REF!</v>
      </c>
      <c r="F687" s="89"/>
      <c r="G687" s="89"/>
      <c r="H687" s="89" t="s">
        <v>14236</v>
      </c>
      <c r="I687" s="89" t="s">
        <v>23053</v>
      </c>
      <c r="J687" s="89" t="s">
        <v>646</v>
      </c>
      <c r="K687" s="89" t="s">
        <v>23054</v>
      </c>
      <c r="M687" s="89">
        <v>2019</v>
      </c>
      <c r="N687" s="89" t="s">
        <v>22227</v>
      </c>
      <c r="O687" s="89" t="s">
        <v>646</v>
      </c>
      <c r="P687" s="89" t="str">
        <f>HYPERLINK("http://dx.doi.org/10.1016/j.amepre.2019.06.024","http://dx.doi.org/10.1016/j.amepre.2019.06.024")</f>
        <v>http://dx.doi.org/10.1016/j.amepre.2019.06.024</v>
      </c>
      <c r="S687" s="89" t="s">
        <v>646</v>
      </c>
      <c r="U687" s="89" t="s">
        <v>17462</v>
      </c>
      <c r="W687" s="89" t="s">
        <v>646</v>
      </c>
      <c r="X687" s="89" t="s">
        <v>646</v>
      </c>
      <c r="Y687" s="89" t="s">
        <v>646</v>
      </c>
      <c r="Z687" s="89" t="s">
        <v>646</v>
      </c>
      <c r="AA687" s="89" t="s">
        <v>646</v>
      </c>
      <c r="AB687" s="89" t="s">
        <v>646</v>
      </c>
      <c r="AC687" s="89" t="s">
        <v>646</v>
      </c>
      <c r="AD687" s="89" t="s">
        <v>646</v>
      </c>
      <c r="AE687" s="89" t="s">
        <v>646</v>
      </c>
      <c r="AF687" s="89" t="s">
        <v>23054</v>
      </c>
      <c r="AG687" s="89" t="s">
        <v>646</v>
      </c>
      <c r="AH687" s="89" t="s">
        <v>646</v>
      </c>
      <c r="AI687" s="89" t="s">
        <v>646</v>
      </c>
      <c r="AJ687" s="89" t="s">
        <v>646</v>
      </c>
      <c r="AK687" s="89" t="s">
        <v>646</v>
      </c>
      <c r="AL687" s="89" t="s">
        <v>646</v>
      </c>
      <c r="AM687" s="89" t="s">
        <v>646</v>
      </c>
      <c r="AN687" s="89" t="s">
        <v>646</v>
      </c>
      <c r="AO687" s="89" t="s">
        <v>646</v>
      </c>
      <c r="AP687" s="89" t="s">
        <v>646</v>
      </c>
      <c r="AQ687" s="89" t="s">
        <v>646</v>
      </c>
      <c r="AR687" s="89" t="s">
        <v>646</v>
      </c>
      <c r="AS687" s="89" t="s">
        <v>646</v>
      </c>
      <c r="AT687" s="89" t="s">
        <v>646</v>
      </c>
      <c r="AU687" s="89" t="s">
        <v>646</v>
      </c>
      <c r="AV687" s="89" t="s">
        <v>646</v>
      </c>
      <c r="AW687" s="89" t="s">
        <v>646</v>
      </c>
      <c r="AX687" s="89" t="s">
        <v>646</v>
      </c>
      <c r="AY687" s="89" t="s">
        <v>22231</v>
      </c>
      <c r="AZ687" s="89" t="s">
        <v>22232</v>
      </c>
      <c r="BA687" s="89" t="s">
        <v>646</v>
      </c>
      <c r="BB687" s="89" t="s">
        <v>646</v>
      </c>
      <c r="BC687" s="89" t="s">
        <v>646</v>
      </c>
      <c r="BD687" s="89" t="s">
        <v>17615</v>
      </c>
      <c r="BE687" s="89">
        <v>2019</v>
      </c>
      <c r="BF687" s="89">
        <v>57</v>
      </c>
      <c r="BG687" s="89">
        <v>6</v>
      </c>
      <c r="BH687" s="89" t="s">
        <v>646</v>
      </c>
      <c r="BI687" s="89" t="s">
        <v>646</v>
      </c>
      <c r="BJ687" s="89" t="s">
        <v>646</v>
      </c>
      <c r="BK687" s="89" t="s">
        <v>646</v>
      </c>
      <c r="BL687" s="89" t="s">
        <v>23055</v>
      </c>
      <c r="BM687" s="89" t="s">
        <v>23056</v>
      </c>
      <c r="BN687" s="89" t="s">
        <v>646</v>
      </c>
      <c r="BO687" s="89" t="str">
        <f>HYPERLINK("http://dx.doi.org/10.1016/j.amepre.2019.06.024","http://dx.doi.org/10.1016/j.amepre.2019.06.024")</f>
        <v>http://dx.doi.org/10.1016/j.amepre.2019.06.024</v>
      </c>
      <c r="BP687" s="89" t="s">
        <v>646</v>
      </c>
      <c r="BQ687" s="89" t="s">
        <v>646</v>
      </c>
      <c r="BR687" s="89" t="s">
        <v>646</v>
      </c>
      <c r="BS687" s="89" t="s">
        <v>646</v>
      </c>
      <c r="BT687" s="89" t="s">
        <v>646</v>
      </c>
      <c r="BU687" s="89" t="s">
        <v>646</v>
      </c>
      <c r="BV687" s="89" t="s">
        <v>646</v>
      </c>
      <c r="BW687" s="89">
        <v>31753271</v>
      </c>
      <c r="BX687" s="89" t="s">
        <v>646</v>
      </c>
      <c r="BY687" s="89" t="s">
        <v>646</v>
      </c>
      <c r="BZ687" s="89" t="s">
        <v>646</v>
      </c>
      <c r="CA687" s="89" t="s">
        <v>646</v>
      </c>
      <c r="CB687" s="89" t="s">
        <v>23057</v>
      </c>
      <c r="CC687" s="89" t="str">
        <f>HYPERLINK("https%3A%2F%2Fwww.webofscience.com%2Fwos%2Fwoscc%2Ffull-record%2FWOS:000496953200001","View Full Record in Web of Science")</f>
        <v>View Full Record in Web of Science</v>
      </c>
    </row>
    <row r="688" spans="1:81" ht="13.2" hidden="1" x14ac:dyDescent="0.25">
      <c r="A688" s="89" t="s">
        <v>23058</v>
      </c>
      <c r="B688" s="89" t="e">
        <f>+#REF!</f>
        <v>#REF!</v>
      </c>
      <c r="C688" s="89"/>
      <c r="D688" s="91" t="s">
        <v>717</v>
      </c>
      <c r="E688" s="90" t="e">
        <v>#REF!</v>
      </c>
      <c r="F688" s="89"/>
      <c r="G688" s="89"/>
      <c r="H688" s="89" t="s">
        <v>14245</v>
      </c>
      <c r="I688" s="89" t="s">
        <v>23059</v>
      </c>
      <c r="J688" s="89" t="s">
        <v>646</v>
      </c>
      <c r="K688" s="89" t="s">
        <v>23060</v>
      </c>
      <c r="M688" s="89">
        <v>2016</v>
      </c>
      <c r="N688" s="89" t="s">
        <v>18595</v>
      </c>
      <c r="O688" s="89" t="s">
        <v>646</v>
      </c>
      <c r="P688" s="89" t="str">
        <f>HYPERLINK("http://dx.doi.org/10.1371/journal.pone.0163207","http://dx.doi.org/10.1371/journal.pone.0163207")</f>
        <v>http://dx.doi.org/10.1371/journal.pone.0163207</v>
      </c>
      <c r="S688" s="89" t="s">
        <v>646</v>
      </c>
      <c r="U688" s="89" t="s">
        <v>17462</v>
      </c>
      <c r="W688" s="89" t="s">
        <v>646</v>
      </c>
      <c r="X688" s="89" t="s">
        <v>646</v>
      </c>
      <c r="Y688" s="89" t="s">
        <v>646</v>
      </c>
      <c r="Z688" s="89" t="s">
        <v>646</v>
      </c>
      <c r="AA688" s="89" t="s">
        <v>646</v>
      </c>
      <c r="AB688" s="89" t="s">
        <v>646</v>
      </c>
      <c r="AC688" s="89" t="s">
        <v>646</v>
      </c>
      <c r="AD688" s="89" t="s">
        <v>646</v>
      </c>
      <c r="AE688" s="89" t="s">
        <v>646</v>
      </c>
      <c r="AF688" s="89" t="s">
        <v>23060</v>
      </c>
      <c r="AG688" s="89" t="s">
        <v>646</v>
      </c>
      <c r="AH688" s="89" t="s">
        <v>646</v>
      </c>
      <c r="AI688" s="89" t="s">
        <v>646</v>
      </c>
      <c r="AJ688" s="89" t="s">
        <v>646</v>
      </c>
      <c r="AK688" s="89" t="s">
        <v>646</v>
      </c>
      <c r="AL688" s="89" t="s">
        <v>646</v>
      </c>
      <c r="AM688" s="89" t="s">
        <v>646</v>
      </c>
      <c r="AN688" s="89" t="s">
        <v>646</v>
      </c>
      <c r="AO688" s="89" t="s">
        <v>646</v>
      </c>
      <c r="AP688" s="89" t="s">
        <v>646</v>
      </c>
      <c r="AQ688" s="89" t="s">
        <v>646</v>
      </c>
      <c r="AR688" s="89" t="s">
        <v>646</v>
      </c>
      <c r="AS688" s="89" t="s">
        <v>646</v>
      </c>
      <c r="AT688" s="89" t="s">
        <v>646</v>
      </c>
      <c r="AU688" s="89" t="s">
        <v>646</v>
      </c>
      <c r="AV688" s="89" t="s">
        <v>646</v>
      </c>
      <c r="AW688" s="89" t="s">
        <v>646</v>
      </c>
      <c r="AX688" s="89" t="s">
        <v>646</v>
      </c>
      <c r="AY688" s="89" t="s">
        <v>18599</v>
      </c>
      <c r="AZ688" s="89" t="s">
        <v>646</v>
      </c>
      <c r="BA688" s="89" t="s">
        <v>646</v>
      </c>
      <c r="BB688" s="89" t="s">
        <v>646</v>
      </c>
      <c r="BC688" s="89" t="s">
        <v>646</v>
      </c>
      <c r="BD688" s="89" t="s">
        <v>23061</v>
      </c>
      <c r="BE688" s="89">
        <v>2016</v>
      </c>
      <c r="BF688" s="89">
        <v>11</v>
      </c>
      <c r="BG688" s="89">
        <v>9</v>
      </c>
      <c r="BH688" s="89" t="s">
        <v>646</v>
      </c>
      <c r="BI688" s="89" t="s">
        <v>646</v>
      </c>
      <c r="BJ688" s="89" t="s">
        <v>646</v>
      </c>
      <c r="BK688" s="89" t="s">
        <v>646</v>
      </c>
      <c r="BL688" s="89" t="s">
        <v>646</v>
      </c>
      <c r="BM688" s="89" t="s">
        <v>646</v>
      </c>
      <c r="BN688" s="89" t="s">
        <v>23062</v>
      </c>
      <c r="BO688" s="89" t="str">
        <f>HYPERLINK("http://dx.doi.org/10.1371/journal.pone.0163207","http://dx.doi.org/10.1371/journal.pone.0163207")</f>
        <v>http://dx.doi.org/10.1371/journal.pone.0163207</v>
      </c>
      <c r="BP688" s="89" t="s">
        <v>646</v>
      </c>
      <c r="BQ688" s="89" t="s">
        <v>646</v>
      </c>
      <c r="BR688" s="89" t="s">
        <v>646</v>
      </c>
      <c r="BS688" s="89" t="s">
        <v>646</v>
      </c>
      <c r="BT688" s="89" t="s">
        <v>646</v>
      </c>
      <c r="BU688" s="89" t="s">
        <v>646</v>
      </c>
      <c r="BV688" s="89" t="s">
        <v>646</v>
      </c>
      <c r="BW688" s="89">
        <v>27655229</v>
      </c>
      <c r="BX688" s="89" t="s">
        <v>646</v>
      </c>
      <c r="BY688" s="89" t="s">
        <v>646</v>
      </c>
      <c r="BZ688" s="89" t="s">
        <v>646</v>
      </c>
      <c r="CA688" s="89" t="s">
        <v>646</v>
      </c>
      <c r="CB688" s="89" t="s">
        <v>23063</v>
      </c>
      <c r="CC688" s="89" t="str">
        <f>HYPERLINK("https%3A%2F%2Fwww.webofscience.com%2Fwos%2Fwoscc%2Ffull-record%2FWOS:000383892700041","View Full Record in Web of Science")</f>
        <v>View Full Record in Web of Science</v>
      </c>
    </row>
    <row r="689" spans="1:81" ht="13.2" hidden="1" x14ac:dyDescent="0.25">
      <c r="A689" s="89" t="s">
        <v>23064</v>
      </c>
      <c r="B689" s="89" t="e">
        <f>+#REF!</f>
        <v>#REF!</v>
      </c>
      <c r="C689" s="89"/>
      <c r="D689" s="91" t="s">
        <v>717</v>
      </c>
      <c r="E689" s="90" t="e">
        <v>#REF!</v>
      </c>
      <c r="F689" s="89"/>
      <c r="G689" s="89"/>
      <c r="H689" s="89" t="s">
        <v>646</v>
      </c>
      <c r="I689" s="89" t="s">
        <v>23066</v>
      </c>
      <c r="J689" s="89" t="s">
        <v>646</v>
      </c>
      <c r="K689" s="89" t="s">
        <v>23072</v>
      </c>
      <c r="M689" s="89">
        <v>2013</v>
      </c>
      <c r="N689" s="89" t="s">
        <v>23067</v>
      </c>
      <c r="O689" s="89" t="s">
        <v>23065</v>
      </c>
      <c r="P689" s="89" t="s">
        <v>646</v>
      </c>
      <c r="S689" s="89" t="s">
        <v>646</v>
      </c>
      <c r="U689" s="89" t="s">
        <v>17474</v>
      </c>
      <c r="W689" s="89" t="s">
        <v>646</v>
      </c>
      <c r="X689" s="89" t="s">
        <v>646</v>
      </c>
      <c r="Y689" s="89" t="s">
        <v>23068</v>
      </c>
      <c r="Z689" s="89" t="s">
        <v>23069</v>
      </c>
      <c r="AA689" s="89" t="s">
        <v>23070</v>
      </c>
      <c r="AB689" s="89" t="s">
        <v>23071</v>
      </c>
      <c r="AC689" s="89" t="s">
        <v>646</v>
      </c>
      <c r="AD689" s="89" t="s">
        <v>646</v>
      </c>
      <c r="AE689" s="89" t="s">
        <v>646</v>
      </c>
      <c r="AF689" s="89" t="s">
        <v>23072</v>
      </c>
      <c r="AG689" s="89" t="s">
        <v>646</v>
      </c>
      <c r="AH689" s="89" t="s">
        <v>646</v>
      </c>
      <c r="AI689" s="89" t="s">
        <v>646</v>
      </c>
      <c r="AJ689" s="89" t="s">
        <v>646</v>
      </c>
      <c r="AK689" s="89" t="s">
        <v>646</v>
      </c>
      <c r="AL689" s="89" t="s">
        <v>646</v>
      </c>
      <c r="AM689" s="89" t="s">
        <v>646</v>
      </c>
      <c r="AN689" s="89" t="s">
        <v>646</v>
      </c>
      <c r="AO689" s="89" t="s">
        <v>646</v>
      </c>
      <c r="AP689" s="89" t="s">
        <v>646</v>
      </c>
      <c r="AQ689" s="89" t="s">
        <v>646</v>
      </c>
      <c r="AR689" s="89" t="s">
        <v>646</v>
      </c>
      <c r="AS689" s="89" t="s">
        <v>646</v>
      </c>
      <c r="AT689" s="89" t="s">
        <v>646</v>
      </c>
      <c r="AU689" s="89" t="s">
        <v>646</v>
      </c>
      <c r="AV689" s="89" t="s">
        <v>646</v>
      </c>
      <c r="AW689" s="89" t="s">
        <v>646</v>
      </c>
      <c r="AX689" s="89" t="s">
        <v>646</v>
      </c>
      <c r="AY689" s="89" t="s">
        <v>18367</v>
      </c>
      <c r="AZ689" s="89" t="s">
        <v>18884</v>
      </c>
      <c r="BA689" s="89" t="s">
        <v>23073</v>
      </c>
      <c r="BB689" s="89" t="s">
        <v>646</v>
      </c>
      <c r="BC689" s="89" t="s">
        <v>646</v>
      </c>
      <c r="BD689" s="89" t="s">
        <v>646</v>
      </c>
      <c r="BE689" s="89">
        <v>2013</v>
      </c>
      <c r="BF689" s="89">
        <v>8118</v>
      </c>
      <c r="BG689" s="89" t="s">
        <v>646</v>
      </c>
      <c r="BH689" s="89" t="s">
        <v>646</v>
      </c>
      <c r="BI689" s="89" t="s">
        <v>646</v>
      </c>
      <c r="BJ689" s="89" t="s">
        <v>646</v>
      </c>
      <c r="BK689" s="89" t="s">
        <v>646</v>
      </c>
      <c r="BL689" s="89">
        <v>116</v>
      </c>
      <c r="BM689" s="89">
        <v>134</v>
      </c>
      <c r="BN689" s="89" t="s">
        <v>646</v>
      </c>
      <c r="BO689" s="89" t="s">
        <v>646</v>
      </c>
      <c r="BP689" s="89" t="s">
        <v>646</v>
      </c>
      <c r="BQ689" s="89" t="s">
        <v>646</v>
      </c>
      <c r="BR689" s="89" t="s">
        <v>646</v>
      </c>
      <c r="BS689" s="89" t="s">
        <v>646</v>
      </c>
      <c r="BT689" s="89" t="s">
        <v>646</v>
      </c>
      <c r="BU689" s="89" t="s">
        <v>646</v>
      </c>
      <c r="BV689" s="89" t="s">
        <v>646</v>
      </c>
      <c r="BW689" s="89" t="s">
        <v>646</v>
      </c>
      <c r="BX689" s="89" t="s">
        <v>646</v>
      </c>
      <c r="BY689" s="89" t="s">
        <v>646</v>
      </c>
      <c r="BZ689" s="89" t="s">
        <v>646</v>
      </c>
      <c r="CA689" s="89" t="s">
        <v>646</v>
      </c>
      <c r="CB689" s="89" t="s">
        <v>23074</v>
      </c>
      <c r="CC689" s="89" t="str">
        <f>HYPERLINK("https%3A%2F%2Fwww.webofscience.com%2Fwos%2Fwoscc%2Ffull-record%2FWOS:000342898400008","View Full Record in Web of Science")</f>
        <v>View Full Record in Web of Science</v>
      </c>
    </row>
    <row r="690" spans="1:81" ht="13.2" hidden="1" x14ac:dyDescent="0.25">
      <c r="A690" s="89" t="s">
        <v>23075</v>
      </c>
      <c r="B690" s="89" t="e">
        <f>+#REF!</f>
        <v>#REF!</v>
      </c>
      <c r="C690" s="89"/>
      <c r="D690" s="91" t="s">
        <v>717</v>
      </c>
      <c r="E690" s="90" t="e">
        <v>#REF!</v>
      </c>
      <c r="F690" s="89"/>
      <c r="G690" s="89"/>
      <c r="H690" s="89" t="s">
        <v>14262</v>
      </c>
      <c r="I690" s="89" t="s">
        <v>23076</v>
      </c>
      <c r="J690" s="89" t="s">
        <v>646</v>
      </c>
      <c r="K690" s="89" t="s">
        <v>23078</v>
      </c>
      <c r="M690" s="89">
        <v>2020</v>
      </c>
      <c r="N690" s="89" t="s">
        <v>23077</v>
      </c>
      <c r="O690" s="89" t="s">
        <v>646</v>
      </c>
      <c r="P690" s="89" t="str">
        <f>HYPERLINK("http://dx.doi.org/10.1016/j.energy.2020.117929","http://dx.doi.org/10.1016/j.energy.2020.117929")</f>
        <v>http://dx.doi.org/10.1016/j.energy.2020.117929</v>
      </c>
      <c r="S690" s="89" t="s">
        <v>646</v>
      </c>
      <c r="U690" s="89" t="s">
        <v>17462</v>
      </c>
      <c r="W690" s="89" t="s">
        <v>646</v>
      </c>
      <c r="X690" s="89" t="s">
        <v>646</v>
      </c>
      <c r="Y690" s="89" t="s">
        <v>646</v>
      </c>
      <c r="Z690" s="89" t="s">
        <v>646</v>
      </c>
      <c r="AA690" s="89" t="s">
        <v>646</v>
      </c>
      <c r="AB690" s="89" t="s">
        <v>646</v>
      </c>
      <c r="AC690" s="89" t="s">
        <v>646</v>
      </c>
      <c r="AD690" s="89" t="s">
        <v>646</v>
      </c>
      <c r="AE690" s="89" t="s">
        <v>646</v>
      </c>
      <c r="AF690" s="89" t="s">
        <v>23078</v>
      </c>
      <c r="AG690" s="89" t="s">
        <v>646</v>
      </c>
      <c r="AH690" s="89" t="s">
        <v>646</v>
      </c>
      <c r="AI690" s="89" t="s">
        <v>646</v>
      </c>
      <c r="AJ690" s="89" t="s">
        <v>646</v>
      </c>
      <c r="AK690" s="89" t="s">
        <v>646</v>
      </c>
      <c r="AL690" s="89" t="s">
        <v>23079</v>
      </c>
      <c r="AM690" s="89" t="s">
        <v>646</v>
      </c>
      <c r="AN690" s="89" t="s">
        <v>646</v>
      </c>
      <c r="AO690" s="89" t="s">
        <v>646</v>
      </c>
      <c r="AP690" s="89" t="s">
        <v>646</v>
      </c>
      <c r="AQ690" s="89" t="s">
        <v>646</v>
      </c>
      <c r="AR690" s="89" t="s">
        <v>646</v>
      </c>
      <c r="AS690" s="89" t="s">
        <v>646</v>
      </c>
      <c r="AT690" s="89" t="s">
        <v>646</v>
      </c>
      <c r="AU690" s="89" t="s">
        <v>646</v>
      </c>
      <c r="AV690" s="89" t="s">
        <v>646</v>
      </c>
      <c r="AW690" s="89" t="s">
        <v>646</v>
      </c>
      <c r="AX690" s="89" t="s">
        <v>646</v>
      </c>
      <c r="AY690" s="89" t="s">
        <v>23080</v>
      </c>
      <c r="AZ690" s="89" t="s">
        <v>23081</v>
      </c>
      <c r="BA690" s="89" t="s">
        <v>646</v>
      </c>
      <c r="BB690" s="89" t="s">
        <v>646</v>
      </c>
      <c r="BC690" s="89" t="s">
        <v>646</v>
      </c>
      <c r="BD690" s="89" t="s">
        <v>23082</v>
      </c>
      <c r="BE690" s="89">
        <v>2020</v>
      </c>
      <c r="BF690" s="89">
        <v>204</v>
      </c>
      <c r="BG690" s="89" t="s">
        <v>646</v>
      </c>
      <c r="BH690" s="89" t="s">
        <v>646</v>
      </c>
      <c r="BI690" s="89" t="s">
        <v>646</v>
      </c>
      <c r="BJ690" s="89" t="s">
        <v>646</v>
      </c>
      <c r="BK690" s="89" t="s">
        <v>646</v>
      </c>
      <c r="BL690" s="89" t="s">
        <v>646</v>
      </c>
      <c r="BM690" s="89" t="s">
        <v>646</v>
      </c>
      <c r="BN690" s="89">
        <v>117929</v>
      </c>
      <c r="BO690" s="89" t="str">
        <f>HYPERLINK("http://dx.doi.org/10.1016/j.energy.2020.117929","http://dx.doi.org/10.1016/j.energy.2020.117929")</f>
        <v>http://dx.doi.org/10.1016/j.energy.2020.117929</v>
      </c>
      <c r="BP690" s="89" t="s">
        <v>646</v>
      </c>
      <c r="BQ690" s="89" t="s">
        <v>646</v>
      </c>
      <c r="BR690" s="89" t="s">
        <v>646</v>
      </c>
      <c r="BS690" s="89" t="s">
        <v>646</v>
      </c>
      <c r="BT690" s="89" t="s">
        <v>646</v>
      </c>
      <c r="BU690" s="89" t="s">
        <v>646</v>
      </c>
      <c r="BV690" s="89" t="s">
        <v>646</v>
      </c>
      <c r="BW690" s="89" t="s">
        <v>646</v>
      </c>
      <c r="BX690" s="89" t="s">
        <v>646</v>
      </c>
      <c r="BY690" s="89" t="s">
        <v>646</v>
      </c>
      <c r="BZ690" s="89" t="s">
        <v>646</v>
      </c>
      <c r="CA690" s="89" t="s">
        <v>646</v>
      </c>
      <c r="CB690" s="89" t="s">
        <v>23083</v>
      </c>
      <c r="CC690" s="89" t="str">
        <f>HYPERLINK("https%3A%2F%2Fwww.webofscience.com%2Fwos%2Fwoscc%2Ffull-record%2FWOS:000542257800026","View Full Record in Web of Science")</f>
        <v>View Full Record in Web of Science</v>
      </c>
    </row>
    <row r="691" spans="1:81" ht="13.2" hidden="1" x14ac:dyDescent="0.25">
      <c r="A691" s="89" t="s">
        <v>23084</v>
      </c>
      <c r="B691" s="89" t="e">
        <f>+#REF!</f>
        <v>#REF!</v>
      </c>
      <c r="C691" s="89"/>
      <c r="D691" s="91" t="s">
        <v>717</v>
      </c>
      <c r="E691" s="90" t="e">
        <v>#REF!</v>
      </c>
      <c r="F691" s="89"/>
      <c r="G691" s="89"/>
      <c r="H691" s="89" t="s">
        <v>646</v>
      </c>
      <c r="I691" s="89" t="s">
        <v>23085</v>
      </c>
      <c r="J691" s="89" t="s">
        <v>646</v>
      </c>
      <c r="K691" s="89" t="s">
        <v>23090</v>
      </c>
      <c r="M691" s="89">
        <v>2016</v>
      </c>
      <c r="N691" s="89" t="s">
        <v>23086</v>
      </c>
      <c r="O691" s="89" t="s">
        <v>646</v>
      </c>
      <c r="P691" s="89" t="s">
        <v>646</v>
      </c>
      <c r="S691" s="89" t="s">
        <v>17804</v>
      </c>
      <c r="U691" s="89" t="s">
        <v>17474</v>
      </c>
      <c r="W691" s="89" t="s">
        <v>646</v>
      </c>
      <c r="X691" s="89" t="s">
        <v>646</v>
      </c>
      <c r="Y691" s="89" t="s">
        <v>23087</v>
      </c>
      <c r="Z691" s="89" t="s">
        <v>23088</v>
      </c>
      <c r="AA691" s="89" t="s">
        <v>20745</v>
      </c>
      <c r="AB691" s="89" t="s">
        <v>23089</v>
      </c>
      <c r="AC691" s="89" t="s">
        <v>646</v>
      </c>
      <c r="AD691" s="89" t="s">
        <v>646</v>
      </c>
      <c r="AE691" s="89" t="s">
        <v>646</v>
      </c>
      <c r="AF691" s="89" t="s">
        <v>23090</v>
      </c>
      <c r="AG691" s="89" t="s">
        <v>646</v>
      </c>
      <c r="AH691" s="89" t="s">
        <v>646</v>
      </c>
      <c r="AI691" s="89" t="s">
        <v>646</v>
      </c>
      <c r="AJ691" s="89" t="s">
        <v>646</v>
      </c>
      <c r="AK691" s="89" t="s">
        <v>646</v>
      </c>
      <c r="AL691" s="89" t="s">
        <v>23091</v>
      </c>
      <c r="AM691" s="89" t="s">
        <v>646</v>
      </c>
      <c r="AN691" s="89" t="s">
        <v>646</v>
      </c>
      <c r="AO691" s="89" t="s">
        <v>646</v>
      </c>
      <c r="AP691" s="89" t="s">
        <v>646</v>
      </c>
      <c r="AQ691" s="89" t="s">
        <v>646</v>
      </c>
      <c r="AR691" s="89" t="s">
        <v>646</v>
      </c>
      <c r="AS691" s="89" t="s">
        <v>646</v>
      </c>
      <c r="AT691" s="89" t="s">
        <v>646</v>
      </c>
      <c r="AU691" s="89" t="s">
        <v>646</v>
      </c>
      <c r="AV691" s="89" t="s">
        <v>646</v>
      </c>
      <c r="AW691" s="89" t="s">
        <v>646</v>
      </c>
      <c r="AX691" s="89" t="s">
        <v>646</v>
      </c>
      <c r="AY691" s="89" t="s">
        <v>646</v>
      </c>
      <c r="AZ691" s="89" t="s">
        <v>646</v>
      </c>
      <c r="BA691" s="89" t="s">
        <v>23092</v>
      </c>
      <c r="BB691" s="89" t="s">
        <v>646</v>
      </c>
      <c r="BC691" s="89" t="s">
        <v>646</v>
      </c>
      <c r="BD691" s="89" t="s">
        <v>646</v>
      </c>
      <c r="BE691" s="89">
        <v>2016</v>
      </c>
      <c r="BF691" s="89" t="s">
        <v>646</v>
      </c>
      <c r="BG691" s="89" t="s">
        <v>646</v>
      </c>
      <c r="BH691" s="89" t="s">
        <v>646</v>
      </c>
      <c r="BI691" s="89" t="s">
        <v>646</v>
      </c>
      <c r="BJ691" s="89" t="s">
        <v>646</v>
      </c>
      <c r="BK691" s="89" t="s">
        <v>646</v>
      </c>
      <c r="BL691" s="89">
        <v>966</v>
      </c>
      <c r="BM691" s="89">
        <v>974</v>
      </c>
      <c r="BN691" s="89" t="s">
        <v>646</v>
      </c>
      <c r="BO691" s="89" t="s">
        <v>646</v>
      </c>
      <c r="BP691" s="89" t="s">
        <v>646</v>
      </c>
      <c r="BQ691" s="89" t="s">
        <v>646</v>
      </c>
      <c r="BR691" s="89" t="s">
        <v>646</v>
      </c>
      <c r="BS691" s="89" t="s">
        <v>646</v>
      </c>
      <c r="BT691" s="89" t="s">
        <v>646</v>
      </c>
      <c r="BU691" s="89" t="s">
        <v>646</v>
      </c>
      <c r="BV691" s="89" t="s">
        <v>646</v>
      </c>
      <c r="BW691" s="89" t="s">
        <v>646</v>
      </c>
      <c r="BX691" s="89" t="s">
        <v>646</v>
      </c>
      <c r="BY691" s="89" t="s">
        <v>646</v>
      </c>
      <c r="BZ691" s="89" t="s">
        <v>646</v>
      </c>
      <c r="CA691" s="89" t="s">
        <v>646</v>
      </c>
      <c r="CB691" s="89" t="s">
        <v>23093</v>
      </c>
      <c r="CC691" s="89" t="str">
        <f>HYPERLINK("https%3A%2F%2Fwww.webofscience.com%2Fwos%2Fwoscc%2Ffull-record%2FWOS:000465199800110","View Full Record in Web of Science")</f>
        <v>View Full Record in Web of Science</v>
      </c>
    </row>
    <row r="692" spans="1:81" ht="13.2" hidden="1" x14ac:dyDescent="0.25">
      <c r="A692" s="89" t="s">
        <v>23094</v>
      </c>
      <c r="B692" s="89" t="e">
        <f>+#REF!</f>
        <v>#REF!</v>
      </c>
      <c r="C692" s="89"/>
      <c r="D692" s="91" t="s">
        <v>717</v>
      </c>
      <c r="E692" s="90" t="e">
        <v>#REF!</v>
      </c>
      <c r="F692" s="89"/>
      <c r="G692" s="89"/>
      <c r="H692" s="89" t="s">
        <v>1267</v>
      </c>
      <c r="I692" s="89" t="s">
        <v>23095</v>
      </c>
      <c r="J692" s="89" t="s">
        <v>646</v>
      </c>
      <c r="K692" s="89" t="s">
        <v>23100</v>
      </c>
      <c r="M692" s="89">
        <v>2013</v>
      </c>
      <c r="N692" s="89" t="s">
        <v>23096</v>
      </c>
      <c r="O692" s="89" t="s">
        <v>646</v>
      </c>
      <c r="P692" s="89" t="str">
        <f>HYPERLINK("http://dx.doi.org/10.1109/SMC.2013.164","http://dx.doi.org/10.1109/SMC.2013.164")</f>
        <v>http://dx.doi.org/10.1109/SMC.2013.164</v>
      </c>
      <c r="S692" s="89" t="s">
        <v>17475</v>
      </c>
      <c r="U692" s="89" t="s">
        <v>17474</v>
      </c>
      <c r="W692" s="89" t="s">
        <v>646</v>
      </c>
      <c r="X692" s="89" t="s">
        <v>646</v>
      </c>
      <c r="Y692" s="89" t="s">
        <v>23097</v>
      </c>
      <c r="Z692" s="89" t="s">
        <v>23098</v>
      </c>
      <c r="AA692" s="89" t="s">
        <v>23099</v>
      </c>
      <c r="AB692" s="89" t="s">
        <v>20525</v>
      </c>
      <c r="AC692" s="89" t="s">
        <v>646</v>
      </c>
      <c r="AD692" s="89" t="s">
        <v>646</v>
      </c>
      <c r="AE692" s="89" t="s">
        <v>646</v>
      </c>
      <c r="AF692" s="89" t="s">
        <v>23100</v>
      </c>
      <c r="AG692" s="89" t="s">
        <v>646</v>
      </c>
      <c r="AH692" s="89" t="s">
        <v>646</v>
      </c>
      <c r="AI692" s="89" t="s">
        <v>646</v>
      </c>
      <c r="AJ692" s="89" t="s">
        <v>646</v>
      </c>
      <c r="AK692" s="89" t="s">
        <v>646</v>
      </c>
      <c r="AL692" s="89" t="s">
        <v>23101</v>
      </c>
      <c r="AM692" s="89" t="s">
        <v>646</v>
      </c>
      <c r="AN692" s="89" t="s">
        <v>646</v>
      </c>
      <c r="AO692" s="89" t="s">
        <v>646</v>
      </c>
      <c r="AP692" s="89" t="s">
        <v>646</v>
      </c>
      <c r="AQ692" s="89" t="s">
        <v>646</v>
      </c>
      <c r="AR692" s="89" t="s">
        <v>646</v>
      </c>
      <c r="AS692" s="89" t="s">
        <v>646</v>
      </c>
      <c r="AT692" s="89" t="s">
        <v>646</v>
      </c>
      <c r="AU692" s="89" t="s">
        <v>646</v>
      </c>
      <c r="AV692" s="89" t="s">
        <v>646</v>
      </c>
      <c r="AW692" s="89" t="s">
        <v>646</v>
      </c>
      <c r="AX692" s="89" t="s">
        <v>646</v>
      </c>
      <c r="AY692" s="89" t="s">
        <v>23102</v>
      </c>
      <c r="AZ692" s="89" t="s">
        <v>646</v>
      </c>
      <c r="BA692" s="89" t="s">
        <v>23103</v>
      </c>
      <c r="BB692" s="89" t="s">
        <v>646</v>
      </c>
      <c r="BC692" s="89" t="s">
        <v>646</v>
      </c>
      <c r="BD692" s="89" t="s">
        <v>646</v>
      </c>
      <c r="BE692" s="89">
        <v>2013</v>
      </c>
      <c r="BF692" s="89" t="s">
        <v>646</v>
      </c>
      <c r="BG692" s="89" t="s">
        <v>646</v>
      </c>
      <c r="BH692" s="89" t="s">
        <v>646</v>
      </c>
      <c r="BI692" s="89" t="s">
        <v>646</v>
      </c>
      <c r="BJ692" s="89" t="s">
        <v>646</v>
      </c>
      <c r="BK692" s="89" t="s">
        <v>646</v>
      </c>
      <c r="BL692" s="89">
        <v>935</v>
      </c>
      <c r="BM692" s="89">
        <v>940</v>
      </c>
      <c r="BN692" s="89" t="s">
        <v>646</v>
      </c>
      <c r="BO692" s="89" t="str">
        <f>HYPERLINK("http://dx.doi.org/10.1109/SMC.2013.164","http://dx.doi.org/10.1109/SMC.2013.164")</f>
        <v>http://dx.doi.org/10.1109/SMC.2013.164</v>
      </c>
      <c r="BP692" s="89" t="s">
        <v>646</v>
      </c>
      <c r="BQ692" s="89" t="s">
        <v>646</v>
      </c>
      <c r="BR692" s="89" t="s">
        <v>646</v>
      </c>
      <c r="BS692" s="89" t="s">
        <v>646</v>
      </c>
      <c r="BT692" s="89" t="s">
        <v>646</v>
      </c>
      <c r="BU692" s="89" t="s">
        <v>646</v>
      </c>
      <c r="BV692" s="89" t="s">
        <v>646</v>
      </c>
      <c r="BW692" s="89" t="s">
        <v>646</v>
      </c>
      <c r="BX692" s="89" t="s">
        <v>646</v>
      </c>
      <c r="BY692" s="89" t="s">
        <v>646</v>
      </c>
      <c r="BZ692" s="89" t="s">
        <v>646</v>
      </c>
      <c r="CA692" s="89" t="s">
        <v>646</v>
      </c>
      <c r="CB692" s="89" t="s">
        <v>23104</v>
      </c>
      <c r="CC692" s="89" t="str">
        <f>HYPERLINK("https%3A%2F%2Fwww.webofscience.com%2Fwos%2Fwoscc%2Ffull-record%2FWOS:000332201901010","View Full Record in Web of Science")</f>
        <v>View Full Record in Web of Science</v>
      </c>
    </row>
    <row r="693" spans="1:81" ht="13.2" hidden="1" x14ac:dyDescent="0.25">
      <c r="A693" s="89" t="s">
        <v>14279</v>
      </c>
      <c r="B693" s="89" t="e">
        <f>+#REF!</f>
        <v>#REF!</v>
      </c>
      <c r="C693" s="89"/>
      <c r="D693" s="91" t="s">
        <v>717</v>
      </c>
      <c r="E693" s="90" t="e">
        <v>#REF!</v>
      </c>
      <c r="F693" s="89"/>
      <c r="G693" s="89"/>
      <c r="H693" s="89" t="s">
        <v>14280</v>
      </c>
      <c r="I693" s="89" t="s">
        <v>23105</v>
      </c>
      <c r="J693" s="89" t="s">
        <v>646</v>
      </c>
      <c r="K693" s="89" t="s">
        <v>23106</v>
      </c>
      <c r="M693" s="89">
        <v>2009</v>
      </c>
      <c r="N693" s="89" t="s">
        <v>22955</v>
      </c>
      <c r="O693" s="89" t="s">
        <v>646</v>
      </c>
      <c r="P693" s="89" t="str">
        <f>HYPERLINK("http://dx.doi.org/10.1177/0018726708101991","http://dx.doi.org/10.1177/0018726708101991")</f>
        <v>http://dx.doi.org/10.1177/0018726708101991</v>
      </c>
      <c r="S693" s="89" t="s">
        <v>646</v>
      </c>
      <c r="U693" s="89" t="s">
        <v>17462</v>
      </c>
      <c r="W693" s="89" t="s">
        <v>646</v>
      </c>
      <c r="X693" s="89" t="s">
        <v>646</v>
      </c>
      <c r="Y693" s="89" t="s">
        <v>646</v>
      </c>
      <c r="Z693" s="89" t="s">
        <v>646</v>
      </c>
      <c r="AA693" s="89" t="s">
        <v>646</v>
      </c>
      <c r="AB693" s="89" t="s">
        <v>646</v>
      </c>
      <c r="AC693" s="89" t="s">
        <v>646</v>
      </c>
      <c r="AD693" s="89" t="s">
        <v>646</v>
      </c>
      <c r="AE693" s="89" t="s">
        <v>646</v>
      </c>
      <c r="AF693" s="89" t="s">
        <v>23106</v>
      </c>
      <c r="AG693" s="89" t="s">
        <v>646</v>
      </c>
      <c r="AH693" s="89" t="s">
        <v>646</v>
      </c>
      <c r="AI693" s="89" t="s">
        <v>646</v>
      </c>
      <c r="AJ693" s="89" t="s">
        <v>646</v>
      </c>
      <c r="AK693" s="89" t="s">
        <v>646</v>
      </c>
      <c r="AL693" s="89" t="s">
        <v>23107</v>
      </c>
      <c r="AM693" s="89" t="s">
        <v>646</v>
      </c>
      <c r="AN693" s="89" t="s">
        <v>646</v>
      </c>
      <c r="AO693" s="89" t="s">
        <v>646</v>
      </c>
      <c r="AP693" s="89" t="s">
        <v>646</v>
      </c>
      <c r="AQ693" s="89" t="s">
        <v>646</v>
      </c>
      <c r="AR693" s="89" t="s">
        <v>646</v>
      </c>
      <c r="AS693" s="89" t="s">
        <v>646</v>
      </c>
      <c r="AT693" s="89" t="s">
        <v>646</v>
      </c>
      <c r="AU693" s="89" t="s">
        <v>646</v>
      </c>
      <c r="AV693" s="89" t="s">
        <v>646</v>
      </c>
      <c r="AW693" s="89" t="s">
        <v>646</v>
      </c>
      <c r="AX693" s="89" t="s">
        <v>646</v>
      </c>
      <c r="AY693" s="89" t="s">
        <v>22958</v>
      </c>
      <c r="AZ693" s="89" t="s">
        <v>22959</v>
      </c>
      <c r="BA693" s="89" t="s">
        <v>646</v>
      </c>
      <c r="BB693" s="89" t="s">
        <v>646</v>
      </c>
      <c r="BC693" s="89" t="s">
        <v>646</v>
      </c>
      <c r="BD693" s="89" t="s">
        <v>17823</v>
      </c>
      <c r="BE693" s="89">
        <v>2009</v>
      </c>
      <c r="BF693" s="89">
        <v>62</v>
      </c>
      <c r="BG693" s="89">
        <v>4</v>
      </c>
      <c r="BH693" s="89" t="s">
        <v>646</v>
      </c>
      <c r="BI693" s="89" t="s">
        <v>646</v>
      </c>
      <c r="BJ693" s="89" t="s">
        <v>646</v>
      </c>
      <c r="BK693" s="89" t="s">
        <v>646</v>
      </c>
      <c r="BL693" s="89">
        <v>589</v>
      </c>
      <c r="BM693" s="89">
        <v>620</v>
      </c>
      <c r="BN693" s="89" t="s">
        <v>646</v>
      </c>
      <c r="BO693" s="89" t="str">
        <f>HYPERLINK("http://dx.doi.org/10.1177/0018726708101991","http://dx.doi.org/10.1177/0018726708101991")</f>
        <v>http://dx.doi.org/10.1177/0018726708101991</v>
      </c>
      <c r="BP693" s="89" t="s">
        <v>646</v>
      </c>
      <c r="BQ693" s="89" t="s">
        <v>646</v>
      </c>
      <c r="BR693" s="89" t="s">
        <v>646</v>
      </c>
      <c r="BS693" s="89" t="s">
        <v>646</v>
      </c>
      <c r="BT693" s="89" t="s">
        <v>646</v>
      </c>
      <c r="BU693" s="89" t="s">
        <v>646</v>
      </c>
      <c r="BV693" s="89" t="s">
        <v>646</v>
      </c>
      <c r="BW693" s="89" t="s">
        <v>646</v>
      </c>
      <c r="BX693" s="89" t="s">
        <v>646</v>
      </c>
      <c r="BY693" s="89" t="s">
        <v>646</v>
      </c>
      <c r="BZ693" s="89" t="s">
        <v>646</v>
      </c>
      <c r="CA693" s="89" t="s">
        <v>646</v>
      </c>
      <c r="CB693" s="89" t="s">
        <v>23108</v>
      </c>
      <c r="CC693" s="89" t="str">
        <f>HYPERLINK("https%3A%2F%2Fwww.webofscience.com%2Fwos%2Fwoscc%2Ffull-record%2FWOS:000265199600005","View Full Record in Web of Science")</f>
        <v>View Full Record in Web of Science</v>
      </c>
    </row>
    <row r="694" spans="1:81" ht="13.2" hidden="1" x14ac:dyDescent="0.25">
      <c r="A694" s="89" t="s">
        <v>14288</v>
      </c>
      <c r="B694" s="89" t="e">
        <f>+#REF!</f>
        <v>#REF!</v>
      </c>
      <c r="C694" s="89"/>
      <c r="D694" s="91" t="s">
        <v>717</v>
      </c>
      <c r="E694" s="90" t="e">
        <v>#REF!</v>
      </c>
      <c r="F694" s="89"/>
      <c r="G694" s="89"/>
      <c r="H694" s="89" t="s">
        <v>14289</v>
      </c>
      <c r="I694" s="89" t="s">
        <v>23109</v>
      </c>
      <c r="J694" s="89" t="s">
        <v>646</v>
      </c>
      <c r="K694" s="89" t="s">
        <v>23111</v>
      </c>
      <c r="M694" s="89">
        <v>2019</v>
      </c>
      <c r="N694" s="89" t="s">
        <v>23110</v>
      </c>
      <c r="O694" s="89" t="s">
        <v>646</v>
      </c>
      <c r="P694" s="89" t="str">
        <f>HYPERLINK("http://dx.doi.org/10.1108/EDI-10-2018-0191","http://dx.doi.org/10.1108/EDI-10-2018-0191")</f>
        <v>http://dx.doi.org/10.1108/EDI-10-2018-0191</v>
      </c>
      <c r="S694" s="89" t="s">
        <v>646</v>
      </c>
      <c r="U694" s="89" t="s">
        <v>17462</v>
      </c>
      <c r="W694" s="89" t="s">
        <v>646</v>
      </c>
      <c r="X694" s="89" t="s">
        <v>646</v>
      </c>
      <c r="Y694" s="89" t="s">
        <v>646</v>
      </c>
      <c r="Z694" s="89" t="s">
        <v>646</v>
      </c>
      <c r="AA694" s="89" t="s">
        <v>646</v>
      </c>
      <c r="AB694" s="89" t="s">
        <v>646</v>
      </c>
      <c r="AC694" s="89" t="s">
        <v>646</v>
      </c>
      <c r="AD694" s="89" t="s">
        <v>646</v>
      </c>
      <c r="AE694" s="89" t="s">
        <v>646</v>
      </c>
      <c r="AF694" s="89" t="s">
        <v>23111</v>
      </c>
      <c r="AG694" s="89" t="s">
        <v>646</v>
      </c>
      <c r="AH694" s="89" t="s">
        <v>646</v>
      </c>
      <c r="AI694" s="89" t="s">
        <v>646</v>
      </c>
      <c r="AJ694" s="89" t="s">
        <v>646</v>
      </c>
      <c r="AK694" s="89" t="s">
        <v>646</v>
      </c>
      <c r="AL694" s="89" t="s">
        <v>646</v>
      </c>
      <c r="AM694" s="89" t="s">
        <v>646</v>
      </c>
      <c r="AN694" s="89" t="s">
        <v>646</v>
      </c>
      <c r="AO694" s="89" t="s">
        <v>646</v>
      </c>
      <c r="AP694" s="89" t="s">
        <v>646</v>
      </c>
      <c r="AQ694" s="89" t="s">
        <v>646</v>
      </c>
      <c r="AR694" s="89" t="s">
        <v>646</v>
      </c>
      <c r="AS694" s="89" t="s">
        <v>646</v>
      </c>
      <c r="AT694" s="89" t="s">
        <v>646</v>
      </c>
      <c r="AU694" s="89" t="s">
        <v>646</v>
      </c>
      <c r="AV694" s="89" t="s">
        <v>646</v>
      </c>
      <c r="AW694" s="89" t="s">
        <v>646</v>
      </c>
      <c r="AX694" s="89" t="s">
        <v>646</v>
      </c>
      <c r="AY694" s="89" t="s">
        <v>23112</v>
      </c>
      <c r="AZ694" s="89" t="s">
        <v>23113</v>
      </c>
      <c r="BA694" s="89" t="s">
        <v>646</v>
      </c>
      <c r="BB694" s="89" t="s">
        <v>646</v>
      </c>
      <c r="BC694" s="89" t="s">
        <v>646</v>
      </c>
      <c r="BD694" s="89" t="s">
        <v>23114</v>
      </c>
      <c r="BE694" s="89">
        <v>2019</v>
      </c>
      <c r="BF694" s="89">
        <v>38</v>
      </c>
      <c r="BG694" s="89">
        <v>6</v>
      </c>
      <c r="BH694" s="89" t="s">
        <v>646</v>
      </c>
      <c r="BI694" s="89" t="s">
        <v>646</v>
      </c>
      <c r="BJ694" s="89" t="s">
        <v>646</v>
      </c>
      <c r="BK694" s="89" t="s">
        <v>646</v>
      </c>
      <c r="BL694" s="89">
        <v>602</v>
      </c>
      <c r="BM694" s="89">
        <v>618</v>
      </c>
      <c r="BN694" s="89" t="s">
        <v>646</v>
      </c>
      <c r="BO694" s="89" t="str">
        <f>HYPERLINK("http://dx.doi.org/10.1108/EDI-10-2018-0191","http://dx.doi.org/10.1108/EDI-10-2018-0191")</f>
        <v>http://dx.doi.org/10.1108/EDI-10-2018-0191</v>
      </c>
      <c r="BP694" s="89" t="s">
        <v>646</v>
      </c>
      <c r="BQ694" s="89" t="s">
        <v>646</v>
      </c>
      <c r="BR694" s="89" t="s">
        <v>646</v>
      </c>
      <c r="BS694" s="89" t="s">
        <v>646</v>
      </c>
      <c r="BT694" s="89" t="s">
        <v>646</v>
      </c>
      <c r="BU694" s="89" t="s">
        <v>646</v>
      </c>
      <c r="BV694" s="89" t="s">
        <v>646</v>
      </c>
      <c r="BW694" s="89" t="s">
        <v>646</v>
      </c>
      <c r="BX694" s="89" t="s">
        <v>646</v>
      </c>
      <c r="BY694" s="89" t="s">
        <v>646</v>
      </c>
      <c r="BZ694" s="89" t="s">
        <v>646</v>
      </c>
      <c r="CA694" s="89" t="s">
        <v>646</v>
      </c>
      <c r="CB694" s="89" t="s">
        <v>23115</v>
      </c>
      <c r="CC694" s="89" t="str">
        <f>HYPERLINK("https%3A%2F%2Fwww.webofscience.com%2Fwos%2Fwoscc%2Ffull-record%2FWOS:000480283300001","View Full Record in Web of Science")</f>
        <v>View Full Record in Web of Science</v>
      </c>
    </row>
    <row r="695" spans="1:81" ht="13.2" hidden="1" x14ac:dyDescent="0.25">
      <c r="A695" s="89" t="s">
        <v>23116</v>
      </c>
      <c r="B695" s="89" t="e">
        <f>+#REF!</f>
        <v>#REF!</v>
      </c>
      <c r="C695" s="89"/>
      <c r="D695" s="91" t="s">
        <v>717</v>
      </c>
      <c r="E695" s="90" t="e">
        <v>#REF!</v>
      </c>
      <c r="F695" s="89"/>
      <c r="G695" s="89"/>
      <c r="H695" s="89" t="s">
        <v>14299</v>
      </c>
      <c r="I695" s="89" t="s">
        <v>23117</v>
      </c>
      <c r="J695" s="89" t="s">
        <v>646</v>
      </c>
      <c r="K695" s="89" t="s">
        <v>23118</v>
      </c>
      <c r="M695" s="89">
        <v>2019</v>
      </c>
      <c r="N695" s="89" t="s">
        <v>23110</v>
      </c>
      <c r="O695" s="89" t="s">
        <v>646</v>
      </c>
      <c r="P695" s="89" t="str">
        <f>HYPERLINK("http://dx.doi.org/10.1108/EDI-11-2018-0211","http://dx.doi.org/10.1108/EDI-11-2018-0211")</f>
        <v>http://dx.doi.org/10.1108/EDI-11-2018-0211</v>
      </c>
      <c r="S695" s="89" t="s">
        <v>646</v>
      </c>
      <c r="U695" s="89" t="s">
        <v>17462</v>
      </c>
      <c r="W695" s="89" t="s">
        <v>646</v>
      </c>
      <c r="X695" s="89" t="s">
        <v>646</v>
      </c>
      <c r="Y695" s="89" t="s">
        <v>646</v>
      </c>
      <c r="Z695" s="89" t="s">
        <v>646</v>
      </c>
      <c r="AA695" s="89" t="s">
        <v>646</v>
      </c>
      <c r="AB695" s="89" t="s">
        <v>646</v>
      </c>
      <c r="AC695" s="89" t="s">
        <v>646</v>
      </c>
      <c r="AD695" s="89" t="s">
        <v>646</v>
      </c>
      <c r="AE695" s="89" t="s">
        <v>646</v>
      </c>
      <c r="AF695" s="89" t="s">
        <v>23118</v>
      </c>
      <c r="AG695" s="89" t="s">
        <v>646</v>
      </c>
      <c r="AH695" s="89" t="s">
        <v>646</v>
      </c>
      <c r="AI695" s="89" t="s">
        <v>646</v>
      </c>
      <c r="AJ695" s="89" t="s">
        <v>646</v>
      </c>
      <c r="AK695" s="89" t="s">
        <v>646</v>
      </c>
      <c r="AL695" s="89" t="s">
        <v>646</v>
      </c>
      <c r="AM695" s="89" t="s">
        <v>646</v>
      </c>
      <c r="AN695" s="89" t="s">
        <v>646</v>
      </c>
      <c r="AO695" s="89" t="s">
        <v>646</v>
      </c>
      <c r="AP695" s="89" t="s">
        <v>646</v>
      </c>
      <c r="AQ695" s="89" t="s">
        <v>646</v>
      </c>
      <c r="AR695" s="89" t="s">
        <v>646</v>
      </c>
      <c r="AS695" s="89" t="s">
        <v>646</v>
      </c>
      <c r="AT695" s="89" t="s">
        <v>646</v>
      </c>
      <c r="AU695" s="89" t="s">
        <v>646</v>
      </c>
      <c r="AV695" s="89" t="s">
        <v>646</v>
      </c>
      <c r="AW695" s="89" t="s">
        <v>646</v>
      </c>
      <c r="AX695" s="89" t="s">
        <v>646</v>
      </c>
      <c r="AY695" s="89" t="s">
        <v>23112</v>
      </c>
      <c r="AZ695" s="89" t="s">
        <v>23113</v>
      </c>
      <c r="BA695" s="89" t="s">
        <v>646</v>
      </c>
      <c r="BB695" s="89" t="s">
        <v>646</v>
      </c>
      <c r="BC695" s="89" t="s">
        <v>646</v>
      </c>
      <c r="BD695" s="89" t="s">
        <v>23119</v>
      </c>
      <c r="BE695" s="89">
        <v>2019</v>
      </c>
      <c r="BF695" s="89">
        <v>39</v>
      </c>
      <c r="BG695" s="89">
        <v>1</v>
      </c>
      <c r="BH695" s="89" t="s">
        <v>646</v>
      </c>
      <c r="BI695" s="89" t="s">
        <v>646</v>
      </c>
      <c r="BJ695" s="89" t="s">
        <v>17555</v>
      </c>
      <c r="BK695" s="89" t="s">
        <v>646</v>
      </c>
      <c r="BL695" s="89">
        <v>38</v>
      </c>
      <c r="BM695" s="89">
        <v>52</v>
      </c>
      <c r="BN695" s="89" t="s">
        <v>646</v>
      </c>
      <c r="BO695" s="89" t="str">
        <f>HYPERLINK("http://dx.doi.org/10.1108/EDI-11-2018-0211","http://dx.doi.org/10.1108/EDI-11-2018-0211")</f>
        <v>http://dx.doi.org/10.1108/EDI-11-2018-0211</v>
      </c>
      <c r="BP695" s="89" t="s">
        <v>646</v>
      </c>
      <c r="BQ695" s="89" t="s">
        <v>646</v>
      </c>
      <c r="BR695" s="89" t="s">
        <v>646</v>
      </c>
      <c r="BS695" s="89" t="s">
        <v>646</v>
      </c>
      <c r="BT695" s="89" t="s">
        <v>646</v>
      </c>
      <c r="BU695" s="89" t="s">
        <v>646</v>
      </c>
      <c r="BV695" s="89" t="s">
        <v>646</v>
      </c>
      <c r="BW695" s="89" t="s">
        <v>646</v>
      </c>
      <c r="BX695" s="89" t="s">
        <v>646</v>
      </c>
      <c r="BY695" s="89" t="s">
        <v>646</v>
      </c>
      <c r="BZ695" s="89" t="s">
        <v>646</v>
      </c>
      <c r="CA695" s="89" t="s">
        <v>646</v>
      </c>
      <c r="CB695" s="89" t="s">
        <v>23120</v>
      </c>
      <c r="CC695" s="89" t="str">
        <f>HYPERLINK("https%3A%2F%2Fwww.webofscience.com%2Fwos%2Fwoscc%2Ffull-record%2FWOS:000506062200001","View Full Record in Web of Science")</f>
        <v>View Full Record in Web of Science</v>
      </c>
    </row>
    <row r="696" spans="1:81" ht="13.2" hidden="1" x14ac:dyDescent="0.25">
      <c r="A696" s="89" t="s">
        <v>23121</v>
      </c>
      <c r="B696" s="89" t="e">
        <f>+#REF!</f>
        <v>#REF!</v>
      </c>
      <c r="C696" s="89"/>
      <c r="D696" s="91" t="s">
        <v>717</v>
      </c>
      <c r="E696" s="90" t="e">
        <v>#REF!</v>
      </c>
      <c r="F696" s="89"/>
      <c r="G696" s="89"/>
      <c r="H696" s="89" t="s">
        <v>646</v>
      </c>
      <c r="I696" s="89" t="s">
        <v>23123</v>
      </c>
      <c r="J696" s="89" t="s">
        <v>646</v>
      </c>
      <c r="K696" s="89" t="s">
        <v>23129</v>
      </c>
      <c r="M696" s="89">
        <v>2014</v>
      </c>
      <c r="N696" s="89" t="s">
        <v>23124</v>
      </c>
      <c r="O696" s="89" t="s">
        <v>23122</v>
      </c>
      <c r="P696" s="89" t="s">
        <v>646</v>
      </c>
      <c r="S696" s="89" t="s">
        <v>646</v>
      </c>
      <c r="U696" s="89" t="s">
        <v>17474</v>
      </c>
      <c r="W696" s="89" t="s">
        <v>646</v>
      </c>
      <c r="X696" s="89" t="s">
        <v>646</v>
      </c>
      <c r="Y696" s="89" t="s">
        <v>23125</v>
      </c>
      <c r="Z696" s="89" t="s">
        <v>23126</v>
      </c>
      <c r="AA696" s="89" t="s">
        <v>23127</v>
      </c>
      <c r="AB696" s="89" t="s">
        <v>23128</v>
      </c>
      <c r="AC696" s="89" t="s">
        <v>646</v>
      </c>
      <c r="AD696" s="89" t="s">
        <v>646</v>
      </c>
      <c r="AE696" s="89" t="s">
        <v>646</v>
      </c>
      <c r="AF696" s="89" t="s">
        <v>23129</v>
      </c>
      <c r="AG696" s="89" t="s">
        <v>646</v>
      </c>
      <c r="AH696" s="89" t="s">
        <v>646</v>
      </c>
      <c r="AI696" s="89" t="s">
        <v>646</v>
      </c>
      <c r="AJ696" s="89" t="s">
        <v>646</v>
      </c>
      <c r="AK696" s="89" t="s">
        <v>646</v>
      </c>
      <c r="AL696" s="89" t="s">
        <v>23130</v>
      </c>
      <c r="AM696" s="89" t="s">
        <v>646</v>
      </c>
      <c r="AN696" s="89" t="s">
        <v>646</v>
      </c>
      <c r="AO696" s="89" t="s">
        <v>646</v>
      </c>
      <c r="AP696" s="89" t="s">
        <v>646</v>
      </c>
      <c r="AQ696" s="89" t="s">
        <v>646</v>
      </c>
      <c r="AR696" s="89" t="s">
        <v>646</v>
      </c>
      <c r="AS696" s="89" t="s">
        <v>646</v>
      </c>
      <c r="AT696" s="89" t="s">
        <v>646</v>
      </c>
      <c r="AU696" s="89" t="s">
        <v>646</v>
      </c>
      <c r="AV696" s="89" t="s">
        <v>646</v>
      </c>
      <c r="AW696" s="89" t="s">
        <v>646</v>
      </c>
      <c r="AX696" s="89" t="s">
        <v>646</v>
      </c>
      <c r="AY696" s="89" t="s">
        <v>23131</v>
      </c>
      <c r="AZ696" s="89" t="s">
        <v>646</v>
      </c>
      <c r="BA696" s="89" t="s">
        <v>23132</v>
      </c>
      <c r="BB696" s="89" t="s">
        <v>646</v>
      </c>
      <c r="BC696" s="89" t="s">
        <v>646</v>
      </c>
      <c r="BD696" s="89" t="s">
        <v>646</v>
      </c>
      <c r="BE696" s="89">
        <v>2014</v>
      </c>
      <c r="BF696" s="89" t="s">
        <v>646</v>
      </c>
      <c r="BG696" s="89" t="s">
        <v>646</v>
      </c>
      <c r="BH696" s="89" t="s">
        <v>646</v>
      </c>
      <c r="BI696" s="89" t="s">
        <v>646</v>
      </c>
      <c r="BJ696" s="89" t="s">
        <v>646</v>
      </c>
      <c r="BK696" s="89" t="s">
        <v>646</v>
      </c>
      <c r="BL696" s="89" t="s">
        <v>646</v>
      </c>
      <c r="BM696" s="89" t="s">
        <v>646</v>
      </c>
      <c r="BN696" s="89" t="s">
        <v>646</v>
      </c>
      <c r="BO696" s="89" t="s">
        <v>646</v>
      </c>
      <c r="BP696" s="89" t="s">
        <v>646</v>
      </c>
      <c r="BQ696" s="89" t="s">
        <v>646</v>
      </c>
      <c r="BR696" s="89" t="s">
        <v>646</v>
      </c>
      <c r="BS696" s="89" t="s">
        <v>646</v>
      </c>
      <c r="BT696" s="89" t="s">
        <v>646</v>
      </c>
      <c r="BU696" s="89" t="s">
        <v>646</v>
      </c>
      <c r="BV696" s="89" t="s">
        <v>646</v>
      </c>
      <c r="BW696" s="89" t="s">
        <v>646</v>
      </c>
      <c r="BX696" s="89" t="s">
        <v>646</v>
      </c>
      <c r="BY696" s="89" t="s">
        <v>646</v>
      </c>
      <c r="BZ696" s="89" t="s">
        <v>646</v>
      </c>
      <c r="CA696" s="89" t="s">
        <v>646</v>
      </c>
      <c r="CB696" s="89" t="s">
        <v>23133</v>
      </c>
      <c r="CC696" s="89" t="str">
        <f>HYPERLINK("https%3A%2F%2Fwww.webofscience.com%2Fwos%2Fwoscc%2Ffull-record%2FWOS:000345780700001","View Full Record in Web of Science")</f>
        <v>View Full Record in Web of Science</v>
      </c>
    </row>
    <row r="697" spans="1:81" ht="13.2" hidden="1" x14ac:dyDescent="0.25">
      <c r="A697" s="89" t="s">
        <v>14315</v>
      </c>
      <c r="B697" s="89" t="e">
        <f>+#REF!</f>
        <v>#REF!</v>
      </c>
      <c r="C697" s="89"/>
      <c r="D697" s="91" t="s">
        <v>717</v>
      </c>
      <c r="E697" s="90" t="e">
        <v>#REF!</v>
      </c>
      <c r="F697" s="89"/>
      <c r="G697" s="89"/>
      <c r="H697" s="89" t="s">
        <v>14316</v>
      </c>
      <c r="I697" s="89" t="s">
        <v>23135</v>
      </c>
      <c r="J697" s="89" t="s">
        <v>646</v>
      </c>
      <c r="K697" s="89" t="s">
        <v>23139</v>
      </c>
      <c r="M697" s="89">
        <v>2019</v>
      </c>
      <c r="N697" s="89" t="s">
        <v>23136</v>
      </c>
      <c r="O697" s="89" t="s">
        <v>23134</v>
      </c>
      <c r="P697" s="89" t="str">
        <f>HYPERLINK("http://dx.doi.org/10.1117/12.2528012","http://dx.doi.org/10.1117/12.2528012")</f>
        <v>http://dx.doi.org/10.1117/12.2528012</v>
      </c>
      <c r="S697" s="89" t="s">
        <v>646</v>
      </c>
      <c r="U697" s="89" t="s">
        <v>17474</v>
      </c>
      <c r="W697" s="89" t="s">
        <v>646</v>
      </c>
      <c r="X697" s="89" t="s">
        <v>646</v>
      </c>
      <c r="Y697" s="89" t="s">
        <v>23137</v>
      </c>
      <c r="Z697" s="89" t="s">
        <v>23138</v>
      </c>
      <c r="AA697" s="89" t="s">
        <v>19641</v>
      </c>
      <c r="AB697" s="89" t="s">
        <v>20777</v>
      </c>
      <c r="AC697" s="89" t="s">
        <v>646</v>
      </c>
      <c r="AD697" s="89" t="s">
        <v>646</v>
      </c>
      <c r="AE697" s="89" t="s">
        <v>646</v>
      </c>
      <c r="AF697" s="89" t="s">
        <v>23139</v>
      </c>
      <c r="AG697" s="89" t="s">
        <v>646</v>
      </c>
      <c r="AH697" s="89" t="s">
        <v>646</v>
      </c>
      <c r="AI697" s="89" t="s">
        <v>646</v>
      </c>
      <c r="AJ697" s="89" t="s">
        <v>646</v>
      </c>
      <c r="AK697" s="89" t="s">
        <v>646</v>
      </c>
      <c r="AL697" s="89" t="s">
        <v>646</v>
      </c>
      <c r="AM697" s="89" t="s">
        <v>646</v>
      </c>
      <c r="AN697" s="89" t="s">
        <v>646</v>
      </c>
      <c r="AO697" s="89" t="s">
        <v>646</v>
      </c>
      <c r="AP697" s="89" t="s">
        <v>646</v>
      </c>
      <c r="AQ697" s="89" t="s">
        <v>646</v>
      </c>
      <c r="AR697" s="89" t="s">
        <v>646</v>
      </c>
      <c r="AS697" s="89" t="s">
        <v>646</v>
      </c>
      <c r="AT697" s="89" t="s">
        <v>646</v>
      </c>
      <c r="AU697" s="89" t="s">
        <v>646</v>
      </c>
      <c r="AV697" s="89" t="s">
        <v>646</v>
      </c>
      <c r="AW697" s="89" t="s">
        <v>646</v>
      </c>
      <c r="AX697" s="89" t="s">
        <v>646</v>
      </c>
      <c r="AY697" s="89" t="s">
        <v>19728</v>
      </c>
      <c r="AZ697" s="89" t="s">
        <v>19729</v>
      </c>
      <c r="BA697" s="89" t="s">
        <v>23140</v>
      </c>
      <c r="BB697" s="89" t="s">
        <v>646</v>
      </c>
      <c r="BC697" s="89" t="s">
        <v>646</v>
      </c>
      <c r="BD697" s="89" t="s">
        <v>646</v>
      </c>
      <c r="BE697" s="89">
        <v>2019</v>
      </c>
      <c r="BF697" s="89">
        <v>11137</v>
      </c>
      <c r="BG697" s="89" t="s">
        <v>646</v>
      </c>
      <c r="BH697" s="89" t="s">
        <v>646</v>
      </c>
      <c r="BI697" s="89" t="s">
        <v>646</v>
      </c>
      <c r="BJ697" s="89" t="s">
        <v>646</v>
      </c>
      <c r="BK697" s="89" t="s">
        <v>646</v>
      </c>
      <c r="BL697" s="89" t="s">
        <v>646</v>
      </c>
      <c r="BM697" s="89" t="s">
        <v>646</v>
      </c>
      <c r="BN697" s="89" t="s">
        <v>23141</v>
      </c>
      <c r="BO697" s="89" t="str">
        <f>HYPERLINK("http://dx.doi.org/10.1117/12.2528012","http://dx.doi.org/10.1117/12.2528012")</f>
        <v>http://dx.doi.org/10.1117/12.2528012</v>
      </c>
      <c r="BP697" s="89" t="s">
        <v>646</v>
      </c>
      <c r="BQ697" s="89" t="s">
        <v>646</v>
      </c>
      <c r="BR697" s="89" t="s">
        <v>646</v>
      </c>
      <c r="BS697" s="89" t="s">
        <v>646</v>
      </c>
      <c r="BT697" s="89" t="s">
        <v>646</v>
      </c>
      <c r="BU697" s="89" t="s">
        <v>646</v>
      </c>
      <c r="BV697" s="89" t="s">
        <v>646</v>
      </c>
      <c r="BW697" s="89" t="s">
        <v>646</v>
      </c>
      <c r="BX697" s="89" t="s">
        <v>646</v>
      </c>
      <c r="BY697" s="89" t="s">
        <v>646</v>
      </c>
      <c r="BZ697" s="89" t="s">
        <v>646</v>
      </c>
      <c r="CA697" s="89" t="s">
        <v>646</v>
      </c>
      <c r="CB697" s="89" t="s">
        <v>23142</v>
      </c>
      <c r="CC697" s="89" t="str">
        <f>HYPERLINK("https%3A%2F%2Fwww.webofscience.com%2Fwos%2Fwoscc%2Ffull-record%2FWOS:000511298300020","View Full Record in Web of Science")</f>
        <v>View Full Record in Web of Science</v>
      </c>
    </row>
    <row r="698" spans="1:81" ht="13.2" hidden="1" x14ac:dyDescent="0.25">
      <c r="A698" s="89" t="s">
        <v>14323</v>
      </c>
      <c r="B698" s="89" t="e">
        <f>+#REF!</f>
        <v>#REF!</v>
      </c>
      <c r="C698" s="89"/>
      <c r="D698" s="91" t="s">
        <v>717</v>
      </c>
      <c r="E698" s="90" t="e">
        <v>#REF!</v>
      </c>
      <c r="F698" s="89"/>
      <c r="G698" s="89"/>
      <c r="H698" s="89" t="s">
        <v>14324</v>
      </c>
      <c r="I698" s="89" t="s">
        <v>23143</v>
      </c>
      <c r="J698" s="89" t="s">
        <v>23146</v>
      </c>
      <c r="K698" s="89" t="s">
        <v>23145</v>
      </c>
      <c r="M698" s="89">
        <v>2021</v>
      </c>
      <c r="N698" s="89" t="s">
        <v>23144</v>
      </c>
      <c r="O698" s="89" t="s">
        <v>646</v>
      </c>
      <c r="P698" s="89" t="str">
        <f>HYPERLINK("http://dx.doi.org/10.1108/IJTC-03-2020-0043","http://dx.doi.org/10.1108/IJTC-03-2020-0043")</f>
        <v>http://dx.doi.org/10.1108/IJTC-03-2020-0043</v>
      </c>
      <c r="S698" s="89" t="s">
        <v>646</v>
      </c>
      <c r="U698" s="89" t="s">
        <v>17462</v>
      </c>
      <c r="W698" s="89" t="s">
        <v>646</v>
      </c>
      <c r="X698" s="89" t="s">
        <v>646</v>
      </c>
      <c r="Y698" s="89" t="s">
        <v>646</v>
      </c>
      <c r="Z698" s="89" t="s">
        <v>646</v>
      </c>
      <c r="AA698" s="89" t="s">
        <v>646</v>
      </c>
      <c r="AB698" s="89" t="s">
        <v>646</v>
      </c>
      <c r="AC698" s="89" t="s">
        <v>646</v>
      </c>
      <c r="AD698" s="89" t="s">
        <v>646</v>
      </c>
      <c r="AE698" s="89" t="s">
        <v>646</v>
      </c>
      <c r="AF698" s="89" t="s">
        <v>23145</v>
      </c>
      <c r="AG698" s="89" t="s">
        <v>646</v>
      </c>
      <c r="AH698" s="89" t="s">
        <v>646</v>
      </c>
      <c r="AI698" s="89" t="s">
        <v>646</v>
      </c>
      <c r="AJ698" s="89" t="s">
        <v>646</v>
      </c>
      <c r="AK698" s="89" t="s">
        <v>23146</v>
      </c>
      <c r="AL698" s="89" t="s">
        <v>23147</v>
      </c>
      <c r="AM698" s="89" t="s">
        <v>646</v>
      </c>
      <c r="AN698" s="89" t="s">
        <v>646</v>
      </c>
      <c r="AO698" s="89" t="s">
        <v>646</v>
      </c>
      <c r="AP698" s="89" t="s">
        <v>646</v>
      </c>
      <c r="AQ698" s="89" t="s">
        <v>646</v>
      </c>
      <c r="AR698" s="89" t="s">
        <v>646</v>
      </c>
      <c r="AS698" s="89" t="s">
        <v>646</v>
      </c>
      <c r="AT698" s="89" t="s">
        <v>646</v>
      </c>
      <c r="AU698" s="89" t="s">
        <v>646</v>
      </c>
      <c r="AV698" s="89" t="s">
        <v>646</v>
      </c>
      <c r="AW698" s="89" t="s">
        <v>646</v>
      </c>
      <c r="AX698" s="89" t="s">
        <v>646</v>
      </c>
      <c r="AY698" s="89" t="s">
        <v>23148</v>
      </c>
      <c r="AZ698" s="89" t="s">
        <v>23149</v>
      </c>
      <c r="BA698" s="89" t="s">
        <v>646</v>
      </c>
      <c r="BB698" s="89" t="s">
        <v>646</v>
      </c>
      <c r="BC698" s="89" t="s">
        <v>646</v>
      </c>
      <c r="BD698" s="89" t="s">
        <v>646</v>
      </c>
      <c r="BE698" s="89">
        <v>2021</v>
      </c>
      <c r="BF698" s="89">
        <v>7</v>
      </c>
      <c r="BG698" s="89">
        <v>2</v>
      </c>
      <c r="BH698" s="89" t="s">
        <v>646</v>
      </c>
      <c r="BI698" s="89" t="s">
        <v>646</v>
      </c>
      <c r="BJ698" s="89" t="s">
        <v>17555</v>
      </c>
      <c r="BK698" s="89" t="s">
        <v>646</v>
      </c>
      <c r="BL698" s="89">
        <v>328</v>
      </c>
      <c r="BM698" s="89">
        <v>343</v>
      </c>
      <c r="BN698" s="89" t="s">
        <v>646</v>
      </c>
      <c r="BO698" s="89" t="str">
        <f>HYPERLINK("http://dx.doi.org/10.1108/IJTC-03-2020-0043","http://dx.doi.org/10.1108/IJTC-03-2020-0043")</f>
        <v>http://dx.doi.org/10.1108/IJTC-03-2020-0043</v>
      </c>
      <c r="BP698" s="89" t="s">
        <v>646</v>
      </c>
      <c r="BQ698" s="89" t="s">
        <v>646</v>
      </c>
      <c r="BR698" s="89" t="s">
        <v>646</v>
      </c>
      <c r="BS698" s="89" t="s">
        <v>646</v>
      </c>
      <c r="BT698" s="89" t="s">
        <v>646</v>
      </c>
      <c r="BU698" s="89" t="s">
        <v>646</v>
      </c>
      <c r="BV698" s="89" t="s">
        <v>646</v>
      </c>
      <c r="BW698" s="89" t="s">
        <v>646</v>
      </c>
      <c r="BX698" s="89" t="s">
        <v>646</v>
      </c>
      <c r="BY698" s="89" t="s">
        <v>646</v>
      </c>
      <c r="BZ698" s="89" t="s">
        <v>646</v>
      </c>
      <c r="CA698" s="89" t="s">
        <v>646</v>
      </c>
      <c r="CB698" s="89" t="s">
        <v>23150</v>
      </c>
      <c r="CC698" s="89" t="str">
        <f>HYPERLINK("https%3A%2F%2Fwww.webofscience.com%2Fwos%2Fwoscc%2Ffull-record%2FWOS:000681324400005","View Full Record in Web of Science")</f>
        <v>View Full Record in Web of Science</v>
      </c>
    </row>
    <row r="699" spans="1:81" ht="13.2" hidden="1" x14ac:dyDescent="0.25">
      <c r="A699" s="89" t="s">
        <v>23151</v>
      </c>
      <c r="B699" s="89" t="e">
        <f>+#REF!</f>
        <v>#REF!</v>
      </c>
      <c r="C699" s="89"/>
      <c r="D699" s="91" t="s">
        <v>717</v>
      </c>
      <c r="E699" s="90" t="e">
        <v>#REF!</v>
      </c>
      <c r="F699" s="89"/>
      <c r="G699" s="89"/>
      <c r="H699" s="89" t="s">
        <v>14334</v>
      </c>
      <c r="I699" s="89" t="s">
        <v>23152</v>
      </c>
      <c r="J699" s="89" t="s">
        <v>646</v>
      </c>
      <c r="K699" s="89" t="s">
        <v>23153</v>
      </c>
      <c r="M699" s="89">
        <v>2020</v>
      </c>
      <c r="N699" s="89" t="s">
        <v>18693</v>
      </c>
      <c r="O699" s="89" t="s">
        <v>646</v>
      </c>
      <c r="P699" s="89" t="str">
        <f>HYPERLINK("http://dx.doi.org/10.3390/ijerph17176181","http://dx.doi.org/10.3390/ijerph17176181")</f>
        <v>http://dx.doi.org/10.3390/ijerph17176181</v>
      </c>
      <c r="S699" s="89" t="s">
        <v>646</v>
      </c>
      <c r="U699" s="89" t="s">
        <v>17462</v>
      </c>
      <c r="W699" s="89" t="s">
        <v>646</v>
      </c>
      <c r="X699" s="89" t="s">
        <v>646</v>
      </c>
      <c r="Y699" s="89" t="s">
        <v>646</v>
      </c>
      <c r="Z699" s="89" t="s">
        <v>646</v>
      </c>
      <c r="AA699" s="89" t="s">
        <v>646</v>
      </c>
      <c r="AB699" s="89" t="s">
        <v>646</v>
      </c>
      <c r="AC699" s="89" t="s">
        <v>646</v>
      </c>
      <c r="AD699" s="89" t="s">
        <v>646</v>
      </c>
      <c r="AE699" s="89" t="s">
        <v>646</v>
      </c>
      <c r="AF699" s="89" t="s">
        <v>23153</v>
      </c>
      <c r="AG699" s="89" t="s">
        <v>646</v>
      </c>
      <c r="AH699" s="89" t="s">
        <v>646</v>
      </c>
      <c r="AI699" s="89" t="s">
        <v>646</v>
      </c>
      <c r="AJ699" s="89" t="s">
        <v>646</v>
      </c>
      <c r="AK699" s="89" t="s">
        <v>646</v>
      </c>
      <c r="AL699" s="89" t="s">
        <v>23154</v>
      </c>
      <c r="AM699" s="89" t="s">
        <v>646</v>
      </c>
      <c r="AN699" s="89" t="s">
        <v>646</v>
      </c>
      <c r="AO699" s="89" t="s">
        <v>646</v>
      </c>
      <c r="AP699" s="89" t="s">
        <v>646</v>
      </c>
      <c r="AQ699" s="89" t="s">
        <v>646</v>
      </c>
      <c r="AR699" s="89" t="s">
        <v>646</v>
      </c>
      <c r="AS699" s="89" t="s">
        <v>646</v>
      </c>
      <c r="AT699" s="89" t="s">
        <v>646</v>
      </c>
      <c r="AU699" s="89" t="s">
        <v>646</v>
      </c>
      <c r="AV699" s="89" t="s">
        <v>646</v>
      </c>
      <c r="AW699" s="89" t="s">
        <v>646</v>
      </c>
      <c r="AX699" s="89" t="s">
        <v>646</v>
      </c>
      <c r="AY699" s="89" t="s">
        <v>646</v>
      </c>
      <c r="AZ699" s="89" t="s">
        <v>18697</v>
      </c>
      <c r="BA699" s="89" t="s">
        <v>646</v>
      </c>
      <c r="BB699" s="89" t="s">
        <v>646</v>
      </c>
      <c r="BC699" s="89" t="s">
        <v>646</v>
      </c>
      <c r="BD699" s="89" t="s">
        <v>17739</v>
      </c>
      <c r="BE699" s="89">
        <v>2020</v>
      </c>
      <c r="BF699" s="89">
        <v>17</v>
      </c>
      <c r="BG699" s="89">
        <v>17</v>
      </c>
      <c r="BH699" s="89" t="s">
        <v>646</v>
      </c>
      <c r="BI699" s="89" t="s">
        <v>646</v>
      </c>
      <c r="BJ699" s="89" t="s">
        <v>646</v>
      </c>
      <c r="BK699" s="89" t="s">
        <v>646</v>
      </c>
      <c r="BL699" s="89" t="s">
        <v>646</v>
      </c>
      <c r="BM699" s="89" t="s">
        <v>646</v>
      </c>
      <c r="BN699" s="89">
        <v>6181</v>
      </c>
      <c r="BO699" s="89" t="str">
        <f>HYPERLINK("http://dx.doi.org/10.3390/ijerph17176181","http://dx.doi.org/10.3390/ijerph17176181")</f>
        <v>http://dx.doi.org/10.3390/ijerph17176181</v>
      </c>
      <c r="BP699" s="89" t="s">
        <v>646</v>
      </c>
      <c r="BQ699" s="89" t="s">
        <v>646</v>
      </c>
      <c r="BR699" s="89" t="s">
        <v>646</v>
      </c>
      <c r="BS699" s="89" t="s">
        <v>646</v>
      </c>
      <c r="BT699" s="89" t="s">
        <v>646</v>
      </c>
      <c r="BU699" s="89" t="s">
        <v>646</v>
      </c>
      <c r="BV699" s="89" t="s">
        <v>646</v>
      </c>
      <c r="BW699" s="89">
        <v>32858864</v>
      </c>
      <c r="BX699" s="89" t="s">
        <v>646</v>
      </c>
      <c r="BY699" s="89" t="s">
        <v>646</v>
      </c>
      <c r="BZ699" s="89" t="s">
        <v>646</v>
      </c>
      <c r="CA699" s="89" t="s">
        <v>646</v>
      </c>
      <c r="CB699" s="89" t="s">
        <v>23155</v>
      </c>
      <c r="CC699" s="89" t="str">
        <f>HYPERLINK("https%3A%2F%2Fwww.webofscience.com%2Fwos%2Fwoscc%2Ffull-record%2FWOS:000569657700001","View Full Record in Web of Science")</f>
        <v>View Full Record in Web of Science</v>
      </c>
    </row>
    <row r="700" spans="1:81" ht="13.2" hidden="1" x14ac:dyDescent="0.25">
      <c r="A700" s="89" t="s">
        <v>23156</v>
      </c>
      <c r="B700" s="89" t="e">
        <f>+#REF!</f>
        <v>#REF!</v>
      </c>
      <c r="C700" s="89"/>
      <c r="D700" s="91" t="s">
        <v>717</v>
      </c>
      <c r="E700" s="90" t="e">
        <v>#REF!</v>
      </c>
      <c r="F700" s="89"/>
      <c r="G700" s="89"/>
      <c r="H700" s="89" t="s">
        <v>10005</v>
      </c>
      <c r="I700" s="89" t="s">
        <v>23157</v>
      </c>
      <c r="J700" s="89" t="s">
        <v>23160</v>
      </c>
      <c r="K700" s="89" t="s">
        <v>23159</v>
      </c>
      <c r="M700" s="89">
        <v>2022</v>
      </c>
      <c r="N700" s="89" t="s">
        <v>23158</v>
      </c>
      <c r="O700" s="89" t="s">
        <v>646</v>
      </c>
      <c r="P700" s="89" t="str">
        <f>HYPERLINK("http://dx.doi.org/10.1080/2372966X.2021.1880873","http://dx.doi.org/10.1080/2372966X.2021.1880873")</f>
        <v>http://dx.doi.org/10.1080/2372966X.2021.1880873</v>
      </c>
      <c r="S700" s="89" t="s">
        <v>646</v>
      </c>
      <c r="U700" s="89" t="s">
        <v>17462</v>
      </c>
      <c r="W700" s="89" t="s">
        <v>646</v>
      </c>
      <c r="X700" s="89" t="s">
        <v>646</v>
      </c>
      <c r="Y700" s="89" t="s">
        <v>646</v>
      </c>
      <c r="Z700" s="89" t="s">
        <v>646</v>
      </c>
      <c r="AA700" s="89" t="s">
        <v>646</v>
      </c>
      <c r="AB700" s="89" t="s">
        <v>646</v>
      </c>
      <c r="AC700" s="89" t="s">
        <v>646</v>
      </c>
      <c r="AD700" s="89" t="s">
        <v>646</v>
      </c>
      <c r="AE700" s="89" t="s">
        <v>646</v>
      </c>
      <c r="AF700" s="89" t="s">
        <v>23159</v>
      </c>
      <c r="AG700" s="89" t="s">
        <v>646</v>
      </c>
      <c r="AH700" s="89" t="s">
        <v>646</v>
      </c>
      <c r="AI700" s="89" t="s">
        <v>646</v>
      </c>
      <c r="AJ700" s="89" t="s">
        <v>646</v>
      </c>
      <c r="AK700" s="89" t="s">
        <v>23160</v>
      </c>
      <c r="AL700" s="89" t="s">
        <v>23161</v>
      </c>
      <c r="AM700" s="89" t="s">
        <v>646</v>
      </c>
      <c r="AN700" s="89" t="s">
        <v>646</v>
      </c>
      <c r="AO700" s="89" t="s">
        <v>646</v>
      </c>
      <c r="AP700" s="89" t="s">
        <v>646</v>
      </c>
      <c r="AQ700" s="89" t="s">
        <v>646</v>
      </c>
      <c r="AR700" s="89" t="s">
        <v>646</v>
      </c>
      <c r="AS700" s="89" t="s">
        <v>646</v>
      </c>
      <c r="AT700" s="89" t="s">
        <v>646</v>
      </c>
      <c r="AU700" s="89" t="s">
        <v>646</v>
      </c>
      <c r="AV700" s="89" t="s">
        <v>646</v>
      </c>
      <c r="AW700" s="89" t="s">
        <v>646</v>
      </c>
      <c r="AX700" s="89" t="s">
        <v>646</v>
      </c>
      <c r="AY700" s="89" t="s">
        <v>646</v>
      </c>
      <c r="AZ700" s="89" t="s">
        <v>23162</v>
      </c>
      <c r="BA700" s="89" t="s">
        <v>646</v>
      </c>
      <c r="BB700" s="89" t="s">
        <v>646</v>
      </c>
      <c r="BC700" s="89" t="s">
        <v>646</v>
      </c>
      <c r="BD700" s="89" t="s">
        <v>23163</v>
      </c>
      <c r="BE700" s="89">
        <v>2022</v>
      </c>
      <c r="BF700" s="89">
        <v>51</v>
      </c>
      <c r="BG700" s="89">
        <v>2</v>
      </c>
      <c r="BH700" s="89" t="s">
        <v>646</v>
      </c>
      <c r="BI700" s="89" t="s">
        <v>646</v>
      </c>
      <c r="BJ700" s="89" t="s">
        <v>646</v>
      </c>
      <c r="BK700" s="89" t="s">
        <v>646</v>
      </c>
      <c r="BL700" s="89">
        <v>170</v>
      </c>
      <c r="BM700" s="89">
        <v>186</v>
      </c>
      <c r="BN700" s="89" t="s">
        <v>646</v>
      </c>
      <c r="BO700" s="89" t="str">
        <f>HYPERLINK("http://dx.doi.org/10.1080/2372966X.2021.1880873","http://dx.doi.org/10.1080/2372966X.2021.1880873")</f>
        <v>http://dx.doi.org/10.1080/2372966X.2021.1880873</v>
      </c>
      <c r="BP700" s="89" t="s">
        <v>646</v>
      </c>
      <c r="BQ700" s="89" t="s">
        <v>17536</v>
      </c>
      <c r="BR700" s="89" t="s">
        <v>646</v>
      </c>
      <c r="BS700" s="89" t="s">
        <v>646</v>
      </c>
      <c r="BT700" s="89" t="s">
        <v>646</v>
      </c>
      <c r="BU700" s="89" t="s">
        <v>646</v>
      </c>
      <c r="BV700" s="89" t="s">
        <v>646</v>
      </c>
      <c r="BW700" s="89" t="s">
        <v>646</v>
      </c>
      <c r="BX700" s="89" t="s">
        <v>646</v>
      </c>
      <c r="BY700" s="89" t="s">
        <v>646</v>
      </c>
      <c r="BZ700" s="89" t="s">
        <v>646</v>
      </c>
      <c r="CA700" s="89" t="s">
        <v>646</v>
      </c>
      <c r="CB700" s="89" t="s">
        <v>23164</v>
      </c>
      <c r="CC700" s="89" t="str">
        <f>HYPERLINK("https%3A%2F%2Fwww.webofscience.com%2Fwos%2Fwoscc%2Ffull-record%2FWOS:000651311300001","View Full Record in Web of Science")</f>
        <v>View Full Record in Web of Science</v>
      </c>
    </row>
    <row r="701" spans="1:81" ht="13.2" hidden="1" x14ac:dyDescent="0.25">
      <c r="A701" s="89" t="s">
        <v>23165</v>
      </c>
      <c r="B701" s="89" t="e">
        <f>+#REF!</f>
        <v>#REF!</v>
      </c>
      <c r="C701" s="89"/>
      <c r="D701" s="91" t="s">
        <v>717</v>
      </c>
      <c r="E701" s="90" t="e">
        <v>#REF!</v>
      </c>
      <c r="F701" s="89"/>
      <c r="G701" s="89"/>
      <c r="H701" s="89" t="s">
        <v>14343</v>
      </c>
      <c r="I701" s="89" t="s">
        <v>23166</v>
      </c>
      <c r="J701" s="89" t="s">
        <v>646</v>
      </c>
      <c r="K701" s="89" t="s">
        <v>23168</v>
      </c>
      <c r="M701" s="89">
        <v>2021</v>
      </c>
      <c r="N701" s="89" t="s">
        <v>23167</v>
      </c>
      <c r="O701" s="89" t="s">
        <v>646</v>
      </c>
      <c r="P701" s="89" t="str">
        <f>HYPERLINK("http://dx.doi.org/10.1017/S0007123420000113","http://dx.doi.org/10.1017/S0007123420000113")</f>
        <v>http://dx.doi.org/10.1017/S0007123420000113</v>
      </c>
      <c r="S701" s="89" t="s">
        <v>646</v>
      </c>
      <c r="U701" s="89" t="s">
        <v>17462</v>
      </c>
      <c r="W701" s="89" t="s">
        <v>646</v>
      </c>
      <c r="X701" s="89" t="s">
        <v>646</v>
      </c>
      <c r="Y701" s="89" t="s">
        <v>646</v>
      </c>
      <c r="Z701" s="89" t="s">
        <v>646</v>
      </c>
      <c r="AA701" s="89" t="s">
        <v>646</v>
      </c>
      <c r="AB701" s="89" t="s">
        <v>646</v>
      </c>
      <c r="AC701" s="89" t="s">
        <v>646</v>
      </c>
      <c r="AD701" s="89" t="s">
        <v>646</v>
      </c>
      <c r="AE701" s="89" t="s">
        <v>646</v>
      </c>
      <c r="AF701" s="89" t="s">
        <v>23168</v>
      </c>
      <c r="AG701" s="89" t="s">
        <v>646</v>
      </c>
      <c r="AH701" s="89" t="s">
        <v>646</v>
      </c>
      <c r="AI701" s="89" t="s">
        <v>646</v>
      </c>
      <c r="AJ701" s="89" t="s">
        <v>646</v>
      </c>
      <c r="AK701" s="89" t="s">
        <v>646</v>
      </c>
      <c r="AL701" s="89" t="s">
        <v>23169</v>
      </c>
      <c r="AM701" s="89" t="s">
        <v>646</v>
      </c>
      <c r="AN701" s="89" t="s">
        <v>646</v>
      </c>
      <c r="AO701" s="89" t="s">
        <v>646</v>
      </c>
      <c r="AP701" s="89" t="s">
        <v>646</v>
      </c>
      <c r="AQ701" s="89" t="s">
        <v>646</v>
      </c>
      <c r="AR701" s="89" t="s">
        <v>646</v>
      </c>
      <c r="AS701" s="89" t="s">
        <v>646</v>
      </c>
      <c r="AT701" s="89" t="s">
        <v>646</v>
      </c>
      <c r="AU701" s="89" t="s">
        <v>646</v>
      </c>
      <c r="AV701" s="89" t="s">
        <v>646</v>
      </c>
      <c r="AW701" s="89" t="s">
        <v>646</v>
      </c>
      <c r="AX701" s="89" t="s">
        <v>646</v>
      </c>
      <c r="AY701" s="89" t="s">
        <v>23170</v>
      </c>
      <c r="AZ701" s="89" t="s">
        <v>23171</v>
      </c>
      <c r="BA701" s="89" t="s">
        <v>646</v>
      </c>
      <c r="BB701" s="89" t="s">
        <v>646</v>
      </c>
      <c r="BC701" s="89" t="s">
        <v>646</v>
      </c>
      <c r="BD701" s="89" t="s">
        <v>17687</v>
      </c>
      <c r="BE701" s="89">
        <v>2021</v>
      </c>
      <c r="BF701" s="89">
        <v>51</v>
      </c>
      <c r="BG701" s="89">
        <v>4</v>
      </c>
      <c r="BH701" s="89" t="s">
        <v>646</v>
      </c>
      <c r="BI701" s="89" t="s">
        <v>646</v>
      </c>
      <c r="BJ701" s="89" t="s">
        <v>646</v>
      </c>
      <c r="BK701" s="89" t="s">
        <v>646</v>
      </c>
      <c r="BL701" s="89">
        <v>1439</v>
      </c>
      <c r="BM701" s="89">
        <v>1456</v>
      </c>
      <c r="BN701" s="89" t="s">
        <v>23172</v>
      </c>
      <c r="BO701" s="89" t="str">
        <f>HYPERLINK("http://dx.doi.org/10.1017/S0007123420000113","http://dx.doi.org/10.1017/S0007123420000113")</f>
        <v>http://dx.doi.org/10.1017/S0007123420000113</v>
      </c>
      <c r="BP701" s="89" t="s">
        <v>646</v>
      </c>
      <c r="BQ701" s="89" t="s">
        <v>646</v>
      </c>
      <c r="BR701" s="89" t="s">
        <v>646</v>
      </c>
      <c r="BS701" s="89" t="s">
        <v>646</v>
      </c>
      <c r="BT701" s="89" t="s">
        <v>646</v>
      </c>
      <c r="BU701" s="89" t="s">
        <v>646</v>
      </c>
      <c r="BV701" s="89" t="s">
        <v>646</v>
      </c>
      <c r="BW701" s="89" t="s">
        <v>646</v>
      </c>
      <c r="BX701" s="89" t="s">
        <v>646</v>
      </c>
      <c r="BY701" s="89" t="s">
        <v>646</v>
      </c>
      <c r="BZ701" s="89" t="s">
        <v>646</v>
      </c>
      <c r="CA701" s="89" t="s">
        <v>646</v>
      </c>
      <c r="CB701" s="89" t="s">
        <v>23173</v>
      </c>
      <c r="CC701" s="89" t="str">
        <f>HYPERLINK("https%3A%2F%2Fwww.webofscience.com%2Fwos%2Fwoscc%2Ffull-record%2FWOS:000695211200007","View Full Record in Web of Science")</f>
        <v>View Full Record in Web of Science</v>
      </c>
    </row>
    <row r="702" spans="1:81" ht="13.2" hidden="1" x14ac:dyDescent="0.25">
      <c r="A702" s="89" t="s">
        <v>23174</v>
      </c>
      <c r="B702" s="89" t="e">
        <f>+#REF!</f>
        <v>#REF!</v>
      </c>
      <c r="C702" s="89"/>
      <c r="D702" s="91" t="s">
        <v>717</v>
      </c>
      <c r="E702" s="90" t="e">
        <v>#REF!</v>
      </c>
      <c r="F702" s="89"/>
      <c r="G702" s="89"/>
      <c r="H702" s="89" t="s">
        <v>646</v>
      </c>
      <c r="I702" s="89" t="s">
        <v>23175</v>
      </c>
      <c r="J702" s="89" t="s">
        <v>646</v>
      </c>
      <c r="K702" s="89" t="s">
        <v>23179</v>
      </c>
      <c r="M702" s="89">
        <v>2010</v>
      </c>
      <c r="N702" s="89" t="s">
        <v>23176</v>
      </c>
      <c r="O702" s="89" t="s">
        <v>646</v>
      </c>
      <c r="P702" s="89" t="s">
        <v>646</v>
      </c>
      <c r="S702" s="89" t="s">
        <v>17475</v>
      </c>
      <c r="U702" s="89" t="s">
        <v>17474</v>
      </c>
      <c r="W702" s="89" t="s">
        <v>646</v>
      </c>
      <c r="X702" s="89" t="s">
        <v>646</v>
      </c>
      <c r="Y702" s="89" t="s">
        <v>23177</v>
      </c>
      <c r="Z702" s="89" t="s">
        <v>23178</v>
      </c>
      <c r="AA702" s="89" t="s">
        <v>18365</v>
      </c>
      <c r="AB702" s="89" t="s">
        <v>17475</v>
      </c>
      <c r="AC702" s="89" t="s">
        <v>646</v>
      </c>
      <c r="AD702" s="89" t="s">
        <v>646</v>
      </c>
      <c r="AE702" s="89" t="s">
        <v>646</v>
      </c>
      <c r="AF702" s="89" t="s">
        <v>23179</v>
      </c>
      <c r="AG702" s="89" t="s">
        <v>646</v>
      </c>
      <c r="AH702" s="89" t="s">
        <v>646</v>
      </c>
      <c r="AI702" s="89" t="s">
        <v>646</v>
      </c>
      <c r="AJ702" s="89" t="s">
        <v>646</v>
      </c>
      <c r="AK702" s="89" t="s">
        <v>646</v>
      </c>
      <c r="AL702" s="89" t="s">
        <v>646</v>
      </c>
      <c r="AM702" s="89" t="s">
        <v>646</v>
      </c>
      <c r="AN702" s="89" t="s">
        <v>646</v>
      </c>
      <c r="AO702" s="89" t="s">
        <v>646</v>
      </c>
      <c r="AP702" s="89" t="s">
        <v>646</v>
      </c>
      <c r="AQ702" s="89" t="s">
        <v>646</v>
      </c>
      <c r="AR702" s="89" t="s">
        <v>646</v>
      </c>
      <c r="AS702" s="89" t="s">
        <v>646</v>
      </c>
      <c r="AT702" s="89" t="s">
        <v>646</v>
      </c>
      <c r="AU702" s="89" t="s">
        <v>646</v>
      </c>
      <c r="AV702" s="89" t="s">
        <v>646</v>
      </c>
      <c r="AW702" s="89" t="s">
        <v>646</v>
      </c>
      <c r="AX702" s="89" t="s">
        <v>646</v>
      </c>
      <c r="AY702" s="89" t="s">
        <v>23180</v>
      </c>
      <c r="AZ702" s="89" t="s">
        <v>646</v>
      </c>
      <c r="BA702" s="89" t="s">
        <v>23181</v>
      </c>
      <c r="BB702" s="89" t="s">
        <v>646</v>
      </c>
      <c r="BC702" s="89" t="s">
        <v>646</v>
      </c>
      <c r="BD702" s="89" t="s">
        <v>646</v>
      </c>
      <c r="BE702" s="89">
        <v>2010</v>
      </c>
      <c r="BF702" s="89" t="s">
        <v>646</v>
      </c>
      <c r="BG702" s="89" t="s">
        <v>646</v>
      </c>
      <c r="BH702" s="89" t="s">
        <v>646</v>
      </c>
      <c r="BI702" s="89" t="s">
        <v>646</v>
      </c>
      <c r="BJ702" s="89" t="s">
        <v>646</v>
      </c>
      <c r="BK702" s="89" t="s">
        <v>646</v>
      </c>
      <c r="BL702" s="89" t="s">
        <v>646</v>
      </c>
      <c r="BM702" s="89" t="s">
        <v>646</v>
      </c>
      <c r="BN702" s="89" t="s">
        <v>646</v>
      </c>
      <c r="BO702" s="89" t="s">
        <v>646</v>
      </c>
      <c r="BP702" s="89" t="s">
        <v>646</v>
      </c>
      <c r="BQ702" s="89" t="s">
        <v>646</v>
      </c>
      <c r="BR702" s="89" t="s">
        <v>646</v>
      </c>
      <c r="BS702" s="89" t="s">
        <v>646</v>
      </c>
      <c r="BT702" s="89" t="s">
        <v>646</v>
      </c>
      <c r="BU702" s="89" t="s">
        <v>646</v>
      </c>
      <c r="BV702" s="89" t="s">
        <v>646</v>
      </c>
      <c r="BW702" s="89" t="s">
        <v>646</v>
      </c>
      <c r="BX702" s="89" t="s">
        <v>646</v>
      </c>
      <c r="BY702" s="89" t="s">
        <v>646</v>
      </c>
      <c r="BZ702" s="89" t="s">
        <v>646</v>
      </c>
      <c r="CA702" s="89" t="s">
        <v>646</v>
      </c>
      <c r="CB702" s="89" t="s">
        <v>23182</v>
      </c>
      <c r="CC702" s="89" t="str">
        <f>HYPERLINK("https%3A%2F%2Fwww.webofscience.com%2Fwos%2Fwoscc%2Ffull-record%2FWOS:000287414000051","View Full Record in Web of Science")</f>
        <v>View Full Record in Web of Science</v>
      </c>
    </row>
    <row r="703" spans="1:81" ht="13.2" hidden="1" x14ac:dyDescent="0.25">
      <c r="A703" s="89" t="s">
        <v>14362</v>
      </c>
      <c r="B703" s="89" t="e">
        <f>+#REF!</f>
        <v>#REF!</v>
      </c>
      <c r="C703" s="89"/>
      <c r="D703" s="91" t="s">
        <v>717</v>
      </c>
      <c r="E703" s="90" t="e">
        <v>#REF!</v>
      </c>
      <c r="F703" s="89"/>
      <c r="G703" s="89"/>
      <c r="H703" s="89" t="s">
        <v>14363</v>
      </c>
      <c r="I703" s="89" t="s">
        <v>23183</v>
      </c>
      <c r="J703" s="89" t="s">
        <v>646</v>
      </c>
      <c r="K703" s="89" t="s">
        <v>23185</v>
      </c>
      <c r="M703" s="89">
        <v>2020</v>
      </c>
      <c r="N703" s="89" t="s">
        <v>23184</v>
      </c>
      <c r="O703" s="89" t="s">
        <v>646</v>
      </c>
      <c r="P703" s="89" t="str">
        <f>HYPERLINK("http://dx.doi.org/10.1080/00036846.2019.1646879","http://dx.doi.org/10.1080/00036846.2019.1646879")</f>
        <v>http://dx.doi.org/10.1080/00036846.2019.1646879</v>
      </c>
      <c r="S703" s="89" t="s">
        <v>646</v>
      </c>
      <c r="U703" s="89" t="s">
        <v>17462</v>
      </c>
      <c r="W703" s="89" t="s">
        <v>646</v>
      </c>
      <c r="X703" s="89" t="s">
        <v>646</v>
      </c>
      <c r="Y703" s="89" t="s">
        <v>646</v>
      </c>
      <c r="Z703" s="89" t="s">
        <v>646</v>
      </c>
      <c r="AA703" s="89" t="s">
        <v>646</v>
      </c>
      <c r="AB703" s="89" t="s">
        <v>646</v>
      </c>
      <c r="AC703" s="89" t="s">
        <v>646</v>
      </c>
      <c r="AD703" s="89" t="s">
        <v>646</v>
      </c>
      <c r="AE703" s="89" t="s">
        <v>646</v>
      </c>
      <c r="AF703" s="89" t="s">
        <v>23185</v>
      </c>
      <c r="AG703" s="89" t="s">
        <v>646</v>
      </c>
      <c r="AH703" s="89" t="s">
        <v>646</v>
      </c>
      <c r="AI703" s="89" t="s">
        <v>646</v>
      </c>
      <c r="AJ703" s="89" t="s">
        <v>646</v>
      </c>
      <c r="AK703" s="89" t="s">
        <v>646</v>
      </c>
      <c r="AL703" s="89" t="s">
        <v>646</v>
      </c>
      <c r="AM703" s="89" t="s">
        <v>646</v>
      </c>
      <c r="AN703" s="89" t="s">
        <v>646</v>
      </c>
      <c r="AO703" s="89" t="s">
        <v>646</v>
      </c>
      <c r="AP703" s="89" t="s">
        <v>646</v>
      </c>
      <c r="AQ703" s="89" t="s">
        <v>646</v>
      </c>
      <c r="AR703" s="89" t="s">
        <v>646</v>
      </c>
      <c r="AS703" s="89" t="s">
        <v>646</v>
      </c>
      <c r="AT703" s="89" t="s">
        <v>646</v>
      </c>
      <c r="AU703" s="89" t="s">
        <v>646</v>
      </c>
      <c r="AV703" s="89" t="s">
        <v>646</v>
      </c>
      <c r="AW703" s="89" t="s">
        <v>646</v>
      </c>
      <c r="AX703" s="89" t="s">
        <v>646</v>
      </c>
      <c r="AY703" s="89" t="s">
        <v>23186</v>
      </c>
      <c r="AZ703" s="89" t="s">
        <v>23187</v>
      </c>
      <c r="BA703" s="89" t="s">
        <v>646</v>
      </c>
      <c r="BB703" s="89" t="s">
        <v>646</v>
      </c>
      <c r="BC703" s="89" t="s">
        <v>646</v>
      </c>
      <c r="BD703" s="89" t="s">
        <v>18725</v>
      </c>
      <c r="BE703" s="89">
        <v>2020</v>
      </c>
      <c r="BF703" s="89">
        <v>52</v>
      </c>
      <c r="BG703" s="89">
        <v>6</v>
      </c>
      <c r="BH703" s="89" t="s">
        <v>646</v>
      </c>
      <c r="BI703" s="89" t="s">
        <v>646</v>
      </c>
      <c r="BJ703" s="89" t="s">
        <v>646</v>
      </c>
      <c r="BK703" s="89" t="s">
        <v>646</v>
      </c>
      <c r="BL703" s="89">
        <v>552</v>
      </c>
      <c r="BM703" s="89">
        <v>567</v>
      </c>
      <c r="BN703" s="89" t="s">
        <v>646</v>
      </c>
      <c r="BO703" s="89" t="str">
        <f>HYPERLINK("http://dx.doi.org/10.1080/00036846.2019.1646879","http://dx.doi.org/10.1080/00036846.2019.1646879")</f>
        <v>http://dx.doi.org/10.1080/00036846.2019.1646879</v>
      </c>
      <c r="BP703" s="89" t="s">
        <v>646</v>
      </c>
      <c r="BQ703" s="89" t="s">
        <v>18510</v>
      </c>
      <c r="BR703" s="89" t="s">
        <v>646</v>
      </c>
      <c r="BS703" s="89" t="s">
        <v>646</v>
      </c>
      <c r="BT703" s="89" t="s">
        <v>646</v>
      </c>
      <c r="BU703" s="89" t="s">
        <v>646</v>
      </c>
      <c r="BV703" s="89" t="s">
        <v>646</v>
      </c>
      <c r="BW703" s="89" t="s">
        <v>646</v>
      </c>
      <c r="BX703" s="89" t="s">
        <v>646</v>
      </c>
      <c r="BY703" s="89" t="s">
        <v>646</v>
      </c>
      <c r="BZ703" s="89" t="s">
        <v>646</v>
      </c>
      <c r="CA703" s="89" t="s">
        <v>646</v>
      </c>
      <c r="CB703" s="89" t="s">
        <v>23188</v>
      </c>
      <c r="CC703" s="89" t="str">
        <f>HYPERLINK("https%3A%2F%2Fwww.webofscience.com%2Fwos%2Fwoscc%2Ffull-record%2FWOS:000478113900001","View Full Record in Web of Science")</f>
        <v>View Full Record in Web of Science</v>
      </c>
    </row>
    <row r="704" spans="1:81" ht="13.2" hidden="1" x14ac:dyDescent="0.25">
      <c r="A704" s="89" t="s">
        <v>14372</v>
      </c>
      <c r="B704" s="89" t="e">
        <f>+#REF!</f>
        <v>#REF!</v>
      </c>
      <c r="C704" s="89"/>
      <c r="D704" s="91" t="s">
        <v>717</v>
      </c>
      <c r="E704" s="90" t="e">
        <v>#REF!</v>
      </c>
      <c r="F704" s="89"/>
      <c r="G704" s="89"/>
      <c r="H704" s="89" t="s">
        <v>14373</v>
      </c>
      <c r="I704" s="89" t="s">
        <v>23189</v>
      </c>
      <c r="J704" s="89" t="s">
        <v>646</v>
      </c>
      <c r="K704" s="89" t="s">
        <v>23191</v>
      </c>
      <c r="M704" s="89">
        <v>2016</v>
      </c>
      <c r="N704" s="89" t="s">
        <v>23190</v>
      </c>
      <c r="O704" s="89" t="s">
        <v>646</v>
      </c>
      <c r="P704" s="89" t="str">
        <f>HYPERLINK("http://dx.doi.org/10.1073/pnas.1603723113","http://dx.doi.org/10.1073/pnas.1603723113")</f>
        <v>http://dx.doi.org/10.1073/pnas.1603723113</v>
      </c>
      <c r="S704" s="89" t="s">
        <v>646</v>
      </c>
      <c r="U704" s="89" t="s">
        <v>17462</v>
      </c>
      <c r="W704" s="89" t="s">
        <v>646</v>
      </c>
      <c r="X704" s="89" t="s">
        <v>646</v>
      </c>
      <c r="Y704" s="89" t="s">
        <v>646</v>
      </c>
      <c r="Z704" s="89" t="s">
        <v>646</v>
      </c>
      <c r="AA704" s="89" t="s">
        <v>646</v>
      </c>
      <c r="AB704" s="89" t="s">
        <v>646</v>
      </c>
      <c r="AC704" s="89" t="s">
        <v>646</v>
      </c>
      <c r="AD704" s="89" t="s">
        <v>646</v>
      </c>
      <c r="AE704" s="89" t="s">
        <v>646</v>
      </c>
      <c r="AF704" s="89" t="s">
        <v>23191</v>
      </c>
      <c r="AG704" s="89" t="s">
        <v>646</v>
      </c>
      <c r="AH704" s="89" t="s">
        <v>646</v>
      </c>
      <c r="AI704" s="89" t="s">
        <v>646</v>
      </c>
      <c r="AJ704" s="89" t="s">
        <v>646</v>
      </c>
      <c r="AK704" s="89" t="s">
        <v>646</v>
      </c>
      <c r="AL704" s="89" t="s">
        <v>646</v>
      </c>
      <c r="AM704" s="89" t="s">
        <v>646</v>
      </c>
      <c r="AN704" s="89" t="s">
        <v>646</v>
      </c>
      <c r="AO704" s="89" t="s">
        <v>646</v>
      </c>
      <c r="AP704" s="89" t="s">
        <v>646</v>
      </c>
      <c r="AQ704" s="89" t="s">
        <v>646</v>
      </c>
      <c r="AR704" s="89" t="s">
        <v>646</v>
      </c>
      <c r="AS704" s="89" t="s">
        <v>646</v>
      </c>
      <c r="AT704" s="89" t="s">
        <v>646</v>
      </c>
      <c r="AU704" s="89" t="s">
        <v>646</v>
      </c>
      <c r="AV704" s="89" t="s">
        <v>646</v>
      </c>
      <c r="AW704" s="89" t="s">
        <v>646</v>
      </c>
      <c r="AX704" s="89" t="s">
        <v>646</v>
      </c>
      <c r="AY704" s="89" t="s">
        <v>23192</v>
      </c>
      <c r="AZ704" s="89" t="s">
        <v>646</v>
      </c>
      <c r="BA704" s="89" t="s">
        <v>646</v>
      </c>
      <c r="BB704" s="89" t="s">
        <v>646</v>
      </c>
      <c r="BC704" s="89" t="s">
        <v>646</v>
      </c>
      <c r="BD704" s="89" t="s">
        <v>19282</v>
      </c>
      <c r="BE704" s="89">
        <v>2016</v>
      </c>
      <c r="BF704" s="89">
        <v>113</v>
      </c>
      <c r="BG704" s="89">
        <v>30</v>
      </c>
      <c r="BH704" s="89" t="s">
        <v>646</v>
      </c>
      <c r="BI704" s="89" t="s">
        <v>646</v>
      </c>
      <c r="BJ704" s="89" t="s">
        <v>646</v>
      </c>
      <c r="BK704" s="89" t="s">
        <v>646</v>
      </c>
      <c r="BL704" s="89">
        <v>8414</v>
      </c>
      <c r="BM704" s="89">
        <v>8419</v>
      </c>
      <c r="BN704" s="89" t="s">
        <v>646</v>
      </c>
      <c r="BO704" s="89" t="str">
        <f>HYPERLINK("http://dx.doi.org/10.1073/pnas.1603723113","http://dx.doi.org/10.1073/pnas.1603723113")</f>
        <v>http://dx.doi.org/10.1073/pnas.1603723113</v>
      </c>
      <c r="BP704" s="89" t="s">
        <v>646</v>
      </c>
      <c r="BQ704" s="89" t="s">
        <v>646</v>
      </c>
      <c r="BR704" s="89" t="s">
        <v>646</v>
      </c>
      <c r="BS704" s="89" t="s">
        <v>646</v>
      </c>
      <c r="BT704" s="89" t="s">
        <v>646</v>
      </c>
      <c r="BU704" s="89" t="s">
        <v>646</v>
      </c>
      <c r="BV704" s="89" t="s">
        <v>646</v>
      </c>
      <c r="BW704" s="89">
        <v>27402744</v>
      </c>
      <c r="BX704" s="89" t="s">
        <v>646</v>
      </c>
      <c r="BY704" s="89" t="s">
        <v>646</v>
      </c>
      <c r="BZ704" s="89" t="s">
        <v>646</v>
      </c>
      <c r="CA704" s="89" t="s">
        <v>646</v>
      </c>
      <c r="CB704" s="89" t="s">
        <v>23193</v>
      </c>
      <c r="CC704" s="89" t="str">
        <f>HYPERLINK("https%3A%2F%2Fwww.webofscience.com%2Fwos%2Fwoscc%2Ffull-record%2FWOS:000380346200040","View Full Record in Web of Science")</f>
        <v>View Full Record in Web of Science</v>
      </c>
    </row>
    <row r="705" spans="1:81" ht="13.2" hidden="1" x14ac:dyDescent="0.25">
      <c r="A705" s="89" t="s">
        <v>10014</v>
      </c>
      <c r="B705" s="89" t="e">
        <f>+#REF!</f>
        <v>#REF!</v>
      </c>
      <c r="C705" s="89"/>
      <c r="D705" s="91" t="s">
        <v>717</v>
      </c>
      <c r="E705" s="90" t="e">
        <v>#REF!</v>
      </c>
      <c r="F705" s="89"/>
      <c r="G705" s="89"/>
      <c r="H705" s="89" t="s">
        <v>10015</v>
      </c>
      <c r="I705" s="89" t="s">
        <v>23194</v>
      </c>
      <c r="J705" s="89" t="s">
        <v>646</v>
      </c>
      <c r="K705" s="89" t="s">
        <v>23195</v>
      </c>
      <c r="M705" s="89">
        <v>2022</v>
      </c>
      <c r="N705" s="89" t="s">
        <v>20363</v>
      </c>
      <c r="O705" s="89" t="s">
        <v>646</v>
      </c>
      <c r="P705" s="89" t="str">
        <f>HYPERLINK("http://dx.doi.org/10.1007/s10862-022-09961-z","http://dx.doi.org/10.1007/s10862-022-09961-z")</f>
        <v>http://dx.doi.org/10.1007/s10862-022-09961-z</v>
      </c>
      <c r="S705" s="89" t="s">
        <v>646</v>
      </c>
      <c r="U705" s="89" t="s">
        <v>17462</v>
      </c>
      <c r="W705" s="89" t="s">
        <v>646</v>
      </c>
      <c r="X705" s="89" t="s">
        <v>646</v>
      </c>
      <c r="Y705" s="89" t="s">
        <v>646</v>
      </c>
      <c r="Z705" s="89" t="s">
        <v>646</v>
      </c>
      <c r="AA705" s="89" t="s">
        <v>646</v>
      </c>
      <c r="AB705" s="89" t="s">
        <v>646</v>
      </c>
      <c r="AC705" s="89" t="s">
        <v>646</v>
      </c>
      <c r="AD705" s="89" t="s">
        <v>646</v>
      </c>
      <c r="AE705" s="89" t="s">
        <v>646</v>
      </c>
      <c r="AF705" s="89" t="s">
        <v>23195</v>
      </c>
      <c r="AG705" s="89" t="s">
        <v>646</v>
      </c>
      <c r="AH705" s="89" t="s">
        <v>646</v>
      </c>
      <c r="AI705" s="89" t="s">
        <v>646</v>
      </c>
      <c r="AJ705" s="89" t="s">
        <v>646</v>
      </c>
      <c r="AK705" s="89" t="s">
        <v>646</v>
      </c>
      <c r="AL705" s="89" t="s">
        <v>23196</v>
      </c>
      <c r="AM705" s="89" t="s">
        <v>646</v>
      </c>
      <c r="AN705" s="89" t="s">
        <v>646</v>
      </c>
      <c r="AO705" s="89" t="s">
        <v>646</v>
      </c>
      <c r="AP705" s="89" t="s">
        <v>646</v>
      </c>
      <c r="AQ705" s="89" t="s">
        <v>646</v>
      </c>
      <c r="AR705" s="89" t="s">
        <v>646</v>
      </c>
      <c r="AS705" s="89" t="s">
        <v>646</v>
      </c>
      <c r="AT705" s="89" t="s">
        <v>646</v>
      </c>
      <c r="AU705" s="89" t="s">
        <v>646</v>
      </c>
      <c r="AV705" s="89" t="s">
        <v>646</v>
      </c>
      <c r="AW705" s="89" t="s">
        <v>646</v>
      </c>
      <c r="AX705" s="89" t="s">
        <v>646</v>
      </c>
      <c r="AY705" s="89" t="s">
        <v>20367</v>
      </c>
      <c r="AZ705" s="89" t="s">
        <v>20368</v>
      </c>
      <c r="BA705" s="89" t="s">
        <v>646</v>
      </c>
      <c r="BB705" s="89" t="s">
        <v>646</v>
      </c>
      <c r="BC705" s="89" t="s">
        <v>646</v>
      </c>
      <c r="BD705" s="89" t="s">
        <v>17739</v>
      </c>
      <c r="BE705" s="89">
        <v>2022</v>
      </c>
      <c r="BF705" s="89">
        <v>44</v>
      </c>
      <c r="BG705" s="89">
        <v>3</v>
      </c>
      <c r="BH705" s="89" t="s">
        <v>646</v>
      </c>
      <c r="BI705" s="89" t="s">
        <v>646</v>
      </c>
      <c r="BJ705" s="89" t="s">
        <v>646</v>
      </c>
      <c r="BK705" s="89" t="s">
        <v>646</v>
      </c>
      <c r="BL705" s="89">
        <v>713</v>
      </c>
      <c r="BM705" s="89">
        <v>724</v>
      </c>
      <c r="BN705" s="89" t="s">
        <v>646</v>
      </c>
      <c r="BO705" s="89" t="str">
        <f>HYPERLINK("http://dx.doi.org/10.1007/s10862-022-09961-z","http://dx.doi.org/10.1007/s10862-022-09961-z")</f>
        <v>http://dx.doi.org/10.1007/s10862-022-09961-z</v>
      </c>
      <c r="BP705" s="89" t="s">
        <v>646</v>
      </c>
      <c r="BQ705" s="89" t="s">
        <v>20029</v>
      </c>
      <c r="BR705" s="89" t="s">
        <v>646</v>
      </c>
      <c r="BS705" s="89" t="s">
        <v>646</v>
      </c>
      <c r="BT705" s="89" t="s">
        <v>646</v>
      </c>
      <c r="BU705" s="89" t="s">
        <v>646</v>
      </c>
      <c r="BV705" s="89" t="s">
        <v>646</v>
      </c>
      <c r="BW705" s="89" t="s">
        <v>646</v>
      </c>
      <c r="BX705" s="89" t="s">
        <v>646</v>
      </c>
      <c r="BY705" s="89" t="s">
        <v>646</v>
      </c>
      <c r="BZ705" s="89" t="s">
        <v>646</v>
      </c>
      <c r="CA705" s="89" t="s">
        <v>646</v>
      </c>
      <c r="CB705" s="89" t="s">
        <v>23197</v>
      </c>
      <c r="CC705" s="89" t="str">
        <f>HYPERLINK("https%3A%2F%2Fwww.webofscience.com%2Fwos%2Fwoscc%2Ffull-record%2FWOS:000752166400001","View Full Record in Web of Science")</f>
        <v>View Full Record in Web of Science</v>
      </c>
    </row>
    <row r="706" spans="1:81" ht="13.2" hidden="1" x14ac:dyDescent="0.25">
      <c r="A706" s="89" t="s">
        <v>10023</v>
      </c>
      <c r="B706" s="89" t="e">
        <f>+#REF!</f>
        <v>#REF!</v>
      </c>
      <c r="C706" s="89"/>
      <c r="D706" s="91" t="s">
        <v>717</v>
      </c>
      <c r="E706" s="90" t="e">
        <v>#REF!</v>
      </c>
      <c r="F706" s="89"/>
      <c r="G706" s="89"/>
      <c r="H706" s="89" t="s">
        <v>10024</v>
      </c>
      <c r="I706" s="89" t="s">
        <v>23198</v>
      </c>
      <c r="J706" s="89" t="s">
        <v>646</v>
      </c>
      <c r="K706" s="89" t="s">
        <v>23199</v>
      </c>
      <c r="M706" s="89">
        <v>2021</v>
      </c>
      <c r="N706" s="89" t="s">
        <v>17922</v>
      </c>
      <c r="O706" s="89" t="s">
        <v>646</v>
      </c>
      <c r="P706" s="89" t="str">
        <f>HYPERLINK("http://dx.doi.org/10.1097/PRS.0000000000008311","http://dx.doi.org/10.1097/PRS.0000000000008311")</f>
        <v>http://dx.doi.org/10.1097/PRS.0000000000008311</v>
      </c>
      <c r="S706" s="89" t="s">
        <v>646</v>
      </c>
      <c r="U706" s="89" t="s">
        <v>17462</v>
      </c>
      <c r="W706" s="89" t="s">
        <v>646</v>
      </c>
      <c r="X706" s="89" t="s">
        <v>646</v>
      </c>
      <c r="Y706" s="89" t="s">
        <v>646</v>
      </c>
      <c r="Z706" s="89" t="s">
        <v>646</v>
      </c>
      <c r="AA706" s="89" t="s">
        <v>646</v>
      </c>
      <c r="AB706" s="89" t="s">
        <v>646</v>
      </c>
      <c r="AC706" s="89" t="s">
        <v>646</v>
      </c>
      <c r="AD706" s="89" t="s">
        <v>646</v>
      </c>
      <c r="AE706" s="89" t="s">
        <v>646</v>
      </c>
      <c r="AF706" s="89" t="s">
        <v>23199</v>
      </c>
      <c r="AG706" s="89" t="s">
        <v>646</v>
      </c>
      <c r="AH706" s="89" t="s">
        <v>646</v>
      </c>
      <c r="AI706" s="89" t="s">
        <v>646</v>
      </c>
      <c r="AJ706" s="89" t="s">
        <v>646</v>
      </c>
      <c r="AK706" s="89" t="s">
        <v>646</v>
      </c>
      <c r="AL706" s="89" t="s">
        <v>646</v>
      </c>
      <c r="AM706" s="89" t="s">
        <v>646</v>
      </c>
      <c r="AN706" s="89" t="s">
        <v>646</v>
      </c>
      <c r="AO706" s="89" t="s">
        <v>646</v>
      </c>
      <c r="AP706" s="89" t="s">
        <v>646</v>
      </c>
      <c r="AQ706" s="89" t="s">
        <v>646</v>
      </c>
      <c r="AR706" s="89" t="s">
        <v>646</v>
      </c>
      <c r="AS706" s="89" t="s">
        <v>646</v>
      </c>
      <c r="AT706" s="89" t="s">
        <v>646</v>
      </c>
      <c r="AU706" s="89" t="s">
        <v>646</v>
      </c>
      <c r="AV706" s="89" t="s">
        <v>646</v>
      </c>
      <c r="AW706" s="89" t="s">
        <v>646</v>
      </c>
      <c r="AX706" s="89" t="s">
        <v>646</v>
      </c>
      <c r="AY706" s="89" t="s">
        <v>17930</v>
      </c>
      <c r="AZ706" s="89" t="s">
        <v>17931</v>
      </c>
      <c r="BA706" s="89" t="s">
        <v>646</v>
      </c>
      <c r="BB706" s="89" t="s">
        <v>646</v>
      </c>
      <c r="BC706" s="89" t="s">
        <v>646</v>
      </c>
      <c r="BD706" s="89" t="s">
        <v>17687</v>
      </c>
      <c r="BE706" s="89">
        <v>2021</v>
      </c>
      <c r="BF706" s="89">
        <v>148</v>
      </c>
      <c r="BG706" s="89">
        <v>4</v>
      </c>
      <c r="BH706" s="89" t="s">
        <v>646</v>
      </c>
      <c r="BI706" s="89" t="s">
        <v>646</v>
      </c>
      <c r="BJ706" s="89" t="s">
        <v>646</v>
      </c>
      <c r="BK706" s="89" t="s">
        <v>646</v>
      </c>
      <c r="BL706" s="89">
        <v>720</v>
      </c>
      <c r="BM706" s="89">
        <v>728</v>
      </c>
      <c r="BN706" s="89" t="s">
        <v>646</v>
      </c>
      <c r="BO706" s="89" t="str">
        <f>HYPERLINK("http://dx.doi.org/10.1097/PRS.0000000000008311","http://dx.doi.org/10.1097/PRS.0000000000008311")</f>
        <v>http://dx.doi.org/10.1097/PRS.0000000000008311</v>
      </c>
      <c r="BP706" s="89" t="s">
        <v>646</v>
      </c>
      <c r="BQ706" s="89" t="s">
        <v>646</v>
      </c>
      <c r="BR706" s="89" t="s">
        <v>646</v>
      </c>
      <c r="BS706" s="89" t="s">
        <v>646</v>
      </c>
      <c r="BT706" s="89" t="s">
        <v>646</v>
      </c>
      <c r="BU706" s="89" t="s">
        <v>646</v>
      </c>
      <c r="BV706" s="89" t="s">
        <v>646</v>
      </c>
      <c r="BW706" s="89">
        <v>34550924</v>
      </c>
      <c r="BX706" s="89" t="s">
        <v>646</v>
      </c>
      <c r="BY706" s="89" t="s">
        <v>646</v>
      </c>
      <c r="BZ706" s="89" t="s">
        <v>646</v>
      </c>
      <c r="CA706" s="89" t="s">
        <v>646</v>
      </c>
      <c r="CB706" s="89" t="s">
        <v>23200</v>
      </c>
      <c r="CC706" s="89" t="str">
        <f>HYPERLINK("https%3A%2F%2Fwww.webofscience.com%2Fwos%2Fwoscc%2Ffull-record%2FWOS:000698767600052","View Full Record in Web of Science")</f>
        <v>View Full Record in Web of Science</v>
      </c>
    </row>
    <row r="707" spans="1:81" ht="13.2" hidden="1" x14ac:dyDescent="0.25">
      <c r="A707" s="89" t="s">
        <v>10033</v>
      </c>
      <c r="B707" s="89" t="e">
        <f>+#REF!</f>
        <v>#REF!</v>
      </c>
      <c r="C707" s="89"/>
      <c r="D707" s="91" t="s">
        <v>717</v>
      </c>
      <c r="E707" s="90" t="e">
        <v>#REF!</v>
      </c>
      <c r="F707" s="89"/>
      <c r="G707" s="89"/>
      <c r="H707" s="89" t="s">
        <v>10034</v>
      </c>
      <c r="I707" s="89" t="s">
        <v>23202</v>
      </c>
      <c r="J707" s="89" t="s">
        <v>646</v>
      </c>
      <c r="K707" s="89" t="s">
        <v>23209</v>
      </c>
      <c r="M707" s="89">
        <v>2021</v>
      </c>
      <c r="N707" s="89" t="s">
        <v>23203</v>
      </c>
      <c r="O707" s="89" t="s">
        <v>23201</v>
      </c>
      <c r="P707" s="89" t="str">
        <f>HYPERLINK("http://dx.doi.org/10.1145/3474451.3476241","http://dx.doi.org/10.1145/3474451.3476241")</f>
        <v>http://dx.doi.org/10.1145/3474451.3476241</v>
      </c>
      <c r="S707" s="89" t="s">
        <v>646</v>
      </c>
      <c r="U707" s="89" t="s">
        <v>17474</v>
      </c>
      <c r="W707" s="89" t="s">
        <v>646</v>
      </c>
      <c r="X707" s="89" t="s">
        <v>646</v>
      </c>
      <c r="Y707" s="89" t="s">
        <v>23204</v>
      </c>
      <c r="Z707" s="89" t="s">
        <v>23205</v>
      </c>
      <c r="AA707" s="89" t="s">
        <v>23206</v>
      </c>
      <c r="AB707" s="89" t="s">
        <v>23207</v>
      </c>
      <c r="AC707" s="89" t="s">
        <v>23208</v>
      </c>
      <c r="AD707" s="89" t="s">
        <v>646</v>
      </c>
      <c r="AE707" s="89" t="s">
        <v>646</v>
      </c>
      <c r="AF707" s="89" t="s">
        <v>23209</v>
      </c>
      <c r="AG707" s="89" t="s">
        <v>646</v>
      </c>
      <c r="AH707" s="89" t="s">
        <v>646</v>
      </c>
      <c r="AI707" s="89" t="s">
        <v>646</v>
      </c>
      <c r="AJ707" s="89" t="s">
        <v>646</v>
      </c>
      <c r="AK707" s="89" t="s">
        <v>646</v>
      </c>
      <c r="AL707" s="89" t="s">
        <v>646</v>
      </c>
      <c r="AM707" s="89" t="s">
        <v>646</v>
      </c>
      <c r="AN707" s="89" t="s">
        <v>646</v>
      </c>
      <c r="AO707" s="89" t="s">
        <v>646</v>
      </c>
      <c r="AP707" s="89" t="s">
        <v>646</v>
      </c>
      <c r="AQ707" s="89" t="s">
        <v>646</v>
      </c>
      <c r="AR707" s="89" t="s">
        <v>646</v>
      </c>
      <c r="AS707" s="89" t="s">
        <v>646</v>
      </c>
      <c r="AT707" s="89" t="s">
        <v>646</v>
      </c>
      <c r="AU707" s="89" t="s">
        <v>646</v>
      </c>
      <c r="AV707" s="89" t="s">
        <v>646</v>
      </c>
      <c r="AW707" s="89" t="s">
        <v>646</v>
      </c>
      <c r="AX707" s="89" t="s">
        <v>646</v>
      </c>
      <c r="AY707" s="89" t="s">
        <v>646</v>
      </c>
      <c r="AZ707" s="89" t="s">
        <v>646</v>
      </c>
      <c r="BA707" s="89" t="s">
        <v>23210</v>
      </c>
      <c r="BB707" s="89" t="s">
        <v>646</v>
      </c>
      <c r="BC707" s="89" t="s">
        <v>646</v>
      </c>
      <c r="BD707" s="89" t="s">
        <v>646</v>
      </c>
      <c r="BE707" s="89">
        <v>2021</v>
      </c>
      <c r="BF707" s="89" t="s">
        <v>646</v>
      </c>
      <c r="BG707" s="89" t="s">
        <v>646</v>
      </c>
      <c r="BH707" s="89" t="s">
        <v>646</v>
      </c>
      <c r="BI707" s="89" t="s">
        <v>646</v>
      </c>
      <c r="BJ707" s="89" t="s">
        <v>646</v>
      </c>
      <c r="BK707" s="89" t="s">
        <v>646</v>
      </c>
      <c r="BL707" s="89" t="s">
        <v>646</v>
      </c>
      <c r="BM707" s="89" t="s">
        <v>646</v>
      </c>
      <c r="BN707" s="89">
        <v>8</v>
      </c>
      <c r="BO707" s="89" t="str">
        <f>HYPERLINK("http://dx.doi.org/10.1145/3474451.3476241","http://dx.doi.org/10.1145/3474451.3476241")</f>
        <v>http://dx.doi.org/10.1145/3474451.3476241</v>
      </c>
      <c r="BP707" s="89" t="s">
        <v>646</v>
      </c>
      <c r="BQ707" s="89" t="s">
        <v>646</v>
      </c>
      <c r="BR707" s="89" t="s">
        <v>646</v>
      </c>
      <c r="BS707" s="89" t="s">
        <v>646</v>
      </c>
      <c r="BT707" s="89" t="s">
        <v>646</v>
      </c>
      <c r="BU707" s="89" t="s">
        <v>646</v>
      </c>
      <c r="BV707" s="89" t="s">
        <v>646</v>
      </c>
      <c r="BW707" s="89" t="s">
        <v>646</v>
      </c>
      <c r="BX707" s="89" t="s">
        <v>646</v>
      </c>
      <c r="BY707" s="89" t="s">
        <v>646</v>
      </c>
      <c r="BZ707" s="89" t="s">
        <v>646</v>
      </c>
      <c r="CA707" s="89" t="s">
        <v>646</v>
      </c>
      <c r="CB707" s="89" t="s">
        <v>23211</v>
      </c>
      <c r="CC707" s="89" t="str">
        <f>HYPERLINK("https%3A%2F%2Fwww.webofscience.com%2Fwos%2Fwoscc%2Ffull-record%2FWOS:000755373200012","View Full Record in Web of Science")</f>
        <v>View Full Record in Web of Science</v>
      </c>
    </row>
    <row r="708" spans="1:81" ht="13.2" hidden="1" x14ac:dyDescent="0.25">
      <c r="A708" s="89" t="s">
        <v>23212</v>
      </c>
      <c r="B708" s="89" t="e">
        <f>+#REF!</f>
        <v>#REF!</v>
      </c>
      <c r="C708" s="89"/>
      <c r="D708" s="91" t="s">
        <v>717</v>
      </c>
      <c r="E708" s="90" t="e">
        <v>#REF!</v>
      </c>
      <c r="F708" s="89"/>
      <c r="G708" s="89"/>
      <c r="H708" s="89" t="s">
        <v>16543</v>
      </c>
      <c r="I708" s="89" t="s">
        <v>23213</v>
      </c>
      <c r="J708" s="89" t="s">
        <v>646</v>
      </c>
      <c r="K708" s="89" t="s">
        <v>23214</v>
      </c>
      <c r="M708" s="89">
        <v>2021</v>
      </c>
      <c r="N708" s="89" t="s">
        <v>19243</v>
      </c>
      <c r="O708" s="89" t="s">
        <v>646</v>
      </c>
      <c r="P708" s="89" t="str">
        <f>HYPERLINK("http://dx.doi.org/10.1002/jgc4.1337","http://dx.doi.org/10.1002/jgc4.1337")</f>
        <v>http://dx.doi.org/10.1002/jgc4.1337</v>
      </c>
      <c r="S708" s="89" t="s">
        <v>646</v>
      </c>
      <c r="U708" s="89" t="s">
        <v>17462</v>
      </c>
      <c r="W708" s="89" t="s">
        <v>646</v>
      </c>
      <c r="X708" s="89" t="s">
        <v>646</v>
      </c>
      <c r="Y708" s="89" t="s">
        <v>646</v>
      </c>
      <c r="Z708" s="89" t="s">
        <v>646</v>
      </c>
      <c r="AA708" s="89" t="s">
        <v>646</v>
      </c>
      <c r="AB708" s="89" t="s">
        <v>646</v>
      </c>
      <c r="AC708" s="89" t="s">
        <v>646</v>
      </c>
      <c r="AD708" s="89" t="s">
        <v>646</v>
      </c>
      <c r="AE708" s="89" t="s">
        <v>646</v>
      </c>
      <c r="AF708" s="89" t="s">
        <v>23214</v>
      </c>
      <c r="AG708" s="89" t="s">
        <v>646</v>
      </c>
      <c r="AH708" s="89" t="s">
        <v>646</v>
      </c>
      <c r="AI708" s="89" t="s">
        <v>646</v>
      </c>
      <c r="AJ708" s="89" t="s">
        <v>646</v>
      </c>
      <c r="AK708" s="89" t="s">
        <v>646</v>
      </c>
      <c r="AL708" s="89" t="s">
        <v>646</v>
      </c>
      <c r="AM708" s="89" t="s">
        <v>646</v>
      </c>
      <c r="AN708" s="89" t="s">
        <v>646</v>
      </c>
      <c r="AO708" s="89" t="s">
        <v>646</v>
      </c>
      <c r="AP708" s="89" t="s">
        <v>646</v>
      </c>
      <c r="AQ708" s="89" t="s">
        <v>646</v>
      </c>
      <c r="AR708" s="89" t="s">
        <v>646</v>
      </c>
      <c r="AS708" s="89" t="s">
        <v>646</v>
      </c>
      <c r="AT708" s="89" t="s">
        <v>646</v>
      </c>
      <c r="AU708" s="89" t="s">
        <v>646</v>
      </c>
      <c r="AV708" s="89" t="s">
        <v>646</v>
      </c>
      <c r="AW708" s="89" t="s">
        <v>646</v>
      </c>
      <c r="AX708" s="89" t="s">
        <v>646</v>
      </c>
      <c r="AY708" s="89" t="s">
        <v>19246</v>
      </c>
      <c r="AZ708" s="89" t="s">
        <v>19247</v>
      </c>
      <c r="BA708" s="89" t="s">
        <v>646</v>
      </c>
      <c r="BB708" s="89" t="s">
        <v>646</v>
      </c>
      <c r="BC708" s="89" t="s">
        <v>646</v>
      </c>
      <c r="BD708" s="89" t="s">
        <v>17823</v>
      </c>
      <c r="BE708" s="89">
        <v>2021</v>
      </c>
      <c r="BF708" s="89">
        <v>30</v>
      </c>
      <c r="BG708" s="89">
        <v>2</v>
      </c>
      <c r="BH708" s="89" t="s">
        <v>646</v>
      </c>
      <c r="BI708" s="89" t="s">
        <v>646</v>
      </c>
      <c r="BJ708" s="89" t="s">
        <v>646</v>
      </c>
      <c r="BK708" s="89" t="s">
        <v>646</v>
      </c>
      <c r="BL708" s="89">
        <v>513</v>
      </c>
      <c r="BM708" s="89">
        <v>521</v>
      </c>
      <c r="BN708" s="89" t="s">
        <v>646</v>
      </c>
      <c r="BO708" s="89" t="str">
        <f>HYPERLINK("http://dx.doi.org/10.1002/jgc4.1337","http://dx.doi.org/10.1002/jgc4.1337")</f>
        <v>http://dx.doi.org/10.1002/jgc4.1337</v>
      </c>
      <c r="BP708" s="89" t="s">
        <v>646</v>
      </c>
      <c r="BQ708" s="89" t="s">
        <v>23215</v>
      </c>
      <c r="BR708" s="89" t="s">
        <v>646</v>
      </c>
      <c r="BS708" s="89" t="s">
        <v>646</v>
      </c>
      <c r="BT708" s="89" t="s">
        <v>646</v>
      </c>
      <c r="BU708" s="89" t="s">
        <v>646</v>
      </c>
      <c r="BV708" s="89" t="s">
        <v>646</v>
      </c>
      <c r="BW708" s="89">
        <v>33090616</v>
      </c>
      <c r="BX708" s="89" t="s">
        <v>646</v>
      </c>
      <c r="BY708" s="89" t="s">
        <v>646</v>
      </c>
      <c r="BZ708" s="89" t="s">
        <v>646</v>
      </c>
      <c r="CA708" s="89" t="s">
        <v>646</v>
      </c>
      <c r="CB708" s="89" t="s">
        <v>23216</v>
      </c>
      <c r="CC708" s="89" t="str">
        <f>HYPERLINK("https%3A%2F%2Fwww.webofscience.com%2Fwos%2Fwoscc%2Ffull-record%2FWOS:000581673600001","View Full Record in Web of Science")</f>
        <v>View Full Record in Web of Science</v>
      </c>
    </row>
    <row r="709" spans="1:81" ht="13.2" hidden="1" x14ac:dyDescent="0.25">
      <c r="A709" s="89" t="s">
        <v>23217</v>
      </c>
      <c r="B709" s="89" t="e">
        <f>+#REF!</f>
        <v>#REF!</v>
      </c>
      <c r="C709" s="89"/>
      <c r="D709" s="91" t="s">
        <v>717</v>
      </c>
      <c r="E709" s="90" t="e">
        <v>#REF!</v>
      </c>
      <c r="F709" s="89"/>
      <c r="G709" s="89"/>
      <c r="H709" s="89" t="s">
        <v>14383</v>
      </c>
      <c r="I709" s="89" t="s">
        <v>23218</v>
      </c>
      <c r="J709" s="89" t="s">
        <v>23221</v>
      </c>
      <c r="K709" s="89" t="s">
        <v>23220</v>
      </c>
      <c r="M709" s="89">
        <v>2018</v>
      </c>
      <c r="N709" s="89" t="s">
        <v>23219</v>
      </c>
      <c r="O709" s="89" t="s">
        <v>646</v>
      </c>
      <c r="P709" s="89" t="str">
        <f>HYPERLINK("http://dx.doi.org/10.1108/LHT-09-2017-0184","http://dx.doi.org/10.1108/LHT-09-2017-0184")</f>
        <v>http://dx.doi.org/10.1108/LHT-09-2017-0184</v>
      </c>
      <c r="S709" s="89" t="s">
        <v>646</v>
      </c>
      <c r="U709" s="89" t="s">
        <v>17462</v>
      </c>
      <c r="W709" s="89" t="s">
        <v>646</v>
      </c>
      <c r="X709" s="89" t="s">
        <v>646</v>
      </c>
      <c r="Y709" s="89" t="s">
        <v>646</v>
      </c>
      <c r="Z709" s="89" t="s">
        <v>646</v>
      </c>
      <c r="AA709" s="89" t="s">
        <v>646</v>
      </c>
      <c r="AB709" s="89" t="s">
        <v>646</v>
      </c>
      <c r="AC709" s="89" t="s">
        <v>646</v>
      </c>
      <c r="AD709" s="89" t="s">
        <v>646</v>
      </c>
      <c r="AE709" s="89" t="s">
        <v>646</v>
      </c>
      <c r="AF709" s="89" t="s">
        <v>23220</v>
      </c>
      <c r="AG709" s="89" t="s">
        <v>646</v>
      </c>
      <c r="AH709" s="89" t="s">
        <v>646</v>
      </c>
      <c r="AI709" s="89" t="s">
        <v>646</v>
      </c>
      <c r="AJ709" s="89" t="s">
        <v>646</v>
      </c>
      <c r="AK709" s="89" t="s">
        <v>23221</v>
      </c>
      <c r="AL709" s="89" t="s">
        <v>23222</v>
      </c>
      <c r="AM709" s="89" t="s">
        <v>646</v>
      </c>
      <c r="AN709" s="89" t="s">
        <v>646</v>
      </c>
      <c r="AO709" s="89" t="s">
        <v>646</v>
      </c>
      <c r="AP709" s="89" t="s">
        <v>646</v>
      </c>
      <c r="AQ709" s="89" t="s">
        <v>646</v>
      </c>
      <c r="AR709" s="89" t="s">
        <v>646</v>
      </c>
      <c r="AS709" s="89" t="s">
        <v>646</v>
      </c>
      <c r="AT709" s="89" t="s">
        <v>646</v>
      </c>
      <c r="AU709" s="89" t="s">
        <v>646</v>
      </c>
      <c r="AV709" s="89" t="s">
        <v>646</v>
      </c>
      <c r="AW709" s="89" t="s">
        <v>646</v>
      </c>
      <c r="AX709" s="89" t="s">
        <v>646</v>
      </c>
      <c r="AY709" s="89" t="s">
        <v>23223</v>
      </c>
      <c r="AZ709" s="89" t="s">
        <v>646</v>
      </c>
      <c r="BA709" s="89" t="s">
        <v>646</v>
      </c>
      <c r="BB709" s="89" t="s">
        <v>646</v>
      </c>
      <c r="BC709" s="89" t="s">
        <v>646</v>
      </c>
      <c r="BD709" s="89" t="s">
        <v>646</v>
      </c>
      <c r="BE709" s="89">
        <v>2018</v>
      </c>
      <c r="BF709" s="89">
        <v>36</v>
      </c>
      <c r="BG709" s="89">
        <v>4</v>
      </c>
      <c r="BH709" s="89" t="s">
        <v>646</v>
      </c>
      <c r="BI709" s="89" t="s">
        <v>646</v>
      </c>
      <c r="BJ709" s="89" t="s">
        <v>646</v>
      </c>
      <c r="BK709" s="89" t="s">
        <v>646</v>
      </c>
      <c r="BL709" s="89">
        <v>573</v>
      </c>
      <c r="BM709" s="89">
        <v>582</v>
      </c>
      <c r="BN709" s="89" t="s">
        <v>646</v>
      </c>
      <c r="BO709" s="89" t="str">
        <f>HYPERLINK("http://dx.doi.org/10.1108/LHT-09-2017-0184","http://dx.doi.org/10.1108/LHT-09-2017-0184")</f>
        <v>http://dx.doi.org/10.1108/LHT-09-2017-0184</v>
      </c>
      <c r="BP709" s="89" t="s">
        <v>646</v>
      </c>
      <c r="BQ709" s="89" t="s">
        <v>646</v>
      </c>
      <c r="BR709" s="89" t="s">
        <v>646</v>
      </c>
      <c r="BS709" s="89" t="s">
        <v>646</v>
      </c>
      <c r="BT709" s="89" t="s">
        <v>646</v>
      </c>
      <c r="BU709" s="89" t="s">
        <v>646</v>
      </c>
      <c r="BV709" s="89" t="s">
        <v>646</v>
      </c>
      <c r="BW709" s="89" t="s">
        <v>646</v>
      </c>
      <c r="BX709" s="89" t="s">
        <v>646</v>
      </c>
      <c r="BY709" s="89" t="s">
        <v>646</v>
      </c>
      <c r="BZ709" s="89" t="s">
        <v>646</v>
      </c>
      <c r="CA709" s="89" t="s">
        <v>646</v>
      </c>
      <c r="CB709" s="89" t="s">
        <v>23224</v>
      </c>
      <c r="CC709" s="89" t="str">
        <f>HYPERLINK("https%3A%2F%2Fwww.webofscience.com%2Fwos%2Fwoscc%2Ffull-record%2FWOS:000456605200002","View Full Record in Web of Science")</f>
        <v>View Full Record in Web of Science</v>
      </c>
    </row>
    <row r="710" spans="1:81" ht="13.2" hidden="1" x14ac:dyDescent="0.25">
      <c r="A710" s="89" t="s">
        <v>10043</v>
      </c>
      <c r="B710" s="89" t="e">
        <f>+#REF!</f>
        <v>#REF!</v>
      </c>
      <c r="C710" s="89"/>
      <c r="D710" s="91" t="s">
        <v>717</v>
      </c>
      <c r="E710" s="90" t="e">
        <v>#REF!</v>
      </c>
      <c r="F710" s="89"/>
      <c r="G710" s="89"/>
      <c r="H710" s="89" t="s">
        <v>10044</v>
      </c>
      <c r="I710" s="89" t="s">
        <v>23225</v>
      </c>
      <c r="J710" s="89" t="s">
        <v>646</v>
      </c>
      <c r="K710" s="89" t="s">
        <v>23226</v>
      </c>
      <c r="M710" s="89">
        <v>2022</v>
      </c>
      <c r="N710" s="89" t="s">
        <v>17654</v>
      </c>
      <c r="O710" s="89" t="s">
        <v>646</v>
      </c>
      <c r="P710" s="89" t="str">
        <f>HYPERLINK("http://dx.doi.org/10.3390/ijgi11040223","http://dx.doi.org/10.3390/ijgi11040223")</f>
        <v>http://dx.doi.org/10.3390/ijgi11040223</v>
      </c>
      <c r="S710" s="89" t="s">
        <v>646</v>
      </c>
      <c r="U710" s="89" t="s">
        <v>17462</v>
      </c>
      <c r="W710" s="89" t="s">
        <v>646</v>
      </c>
      <c r="X710" s="89" t="s">
        <v>646</v>
      </c>
      <c r="Y710" s="89" t="s">
        <v>646</v>
      </c>
      <c r="Z710" s="89" t="s">
        <v>646</v>
      </c>
      <c r="AA710" s="89" t="s">
        <v>646</v>
      </c>
      <c r="AB710" s="89" t="s">
        <v>646</v>
      </c>
      <c r="AC710" s="89" t="s">
        <v>646</v>
      </c>
      <c r="AD710" s="89" t="s">
        <v>646</v>
      </c>
      <c r="AE710" s="89" t="s">
        <v>646</v>
      </c>
      <c r="AF710" s="89" t="s">
        <v>23226</v>
      </c>
      <c r="AG710" s="89" t="s">
        <v>646</v>
      </c>
      <c r="AH710" s="89" t="s">
        <v>646</v>
      </c>
      <c r="AI710" s="89" t="s">
        <v>646</v>
      </c>
      <c r="AJ710" s="89" t="s">
        <v>646</v>
      </c>
      <c r="AK710" s="89" t="s">
        <v>646</v>
      </c>
      <c r="AL710" s="89" t="s">
        <v>23227</v>
      </c>
      <c r="AM710" s="89" t="s">
        <v>646</v>
      </c>
      <c r="AN710" s="89" t="s">
        <v>646</v>
      </c>
      <c r="AO710" s="89" t="s">
        <v>646</v>
      </c>
      <c r="AP710" s="89" t="s">
        <v>646</v>
      </c>
      <c r="AQ710" s="89" t="s">
        <v>646</v>
      </c>
      <c r="AR710" s="89" t="s">
        <v>646</v>
      </c>
      <c r="AS710" s="89" t="s">
        <v>646</v>
      </c>
      <c r="AT710" s="89" t="s">
        <v>646</v>
      </c>
      <c r="AU710" s="89" t="s">
        <v>646</v>
      </c>
      <c r="AV710" s="89" t="s">
        <v>646</v>
      </c>
      <c r="AW710" s="89" t="s">
        <v>646</v>
      </c>
      <c r="AX710" s="89" t="s">
        <v>646</v>
      </c>
      <c r="AY710" s="89" t="s">
        <v>646</v>
      </c>
      <c r="AZ710" s="89" t="s">
        <v>17657</v>
      </c>
      <c r="BA710" s="89" t="s">
        <v>646</v>
      </c>
      <c r="BB710" s="89" t="s">
        <v>646</v>
      </c>
      <c r="BC710" s="89" t="s">
        <v>646</v>
      </c>
      <c r="BD710" s="89" t="s">
        <v>17823</v>
      </c>
      <c r="BE710" s="89">
        <v>2022</v>
      </c>
      <c r="BF710" s="89">
        <v>11</v>
      </c>
      <c r="BG710" s="89">
        <v>4</v>
      </c>
      <c r="BH710" s="89" t="s">
        <v>646</v>
      </c>
      <c r="BI710" s="89" t="s">
        <v>646</v>
      </c>
      <c r="BJ710" s="89" t="s">
        <v>646</v>
      </c>
      <c r="BK710" s="89" t="s">
        <v>646</v>
      </c>
      <c r="BL710" s="89" t="s">
        <v>646</v>
      </c>
      <c r="BM710" s="89" t="s">
        <v>646</v>
      </c>
      <c r="BN710" s="89">
        <v>223</v>
      </c>
      <c r="BO710" s="89" t="str">
        <f>HYPERLINK("http://dx.doi.org/10.3390/ijgi11040223","http://dx.doi.org/10.3390/ijgi11040223")</f>
        <v>http://dx.doi.org/10.3390/ijgi11040223</v>
      </c>
      <c r="BP710" s="89" t="s">
        <v>646</v>
      </c>
      <c r="BQ710" s="89" t="s">
        <v>646</v>
      </c>
      <c r="BR710" s="89" t="s">
        <v>646</v>
      </c>
      <c r="BS710" s="89" t="s">
        <v>646</v>
      </c>
      <c r="BT710" s="89" t="s">
        <v>646</v>
      </c>
      <c r="BU710" s="89" t="s">
        <v>646</v>
      </c>
      <c r="BV710" s="89" t="s">
        <v>646</v>
      </c>
      <c r="BW710" s="89" t="s">
        <v>646</v>
      </c>
      <c r="BX710" s="89" t="s">
        <v>646</v>
      </c>
      <c r="BY710" s="89" t="s">
        <v>646</v>
      </c>
      <c r="BZ710" s="89" t="s">
        <v>646</v>
      </c>
      <c r="CA710" s="89" t="s">
        <v>646</v>
      </c>
      <c r="CB710" s="89" t="s">
        <v>23228</v>
      </c>
      <c r="CC710" s="89" t="str">
        <f>HYPERLINK("https%3A%2F%2Fwww.webofscience.com%2Fwos%2Fwoscc%2Ffull-record%2FWOS:000786374400001","View Full Record in Web of Science")</f>
        <v>View Full Record in Web of Science</v>
      </c>
    </row>
    <row r="711" spans="1:81" ht="13.2" hidden="1" x14ac:dyDescent="0.25">
      <c r="A711" s="89" t="s">
        <v>23229</v>
      </c>
      <c r="B711" s="89" t="e">
        <f>+#REF!</f>
        <v>#REF!</v>
      </c>
      <c r="C711" s="89"/>
      <c r="D711" s="91" t="s">
        <v>717</v>
      </c>
      <c r="E711" s="90" t="e">
        <v>#REF!</v>
      </c>
      <c r="F711" s="89"/>
      <c r="G711" s="89"/>
      <c r="H711" s="89" t="s">
        <v>646</v>
      </c>
      <c r="I711" s="89" t="s">
        <v>23230</v>
      </c>
      <c r="J711" s="89" t="s">
        <v>23232</v>
      </c>
      <c r="K711" s="89" t="s">
        <v>23231</v>
      </c>
      <c r="M711" s="89">
        <v>2018</v>
      </c>
      <c r="N711" s="89" t="s">
        <v>22312</v>
      </c>
      <c r="O711" s="89" t="s">
        <v>17826</v>
      </c>
      <c r="P711" s="89" t="s">
        <v>646</v>
      </c>
      <c r="S711" s="89" t="s">
        <v>646</v>
      </c>
      <c r="U711" s="89" t="s">
        <v>17474</v>
      </c>
      <c r="W711" s="89" t="s">
        <v>646</v>
      </c>
      <c r="X711" s="89" t="s">
        <v>646</v>
      </c>
      <c r="Y711" s="89" t="s">
        <v>22313</v>
      </c>
      <c r="Z711" s="89" t="s">
        <v>22314</v>
      </c>
      <c r="AA711" s="89" t="s">
        <v>17831</v>
      </c>
      <c r="AB711" s="89" t="s">
        <v>17832</v>
      </c>
      <c r="AC711" s="89" t="s">
        <v>646</v>
      </c>
      <c r="AD711" s="89" t="s">
        <v>646</v>
      </c>
      <c r="AE711" s="89" t="s">
        <v>646</v>
      </c>
      <c r="AF711" s="89" t="s">
        <v>23231</v>
      </c>
      <c r="AG711" s="89" t="s">
        <v>646</v>
      </c>
      <c r="AH711" s="89" t="s">
        <v>646</v>
      </c>
      <c r="AI711" s="89" t="s">
        <v>646</v>
      </c>
      <c r="AJ711" s="89" t="s">
        <v>646</v>
      </c>
      <c r="AK711" s="89" t="s">
        <v>23232</v>
      </c>
      <c r="AL711" s="89" t="s">
        <v>23233</v>
      </c>
      <c r="AM711" s="89" t="s">
        <v>646</v>
      </c>
      <c r="AN711" s="89" t="s">
        <v>646</v>
      </c>
      <c r="AO711" s="89" t="s">
        <v>646</v>
      </c>
      <c r="AP711" s="89" t="s">
        <v>646</v>
      </c>
      <c r="AQ711" s="89" t="s">
        <v>646</v>
      </c>
      <c r="AR711" s="89" t="s">
        <v>646</v>
      </c>
      <c r="AS711" s="89" t="s">
        <v>646</v>
      </c>
      <c r="AT711" s="89" t="s">
        <v>646</v>
      </c>
      <c r="AU711" s="89" t="s">
        <v>646</v>
      </c>
      <c r="AV711" s="89" t="s">
        <v>646</v>
      </c>
      <c r="AW711" s="89" t="s">
        <v>646</v>
      </c>
      <c r="AX711" s="89" t="s">
        <v>646</v>
      </c>
      <c r="AY711" s="89" t="s">
        <v>646</v>
      </c>
      <c r="AZ711" s="89" t="s">
        <v>646</v>
      </c>
      <c r="BA711" s="89" t="s">
        <v>22316</v>
      </c>
      <c r="BB711" s="89" t="s">
        <v>646</v>
      </c>
      <c r="BC711" s="89" t="s">
        <v>646</v>
      </c>
      <c r="BD711" s="89" t="s">
        <v>646</v>
      </c>
      <c r="BE711" s="89">
        <v>2018</v>
      </c>
      <c r="BF711" s="89" t="s">
        <v>646</v>
      </c>
      <c r="BG711" s="89" t="s">
        <v>646</v>
      </c>
      <c r="BH711" s="89" t="s">
        <v>646</v>
      </c>
      <c r="BI711" s="89" t="s">
        <v>646</v>
      </c>
      <c r="BJ711" s="89" t="s">
        <v>646</v>
      </c>
      <c r="BK711" s="89" t="s">
        <v>646</v>
      </c>
      <c r="BL711" s="89">
        <v>2265</v>
      </c>
      <c r="BM711" s="89">
        <v>2288</v>
      </c>
      <c r="BN711" s="89" t="s">
        <v>646</v>
      </c>
      <c r="BO711" s="89" t="s">
        <v>646</v>
      </c>
      <c r="BP711" s="89" t="s">
        <v>646</v>
      </c>
      <c r="BQ711" s="89" t="s">
        <v>646</v>
      </c>
      <c r="BR711" s="89" t="s">
        <v>646</v>
      </c>
      <c r="BS711" s="89" t="s">
        <v>646</v>
      </c>
      <c r="BT711" s="89" t="s">
        <v>646</v>
      </c>
      <c r="BU711" s="89" t="s">
        <v>646</v>
      </c>
      <c r="BV711" s="89" t="s">
        <v>646</v>
      </c>
      <c r="BW711" s="89" t="s">
        <v>646</v>
      </c>
      <c r="BX711" s="89" t="s">
        <v>646</v>
      </c>
      <c r="BY711" s="89" t="s">
        <v>646</v>
      </c>
      <c r="BZ711" s="89" t="s">
        <v>646</v>
      </c>
      <c r="CA711" s="89" t="s">
        <v>646</v>
      </c>
      <c r="CB711" s="89" t="s">
        <v>23234</v>
      </c>
      <c r="CC711" s="89" t="str">
        <f>HYPERLINK("https%3A%2F%2Fwww.webofscience.com%2Fwos%2Fwoscc%2Ffull-record%2FWOS:000508553203036","View Full Record in Web of Science")</f>
        <v>View Full Record in Web of Science</v>
      </c>
    </row>
    <row r="712" spans="1:81" ht="13.2" hidden="1" x14ac:dyDescent="0.25">
      <c r="A712" s="89" t="s">
        <v>1057</v>
      </c>
      <c r="B712" s="89" t="e">
        <f>+#REF!</f>
        <v>#REF!</v>
      </c>
      <c r="C712" s="89"/>
      <c r="D712" s="91" t="s">
        <v>717</v>
      </c>
      <c r="E712" s="90" t="e">
        <v>#REF!</v>
      </c>
      <c r="F712" s="89"/>
      <c r="G712" s="89"/>
      <c r="H712" s="89" t="s">
        <v>1059</v>
      </c>
      <c r="I712" s="89" t="s">
        <v>23235</v>
      </c>
      <c r="J712" s="89" t="s">
        <v>646</v>
      </c>
      <c r="K712" s="89" t="s">
        <v>23236</v>
      </c>
      <c r="M712" s="89">
        <v>2007</v>
      </c>
      <c r="N712" s="89" t="s">
        <v>20245</v>
      </c>
      <c r="O712" s="89" t="s">
        <v>646</v>
      </c>
      <c r="P712" s="89" t="str">
        <f>HYPERLINK("http://dx.doi.org/10.1007/s10664-007-9047-3","http://dx.doi.org/10.1007/s10664-007-9047-3")</f>
        <v>http://dx.doi.org/10.1007/s10664-007-9047-3</v>
      </c>
      <c r="S712" s="89" t="s">
        <v>646</v>
      </c>
      <c r="U712" s="89" t="s">
        <v>17462</v>
      </c>
      <c r="W712" s="89" t="s">
        <v>646</v>
      </c>
      <c r="X712" s="89" t="s">
        <v>646</v>
      </c>
      <c r="Y712" s="89" t="s">
        <v>646</v>
      </c>
      <c r="Z712" s="89" t="s">
        <v>646</v>
      </c>
      <c r="AA712" s="89" t="s">
        <v>646</v>
      </c>
      <c r="AB712" s="89" t="s">
        <v>646</v>
      </c>
      <c r="AC712" s="89" t="s">
        <v>646</v>
      </c>
      <c r="AD712" s="89" t="s">
        <v>646</v>
      </c>
      <c r="AE712" s="89" t="s">
        <v>646</v>
      </c>
      <c r="AF712" s="89" t="s">
        <v>23236</v>
      </c>
      <c r="AG712" s="89" t="s">
        <v>646</v>
      </c>
      <c r="AH712" s="89" t="s">
        <v>646</v>
      </c>
      <c r="AI712" s="89" t="s">
        <v>646</v>
      </c>
      <c r="AJ712" s="89" t="s">
        <v>646</v>
      </c>
      <c r="AK712" s="89" t="s">
        <v>646</v>
      </c>
      <c r="AL712" s="89" t="s">
        <v>646</v>
      </c>
      <c r="AM712" s="89" t="s">
        <v>646</v>
      </c>
      <c r="AN712" s="89" t="s">
        <v>646</v>
      </c>
      <c r="AO712" s="89" t="s">
        <v>646</v>
      </c>
      <c r="AP712" s="89" t="s">
        <v>646</v>
      </c>
      <c r="AQ712" s="89" t="s">
        <v>646</v>
      </c>
      <c r="AR712" s="89" t="s">
        <v>646</v>
      </c>
      <c r="AS712" s="89" t="s">
        <v>646</v>
      </c>
      <c r="AT712" s="89" t="s">
        <v>646</v>
      </c>
      <c r="AU712" s="89" t="s">
        <v>646</v>
      </c>
      <c r="AV712" s="89" t="s">
        <v>646</v>
      </c>
      <c r="AW712" s="89" t="s">
        <v>646</v>
      </c>
      <c r="AX712" s="89" t="s">
        <v>646</v>
      </c>
      <c r="AY712" s="89" t="s">
        <v>20249</v>
      </c>
      <c r="AZ712" s="89" t="s">
        <v>20250</v>
      </c>
      <c r="BA712" s="89" t="s">
        <v>646</v>
      </c>
      <c r="BB712" s="89" t="s">
        <v>646</v>
      </c>
      <c r="BC712" s="89" t="s">
        <v>646</v>
      </c>
      <c r="BD712" s="89" t="s">
        <v>17615</v>
      </c>
      <c r="BE712" s="89">
        <v>2007</v>
      </c>
      <c r="BF712" s="89">
        <v>12</v>
      </c>
      <c r="BG712" s="89">
        <v>6</v>
      </c>
      <c r="BH712" s="89" t="s">
        <v>646</v>
      </c>
      <c r="BI712" s="89" t="s">
        <v>646</v>
      </c>
      <c r="BJ712" s="89" t="s">
        <v>646</v>
      </c>
      <c r="BK712" s="89" t="s">
        <v>646</v>
      </c>
      <c r="BL712" s="89">
        <v>647</v>
      </c>
      <c r="BM712" s="89">
        <v>660</v>
      </c>
      <c r="BN712" s="89" t="s">
        <v>646</v>
      </c>
      <c r="BO712" s="89" t="str">
        <f>HYPERLINK("http://dx.doi.org/10.1007/s10664-007-9047-3","http://dx.doi.org/10.1007/s10664-007-9047-3")</f>
        <v>http://dx.doi.org/10.1007/s10664-007-9047-3</v>
      </c>
      <c r="BP712" s="89" t="s">
        <v>646</v>
      </c>
      <c r="BQ712" s="89" t="s">
        <v>646</v>
      </c>
      <c r="BR712" s="89" t="s">
        <v>646</v>
      </c>
      <c r="BS712" s="89" t="s">
        <v>646</v>
      </c>
      <c r="BT712" s="89" t="s">
        <v>646</v>
      </c>
      <c r="BU712" s="89" t="s">
        <v>646</v>
      </c>
      <c r="BV712" s="89" t="s">
        <v>646</v>
      </c>
      <c r="BW712" s="89" t="s">
        <v>646</v>
      </c>
      <c r="BX712" s="89" t="s">
        <v>646</v>
      </c>
      <c r="BY712" s="89" t="s">
        <v>646</v>
      </c>
      <c r="BZ712" s="89" t="s">
        <v>646</v>
      </c>
      <c r="CA712" s="89" t="s">
        <v>646</v>
      </c>
      <c r="CB712" s="89" t="s">
        <v>23237</v>
      </c>
      <c r="CC712" s="89" t="str">
        <f>HYPERLINK("https%3A%2F%2Fwww.webofscience.com%2Fwos%2Fwoscc%2Ffull-record%2FWOS:000250592200004","View Full Record in Web of Science")</f>
        <v>View Full Record in Web of Science</v>
      </c>
    </row>
    <row r="713" spans="1:81" ht="13.2" hidden="1" x14ac:dyDescent="0.25">
      <c r="A713" s="89" t="s">
        <v>10053</v>
      </c>
      <c r="B713" s="89" t="e">
        <f>+#REF!</f>
        <v>#REF!</v>
      </c>
      <c r="C713" s="89"/>
      <c r="D713" s="91" t="s">
        <v>717</v>
      </c>
      <c r="E713" s="90" t="e">
        <v>#REF!</v>
      </c>
      <c r="F713" s="89"/>
      <c r="G713" s="89"/>
      <c r="H713" s="89" t="s">
        <v>10054</v>
      </c>
      <c r="I713" s="89" t="s">
        <v>23239</v>
      </c>
      <c r="J713" s="89" t="s">
        <v>23247</v>
      </c>
      <c r="K713" s="89" t="s">
        <v>23246</v>
      </c>
      <c r="M713" s="89">
        <v>2021</v>
      </c>
      <c r="N713" s="89" t="s">
        <v>23240</v>
      </c>
      <c r="O713" s="89" t="s">
        <v>23238</v>
      </c>
      <c r="P713" s="89" t="str">
        <f>HYPERLINK("http://dx.doi.org/10.1007/978-3-030-75762-5_51","http://dx.doi.org/10.1007/978-3-030-75762-5_51")</f>
        <v>http://dx.doi.org/10.1007/978-3-030-75762-5_51</v>
      </c>
      <c r="S713" s="89" t="s">
        <v>646</v>
      </c>
      <c r="U713" s="89" t="s">
        <v>17474</v>
      </c>
      <c r="W713" s="89" t="s">
        <v>646</v>
      </c>
      <c r="X713" s="89" t="s">
        <v>646</v>
      </c>
      <c r="Y713" s="89" t="s">
        <v>23241</v>
      </c>
      <c r="Z713" s="89" t="s">
        <v>23242</v>
      </c>
      <c r="AA713" s="89" t="s">
        <v>23243</v>
      </c>
      <c r="AB713" s="89" t="s">
        <v>23244</v>
      </c>
      <c r="AC713" s="89" t="s">
        <v>23245</v>
      </c>
      <c r="AD713" s="89" t="s">
        <v>646</v>
      </c>
      <c r="AE713" s="89" t="s">
        <v>646</v>
      </c>
      <c r="AF713" s="89" t="s">
        <v>23246</v>
      </c>
      <c r="AG713" s="89" t="s">
        <v>646</v>
      </c>
      <c r="AH713" s="89" t="s">
        <v>646</v>
      </c>
      <c r="AI713" s="89" t="s">
        <v>646</v>
      </c>
      <c r="AJ713" s="89" t="s">
        <v>646</v>
      </c>
      <c r="AK713" s="89" t="s">
        <v>23247</v>
      </c>
      <c r="AL713" s="89" t="s">
        <v>23248</v>
      </c>
      <c r="AM713" s="89" t="s">
        <v>646</v>
      </c>
      <c r="AN713" s="89" t="s">
        <v>646</v>
      </c>
      <c r="AO713" s="89" t="s">
        <v>646</v>
      </c>
      <c r="AP713" s="89" t="s">
        <v>646</v>
      </c>
      <c r="AQ713" s="89" t="s">
        <v>646</v>
      </c>
      <c r="AR713" s="89" t="s">
        <v>646</v>
      </c>
      <c r="AS713" s="89" t="s">
        <v>646</v>
      </c>
      <c r="AT713" s="89" t="s">
        <v>646</v>
      </c>
      <c r="AU713" s="89" t="s">
        <v>646</v>
      </c>
      <c r="AV713" s="89" t="s">
        <v>646</v>
      </c>
      <c r="AW713" s="89" t="s">
        <v>646</v>
      </c>
      <c r="AX713" s="89" t="s">
        <v>646</v>
      </c>
      <c r="AY713" s="89" t="s">
        <v>18367</v>
      </c>
      <c r="AZ713" s="89" t="s">
        <v>18884</v>
      </c>
      <c r="BA713" s="89" t="s">
        <v>23249</v>
      </c>
      <c r="BB713" s="89" t="s">
        <v>646</v>
      </c>
      <c r="BC713" s="89" t="s">
        <v>646</v>
      </c>
      <c r="BD713" s="89" t="s">
        <v>646</v>
      </c>
      <c r="BE713" s="89">
        <v>2021</v>
      </c>
      <c r="BF713" s="89">
        <v>12712</v>
      </c>
      <c r="BG713" s="89" t="s">
        <v>646</v>
      </c>
      <c r="BH713" s="89" t="s">
        <v>646</v>
      </c>
      <c r="BI713" s="89" t="s">
        <v>646</v>
      </c>
      <c r="BJ713" s="89" t="s">
        <v>646</v>
      </c>
      <c r="BK713" s="89" t="s">
        <v>646</v>
      </c>
      <c r="BL713" s="89">
        <v>642</v>
      </c>
      <c r="BM713" s="89">
        <v>654</v>
      </c>
      <c r="BN713" s="89" t="s">
        <v>646</v>
      </c>
      <c r="BO713" s="89" t="str">
        <f>HYPERLINK("http://dx.doi.org/10.1007/978-3-030-75762-5_51","http://dx.doi.org/10.1007/978-3-030-75762-5_51")</f>
        <v>http://dx.doi.org/10.1007/978-3-030-75762-5_51</v>
      </c>
      <c r="BP713" s="89" t="s">
        <v>646</v>
      </c>
      <c r="BQ713" s="89" t="s">
        <v>646</v>
      </c>
      <c r="BR713" s="89" t="s">
        <v>646</v>
      </c>
      <c r="BS713" s="89" t="s">
        <v>646</v>
      </c>
      <c r="BT713" s="89" t="s">
        <v>646</v>
      </c>
      <c r="BU713" s="89" t="s">
        <v>646</v>
      </c>
      <c r="BV713" s="89" t="s">
        <v>646</v>
      </c>
      <c r="BW713" s="89" t="s">
        <v>646</v>
      </c>
      <c r="BX713" s="89" t="s">
        <v>646</v>
      </c>
      <c r="BY713" s="89" t="s">
        <v>646</v>
      </c>
      <c r="BZ713" s="89" t="s">
        <v>646</v>
      </c>
      <c r="CA713" s="89" t="s">
        <v>646</v>
      </c>
      <c r="CB713" s="89" t="s">
        <v>23250</v>
      </c>
      <c r="CC713" s="89" t="str">
        <f>HYPERLINK("https%3A%2F%2Fwww.webofscience.com%2Fwos%2Fwoscc%2Ffull-record%2FWOS:000719253600051","View Full Record in Web of Science")</f>
        <v>View Full Record in Web of Science</v>
      </c>
    </row>
    <row r="714" spans="1:81" ht="13.2" hidden="1" x14ac:dyDescent="0.25">
      <c r="A714" s="89" t="s">
        <v>10062</v>
      </c>
      <c r="B714" s="89" t="e">
        <f>+#REF!</f>
        <v>#REF!</v>
      </c>
      <c r="C714" s="89"/>
      <c r="D714" s="91" t="s">
        <v>717</v>
      </c>
      <c r="E714" s="90" t="e">
        <v>#REF!</v>
      </c>
      <c r="F714" s="89"/>
      <c r="G714" s="89"/>
      <c r="H714" s="89" t="s">
        <v>10063</v>
      </c>
      <c r="I714" s="89" t="s">
        <v>23251</v>
      </c>
      <c r="J714" s="89" t="s">
        <v>23253</v>
      </c>
      <c r="K714" s="89" t="s">
        <v>23252</v>
      </c>
      <c r="M714" s="89">
        <v>2022</v>
      </c>
      <c r="N714" s="89" t="s">
        <v>22665</v>
      </c>
      <c r="O714" s="89" t="s">
        <v>646</v>
      </c>
      <c r="P714" s="89" t="str">
        <f>HYPERLINK("http://dx.doi.org/10.1177/00914150211026548","http://dx.doi.org/10.1177/00914150211026548")</f>
        <v>http://dx.doi.org/10.1177/00914150211026548</v>
      </c>
      <c r="S714" s="89" t="s">
        <v>646</v>
      </c>
      <c r="U714" s="89" t="s">
        <v>17462</v>
      </c>
      <c r="W714" s="89" t="s">
        <v>646</v>
      </c>
      <c r="X714" s="89" t="s">
        <v>646</v>
      </c>
      <c r="Y714" s="89" t="s">
        <v>646</v>
      </c>
      <c r="Z714" s="89" t="s">
        <v>646</v>
      </c>
      <c r="AA714" s="89" t="s">
        <v>646</v>
      </c>
      <c r="AB714" s="89" t="s">
        <v>646</v>
      </c>
      <c r="AC714" s="89" t="s">
        <v>646</v>
      </c>
      <c r="AD714" s="89" t="s">
        <v>646</v>
      </c>
      <c r="AE714" s="89" t="s">
        <v>646</v>
      </c>
      <c r="AF714" s="89" t="s">
        <v>23252</v>
      </c>
      <c r="AG714" s="89" t="s">
        <v>646</v>
      </c>
      <c r="AH714" s="89" t="s">
        <v>646</v>
      </c>
      <c r="AI714" s="89" t="s">
        <v>646</v>
      </c>
      <c r="AJ714" s="89" t="s">
        <v>646</v>
      </c>
      <c r="AK714" s="89" t="s">
        <v>23253</v>
      </c>
      <c r="AL714" s="89" t="s">
        <v>23254</v>
      </c>
      <c r="AM714" s="89" t="s">
        <v>646</v>
      </c>
      <c r="AN714" s="89" t="s">
        <v>646</v>
      </c>
      <c r="AO714" s="89" t="s">
        <v>646</v>
      </c>
      <c r="AP714" s="89" t="s">
        <v>646</v>
      </c>
      <c r="AQ714" s="89" t="s">
        <v>646</v>
      </c>
      <c r="AR714" s="89" t="s">
        <v>646</v>
      </c>
      <c r="AS714" s="89" t="s">
        <v>646</v>
      </c>
      <c r="AT714" s="89" t="s">
        <v>646</v>
      </c>
      <c r="AU714" s="89" t="s">
        <v>646</v>
      </c>
      <c r="AV714" s="89" t="s">
        <v>646</v>
      </c>
      <c r="AW714" s="89" t="s">
        <v>646</v>
      </c>
      <c r="AX714" s="89" t="s">
        <v>646</v>
      </c>
      <c r="AY714" s="89" t="s">
        <v>22668</v>
      </c>
      <c r="AZ714" s="89" t="s">
        <v>22669</v>
      </c>
      <c r="BA714" s="89" t="s">
        <v>646</v>
      </c>
      <c r="BB714" s="89" t="s">
        <v>646</v>
      </c>
      <c r="BC714" s="89" t="s">
        <v>646</v>
      </c>
      <c r="BD714" s="89" t="s">
        <v>17772</v>
      </c>
      <c r="BE714" s="89">
        <v>2022</v>
      </c>
      <c r="BF714" s="89">
        <v>94</v>
      </c>
      <c r="BG714" s="89">
        <v>4</v>
      </c>
      <c r="BH714" s="89" t="s">
        <v>646</v>
      </c>
      <c r="BI714" s="89" t="s">
        <v>646</v>
      </c>
      <c r="BJ714" s="89" t="s">
        <v>646</v>
      </c>
      <c r="BK714" s="89" t="s">
        <v>646</v>
      </c>
      <c r="BL714" s="89">
        <v>459</v>
      </c>
      <c r="BM714" s="89">
        <v>477</v>
      </c>
      <c r="BN714" s="89">
        <v>914150211026548</v>
      </c>
      <c r="BO714" s="89" t="str">
        <f>HYPERLINK("http://dx.doi.org/10.1177/00914150211026548","http://dx.doi.org/10.1177/00914150211026548")</f>
        <v>http://dx.doi.org/10.1177/00914150211026548</v>
      </c>
      <c r="BP714" s="89" t="s">
        <v>646</v>
      </c>
      <c r="BQ714" s="89" t="s">
        <v>17906</v>
      </c>
      <c r="BR714" s="89" t="s">
        <v>646</v>
      </c>
      <c r="BS714" s="89" t="s">
        <v>646</v>
      </c>
      <c r="BT714" s="89" t="s">
        <v>646</v>
      </c>
      <c r="BU714" s="89" t="s">
        <v>646</v>
      </c>
      <c r="BV714" s="89" t="s">
        <v>646</v>
      </c>
      <c r="BW714" s="89">
        <v>34192887</v>
      </c>
      <c r="BX714" s="89" t="s">
        <v>646</v>
      </c>
      <c r="BY714" s="89" t="s">
        <v>646</v>
      </c>
      <c r="BZ714" s="89" t="s">
        <v>646</v>
      </c>
      <c r="CA714" s="89" t="s">
        <v>646</v>
      </c>
      <c r="CB714" s="89" t="s">
        <v>23255</v>
      </c>
      <c r="CC714" s="89" t="str">
        <f>HYPERLINK("https%3A%2F%2Fwww.webofscience.com%2Fwos%2Fwoscc%2Ffull-record%2FWOS:000670737800001","View Full Record in Web of Science")</f>
        <v>View Full Record in Web of Science</v>
      </c>
    </row>
    <row r="715" spans="1:81" ht="13.2" hidden="1" x14ac:dyDescent="0.25">
      <c r="A715" s="89" t="s">
        <v>23256</v>
      </c>
      <c r="B715" s="89" t="e">
        <f>+#REF!</f>
        <v>#REF!</v>
      </c>
      <c r="C715" s="89"/>
      <c r="D715" s="91" t="s">
        <v>717</v>
      </c>
      <c r="E715" s="90" t="e">
        <v>#REF!</v>
      </c>
      <c r="F715" s="89"/>
      <c r="G715" s="89"/>
      <c r="H715" s="89" t="s">
        <v>646</v>
      </c>
      <c r="I715" s="89" t="s">
        <v>23258</v>
      </c>
      <c r="J715" s="89" t="s">
        <v>23263</v>
      </c>
      <c r="K715" s="89" t="s">
        <v>23262</v>
      </c>
      <c r="M715" s="89">
        <v>2013</v>
      </c>
      <c r="N715" s="89" t="s">
        <v>23259</v>
      </c>
      <c r="O715" s="89" t="s">
        <v>23257</v>
      </c>
      <c r="P715" s="89" t="s">
        <v>646</v>
      </c>
      <c r="S715" s="89" t="s">
        <v>646</v>
      </c>
      <c r="U715" s="89" t="s">
        <v>17474</v>
      </c>
      <c r="W715" s="89" t="s">
        <v>646</v>
      </c>
      <c r="X715" s="89" t="s">
        <v>646</v>
      </c>
      <c r="Y715" s="89" t="s">
        <v>23260</v>
      </c>
      <c r="Z715" s="89" t="s">
        <v>23261</v>
      </c>
      <c r="AA715" s="89" t="s">
        <v>19723</v>
      </c>
      <c r="AB715" s="89" t="s">
        <v>20525</v>
      </c>
      <c r="AC715" s="89" t="s">
        <v>646</v>
      </c>
      <c r="AD715" s="89" t="s">
        <v>646</v>
      </c>
      <c r="AE715" s="89" t="s">
        <v>646</v>
      </c>
      <c r="AF715" s="89" t="s">
        <v>23262</v>
      </c>
      <c r="AG715" s="89" t="s">
        <v>646</v>
      </c>
      <c r="AH715" s="89" t="s">
        <v>646</v>
      </c>
      <c r="AI715" s="89" t="s">
        <v>646</v>
      </c>
      <c r="AJ715" s="89" t="s">
        <v>646</v>
      </c>
      <c r="AK715" s="89" t="s">
        <v>23263</v>
      </c>
      <c r="AL715" s="89" t="s">
        <v>646</v>
      </c>
      <c r="AM715" s="89" t="s">
        <v>646</v>
      </c>
      <c r="AN715" s="89" t="s">
        <v>646</v>
      </c>
      <c r="AO715" s="89" t="s">
        <v>646</v>
      </c>
      <c r="AP715" s="89" t="s">
        <v>646</v>
      </c>
      <c r="AQ715" s="89" t="s">
        <v>646</v>
      </c>
      <c r="AR715" s="89" t="s">
        <v>646</v>
      </c>
      <c r="AS715" s="89" t="s">
        <v>646</v>
      </c>
      <c r="AT715" s="89" t="s">
        <v>646</v>
      </c>
      <c r="AU715" s="89" t="s">
        <v>646</v>
      </c>
      <c r="AV715" s="89" t="s">
        <v>646</v>
      </c>
      <c r="AW715" s="89" t="s">
        <v>646</v>
      </c>
      <c r="AX715" s="89" t="s">
        <v>646</v>
      </c>
      <c r="AY715" s="89" t="s">
        <v>21948</v>
      </c>
      <c r="AZ715" s="89" t="s">
        <v>646</v>
      </c>
      <c r="BA715" s="89" t="s">
        <v>23264</v>
      </c>
      <c r="BB715" s="89" t="s">
        <v>646</v>
      </c>
      <c r="BC715" s="89" t="s">
        <v>646</v>
      </c>
      <c r="BD715" s="89" t="s">
        <v>646</v>
      </c>
      <c r="BE715" s="89">
        <v>2013</v>
      </c>
      <c r="BF715" s="89" t="s">
        <v>646</v>
      </c>
      <c r="BG715" s="89" t="s">
        <v>646</v>
      </c>
      <c r="BH715" s="89" t="s">
        <v>646</v>
      </c>
      <c r="BI715" s="89" t="s">
        <v>646</v>
      </c>
      <c r="BJ715" s="89" t="s">
        <v>646</v>
      </c>
      <c r="BK715" s="89" t="s">
        <v>646</v>
      </c>
      <c r="BL715" s="89">
        <v>149</v>
      </c>
      <c r="BM715" s="89">
        <v>158</v>
      </c>
      <c r="BN715" s="89" t="s">
        <v>646</v>
      </c>
      <c r="BO715" s="89" t="s">
        <v>646</v>
      </c>
      <c r="BP715" s="89" t="s">
        <v>646</v>
      </c>
      <c r="BQ715" s="89" t="s">
        <v>646</v>
      </c>
      <c r="BR715" s="89" t="s">
        <v>646</v>
      </c>
      <c r="BS715" s="89" t="s">
        <v>646</v>
      </c>
      <c r="BT715" s="89" t="s">
        <v>646</v>
      </c>
      <c r="BU715" s="89" t="s">
        <v>646</v>
      </c>
      <c r="BV715" s="89" t="s">
        <v>646</v>
      </c>
      <c r="BW715" s="89" t="s">
        <v>646</v>
      </c>
      <c r="BX715" s="89" t="s">
        <v>646</v>
      </c>
      <c r="BY715" s="89" t="s">
        <v>646</v>
      </c>
      <c r="BZ715" s="89" t="s">
        <v>646</v>
      </c>
      <c r="CA715" s="89" t="s">
        <v>646</v>
      </c>
      <c r="CB715" s="89" t="s">
        <v>23265</v>
      </c>
      <c r="CC715" s="89" t="str">
        <f>HYPERLINK("https%3A%2F%2Fwww.webofscience.com%2Fwos%2Fwoscc%2Ffull-record%2FWOS:000328540900016","View Full Record in Web of Science")</f>
        <v>View Full Record in Web of Science</v>
      </c>
    </row>
    <row r="716" spans="1:81" ht="13.2" hidden="1" x14ac:dyDescent="0.25">
      <c r="A716" s="89" t="s">
        <v>14408</v>
      </c>
      <c r="B716" s="89" t="e">
        <f>+#REF!</f>
        <v>#REF!</v>
      </c>
      <c r="C716" s="89"/>
      <c r="D716" s="91" t="s">
        <v>717</v>
      </c>
      <c r="E716" s="90" t="e">
        <v>#REF!</v>
      </c>
      <c r="F716" s="89"/>
      <c r="G716" s="89"/>
      <c r="H716" s="89" t="s">
        <v>646</v>
      </c>
      <c r="I716" s="89" t="s">
        <v>23266</v>
      </c>
      <c r="J716" s="89" t="s">
        <v>23273</v>
      </c>
      <c r="K716" s="89" t="s">
        <v>23272</v>
      </c>
      <c r="M716" s="89">
        <v>2019</v>
      </c>
      <c r="N716" s="89" t="s">
        <v>23267</v>
      </c>
      <c r="O716" s="89" t="s">
        <v>646</v>
      </c>
      <c r="P716" s="89" t="s">
        <v>646</v>
      </c>
      <c r="S716" s="89" t="s">
        <v>17475</v>
      </c>
      <c r="U716" s="89" t="s">
        <v>17474</v>
      </c>
      <c r="W716" s="89" t="s">
        <v>646</v>
      </c>
      <c r="X716" s="89" t="s">
        <v>646</v>
      </c>
      <c r="Y716" s="89" t="s">
        <v>23268</v>
      </c>
      <c r="Z716" s="89" t="s">
        <v>23269</v>
      </c>
      <c r="AA716" s="89" t="s">
        <v>23270</v>
      </c>
      <c r="AB716" s="89" t="s">
        <v>23271</v>
      </c>
      <c r="AC716" s="89" t="s">
        <v>646</v>
      </c>
      <c r="AD716" s="89" t="s">
        <v>646</v>
      </c>
      <c r="AE716" s="89" t="s">
        <v>646</v>
      </c>
      <c r="AF716" s="89" t="s">
        <v>23272</v>
      </c>
      <c r="AG716" s="89" t="s">
        <v>646</v>
      </c>
      <c r="AH716" s="89" t="s">
        <v>646</v>
      </c>
      <c r="AI716" s="89" t="s">
        <v>646</v>
      </c>
      <c r="AJ716" s="89" t="s">
        <v>646</v>
      </c>
      <c r="AK716" s="89" t="s">
        <v>23273</v>
      </c>
      <c r="AL716" s="89" t="s">
        <v>23274</v>
      </c>
      <c r="AM716" s="89" t="s">
        <v>646</v>
      </c>
      <c r="AN716" s="89" t="s">
        <v>646</v>
      </c>
      <c r="AO716" s="89" t="s">
        <v>646</v>
      </c>
      <c r="AP716" s="89" t="s">
        <v>646</v>
      </c>
      <c r="AQ716" s="89" t="s">
        <v>646</v>
      </c>
      <c r="AR716" s="89" t="s">
        <v>646</v>
      </c>
      <c r="AS716" s="89" t="s">
        <v>646</v>
      </c>
      <c r="AT716" s="89" t="s">
        <v>646</v>
      </c>
      <c r="AU716" s="89" t="s">
        <v>646</v>
      </c>
      <c r="AV716" s="89" t="s">
        <v>646</v>
      </c>
      <c r="AW716" s="89" t="s">
        <v>646</v>
      </c>
      <c r="AX716" s="89" t="s">
        <v>646</v>
      </c>
      <c r="AY716" s="89" t="s">
        <v>23275</v>
      </c>
      <c r="AZ716" s="89" t="s">
        <v>646</v>
      </c>
      <c r="BA716" s="89" t="s">
        <v>23276</v>
      </c>
      <c r="BB716" s="89" t="s">
        <v>646</v>
      </c>
      <c r="BC716" s="89" t="s">
        <v>646</v>
      </c>
      <c r="BD716" s="89" t="s">
        <v>646</v>
      </c>
      <c r="BE716" s="89">
        <v>2019</v>
      </c>
      <c r="BF716" s="89" t="s">
        <v>646</v>
      </c>
      <c r="BG716" s="89" t="s">
        <v>646</v>
      </c>
      <c r="BH716" s="89" t="s">
        <v>646</v>
      </c>
      <c r="BI716" s="89" t="s">
        <v>646</v>
      </c>
      <c r="BJ716" s="89" t="s">
        <v>646</v>
      </c>
      <c r="BK716" s="89" t="s">
        <v>646</v>
      </c>
      <c r="BL716" s="89">
        <v>202</v>
      </c>
      <c r="BM716" s="89">
        <v>212</v>
      </c>
      <c r="BN716" s="89" t="s">
        <v>646</v>
      </c>
      <c r="BO716" s="89" t="s">
        <v>646</v>
      </c>
      <c r="BP716" s="89" t="s">
        <v>646</v>
      </c>
      <c r="BQ716" s="89" t="s">
        <v>646</v>
      </c>
      <c r="BR716" s="89" t="s">
        <v>646</v>
      </c>
      <c r="BS716" s="89" t="s">
        <v>646</v>
      </c>
      <c r="BT716" s="89" t="s">
        <v>646</v>
      </c>
      <c r="BU716" s="89" t="s">
        <v>646</v>
      </c>
      <c r="BV716" s="89" t="s">
        <v>646</v>
      </c>
      <c r="BW716" s="89" t="s">
        <v>646</v>
      </c>
      <c r="BX716" s="89" t="s">
        <v>646</v>
      </c>
      <c r="BY716" s="89" t="s">
        <v>646</v>
      </c>
      <c r="BZ716" s="89" t="s">
        <v>646</v>
      </c>
      <c r="CA716" s="89" t="s">
        <v>646</v>
      </c>
      <c r="CB716" s="89" t="s">
        <v>23277</v>
      </c>
      <c r="CC716" s="89" t="str">
        <f>HYPERLINK("https%3A%2F%2Fwww.webofscience.com%2Fwos%2Fwoscc%2Ffull-record%2FWOS:000648806200025","View Full Record in Web of Science")</f>
        <v>View Full Record in Web of Science</v>
      </c>
    </row>
    <row r="717" spans="1:81" ht="13.2" hidden="1" x14ac:dyDescent="0.25">
      <c r="A717" s="89" t="s">
        <v>23278</v>
      </c>
      <c r="B717" s="89" t="e">
        <f>+#REF!</f>
        <v>#REF!</v>
      </c>
      <c r="C717" s="89"/>
      <c r="D717" s="91" t="s">
        <v>717</v>
      </c>
      <c r="E717" s="90" t="e">
        <v>#REF!</v>
      </c>
      <c r="F717" s="89"/>
      <c r="G717" s="89"/>
      <c r="H717" s="89" t="s">
        <v>14418</v>
      </c>
      <c r="I717" s="89" t="s">
        <v>23279</v>
      </c>
      <c r="J717" s="89" t="s">
        <v>646</v>
      </c>
      <c r="K717" s="89" t="s">
        <v>23281</v>
      </c>
      <c r="M717" s="89">
        <v>2020</v>
      </c>
      <c r="N717" s="89" t="s">
        <v>23280</v>
      </c>
      <c r="O717" s="89" t="s">
        <v>646</v>
      </c>
      <c r="P717" s="89" t="str">
        <f>HYPERLINK("http://dx.doi.org/10.1177/1527476418808029","http://dx.doi.org/10.1177/1527476418808029")</f>
        <v>http://dx.doi.org/10.1177/1527476418808029</v>
      </c>
      <c r="S717" s="89" t="s">
        <v>646</v>
      </c>
      <c r="U717" s="89" t="s">
        <v>17462</v>
      </c>
      <c r="W717" s="89" t="s">
        <v>646</v>
      </c>
      <c r="X717" s="89" t="s">
        <v>646</v>
      </c>
      <c r="Y717" s="89" t="s">
        <v>646</v>
      </c>
      <c r="Z717" s="89" t="s">
        <v>646</v>
      </c>
      <c r="AA717" s="89" t="s">
        <v>646</v>
      </c>
      <c r="AB717" s="89" t="s">
        <v>646</v>
      </c>
      <c r="AC717" s="89" t="s">
        <v>646</v>
      </c>
      <c r="AD717" s="89" t="s">
        <v>646</v>
      </c>
      <c r="AE717" s="89" t="s">
        <v>646</v>
      </c>
      <c r="AF717" s="89" t="s">
        <v>23281</v>
      </c>
      <c r="AG717" s="89" t="s">
        <v>646</v>
      </c>
      <c r="AH717" s="89" t="s">
        <v>646</v>
      </c>
      <c r="AI717" s="89" t="s">
        <v>646</v>
      </c>
      <c r="AJ717" s="89" t="s">
        <v>646</v>
      </c>
      <c r="AK717" s="89" t="s">
        <v>646</v>
      </c>
      <c r="AL717" s="89" t="s">
        <v>23282</v>
      </c>
      <c r="AM717" s="89" t="s">
        <v>646</v>
      </c>
      <c r="AN717" s="89" t="s">
        <v>646</v>
      </c>
      <c r="AO717" s="89" t="s">
        <v>646</v>
      </c>
      <c r="AP717" s="89" t="s">
        <v>646</v>
      </c>
      <c r="AQ717" s="89" t="s">
        <v>646</v>
      </c>
      <c r="AR717" s="89" t="s">
        <v>646</v>
      </c>
      <c r="AS717" s="89" t="s">
        <v>646</v>
      </c>
      <c r="AT717" s="89" t="s">
        <v>646</v>
      </c>
      <c r="AU717" s="89" t="s">
        <v>646</v>
      </c>
      <c r="AV717" s="89" t="s">
        <v>646</v>
      </c>
      <c r="AW717" s="89" t="s">
        <v>646</v>
      </c>
      <c r="AX717" s="89" t="s">
        <v>646</v>
      </c>
      <c r="AY717" s="89" t="s">
        <v>23283</v>
      </c>
      <c r="AZ717" s="89" t="s">
        <v>23284</v>
      </c>
      <c r="BA717" s="89" t="s">
        <v>646</v>
      </c>
      <c r="BB717" s="89" t="s">
        <v>646</v>
      </c>
      <c r="BC717" s="89" t="s">
        <v>646</v>
      </c>
      <c r="BD717" s="89" t="s">
        <v>17513</v>
      </c>
      <c r="BE717" s="89">
        <v>2020</v>
      </c>
      <c r="BF717" s="89">
        <v>21</v>
      </c>
      <c r="BG717" s="89">
        <v>1</v>
      </c>
      <c r="BH717" s="89" t="s">
        <v>646</v>
      </c>
      <c r="BI717" s="89" t="s">
        <v>646</v>
      </c>
      <c r="BJ717" s="89" t="s">
        <v>646</v>
      </c>
      <c r="BK717" s="89" t="s">
        <v>646</v>
      </c>
      <c r="BL717" s="89">
        <v>95</v>
      </c>
      <c r="BM717" s="89">
        <v>114</v>
      </c>
      <c r="BN717" s="89" t="s">
        <v>646</v>
      </c>
      <c r="BO717" s="89" t="str">
        <f>HYPERLINK("http://dx.doi.org/10.1177/1527476418808029","http://dx.doi.org/10.1177/1527476418808029")</f>
        <v>http://dx.doi.org/10.1177/1527476418808029</v>
      </c>
      <c r="BP717" s="89" t="s">
        <v>646</v>
      </c>
      <c r="BQ717" s="89" t="s">
        <v>646</v>
      </c>
      <c r="BR717" s="89" t="s">
        <v>646</v>
      </c>
      <c r="BS717" s="89" t="s">
        <v>646</v>
      </c>
      <c r="BT717" s="89" t="s">
        <v>646</v>
      </c>
      <c r="BU717" s="89" t="s">
        <v>646</v>
      </c>
      <c r="BV717" s="89" t="s">
        <v>646</v>
      </c>
      <c r="BW717" s="89" t="s">
        <v>646</v>
      </c>
      <c r="BX717" s="89" t="s">
        <v>646</v>
      </c>
      <c r="BY717" s="89" t="s">
        <v>646</v>
      </c>
      <c r="BZ717" s="89" t="s">
        <v>646</v>
      </c>
      <c r="CA717" s="89" t="s">
        <v>646</v>
      </c>
      <c r="CB717" s="89" t="s">
        <v>23285</v>
      </c>
      <c r="CC717" s="89" t="str">
        <f>HYPERLINK("https%3A%2F%2Fwww.webofscience.com%2Fwos%2Fwoscc%2Ffull-record%2FWOS:000499489700006","View Full Record in Web of Science")</f>
        <v>View Full Record in Web of Science</v>
      </c>
    </row>
    <row r="718" spans="1:81" ht="13.2" hidden="1" x14ac:dyDescent="0.25">
      <c r="A718" s="89" t="s">
        <v>23286</v>
      </c>
      <c r="B718" s="89" t="e">
        <f>+#REF!</f>
        <v>#REF!</v>
      </c>
      <c r="C718" s="89"/>
      <c r="D718" s="91" t="s">
        <v>717</v>
      </c>
      <c r="E718" s="90" t="e">
        <v>#REF!</v>
      </c>
      <c r="F718" s="89"/>
      <c r="G718" s="89"/>
      <c r="H718" s="89" t="s">
        <v>14428</v>
      </c>
      <c r="I718" s="89" t="s">
        <v>23287</v>
      </c>
      <c r="J718" s="89" t="s">
        <v>646</v>
      </c>
      <c r="K718" s="89" t="s">
        <v>23293</v>
      </c>
      <c r="M718" s="89">
        <v>2017</v>
      </c>
      <c r="N718" s="89" t="s">
        <v>20879</v>
      </c>
      <c r="O718" s="89" t="s">
        <v>646</v>
      </c>
      <c r="P718" s="89" t="str">
        <f>HYPERLINK("http://dx.doi.org/10.1080/1369118X.2017.1294194","http://dx.doi.org/10.1080/1369118X.2017.1294194")</f>
        <v>http://dx.doi.org/10.1080/1369118X.2017.1294194</v>
      </c>
      <c r="S718" s="89" t="s">
        <v>646</v>
      </c>
      <c r="U718" s="89" t="s">
        <v>17462</v>
      </c>
      <c r="W718" s="89" t="s">
        <v>646</v>
      </c>
      <c r="X718" s="89" t="s">
        <v>646</v>
      </c>
      <c r="Y718" s="89" t="s">
        <v>23288</v>
      </c>
      <c r="Z718" s="89" t="s">
        <v>23289</v>
      </c>
      <c r="AA718" s="89" t="s">
        <v>23290</v>
      </c>
      <c r="AB718" s="89" t="s">
        <v>23291</v>
      </c>
      <c r="AC718" s="89" t="s">
        <v>23292</v>
      </c>
      <c r="AD718" s="89" t="s">
        <v>646</v>
      </c>
      <c r="AE718" s="89" t="s">
        <v>646</v>
      </c>
      <c r="AF718" s="89" t="s">
        <v>23293</v>
      </c>
      <c r="AG718" s="89" t="s">
        <v>646</v>
      </c>
      <c r="AH718" s="89" t="s">
        <v>646</v>
      </c>
      <c r="AI718" s="89" t="s">
        <v>646</v>
      </c>
      <c r="AJ718" s="89" t="s">
        <v>646</v>
      </c>
      <c r="AK718" s="89" t="s">
        <v>646</v>
      </c>
      <c r="AL718" s="89" t="s">
        <v>646</v>
      </c>
      <c r="AM718" s="89" t="s">
        <v>646</v>
      </c>
      <c r="AN718" s="89" t="s">
        <v>646</v>
      </c>
      <c r="AO718" s="89" t="s">
        <v>646</v>
      </c>
      <c r="AP718" s="89" t="s">
        <v>646</v>
      </c>
      <c r="AQ718" s="89" t="s">
        <v>646</v>
      </c>
      <c r="AR718" s="89" t="s">
        <v>646</v>
      </c>
      <c r="AS718" s="89" t="s">
        <v>646</v>
      </c>
      <c r="AT718" s="89" t="s">
        <v>646</v>
      </c>
      <c r="AU718" s="89" t="s">
        <v>646</v>
      </c>
      <c r="AV718" s="89" t="s">
        <v>646</v>
      </c>
      <c r="AW718" s="89" t="s">
        <v>646</v>
      </c>
      <c r="AX718" s="89" t="s">
        <v>646</v>
      </c>
      <c r="AY718" s="89" t="s">
        <v>20881</v>
      </c>
      <c r="AZ718" s="89" t="s">
        <v>20882</v>
      </c>
      <c r="BA718" s="89" t="s">
        <v>646</v>
      </c>
      <c r="BB718" s="89" t="s">
        <v>646</v>
      </c>
      <c r="BC718" s="89" t="s">
        <v>646</v>
      </c>
      <c r="BD718" s="89" t="s">
        <v>646</v>
      </c>
      <c r="BE718" s="89">
        <v>2017</v>
      </c>
      <c r="BF718" s="89">
        <v>20</v>
      </c>
      <c r="BG718" s="89">
        <v>6</v>
      </c>
      <c r="BH718" s="89" t="s">
        <v>646</v>
      </c>
      <c r="BI718" s="89" t="s">
        <v>646</v>
      </c>
      <c r="BJ718" s="89" t="s">
        <v>17555</v>
      </c>
      <c r="BK718" s="89" t="s">
        <v>646</v>
      </c>
      <c r="BL718" s="89">
        <v>898</v>
      </c>
      <c r="BM718" s="89">
        <v>914</v>
      </c>
      <c r="BN718" s="89" t="s">
        <v>646</v>
      </c>
      <c r="BO718" s="89" t="str">
        <f>HYPERLINK("http://dx.doi.org/10.1080/1369118X.2017.1294194","http://dx.doi.org/10.1080/1369118X.2017.1294194")</f>
        <v>http://dx.doi.org/10.1080/1369118X.2017.1294194</v>
      </c>
      <c r="BP718" s="89" t="s">
        <v>646</v>
      </c>
      <c r="BQ718" s="89" t="s">
        <v>646</v>
      </c>
      <c r="BR718" s="89" t="s">
        <v>646</v>
      </c>
      <c r="BS718" s="89" t="s">
        <v>646</v>
      </c>
      <c r="BT718" s="89" t="s">
        <v>646</v>
      </c>
      <c r="BU718" s="89" t="s">
        <v>646</v>
      </c>
      <c r="BV718" s="89" t="s">
        <v>646</v>
      </c>
      <c r="BW718" s="89" t="s">
        <v>646</v>
      </c>
      <c r="BX718" s="89" t="s">
        <v>646</v>
      </c>
      <c r="BY718" s="89" t="s">
        <v>646</v>
      </c>
      <c r="BZ718" s="89" t="s">
        <v>646</v>
      </c>
      <c r="CA718" s="89" t="s">
        <v>646</v>
      </c>
      <c r="CB718" s="89" t="s">
        <v>23294</v>
      </c>
      <c r="CC718" s="89" t="str">
        <f>HYPERLINK("https%3A%2F%2Fwww.webofscience.com%2Fwos%2Fwoscc%2Ffull-record%2FWOS:000396829200007","View Full Record in Web of Science")</f>
        <v>View Full Record in Web of Science</v>
      </c>
    </row>
    <row r="719" spans="1:81" ht="13.2" hidden="1" x14ac:dyDescent="0.25">
      <c r="A719" s="89" t="s">
        <v>23295</v>
      </c>
      <c r="B719" s="89" t="e">
        <f>+#REF!</f>
        <v>#REF!</v>
      </c>
      <c r="C719" s="89"/>
      <c r="D719" s="91" t="s">
        <v>717</v>
      </c>
      <c r="E719" s="90" t="e">
        <v>#REF!</v>
      </c>
      <c r="F719" s="89"/>
      <c r="G719" s="89"/>
      <c r="H719" s="89" t="s">
        <v>646</v>
      </c>
      <c r="I719" s="89" t="s">
        <v>23296</v>
      </c>
      <c r="J719" s="89" t="s">
        <v>646</v>
      </c>
      <c r="K719" s="89" t="s">
        <v>23298</v>
      </c>
      <c r="M719" s="89">
        <v>2019</v>
      </c>
      <c r="N719" s="89" t="s">
        <v>23297</v>
      </c>
      <c r="O719" s="89" t="s">
        <v>646</v>
      </c>
      <c r="P719" s="89" t="s">
        <v>646</v>
      </c>
      <c r="S719" s="89" t="s">
        <v>646</v>
      </c>
      <c r="U719" s="89" t="s">
        <v>17462</v>
      </c>
      <c r="W719" s="89" t="s">
        <v>646</v>
      </c>
      <c r="X719" s="89" t="s">
        <v>646</v>
      </c>
      <c r="Y719" s="89" t="s">
        <v>646</v>
      </c>
      <c r="Z719" s="89" t="s">
        <v>646</v>
      </c>
      <c r="AA719" s="89" t="s">
        <v>646</v>
      </c>
      <c r="AB719" s="89" t="s">
        <v>646</v>
      </c>
      <c r="AC719" s="89" t="s">
        <v>646</v>
      </c>
      <c r="AD719" s="89" t="s">
        <v>646</v>
      </c>
      <c r="AE719" s="89" t="s">
        <v>646</v>
      </c>
      <c r="AF719" s="89" t="s">
        <v>23298</v>
      </c>
      <c r="AG719" s="89" t="s">
        <v>646</v>
      </c>
      <c r="AH719" s="89" t="s">
        <v>646</v>
      </c>
      <c r="AI719" s="89" t="s">
        <v>646</v>
      </c>
      <c r="AJ719" s="89" t="s">
        <v>646</v>
      </c>
      <c r="AK719" s="89" t="s">
        <v>646</v>
      </c>
      <c r="AL719" s="89" t="s">
        <v>646</v>
      </c>
      <c r="AM719" s="89" t="s">
        <v>646</v>
      </c>
      <c r="AN719" s="89" t="s">
        <v>646</v>
      </c>
      <c r="AO719" s="89" t="s">
        <v>646</v>
      </c>
      <c r="AP719" s="89" t="s">
        <v>646</v>
      </c>
      <c r="AQ719" s="89" t="s">
        <v>646</v>
      </c>
      <c r="AR719" s="89" t="s">
        <v>646</v>
      </c>
      <c r="AS719" s="89" t="s">
        <v>646</v>
      </c>
      <c r="AT719" s="89" t="s">
        <v>646</v>
      </c>
      <c r="AU719" s="89" t="s">
        <v>646</v>
      </c>
      <c r="AV719" s="89" t="s">
        <v>646</v>
      </c>
      <c r="AW719" s="89" t="s">
        <v>646</v>
      </c>
      <c r="AX719" s="89" t="s">
        <v>646</v>
      </c>
      <c r="AY719" s="89" t="s">
        <v>23299</v>
      </c>
      <c r="AZ719" s="89" t="s">
        <v>646</v>
      </c>
      <c r="BA719" s="89" t="s">
        <v>646</v>
      </c>
      <c r="BB719" s="89" t="s">
        <v>646</v>
      </c>
      <c r="BC719" s="89" t="s">
        <v>646</v>
      </c>
      <c r="BD719" s="89" t="s">
        <v>17615</v>
      </c>
      <c r="BE719" s="89">
        <v>2019</v>
      </c>
      <c r="BF719" s="89">
        <v>94</v>
      </c>
      <c r="BG719" s="89">
        <v>4</v>
      </c>
      <c r="BH719" s="89" t="s">
        <v>646</v>
      </c>
      <c r="BI719" s="89" t="s">
        <v>646</v>
      </c>
      <c r="BJ719" s="89" t="s">
        <v>646</v>
      </c>
      <c r="BK719" s="89" t="s">
        <v>646</v>
      </c>
      <c r="BL719" s="89">
        <v>1947</v>
      </c>
      <c r="BM719" s="89">
        <v>1987</v>
      </c>
      <c r="BN719" s="89" t="s">
        <v>646</v>
      </c>
      <c r="BO719" s="89" t="s">
        <v>646</v>
      </c>
      <c r="BP719" s="89" t="s">
        <v>646</v>
      </c>
      <c r="BQ719" s="89" t="s">
        <v>646</v>
      </c>
      <c r="BR719" s="89" t="s">
        <v>646</v>
      </c>
      <c r="BS719" s="89" t="s">
        <v>646</v>
      </c>
      <c r="BT719" s="89" t="s">
        <v>646</v>
      </c>
      <c r="BU719" s="89" t="s">
        <v>646</v>
      </c>
      <c r="BV719" s="89" t="s">
        <v>646</v>
      </c>
      <c r="BW719" s="89" t="s">
        <v>646</v>
      </c>
      <c r="BX719" s="89" t="s">
        <v>646</v>
      </c>
      <c r="BY719" s="89" t="s">
        <v>646</v>
      </c>
      <c r="BZ719" s="89" t="s">
        <v>646</v>
      </c>
      <c r="CA719" s="89" t="s">
        <v>646</v>
      </c>
      <c r="CB719" s="89" t="s">
        <v>23300</v>
      </c>
      <c r="CC719" s="89" t="str">
        <f>HYPERLINK("https%3A%2F%2Fwww.webofscience.com%2Fwos%2Fwoscc%2Ffull-record%2FWOS:000537900800008","View Full Record in Web of Science")</f>
        <v>View Full Record in Web of Science</v>
      </c>
    </row>
    <row r="720" spans="1:81" ht="13.2" hidden="1" x14ac:dyDescent="0.25">
      <c r="A720" s="89" t="s">
        <v>16551</v>
      </c>
      <c r="B720" s="89" t="e">
        <f>+#REF!</f>
        <v>#REF!</v>
      </c>
      <c r="C720" s="89"/>
      <c r="D720" s="91" t="s">
        <v>717</v>
      </c>
      <c r="E720" s="90" t="e">
        <v>#REF!</v>
      </c>
      <c r="F720" s="89"/>
      <c r="G720" s="89"/>
      <c r="H720" s="89" t="s">
        <v>16552</v>
      </c>
      <c r="I720" s="89" t="s">
        <v>23301</v>
      </c>
      <c r="J720" s="89" t="s">
        <v>646</v>
      </c>
      <c r="K720" s="89" t="s">
        <v>23303</v>
      </c>
      <c r="M720" s="89">
        <v>2021</v>
      </c>
      <c r="N720" s="89" t="s">
        <v>23302</v>
      </c>
      <c r="O720" s="89" t="s">
        <v>646</v>
      </c>
      <c r="P720" s="89" t="str">
        <f>HYPERLINK("http://dx.doi.org/10.1080/14616696.2020.1826554","http://dx.doi.org/10.1080/14616696.2020.1826554")</f>
        <v>http://dx.doi.org/10.1080/14616696.2020.1826554</v>
      </c>
      <c r="S720" s="89" t="s">
        <v>646</v>
      </c>
      <c r="U720" s="89" t="s">
        <v>17462</v>
      </c>
      <c r="W720" s="89" t="s">
        <v>646</v>
      </c>
      <c r="X720" s="89" t="s">
        <v>646</v>
      </c>
      <c r="Y720" s="89" t="s">
        <v>646</v>
      </c>
      <c r="Z720" s="89" t="s">
        <v>646</v>
      </c>
      <c r="AA720" s="89" t="s">
        <v>646</v>
      </c>
      <c r="AB720" s="89" t="s">
        <v>646</v>
      </c>
      <c r="AC720" s="89" t="s">
        <v>646</v>
      </c>
      <c r="AD720" s="89" t="s">
        <v>646</v>
      </c>
      <c r="AE720" s="89" t="s">
        <v>646</v>
      </c>
      <c r="AF720" s="89" t="s">
        <v>23303</v>
      </c>
      <c r="AG720" s="89" t="s">
        <v>646</v>
      </c>
      <c r="AH720" s="89" t="s">
        <v>646</v>
      </c>
      <c r="AI720" s="89" t="s">
        <v>646</v>
      </c>
      <c r="AJ720" s="89" t="s">
        <v>646</v>
      </c>
      <c r="AK720" s="89" t="s">
        <v>646</v>
      </c>
      <c r="AL720" s="89" t="s">
        <v>23304</v>
      </c>
      <c r="AM720" s="89" t="s">
        <v>646</v>
      </c>
      <c r="AN720" s="89" t="s">
        <v>646</v>
      </c>
      <c r="AO720" s="89" t="s">
        <v>646</v>
      </c>
      <c r="AP720" s="89" t="s">
        <v>646</v>
      </c>
      <c r="AQ720" s="89" t="s">
        <v>646</v>
      </c>
      <c r="AR720" s="89" t="s">
        <v>646</v>
      </c>
      <c r="AS720" s="89" t="s">
        <v>646</v>
      </c>
      <c r="AT720" s="89" t="s">
        <v>646</v>
      </c>
      <c r="AU720" s="89" t="s">
        <v>646</v>
      </c>
      <c r="AV720" s="89" t="s">
        <v>646</v>
      </c>
      <c r="AW720" s="89" t="s">
        <v>646</v>
      </c>
      <c r="AX720" s="89" t="s">
        <v>646</v>
      </c>
      <c r="AY720" s="89" t="s">
        <v>23305</v>
      </c>
      <c r="AZ720" s="89" t="s">
        <v>23306</v>
      </c>
      <c r="BA720" s="89" t="s">
        <v>646</v>
      </c>
      <c r="BB720" s="89" t="s">
        <v>646</v>
      </c>
      <c r="BC720" s="89" t="s">
        <v>646</v>
      </c>
      <c r="BD720" s="89" t="s">
        <v>23307</v>
      </c>
      <c r="BE720" s="89">
        <v>2021</v>
      </c>
      <c r="BF720" s="89">
        <v>23</v>
      </c>
      <c r="BG720" s="89" t="s">
        <v>646</v>
      </c>
      <c r="BH720" s="89" t="s">
        <v>646</v>
      </c>
      <c r="BI720" s="89">
        <v>1</v>
      </c>
      <c r="BJ720" s="89" t="s">
        <v>17555</v>
      </c>
      <c r="BK720" s="89" t="s">
        <v>646</v>
      </c>
      <c r="BL720" s="89" t="s">
        <v>23308</v>
      </c>
      <c r="BM720" s="89" t="s">
        <v>23309</v>
      </c>
      <c r="BN720" s="89" t="s">
        <v>646</v>
      </c>
      <c r="BO720" s="89" t="str">
        <f>HYPERLINK("http://dx.doi.org/10.1080/14616696.2020.1826554","http://dx.doi.org/10.1080/14616696.2020.1826554")</f>
        <v>http://dx.doi.org/10.1080/14616696.2020.1826554</v>
      </c>
      <c r="BP720" s="89" t="s">
        <v>646</v>
      </c>
      <c r="BQ720" s="89" t="s">
        <v>19874</v>
      </c>
      <c r="BR720" s="89" t="s">
        <v>646</v>
      </c>
      <c r="BS720" s="89" t="s">
        <v>646</v>
      </c>
      <c r="BT720" s="89" t="s">
        <v>646</v>
      </c>
      <c r="BU720" s="89" t="s">
        <v>646</v>
      </c>
      <c r="BV720" s="89" t="s">
        <v>646</v>
      </c>
      <c r="BW720" s="89" t="s">
        <v>646</v>
      </c>
      <c r="BX720" s="89" t="s">
        <v>646</v>
      </c>
      <c r="BY720" s="89" t="s">
        <v>646</v>
      </c>
      <c r="BZ720" s="89" t="s">
        <v>646</v>
      </c>
      <c r="CA720" s="89" t="s">
        <v>646</v>
      </c>
      <c r="CB720" s="89" t="s">
        <v>23310</v>
      </c>
      <c r="CC720" s="89" t="str">
        <f>HYPERLINK("https%3A%2F%2Fwww.webofscience.com%2Fwos%2Fwoscc%2Ffull-record%2FWOS:000575261000001","View Full Record in Web of Science")</f>
        <v>View Full Record in Web of Science</v>
      </c>
    </row>
    <row r="721" spans="1:81" ht="13.2" hidden="1" x14ac:dyDescent="0.25">
      <c r="A721" s="89" t="s">
        <v>23311</v>
      </c>
      <c r="B721" s="89" t="e">
        <f>+#REF!</f>
        <v>#REF!</v>
      </c>
      <c r="C721" s="89"/>
      <c r="D721" s="91" t="s">
        <v>717</v>
      </c>
      <c r="E721" s="90" t="e">
        <v>#REF!</v>
      </c>
      <c r="F721" s="89"/>
      <c r="G721" s="89"/>
      <c r="H721" s="89" t="s">
        <v>14446</v>
      </c>
      <c r="I721" s="89" t="s">
        <v>23312</v>
      </c>
      <c r="J721" s="89" t="s">
        <v>646</v>
      </c>
      <c r="K721" s="89" t="s">
        <v>23314</v>
      </c>
      <c r="M721" s="89">
        <v>2019</v>
      </c>
      <c r="N721" s="89" t="s">
        <v>23313</v>
      </c>
      <c r="O721" s="89" t="s">
        <v>646</v>
      </c>
      <c r="P721" s="89" t="str">
        <f>HYPERLINK("http://dx.doi.org/10.1285/i20356609v12i3p611","http://dx.doi.org/10.1285/i20356609v12i3p611")</f>
        <v>http://dx.doi.org/10.1285/i20356609v12i3p611</v>
      </c>
      <c r="S721" s="89" t="s">
        <v>646</v>
      </c>
      <c r="U721" s="89" t="s">
        <v>17462</v>
      </c>
      <c r="W721" s="89" t="s">
        <v>646</v>
      </c>
      <c r="X721" s="89" t="s">
        <v>646</v>
      </c>
      <c r="Y721" s="89" t="s">
        <v>646</v>
      </c>
      <c r="Z721" s="89" t="s">
        <v>646</v>
      </c>
      <c r="AA721" s="89" t="s">
        <v>646</v>
      </c>
      <c r="AB721" s="89" t="s">
        <v>646</v>
      </c>
      <c r="AC721" s="89" t="s">
        <v>646</v>
      </c>
      <c r="AD721" s="89" t="s">
        <v>646</v>
      </c>
      <c r="AE721" s="89" t="s">
        <v>646</v>
      </c>
      <c r="AF721" s="89" t="s">
        <v>23314</v>
      </c>
      <c r="AG721" s="89" t="s">
        <v>646</v>
      </c>
      <c r="AH721" s="89" t="s">
        <v>646</v>
      </c>
      <c r="AI721" s="89" t="s">
        <v>646</v>
      </c>
      <c r="AJ721" s="89" t="s">
        <v>646</v>
      </c>
      <c r="AK721" s="89" t="s">
        <v>646</v>
      </c>
      <c r="AL721" s="89" t="s">
        <v>646</v>
      </c>
      <c r="AM721" s="89" t="s">
        <v>646</v>
      </c>
      <c r="AN721" s="89" t="s">
        <v>646</v>
      </c>
      <c r="AO721" s="89" t="s">
        <v>646</v>
      </c>
      <c r="AP721" s="89" t="s">
        <v>646</v>
      </c>
      <c r="AQ721" s="89" t="s">
        <v>646</v>
      </c>
      <c r="AR721" s="89" t="s">
        <v>646</v>
      </c>
      <c r="AS721" s="89" t="s">
        <v>646</v>
      </c>
      <c r="AT721" s="89" t="s">
        <v>646</v>
      </c>
      <c r="AU721" s="89" t="s">
        <v>646</v>
      </c>
      <c r="AV721" s="89" t="s">
        <v>646</v>
      </c>
      <c r="AW721" s="89" t="s">
        <v>646</v>
      </c>
      <c r="AX721" s="89" t="s">
        <v>646</v>
      </c>
      <c r="AY721" s="89" t="s">
        <v>23315</v>
      </c>
      <c r="AZ721" s="89" t="s">
        <v>23316</v>
      </c>
      <c r="BA721" s="89" t="s">
        <v>646</v>
      </c>
      <c r="BB721" s="89" t="s">
        <v>646</v>
      </c>
      <c r="BC721" s="89" t="s">
        <v>646</v>
      </c>
      <c r="BD721" s="89" t="s">
        <v>646</v>
      </c>
      <c r="BE721" s="89">
        <v>2019</v>
      </c>
      <c r="BF721" s="89">
        <v>12</v>
      </c>
      <c r="BG721" s="89">
        <v>3</v>
      </c>
      <c r="BH721" s="89" t="s">
        <v>646</v>
      </c>
      <c r="BI721" s="89" t="s">
        <v>646</v>
      </c>
      <c r="BJ721" s="89" t="s">
        <v>17555</v>
      </c>
      <c r="BK721" s="89" t="s">
        <v>646</v>
      </c>
      <c r="BL721" s="89">
        <v>611</v>
      </c>
      <c r="BM721" s="89">
        <v>628</v>
      </c>
      <c r="BN721" s="89" t="s">
        <v>646</v>
      </c>
      <c r="BO721" s="89" t="str">
        <f>HYPERLINK("http://dx.doi.org/10.1285/i20356609v12i3p611","http://dx.doi.org/10.1285/i20356609v12i3p611")</f>
        <v>http://dx.doi.org/10.1285/i20356609v12i3p611</v>
      </c>
      <c r="BP721" s="89" t="s">
        <v>646</v>
      </c>
      <c r="BQ721" s="89" t="s">
        <v>646</v>
      </c>
      <c r="BR721" s="89" t="s">
        <v>646</v>
      </c>
      <c r="BS721" s="89" t="s">
        <v>646</v>
      </c>
      <c r="BT721" s="89" t="s">
        <v>646</v>
      </c>
      <c r="BU721" s="89" t="s">
        <v>646</v>
      </c>
      <c r="BV721" s="89" t="s">
        <v>646</v>
      </c>
      <c r="BW721" s="89" t="s">
        <v>646</v>
      </c>
      <c r="BX721" s="89" t="s">
        <v>646</v>
      </c>
      <c r="BY721" s="89" t="s">
        <v>646</v>
      </c>
      <c r="BZ721" s="89" t="s">
        <v>646</v>
      </c>
      <c r="CA721" s="89" t="s">
        <v>646</v>
      </c>
      <c r="CB721" s="89" t="s">
        <v>23317</v>
      </c>
      <c r="CC721" s="89" t="str">
        <f>HYPERLINK("https%3A%2F%2Fwww.webofscience.com%2Fwos%2Fwoscc%2Ffull-record%2FWOS:000500487700001","View Full Record in Web of Science")</f>
        <v>View Full Record in Web of Science</v>
      </c>
    </row>
    <row r="722" spans="1:81" ht="13.2" hidden="1" x14ac:dyDescent="0.25">
      <c r="A722" s="89" t="s">
        <v>14455</v>
      </c>
      <c r="B722" s="89" t="e">
        <f>+#REF!</f>
        <v>#REF!</v>
      </c>
      <c r="C722" s="89"/>
      <c r="D722" s="91" t="s">
        <v>717</v>
      </c>
      <c r="E722" s="90" t="e">
        <v>#REF!</v>
      </c>
      <c r="F722" s="89"/>
      <c r="G722" s="89"/>
      <c r="H722" s="89" t="s">
        <v>14456</v>
      </c>
      <c r="I722" s="89" t="s">
        <v>23318</v>
      </c>
      <c r="J722" s="89" t="s">
        <v>646</v>
      </c>
      <c r="K722" s="89" t="s">
        <v>23320</v>
      </c>
      <c r="M722" s="89">
        <v>2017</v>
      </c>
      <c r="N722" s="89" t="s">
        <v>23319</v>
      </c>
      <c r="O722" s="89" t="s">
        <v>646</v>
      </c>
      <c r="P722" s="89" t="str">
        <f>HYPERLINK("http://dx.doi.org/10.1016/j.jpubeco.2017.09.007","http://dx.doi.org/10.1016/j.jpubeco.2017.09.007")</f>
        <v>http://dx.doi.org/10.1016/j.jpubeco.2017.09.007</v>
      </c>
      <c r="S722" s="89" t="s">
        <v>646</v>
      </c>
      <c r="U722" s="89" t="s">
        <v>17462</v>
      </c>
      <c r="W722" s="89" t="s">
        <v>646</v>
      </c>
      <c r="X722" s="89" t="s">
        <v>646</v>
      </c>
      <c r="Y722" s="89" t="s">
        <v>646</v>
      </c>
      <c r="Z722" s="89" t="s">
        <v>646</v>
      </c>
      <c r="AA722" s="89" t="s">
        <v>646</v>
      </c>
      <c r="AB722" s="89" t="s">
        <v>646</v>
      </c>
      <c r="AC722" s="89" t="s">
        <v>646</v>
      </c>
      <c r="AD722" s="89" t="s">
        <v>646</v>
      </c>
      <c r="AE722" s="89" t="s">
        <v>646</v>
      </c>
      <c r="AF722" s="89" t="s">
        <v>23320</v>
      </c>
      <c r="AG722" s="89" t="s">
        <v>646</v>
      </c>
      <c r="AH722" s="89" t="s">
        <v>646</v>
      </c>
      <c r="AI722" s="89" t="s">
        <v>646</v>
      </c>
      <c r="AJ722" s="89" t="s">
        <v>646</v>
      </c>
      <c r="AK722" s="89" t="s">
        <v>646</v>
      </c>
      <c r="AL722" s="89" t="s">
        <v>646</v>
      </c>
      <c r="AM722" s="89" t="s">
        <v>646</v>
      </c>
      <c r="AN722" s="89" t="s">
        <v>646</v>
      </c>
      <c r="AO722" s="89" t="s">
        <v>646</v>
      </c>
      <c r="AP722" s="89" t="s">
        <v>646</v>
      </c>
      <c r="AQ722" s="89" t="s">
        <v>646</v>
      </c>
      <c r="AR722" s="89" t="s">
        <v>646</v>
      </c>
      <c r="AS722" s="89" t="s">
        <v>646</v>
      </c>
      <c r="AT722" s="89" t="s">
        <v>646</v>
      </c>
      <c r="AU722" s="89" t="s">
        <v>646</v>
      </c>
      <c r="AV722" s="89" t="s">
        <v>646</v>
      </c>
      <c r="AW722" s="89" t="s">
        <v>646</v>
      </c>
      <c r="AX722" s="89" t="s">
        <v>646</v>
      </c>
      <c r="AY722" s="89" t="s">
        <v>23321</v>
      </c>
      <c r="AZ722" s="89" t="s">
        <v>646</v>
      </c>
      <c r="BA722" s="89" t="s">
        <v>646</v>
      </c>
      <c r="BB722" s="89" t="s">
        <v>646</v>
      </c>
      <c r="BC722" s="89" t="s">
        <v>646</v>
      </c>
      <c r="BD722" s="89" t="s">
        <v>18292</v>
      </c>
      <c r="BE722" s="89">
        <v>2017</v>
      </c>
      <c r="BF722" s="89">
        <v>155</v>
      </c>
      <c r="BG722" s="89" t="s">
        <v>646</v>
      </c>
      <c r="BH722" s="89" t="s">
        <v>646</v>
      </c>
      <c r="BI722" s="89" t="s">
        <v>646</v>
      </c>
      <c r="BJ722" s="89" t="s">
        <v>646</v>
      </c>
      <c r="BK722" s="89" t="s">
        <v>646</v>
      </c>
      <c r="BL722" s="89">
        <v>54</v>
      </c>
      <c r="BM722" s="89">
        <v>63</v>
      </c>
      <c r="BN722" s="89" t="s">
        <v>646</v>
      </c>
      <c r="BO722" s="89" t="str">
        <f>HYPERLINK("http://dx.doi.org/10.1016/j.jpubeco.2017.09.007","http://dx.doi.org/10.1016/j.jpubeco.2017.09.007")</f>
        <v>http://dx.doi.org/10.1016/j.jpubeco.2017.09.007</v>
      </c>
      <c r="BP722" s="89" t="s">
        <v>646</v>
      </c>
      <c r="BQ722" s="89" t="s">
        <v>646</v>
      </c>
      <c r="BR722" s="89" t="s">
        <v>646</v>
      </c>
      <c r="BS722" s="89" t="s">
        <v>646</v>
      </c>
      <c r="BT722" s="89" t="s">
        <v>646</v>
      </c>
      <c r="BU722" s="89" t="s">
        <v>646</v>
      </c>
      <c r="BV722" s="89" t="s">
        <v>646</v>
      </c>
      <c r="BW722" s="89" t="s">
        <v>646</v>
      </c>
      <c r="BX722" s="89" t="s">
        <v>646</v>
      </c>
      <c r="BY722" s="89" t="s">
        <v>646</v>
      </c>
      <c r="BZ722" s="89" t="s">
        <v>646</v>
      </c>
      <c r="CA722" s="89" t="s">
        <v>646</v>
      </c>
      <c r="CB722" s="89" t="s">
        <v>23322</v>
      </c>
      <c r="CC722" s="89" t="str">
        <f>HYPERLINK("https%3A%2F%2Fwww.webofscience.com%2Fwos%2Fwoscc%2Ffull-record%2FWOS:000416196100005","View Full Record in Web of Science")</f>
        <v>View Full Record in Web of Science</v>
      </c>
    </row>
    <row r="723" spans="1:81" ht="13.2" hidden="1" x14ac:dyDescent="0.25">
      <c r="A723" s="89" t="s">
        <v>14464</v>
      </c>
      <c r="B723" s="89" t="e">
        <f>+#REF!</f>
        <v>#REF!</v>
      </c>
      <c r="C723" s="89"/>
      <c r="D723" s="91" t="s">
        <v>717</v>
      </c>
      <c r="E723" s="90" t="e">
        <v>#REF!</v>
      </c>
      <c r="F723" s="89"/>
      <c r="G723" s="89"/>
      <c r="H723" s="89" t="s">
        <v>14465</v>
      </c>
      <c r="I723" s="89" t="s">
        <v>23323</v>
      </c>
      <c r="J723" s="89" t="s">
        <v>646</v>
      </c>
      <c r="K723" s="89" t="s">
        <v>23325</v>
      </c>
      <c r="M723" s="89">
        <v>2017</v>
      </c>
      <c r="N723" s="89" t="s">
        <v>23324</v>
      </c>
      <c r="O723" s="89" t="s">
        <v>646</v>
      </c>
      <c r="P723" s="89" t="str">
        <f>HYPERLINK("http://dx.doi.org/10.1080/00224499.2016.1208801","http://dx.doi.org/10.1080/00224499.2016.1208801")</f>
        <v>http://dx.doi.org/10.1080/00224499.2016.1208801</v>
      </c>
      <c r="S723" s="89" t="s">
        <v>646</v>
      </c>
      <c r="U723" s="89" t="s">
        <v>17462</v>
      </c>
      <c r="W723" s="89" t="s">
        <v>646</v>
      </c>
      <c r="X723" s="89" t="s">
        <v>646</v>
      </c>
      <c r="Y723" s="89" t="s">
        <v>646</v>
      </c>
      <c r="Z723" s="89" t="s">
        <v>646</v>
      </c>
      <c r="AA723" s="89" t="s">
        <v>646</v>
      </c>
      <c r="AB723" s="89" t="s">
        <v>646</v>
      </c>
      <c r="AC723" s="89" t="s">
        <v>646</v>
      </c>
      <c r="AD723" s="89" t="s">
        <v>646</v>
      </c>
      <c r="AE723" s="89" t="s">
        <v>646</v>
      </c>
      <c r="AF723" s="89" t="s">
        <v>23325</v>
      </c>
      <c r="AG723" s="89" t="s">
        <v>646</v>
      </c>
      <c r="AH723" s="89" t="s">
        <v>646</v>
      </c>
      <c r="AI723" s="89" t="s">
        <v>646</v>
      </c>
      <c r="AJ723" s="89" t="s">
        <v>646</v>
      </c>
      <c r="AK723" s="89" t="s">
        <v>646</v>
      </c>
      <c r="AL723" s="89" t="s">
        <v>23326</v>
      </c>
      <c r="AM723" s="89" t="s">
        <v>646</v>
      </c>
      <c r="AN723" s="89" t="s">
        <v>646</v>
      </c>
      <c r="AO723" s="89" t="s">
        <v>646</v>
      </c>
      <c r="AP723" s="89" t="s">
        <v>646</v>
      </c>
      <c r="AQ723" s="89" t="s">
        <v>646</v>
      </c>
      <c r="AR723" s="89" t="s">
        <v>646</v>
      </c>
      <c r="AS723" s="89" t="s">
        <v>646</v>
      </c>
      <c r="AT723" s="89" t="s">
        <v>646</v>
      </c>
      <c r="AU723" s="89" t="s">
        <v>646</v>
      </c>
      <c r="AV723" s="89" t="s">
        <v>646</v>
      </c>
      <c r="AW723" s="89" t="s">
        <v>646</v>
      </c>
      <c r="AX723" s="89" t="s">
        <v>646</v>
      </c>
      <c r="AY723" s="89" t="s">
        <v>23327</v>
      </c>
      <c r="AZ723" s="89" t="s">
        <v>23328</v>
      </c>
      <c r="BA723" s="89" t="s">
        <v>646</v>
      </c>
      <c r="BB723" s="89" t="s">
        <v>646</v>
      </c>
      <c r="BC723" s="89" t="s">
        <v>646</v>
      </c>
      <c r="BD723" s="89" t="s">
        <v>646</v>
      </c>
      <c r="BE723" s="89">
        <v>2017</v>
      </c>
      <c r="BF723" s="89">
        <v>54</v>
      </c>
      <c r="BG723" s="89">
        <v>6</v>
      </c>
      <c r="BH723" s="89" t="s">
        <v>646</v>
      </c>
      <c r="BI723" s="89" t="s">
        <v>646</v>
      </c>
      <c r="BJ723" s="89" t="s">
        <v>646</v>
      </c>
      <c r="BK723" s="89" t="s">
        <v>646</v>
      </c>
      <c r="BL723" s="89">
        <v>717</v>
      </c>
      <c r="BM723" s="89">
        <v>727</v>
      </c>
      <c r="BN723" s="89" t="s">
        <v>646</v>
      </c>
      <c r="BO723" s="89" t="str">
        <f>HYPERLINK("http://dx.doi.org/10.1080/00224499.2016.1208801","http://dx.doi.org/10.1080/00224499.2016.1208801")</f>
        <v>http://dx.doi.org/10.1080/00224499.2016.1208801</v>
      </c>
      <c r="BP723" s="89" t="s">
        <v>646</v>
      </c>
      <c r="BQ723" s="89" t="s">
        <v>646</v>
      </c>
      <c r="BR723" s="89" t="s">
        <v>646</v>
      </c>
      <c r="BS723" s="89" t="s">
        <v>646</v>
      </c>
      <c r="BT723" s="89" t="s">
        <v>646</v>
      </c>
      <c r="BU723" s="89" t="s">
        <v>646</v>
      </c>
      <c r="BV723" s="89" t="s">
        <v>646</v>
      </c>
      <c r="BW723" s="89">
        <v>27485260</v>
      </c>
      <c r="BX723" s="89" t="s">
        <v>646</v>
      </c>
      <c r="BY723" s="89" t="s">
        <v>646</v>
      </c>
      <c r="BZ723" s="89" t="s">
        <v>646</v>
      </c>
      <c r="CA723" s="89" t="s">
        <v>646</v>
      </c>
      <c r="CB723" s="89" t="s">
        <v>23329</v>
      </c>
      <c r="CC723" s="89" t="str">
        <f>HYPERLINK("https%3A%2F%2Fwww.webofscience.com%2Fwos%2Fwoscc%2Ffull-record%2FWOS:000403659200005","View Full Record in Web of Science")</f>
        <v>View Full Record in Web of Science</v>
      </c>
    </row>
    <row r="724" spans="1:81" ht="13.2" hidden="1" x14ac:dyDescent="0.25">
      <c r="A724" s="89" t="s">
        <v>16285</v>
      </c>
      <c r="B724" s="89" t="e">
        <f>+#REF!</f>
        <v>#REF!</v>
      </c>
      <c r="C724" s="89"/>
      <c r="D724" s="91" t="s">
        <v>717</v>
      </c>
      <c r="E724" s="90" t="e">
        <v>#REF!</v>
      </c>
      <c r="F724" s="89"/>
      <c r="G724" s="89"/>
      <c r="H724" s="89" t="s">
        <v>16286</v>
      </c>
      <c r="I724" s="89" t="s">
        <v>23330</v>
      </c>
      <c r="J724" s="89" t="s">
        <v>646</v>
      </c>
      <c r="K724" s="89" t="s">
        <v>23332</v>
      </c>
      <c r="M724" s="89">
        <v>2020</v>
      </c>
      <c r="N724" s="89" t="s">
        <v>23331</v>
      </c>
      <c r="O724" s="89" t="s">
        <v>646</v>
      </c>
      <c r="P724" s="89" t="str">
        <f>HYPERLINK("http://dx.doi.org/10.3389/fsoc.2020.00003","http://dx.doi.org/10.3389/fsoc.2020.00003")</f>
        <v>http://dx.doi.org/10.3389/fsoc.2020.00003</v>
      </c>
      <c r="S724" s="89" t="s">
        <v>646</v>
      </c>
      <c r="U724" s="89" t="s">
        <v>17462</v>
      </c>
      <c r="W724" s="89" t="s">
        <v>646</v>
      </c>
      <c r="X724" s="89" t="s">
        <v>646</v>
      </c>
      <c r="Y724" s="89" t="s">
        <v>646</v>
      </c>
      <c r="Z724" s="89" t="s">
        <v>646</v>
      </c>
      <c r="AA724" s="89" t="s">
        <v>646</v>
      </c>
      <c r="AB724" s="89" t="s">
        <v>646</v>
      </c>
      <c r="AC724" s="89" t="s">
        <v>646</v>
      </c>
      <c r="AD724" s="89" t="s">
        <v>646</v>
      </c>
      <c r="AE724" s="89" t="s">
        <v>646</v>
      </c>
      <c r="AF724" s="89" t="s">
        <v>23332</v>
      </c>
      <c r="AG724" s="89" t="s">
        <v>646</v>
      </c>
      <c r="AH724" s="89" t="s">
        <v>646</v>
      </c>
      <c r="AI724" s="89" t="s">
        <v>646</v>
      </c>
      <c r="AJ724" s="89" t="s">
        <v>646</v>
      </c>
      <c r="AK724" s="89" t="s">
        <v>646</v>
      </c>
      <c r="AL724" s="89" t="s">
        <v>646</v>
      </c>
      <c r="AM724" s="89" t="s">
        <v>646</v>
      </c>
      <c r="AN724" s="89" t="s">
        <v>646</v>
      </c>
      <c r="AO724" s="89" t="s">
        <v>646</v>
      </c>
      <c r="AP724" s="89" t="s">
        <v>646</v>
      </c>
      <c r="AQ724" s="89" t="s">
        <v>646</v>
      </c>
      <c r="AR724" s="89" t="s">
        <v>646</v>
      </c>
      <c r="AS724" s="89" t="s">
        <v>646</v>
      </c>
      <c r="AT724" s="89" t="s">
        <v>646</v>
      </c>
      <c r="AU724" s="89" t="s">
        <v>646</v>
      </c>
      <c r="AV724" s="89" t="s">
        <v>646</v>
      </c>
      <c r="AW724" s="89" t="s">
        <v>646</v>
      </c>
      <c r="AX724" s="89" t="s">
        <v>646</v>
      </c>
      <c r="AY724" s="89" t="s">
        <v>646</v>
      </c>
      <c r="AZ724" s="89" t="s">
        <v>23333</v>
      </c>
      <c r="BA724" s="89" t="s">
        <v>646</v>
      </c>
      <c r="BB724" s="89" t="s">
        <v>646</v>
      </c>
      <c r="BC724" s="89" t="s">
        <v>646</v>
      </c>
      <c r="BD724" s="89" t="s">
        <v>18804</v>
      </c>
      <c r="BE724" s="89">
        <v>2020</v>
      </c>
      <c r="BF724" s="89">
        <v>5</v>
      </c>
      <c r="BG724" s="89" t="s">
        <v>646</v>
      </c>
      <c r="BH724" s="89" t="s">
        <v>646</v>
      </c>
      <c r="BI724" s="89" t="s">
        <v>646</v>
      </c>
      <c r="BJ724" s="89" t="s">
        <v>646</v>
      </c>
      <c r="BK724" s="89" t="s">
        <v>646</v>
      </c>
      <c r="BL724" s="89" t="s">
        <v>646</v>
      </c>
      <c r="BM724" s="89" t="s">
        <v>646</v>
      </c>
      <c r="BN724" s="89">
        <v>3</v>
      </c>
      <c r="BO724" s="89" t="str">
        <f>HYPERLINK("http://dx.doi.org/10.3389/fsoc.2020.00003","http://dx.doi.org/10.3389/fsoc.2020.00003")</f>
        <v>http://dx.doi.org/10.3389/fsoc.2020.00003</v>
      </c>
      <c r="BP724" s="89" t="s">
        <v>646</v>
      </c>
      <c r="BQ724" s="89" t="s">
        <v>646</v>
      </c>
      <c r="BR724" s="89" t="s">
        <v>646</v>
      </c>
      <c r="BS724" s="89" t="s">
        <v>646</v>
      </c>
      <c r="BT724" s="89" t="s">
        <v>646</v>
      </c>
      <c r="BU724" s="89" t="s">
        <v>646</v>
      </c>
      <c r="BV724" s="89" t="s">
        <v>646</v>
      </c>
      <c r="BW724" s="89">
        <v>33869412</v>
      </c>
      <c r="BX724" s="89" t="s">
        <v>646</v>
      </c>
      <c r="BY724" s="89" t="s">
        <v>646</v>
      </c>
      <c r="BZ724" s="89" t="s">
        <v>646</v>
      </c>
      <c r="CA724" s="89" t="s">
        <v>646</v>
      </c>
      <c r="CB724" s="89" t="s">
        <v>23334</v>
      </c>
      <c r="CC724" s="89" t="str">
        <f>HYPERLINK("https%3A%2F%2Fwww.webofscience.com%2Fwos%2Fwoscc%2Ffull-record%2FWOS:000678511600001","View Full Record in Web of Science")</f>
        <v>View Full Record in Web of Science</v>
      </c>
    </row>
    <row r="725" spans="1:81" ht="13.2" hidden="1" x14ac:dyDescent="0.25">
      <c r="A725" s="89" t="s">
        <v>23335</v>
      </c>
      <c r="B725" s="89" t="e">
        <f>+#REF!</f>
        <v>#REF!</v>
      </c>
      <c r="C725" s="89"/>
      <c r="D725" s="91" t="s">
        <v>717</v>
      </c>
      <c r="E725" s="90" t="e">
        <v>#REF!</v>
      </c>
      <c r="F725" s="89"/>
      <c r="G725" s="89"/>
      <c r="H725" s="89" t="s">
        <v>14475</v>
      </c>
      <c r="I725" s="89" t="s">
        <v>23336</v>
      </c>
      <c r="J725" s="89" t="s">
        <v>646</v>
      </c>
      <c r="K725" s="89" t="s">
        <v>23338</v>
      </c>
      <c r="M725" s="89">
        <v>2020</v>
      </c>
      <c r="N725" s="89" t="s">
        <v>23337</v>
      </c>
      <c r="O725" s="89" t="s">
        <v>646</v>
      </c>
      <c r="P725" s="89" t="str">
        <f>HYPERLINK("http://dx.doi.org/10.3390/jpm10030086","http://dx.doi.org/10.3390/jpm10030086")</f>
        <v>http://dx.doi.org/10.3390/jpm10030086</v>
      </c>
      <c r="S725" s="89" t="s">
        <v>646</v>
      </c>
      <c r="U725" s="89" t="s">
        <v>17462</v>
      </c>
      <c r="W725" s="89" t="s">
        <v>646</v>
      </c>
      <c r="X725" s="89" t="s">
        <v>646</v>
      </c>
      <c r="Y725" s="89" t="s">
        <v>646</v>
      </c>
      <c r="Z725" s="89" t="s">
        <v>646</v>
      </c>
      <c r="AA725" s="89" t="s">
        <v>646</v>
      </c>
      <c r="AB725" s="89" t="s">
        <v>646</v>
      </c>
      <c r="AC725" s="89" t="s">
        <v>646</v>
      </c>
      <c r="AD725" s="89" t="s">
        <v>646</v>
      </c>
      <c r="AE725" s="89" t="s">
        <v>646</v>
      </c>
      <c r="AF725" s="89" t="s">
        <v>23338</v>
      </c>
      <c r="AG725" s="89" t="s">
        <v>646</v>
      </c>
      <c r="AH725" s="89" t="s">
        <v>646</v>
      </c>
      <c r="AI725" s="89" t="s">
        <v>646</v>
      </c>
      <c r="AJ725" s="89" t="s">
        <v>646</v>
      </c>
      <c r="AK725" s="89" t="s">
        <v>646</v>
      </c>
      <c r="AL725" s="89" t="s">
        <v>23339</v>
      </c>
      <c r="AM725" s="89" t="s">
        <v>646</v>
      </c>
      <c r="AN725" s="89" t="s">
        <v>646</v>
      </c>
      <c r="AO725" s="89" t="s">
        <v>646</v>
      </c>
      <c r="AP725" s="89" t="s">
        <v>646</v>
      </c>
      <c r="AQ725" s="89" t="s">
        <v>646</v>
      </c>
      <c r="AR725" s="89" t="s">
        <v>646</v>
      </c>
      <c r="AS725" s="89" t="s">
        <v>646</v>
      </c>
      <c r="AT725" s="89" t="s">
        <v>646</v>
      </c>
      <c r="AU725" s="89" t="s">
        <v>646</v>
      </c>
      <c r="AV725" s="89" t="s">
        <v>646</v>
      </c>
      <c r="AW725" s="89" t="s">
        <v>646</v>
      </c>
      <c r="AX725" s="89" t="s">
        <v>646</v>
      </c>
      <c r="AY725" s="89" t="s">
        <v>646</v>
      </c>
      <c r="AZ725" s="89" t="s">
        <v>23340</v>
      </c>
      <c r="BA725" s="89" t="s">
        <v>646</v>
      </c>
      <c r="BB725" s="89" t="s">
        <v>646</v>
      </c>
      <c r="BC725" s="89" t="s">
        <v>646</v>
      </c>
      <c r="BD725" s="89" t="s">
        <v>17739</v>
      </c>
      <c r="BE725" s="89">
        <v>2020</v>
      </c>
      <c r="BF725" s="89">
        <v>10</v>
      </c>
      <c r="BG725" s="89">
        <v>3</v>
      </c>
      <c r="BH725" s="89" t="s">
        <v>646</v>
      </c>
      <c r="BI725" s="89" t="s">
        <v>646</v>
      </c>
      <c r="BJ725" s="89" t="s">
        <v>646</v>
      </c>
      <c r="BK725" s="89" t="s">
        <v>646</v>
      </c>
      <c r="BL725" s="89" t="s">
        <v>646</v>
      </c>
      <c r="BM725" s="89" t="s">
        <v>646</v>
      </c>
      <c r="BN725" s="89">
        <v>86</v>
      </c>
      <c r="BO725" s="89" t="str">
        <f>HYPERLINK("http://dx.doi.org/10.3390/jpm10030086","http://dx.doi.org/10.3390/jpm10030086")</f>
        <v>http://dx.doi.org/10.3390/jpm10030086</v>
      </c>
      <c r="BP725" s="89" t="s">
        <v>646</v>
      </c>
      <c r="BQ725" s="89" t="s">
        <v>646</v>
      </c>
      <c r="BR725" s="89" t="s">
        <v>646</v>
      </c>
      <c r="BS725" s="89" t="s">
        <v>646</v>
      </c>
      <c r="BT725" s="89" t="s">
        <v>646</v>
      </c>
      <c r="BU725" s="89" t="s">
        <v>646</v>
      </c>
      <c r="BV725" s="89" t="s">
        <v>646</v>
      </c>
      <c r="BW725" s="89">
        <v>32823538</v>
      </c>
      <c r="BX725" s="89" t="s">
        <v>646</v>
      </c>
      <c r="BY725" s="89" t="s">
        <v>646</v>
      </c>
      <c r="BZ725" s="89" t="s">
        <v>646</v>
      </c>
      <c r="CA725" s="89" t="s">
        <v>646</v>
      </c>
      <c r="CB725" s="89" t="s">
        <v>23341</v>
      </c>
      <c r="CC725" s="89" t="str">
        <f>HYPERLINK("https%3A%2F%2Fwww.webofscience.com%2Fwos%2Fwoscc%2Ffull-record%2FWOS:000579590800001","View Full Record in Web of Science")</f>
        <v>View Full Record in Web of Science</v>
      </c>
    </row>
    <row r="726" spans="1:81" ht="13.2" hidden="1" x14ac:dyDescent="0.25">
      <c r="A726" s="89" t="s">
        <v>16561</v>
      </c>
      <c r="B726" s="89" t="e">
        <f>+#REF!</f>
        <v>#REF!</v>
      </c>
      <c r="C726" s="89"/>
      <c r="D726" s="91" t="s">
        <v>717</v>
      </c>
      <c r="E726" s="90" t="e">
        <v>#REF!</v>
      </c>
      <c r="F726" s="89"/>
      <c r="G726" s="89"/>
      <c r="H726" s="89" t="s">
        <v>16562</v>
      </c>
      <c r="I726" s="89" t="s">
        <v>23342</v>
      </c>
      <c r="J726" s="89" t="s">
        <v>23344</v>
      </c>
      <c r="K726" s="89" t="s">
        <v>23343</v>
      </c>
      <c r="M726" s="89">
        <v>2021</v>
      </c>
      <c r="N726" s="89" t="s">
        <v>22429</v>
      </c>
      <c r="O726" s="89" t="s">
        <v>646</v>
      </c>
      <c r="P726" s="89" t="str">
        <f>HYPERLINK("http://dx.doi.org/10.1108/JFMM-02-2020-0017","http://dx.doi.org/10.1108/JFMM-02-2020-0017")</f>
        <v>http://dx.doi.org/10.1108/JFMM-02-2020-0017</v>
      </c>
      <c r="S726" s="89" t="s">
        <v>646</v>
      </c>
      <c r="U726" s="89" t="s">
        <v>17462</v>
      </c>
      <c r="W726" s="89" t="s">
        <v>646</v>
      </c>
      <c r="X726" s="89" t="s">
        <v>646</v>
      </c>
      <c r="Y726" s="89" t="s">
        <v>646</v>
      </c>
      <c r="Z726" s="89" t="s">
        <v>646</v>
      </c>
      <c r="AA726" s="89" t="s">
        <v>646</v>
      </c>
      <c r="AB726" s="89" t="s">
        <v>646</v>
      </c>
      <c r="AC726" s="89" t="s">
        <v>646</v>
      </c>
      <c r="AD726" s="89" t="s">
        <v>646</v>
      </c>
      <c r="AE726" s="89" t="s">
        <v>646</v>
      </c>
      <c r="AF726" s="89" t="s">
        <v>23343</v>
      </c>
      <c r="AG726" s="89" t="s">
        <v>646</v>
      </c>
      <c r="AH726" s="89" t="s">
        <v>646</v>
      </c>
      <c r="AI726" s="89" t="s">
        <v>646</v>
      </c>
      <c r="AJ726" s="89" t="s">
        <v>646</v>
      </c>
      <c r="AK726" s="89" t="s">
        <v>23344</v>
      </c>
      <c r="AL726" s="89" t="s">
        <v>23345</v>
      </c>
      <c r="AM726" s="89" t="s">
        <v>646</v>
      </c>
      <c r="AN726" s="89" t="s">
        <v>646</v>
      </c>
      <c r="AO726" s="89" t="s">
        <v>646</v>
      </c>
      <c r="AP726" s="89" t="s">
        <v>646</v>
      </c>
      <c r="AQ726" s="89" t="s">
        <v>646</v>
      </c>
      <c r="AR726" s="89" t="s">
        <v>646</v>
      </c>
      <c r="AS726" s="89" t="s">
        <v>646</v>
      </c>
      <c r="AT726" s="89" t="s">
        <v>646</v>
      </c>
      <c r="AU726" s="89" t="s">
        <v>646</v>
      </c>
      <c r="AV726" s="89" t="s">
        <v>646</v>
      </c>
      <c r="AW726" s="89" t="s">
        <v>646</v>
      </c>
      <c r="AX726" s="89" t="s">
        <v>646</v>
      </c>
      <c r="AY726" s="89" t="s">
        <v>22432</v>
      </c>
      <c r="AZ726" s="89" t="s">
        <v>22433</v>
      </c>
      <c r="BA726" s="89" t="s">
        <v>646</v>
      </c>
      <c r="BB726" s="89" t="s">
        <v>646</v>
      </c>
      <c r="BC726" s="89" t="s">
        <v>646</v>
      </c>
      <c r="BD726" s="89" t="s">
        <v>23346</v>
      </c>
      <c r="BE726" s="89">
        <v>2021</v>
      </c>
      <c r="BF726" s="89">
        <v>25</v>
      </c>
      <c r="BG726" s="89">
        <v>3</v>
      </c>
      <c r="BH726" s="89" t="s">
        <v>646</v>
      </c>
      <c r="BI726" s="89" t="s">
        <v>646</v>
      </c>
      <c r="BJ726" s="89" t="s">
        <v>646</v>
      </c>
      <c r="BK726" s="89" t="s">
        <v>646</v>
      </c>
      <c r="BL726" s="89">
        <v>407</v>
      </c>
      <c r="BM726" s="89">
        <v>429</v>
      </c>
      <c r="BN726" s="89" t="s">
        <v>646</v>
      </c>
      <c r="BO726" s="89" t="str">
        <f>HYPERLINK("http://dx.doi.org/10.1108/JFMM-02-2020-0017","http://dx.doi.org/10.1108/JFMM-02-2020-0017")</f>
        <v>http://dx.doi.org/10.1108/JFMM-02-2020-0017</v>
      </c>
      <c r="BP726" s="89" t="s">
        <v>646</v>
      </c>
      <c r="BQ726" s="89" t="s">
        <v>23215</v>
      </c>
      <c r="BR726" s="89" t="s">
        <v>646</v>
      </c>
      <c r="BS726" s="89" t="s">
        <v>646</v>
      </c>
      <c r="BT726" s="89" t="s">
        <v>646</v>
      </c>
      <c r="BU726" s="89" t="s">
        <v>646</v>
      </c>
      <c r="BV726" s="89" t="s">
        <v>646</v>
      </c>
      <c r="BW726" s="89" t="s">
        <v>646</v>
      </c>
      <c r="BX726" s="89" t="s">
        <v>646</v>
      </c>
      <c r="BY726" s="89" t="s">
        <v>646</v>
      </c>
      <c r="BZ726" s="89" t="s">
        <v>646</v>
      </c>
      <c r="CA726" s="89" t="s">
        <v>646</v>
      </c>
      <c r="CB726" s="89" t="s">
        <v>23347</v>
      </c>
      <c r="CC726" s="89" t="str">
        <f>HYPERLINK("https%3A%2F%2Fwww.webofscience.com%2Fwos%2Fwoscc%2Ffull-record%2FWOS:000581487400001","View Full Record in Web of Science")</f>
        <v>View Full Record in Web of Science</v>
      </c>
    </row>
    <row r="727" spans="1:81" ht="13.2" hidden="1" x14ac:dyDescent="0.25">
      <c r="A727" s="89" t="s">
        <v>10071</v>
      </c>
      <c r="B727" s="89" t="e">
        <f>+#REF!</f>
        <v>#REF!</v>
      </c>
      <c r="C727" s="89"/>
      <c r="D727" s="91" t="s">
        <v>717</v>
      </c>
      <c r="E727" s="90" t="e">
        <v>#REF!</v>
      </c>
      <c r="F727" s="89"/>
      <c r="G727" s="89"/>
      <c r="H727" s="89" t="s">
        <v>10072</v>
      </c>
      <c r="I727" s="89" t="s">
        <v>23348</v>
      </c>
      <c r="J727" s="89" t="s">
        <v>646</v>
      </c>
      <c r="K727" s="89" t="s">
        <v>23350</v>
      </c>
      <c r="M727" s="89">
        <v>2022</v>
      </c>
      <c r="N727" s="89" t="s">
        <v>23349</v>
      </c>
      <c r="O727" s="89" t="s">
        <v>646</v>
      </c>
      <c r="P727" s="89" t="str">
        <f>HYPERLINK("http://dx.doi.org/10.1186/s12955-022-02015-8","http://dx.doi.org/10.1186/s12955-022-02015-8")</f>
        <v>http://dx.doi.org/10.1186/s12955-022-02015-8</v>
      </c>
      <c r="S727" s="89" t="s">
        <v>646</v>
      </c>
      <c r="U727" s="89" t="s">
        <v>17462</v>
      </c>
      <c r="W727" s="89" t="s">
        <v>646</v>
      </c>
      <c r="X727" s="89" t="s">
        <v>646</v>
      </c>
      <c r="Y727" s="89" t="s">
        <v>646</v>
      </c>
      <c r="Z727" s="89" t="s">
        <v>646</v>
      </c>
      <c r="AA727" s="89" t="s">
        <v>646</v>
      </c>
      <c r="AB727" s="89" t="s">
        <v>646</v>
      </c>
      <c r="AC727" s="89" t="s">
        <v>646</v>
      </c>
      <c r="AD727" s="89" t="s">
        <v>646</v>
      </c>
      <c r="AE727" s="89" t="s">
        <v>646</v>
      </c>
      <c r="AF727" s="89" t="s">
        <v>23350</v>
      </c>
      <c r="AG727" s="89" t="s">
        <v>646</v>
      </c>
      <c r="AH727" s="89" t="s">
        <v>646</v>
      </c>
      <c r="AI727" s="89" t="s">
        <v>646</v>
      </c>
      <c r="AJ727" s="89" t="s">
        <v>646</v>
      </c>
      <c r="AK727" s="89" t="s">
        <v>646</v>
      </c>
      <c r="AL727" s="89" t="s">
        <v>23351</v>
      </c>
      <c r="AM727" s="89" t="s">
        <v>646</v>
      </c>
      <c r="AN727" s="89" t="s">
        <v>646</v>
      </c>
      <c r="AO727" s="89" t="s">
        <v>646</v>
      </c>
      <c r="AP727" s="89" t="s">
        <v>646</v>
      </c>
      <c r="AQ727" s="89" t="s">
        <v>646</v>
      </c>
      <c r="AR727" s="89" t="s">
        <v>646</v>
      </c>
      <c r="AS727" s="89" t="s">
        <v>646</v>
      </c>
      <c r="AT727" s="89" t="s">
        <v>646</v>
      </c>
      <c r="AU727" s="89" t="s">
        <v>646</v>
      </c>
      <c r="AV727" s="89" t="s">
        <v>646</v>
      </c>
      <c r="AW727" s="89" t="s">
        <v>646</v>
      </c>
      <c r="AX727" s="89" t="s">
        <v>646</v>
      </c>
      <c r="AY727" s="89" t="s">
        <v>646</v>
      </c>
      <c r="AZ727" s="89" t="s">
        <v>23352</v>
      </c>
      <c r="BA727" s="89" t="s">
        <v>646</v>
      </c>
      <c r="BB727" s="89" t="s">
        <v>646</v>
      </c>
      <c r="BC727" s="89" t="s">
        <v>646</v>
      </c>
      <c r="BD727" s="89" t="s">
        <v>23353</v>
      </c>
      <c r="BE727" s="89">
        <v>2022</v>
      </c>
      <c r="BF727" s="89">
        <v>20</v>
      </c>
      <c r="BG727" s="89">
        <v>1</v>
      </c>
      <c r="BH727" s="89" t="s">
        <v>646</v>
      </c>
      <c r="BI727" s="89" t="s">
        <v>646</v>
      </c>
      <c r="BJ727" s="89" t="s">
        <v>646</v>
      </c>
      <c r="BK727" s="89" t="s">
        <v>646</v>
      </c>
      <c r="BL727" s="89" t="s">
        <v>646</v>
      </c>
      <c r="BM727" s="89" t="s">
        <v>646</v>
      </c>
      <c r="BN727" s="89">
        <v>104</v>
      </c>
      <c r="BO727" s="89" t="str">
        <f>HYPERLINK("http://dx.doi.org/10.1186/s12955-022-02015-8","http://dx.doi.org/10.1186/s12955-022-02015-8")</f>
        <v>http://dx.doi.org/10.1186/s12955-022-02015-8</v>
      </c>
      <c r="BP727" s="89" t="s">
        <v>646</v>
      </c>
      <c r="BQ727" s="89" t="s">
        <v>646</v>
      </c>
      <c r="BR727" s="89" t="s">
        <v>646</v>
      </c>
      <c r="BS727" s="89" t="s">
        <v>646</v>
      </c>
      <c r="BT727" s="89" t="s">
        <v>646</v>
      </c>
      <c r="BU727" s="89" t="s">
        <v>646</v>
      </c>
      <c r="BV727" s="89" t="s">
        <v>646</v>
      </c>
      <c r="BW727" s="89">
        <v>35794553</v>
      </c>
      <c r="BX727" s="89" t="s">
        <v>646</v>
      </c>
      <c r="BY727" s="89" t="s">
        <v>646</v>
      </c>
      <c r="BZ727" s="89" t="s">
        <v>646</v>
      </c>
      <c r="CA727" s="89" t="s">
        <v>646</v>
      </c>
      <c r="CB727" s="89" t="s">
        <v>23354</v>
      </c>
      <c r="CC727" s="89" t="str">
        <f>HYPERLINK("https%3A%2F%2Fwww.webofscience.com%2Fwos%2Fwoscc%2Ffull-record%2FWOS:000825325400001","View Full Record in Web of Science")</f>
        <v>View Full Record in Web of Science</v>
      </c>
    </row>
    <row r="728" spans="1:81" ht="13.2" hidden="1" x14ac:dyDescent="0.25">
      <c r="A728" s="89" t="s">
        <v>23355</v>
      </c>
      <c r="B728" s="89" t="e">
        <f>+#REF!</f>
        <v>#REF!</v>
      </c>
      <c r="C728" s="89"/>
      <c r="D728" s="91" t="s">
        <v>717</v>
      </c>
      <c r="E728" s="90" t="e">
        <v>#REF!</v>
      </c>
      <c r="F728" s="89"/>
      <c r="G728" s="89"/>
      <c r="H728" s="89" t="s">
        <v>14485</v>
      </c>
      <c r="I728" s="89" t="s">
        <v>23356</v>
      </c>
      <c r="J728" s="89" t="s">
        <v>23359</v>
      </c>
      <c r="K728" s="89" t="s">
        <v>23358</v>
      </c>
      <c r="M728" s="89">
        <v>2012</v>
      </c>
      <c r="N728" s="89" t="s">
        <v>23357</v>
      </c>
      <c r="O728" s="89" t="s">
        <v>646</v>
      </c>
      <c r="P728" s="89" t="str">
        <f>HYPERLINK("http://dx.doi.org/10.1109/JSTSP.2012.2229965","http://dx.doi.org/10.1109/JSTSP.2012.2229965")</f>
        <v>http://dx.doi.org/10.1109/JSTSP.2012.2229965</v>
      </c>
      <c r="S728" s="89" t="s">
        <v>646</v>
      </c>
      <c r="U728" s="89" t="s">
        <v>17462</v>
      </c>
      <c r="W728" s="89" t="s">
        <v>646</v>
      </c>
      <c r="X728" s="89" t="s">
        <v>646</v>
      </c>
      <c r="Y728" s="89" t="s">
        <v>646</v>
      </c>
      <c r="Z728" s="89" t="s">
        <v>646</v>
      </c>
      <c r="AA728" s="89" t="s">
        <v>646</v>
      </c>
      <c r="AB728" s="89" t="s">
        <v>646</v>
      </c>
      <c r="AC728" s="89" t="s">
        <v>646</v>
      </c>
      <c r="AD728" s="89" t="s">
        <v>646</v>
      </c>
      <c r="AE728" s="89" t="s">
        <v>646</v>
      </c>
      <c r="AF728" s="89" t="s">
        <v>23358</v>
      </c>
      <c r="AG728" s="89" t="s">
        <v>646</v>
      </c>
      <c r="AH728" s="89" t="s">
        <v>646</v>
      </c>
      <c r="AI728" s="89" t="s">
        <v>646</v>
      </c>
      <c r="AJ728" s="89" t="s">
        <v>646</v>
      </c>
      <c r="AK728" s="89" t="s">
        <v>23359</v>
      </c>
      <c r="AL728" s="89" t="s">
        <v>23360</v>
      </c>
      <c r="AM728" s="89" t="s">
        <v>646</v>
      </c>
      <c r="AN728" s="89" t="s">
        <v>646</v>
      </c>
      <c r="AO728" s="89" t="s">
        <v>646</v>
      </c>
      <c r="AP728" s="89" t="s">
        <v>646</v>
      </c>
      <c r="AQ728" s="89" t="s">
        <v>646</v>
      </c>
      <c r="AR728" s="89" t="s">
        <v>646</v>
      </c>
      <c r="AS728" s="89" t="s">
        <v>646</v>
      </c>
      <c r="AT728" s="89" t="s">
        <v>646</v>
      </c>
      <c r="AU728" s="89" t="s">
        <v>646</v>
      </c>
      <c r="AV728" s="89" t="s">
        <v>646</v>
      </c>
      <c r="AW728" s="89" t="s">
        <v>646</v>
      </c>
      <c r="AX728" s="89" t="s">
        <v>646</v>
      </c>
      <c r="AY728" s="89" t="s">
        <v>23361</v>
      </c>
      <c r="AZ728" s="89" t="s">
        <v>23362</v>
      </c>
      <c r="BA728" s="89" t="s">
        <v>646</v>
      </c>
      <c r="BB728" s="89" t="s">
        <v>646</v>
      </c>
      <c r="BC728" s="89" t="s">
        <v>646</v>
      </c>
      <c r="BD728" s="89" t="s">
        <v>17615</v>
      </c>
      <c r="BE728" s="89">
        <v>2012</v>
      </c>
      <c r="BF728" s="89">
        <v>6</v>
      </c>
      <c r="BG728" s="89">
        <v>8</v>
      </c>
      <c r="BH728" s="89" t="s">
        <v>646</v>
      </c>
      <c r="BI728" s="89" t="s">
        <v>646</v>
      </c>
      <c r="BJ728" s="89" t="s">
        <v>646</v>
      </c>
      <c r="BK728" s="89" t="s">
        <v>646</v>
      </c>
      <c r="BL728" s="89">
        <v>971</v>
      </c>
      <c r="BM728" s="89">
        <v>981</v>
      </c>
      <c r="BN728" s="89" t="s">
        <v>646</v>
      </c>
      <c r="BO728" s="89" t="str">
        <f>HYPERLINK("http://dx.doi.org/10.1109/JSTSP.2012.2229965","http://dx.doi.org/10.1109/JSTSP.2012.2229965")</f>
        <v>http://dx.doi.org/10.1109/JSTSP.2012.2229965</v>
      </c>
      <c r="BP728" s="89" t="s">
        <v>646</v>
      </c>
      <c r="BQ728" s="89" t="s">
        <v>646</v>
      </c>
      <c r="BR728" s="89" t="s">
        <v>646</v>
      </c>
      <c r="BS728" s="89" t="s">
        <v>646</v>
      </c>
      <c r="BT728" s="89" t="s">
        <v>646</v>
      </c>
      <c r="BU728" s="89" t="s">
        <v>646</v>
      </c>
      <c r="BV728" s="89" t="s">
        <v>646</v>
      </c>
      <c r="BW728" s="89" t="s">
        <v>646</v>
      </c>
      <c r="BX728" s="89" t="s">
        <v>646</v>
      </c>
      <c r="BY728" s="89" t="s">
        <v>646</v>
      </c>
      <c r="BZ728" s="89" t="s">
        <v>646</v>
      </c>
      <c r="CA728" s="89" t="s">
        <v>646</v>
      </c>
      <c r="CB728" s="89" t="s">
        <v>23363</v>
      </c>
      <c r="CC728" s="89" t="str">
        <f>HYPERLINK("https%3A%2F%2Fwww.webofscience.com%2Fwos%2Fwoscc%2Ffull-record%2FWOS:000208945900008","View Full Record in Web of Science")</f>
        <v>View Full Record in Web of Science</v>
      </c>
    </row>
    <row r="729" spans="1:81" ht="13.2" hidden="1" x14ac:dyDescent="0.25">
      <c r="A729" s="89" t="s">
        <v>23364</v>
      </c>
      <c r="B729" s="89" t="e">
        <f>+#REF!</f>
        <v>#REF!</v>
      </c>
      <c r="C729" s="89"/>
      <c r="D729" s="91" t="s">
        <v>717</v>
      </c>
      <c r="E729" s="90" t="e">
        <v>#REF!</v>
      </c>
      <c r="F729" s="89"/>
      <c r="G729" s="89"/>
      <c r="H729" s="89" t="s">
        <v>16569</v>
      </c>
      <c r="I729" s="89" t="s">
        <v>23365</v>
      </c>
      <c r="J729" s="89" t="s">
        <v>646</v>
      </c>
      <c r="K729" s="89" t="s">
        <v>23367</v>
      </c>
      <c r="M729" s="89">
        <v>2017</v>
      </c>
      <c r="N729" s="89" t="s">
        <v>23366</v>
      </c>
      <c r="O729" s="89" t="s">
        <v>646</v>
      </c>
      <c r="P729" s="89" t="str">
        <f>HYPERLINK("http://dx.doi.org/10.2196/mhealth.8470","http://dx.doi.org/10.2196/mhealth.8470")</f>
        <v>http://dx.doi.org/10.2196/mhealth.8470</v>
      </c>
      <c r="S729" s="89" t="s">
        <v>646</v>
      </c>
      <c r="U729" s="89" t="s">
        <v>17462</v>
      </c>
      <c r="W729" s="89" t="s">
        <v>646</v>
      </c>
      <c r="X729" s="89" t="s">
        <v>646</v>
      </c>
      <c r="Y729" s="89" t="s">
        <v>646</v>
      </c>
      <c r="Z729" s="89" t="s">
        <v>646</v>
      </c>
      <c r="AA729" s="89" t="s">
        <v>646</v>
      </c>
      <c r="AB729" s="89" t="s">
        <v>646</v>
      </c>
      <c r="AC729" s="89" t="s">
        <v>646</v>
      </c>
      <c r="AD729" s="89" t="s">
        <v>646</v>
      </c>
      <c r="AE729" s="89" t="s">
        <v>646</v>
      </c>
      <c r="AF729" s="89" t="s">
        <v>23367</v>
      </c>
      <c r="AG729" s="89" t="s">
        <v>646</v>
      </c>
      <c r="AH729" s="89" t="s">
        <v>646</v>
      </c>
      <c r="AI729" s="89" t="s">
        <v>646</v>
      </c>
      <c r="AJ729" s="89" t="s">
        <v>646</v>
      </c>
      <c r="AK729" s="89" t="s">
        <v>646</v>
      </c>
      <c r="AL729" s="89" t="s">
        <v>23368</v>
      </c>
      <c r="AM729" s="89" t="s">
        <v>646</v>
      </c>
      <c r="AN729" s="89" t="s">
        <v>646</v>
      </c>
      <c r="AO729" s="89" t="s">
        <v>646</v>
      </c>
      <c r="AP729" s="89" t="s">
        <v>646</v>
      </c>
      <c r="AQ729" s="89" t="s">
        <v>646</v>
      </c>
      <c r="AR729" s="89" t="s">
        <v>646</v>
      </c>
      <c r="AS729" s="89" t="s">
        <v>646</v>
      </c>
      <c r="AT729" s="89" t="s">
        <v>646</v>
      </c>
      <c r="AU729" s="89" t="s">
        <v>646</v>
      </c>
      <c r="AV729" s="89" t="s">
        <v>646</v>
      </c>
      <c r="AW729" s="89" t="s">
        <v>646</v>
      </c>
      <c r="AX729" s="89" t="s">
        <v>646</v>
      </c>
      <c r="AY729" s="89" t="s">
        <v>23369</v>
      </c>
      <c r="AZ729" s="89" t="s">
        <v>646</v>
      </c>
      <c r="BA729" s="89" t="s">
        <v>646</v>
      </c>
      <c r="BB729" s="89" t="s">
        <v>646</v>
      </c>
      <c r="BC729" s="89" t="s">
        <v>646</v>
      </c>
      <c r="BD729" s="89" t="s">
        <v>17615</v>
      </c>
      <c r="BE729" s="89">
        <v>2017</v>
      </c>
      <c r="BF729" s="89">
        <v>5</v>
      </c>
      <c r="BG729" s="89">
        <v>12</v>
      </c>
      <c r="BH729" s="89" t="s">
        <v>646</v>
      </c>
      <c r="BI729" s="89" t="s">
        <v>646</v>
      </c>
      <c r="BJ729" s="89" t="s">
        <v>646</v>
      </c>
      <c r="BK729" s="89" t="s">
        <v>646</v>
      </c>
      <c r="BL729" s="89" t="s">
        <v>646</v>
      </c>
      <c r="BM729" s="89" t="s">
        <v>646</v>
      </c>
      <c r="BN729" s="89" t="s">
        <v>23370</v>
      </c>
      <c r="BO729" s="89" t="str">
        <f>HYPERLINK("http://dx.doi.org/10.2196/mhealth.8470","http://dx.doi.org/10.2196/mhealth.8470")</f>
        <v>http://dx.doi.org/10.2196/mhealth.8470</v>
      </c>
      <c r="BP729" s="89" t="s">
        <v>646</v>
      </c>
      <c r="BQ729" s="89" t="s">
        <v>646</v>
      </c>
      <c r="BR729" s="89" t="s">
        <v>646</v>
      </c>
      <c r="BS729" s="89" t="s">
        <v>646</v>
      </c>
      <c r="BT729" s="89" t="s">
        <v>646</v>
      </c>
      <c r="BU729" s="89" t="s">
        <v>646</v>
      </c>
      <c r="BV729" s="89" t="s">
        <v>646</v>
      </c>
      <c r="BW729" s="89">
        <v>29229586</v>
      </c>
      <c r="BX729" s="89" t="s">
        <v>646</v>
      </c>
      <c r="BY729" s="89" t="s">
        <v>646</v>
      </c>
      <c r="BZ729" s="89" t="s">
        <v>646</v>
      </c>
      <c r="CA729" s="89" t="s">
        <v>646</v>
      </c>
      <c r="CB729" s="89" t="s">
        <v>23371</v>
      </c>
      <c r="CC729" s="89" t="str">
        <f>HYPERLINK("https%3A%2F%2Fwww.webofscience.com%2Fwos%2Fwoscc%2Ffull-record%2FWOS:000419159800023","View Full Record in Web of Science")</f>
        <v>View Full Record in Web of Science</v>
      </c>
    </row>
    <row r="730" spans="1:81" ht="13.2" hidden="1" x14ac:dyDescent="0.25">
      <c r="A730" s="89" t="s">
        <v>23372</v>
      </c>
      <c r="B730" s="89" t="e">
        <f>+#REF!</f>
        <v>#REF!</v>
      </c>
      <c r="C730" s="89"/>
      <c r="D730" s="91" t="s">
        <v>717</v>
      </c>
      <c r="E730" s="90" t="e">
        <v>#REF!</v>
      </c>
      <c r="F730" s="89"/>
      <c r="G730" s="89"/>
      <c r="H730" s="89" t="s">
        <v>14495</v>
      </c>
      <c r="I730" s="89" t="s">
        <v>23374</v>
      </c>
      <c r="J730" s="89" t="s">
        <v>23380</v>
      </c>
      <c r="K730" s="89" t="s">
        <v>23379</v>
      </c>
      <c r="M730" s="89">
        <v>2017</v>
      </c>
      <c r="N730" s="89" t="s">
        <v>23375</v>
      </c>
      <c r="O730" s="89" t="s">
        <v>646</v>
      </c>
      <c r="P730" s="89" t="str">
        <f>HYPERLINK("http://dx.doi.org/10.1109/ICGSE.2017.14","http://dx.doi.org/10.1109/ICGSE.2017.14")</f>
        <v>http://dx.doi.org/10.1109/ICGSE.2017.14</v>
      </c>
      <c r="S730" s="89" t="s">
        <v>23373</v>
      </c>
      <c r="U730" s="89" t="s">
        <v>17474</v>
      </c>
      <c r="W730" s="89" t="s">
        <v>646</v>
      </c>
      <c r="X730" s="89" t="s">
        <v>646</v>
      </c>
      <c r="Y730" s="89" t="s">
        <v>23376</v>
      </c>
      <c r="Z730" s="89" t="s">
        <v>23377</v>
      </c>
      <c r="AA730" s="89" t="s">
        <v>18861</v>
      </c>
      <c r="AB730" s="89" t="s">
        <v>23378</v>
      </c>
      <c r="AC730" s="89" t="s">
        <v>646</v>
      </c>
      <c r="AD730" s="89" t="s">
        <v>646</v>
      </c>
      <c r="AE730" s="89" t="s">
        <v>646</v>
      </c>
      <c r="AF730" s="89" t="s">
        <v>23379</v>
      </c>
      <c r="AG730" s="89" t="s">
        <v>646</v>
      </c>
      <c r="AH730" s="89" t="s">
        <v>646</v>
      </c>
      <c r="AI730" s="89" t="s">
        <v>646</v>
      </c>
      <c r="AJ730" s="89" t="s">
        <v>646</v>
      </c>
      <c r="AK730" s="89" t="s">
        <v>23380</v>
      </c>
      <c r="AL730" s="89" t="s">
        <v>23381</v>
      </c>
      <c r="AM730" s="89" t="s">
        <v>646</v>
      </c>
      <c r="AN730" s="89" t="s">
        <v>646</v>
      </c>
      <c r="AO730" s="89" t="s">
        <v>646</v>
      </c>
      <c r="AP730" s="89" t="s">
        <v>646</v>
      </c>
      <c r="AQ730" s="89" t="s">
        <v>646</v>
      </c>
      <c r="AR730" s="89" t="s">
        <v>646</v>
      </c>
      <c r="AS730" s="89" t="s">
        <v>646</v>
      </c>
      <c r="AT730" s="89" t="s">
        <v>646</v>
      </c>
      <c r="AU730" s="89" t="s">
        <v>646</v>
      </c>
      <c r="AV730" s="89" t="s">
        <v>646</v>
      </c>
      <c r="AW730" s="89" t="s">
        <v>646</v>
      </c>
      <c r="AX730" s="89" t="s">
        <v>646</v>
      </c>
      <c r="AY730" s="89" t="s">
        <v>18768</v>
      </c>
      <c r="AZ730" s="89" t="s">
        <v>646</v>
      </c>
      <c r="BA730" s="89" t="s">
        <v>23382</v>
      </c>
      <c r="BB730" s="89" t="s">
        <v>646</v>
      </c>
      <c r="BC730" s="89" t="s">
        <v>646</v>
      </c>
      <c r="BD730" s="89" t="s">
        <v>646</v>
      </c>
      <c r="BE730" s="89">
        <v>2017</v>
      </c>
      <c r="BF730" s="89" t="s">
        <v>646</v>
      </c>
      <c r="BG730" s="89" t="s">
        <v>646</v>
      </c>
      <c r="BH730" s="89" t="s">
        <v>646</v>
      </c>
      <c r="BI730" s="89" t="s">
        <v>646</v>
      </c>
      <c r="BJ730" s="89" t="s">
        <v>646</v>
      </c>
      <c r="BK730" s="89" t="s">
        <v>646</v>
      </c>
      <c r="BL730" s="89">
        <v>51</v>
      </c>
      <c r="BM730" s="89">
        <v>55</v>
      </c>
      <c r="BN730" s="89" t="s">
        <v>646</v>
      </c>
      <c r="BO730" s="89" t="str">
        <f>HYPERLINK("http://dx.doi.org/10.1109/ICGSE.2017.14","http://dx.doi.org/10.1109/ICGSE.2017.14")</f>
        <v>http://dx.doi.org/10.1109/ICGSE.2017.14</v>
      </c>
      <c r="BP730" s="89" t="s">
        <v>646</v>
      </c>
      <c r="BQ730" s="89" t="s">
        <v>646</v>
      </c>
      <c r="BR730" s="89" t="s">
        <v>646</v>
      </c>
      <c r="BS730" s="89" t="s">
        <v>646</v>
      </c>
      <c r="BT730" s="89" t="s">
        <v>646</v>
      </c>
      <c r="BU730" s="89" t="s">
        <v>646</v>
      </c>
      <c r="BV730" s="89" t="s">
        <v>646</v>
      </c>
      <c r="BW730" s="89" t="s">
        <v>646</v>
      </c>
      <c r="BX730" s="89" t="s">
        <v>646</v>
      </c>
      <c r="BY730" s="89" t="s">
        <v>646</v>
      </c>
      <c r="BZ730" s="89" t="s">
        <v>646</v>
      </c>
      <c r="CA730" s="89" t="s">
        <v>646</v>
      </c>
      <c r="CB730" s="89" t="s">
        <v>23383</v>
      </c>
      <c r="CC730" s="89" t="str">
        <f>HYPERLINK("https%3A%2F%2Fwww.webofscience.com%2Fwos%2Fwoscc%2Ffull-record%2FWOS:000412758200007","View Full Record in Web of Science")</f>
        <v>View Full Record in Web of Science</v>
      </c>
    </row>
    <row r="731" spans="1:81" ht="13.2" hidden="1" x14ac:dyDescent="0.25">
      <c r="A731" s="89" t="s">
        <v>23384</v>
      </c>
      <c r="B731" s="89" t="e">
        <f>+#REF!</f>
        <v>#REF!</v>
      </c>
      <c r="C731" s="89"/>
      <c r="D731" s="91" t="s">
        <v>717</v>
      </c>
      <c r="E731" s="90" t="e">
        <v>#REF!</v>
      </c>
      <c r="F731" s="89"/>
      <c r="G731" s="89"/>
      <c r="H731" s="89" t="s">
        <v>16579</v>
      </c>
      <c r="I731" s="89" t="s">
        <v>22101</v>
      </c>
      <c r="J731" s="89" t="s">
        <v>646</v>
      </c>
      <c r="K731" s="89" t="s">
        <v>23386</v>
      </c>
      <c r="M731" s="89">
        <v>2021</v>
      </c>
      <c r="N731" s="89" t="s">
        <v>23385</v>
      </c>
      <c r="O731" s="89" t="s">
        <v>646</v>
      </c>
      <c r="P731" s="89" t="str">
        <f>HYPERLINK("http://dx.doi.org/10.1016/j.jpsychires.2020.12.037","http://dx.doi.org/10.1016/j.jpsychires.2020.12.037")</f>
        <v>http://dx.doi.org/10.1016/j.jpsychires.2020.12.037</v>
      </c>
      <c r="S731" s="89" t="s">
        <v>646</v>
      </c>
      <c r="U731" s="89" t="s">
        <v>17462</v>
      </c>
      <c r="W731" s="89" t="s">
        <v>646</v>
      </c>
      <c r="X731" s="89" t="s">
        <v>646</v>
      </c>
      <c r="Y731" s="89" t="s">
        <v>646</v>
      </c>
      <c r="Z731" s="89" t="s">
        <v>646</v>
      </c>
      <c r="AA731" s="89" t="s">
        <v>646</v>
      </c>
      <c r="AB731" s="89" t="s">
        <v>646</v>
      </c>
      <c r="AC731" s="89" t="s">
        <v>646</v>
      </c>
      <c r="AD731" s="89" t="s">
        <v>646</v>
      </c>
      <c r="AE731" s="89" t="s">
        <v>646</v>
      </c>
      <c r="AF731" s="89" t="s">
        <v>23386</v>
      </c>
      <c r="AG731" s="89" t="s">
        <v>646</v>
      </c>
      <c r="AH731" s="89" t="s">
        <v>646</v>
      </c>
      <c r="AI731" s="89" t="s">
        <v>646</v>
      </c>
      <c r="AJ731" s="89" t="s">
        <v>646</v>
      </c>
      <c r="AK731" s="89" t="s">
        <v>646</v>
      </c>
      <c r="AL731" s="89" t="s">
        <v>23387</v>
      </c>
      <c r="AM731" s="89" t="s">
        <v>646</v>
      </c>
      <c r="AN731" s="89" t="s">
        <v>646</v>
      </c>
      <c r="AO731" s="89" t="s">
        <v>646</v>
      </c>
      <c r="AP731" s="89" t="s">
        <v>646</v>
      </c>
      <c r="AQ731" s="89" t="s">
        <v>646</v>
      </c>
      <c r="AR731" s="89" t="s">
        <v>646</v>
      </c>
      <c r="AS731" s="89" t="s">
        <v>646</v>
      </c>
      <c r="AT731" s="89" t="s">
        <v>646</v>
      </c>
      <c r="AU731" s="89" t="s">
        <v>646</v>
      </c>
      <c r="AV731" s="89" t="s">
        <v>646</v>
      </c>
      <c r="AW731" s="89" t="s">
        <v>646</v>
      </c>
      <c r="AX731" s="89" t="s">
        <v>646</v>
      </c>
      <c r="AY731" s="89" t="s">
        <v>23388</v>
      </c>
      <c r="AZ731" s="89" t="s">
        <v>23389</v>
      </c>
      <c r="BA731" s="89" t="s">
        <v>646</v>
      </c>
      <c r="BB731" s="89" t="s">
        <v>646</v>
      </c>
      <c r="BC731" s="89" t="s">
        <v>646</v>
      </c>
      <c r="BD731" s="89" t="s">
        <v>17658</v>
      </c>
      <c r="BE731" s="89">
        <v>2021</v>
      </c>
      <c r="BF731" s="89">
        <v>134</v>
      </c>
      <c r="BG731" s="89" t="s">
        <v>646</v>
      </c>
      <c r="BH731" s="89" t="s">
        <v>646</v>
      </c>
      <c r="BI731" s="89" t="s">
        <v>646</v>
      </c>
      <c r="BJ731" s="89" t="s">
        <v>646</v>
      </c>
      <c r="BK731" s="89" t="s">
        <v>646</v>
      </c>
      <c r="BL731" s="89">
        <v>32</v>
      </c>
      <c r="BM731" s="89">
        <v>38</v>
      </c>
      <c r="BN731" s="89" t="s">
        <v>646</v>
      </c>
      <c r="BO731" s="89" t="str">
        <f>HYPERLINK("http://dx.doi.org/10.1016/j.jpsychires.2020.12.037","http://dx.doi.org/10.1016/j.jpsychires.2020.12.037")</f>
        <v>http://dx.doi.org/10.1016/j.jpsychires.2020.12.037</v>
      </c>
      <c r="BP731" s="89" t="s">
        <v>646</v>
      </c>
      <c r="BQ731" s="89" t="s">
        <v>646</v>
      </c>
      <c r="BR731" s="89" t="s">
        <v>646</v>
      </c>
      <c r="BS731" s="89" t="s">
        <v>646</v>
      </c>
      <c r="BT731" s="89" t="s">
        <v>646</v>
      </c>
      <c r="BU731" s="89" t="s">
        <v>646</v>
      </c>
      <c r="BV731" s="89" t="s">
        <v>646</v>
      </c>
      <c r="BW731" s="89">
        <v>33360222</v>
      </c>
      <c r="BX731" s="89" t="s">
        <v>646</v>
      </c>
      <c r="BY731" s="89" t="s">
        <v>646</v>
      </c>
      <c r="BZ731" s="89" t="s">
        <v>646</v>
      </c>
      <c r="CA731" s="89" t="s">
        <v>646</v>
      </c>
      <c r="CB731" s="89" t="s">
        <v>23390</v>
      </c>
      <c r="CC731" s="89" t="str">
        <f>HYPERLINK("https%3A%2F%2Fwww.webofscience.com%2Fwos%2Fwoscc%2Ffull-record%2FWOS:000616251600006","View Full Record in Web of Science")</f>
        <v>View Full Record in Web of Science</v>
      </c>
    </row>
    <row r="732" spans="1:81" ht="13.2" hidden="1" x14ac:dyDescent="0.25">
      <c r="A732" s="89" t="s">
        <v>14503</v>
      </c>
      <c r="B732" s="89" t="e">
        <f>+#REF!</f>
        <v>#REF!</v>
      </c>
      <c r="C732" s="89"/>
      <c r="D732" s="91" t="s">
        <v>717</v>
      </c>
      <c r="E732" s="90" t="e">
        <v>#REF!</v>
      </c>
      <c r="F732" s="89"/>
      <c r="G732" s="89"/>
      <c r="H732" s="89" t="s">
        <v>14504</v>
      </c>
      <c r="I732" s="89" t="s">
        <v>23391</v>
      </c>
      <c r="J732" s="89" t="s">
        <v>23394</v>
      </c>
      <c r="K732" s="89" t="s">
        <v>23393</v>
      </c>
      <c r="M732" s="89">
        <v>2015</v>
      </c>
      <c r="N732" s="89" t="s">
        <v>23392</v>
      </c>
      <c r="O732" s="89" t="s">
        <v>646</v>
      </c>
      <c r="P732" s="89" t="str">
        <f>HYPERLINK("http://dx.doi.org/10.1109/ICGSE.2015.20","http://dx.doi.org/10.1109/ICGSE.2015.20")</f>
        <v>http://dx.doi.org/10.1109/ICGSE.2015.20</v>
      </c>
      <c r="S732" s="89" t="s">
        <v>17475</v>
      </c>
      <c r="U732" s="89" t="s">
        <v>17474</v>
      </c>
      <c r="W732" s="89" t="s">
        <v>646</v>
      </c>
      <c r="X732" s="89" t="s">
        <v>646</v>
      </c>
      <c r="Y732" s="89" t="s">
        <v>19482</v>
      </c>
      <c r="Z732" s="89" t="s">
        <v>19483</v>
      </c>
      <c r="AA732" s="89" t="s">
        <v>19484</v>
      </c>
      <c r="AB732" s="89" t="s">
        <v>19485</v>
      </c>
      <c r="AC732" s="89" t="s">
        <v>19486</v>
      </c>
      <c r="AD732" s="89" t="s">
        <v>646</v>
      </c>
      <c r="AE732" s="89" t="s">
        <v>646</v>
      </c>
      <c r="AF732" s="89" t="s">
        <v>23393</v>
      </c>
      <c r="AG732" s="89" t="s">
        <v>646</v>
      </c>
      <c r="AH732" s="89" t="s">
        <v>646</v>
      </c>
      <c r="AI732" s="89" t="s">
        <v>646</v>
      </c>
      <c r="AJ732" s="89" t="s">
        <v>646</v>
      </c>
      <c r="AK732" s="89" t="s">
        <v>23394</v>
      </c>
      <c r="AL732" s="89" t="s">
        <v>23395</v>
      </c>
      <c r="AM732" s="89" t="s">
        <v>646</v>
      </c>
      <c r="AN732" s="89" t="s">
        <v>646</v>
      </c>
      <c r="AO732" s="89" t="s">
        <v>646</v>
      </c>
      <c r="AP732" s="89" t="s">
        <v>646</v>
      </c>
      <c r="AQ732" s="89" t="s">
        <v>646</v>
      </c>
      <c r="AR732" s="89" t="s">
        <v>646</v>
      </c>
      <c r="AS732" s="89" t="s">
        <v>646</v>
      </c>
      <c r="AT732" s="89" t="s">
        <v>646</v>
      </c>
      <c r="AU732" s="89" t="s">
        <v>646</v>
      </c>
      <c r="AV732" s="89" t="s">
        <v>646</v>
      </c>
      <c r="AW732" s="89" t="s">
        <v>646</v>
      </c>
      <c r="AX732" s="89" t="s">
        <v>646</v>
      </c>
      <c r="AY732" s="89" t="s">
        <v>18768</v>
      </c>
      <c r="AZ732" s="89" t="s">
        <v>646</v>
      </c>
      <c r="BA732" s="89" t="s">
        <v>23396</v>
      </c>
      <c r="BB732" s="89" t="s">
        <v>646</v>
      </c>
      <c r="BC732" s="89" t="s">
        <v>646</v>
      </c>
      <c r="BD732" s="89" t="s">
        <v>646</v>
      </c>
      <c r="BE732" s="89">
        <v>2015</v>
      </c>
      <c r="BF732" s="89" t="s">
        <v>646</v>
      </c>
      <c r="BG732" s="89" t="s">
        <v>646</v>
      </c>
      <c r="BH732" s="89" t="s">
        <v>646</v>
      </c>
      <c r="BI732" s="89" t="s">
        <v>646</v>
      </c>
      <c r="BJ732" s="89" t="s">
        <v>646</v>
      </c>
      <c r="BK732" s="89" t="s">
        <v>646</v>
      </c>
      <c r="BL732" s="89">
        <v>61</v>
      </c>
      <c r="BM732" s="89">
        <v>70</v>
      </c>
      <c r="BN732" s="89" t="s">
        <v>646</v>
      </c>
      <c r="BO732" s="89" t="str">
        <f>HYPERLINK("http://dx.doi.org/10.1109/ICGSE.2015.20","http://dx.doi.org/10.1109/ICGSE.2015.20")</f>
        <v>http://dx.doi.org/10.1109/ICGSE.2015.20</v>
      </c>
      <c r="BP732" s="89" t="s">
        <v>646</v>
      </c>
      <c r="BQ732" s="89" t="s">
        <v>646</v>
      </c>
      <c r="BR732" s="89" t="s">
        <v>646</v>
      </c>
      <c r="BS732" s="89" t="s">
        <v>646</v>
      </c>
      <c r="BT732" s="89" t="s">
        <v>646</v>
      </c>
      <c r="BU732" s="89" t="s">
        <v>646</v>
      </c>
      <c r="BV732" s="89" t="s">
        <v>646</v>
      </c>
      <c r="BW732" s="89" t="s">
        <v>646</v>
      </c>
      <c r="BX732" s="89" t="s">
        <v>646</v>
      </c>
      <c r="BY732" s="89" t="s">
        <v>646</v>
      </c>
      <c r="BZ732" s="89" t="s">
        <v>646</v>
      </c>
      <c r="CA732" s="89" t="s">
        <v>646</v>
      </c>
      <c r="CB732" s="89" t="s">
        <v>23397</v>
      </c>
      <c r="CC732" s="89" t="str">
        <f>HYPERLINK("https%3A%2F%2Fwww.webofscience.com%2Fwos%2Fwoscc%2Ffull-record%2FWOS:000377995400008","View Full Record in Web of Science")</f>
        <v>View Full Record in Web of Science</v>
      </c>
    </row>
    <row r="733" spans="1:81" ht="13.2" hidden="1" x14ac:dyDescent="0.25">
      <c r="A733" s="89" t="s">
        <v>23398</v>
      </c>
      <c r="B733" s="89" t="e">
        <f>+#REF!</f>
        <v>#REF!</v>
      </c>
      <c r="C733" s="89"/>
      <c r="D733" s="91" t="s">
        <v>717</v>
      </c>
      <c r="E733" s="90" t="e">
        <v>#REF!</v>
      </c>
      <c r="F733" s="89"/>
      <c r="G733" s="89"/>
      <c r="H733" s="89" t="s">
        <v>14512</v>
      </c>
      <c r="I733" s="89" t="s">
        <v>23399</v>
      </c>
      <c r="J733" s="89" t="s">
        <v>646</v>
      </c>
      <c r="K733" s="89" t="s">
        <v>23401</v>
      </c>
      <c r="M733" s="89">
        <v>2014</v>
      </c>
      <c r="N733" s="89" t="s">
        <v>23400</v>
      </c>
      <c r="O733" s="89" t="s">
        <v>646</v>
      </c>
      <c r="P733" s="89" t="str">
        <f>HYPERLINK("http://dx.doi.org/10.1089/hum.2014.030","http://dx.doi.org/10.1089/hum.2014.030")</f>
        <v>http://dx.doi.org/10.1089/hum.2014.030</v>
      </c>
      <c r="S733" s="89" t="s">
        <v>646</v>
      </c>
      <c r="U733" s="89" t="s">
        <v>17462</v>
      </c>
      <c r="W733" s="89" t="s">
        <v>646</v>
      </c>
      <c r="X733" s="89" t="s">
        <v>646</v>
      </c>
      <c r="Y733" s="89" t="s">
        <v>646</v>
      </c>
      <c r="Z733" s="89" t="s">
        <v>646</v>
      </c>
      <c r="AA733" s="89" t="s">
        <v>646</v>
      </c>
      <c r="AB733" s="89" t="s">
        <v>646</v>
      </c>
      <c r="AC733" s="89" t="s">
        <v>646</v>
      </c>
      <c r="AD733" s="89" t="s">
        <v>646</v>
      </c>
      <c r="AE733" s="89" t="s">
        <v>646</v>
      </c>
      <c r="AF733" s="89" t="s">
        <v>23401</v>
      </c>
      <c r="AG733" s="89" t="s">
        <v>646</v>
      </c>
      <c r="AH733" s="89" t="s">
        <v>646</v>
      </c>
      <c r="AI733" s="89" t="s">
        <v>646</v>
      </c>
      <c r="AJ733" s="89" t="s">
        <v>646</v>
      </c>
      <c r="AK733" s="89" t="s">
        <v>646</v>
      </c>
      <c r="AL733" s="89" t="s">
        <v>23402</v>
      </c>
      <c r="AM733" s="89" t="s">
        <v>646</v>
      </c>
      <c r="AN733" s="89" t="s">
        <v>646</v>
      </c>
      <c r="AO733" s="89" t="s">
        <v>646</v>
      </c>
      <c r="AP733" s="89" t="s">
        <v>646</v>
      </c>
      <c r="AQ733" s="89" t="s">
        <v>646</v>
      </c>
      <c r="AR733" s="89" t="s">
        <v>646</v>
      </c>
      <c r="AS733" s="89" t="s">
        <v>646</v>
      </c>
      <c r="AT733" s="89" t="s">
        <v>646</v>
      </c>
      <c r="AU733" s="89" t="s">
        <v>646</v>
      </c>
      <c r="AV733" s="89" t="s">
        <v>646</v>
      </c>
      <c r="AW733" s="89" t="s">
        <v>646</v>
      </c>
      <c r="AX733" s="89" t="s">
        <v>646</v>
      </c>
      <c r="AY733" s="89" t="s">
        <v>23403</v>
      </c>
      <c r="AZ733" s="89" t="s">
        <v>23404</v>
      </c>
      <c r="BA733" s="89" t="s">
        <v>646</v>
      </c>
      <c r="BB733" s="89" t="s">
        <v>646</v>
      </c>
      <c r="BC733" s="89" t="s">
        <v>646</v>
      </c>
      <c r="BD733" s="89" t="s">
        <v>18655</v>
      </c>
      <c r="BE733" s="89">
        <v>2014</v>
      </c>
      <c r="BF733" s="89">
        <v>25</v>
      </c>
      <c r="BG733" s="89">
        <v>8</v>
      </c>
      <c r="BH733" s="89" t="s">
        <v>646</v>
      </c>
      <c r="BI733" s="89" t="s">
        <v>646</v>
      </c>
      <c r="BJ733" s="89" t="s">
        <v>646</v>
      </c>
      <c r="BK733" s="89" t="s">
        <v>646</v>
      </c>
      <c r="BL733" s="89">
        <v>740</v>
      </c>
      <c r="BM733" s="89">
        <v>746</v>
      </c>
      <c r="BN733" s="89" t="s">
        <v>646</v>
      </c>
      <c r="BO733" s="89" t="str">
        <f>HYPERLINK("http://dx.doi.org/10.1089/hum.2014.030","http://dx.doi.org/10.1089/hum.2014.030")</f>
        <v>http://dx.doi.org/10.1089/hum.2014.030</v>
      </c>
      <c r="BP733" s="89" t="s">
        <v>646</v>
      </c>
      <c r="BQ733" s="89" t="s">
        <v>646</v>
      </c>
      <c r="BR733" s="89" t="s">
        <v>646</v>
      </c>
      <c r="BS733" s="89" t="s">
        <v>646</v>
      </c>
      <c r="BT733" s="89" t="s">
        <v>646</v>
      </c>
      <c r="BU733" s="89" t="s">
        <v>646</v>
      </c>
      <c r="BV733" s="89" t="s">
        <v>646</v>
      </c>
      <c r="BW733" s="89">
        <v>24773182</v>
      </c>
      <c r="BX733" s="89" t="s">
        <v>646</v>
      </c>
      <c r="BY733" s="89" t="s">
        <v>646</v>
      </c>
      <c r="BZ733" s="89" t="s">
        <v>646</v>
      </c>
      <c r="CA733" s="89" t="s">
        <v>646</v>
      </c>
      <c r="CB733" s="89" t="s">
        <v>23405</v>
      </c>
      <c r="CC733" s="89" t="str">
        <f>HYPERLINK("https%3A%2F%2Fwww.webofscience.com%2Fwos%2Fwoscc%2Ffull-record%2FWOS:000340821100009","View Full Record in Web of Science")</f>
        <v>View Full Record in Web of Science</v>
      </c>
    </row>
    <row r="734" spans="1:81" ht="13.2" hidden="1" x14ac:dyDescent="0.25">
      <c r="A734" s="89" t="s">
        <v>23406</v>
      </c>
      <c r="B734" s="89" t="e">
        <f>+#REF!</f>
        <v>#REF!</v>
      </c>
      <c r="C734" s="89"/>
      <c r="D734" s="91" t="s">
        <v>717</v>
      </c>
      <c r="E734" s="90" t="e">
        <v>#REF!</v>
      </c>
      <c r="F734" s="89"/>
      <c r="G734" s="89"/>
      <c r="H734" s="89" t="s">
        <v>646</v>
      </c>
      <c r="I734" s="89" t="s">
        <v>23407</v>
      </c>
      <c r="J734" s="89" t="s">
        <v>646</v>
      </c>
      <c r="K734" s="89" t="s">
        <v>23411</v>
      </c>
      <c r="M734" s="89">
        <v>2019</v>
      </c>
      <c r="N734" s="89" t="s">
        <v>23408</v>
      </c>
      <c r="O734" s="89" t="s">
        <v>20576</v>
      </c>
      <c r="P734" s="89" t="s">
        <v>646</v>
      </c>
      <c r="S734" s="89" t="s">
        <v>646</v>
      </c>
      <c r="U734" s="89" t="s">
        <v>17474</v>
      </c>
      <c r="W734" s="89" t="s">
        <v>646</v>
      </c>
      <c r="X734" s="89" t="s">
        <v>646</v>
      </c>
      <c r="Y734" s="89" t="s">
        <v>23409</v>
      </c>
      <c r="Z734" s="89" t="s">
        <v>23410</v>
      </c>
      <c r="AA734" s="89" t="s">
        <v>20581</v>
      </c>
      <c r="AB734" s="89" t="s">
        <v>646</v>
      </c>
      <c r="AC734" s="89" t="s">
        <v>646</v>
      </c>
      <c r="AD734" s="89" t="s">
        <v>646</v>
      </c>
      <c r="AE734" s="89" t="s">
        <v>646</v>
      </c>
      <c r="AF734" s="89" t="s">
        <v>23411</v>
      </c>
      <c r="AG734" s="89" t="s">
        <v>646</v>
      </c>
      <c r="AH734" s="89" t="s">
        <v>646</v>
      </c>
      <c r="AI734" s="89" t="s">
        <v>646</v>
      </c>
      <c r="AJ734" s="89" t="s">
        <v>646</v>
      </c>
      <c r="AK734" s="89" t="s">
        <v>646</v>
      </c>
      <c r="AL734" s="89" t="s">
        <v>646</v>
      </c>
      <c r="AM734" s="89" t="s">
        <v>646</v>
      </c>
      <c r="AN734" s="89" t="s">
        <v>646</v>
      </c>
      <c r="AO734" s="89" t="s">
        <v>646</v>
      </c>
      <c r="AP734" s="89" t="s">
        <v>646</v>
      </c>
      <c r="AQ734" s="89" t="s">
        <v>646</v>
      </c>
      <c r="AR734" s="89" t="s">
        <v>646</v>
      </c>
      <c r="AS734" s="89" t="s">
        <v>646</v>
      </c>
      <c r="AT734" s="89" t="s">
        <v>646</v>
      </c>
      <c r="AU734" s="89" t="s">
        <v>646</v>
      </c>
      <c r="AV734" s="89" t="s">
        <v>646</v>
      </c>
      <c r="AW734" s="89" t="s">
        <v>646</v>
      </c>
      <c r="AX734" s="89" t="s">
        <v>646</v>
      </c>
      <c r="AY734" s="89" t="s">
        <v>646</v>
      </c>
      <c r="AZ734" s="89" t="s">
        <v>646</v>
      </c>
      <c r="BA734" s="89" t="s">
        <v>23412</v>
      </c>
      <c r="BB734" s="89" t="s">
        <v>646</v>
      </c>
      <c r="BC734" s="89" t="s">
        <v>646</v>
      </c>
      <c r="BD734" s="89" t="s">
        <v>646</v>
      </c>
      <c r="BE734" s="89">
        <v>2019</v>
      </c>
      <c r="BF734" s="89" t="s">
        <v>646</v>
      </c>
      <c r="BG734" s="89" t="s">
        <v>646</v>
      </c>
      <c r="BH734" s="89" t="s">
        <v>646</v>
      </c>
      <c r="BI734" s="89" t="s">
        <v>646</v>
      </c>
      <c r="BJ734" s="89" t="s">
        <v>646</v>
      </c>
      <c r="BK734" s="89" t="s">
        <v>646</v>
      </c>
      <c r="BL734" s="89">
        <v>6559</v>
      </c>
      <c r="BM734" s="89">
        <v>6568</v>
      </c>
      <c r="BN734" s="89" t="s">
        <v>646</v>
      </c>
      <c r="BO734" s="89" t="s">
        <v>646</v>
      </c>
      <c r="BP734" s="89" t="s">
        <v>646</v>
      </c>
      <c r="BQ734" s="89" t="s">
        <v>646</v>
      </c>
      <c r="BR734" s="89" t="s">
        <v>646</v>
      </c>
      <c r="BS734" s="89" t="s">
        <v>646</v>
      </c>
      <c r="BT734" s="89" t="s">
        <v>646</v>
      </c>
      <c r="BU734" s="89" t="s">
        <v>646</v>
      </c>
      <c r="BV734" s="89" t="s">
        <v>646</v>
      </c>
      <c r="BW734" s="89" t="s">
        <v>646</v>
      </c>
      <c r="BX734" s="89" t="s">
        <v>646</v>
      </c>
      <c r="BY734" s="89" t="s">
        <v>646</v>
      </c>
      <c r="BZ734" s="89" t="s">
        <v>646</v>
      </c>
      <c r="CA734" s="89" t="s">
        <v>646</v>
      </c>
      <c r="CB734" s="89" t="s">
        <v>23413</v>
      </c>
      <c r="CC734" s="89" t="str">
        <f>HYPERLINK("https%3A%2F%2Fwww.webofscience.com%2Fwos%2Fwoscc%2Ffull-record%2FWOS:000625294906069","View Full Record in Web of Science")</f>
        <v>View Full Record in Web of Science</v>
      </c>
    </row>
    <row r="735" spans="1:81" ht="13.2" hidden="1" x14ac:dyDescent="0.25">
      <c r="A735" s="89" t="s">
        <v>23414</v>
      </c>
      <c r="B735" s="89" t="e">
        <f>+#REF!</f>
        <v>#REF!</v>
      </c>
      <c r="C735" s="89"/>
      <c r="D735" s="91" t="s">
        <v>717</v>
      </c>
      <c r="E735" s="90" t="e">
        <v>#REF!</v>
      </c>
      <c r="F735" s="89"/>
      <c r="G735" s="89"/>
      <c r="H735" s="89" t="s">
        <v>1703</v>
      </c>
      <c r="I735" s="89" t="s">
        <v>23415</v>
      </c>
      <c r="J735" s="89" t="s">
        <v>21958</v>
      </c>
      <c r="K735" s="89" t="s">
        <v>23416</v>
      </c>
      <c r="M735" s="89">
        <v>2021</v>
      </c>
      <c r="N735" s="89" t="s">
        <v>18423</v>
      </c>
      <c r="O735" s="89" t="s">
        <v>646</v>
      </c>
      <c r="P735" s="89" t="str">
        <f>HYPERLINK("http://dx.doi.org/10.1109/ACCESS.2021.3049226","http://dx.doi.org/10.1109/ACCESS.2021.3049226")</f>
        <v>http://dx.doi.org/10.1109/ACCESS.2021.3049226</v>
      </c>
      <c r="S735" s="89" t="s">
        <v>646</v>
      </c>
      <c r="U735" s="89" t="s">
        <v>17462</v>
      </c>
      <c r="W735" s="89" t="s">
        <v>646</v>
      </c>
      <c r="X735" s="89" t="s">
        <v>646</v>
      </c>
      <c r="Y735" s="89" t="s">
        <v>646</v>
      </c>
      <c r="Z735" s="89" t="s">
        <v>646</v>
      </c>
      <c r="AA735" s="89" t="s">
        <v>646</v>
      </c>
      <c r="AB735" s="89" t="s">
        <v>646</v>
      </c>
      <c r="AC735" s="89" t="s">
        <v>646</v>
      </c>
      <c r="AD735" s="89" t="s">
        <v>646</v>
      </c>
      <c r="AE735" s="89" t="s">
        <v>646</v>
      </c>
      <c r="AF735" s="89" t="s">
        <v>23416</v>
      </c>
      <c r="AG735" s="89" t="s">
        <v>646</v>
      </c>
      <c r="AH735" s="89" t="s">
        <v>646</v>
      </c>
      <c r="AI735" s="89" t="s">
        <v>646</v>
      </c>
      <c r="AJ735" s="89" t="s">
        <v>646</v>
      </c>
      <c r="AK735" s="89" t="s">
        <v>21958</v>
      </c>
      <c r="AL735" s="89" t="s">
        <v>21959</v>
      </c>
      <c r="AM735" s="89" t="s">
        <v>646</v>
      </c>
      <c r="AN735" s="89" t="s">
        <v>646</v>
      </c>
      <c r="AO735" s="89" t="s">
        <v>646</v>
      </c>
      <c r="AP735" s="89" t="s">
        <v>646</v>
      </c>
      <c r="AQ735" s="89" t="s">
        <v>646</v>
      </c>
      <c r="AR735" s="89" t="s">
        <v>646</v>
      </c>
      <c r="AS735" s="89" t="s">
        <v>646</v>
      </c>
      <c r="AT735" s="89" t="s">
        <v>646</v>
      </c>
      <c r="AU735" s="89" t="s">
        <v>646</v>
      </c>
      <c r="AV735" s="89" t="s">
        <v>646</v>
      </c>
      <c r="AW735" s="89" t="s">
        <v>646</v>
      </c>
      <c r="AX735" s="89" t="s">
        <v>646</v>
      </c>
      <c r="AY735" s="89" t="s">
        <v>18427</v>
      </c>
      <c r="AZ735" s="89" t="s">
        <v>646</v>
      </c>
      <c r="BA735" s="89" t="s">
        <v>646</v>
      </c>
      <c r="BB735" s="89" t="s">
        <v>646</v>
      </c>
      <c r="BC735" s="89" t="s">
        <v>646</v>
      </c>
      <c r="BD735" s="89" t="s">
        <v>646</v>
      </c>
      <c r="BE735" s="89">
        <v>2021</v>
      </c>
      <c r="BF735" s="89">
        <v>9</v>
      </c>
      <c r="BG735" s="89" t="s">
        <v>646</v>
      </c>
      <c r="BH735" s="89" t="s">
        <v>646</v>
      </c>
      <c r="BI735" s="89" t="s">
        <v>646</v>
      </c>
      <c r="BJ735" s="89" t="s">
        <v>646</v>
      </c>
      <c r="BK735" s="89" t="s">
        <v>646</v>
      </c>
      <c r="BL735" s="89">
        <v>8718</v>
      </c>
      <c r="BM735" s="89">
        <v>8732</v>
      </c>
      <c r="BN735" s="89" t="s">
        <v>646</v>
      </c>
      <c r="BO735" s="89" t="str">
        <f>HYPERLINK("http://dx.doi.org/10.1109/ACCESS.2021.3049226","http://dx.doi.org/10.1109/ACCESS.2021.3049226")</f>
        <v>http://dx.doi.org/10.1109/ACCESS.2021.3049226</v>
      </c>
      <c r="BP735" s="89" t="s">
        <v>646</v>
      </c>
      <c r="BQ735" s="89" t="s">
        <v>646</v>
      </c>
      <c r="BR735" s="89" t="s">
        <v>646</v>
      </c>
      <c r="BS735" s="89" t="s">
        <v>646</v>
      </c>
      <c r="BT735" s="89" t="s">
        <v>646</v>
      </c>
      <c r="BU735" s="89" t="s">
        <v>646</v>
      </c>
      <c r="BV735" s="89" t="s">
        <v>646</v>
      </c>
      <c r="BW735" s="89" t="s">
        <v>646</v>
      </c>
      <c r="BX735" s="89" t="s">
        <v>646</v>
      </c>
      <c r="BY735" s="89" t="s">
        <v>646</v>
      </c>
      <c r="BZ735" s="89" t="s">
        <v>646</v>
      </c>
      <c r="CA735" s="89" t="s">
        <v>646</v>
      </c>
      <c r="CB735" s="89" t="s">
        <v>23417</v>
      </c>
      <c r="CC735" s="89" t="str">
        <f>HYPERLINK("https%3A%2F%2Fwww.webofscience.com%2Fwos%2Fwoscc%2Ffull-record%2FWOS:000608449900001","View Full Record in Web of Science")</f>
        <v>View Full Record in Web of Science</v>
      </c>
    </row>
    <row r="736" spans="1:81" ht="13.2" hidden="1" x14ac:dyDescent="0.25">
      <c r="A736" s="89" t="s">
        <v>23418</v>
      </c>
      <c r="B736" s="89" t="e">
        <f>+#REF!</f>
        <v>#REF!</v>
      </c>
      <c r="C736" s="89"/>
      <c r="D736" s="91" t="s">
        <v>717</v>
      </c>
      <c r="E736" s="90" t="e">
        <v>#REF!</v>
      </c>
      <c r="F736" s="89"/>
      <c r="G736" s="89"/>
      <c r="H736" s="89" t="s">
        <v>14522</v>
      </c>
      <c r="I736" s="89" t="s">
        <v>23419</v>
      </c>
      <c r="J736" s="89" t="s">
        <v>646</v>
      </c>
      <c r="K736" s="89" t="s">
        <v>23420</v>
      </c>
      <c r="M736" s="89">
        <v>2019</v>
      </c>
      <c r="N736" s="89" t="s">
        <v>20636</v>
      </c>
      <c r="O736" s="89" t="s">
        <v>646</v>
      </c>
      <c r="P736" s="89" t="str">
        <f>HYPERLINK("http://dx.doi.org/10.1145/3290605.3300512","http://dx.doi.org/10.1145/3290605.3300512")</f>
        <v>http://dx.doi.org/10.1145/3290605.3300512</v>
      </c>
      <c r="S736" s="89" t="s">
        <v>17804</v>
      </c>
      <c r="U736" s="89" t="s">
        <v>17474</v>
      </c>
      <c r="W736" s="89" t="s">
        <v>646</v>
      </c>
      <c r="X736" s="89" t="s">
        <v>646</v>
      </c>
      <c r="Y736" s="89" t="s">
        <v>19438</v>
      </c>
      <c r="Z736" s="89" t="s">
        <v>20637</v>
      </c>
      <c r="AA736" s="89" t="s">
        <v>20638</v>
      </c>
      <c r="AB736" s="89" t="s">
        <v>19440</v>
      </c>
      <c r="AC736" s="89" t="s">
        <v>646</v>
      </c>
      <c r="AD736" s="89" t="s">
        <v>646</v>
      </c>
      <c r="AE736" s="89" t="s">
        <v>646</v>
      </c>
      <c r="AF736" s="89" t="s">
        <v>23420</v>
      </c>
      <c r="AG736" s="89" t="s">
        <v>646</v>
      </c>
      <c r="AH736" s="89" t="s">
        <v>646</v>
      </c>
      <c r="AI736" s="89" t="s">
        <v>646</v>
      </c>
      <c r="AJ736" s="89" t="s">
        <v>646</v>
      </c>
      <c r="AK736" s="89" t="s">
        <v>646</v>
      </c>
      <c r="AL736" s="89" t="s">
        <v>23421</v>
      </c>
      <c r="AM736" s="89" t="s">
        <v>646</v>
      </c>
      <c r="AN736" s="89" t="s">
        <v>646</v>
      </c>
      <c r="AO736" s="89" t="s">
        <v>646</v>
      </c>
      <c r="AP736" s="89" t="s">
        <v>646</v>
      </c>
      <c r="AQ736" s="89" t="s">
        <v>646</v>
      </c>
      <c r="AR736" s="89" t="s">
        <v>646</v>
      </c>
      <c r="AS736" s="89" t="s">
        <v>646</v>
      </c>
      <c r="AT736" s="89" t="s">
        <v>646</v>
      </c>
      <c r="AU736" s="89" t="s">
        <v>646</v>
      </c>
      <c r="AV736" s="89" t="s">
        <v>646</v>
      </c>
      <c r="AW736" s="89" t="s">
        <v>646</v>
      </c>
      <c r="AX736" s="89" t="s">
        <v>646</v>
      </c>
      <c r="AY736" s="89" t="s">
        <v>646</v>
      </c>
      <c r="AZ736" s="89" t="s">
        <v>646</v>
      </c>
      <c r="BA736" s="89" t="s">
        <v>20640</v>
      </c>
      <c r="BB736" s="89" t="s">
        <v>646</v>
      </c>
      <c r="BC736" s="89" t="s">
        <v>646</v>
      </c>
      <c r="BD736" s="89" t="s">
        <v>646</v>
      </c>
      <c r="BE736" s="89">
        <v>2019</v>
      </c>
      <c r="BF736" s="89" t="s">
        <v>646</v>
      </c>
      <c r="BG736" s="89" t="s">
        <v>646</v>
      </c>
      <c r="BH736" s="89" t="s">
        <v>646</v>
      </c>
      <c r="BI736" s="89" t="s">
        <v>646</v>
      </c>
      <c r="BJ736" s="89" t="s">
        <v>646</v>
      </c>
      <c r="BK736" s="89" t="s">
        <v>646</v>
      </c>
      <c r="BL736" s="89" t="s">
        <v>646</v>
      </c>
      <c r="BM736" s="89" t="s">
        <v>646</v>
      </c>
      <c r="BN736" s="89" t="s">
        <v>646</v>
      </c>
      <c r="BO736" s="89" t="str">
        <f>HYPERLINK("http://dx.doi.org/10.1145/3290605.3300512","http://dx.doi.org/10.1145/3290605.3300512")</f>
        <v>http://dx.doi.org/10.1145/3290605.3300512</v>
      </c>
      <c r="BP736" s="89" t="s">
        <v>646</v>
      </c>
      <c r="BQ736" s="89" t="s">
        <v>646</v>
      </c>
      <c r="BR736" s="89" t="s">
        <v>646</v>
      </c>
      <c r="BS736" s="89" t="s">
        <v>646</v>
      </c>
      <c r="BT736" s="89" t="s">
        <v>646</v>
      </c>
      <c r="BU736" s="89" t="s">
        <v>646</v>
      </c>
      <c r="BV736" s="89" t="s">
        <v>646</v>
      </c>
      <c r="BW736" s="89" t="s">
        <v>646</v>
      </c>
      <c r="BX736" s="89" t="s">
        <v>646</v>
      </c>
      <c r="BY736" s="89" t="s">
        <v>646</v>
      </c>
      <c r="BZ736" s="89" t="s">
        <v>646</v>
      </c>
      <c r="CA736" s="89" t="s">
        <v>646</v>
      </c>
      <c r="CB736" s="89" t="s">
        <v>23422</v>
      </c>
      <c r="CC736" s="89" t="str">
        <f>HYPERLINK("https%3A%2F%2Fwww.webofscience.com%2Fwos%2Fwoscc%2Ffull-record%2FWOS:000474467903053","View Full Record in Web of Science")</f>
        <v>View Full Record in Web of Science</v>
      </c>
    </row>
    <row r="737" spans="1:81" ht="13.2" hidden="1" x14ac:dyDescent="0.25">
      <c r="A737" s="89" t="s">
        <v>23423</v>
      </c>
      <c r="B737" s="89" t="e">
        <f>+#REF!</f>
        <v>#REF!</v>
      </c>
      <c r="C737" s="89"/>
      <c r="D737" s="91" t="s">
        <v>717</v>
      </c>
      <c r="E737" s="90" t="e">
        <v>#REF!</v>
      </c>
      <c r="F737" s="89"/>
      <c r="G737" s="89"/>
      <c r="H737" s="89" t="s">
        <v>23424</v>
      </c>
      <c r="I737" s="89" t="s">
        <v>23426</v>
      </c>
      <c r="J737" s="89" t="s">
        <v>23431</v>
      </c>
      <c r="K737" s="89" t="s">
        <v>23430</v>
      </c>
      <c r="M737" s="89">
        <v>2015</v>
      </c>
      <c r="N737" s="89" t="s">
        <v>23427</v>
      </c>
      <c r="O737" s="89" t="s">
        <v>23425</v>
      </c>
      <c r="P737" s="89" t="str">
        <f>HYPERLINK("http://dx.doi.org/10.1109/MS.2015.30","http://dx.doi.org/10.1109/MS.2015.30")</f>
        <v>http://dx.doi.org/10.1109/MS.2015.30</v>
      </c>
      <c r="S737" s="89" t="s">
        <v>646</v>
      </c>
      <c r="U737" s="89" t="s">
        <v>17474</v>
      </c>
      <c r="W737" s="89" t="s">
        <v>646</v>
      </c>
      <c r="X737" s="89" t="s">
        <v>646</v>
      </c>
      <c r="Y737" s="89" t="s">
        <v>23428</v>
      </c>
      <c r="Z737" s="89" t="s">
        <v>23429</v>
      </c>
      <c r="AA737" s="89" t="s">
        <v>20991</v>
      </c>
      <c r="AB737" s="89" t="s">
        <v>20525</v>
      </c>
      <c r="AC737" s="89" t="s">
        <v>646</v>
      </c>
      <c r="AD737" s="89" t="s">
        <v>646</v>
      </c>
      <c r="AE737" s="89" t="s">
        <v>646</v>
      </c>
      <c r="AF737" s="89" t="s">
        <v>23430</v>
      </c>
      <c r="AG737" s="89" t="s">
        <v>646</v>
      </c>
      <c r="AH737" s="89" t="s">
        <v>646</v>
      </c>
      <c r="AI737" s="89" t="s">
        <v>646</v>
      </c>
      <c r="AJ737" s="89" t="s">
        <v>646</v>
      </c>
      <c r="AK737" s="89" t="s">
        <v>23431</v>
      </c>
      <c r="AL737" s="89" t="s">
        <v>23432</v>
      </c>
      <c r="AM737" s="89" t="s">
        <v>646</v>
      </c>
      <c r="AN737" s="89" t="s">
        <v>646</v>
      </c>
      <c r="AO737" s="89" t="s">
        <v>646</v>
      </c>
      <c r="AP737" s="89" t="s">
        <v>646</v>
      </c>
      <c r="AQ737" s="89" t="s">
        <v>646</v>
      </c>
      <c r="AR737" s="89" t="s">
        <v>646</v>
      </c>
      <c r="AS737" s="89" t="s">
        <v>646</v>
      </c>
      <c r="AT737" s="89" t="s">
        <v>646</v>
      </c>
      <c r="AU737" s="89" t="s">
        <v>646</v>
      </c>
      <c r="AV737" s="89" t="s">
        <v>646</v>
      </c>
      <c r="AW737" s="89" t="s">
        <v>646</v>
      </c>
      <c r="AX737" s="89" t="s">
        <v>646</v>
      </c>
      <c r="AY737" s="89" t="s">
        <v>23433</v>
      </c>
      <c r="AZ737" s="89" t="s">
        <v>646</v>
      </c>
      <c r="BA737" s="89" t="s">
        <v>23434</v>
      </c>
      <c r="BB737" s="89" t="s">
        <v>646</v>
      </c>
      <c r="BC737" s="89" t="s">
        <v>646</v>
      </c>
      <c r="BD737" s="89" t="s">
        <v>646</v>
      </c>
      <c r="BE737" s="89">
        <v>2015</v>
      </c>
      <c r="BF737" s="89" t="s">
        <v>646</v>
      </c>
      <c r="BG737" s="89" t="s">
        <v>646</v>
      </c>
      <c r="BH737" s="89" t="s">
        <v>646</v>
      </c>
      <c r="BI737" s="89" t="s">
        <v>646</v>
      </c>
      <c r="BJ737" s="89" t="s">
        <v>646</v>
      </c>
      <c r="BK737" s="89" t="s">
        <v>646</v>
      </c>
      <c r="BL737" s="89">
        <v>150</v>
      </c>
      <c r="BM737" s="89">
        <v>157</v>
      </c>
      <c r="BN737" s="89" t="s">
        <v>646</v>
      </c>
      <c r="BO737" s="89" t="str">
        <f>HYPERLINK("http://dx.doi.org/10.1109/MS.2015.30","http://dx.doi.org/10.1109/MS.2015.30")</f>
        <v>http://dx.doi.org/10.1109/MS.2015.30</v>
      </c>
      <c r="BP737" s="89" t="s">
        <v>646</v>
      </c>
      <c r="BQ737" s="89" t="s">
        <v>646</v>
      </c>
      <c r="BR737" s="89" t="s">
        <v>646</v>
      </c>
      <c r="BS737" s="89" t="s">
        <v>646</v>
      </c>
      <c r="BT737" s="89" t="s">
        <v>646</v>
      </c>
      <c r="BU737" s="89" t="s">
        <v>646</v>
      </c>
      <c r="BV737" s="89" t="s">
        <v>646</v>
      </c>
      <c r="BW737" s="89" t="s">
        <v>646</v>
      </c>
      <c r="BX737" s="89" t="s">
        <v>646</v>
      </c>
      <c r="BY737" s="89" t="s">
        <v>646</v>
      </c>
      <c r="BZ737" s="89" t="s">
        <v>646</v>
      </c>
      <c r="CA737" s="89" t="s">
        <v>646</v>
      </c>
      <c r="CB737" s="89" t="s">
        <v>23435</v>
      </c>
      <c r="CC737" s="89" t="str">
        <f>HYPERLINK("https%3A%2F%2Fwww.webofscience.com%2Fwos%2Fwoscc%2Ffull-record%2FWOS:000380402000020","View Full Record in Web of Science")</f>
        <v>View Full Record in Web of Science</v>
      </c>
    </row>
    <row r="738" spans="1:81" ht="13.2" hidden="1" x14ac:dyDescent="0.25">
      <c r="A738" s="89" t="s">
        <v>10088</v>
      </c>
      <c r="B738" s="89" t="e">
        <f>+#REF!</f>
        <v>#REF!</v>
      </c>
      <c r="C738" s="89"/>
      <c r="D738" s="91" t="s">
        <v>717</v>
      </c>
      <c r="E738" s="90" t="e">
        <v>#REF!</v>
      </c>
      <c r="F738" s="89"/>
      <c r="G738" s="89"/>
      <c r="H738" s="89" t="s">
        <v>10089</v>
      </c>
      <c r="I738" s="89" t="s">
        <v>23436</v>
      </c>
      <c r="J738" s="89" t="s">
        <v>646</v>
      </c>
      <c r="K738" s="89" t="s">
        <v>23438</v>
      </c>
      <c r="M738" s="89">
        <v>2021</v>
      </c>
      <c r="N738" s="89" t="s">
        <v>23437</v>
      </c>
      <c r="O738" s="89" t="s">
        <v>646</v>
      </c>
      <c r="P738" s="89" t="str">
        <f>HYPERLINK("http://dx.doi.org/10.1016/j.trb.2021.06.002","http://dx.doi.org/10.1016/j.trb.2021.06.002")</f>
        <v>http://dx.doi.org/10.1016/j.trb.2021.06.002</v>
      </c>
      <c r="S738" s="89" t="s">
        <v>646</v>
      </c>
      <c r="U738" s="89" t="s">
        <v>17462</v>
      </c>
      <c r="W738" s="89" t="s">
        <v>646</v>
      </c>
      <c r="X738" s="89" t="s">
        <v>646</v>
      </c>
      <c r="Y738" s="89" t="s">
        <v>646</v>
      </c>
      <c r="Z738" s="89" t="s">
        <v>646</v>
      </c>
      <c r="AA738" s="89" t="s">
        <v>646</v>
      </c>
      <c r="AB738" s="89" t="s">
        <v>646</v>
      </c>
      <c r="AC738" s="89" t="s">
        <v>646</v>
      </c>
      <c r="AD738" s="89" t="s">
        <v>646</v>
      </c>
      <c r="AE738" s="89" t="s">
        <v>646</v>
      </c>
      <c r="AF738" s="89" t="s">
        <v>23438</v>
      </c>
      <c r="AG738" s="89" t="s">
        <v>646</v>
      </c>
      <c r="AH738" s="89" t="s">
        <v>646</v>
      </c>
      <c r="AI738" s="89" t="s">
        <v>646</v>
      </c>
      <c r="AJ738" s="89" t="s">
        <v>646</v>
      </c>
      <c r="AK738" s="89" t="s">
        <v>646</v>
      </c>
      <c r="AL738" s="89" t="s">
        <v>23439</v>
      </c>
      <c r="AM738" s="89" t="s">
        <v>646</v>
      </c>
      <c r="AN738" s="89" t="s">
        <v>646</v>
      </c>
      <c r="AO738" s="89" t="s">
        <v>646</v>
      </c>
      <c r="AP738" s="89" t="s">
        <v>646</v>
      </c>
      <c r="AQ738" s="89" t="s">
        <v>646</v>
      </c>
      <c r="AR738" s="89" t="s">
        <v>646</v>
      </c>
      <c r="AS738" s="89" t="s">
        <v>646</v>
      </c>
      <c r="AT738" s="89" t="s">
        <v>646</v>
      </c>
      <c r="AU738" s="89" t="s">
        <v>646</v>
      </c>
      <c r="AV738" s="89" t="s">
        <v>646</v>
      </c>
      <c r="AW738" s="89" t="s">
        <v>646</v>
      </c>
      <c r="AX738" s="89" t="s">
        <v>646</v>
      </c>
      <c r="AY738" s="89" t="s">
        <v>23440</v>
      </c>
      <c r="AZ738" s="89" t="s">
        <v>23441</v>
      </c>
      <c r="BA738" s="89" t="s">
        <v>646</v>
      </c>
      <c r="BB738" s="89" t="s">
        <v>646</v>
      </c>
      <c r="BC738" s="89" t="s">
        <v>646</v>
      </c>
      <c r="BD738" s="89" t="s">
        <v>18655</v>
      </c>
      <c r="BE738" s="89">
        <v>2021</v>
      </c>
      <c r="BF738" s="89">
        <v>150</v>
      </c>
      <c r="BG738" s="89" t="s">
        <v>646</v>
      </c>
      <c r="BH738" s="89" t="s">
        <v>646</v>
      </c>
      <c r="BI738" s="89" t="s">
        <v>646</v>
      </c>
      <c r="BJ738" s="89" t="s">
        <v>646</v>
      </c>
      <c r="BK738" s="89" t="s">
        <v>646</v>
      </c>
      <c r="BL738" s="89">
        <v>227</v>
      </c>
      <c r="BM738" s="89">
        <v>259</v>
      </c>
      <c r="BN738" s="89" t="s">
        <v>646</v>
      </c>
      <c r="BO738" s="89" t="str">
        <f>HYPERLINK("http://dx.doi.org/10.1016/j.trb.2021.06.002","http://dx.doi.org/10.1016/j.trb.2021.06.002")</f>
        <v>http://dx.doi.org/10.1016/j.trb.2021.06.002</v>
      </c>
      <c r="BP738" s="89" t="s">
        <v>646</v>
      </c>
      <c r="BQ738" s="89" t="s">
        <v>17514</v>
      </c>
      <c r="BR738" s="89" t="s">
        <v>646</v>
      </c>
      <c r="BS738" s="89" t="s">
        <v>646</v>
      </c>
      <c r="BT738" s="89" t="s">
        <v>646</v>
      </c>
      <c r="BU738" s="89" t="s">
        <v>646</v>
      </c>
      <c r="BV738" s="89" t="s">
        <v>646</v>
      </c>
      <c r="BW738" s="89" t="s">
        <v>646</v>
      </c>
      <c r="BX738" s="89" t="s">
        <v>646</v>
      </c>
      <c r="BY738" s="89" t="s">
        <v>646</v>
      </c>
      <c r="BZ738" s="89" t="s">
        <v>646</v>
      </c>
      <c r="CA738" s="89" t="s">
        <v>646</v>
      </c>
      <c r="CB738" s="89" t="s">
        <v>23442</v>
      </c>
      <c r="CC738" s="89" t="str">
        <f>HYPERLINK("https%3A%2F%2Fwww.webofscience.com%2Fwos%2Fwoscc%2Ffull-record%2FWOS:000684998400010","View Full Record in Web of Science")</f>
        <v>View Full Record in Web of Science</v>
      </c>
    </row>
    <row r="739" spans="1:81" ht="13.2" hidden="1" x14ac:dyDescent="0.25">
      <c r="A739" s="89" t="s">
        <v>23443</v>
      </c>
      <c r="B739" s="89" t="e">
        <f>+#REF!</f>
        <v>#REF!</v>
      </c>
      <c r="C739" s="89"/>
      <c r="D739" s="91" t="s">
        <v>717</v>
      </c>
      <c r="E739" s="90" t="e">
        <v>#REF!</v>
      </c>
      <c r="F739" s="89"/>
      <c r="G739" s="89"/>
      <c r="H739" s="89" t="s">
        <v>10099</v>
      </c>
      <c r="I739" s="89" t="s">
        <v>23444</v>
      </c>
      <c r="J739" s="89" t="s">
        <v>646</v>
      </c>
      <c r="K739" s="89" t="s">
        <v>23445</v>
      </c>
      <c r="M739" s="89">
        <v>2021</v>
      </c>
      <c r="N739" s="89" t="s">
        <v>19218</v>
      </c>
      <c r="O739" s="89" t="s">
        <v>646</v>
      </c>
      <c r="P739" s="89" t="str">
        <f>HYPERLINK("http://dx.doi.org/10.3390/su132212393","http://dx.doi.org/10.3390/su132212393")</f>
        <v>http://dx.doi.org/10.3390/su132212393</v>
      </c>
      <c r="S739" s="89" t="s">
        <v>646</v>
      </c>
      <c r="U739" s="89" t="s">
        <v>17462</v>
      </c>
      <c r="W739" s="89" t="s">
        <v>646</v>
      </c>
      <c r="X739" s="89" t="s">
        <v>646</v>
      </c>
      <c r="Y739" s="89" t="s">
        <v>646</v>
      </c>
      <c r="Z739" s="89" t="s">
        <v>646</v>
      </c>
      <c r="AA739" s="89" t="s">
        <v>646</v>
      </c>
      <c r="AB739" s="89" t="s">
        <v>646</v>
      </c>
      <c r="AC739" s="89" t="s">
        <v>646</v>
      </c>
      <c r="AD739" s="89" t="s">
        <v>646</v>
      </c>
      <c r="AE739" s="89" t="s">
        <v>646</v>
      </c>
      <c r="AF739" s="89" t="s">
        <v>23445</v>
      </c>
      <c r="AG739" s="89" t="s">
        <v>646</v>
      </c>
      <c r="AH739" s="89" t="s">
        <v>646</v>
      </c>
      <c r="AI739" s="89" t="s">
        <v>646</v>
      </c>
      <c r="AJ739" s="89" t="s">
        <v>646</v>
      </c>
      <c r="AK739" s="89" t="s">
        <v>646</v>
      </c>
      <c r="AL739" s="89" t="s">
        <v>23446</v>
      </c>
      <c r="AM739" s="89" t="s">
        <v>646</v>
      </c>
      <c r="AN739" s="89" t="s">
        <v>646</v>
      </c>
      <c r="AO739" s="89" t="s">
        <v>646</v>
      </c>
      <c r="AP739" s="89" t="s">
        <v>646</v>
      </c>
      <c r="AQ739" s="89" t="s">
        <v>646</v>
      </c>
      <c r="AR739" s="89" t="s">
        <v>646</v>
      </c>
      <c r="AS739" s="89" t="s">
        <v>646</v>
      </c>
      <c r="AT739" s="89" t="s">
        <v>646</v>
      </c>
      <c r="AU739" s="89" t="s">
        <v>646</v>
      </c>
      <c r="AV739" s="89" t="s">
        <v>646</v>
      </c>
      <c r="AW739" s="89" t="s">
        <v>646</v>
      </c>
      <c r="AX739" s="89" t="s">
        <v>646</v>
      </c>
      <c r="AY739" s="89" t="s">
        <v>646</v>
      </c>
      <c r="AZ739" s="89" t="s">
        <v>19222</v>
      </c>
      <c r="BA739" s="89" t="s">
        <v>646</v>
      </c>
      <c r="BB739" s="89" t="s">
        <v>646</v>
      </c>
      <c r="BC739" s="89" t="s">
        <v>646</v>
      </c>
      <c r="BD739" s="89" t="s">
        <v>18292</v>
      </c>
      <c r="BE739" s="89">
        <v>2021</v>
      </c>
      <c r="BF739" s="89">
        <v>13</v>
      </c>
      <c r="BG739" s="89">
        <v>22</v>
      </c>
      <c r="BH739" s="89" t="s">
        <v>646</v>
      </c>
      <c r="BI739" s="89" t="s">
        <v>646</v>
      </c>
      <c r="BJ739" s="89" t="s">
        <v>646</v>
      </c>
      <c r="BK739" s="89" t="s">
        <v>646</v>
      </c>
      <c r="BL739" s="89" t="s">
        <v>646</v>
      </c>
      <c r="BM739" s="89" t="s">
        <v>646</v>
      </c>
      <c r="BN739" s="89">
        <v>12393</v>
      </c>
      <c r="BO739" s="89" t="str">
        <f>HYPERLINK("http://dx.doi.org/10.3390/su132212393","http://dx.doi.org/10.3390/su132212393")</f>
        <v>http://dx.doi.org/10.3390/su132212393</v>
      </c>
      <c r="BP739" s="89" t="s">
        <v>646</v>
      </c>
      <c r="BQ739" s="89" t="s">
        <v>646</v>
      </c>
      <c r="BR739" s="89" t="s">
        <v>646</v>
      </c>
      <c r="BS739" s="89" t="s">
        <v>646</v>
      </c>
      <c r="BT739" s="89" t="s">
        <v>646</v>
      </c>
      <c r="BU739" s="89" t="s">
        <v>646</v>
      </c>
      <c r="BV739" s="89" t="s">
        <v>646</v>
      </c>
      <c r="BW739" s="89" t="s">
        <v>646</v>
      </c>
      <c r="BX739" s="89" t="s">
        <v>646</v>
      </c>
      <c r="BY739" s="89" t="s">
        <v>646</v>
      </c>
      <c r="BZ739" s="89" t="s">
        <v>646</v>
      </c>
      <c r="CA739" s="89" t="s">
        <v>646</v>
      </c>
      <c r="CB739" s="89" t="s">
        <v>23447</v>
      </c>
      <c r="CC739" s="89" t="str">
        <f>HYPERLINK("https%3A%2F%2Fwww.webofscience.com%2Fwos%2Fwoscc%2Ffull-record%2FWOS:000724035000001","View Full Record in Web of Science")</f>
        <v>View Full Record in Web of Science</v>
      </c>
    </row>
    <row r="740" spans="1:81" ht="13.2" hidden="1" x14ac:dyDescent="0.25">
      <c r="A740" s="89" t="s">
        <v>14538</v>
      </c>
      <c r="B740" s="89" t="e">
        <f>+#REF!</f>
        <v>#REF!</v>
      </c>
      <c r="C740" s="89"/>
      <c r="D740" s="91" t="s">
        <v>717</v>
      </c>
      <c r="E740" s="90" t="e">
        <v>#REF!</v>
      </c>
      <c r="F740" s="89"/>
      <c r="G740" s="89"/>
      <c r="H740" s="89" t="s">
        <v>14539</v>
      </c>
      <c r="I740" s="89" t="s">
        <v>23448</v>
      </c>
      <c r="J740" s="89" t="s">
        <v>23450</v>
      </c>
      <c r="K740" s="89" t="s">
        <v>23449</v>
      </c>
      <c r="M740" s="89">
        <v>2016</v>
      </c>
      <c r="N740" s="89" t="s">
        <v>21774</v>
      </c>
      <c r="O740" s="89" t="s">
        <v>646</v>
      </c>
      <c r="P740" s="89" t="str">
        <f>HYPERLINK("http://dx.doi.org/10.1080/07421222.2016.1205933","http://dx.doi.org/10.1080/07421222.2016.1205933")</f>
        <v>http://dx.doi.org/10.1080/07421222.2016.1205933</v>
      </c>
      <c r="S740" s="89" t="s">
        <v>646</v>
      </c>
      <c r="U740" s="89" t="s">
        <v>17462</v>
      </c>
      <c r="W740" s="89" t="s">
        <v>646</v>
      </c>
      <c r="X740" s="89" t="s">
        <v>646</v>
      </c>
      <c r="Y740" s="89" t="s">
        <v>646</v>
      </c>
      <c r="Z740" s="89" t="s">
        <v>646</v>
      </c>
      <c r="AA740" s="89" t="s">
        <v>646</v>
      </c>
      <c r="AB740" s="89" t="s">
        <v>646</v>
      </c>
      <c r="AC740" s="89" t="s">
        <v>646</v>
      </c>
      <c r="AD740" s="89" t="s">
        <v>646</v>
      </c>
      <c r="AE740" s="89" t="s">
        <v>646</v>
      </c>
      <c r="AF740" s="89" t="s">
        <v>23449</v>
      </c>
      <c r="AG740" s="89" t="s">
        <v>646</v>
      </c>
      <c r="AH740" s="89" t="s">
        <v>646</v>
      </c>
      <c r="AI740" s="89" t="s">
        <v>646</v>
      </c>
      <c r="AJ740" s="89" t="s">
        <v>646</v>
      </c>
      <c r="AK740" s="89" t="s">
        <v>23450</v>
      </c>
      <c r="AL740" s="89" t="s">
        <v>23451</v>
      </c>
      <c r="AM740" s="89" t="s">
        <v>646</v>
      </c>
      <c r="AN740" s="89" t="s">
        <v>646</v>
      </c>
      <c r="AO740" s="89" t="s">
        <v>646</v>
      </c>
      <c r="AP740" s="89" t="s">
        <v>646</v>
      </c>
      <c r="AQ740" s="89" t="s">
        <v>646</v>
      </c>
      <c r="AR740" s="89" t="s">
        <v>646</v>
      </c>
      <c r="AS740" s="89" t="s">
        <v>646</v>
      </c>
      <c r="AT740" s="89" t="s">
        <v>646</v>
      </c>
      <c r="AU740" s="89" t="s">
        <v>646</v>
      </c>
      <c r="AV740" s="89" t="s">
        <v>646</v>
      </c>
      <c r="AW740" s="89" t="s">
        <v>646</v>
      </c>
      <c r="AX740" s="89" t="s">
        <v>646</v>
      </c>
      <c r="AY740" s="89" t="s">
        <v>21778</v>
      </c>
      <c r="AZ740" s="89" t="s">
        <v>21779</v>
      </c>
      <c r="BA740" s="89" t="s">
        <v>646</v>
      </c>
      <c r="BB740" s="89" t="s">
        <v>646</v>
      </c>
      <c r="BC740" s="89" t="s">
        <v>646</v>
      </c>
      <c r="BD740" s="89" t="s">
        <v>646</v>
      </c>
      <c r="BE740" s="89">
        <v>2016</v>
      </c>
      <c r="BF740" s="89">
        <v>33</v>
      </c>
      <c r="BG740" s="89">
        <v>2</v>
      </c>
      <c r="BH740" s="89" t="s">
        <v>646</v>
      </c>
      <c r="BI740" s="89" t="s">
        <v>646</v>
      </c>
      <c r="BJ740" s="89" t="s">
        <v>17555</v>
      </c>
      <c r="BK740" s="89" t="s">
        <v>646</v>
      </c>
      <c r="BL740" s="89">
        <v>573</v>
      </c>
      <c r="BM740" s="89">
        <v>596</v>
      </c>
      <c r="BN740" s="89" t="s">
        <v>646</v>
      </c>
      <c r="BO740" s="89" t="str">
        <f>HYPERLINK("http://dx.doi.org/10.1080/07421222.2016.1205933","http://dx.doi.org/10.1080/07421222.2016.1205933")</f>
        <v>http://dx.doi.org/10.1080/07421222.2016.1205933</v>
      </c>
      <c r="BP740" s="89" t="s">
        <v>646</v>
      </c>
      <c r="BQ740" s="89" t="s">
        <v>646</v>
      </c>
      <c r="BR740" s="89" t="s">
        <v>646</v>
      </c>
      <c r="BS740" s="89" t="s">
        <v>646</v>
      </c>
      <c r="BT740" s="89" t="s">
        <v>646</v>
      </c>
      <c r="BU740" s="89" t="s">
        <v>646</v>
      </c>
      <c r="BV740" s="89" t="s">
        <v>646</v>
      </c>
      <c r="BW740" s="89" t="s">
        <v>646</v>
      </c>
      <c r="BX740" s="89" t="s">
        <v>646</v>
      </c>
      <c r="BY740" s="89" t="s">
        <v>646</v>
      </c>
      <c r="BZ740" s="89" t="s">
        <v>646</v>
      </c>
      <c r="CA740" s="89" t="s">
        <v>646</v>
      </c>
      <c r="CB740" s="89" t="s">
        <v>23452</v>
      </c>
      <c r="CC740" s="89" t="str">
        <f>HYPERLINK("https%3A%2F%2Fwww.webofscience.com%2Fwos%2Fwoscc%2Ffull-record%2FWOS:000387222400011","View Full Record in Web of Science")</f>
        <v>View Full Record in Web of Science</v>
      </c>
    </row>
    <row r="741" spans="1:81" ht="13.2" hidden="1" x14ac:dyDescent="0.25">
      <c r="A741" s="89" t="s">
        <v>23453</v>
      </c>
      <c r="B741" s="89" t="e">
        <f>+#REF!</f>
        <v>#REF!</v>
      </c>
      <c r="C741" s="89"/>
      <c r="D741" s="91" t="s">
        <v>717</v>
      </c>
      <c r="E741" s="90" t="e">
        <v>#REF!</v>
      </c>
      <c r="F741" s="89"/>
      <c r="G741" s="89"/>
      <c r="H741" s="89" t="s">
        <v>14548</v>
      </c>
      <c r="I741" s="89" t="s">
        <v>23454</v>
      </c>
      <c r="J741" s="89" t="s">
        <v>23457</v>
      </c>
      <c r="K741" s="89" t="s">
        <v>23456</v>
      </c>
      <c r="M741" s="89">
        <v>2014</v>
      </c>
      <c r="N741" s="89" t="s">
        <v>23455</v>
      </c>
      <c r="O741" s="89" t="s">
        <v>646</v>
      </c>
      <c r="P741" s="89" t="str">
        <f>HYPERLINK("http://dx.doi.org/10.1007/s11219-012-9191-x","http://dx.doi.org/10.1007/s11219-012-9191-x")</f>
        <v>http://dx.doi.org/10.1007/s11219-012-9191-x</v>
      </c>
      <c r="S741" s="89" t="s">
        <v>646</v>
      </c>
      <c r="U741" s="89" t="s">
        <v>17462</v>
      </c>
      <c r="W741" s="89" t="s">
        <v>646</v>
      </c>
      <c r="X741" s="89" t="s">
        <v>646</v>
      </c>
      <c r="Y741" s="89" t="s">
        <v>646</v>
      </c>
      <c r="Z741" s="89" t="s">
        <v>646</v>
      </c>
      <c r="AA741" s="89" t="s">
        <v>646</v>
      </c>
      <c r="AB741" s="89" t="s">
        <v>646</v>
      </c>
      <c r="AC741" s="89" t="s">
        <v>646</v>
      </c>
      <c r="AD741" s="89" t="s">
        <v>646</v>
      </c>
      <c r="AE741" s="89" t="s">
        <v>646</v>
      </c>
      <c r="AF741" s="89" t="s">
        <v>23456</v>
      </c>
      <c r="AG741" s="89" t="s">
        <v>646</v>
      </c>
      <c r="AH741" s="89" t="s">
        <v>646</v>
      </c>
      <c r="AI741" s="89" t="s">
        <v>646</v>
      </c>
      <c r="AJ741" s="89" t="s">
        <v>646</v>
      </c>
      <c r="AK741" s="89" t="s">
        <v>23457</v>
      </c>
      <c r="AL741" s="89" t="s">
        <v>23458</v>
      </c>
      <c r="AM741" s="89" t="s">
        <v>646</v>
      </c>
      <c r="AN741" s="89" t="s">
        <v>646</v>
      </c>
      <c r="AO741" s="89" t="s">
        <v>646</v>
      </c>
      <c r="AP741" s="89" t="s">
        <v>646</v>
      </c>
      <c r="AQ741" s="89" t="s">
        <v>646</v>
      </c>
      <c r="AR741" s="89" t="s">
        <v>646</v>
      </c>
      <c r="AS741" s="89" t="s">
        <v>646</v>
      </c>
      <c r="AT741" s="89" t="s">
        <v>646</v>
      </c>
      <c r="AU741" s="89" t="s">
        <v>646</v>
      </c>
      <c r="AV741" s="89" t="s">
        <v>646</v>
      </c>
      <c r="AW741" s="89" t="s">
        <v>646</v>
      </c>
      <c r="AX741" s="89" t="s">
        <v>646</v>
      </c>
      <c r="AY741" s="89" t="s">
        <v>23459</v>
      </c>
      <c r="AZ741" s="89" t="s">
        <v>23460</v>
      </c>
      <c r="BA741" s="89" t="s">
        <v>646</v>
      </c>
      <c r="BB741" s="89" t="s">
        <v>646</v>
      </c>
      <c r="BC741" s="89" t="s">
        <v>646</v>
      </c>
      <c r="BD741" s="89" t="s">
        <v>17779</v>
      </c>
      <c r="BE741" s="89">
        <v>2014</v>
      </c>
      <c r="BF741" s="89">
        <v>22</v>
      </c>
      <c r="BG741" s="89">
        <v>1</v>
      </c>
      <c r="BH741" s="89" t="s">
        <v>646</v>
      </c>
      <c r="BI741" s="89" t="s">
        <v>646</v>
      </c>
      <c r="BJ741" s="89" t="s">
        <v>17555</v>
      </c>
      <c r="BK741" s="89" t="s">
        <v>646</v>
      </c>
      <c r="BL741" s="89">
        <v>3</v>
      </c>
      <c r="BM741" s="89">
        <v>19</v>
      </c>
      <c r="BN741" s="89" t="s">
        <v>646</v>
      </c>
      <c r="BO741" s="89" t="str">
        <f>HYPERLINK("http://dx.doi.org/10.1007/s11219-012-9191-x","http://dx.doi.org/10.1007/s11219-012-9191-x")</f>
        <v>http://dx.doi.org/10.1007/s11219-012-9191-x</v>
      </c>
      <c r="BP741" s="89" t="s">
        <v>646</v>
      </c>
      <c r="BQ741" s="89" t="s">
        <v>646</v>
      </c>
      <c r="BR741" s="89" t="s">
        <v>646</v>
      </c>
      <c r="BS741" s="89" t="s">
        <v>646</v>
      </c>
      <c r="BT741" s="89" t="s">
        <v>646</v>
      </c>
      <c r="BU741" s="89" t="s">
        <v>646</v>
      </c>
      <c r="BV741" s="89" t="s">
        <v>646</v>
      </c>
      <c r="BW741" s="89" t="s">
        <v>646</v>
      </c>
      <c r="BX741" s="89" t="s">
        <v>646</v>
      </c>
      <c r="BY741" s="89" t="s">
        <v>646</v>
      </c>
      <c r="BZ741" s="89" t="s">
        <v>646</v>
      </c>
      <c r="CA741" s="89" t="s">
        <v>646</v>
      </c>
      <c r="CB741" s="89" t="s">
        <v>23461</v>
      </c>
      <c r="CC741" s="89" t="str">
        <f>HYPERLINK("https%3A%2F%2Fwww.webofscience.com%2Fwos%2Fwoscc%2Ffull-record%2FWOS:000331643500002","View Full Record in Web of Science")</f>
        <v>View Full Record in Web of Science</v>
      </c>
    </row>
    <row r="742" spans="1:81" ht="13.2" hidden="1" x14ac:dyDescent="0.25">
      <c r="A742" s="89" t="s">
        <v>23462</v>
      </c>
      <c r="B742" s="89" t="e">
        <f>+#REF!</f>
        <v>#REF!</v>
      </c>
      <c r="C742" s="89"/>
      <c r="D742" s="91" t="s">
        <v>717</v>
      </c>
      <c r="E742" s="90" t="e">
        <v>#REF!</v>
      </c>
      <c r="F742" s="89"/>
      <c r="G742" s="89"/>
      <c r="H742" s="89" t="s">
        <v>10108</v>
      </c>
      <c r="I742" s="89" t="s">
        <v>23463</v>
      </c>
      <c r="J742" s="89" t="s">
        <v>646</v>
      </c>
      <c r="K742" s="89" t="s">
        <v>23465</v>
      </c>
      <c r="M742" s="89">
        <v>2021</v>
      </c>
      <c r="N742" s="89" t="s">
        <v>23464</v>
      </c>
      <c r="O742" s="89" t="s">
        <v>646</v>
      </c>
      <c r="P742" s="89" t="str">
        <f>HYPERLINK("http://dx.doi.org/10.2147/JHL.S323729","http://dx.doi.org/10.2147/JHL.S323729")</f>
        <v>http://dx.doi.org/10.2147/JHL.S323729</v>
      </c>
      <c r="S742" s="89" t="s">
        <v>646</v>
      </c>
      <c r="U742" s="89" t="s">
        <v>17462</v>
      </c>
      <c r="W742" s="89" t="s">
        <v>646</v>
      </c>
      <c r="X742" s="89" t="s">
        <v>646</v>
      </c>
      <c r="Y742" s="89" t="s">
        <v>646</v>
      </c>
      <c r="Z742" s="89" t="s">
        <v>646</v>
      </c>
      <c r="AA742" s="89" t="s">
        <v>646</v>
      </c>
      <c r="AB742" s="89" t="s">
        <v>646</v>
      </c>
      <c r="AC742" s="89" t="s">
        <v>646</v>
      </c>
      <c r="AD742" s="89" t="s">
        <v>646</v>
      </c>
      <c r="AE742" s="89" t="s">
        <v>646</v>
      </c>
      <c r="AF742" s="89" t="s">
        <v>23465</v>
      </c>
      <c r="AG742" s="89" t="s">
        <v>646</v>
      </c>
      <c r="AH742" s="89" t="s">
        <v>646</v>
      </c>
      <c r="AI742" s="89" t="s">
        <v>646</v>
      </c>
      <c r="AJ742" s="89" t="s">
        <v>646</v>
      </c>
      <c r="AK742" s="89" t="s">
        <v>646</v>
      </c>
      <c r="AL742" s="89" t="s">
        <v>21905</v>
      </c>
      <c r="AM742" s="89" t="s">
        <v>646</v>
      </c>
      <c r="AN742" s="89" t="s">
        <v>646</v>
      </c>
      <c r="AO742" s="89" t="s">
        <v>646</v>
      </c>
      <c r="AP742" s="89" t="s">
        <v>646</v>
      </c>
      <c r="AQ742" s="89" t="s">
        <v>646</v>
      </c>
      <c r="AR742" s="89" t="s">
        <v>646</v>
      </c>
      <c r="AS742" s="89" t="s">
        <v>646</v>
      </c>
      <c r="AT742" s="89" t="s">
        <v>646</v>
      </c>
      <c r="AU742" s="89" t="s">
        <v>646</v>
      </c>
      <c r="AV742" s="89" t="s">
        <v>646</v>
      </c>
      <c r="AW742" s="89" t="s">
        <v>646</v>
      </c>
      <c r="AX742" s="89" t="s">
        <v>646</v>
      </c>
      <c r="AY742" s="89" t="s">
        <v>23466</v>
      </c>
      <c r="AZ742" s="89" t="s">
        <v>646</v>
      </c>
      <c r="BA742" s="89" t="s">
        <v>646</v>
      </c>
      <c r="BB742" s="89" t="s">
        <v>646</v>
      </c>
      <c r="BC742" s="89" t="s">
        <v>646</v>
      </c>
      <c r="BD742" s="89" t="s">
        <v>646</v>
      </c>
      <c r="BE742" s="89">
        <v>2021</v>
      </c>
      <c r="BF742" s="89">
        <v>13</v>
      </c>
      <c r="BG742" s="89" t="s">
        <v>646</v>
      </c>
      <c r="BH742" s="89" t="s">
        <v>646</v>
      </c>
      <c r="BI742" s="89" t="s">
        <v>646</v>
      </c>
      <c r="BJ742" s="89" t="s">
        <v>646</v>
      </c>
      <c r="BK742" s="89" t="s">
        <v>646</v>
      </c>
      <c r="BL742" s="89">
        <v>255</v>
      </c>
      <c r="BM742" s="89">
        <v>265</v>
      </c>
      <c r="BN742" s="89" t="s">
        <v>646</v>
      </c>
      <c r="BO742" s="89" t="str">
        <f>HYPERLINK("http://dx.doi.org/10.2147/JHL.S323729","http://dx.doi.org/10.2147/JHL.S323729")</f>
        <v>http://dx.doi.org/10.2147/JHL.S323729</v>
      </c>
      <c r="BP742" s="89" t="s">
        <v>646</v>
      </c>
      <c r="BQ742" s="89" t="s">
        <v>646</v>
      </c>
      <c r="BR742" s="89" t="s">
        <v>646</v>
      </c>
      <c r="BS742" s="89" t="s">
        <v>646</v>
      </c>
      <c r="BT742" s="89" t="s">
        <v>646</v>
      </c>
      <c r="BU742" s="89" t="s">
        <v>646</v>
      </c>
      <c r="BV742" s="89" t="s">
        <v>646</v>
      </c>
      <c r="BW742" s="89">
        <v>34703350</v>
      </c>
      <c r="BX742" s="89" t="s">
        <v>646</v>
      </c>
      <c r="BY742" s="89" t="s">
        <v>646</v>
      </c>
      <c r="BZ742" s="89" t="s">
        <v>646</v>
      </c>
      <c r="CA742" s="89" t="s">
        <v>646</v>
      </c>
      <c r="CB742" s="89" t="s">
        <v>23467</v>
      </c>
      <c r="CC742" s="89" t="str">
        <f>HYPERLINK("https%3A%2F%2Fwww.webofscience.com%2Fwos%2Fwoscc%2Ffull-record%2FWOS:000708415200002","View Full Record in Web of Science")</f>
        <v>View Full Record in Web of Science</v>
      </c>
    </row>
    <row r="743" spans="1:81" ht="13.2" hidden="1" x14ac:dyDescent="0.25">
      <c r="A743" s="89" t="s">
        <v>14556</v>
      </c>
      <c r="B743" s="89" t="e">
        <f>+#REF!</f>
        <v>#REF!</v>
      </c>
      <c r="C743" s="89"/>
      <c r="D743" s="91" t="s">
        <v>717</v>
      </c>
      <c r="E743" s="90" t="e">
        <v>#REF!</v>
      </c>
      <c r="F743" s="89"/>
      <c r="G743" s="89"/>
      <c r="H743" s="89" t="s">
        <v>14557</v>
      </c>
      <c r="I743" s="89" t="s">
        <v>23468</v>
      </c>
      <c r="J743" s="89" t="s">
        <v>646</v>
      </c>
      <c r="K743" s="89" t="s">
        <v>23470</v>
      </c>
      <c r="M743" s="89">
        <v>2020</v>
      </c>
      <c r="N743" s="89" t="s">
        <v>23469</v>
      </c>
      <c r="O743" s="89" t="s">
        <v>646</v>
      </c>
      <c r="P743" s="89" t="str">
        <f>HYPERLINK("http://dx.doi.org/10.1080/17441692.2020.1764076","http://dx.doi.org/10.1080/17441692.2020.1764076")</f>
        <v>http://dx.doi.org/10.1080/17441692.2020.1764076</v>
      </c>
      <c r="S743" s="89" t="s">
        <v>646</v>
      </c>
      <c r="U743" s="89" t="s">
        <v>17462</v>
      </c>
      <c r="W743" s="89" t="s">
        <v>646</v>
      </c>
      <c r="X743" s="89" t="s">
        <v>646</v>
      </c>
      <c r="Y743" s="89" t="s">
        <v>646</v>
      </c>
      <c r="Z743" s="89" t="s">
        <v>646</v>
      </c>
      <c r="AA743" s="89" t="s">
        <v>646</v>
      </c>
      <c r="AB743" s="89" t="s">
        <v>646</v>
      </c>
      <c r="AC743" s="89" t="s">
        <v>646</v>
      </c>
      <c r="AD743" s="89" t="s">
        <v>646</v>
      </c>
      <c r="AE743" s="89" t="s">
        <v>646</v>
      </c>
      <c r="AF743" s="89" t="s">
        <v>23470</v>
      </c>
      <c r="AG743" s="89" t="s">
        <v>646</v>
      </c>
      <c r="AH743" s="89" t="s">
        <v>646</v>
      </c>
      <c r="AI743" s="89" t="s">
        <v>646</v>
      </c>
      <c r="AJ743" s="89" t="s">
        <v>646</v>
      </c>
      <c r="AK743" s="89" t="s">
        <v>646</v>
      </c>
      <c r="AL743" s="89" t="s">
        <v>23471</v>
      </c>
      <c r="AM743" s="89" t="s">
        <v>646</v>
      </c>
      <c r="AN743" s="89" t="s">
        <v>646</v>
      </c>
      <c r="AO743" s="89" t="s">
        <v>646</v>
      </c>
      <c r="AP743" s="89" t="s">
        <v>646</v>
      </c>
      <c r="AQ743" s="89" t="s">
        <v>646</v>
      </c>
      <c r="AR743" s="89" t="s">
        <v>646</v>
      </c>
      <c r="AS743" s="89" t="s">
        <v>646</v>
      </c>
      <c r="AT743" s="89" t="s">
        <v>646</v>
      </c>
      <c r="AU743" s="89" t="s">
        <v>646</v>
      </c>
      <c r="AV743" s="89" t="s">
        <v>646</v>
      </c>
      <c r="AW743" s="89" t="s">
        <v>646</v>
      </c>
      <c r="AX743" s="89" t="s">
        <v>646</v>
      </c>
      <c r="AY743" s="89" t="s">
        <v>23472</v>
      </c>
      <c r="AZ743" s="89" t="s">
        <v>23473</v>
      </c>
      <c r="BA743" s="89" t="s">
        <v>646</v>
      </c>
      <c r="BB743" s="89" t="s">
        <v>646</v>
      </c>
      <c r="BC743" s="89" t="s">
        <v>646</v>
      </c>
      <c r="BD743" s="89" t="s">
        <v>23474</v>
      </c>
      <c r="BE743" s="89">
        <v>2020</v>
      </c>
      <c r="BF743" s="89">
        <v>15</v>
      </c>
      <c r="BG743" s="89">
        <v>7</v>
      </c>
      <c r="BH743" s="89" t="s">
        <v>646</v>
      </c>
      <c r="BI743" s="89" t="s">
        <v>646</v>
      </c>
      <c r="BJ743" s="89" t="s">
        <v>646</v>
      </c>
      <c r="BK743" s="89" t="s">
        <v>646</v>
      </c>
      <c r="BL743" s="89">
        <v>925</v>
      </c>
      <c r="BM743" s="89">
        <v>934</v>
      </c>
      <c r="BN743" s="89" t="s">
        <v>646</v>
      </c>
      <c r="BO743" s="89" t="str">
        <f>HYPERLINK("http://dx.doi.org/10.1080/17441692.2020.1764076","http://dx.doi.org/10.1080/17441692.2020.1764076")</f>
        <v>http://dx.doi.org/10.1080/17441692.2020.1764076</v>
      </c>
      <c r="BP743" s="89" t="s">
        <v>646</v>
      </c>
      <c r="BQ743" s="89" t="s">
        <v>23475</v>
      </c>
      <c r="BR743" s="89" t="s">
        <v>646</v>
      </c>
      <c r="BS743" s="89" t="s">
        <v>646</v>
      </c>
      <c r="BT743" s="89" t="s">
        <v>646</v>
      </c>
      <c r="BU743" s="89" t="s">
        <v>646</v>
      </c>
      <c r="BV743" s="89" t="s">
        <v>646</v>
      </c>
      <c r="BW743" s="89">
        <v>32396447</v>
      </c>
      <c r="BX743" s="89" t="s">
        <v>646</v>
      </c>
      <c r="BY743" s="89" t="s">
        <v>646</v>
      </c>
      <c r="BZ743" s="89" t="s">
        <v>646</v>
      </c>
      <c r="CA743" s="89" t="s">
        <v>646</v>
      </c>
      <c r="CB743" s="89" t="s">
        <v>23476</v>
      </c>
      <c r="CC743" s="89" t="str">
        <f>HYPERLINK("https%3A%2F%2Fwww.webofscience.com%2Fwos%2Fwoscc%2Ffull-record%2FWOS:000533708900001","View Full Record in Web of Science")</f>
        <v>View Full Record in Web of Science</v>
      </c>
    </row>
    <row r="744" spans="1:81" ht="13.2" hidden="1" x14ac:dyDescent="0.25">
      <c r="A744" s="89" t="s">
        <v>10115</v>
      </c>
      <c r="B744" s="89" t="e">
        <f>+#REF!</f>
        <v>#REF!</v>
      </c>
      <c r="C744" s="89"/>
      <c r="D744" s="91" t="s">
        <v>717</v>
      </c>
      <c r="E744" s="90" t="e">
        <v>#REF!</v>
      </c>
      <c r="F744" s="89"/>
      <c r="G744" s="89"/>
      <c r="H744" s="89" t="s">
        <v>10116</v>
      </c>
      <c r="I744" s="89" t="s">
        <v>23477</v>
      </c>
      <c r="J744" s="89" t="s">
        <v>646</v>
      </c>
      <c r="K744" s="89" t="s">
        <v>23479</v>
      </c>
      <c r="M744" s="89">
        <v>2021</v>
      </c>
      <c r="N744" s="89" t="s">
        <v>23478</v>
      </c>
      <c r="O744" s="89" t="s">
        <v>646</v>
      </c>
      <c r="P744" s="89" t="str">
        <f>HYPERLINK("http://dx.doi.org/10.1177/10901981211000318","http://dx.doi.org/10.1177/10901981211000318")</f>
        <v>http://dx.doi.org/10.1177/10901981211000318</v>
      </c>
      <c r="S744" s="89" t="s">
        <v>646</v>
      </c>
      <c r="U744" s="89" t="s">
        <v>17462</v>
      </c>
      <c r="W744" s="89" t="s">
        <v>646</v>
      </c>
      <c r="X744" s="89" t="s">
        <v>646</v>
      </c>
      <c r="Y744" s="89" t="s">
        <v>646</v>
      </c>
      <c r="Z744" s="89" t="s">
        <v>646</v>
      </c>
      <c r="AA744" s="89" t="s">
        <v>646</v>
      </c>
      <c r="AB744" s="89" t="s">
        <v>646</v>
      </c>
      <c r="AC744" s="89" t="s">
        <v>646</v>
      </c>
      <c r="AD744" s="89" t="s">
        <v>646</v>
      </c>
      <c r="AE744" s="89" t="s">
        <v>646</v>
      </c>
      <c r="AF744" s="89" t="s">
        <v>23479</v>
      </c>
      <c r="AG744" s="89" t="s">
        <v>646</v>
      </c>
      <c r="AH744" s="89" t="s">
        <v>646</v>
      </c>
      <c r="AI744" s="89" t="s">
        <v>646</v>
      </c>
      <c r="AJ744" s="89" t="s">
        <v>646</v>
      </c>
      <c r="AK744" s="89" t="s">
        <v>646</v>
      </c>
      <c r="AL744" s="89" t="s">
        <v>23480</v>
      </c>
      <c r="AM744" s="89" t="s">
        <v>646</v>
      </c>
      <c r="AN744" s="89" t="s">
        <v>646</v>
      </c>
      <c r="AO744" s="89" t="s">
        <v>646</v>
      </c>
      <c r="AP744" s="89" t="s">
        <v>646</v>
      </c>
      <c r="AQ744" s="89" t="s">
        <v>646</v>
      </c>
      <c r="AR744" s="89" t="s">
        <v>646</v>
      </c>
      <c r="AS744" s="89" t="s">
        <v>646</v>
      </c>
      <c r="AT744" s="89" t="s">
        <v>646</v>
      </c>
      <c r="AU744" s="89" t="s">
        <v>646</v>
      </c>
      <c r="AV744" s="89" t="s">
        <v>646</v>
      </c>
      <c r="AW744" s="89" t="s">
        <v>646</v>
      </c>
      <c r="AX744" s="89" t="s">
        <v>646</v>
      </c>
      <c r="AY744" s="89" t="s">
        <v>23481</v>
      </c>
      <c r="AZ744" s="89" t="s">
        <v>23482</v>
      </c>
      <c r="BA744" s="89" t="s">
        <v>646</v>
      </c>
      <c r="BB744" s="89" t="s">
        <v>646</v>
      </c>
      <c r="BC744" s="89" t="s">
        <v>646</v>
      </c>
      <c r="BD744" s="89" t="s">
        <v>18655</v>
      </c>
      <c r="BE744" s="89">
        <v>2021</v>
      </c>
      <c r="BF744" s="89">
        <v>48</v>
      </c>
      <c r="BG744" s="89">
        <v>4</v>
      </c>
      <c r="BH744" s="89" t="s">
        <v>646</v>
      </c>
      <c r="BI744" s="89" t="s">
        <v>646</v>
      </c>
      <c r="BJ744" s="89" t="s">
        <v>646</v>
      </c>
      <c r="BK744" s="89" t="s">
        <v>646</v>
      </c>
      <c r="BL744" s="89">
        <v>434</v>
      </c>
      <c r="BM744" s="89">
        <v>445</v>
      </c>
      <c r="BN744" s="89">
        <v>1.0901981211000318E+16</v>
      </c>
      <c r="BO744" s="89" t="str">
        <f>HYPERLINK("http://dx.doi.org/10.1177/10901981211000318","http://dx.doi.org/10.1177/10901981211000318")</f>
        <v>http://dx.doi.org/10.1177/10901981211000318</v>
      </c>
      <c r="BP744" s="89" t="s">
        <v>646</v>
      </c>
      <c r="BQ744" s="89" t="s">
        <v>19283</v>
      </c>
      <c r="BR744" s="89" t="s">
        <v>646</v>
      </c>
      <c r="BS744" s="89" t="s">
        <v>646</v>
      </c>
      <c r="BT744" s="89" t="s">
        <v>646</v>
      </c>
      <c r="BU744" s="89" t="s">
        <v>646</v>
      </c>
      <c r="BV744" s="89" t="s">
        <v>646</v>
      </c>
      <c r="BW744" s="89">
        <v>33823626</v>
      </c>
      <c r="BX744" s="89" t="s">
        <v>646</v>
      </c>
      <c r="BY744" s="89" t="s">
        <v>646</v>
      </c>
      <c r="BZ744" s="89" t="s">
        <v>646</v>
      </c>
      <c r="CA744" s="89" t="s">
        <v>646</v>
      </c>
      <c r="CB744" s="89" t="s">
        <v>23483</v>
      </c>
      <c r="CC744" s="89" t="str">
        <f>HYPERLINK("https%3A%2F%2Fwww.webofscience.com%2Fwos%2Fwoscc%2Ffull-record%2FWOS:000638757900001","View Full Record in Web of Science")</f>
        <v>View Full Record in Web of Science</v>
      </c>
    </row>
    <row r="745" spans="1:81" ht="13.2" hidden="1" x14ac:dyDescent="0.25">
      <c r="A745" s="89" t="s">
        <v>23484</v>
      </c>
      <c r="B745" s="89" t="e">
        <f>+#REF!</f>
        <v>#REF!</v>
      </c>
      <c r="C745" s="89"/>
      <c r="D745" s="91" t="s">
        <v>717</v>
      </c>
      <c r="E745" s="90" t="e">
        <v>#REF!</v>
      </c>
      <c r="F745" s="89"/>
      <c r="G745" s="89"/>
      <c r="H745" s="89" t="s">
        <v>646</v>
      </c>
      <c r="I745" s="89" t="s">
        <v>23485</v>
      </c>
      <c r="J745" s="89" t="s">
        <v>646</v>
      </c>
      <c r="K745" s="89" t="s">
        <v>23491</v>
      </c>
      <c r="M745" s="89">
        <v>2018</v>
      </c>
      <c r="N745" s="89" t="s">
        <v>23486</v>
      </c>
      <c r="O745" s="89" t="s">
        <v>646</v>
      </c>
      <c r="P745" s="89" t="s">
        <v>646</v>
      </c>
      <c r="S745" s="89" t="s">
        <v>17475</v>
      </c>
      <c r="U745" s="89" t="s">
        <v>17474</v>
      </c>
      <c r="W745" s="89" t="s">
        <v>646</v>
      </c>
      <c r="X745" s="89" t="s">
        <v>646</v>
      </c>
      <c r="Y745" s="89" t="s">
        <v>23487</v>
      </c>
      <c r="Z745" s="89" t="s">
        <v>23488</v>
      </c>
      <c r="AA745" s="89" t="s">
        <v>23489</v>
      </c>
      <c r="AB745" s="89" t="s">
        <v>23490</v>
      </c>
      <c r="AC745" s="89" t="s">
        <v>646</v>
      </c>
      <c r="AD745" s="89" t="s">
        <v>646</v>
      </c>
      <c r="AE745" s="89" t="s">
        <v>646</v>
      </c>
      <c r="AF745" s="89" t="s">
        <v>23491</v>
      </c>
      <c r="AG745" s="89" t="s">
        <v>646</v>
      </c>
      <c r="AH745" s="89" t="s">
        <v>646</v>
      </c>
      <c r="AI745" s="89" t="s">
        <v>646</v>
      </c>
      <c r="AJ745" s="89" t="s">
        <v>646</v>
      </c>
      <c r="AK745" s="89" t="s">
        <v>646</v>
      </c>
      <c r="AL745" s="89" t="s">
        <v>23492</v>
      </c>
      <c r="AM745" s="89" t="s">
        <v>646</v>
      </c>
      <c r="AN745" s="89" t="s">
        <v>646</v>
      </c>
      <c r="AO745" s="89" t="s">
        <v>646</v>
      </c>
      <c r="AP745" s="89" t="s">
        <v>646</v>
      </c>
      <c r="AQ745" s="89" t="s">
        <v>646</v>
      </c>
      <c r="AR745" s="89" t="s">
        <v>646</v>
      </c>
      <c r="AS745" s="89" t="s">
        <v>646</v>
      </c>
      <c r="AT745" s="89" t="s">
        <v>646</v>
      </c>
      <c r="AU745" s="89" t="s">
        <v>646</v>
      </c>
      <c r="AV745" s="89" t="s">
        <v>646</v>
      </c>
      <c r="AW745" s="89" t="s">
        <v>646</v>
      </c>
      <c r="AX745" s="89" t="s">
        <v>646</v>
      </c>
      <c r="AY745" s="89" t="s">
        <v>23493</v>
      </c>
      <c r="AZ745" s="89" t="s">
        <v>646</v>
      </c>
      <c r="BA745" s="89" t="s">
        <v>23494</v>
      </c>
      <c r="BB745" s="89" t="s">
        <v>646</v>
      </c>
      <c r="BC745" s="89" t="s">
        <v>646</v>
      </c>
      <c r="BD745" s="89" t="s">
        <v>646</v>
      </c>
      <c r="BE745" s="89">
        <v>2018</v>
      </c>
      <c r="BF745" s="89" t="s">
        <v>646</v>
      </c>
      <c r="BG745" s="89" t="s">
        <v>646</v>
      </c>
      <c r="BH745" s="89" t="s">
        <v>646</v>
      </c>
      <c r="BI745" s="89" t="s">
        <v>646</v>
      </c>
      <c r="BJ745" s="89" t="s">
        <v>646</v>
      </c>
      <c r="BK745" s="89" t="s">
        <v>646</v>
      </c>
      <c r="BL745" s="89">
        <v>892</v>
      </c>
      <c r="BM745" s="89">
        <v>897</v>
      </c>
      <c r="BN745" s="89" t="s">
        <v>646</v>
      </c>
      <c r="BO745" s="89" t="s">
        <v>646</v>
      </c>
      <c r="BP745" s="89" t="s">
        <v>646</v>
      </c>
      <c r="BQ745" s="89" t="s">
        <v>646</v>
      </c>
      <c r="BR745" s="89" t="s">
        <v>646</v>
      </c>
      <c r="BS745" s="89" t="s">
        <v>646</v>
      </c>
      <c r="BT745" s="89" t="s">
        <v>646</v>
      </c>
      <c r="BU745" s="89" t="s">
        <v>646</v>
      </c>
      <c r="BV745" s="89" t="s">
        <v>646</v>
      </c>
      <c r="BW745" s="89" t="s">
        <v>646</v>
      </c>
      <c r="BX745" s="89" t="s">
        <v>646</v>
      </c>
      <c r="BY745" s="89" t="s">
        <v>646</v>
      </c>
      <c r="BZ745" s="89" t="s">
        <v>646</v>
      </c>
      <c r="CA745" s="89" t="s">
        <v>646</v>
      </c>
      <c r="CB745" s="89" t="s">
        <v>23495</v>
      </c>
      <c r="CC745" s="89" t="str">
        <f>HYPERLINK("https%3A%2F%2Fwww.webofscience.com%2Fwos%2Fwoscc%2Ffull-record%2FWOS:000517984800191","View Full Record in Web of Science")</f>
        <v>View Full Record in Web of Science</v>
      </c>
    </row>
    <row r="746" spans="1:81" ht="13.2" hidden="1" x14ac:dyDescent="0.25">
      <c r="A746" s="89" t="s">
        <v>14575</v>
      </c>
      <c r="B746" s="89" t="e">
        <f>+#REF!</f>
        <v>#REF!</v>
      </c>
      <c r="C746" s="89"/>
      <c r="D746" s="91" t="s">
        <v>717</v>
      </c>
      <c r="E746" s="90" t="e">
        <v>#REF!</v>
      </c>
      <c r="F746" s="89"/>
      <c r="G746" s="89"/>
      <c r="H746" s="89" t="s">
        <v>14576</v>
      </c>
      <c r="I746" s="89" t="s">
        <v>23496</v>
      </c>
      <c r="J746" s="89" t="s">
        <v>646</v>
      </c>
      <c r="K746" s="89" t="s">
        <v>23498</v>
      </c>
      <c r="M746" s="89">
        <v>2016</v>
      </c>
      <c r="N746" s="89" t="s">
        <v>23497</v>
      </c>
      <c r="O746" s="89" t="s">
        <v>646</v>
      </c>
      <c r="P746" s="89" t="str">
        <f>HYPERLINK("http://dx.doi.org/10.1177/1548051816645745","http://dx.doi.org/10.1177/1548051816645745")</f>
        <v>http://dx.doi.org/10.1177/1548051816645745</v>
      </c>
      <c r="S746" s="89" t="s">
        <v>646</v>
      </c>
      <c r="U746" s="89" t="s">
        <v>17462</v>
      </c>
      <c r="W746" s="89" t="s">
        <v>646</v>
      </c>
      <c r="X746" s="89" t="s">
        <v>646</v>
      </c>
      <c r="Y746" s="89" t="s">
        <v>646</v>
      </c>
      <c r="Z746" s="89" t="s">
        <v>646</v>
      </c>
      <c r="AA746" s="89" t="s">
        <v>646</v>
      </c>
      <c r="AB746" s="89" t="s">
        <v>646</v>
      </c>
      <c r="AC746" s="89" t="s">
        <v>646</v>
      </c>
      <c r="AD746" s="89" t="s">
        <v>646</v>
      </c>
      <c r="AE746" s="89" t="s">
        <v>646</v>
      </c>
      <c r="AF746" s="89" t="s">
        <v>23498</v>
      </c>
      <c r="AG746" s="89" t="s">
        <v>646</v>
      </c>
      <c r="AH746" s="89" t="s">
        <v>646</v>
      </c>
      <c r="AI746" s="89" t="s">
        <v>646</v>
      </c>
      <c r="AJ746" s="89" t="s">
        <v>646</v>
      </c>
      <c r="AK746" s="89" t="s">
        <v>646</v>
      </c>
      <c r="AL746" s="89" t="s">
        <v>646</v>
      </c>
      <c r="AM746" s="89" t="s">
        <v>646</v>
      </c>
      <c r="AN746" s="89" t="s">
        <v>646</v>
      </c>
      <c r="AO746" s="89" t="s">
        <v>646</v>
      </c>
      <c r="AP746" s="89" t="s">
        <v>646</v>
      </c>
      <c r="AQ746" s="89" t="s">
        <v>646</v>
      </c>
      <c r="AR746" s="89" t="s">
        <v>646</v>
      </c>
      <c r="AS746" s="89" t="s">
        <v>646</v>
      </c>
      <c r="AT746" s="89" t="s">
        <v>646</v>
      </c>
      <c r="AU746" s="89" t="s">
        <v>646</v>
      </c>
      <c r="AV746" s="89" t="s">
        <v>646</v>
      </c>
      <c r="AW746" s="89" t="s">
        <v>646</v>
      </c>
      <c r="AX746" s="89" t="s">
        <v>646</v>
      </c>
      <c r="AY746" s="89" t="s">
        <v>23499</v>
      </c>
      <c r="AZ746" s="89" t="s">
        <v>23500</v>
      </c>
      <c r="BA746" s="89" t="s">
        <v>646</v>
      </c>
      <c r="BB746" s="89" t="s">
        <v>646</v>
      </c>
      <c r="BC746" s="89" t="s">
        <v>646</v>
      </c>
      <c r="BD746" s="89" t="s">
        <v>18292</v>
      </c>
      <c r="BE746" s="89">
        <v>2016</v>
      </c>
      <c r="BF746" s="89">
        <v>23</v>
      </c>
      <c r="BG746" s="89">
        <v>4</v>
      </c>
      <c r="BH746" s="89" t="s">
        <v>646</v>
      </c>
      <c r="BI746" s="89" t="s">
        <v>646</v>
      </c>
      <c r="BJ746" s="89" t="s">
        <v>646</v>
      </c>
      <c r="BK746" s="89" t="s">
        <v>646</v>
      </c>
      <c r="BL746" s="89">
        <v>424</v>
      </c>
      <c r="BM746" s="89">
        <v>439</v>
      </c>
      <c r="BN746" s="89" t="s">
        <v>646</v>
      </c>
      <c r="BO746" s="89" t="str">
        <f>HYPERLINK("http://dx.doi.org/10.1177/1548051816645745","http://dx.doi.org/10.1177/1548051816645745")</f>
        <v>http://dx.doi.org/10.1177/1548051816645745</v>
      </c>
      <c r="BP746" s="89" t="s">
        <v>646</v>
      </c>
      <c r="BQ746" s="89" t="s">
        <v>646</v>
      </c>
      <c r="BR746" s="89" t="s">
        <v>646</v>
      </c>
      <c r="BS746" s="89" t="s">
        <v>646</v>
      </c>
      <c r="BT746" s="89" t="s">
        <v>646</v>
      </c>
      <c r="BU746" s="89" t="s">
        <v>646</v>
      </c>
      <c r="BV746" s="89" t="s">
        <v>646</v>
      </c>
      <c r="BW746" s="89" t="s">
        <v>646</v>
      </c>
      <c r="BX746" s="89" t="s">
        <v>646</v>
      </c>
      <c r="BY746" s="89" t="s">
        <v>646</v>
      </c>
      <c r="BZ746" s="89" t="s">
        <v>646</v>
      </c>
      <c r="CA746" s="89" t="s">
        <v>646</v>
      </c>
      <c r="CB746" s="89" t="s">
        <v>23501</v>
      </c>
      <c r="CC746" s="89" t="str">
        <f>HYPERLINK("https%3A%2F%2Fwww.webofscience.com%2Fwos%2Fwoscc%2Ffull-record%2FWOS:000384834100006","View Full Record in Web of Science")</f>
        <v>View Full Record in Web of Science</v>
      </c>
    </row>
    <row r="747" spans="1:81" ht="13.2" hidden="1" x14ac:dyDescent="0.25">
      <c r="A747" s="89" t="s">
        <v>14585</v>
      </c>
      <c r="B747" s="89" t="e">
        <f>+#REF!</f>
        <v>#REF!</v>
      </c>
      <c r="C747" s="89"/>
      <c r="D747" s="91" t="s">
        <v>717</v>
      </c>
      <c r="E747" s="90" t="e">
        <v>#REF!</v>
      </c>
      <c r="F747" s="89"/>
      <c r="G747" s="89"/>
      <c r="H747" s="89" t="s">
        <v>14586</v>
      </c>
      <c r="I747" s="89" t="s">
        <v>23502</v>
      </c>
      <c r="J747" s="89" t="s">
        <v>646</v>
      </c>
      <c r="K747" s="89" t="s">
        <v>23504</v>
      </c>
      <c r="M747" s="89">
        <v>2020</v>
      </c>
      <c r="N747" s="89" t="s">
        <v>23503</v>
      </c>
      <c r="O747" s="89" t="s">
        <v>646</v>
      </c>
      <c r="P747" s="89" t="str">
        <f>HYPERLINK("http://dx.doi.org/10.1016/j.jcbs.2020.07.011","http://dx.doi.org/10.1016/j.jcbs.2020.07.011")</f>
        <v>http://dx.doi.org/10.1016/j.jcbs.2020.07.011</v>
      </c>
      <c r="S747" s="89" t="s">
        <v>646</v>
      </c>
      <c r="U747" s="89" t="s">
        <v>17462</v>
      </c>
      <c r="W747" s="89" t="s">
        <v>646</v>
      </c>
      <c r="X747" s="89" t="s">
        <v>646</v>
      </c>
      <c r="Y747" s="89" t="s">
        <v>646</v>
      </c>
      <c r="Z747" s="89" t="s">
        <v>646</v>
      </c>
      <c r="AA747" s="89" t="s">
        <v>646</v>
      </c>
      <c r="AB747" s="89" t="s">
        <v>646</v>
      </c>
      <c r="AC747" s="89" t="s">
        <v>646</v>
      </c>
      <c r="AD747" s="89" t="s">
        <v>646</v>
      </c>
      <c r="AE747" s="89" t="s">
        <v>646</v>
      </c>
      <c r="AF747" s="89" t="s">
        <v>23504</v>
      </c>
      <c r="AG747" s="89" t="s">
        <v>646</v>
      </c>
      <c r="AH747" s="89" t="s">
        <v>646</v>
      </c>
      <c r="AI747" s="89" t="s">
        <v>646</v>
      </c>
      <c r="AJ747" s="89" t="s">
        <v>646</v>
      </c>
      <c r="AK747" s="89" t="s">
        <v>646</v>
      </c>
      <c r="AL747" s="89" t="s">
        <v>23505</v>
      </c>
      <c r="AM747" s="89" t="s">
        <v>646</v>
      </c>
      <c r="AN747" s="89" t="s">
        <v>646</v>
      </c>
      <c r="AO747" s="89" t="s">
        <v>646</v>
      </c>
      <c r="AP747" s="89" t="s">
        <v>646</v>
      </c>
      <c r="AQ747" s="89" t="s">
        <v>646</v>
      </c>
      <c r="AR747" s="89" t="s">
        <v>646</v>
      </c>
      <c r="AS747" s="89" t="s">
        <v>646</v>
      </c>
      <c r="AT747" s="89" t="s">
        <v>646</v>
      </c>
      <c r="AU747" s="89" t="s">
        <v>646</v>
      </c>
      <c r="AV747" s="89" t="s">
        <v>646</v>
      </c>
      <c r="AW747" s="89" t="s">
        <v>646</v>
      </c>
      <c r="AX747" s="89" t="s">
        <v>646</v>
      </c>
      <c r="AY747" s="89" t="s">
        <v>23506</v>
      </c>
      <c r="AZ747" s="89" t="s">
        <v>23507</v>
      </c>
      <c r="BA747" s="89" t="s">
        <v>646</v>
      </c>
      <c r="BB747" s="89" t="s">
        <v>646</v>
      </c>
      <c r="BC747" s="89" t="s">
        <v>646</v>
      </c>
      <c r="BD747" s="89" t="s">
        <v>17687</v>
      </c>
      <c r="BE747" s="89">
        <v>2020</v>
      </c>
      <c r="BF747" s="89">
        <v>18</v>
      </c>
      <c r="BG747" s="89" t="s">
        <v>646</v>
      </c>
      <c r="BH747" s="89" t="s">
        <v>646</v>
      </c>
      <c r="BI747" s="89" t="s">
        <v>646</v>
      </c>
      <c r="BJ747" s="89" t="s">
        <v>646</v>
      </c>
      <c r="BK747" s="89" t="s">
        <v>646</v>
      </c>
      <c r="BL747" s="89">
        <v>28</v>
      </c>
      <c r="BM747" s="89">
        <v>33</v>
      </c>
      <c r="BN747" s="89" t="s">
        <v>646</v>
      </c>
      <c r="BO747" s="89" t="str">
        <f>HYPERLINK("http://dx.doi.org/10.1016/j.jcbs.2020.07.011","http://dx.doi.org/10.1016/j.jcbs.2020.07.011")</f>
        <v>http://dx.doi.org/10.1016/j.jcbs.2020.07.011</v>
      </c>
      <c r="BP747" s="89" t="s">
        <v>646</v>
      </c>
      <c r="BQ747" s="89" t="s">
        <v>646</v>
      </c>
      <c r="BR747" s="89" t="s">
        <v>646</v>
      </c>
      <c r="BS747" s="89" t="s">
        <v>646</v>
      </c>
      <c r="BT747" s="89" t="s">
        <v>646</v>
      </c>
      <c r="BU747" s="89" t="s">
        <v>646</v>
      </c>
      <c r="BV747" s="89" t="s">
        <v>646</v>
      </c>
      <c r="BW747" s="89">
        <v>32837889</v>
      </c>
      <c r="BX747" s="89" t="s">
        <v>646</v>
      </c>
      <c r="BY747" s="89" t="s">
        <v>646</v>
      </c>
      <c r="BZ747" s="89" t="s">
        <v>646</v>
      </c>
      <c r="CA747" s="89" t="s">
        <v>646</v>
      </c>
      <c r="CB747" s="89" t="s">
        <v>23508</v>
      </c>
      <c r="CC747" s="89" t="str">
        <f>HYPERLINK("https%3A%2F%2Fwww.webofscience.com%2Fwos%2Fwoscc%2Ffull-record%2FWOS:000599954400004","View Full Record in Web of Science")</f>
        <v>View Full Record in Web of Science</v>
      </c>
    </row>
    <row r="748" spans="1:81" ht="13.2" hidden="1" x14ac:dyDescent="0.25">
      <c r="A748" s="89" t="s">
        <v>10125</v>
      </c>
      <c r="B748" s="89" t="e">
        <f>+#REF!</f>
        <v>#REF!</v>
      </c>
      <c r="C748" s="89"/>
      <c r="D748" s="91" t="s">
        <v>717</v>
      </c>
      <c r="E748" s="90" t="e">
        <v>#REF!</v>
      </c>
      <c r="F748" s="89"/>
      <c r="G748" s="89"/>
      <c r="H748" s="89" t="s">
        <v>10126</v>
      </c>
      <c r="I748" s="89" t="s">
        <v>23509</v>
      </c>
      <c r="J748" s="89" t="s">
        <v>646</v>
      </c>
      <c r="K748" s="89" t="s">
        <v>23511</v>
      </c>
      <c r="M748" s="89">
        <v>2022</v>
      </c>
      <c r="N748" s="89" t="s">
        <v>23510</v>
      </c>
      <c r="O748" s="89" t="s">
        <v>646</v>
      </c>
      <c r="P748" s="89" t="str">
        <f>HYPERLINK("http://dx.doi.org/10.1093/jpepsy/jsac016","http://dx.doi.org/10.1093/jpepsy/jsac016")</f>
        <v>http://dx.doi.org/10.1093/jpepsy/jsac016</v>
      </c>
      <c r="S748" s="89" t="s">
        <v>646</v>
      </c>
      <c r="U748" s="89" t="s">
        <v>17462</v>
      </c>
      <c r="W748" s="89" t="s">
        <v>646</v>
      </c>
      <c r="X748" s="89" t="s">
        <v>646</v>
      </c>
      <c r="Y748" s="89" t="s">
        <v>646</v>
      </c>
      <c r="Z748" s="89" t="s">
        <v>646</v>
      </c>
      <c r="AA748" s="89" t="s">
        <v>646</v>
      </c>
      <c r="AB748" s="89" t="s">
        <v>646</v>
      </c>
      <c r="AC748" s="89" t="s">
        <v>646</v>
      </c>
      <c r="AD748" s="89" t="s">
        <v>646</v>
      </c>
      <c r="AE748" s="89" t="s">
        <v>646</v>
      </c>
      <c r="AF748" s="89" t="s">
        <v>23511</v>
      </c>
      <c r="AG748" s="89" t="s">
        <v>646</v>
      </c>
      <c r="AH748" s="89" t="s">
        <v>646</v>
      </c>
      <c r="AI748" s="89" t="s">
        <v>646</v>
      </c>
      <c r="AJ748" s="89" t="s">
        <v>646</v>
      </c>
      <c r="AK748" s="89" t="s">
        <v>646</v>
      </c>
      <c r="AL748" s="89" t="s">
        <v>23512</v>
      </c>
      <c r="AM748" s="89" t="s">
        <v>646</v>
      </c>
      <c r="AN748" s="89" t="s">
        <v>646</v>
      </c>
      <c r="AO748" s="89" t="s">
        <v>646</v>
      </c>
      <c r="AP748" s="89" t="s">
        <v>646</v>
      </c>
      <c r="AQ748" s="89" t="s">
        <v>646</v>
      </c>
      <c r="AR748" s="89" t="s">
        <v>646</v>
      </c>
      <c r="AS748" s="89" t="s">
        <v>646</v>
      </c>
      <c r="AT748" s="89" t="s">
        <v>646</v>
      </c>
      <c r="AU748" s="89" t="s">
        <v>646</v>
      </c>
      <c r="AV748" s="89" t="s">
        <v>646</v>
      </c>
      <c r="AW748" s="89" t="s">
        <v>646</v>
      </c>
      <c r="AX748" s="89" t="s">
        <v>646</v>
      </c>
      <c r="AY748" s="89" t="s">
        <v>23513</v>
      </c>
      <c r="AZ748" s="89" t="s">
        <v>23514</v>
      </c>
      <c r="BA748" s="89" t="s">
        <v>646</v>
      </c>
      <c r="BB748" s="89" t="s">
        <v>646</v>
      </c>
      <c r="BC748" s="89" t="s">
        <v>646</v>
      </c>
      <c r="BD748" s="89" t="s">
        <v>23515</v>
      </c>
      <c r="BE748" s="89">
        <v>2022</v>
      </c>
      <c r="BF748" s="89">
        <v>47</v>
      </c>
      <c r="BG748" s="89">
        <v>7</v>
      </c>
      <c r="BH748" s="89" t="s">
        <v>646</v>
      </c>
      <c r="BI748" s="89" t="s">
        <v>646</v>
      </c>
      <c r="BJ748" s="89" t="s">
        <v>646</v>
      </c>
      <c r="BK748" s="89" t="s">
        <v>646</v>
      </c>
      <c r="BL748" s="89">
        <v>769</v>
      </c>
      <c r="BM748" s="89">
        <v>784</v>
      </c>
      <c r="BN748" s="89" t="s">
        <v>646</v>
      </c>
      <c r="BO748" s="89" t="str">
        <f>HYPERLINK("http://dx.doi.org/10.1093/jpepsy/jsac016","http://dx.doi.org/10.1093/jpepsy/jsac016")</f>
        <v>http://dx.doi.org/10.1093/jpepsy/jsac016</v>
      </c>
      <c r="BP748" s="89" t="s">
        <v>646</v>
      </c>
      <c r="BQ748" s="89" t="s">
        <v>21844</v>
      </c>
      <c r="BR748" s="89" t="s">
        <v>646</v>
      </c>
      <c r="BS748" s="89" t="s">
        <v>646</v>
      </c>
      <c r="BT748" s="89" t="s">
        <v>646</v>
      </c>
      <c r="BU748" s="89" t="s">
        <v>646</v>
      </c>
      <c r="BV748" s="89" t="s">
        <v>646</v>
      </c>
      <c r="BW748" s="89">
        <v>35348738</v>
      </c>
      <c r="BX748" s="89" t="s">
        <v>646</v>
      </c>
      <c r="BY748" s="89" t="s">
        <v>646</v>
      </c>
      <c r="BZ748" s="89" t="s">
        <v>646</v>
      </c>
      <c r="CA748" s="89" t="s">
        <v>646</v>
      </c>
      <c r="CB748" s="89" t="s">
        <v>23516</v>
      </c>
      <c r="CC748" s="89" t="str">
        <f>HYPERLINK("https%3A%2F%2Fwww.webofscience.com%2Fwos%2Fwoscc%2Ffull-record%2FWOS:000785675700001","View Full Record in Web of Science")</f>
        <v>View Full Record in Web of Science</v>
      </c>
    </row>
    <row r="749" spans="1:81" ht="13.2" hidden="1" x14ac:dyDescent="0.25">
      <c r="A749" s="89" t="s">
        <v>10134</v>
      </c>
      <c r="B749" s="89" t="e">
        <f>+#REF!</f>
        <v>#REF!</v>
      </c>
      <c r="C749" s="89"/>
      <c r="D749" s="91" t="s">
        <v>717</v>
      </c>
      <c r="E749" s="90" t="e">
        <v>#REF!</v>
      </c>
      <c r="F749" s="89"/>
      <c r="G749" s="89"/>
      <c r="H749" s="89" t="s">
        <v>10135</v>
      </c>
      <c r="I749" s="89" t="s">
        <v>23517</v>
      </c>
      <c r="J749" s="89" t="s">
        <v>23519</v>
      </c>
      <c r="K749" s="89" t="s">
        <v>23518</v>
      </c>
      <c r="M749" s="89">
        <v>2021</v>
      </c>
      <c r="N749" s="89" t="s">
        <v>19137</v>
      </c>
      <c r="O749" s="89" t="s">
        <v>646</v>
      </c>
      <c r="P749" s="89" t="str">
        <f>HYPERLINK("http://dx.doi.org/10.1177/0886260518805771","http://dx.doi.org/10.1177/0886260518805771")</f>
        <v>http://dx.doi.org/10.1177/0886260518805771</v>
      </c>
      <c r="S749" s="89" t="s">
        <v>646</v>
      </c>
      <c r="U749" s="89" t="s">
        <v>17462</v>
      </c>
      <c r="W749" s="89" t="s">
        <v>646</v>
      </c>
      <c r="X749" s="89" t="s">
        <v>646</v>
      </c>
      <c r="Y749" s="89" t="s">
        <v>646</v>
      </c>
      <c r="Z749" s="89" t="s">
        <v>646</v>
      </c>
      <c r="AA749" s="89" t="s">
        <v>646</v>
      </c>
      <c r="AB749" s="89" t="s">
        <v>646</v>
      </c>
      <c r="AC749" s="89" t="s">
        <v>646</v>
      </c>
      <c r="AD749" s="89" t="s">
        <v>646</v>
      </c>
      <c r="AE749" s="89" t="s">
        <v>646</v>
      </c>
      <c r="AF749" s="89" t="s">
        <v>23518</v>
      </c>
      <c r="AG749" s="89" t="s">
        <v>646</v>
      </c>
      <c r="AH749" s="89" t="s">
        <v>646</v>
      </c>
      <c r="AI749" s="89" t="s">
        <v>646</v>
      </c>
      <c r="AJ749" s="89" t="s">
        <v>646</v>
      </c>
      <c r="AK749" s="89" t="s">
        <v>23519</v>
      </c>
      <c r="AL749" s="89" t="s">
        <v>23520</v>
      </c>
      <c r="AM749" s="89" t="s">
        <v>646</v>
      </c>
      <c r="AN749" s="89" t="s">
        <v>646</v>
      </c>
      <c r="AO749" s="89" t="s">
        <v>646</v>
      </c>
      <c r="AP749" s="89" t="s">
        <v>646</v>
      </c>
      <c r="AQ749" s="89" t="s">
        <v>646</v>
      </c>
      <c r="AR749" s="89" t="s">
        <v>646</v>
      </c>
      <c r="AS749" s="89" t="s">
        <v>646</v>
      </c>
      <c r="AT749" s="89" t="s">
        <v>646</v>
      </c>
      <c r="AU749" s="89" t="s">
        <v>646</v>
      </c>
      <c r="AV749" s="89" t="s">
        <v>646</v>
      </c>
      <c r="AW749" s="89" t="s">
        <v>646</v>
      </c>
      <c r="AX749" s="89" t="s">
        <v>646</v>
      </c>
      <c r="AY749" s="89" t="s">
        <v>19140</v>
      </c>
      <c r="AZ749" s="89" t="s">
        <v>19141</v>
      </c>
      <c r="BA749" s="89" t="s">
        <v>646</v>
      </c>
      <c r="BB749" s="89" t="s">
        <v>646</v>
      </c>
      <c r="BC749" s="89" t="s">
        <v>646</v>
      </c>
      <c r="BD749" s="89" t="s">
        <v>17772</v>
      </c>
      <c r="BE749" s="89">
        <v>2021</v>
      </c>
      <c r="BF749" s="89">
        <v>36</v>
      </c>
      <c r="BG749" s="89" t="s">
        <v>19541</v>
      </c>
      <c r="BH749" s="89" t="s">
        <v>646</v>
      </c>
      <c r="BI749" s="89" t="s">
        <v>646</v>
      </c>
      <c r="BJ749" s="89" t="s">
        <v>646</v>
      </c>
      <c r="BK749" s="89" t="s">
        <v>646</v>
      </c>
      <c r="BL749" s="89">
        <v>5659</v>
      </c>
      <c r="BM749" s="89">
        <v>5684</v>
      </c>
      <c r="BN749" s="89" t="s">
        <v>646</v>
      </c>
      <c r="BO749" s="89" t="str">
        <f>HYPERLINK("http://dx.doi.org/10.1177/0886260518805771","http://dx.doi.org/10.1177/0886260518805771")</f>
        <v>http://dx.doi.org/10.1177/0886260518805771</v>
      </c>
      <c r="BP749" s="89" t="s">
        <v>646</v>
      </c>
      <c r="BQ749" s="89" t="s">
        <v>646</v>
      </c>
      <c r="BR749" s="89" t="s">
        <v>646</v>
      </c>
      <c r="BS749" s="89" t="s">
        <v>646</v>
      </c>
      <c r="BT749" s="89" t="s">
        <v>646</v>
      </c>
      <c r="BU749" s="89" t="s">
        <v>646</v>
      </c>
      <c r="BV749" s="89" t="s">
        <v>646</v>
      </c>
      <c r="BW749" s="89">
        <v>30328380</v>
      </c>
      <c r="BX749" s="89" t="s">
        <v>646</v>
      </c>
      <c r="BY749" s="89" t="s">
        <v>646</v>
      </c>
      <c r="BZ749" s="89" t="s">
        <v>646</v>
      </c>
      <c r="CA749" s="89" t="s">
        <v>646</v>
      </c>
      <c r="CB749" s="89" t="s">
        <v>23521</v>
      </c>
      <c r="CC749" s="89" t="str">
        <f>HYPERLINK("https%3A%2F%2Fwww.webofscience.com%2Fwos%2Fwoscc%2Ffull-record%2FWOS:000660076900035","View Full Record in Web of Science")</f>
        <v>View Full Record in Web of Science</v>
      </c>
    </row>
    <row r="750" spans="1:81" ht="13.2" hidden="1" x14ac:dyDescent="0.25">
      <c r="A750" s="89" t="s">
        <v>14594</v>
      </c>
      <c r="B750" s="89" t="e">
        <f>+#REF!</f>
        <v>#REF!</v>
      </c>
      <c r="C750" s="89"/>
      <c r="D750" s="91" t="s">
        <v>717</v>
      </c>
      <c r="E750" s="90" t="e">
        <v>#REF!</v>
      </c>
      <c r="F750" s="89"/>
      <c r="G750" s="89"/>
      <c r="H750" s="89" t="s">
        <v>14595</v>
      </c>
      <c r="I750" s="89" t="s">
        <v>23522</v>
      </c>
      <c r="J750" s="89" t="s">
        <v>23524</v>
      </c>
      <c r="K750" s="89" t="s">
        <v>23523</v>
      </c>
      <c r="M750" s="89">
        <v>2018</v>
      </c>
      <c r="N750" s="89" t="s">
        <v>17959</v>
      </c>
      <c r="O750" s="89" t="s">
        <v>646</v>
      </c>
      <c r="P750" s="89" t="str">
        <f>HYPERLINK("http://dx.doi.org/10.1016/j.jclepro.2018.06.100","http://dx.doi.org/10.1016/j.jclepro.2018.06.100")</f>
        <v>http://dx.doi.org/10.1016/j.jclepro.2018.06.100</v>
      </c>
      <c r="S750" s="89" t="s">
        <v>646</v>
      </c>
      <c r="U750" s="89" t="s">
        <v>17462</v>
      </c>
      <c r="W750" s="89" t="s">
        <v>646</v>
      </c>
      <c r="X750" s="89" t="s">
        <v>646</v>
      </c>
      <c r="Y750" s="89" t="s">
        <v>646</v>
      </c>
      <c r="Z750" s="89" t="s">
        <v>646</v>
      </c>
      <c r="AA750" s="89" t="s">
        <v>646</v>
      </c>
      <c r="AB750" s="89" t="s">
        <v>646</v>
      </c>
      <c r="AC750" s="89" t="s">
        <v>646</v>
      </c>
      <c r="AD750" s="89" t="s">
        <v>646</v>
      </c>
      <c r="AE750" s="89" t="s">
        <v>646</v>
      </c>
      <c r="AF750" s="89" t="s">
        <v>23523</v>
      </c>
      <c r="AG750" s="89" t="s">
        <v>646</v>
      </c>
      <c r="AH750" s="89" t="s">
        <v>646</v>
      </c>
      <c r="AI750" s="89" t="s">
        <v>646</v>
      </c>
      <c r="AJ750" s="89" t="s">
        <v>646</v>
      </c>
      <c r="AK750" s="89" t="s">
        <v>23524</v>
      </c>
      <c r="AL750" s="89" t="s">
        <v>23525</v>
      </c>
      <c r="AM750" s="89" t="s">
        <v>646</v>
      </c>
      <c r="AN750" s="89" t="s">
        <v>646</v>
      </c>
      <c r="AO750" s="89" t="s">
        <v>646</v>
      </c>
      <c r="AP750" s="89" t="s">
        <v>646</v>
      </c>
      <c r="AQ750" s="89" t="s">
        <v>646</v>
      </c>
      <c r="AR750" s="89" t="s">
        <v>646</v>
      </c>
      <c r="AS750" s="89" t="s">
        <v>646</v>
      </c>
      <c r="AT750" s="89" t="s">
        <v>646</v>
      </c>
      <c r="AU750" s="89" t="s">
        <v>646</v>
      </c>
      <c r="AV750" s="89" t="s">
        <v>646</v>
      </c>
      <c r="AW750" s="89" t="s">
        <v>646</v>
      </c>
      <c r="AX750" s="89" t="s">
        <v>646</v>
      </c>
      <c r="AY750" s="89" t="s">
        <v>17963</v>
      </c>
      <c r="AZ750" s="89" t="s">
        <v>17964</v>
      </c>
      <c r="BA750" s="89" t="s">
        <v>646</v>
      </c>
      <c r="BB750" s="89" t="s">
        <v>646</v>
      </c>
      <c r="BC750" s="89" t="s">
        <v>646</v>
      </c>
      <c r="BD750" s="89" t="s">
        <v>23526</v>
      </c>
      <c r="BE750" s="89">
        <v>2018</v>
      </c>
      <c r="BF750" s="89">
        <v>197</v>
      </c>
      <c r="BG750" s="89" t="s">
        <v>646</v>
      </c>
      <c r="BH750" s="89">
        <v>1</v>
      </c>
      <c r="BI750" s="89" t="s">
        <v>646</v>
      </c>
      <c r="BJ750" s="89" t="s">
        <v>646</v>
      </c>
      <c r="BK750" s="89" t="s">
        <v>646</v>
      </c>
      <c r="BL750" s="89">
        <v>1035</v>
      </c>
      <c r="BM750" s="89">
        <v>1045</v>
      </c>
      <c r="BN750" s="89" t="s">
        <v>646</v>
      </c>
      <c r="BO750" s="89" t="str">
        <f>HYPERLINK("http://dx.doi.org/10.1016/j.jclepro.2018.06.100","http://dx.doi.org/10.1016/j.jclepro.2018.06.100")</f>
        <v>http://dx.doi.org/10.1016/j.jclepro.2018.06.100</v>
      </c>
      <c r="BP750" s="89" t="s">
        <v>646</v>
      </c>
      <c r="BQ750" s="89" t="s">
        <v>646</v>
      </c>
      <c r="BR750" s="89" t="s">
        <v>646</v>
      </c>
      <c r="BS750" s="89" t="s">
        <v>646</v>
      </c>
      <c r="BT750" s="89" t="s">
        <v>646</v>
      </c>
      <c r="BU750" s="89" t="s">
        <v>646</v>
      </c>
      <c r="BV750" s="89" t="s">
        <v>646</v>
      </c>
      <c r="BW750" s="89" t="s">
        <v>646</v>
      </c>
      <c r="BX750" s="89" t="s">
        <v>646</v>
      </c>
      <c r="BY750" s="89" t="s">
        <v>646</v>
      </c>
      <c r="BZ750" s="89" t="s">
        <v>646</v>
      </c>
      <c r="CA750" s="89" t="s">
        <v>646</v>
      </c>
      <c r="CB750" s="89" t="s">
        <v>23527</v>
      </c>
      <c r="CC750" s="89" t="str">
        <f>HYPERLINK("https%3A%2F%2Fwww.webofscience.com%2Fwos%2Fwoscc%2Ffull-record%2FWOS:000441998400095","View Full Record in Web of Science")</f>
        <v>View Full Record in Web of Science</v>
      </c>
    </row>
    <row r="751" spans="1:81" ht="13.2" hidden="1" x14ac:dyDescent="0.25">
      <c r="A751" s="89" t="s">
        <v>14604</v>
      </c>
      <c r="B751" s="89" t="e">
        <f>+#REF!</f>
        <v>#REF!</v>
      </c>
      <c r="C751" s="89"/>
      <c r="D751" s="91" t="s">
        <v>717</v>
      </c>
      <c r="E751" s="90" t="e">
        <v>#REF!</v>
      </c>
      <c r="F751" s="89"/>
      <c r="G751" s="89"/>
      <c r="H751" s="89" t="s">
        <v>14605</v>
      </c>
      <c r="I751" s="89" t="s">
        <v>23528</v>
      </c>
      <c r="J751" s="89" t="s">
        <v>646</v>
      </c>
      <c r="K751" s="89" t="s">
        <v>23533</v>
      </c>
      <c r="M751" s="89">
        <v>2020</v>
      </c>
      <c r="N751" s="89" t="s">
        <v>23529</v>
      </c>
      <c r="O751" s="89" t="s">
        <v>646</v>
      </c>
      <c r="P751" s="89" t="str">
        <f>HYPERLINK("http://dx.doi.org/10.1097/SCS.0000000000006400","http://dx.doi.org/10.1097/SCS.0000000000006400")</f>
        <v>http://dx.doi.org/10.1097/SCS.0000000000006400</v>
      </c>
      <c r="S751" s="89" t="s">
        <v>646</v>
      </c>
      <c r="U751" s="89" t="s">
        <v>17462</v>
      </c>
      <c r="W751" s="89" t="s">
        <v>646</v>
      </c>
      <c r="X751" s="89" t="s">
        <v>646</v>
      </c>
      <c r="Y751" s="89" t="s">
        <v>23530</v>
      </c>
      <c r="Z751" s="89" t="s">
        <v>23531</v>
      </c>
      <c r="AA751" s="89" t="s">
        <v>18224</v>
      </c>
      <c r="AB751" s="89" t="s">
        <v>23532</v>
      </c>
      <c r="AC751" s="89" t="s">
        <v>646</v>
      </c>
      <c r="AD751" s="89" t="s">
        <v>646</v>
      </c>
      <c r="AE751" s="89" t="s">
        <v>646</v>
      </c>
      <c r="AF751" s="89" t="s">
        <v>23533</v>
      </c>
      <c r="AG751" s="89" t="s">
        <v>646</v>
      </c>
      <c r="AH751" s="89" t="s">
        <v>646</v>
      </c>
      <c r="AI751" s="89" t="s">
        <v>646</v>
      </c>
      <c r="AJ751" s="89" t="s">
        <v>646</v>
      </c>
      <c r="AK751" s="89" t="s">
        <v>646</v>
      </c>
      <c r="AL751" s="89" t="s">
        <v>646</v>
      </c>
      <c r="AM751" s="89" t="s">
        <v>646</v>
      </c>
      <c r="AN751" s="89" t="s">
        <v>646</v>
      </c>
      <c r="AO751" s="89" t="s">
        <v>646</v>
      </c>
      <c r="AP751" s="89" t="s">
        <v>646</v>
      </c>
      <c r="AQ751" s="89" t="s">
        <v>646</v>
      </c>
      <c r="AR751" s="89" t="s">
        <v>646</v>
      </c>
      <c r="AS751" s="89" t="s">
        <v>646</v>
      </c>
      <c r="AT751" s="89" t="s">
        <v>646</v>
      </c>
      <c r="AU751" s="89" t="s">
        <v>646</v>
      </c>
      <c r="AV751" s="89" t="s">
        <v>646</v>
      </c>
      <c r="AW751" s="89" t="s">
        <v>646</v>
      </c>
      <c r="AX751" s="89" t="s">
        <v>646</v>
      </c>
      <c r="AY751" s="89" t="s">
        <v>23534</v>
      </c>
      <c r="AZ751" s="89" t="s">
        <v>23535</v>
      </c>
      <c r="BA751" s="89" t="s">
        <v>646</v>
      </c>
      <c r="BB751" s="89" t="s">
        <v>646</v>
      </c>
      <c r="BC751" s="89" t="s">
        <v>646</v>
      </c>
      <c r="BD751" s="89" t="s">
        <v>18436</v>
      </c>
      <c r="BE751" s="89">
        <v>2020</v>
      </c>
      <c r="BF751" s="89">
        <v>31</v>
      </c>
      <c r="BG751" s="89">
        <v>3</v>
      </c>
      <c r="BH751" s="89" t="s">
        <v>646</v>
      </c>
      <c r="BI751" s="89" t="s">
        <v>646</v>
      </c>
      <c r="BJ751" s="89" t="s">
        <v>646</v>
      </c>
      <c r="BK751" s="89" t="s">
        <v>646</v>
      </c>
      <c r="BL751" s="89">
        <v>741</v>
      </c>
      <c r="BM751" s="89">
        <v>745</v>
      </c>
      <c r="BN751" s="89" t="s">
        <v>646</v>
      </c>
      <c r="BO751" s="89" t="str">
        <f>HYPERLINK("http://dx.doi.org/10.1097/SCS.0000000000006400","http://dx.doi.org/10.1097/SCS.0000000000006400")</f>
        <v>http://dx.doi.org/10.1097/SCS.0000000000006400</v>
      </c>
      <c r="BP751" s="89" t="s">
        <v>646</v>
      </c>
      <c r="BQ751" s="89" t="s">
        <v>646</v>
      </c>
      <c r="BR751" s="89" t="s">
        <v>646</v>
      </c>
      <c r="BS751" s="89" t="s">
        <v>646</v>
      </c>
      <c r="BT751" s="89" t="s">
        <v>646</v>
      </c>
      <c r="BU751" s="89" t="s">
        <v>646</v>
      </c>
      <c r="BV751" s="89" t="s">
        <v>646</v>
      </c>
      <c r="BW751" s="89">
        <v>32176020</v>
      </c>
      <c r="BX751" s="89" t="s">
        <v>646</v>
      </c>
      <c r="BY751" s="89" t="s">
        <v>646</v>
      </c>
      <c r="BZ751" s="89" t="s">
        <v>646</v>
      </c>
      <c r="CA751" s="89" t="s">
        <v>646</v>
      </c>
      <c r="CB751" s="89" t="s">
        <v>23536</v>
      </c>
      <c r="CC751" s="89" t="str">
        <f>HYPERLINK("https%3A%2F%2Fwww.webofscience.com%2Fwos%2Fwoscc%2Ffull-record%2FWOS:000562524800072","View Full Record in Web of Science")</f>
        <v>View Full Record in Web of Science</v>
      </c>
    </row>
    <row r="752" spans="1:81" ht="13.2" hidden="1" x14ac:dyDescent="0.25">
      <c r="A752" s="89" t="s">
        <v>10143</v>
      </c>
      <c r="B752" s="89" t="e">
        <f>+#REF!</f>
        <v>#REF!</v>
      </c>
      <c r="C752" s="89"/>
      <c r="D752" s="91" t="s">
        <v>717</v>
      </c>
      <c r="E752" s="90" t="e">
        <v>#REF!</v>
      </c>
      <c r="F752" s="89"/>
      <c r="G752" s="89"/>
      <c r="H752" s="89" t="s">
        <v>10144</v>
      </c>
      <c r="I752" s="89" t="s">
        <v>23537</v>
      </c>
      <c r="J752" s="89" t="s">
        <v>646</v>
      </c>
      <c r="K752" s="89" t="s">
        <v>23539</v>
      </c>
      <c r="M752" s="89">
        <v>2021</v>
      </c>
      <c r="N752" s="89" t="s">
        <v>23538</v>
      </c>
      <c r="O752" s="89" t="s">
        <v>646</v>
      </c>
      <c r="P752" s="89" t="str">
        <f>HYPERLINK("http://dx.doi.org/10.1016/j.jss.2021.04.041","http://dx.doi.org/10.1016/j.jss.2021.04.041")</f>
        <v>http://dx.doi.org/10.1016/j.jss.2021.04.041</v>
      </c>
      <c r="S752" s="89" t="s">
        <v>646</v>
      </c>
      <c r="U752" s="89" t="s">
        <v>17462</v>
      </c>
      <c r="W752" s="89" t="s">
        <v>646</v>
      </c>
      <c r="X752" s="89" t="s">
        <v>646</v>
      </c>
      <c r="Y752" s="89" t="s">
        <v>646</v>
      </c>
      <c r="Z752" s="89" t="s">
        <v>646</v>
      </c>
      <c r="AA752" s="89" t="s">
        <v>646</v>
      </c>
      <c r="AB752" s="89" t="s">
        <v>646</v>
      </c>
      <c r="AC752" s="89" t="s">
        <v>646</v>
      </c>
      <c r="AD752" s="89" t="s">
        <v>646</v>
      </c>
      <c r="AE752" s="89" t="s">
        <v>646</v>
      </c>
      <c r="AF752" s="89" t="s">
        <v>23539</v>
      </c>
      <c r="AG752" s="89" t="s">
        <v>646</v>
      </c>
      <c r="AH752" s="89" t="s">
        <v>646</v>
      </c>
      <c r="AI752" s="89" t="s">
        <v>646</v>
      </c>
      <c r="AJ752" s="89" t="s">
        <v>646</v>
      </c>
      <c r="AK752" s="89" t="s">
        <v>646</v>
      </c>
      <c r="AL752" s="89" t="s">
        <v>23540</v>
      </c>
      <c r="AM752" s="89" t="s">
        <v>646</v>
      </c>
      <c r="AN752" s="89" t="s">
        <v>646</v>
      </c>
      <c r="AO752" s="89" t="s">
        <v>646</v>
      </c>
      <c r="AP752" s="89" t="s">
        <v>646</v>
      </c>
      <c r="AQ752" s="89" t="s">
        <v>646</v>
      </c>
      <c r="AR752" s="89" t="s">
        <v>646</v>
      </c>
      <c r="AS752" s="89" t="s">
        <v>646</v>
      </c>
      <c r="AT752" s="89" t="s">
        <v>646</v>
      </c>
      <c r="AU752" s="89" t="s">
        <v>646</v>
      </c>
      <c r="AV752" s="89" t="s">
        <v>646</v>
      </c>
      <c r="AW752" s="89" t="s">
        <v>646</v>
      </c>
      <c r="AX752" s="89" t="s">
        <v>646</v>
      </c>
      <c r="AY752" s="89" t="s">
        <v>23541</v>
      </c>
      <c r="AZ752" s="89" t="s">
        <v>23542</v>
      </c>
      <c r="BA752" s="89" t="s">
        <v>646</v>
      </c>
      <c r="BB752" s="89" t="s">
        <v>646</v>
      </c>
      <c r="BC752" s="89" t="s">
        <v>646</v>
      </c>
      <c r="BD752" s="89" t="s">
        <v>18292</v>
      </c>
      <c r="BE752" s="89">
        <v>2021</v>
      </c>
      <c r="BF752" s="89">
        <v>267</v>
      </c>
      <c r="BG752" s="89" t="s">
        <v>646</v>
      </c>
      <c r="BH752" s="89" t="s">
        <v>646</v>
      </c>
      <c r="BI752" s="89" t="s">
        <v>646</v>
      </c>
      <c r="BJ752" s="89" t="s">
        <v>646</v>
      </c>
      <c r="BK752" s="89" t="s">
        <v>646</v>
      </c>
      <c r="BL752" s="89">
        <v>56</v>
      </c>
      <c r="BM752" s="89">
        <v>62</v>
      </c>
      <c r="BN752" s="89" t="s">
        <v>646</v>
      </c>
      <c r="BO752" s="89" t="str">
        <f>HYPERLINK("http://dx.doi.org/10.1016/j.jss.2021.04.041","http://dx.doi.org/10.1016/j.jss.2021.04.041")</f>
        <v>http://dx.doi.org/10.1016/j.jss.2021.04.041</v>
      </c>
      <c r="BP752" s="89" t="s">
        <v>646</v>
      </c>
      <c r="BQ752" s="89" t="s">
        <v>17514</v>
      </c>
      <c r="BR752" s="89" t="s">
        <v>646</v>
      </c>
      <c r="BS752" s="89" t="s">
        <v>646</v>
      </c>
      <c r="BT752" s="89" t="s">
        <v>646</v>
      </c>
      <c r="BU752" s="89" t="s">
        <v>646</v>
      </c>
      <c r="BV752" s="89" t="s">
        <v>646</v>
      </c>
      <c r="BW752" s="89">
        <v>34130239</v>
      </c>
      <c r="BX752" s="89" t="s">
        <v>646</v>
      </c>
      <c r="BY752" s="89" t="s">
        <v>646</v>
      </c>
      <c r="BZ752" s="89" t="s">
        <v>646</v>
      </c>
      <c r="CA752" s="89" t="s">
        <v>646</v>
      </c>
      <c r="CB752" s="89" t="s">
        <v>23543</v>
      </c>
      <c r="CC752" s="89" t="str">
        <f>HYPERLINK("https%3A%2F%2Fwww.webofscience.com%2Fwos%2Fwoscc%2Ffull-record%2FWOS:000702685500008","View Full Record in Web of Science")</f>
        <v>View Full Record in Web of Science</v>
      </c>
    </row>
    <row r="753" spans="1:81" ht="13.2" hidden="1" x14ac:dyDescent="0.25">
      <c r="A753" s="89" t="s">
        <v>23544</v>
      </c>
      <c r="B753" s="89" t="e">
        <f>+#REF!</f>
        <v>#REF!</v>
      </c>
      <c r="C753" s="89"/>
      <c r="D753" s="91" t="s">
        <v>717</v>
      </c>
      <c r="E753" s="90" t="e">
        <v>#REF!</v>
      </c>
      <c r="F753" s="89"/>
      <c r="G753" s="89"/>
      <c r="H753" s="89" t="s">
        <v>14614</v>
      </c>
      <c r="I753" s="89" t="s">
        <v>23545</v>
      </c>
      <c r="J753" s="89" t="s">
        <v>646</v>
      </c>
      <c r="K753" s="89" t="s">
        <v>14616</v>
      </c>
      <c r="M753" s="89">
        <v>2015</v>
      </c>
      <c r="N753" s="89" t="s">
        <v>22137</v>
      </c>
      <c r="O753" s="89" t="s">
        <v>646</v>
      </c>
      <c r="P753" s="89" t="str">
        <f>HYPERLINK("http://dx.doi.org/10.1145/2723372.2749430","http://dx.doi.org/10.1145/2723372.2749430")</f>
        <v>http://dx.doi.org/10.1145/2723372.2749430</v>
      </c>
      <c r="S753" s="89" t="s">
        <v>20420</v>
      </c>
      <c r="U753" s="89" t="s">
        <v>17474</v>
      </c>
      <c r="W753" s="89" t="s">
        <v>646</v>
      </c>
      <c r="X753" s="89" t="s">
        <v>646</v>
      </c>
      <c r="Y753" s="89" t="s">
        <v>22138</v>
      </c>
      <c r="Z753" s="89" t="s">
        <v>22139</v>
      </c>
      <c r="AA753" s="89" t="s">
        <v>22140</v>
      </c>
      <c r="AB753" s="89" t="s">
        <v>22141</v>
      </c>
      <c r="AC753" s="89" t="s">
        <v>646</v>
      </c>
      <c r="AD753" s="89" t="s">
        <v>646</v>
      </c>
      <c r="AE753" s="89" t="s">
        <v>646</v>
      </c>
      <c r="AF753" s="89" t="s">
        <v>14616</v>
      </c>
      <c r="AG753" s="89" t="s">
        <v>646</v>
      </c>
      <c r="AH753" s="89" t="s">
        <v>646</v>
      </c>
      <c r="AI753" s="89" t="s">
        <v>646</v>
      </c>
      <c r="AJ753" s="89" t="s">
        <v>646</v>
      </c>
      <c r="AK753" s="89" t="s">
        <v>646</v>
      </c>
      <c r="AL753" s="89" t="s">
        <v>646</v>
      </c>
      <c r="AM753" s="89" t="s">
        <v>646</v>
      </c>
      <c r="AN753" s="89" t="s">
        <v>646</v>
      </c>
      <c r="AO753" s="89" t="s">
        <v>646</v>
      </c>
      <c r="AP753" s="89" t="s">
        <v>646</v>
      </c>
      <c r="AQ753" s="89" t="s">
        <v>646</v>
      </c>
      <c r="AR753" s="89" t="s">
        <v>646</v>
      </c>
      <c r="AS753" s="89" t="s">
        <v>646</v>
      </c>
      <c r="AT753" s="89" t="s">
        <v>646</v>
      </c>
      <c r="AU753" s="89" t="s">
        <v>646</v>
      </c>
      <c r="AV753" s="89" t="s">
        <v>646</v>
      </c>
      <c r="AW753" s="89" t="s">
        <v>646</v>
      </c>
      <c r="AX753" s="89" t="s">
        <v>646</v>
      </c>
      <c r="AY753" s="89" t="s">
        <v>646</v>
      </c>
      <c r="AZ753" s="89" t="s">
        <v>646</v>
      </c>
      <c r="BA753" s="89" t="s">
        <v>22144</v>
      </c>
      <c r="BB753" s="89" t="s">
        <v>646</v>
      </c>
      <c r="BC753" s="89" t="s">
        <v>646</v>
      </c>
      <c r="BD753" s="89" t="s">
        <v>646</v>
      </c>
      <c r="BE753" s="89">
        <v>2015</v>
      </c>
      <c r="BF753" s="89" t="s">
        <v>646</v>
      </c>
      <c r="BG753" s="89" t="s">
        <v>646</v>
      </c>
      <c r="BH753" s="89" t="s">
        <v>646</v>
      </c>
      <c r="BI753" s="89" t="s">
        <v>646</v>
      </c>
      <c r="BJ753" s="89" t="s">
        <v>646</v>
      </c>
      <c r="BK753" s="89" t="s">
        <v>646</v>
      </c>
      <c r="BL753" s="89">
        <v>1031</v>
      </c>
      <c r="BM753" s="89">
        <v>1046</v>
      </c>
      <c r="BN753" s="89" t="s">
        <v>646</v>
      </c>
      <c r="BO753" s="89" t="str">
        <f>HYPERLINK("http://dx.doi.org/10.1145/2723372.2749430","http://dx.doi.org/10.1145/2723372.2749430")</f>
        <v>http://dx.doi.org/10.1145/2723372.2749430</v>
      </c>
      <c r="BP753" s="89" t="s">
        <v>646</v>
      </c>
      <c r="BQ753" s="89" t="s">
        <v>646</v>
      </c>
      <c r="BR753" s="89" t="s">
        <v>646</v>
      </c>
      <c r="BS753" s="89" t="s">
        <v>646</v>
      </c>
      <c r="BT753" s="89" t="s">
        <v>646</v>
      </c>
      <c r="BU753" s="89" t="s">
        <v>646</v>
      </c>
      <c r="BV753" s="89" t="s">
        <v>646</v>
      </c>
      <c r="BW753" s="89" t="s">
        <v>646</v>
      </c>
      <c r="BX753" s="89" t="s">
        <v>646</v>
      </c>
      <c r="BY753" s="89" t="s">
        <v>646</v>
      </c>
      <c r="BZ753" s="89" t="s">
        <v>646</v>
      </c>
      <c r="CA753" s="89" t="s">
        <v>646</v>
      </c>
      <c r="CB753" s="89" t="s">
        <v>23546</v>
      </c>
      <c r="CC753" s="89" t="str">
        <f>HYPERLINK("https%3A%2F%2Fwww.webofscience.com%2Fwos%2Fwoscc%2Ffull-record%2FWOS:000452535700080","View Full Record in Web of Science")</f>
        <v>View Full Record in Web of Science</v>
      </c>
    </row>
    <row r="754" spans="1:81" ht="13.2" hidden="1" x14ac:dyDescent="0.25">
      <c r="A754" s="89" t="s">
        <v>23547</v>
      </c>
      <c r="B754" s="89" t="e">
        <f>+#REF!</f>
        <v>#REF!</v>
      </c>
      <c r="C754" s="89"/>
      <c r="D754" s="91" t="s">
        <v>717</v>
      </c>
      <c r="E754" s="90" t="e">
        <v>#REF!</v>
      </c>
      <c r="F754" s="89"/>
      <c r="G754" s="89"/>
      <c r="H754" s="89" t="s">
        <v>646</v>
      </c>
      <c r="I754" s="89" t="s">
        <v>23548</v>
      </c>
      <c r="J754" s="89" t="s">
        <v>646</v>
      </c>
      <c r="K754" s="89" t="s">
        <v>23554</v>
      </c>
      <c r="M754" s="89">
        <v>2016</v>
      </c>
      <c r="N754" s="89" t="s">
        <v>23549</v>
      </c>
      <c r="O754" s="89" t="s">
        <v>646</v>
      </c>
      <c r="P754" s="89" t="s">
        <v>646</v>
      </c>
      <c r="S754" s="89" t="s">
        <v>17475</v>
      </c>
      <c r="U754" s="89" t="s">
        <v>17474</v>
      </c>
      <c r="W754" s="89" t="s">
        <v>646</v>
      </c>
      <c r="X754" s="89" t="s">
        <v>646</v>
      </c>
      <c r="Y754" s="89" t="s">
        <v>23550</v>
      </c>
      <c r="Z754" s="89" t="s">
        <v>23551</v>
      </c>
      <c r="AA754" s="89" t="s">
        <v>23552</v>
      </c>
      <c r="AB754" s="89" t="s">
        <v>23553</v>
      </c>
      <c r="AC754" s="89" t="s">
        <v>646</v>
      </c>
      <c r="AD754" s="89" t="s">
        <v>646</v>
      </c>
      <c r="AE754" s="89" t="s">
        <v>646</v>
      </c>
      <c r="AF754" s="89" t="s">
        <v>23554</v>
      </c>
      <c r="AG754" s="89" t="s">
        <v>646</v>
      </c>
      <c r="AH754" s="89" t="s">
        <v>646</v>
      </c>
      <c r="AI754" s="89" t="s">
        <v>646</v>
      </c>
      <c r="AJ754" s="89" t="s">
        <v>646</v>
      </c>
      <c r="AK754" s="89" t="s">
        <v>646</v>
      </c>
      <c r="AL754" s="89" t="s">
        <v>646</v>
      </c>
      <c r="AM754" s="89" t="s">
        <v>646</v>
      </c>
      <c r="AN754" s="89" t="s">
        <v>646</v>
      </c>
      <c r="AO754" s="89" t="s">
        <v>646</v>
      </c>
      <c r="AP754" s="89" t="s">
        <v>646</v>
      </c>
      <c r="AQ754" s="89" t="s">
        <v>646</v>
      </c>
      <c r="AR754" s="89" t="s">
        <v>646</v>
      </c>
      <c r="AS754" s="89" t="s">
        <v>646</v>
      </c>
      <c r="AT754" s="89" t="s">
        <v>646</v>
      </c>
      <c r="AU754" s="89" t="s">
        <v>646</v>
      </c>
      <c r="AV754" s="89" t="s">
        <v>646</v>
      </c>
      <c r="AW754" s="89" t="s">
        <v>646</v>
      </c>
      <c r="AX754" s="89" t="s">
        <v>646</v>
      </c>
      <c r="AY754" s="89" t="s">
        <v>646</v>
      </c>
      <c r="AZ754" s="89" t="s">
        <v>646</v>
      </c>
      <c r="BA754" s="89" t="s">
        <v>23555</v>
      </c>
      <c r="BB754" s="89" t="s">
        <v>646</v>
      </c>
      <c r="BC754" s="89" t="s">
        <v>646</v>
      </c>
      <c r="BD754" s="89" t="s">
        <v>646</v>
      </c>
      <c r="BE754" s="89">
        <v>2016</v>
      </c>
      <c r="BF754" s="89" t="s">
        <v>646</v>
      </c>
      <c r="BG754" s="89" t="s">
        <v>646</v>
      </c>
      <c r="BH754" s="89" t="s">
        <v>646</v>
      </c>
      <c r="BI754" s="89" t="s">
        <v>646</v>
      </c>
      <c r="BJ754" s="89" t="s">
        <v>646</v>
      </c>
      <c r="BK754" s="89" t="s">
        <v>646</v>
      </c>
      <c r="BL754" s="89" t="s">
        <v>646</v>
      </c>
      <c r="BM754" s="89" t="s">
        <v>646</v>
      </c>
      <c r="BN754" s="89" t="s">
        <v>646</v>
      </c>
      <c r="BO754" s="89" t="s">
        <v>646</v>
      </c>
      <c r="BP754" s="89" t="s">
        <v>646</v>
      </c>
      <c r="BQ754" s="89" t="s">
        <v>646</v>
      </c>
      <c r="BR754" s="89" t="s">
        <v>646</v>
      </c>
      <c r="BS754" s="89" t="s">
        <v>646</v>
      </c>
      <c r="BT754" s="89" t="s">
        <v>646</v>
      </c>
      <c r="BU754" s="89" t="s">
        <v>646</v>
      </c>
      <c r="BV754" s="89" t="s">
        <v>646</v>
      </c>
      <c r="BW754" s="89" t="s">
        <v>646</v>
      </c>
      <c r="BX754" s="89" t="s">
        <v>646</v>
      </c>
      <c r="BY754" s="89" t="s">
        <v>646</v>
      </c>
      <c r="BZ754" s="89" t="s">
        <v>646</v>
      </c>
      <c r="CA754" s="89" t="s">
        <v>646</v>
      </c>
      <c r="CB754" s="89" t="s">
        <v>23556</v>
      </c>
      <c r="CC754" s="89" t="str">
        <f>HYPERLINK("https%3A%2F%2Fwww.webofscience.com%2Fwos%2Fwoscc%2Ffull-record%2FWOS:000392273900061","View Full Record in Web of Science")</f>
        <v>View Full Record in Web of Science</v>
      </c>
    </row>
    <row r="755" spans="1:81" ht="13.2" hidden="1" x14ac:dyDescent="0.25">
      <c r="A755" s="89" t="s">
        <v>10152</v>
      </c>
      <c r="B755" s="89" t="e">
        <f>+#REF!</f>
        <v>#REF!</v>
      </c>
      <c r="C755" s="89"/>
      <c r="D755" s="91" t="s">
        <v>717</v>
      </c>
      <c r="E755" s="90" t="e">
        <v>#REF!</v>
      </c>
      <c r="F755" s="89"/>
      <c r="G755" s="89"/>
      <c r="H755" s="89" t="s">
        <v>10153</v>
      </c>
      <c r="I755" s="89" t="s">
        <v>23558</v>
      </c>
      <c r="J755" s="89" t="s">
        <v>646</v>
      </c>
      <c r="K755" s="89" t="s">
        <v>23564</v>
      </c>
      <c r="M755" s="89">
        <v>2021</v>
      </c>
      <c r="N755" s="89" t="s">
        <v>23559</v>
      </c>
      <c r="O755" s="89" t="s">
        <v>23557</v>
      </c>
      <c r="P755" s="89" t="str">
        <f>HYPERLINK("http://dx.doi.org/10.1007/978-3-030-85616-8_8","http://dx.doi.org/10.1007/978-3-030-85616-8_8")</f>
        <v>http://dx.doi.org/10.1007/978-3-030-85616-8_8</v>
      </c>
      <c r="S755" s="89" t="s">
        <v>646</v>
      </c>
      <c r="U755" s="89" t="s">
        <v>17474</v>
      </c>
      <c r="W755" s="89" t="s">
        <v>646</v>
      </c>
      <c r="X755" s="89" t="s">
        <v>646</v>
      </c>
      <c r="Y755" s="89" t="s">
        <v>23560</v>
      </c>
      <c r="Z755" s="89" t="s">
        <v>23561</v>
      </c>
      <c r="AA755" s="89" t="s">
        <v>23562</v>
      </c>
      <c r="AB755" s="89" t="s">
        <v>23563</v>
      </c>
      <c r="AC755" s="89" t="s">
        <v>646</v>
      </c>
      <c r="AD755" s="89" t="s">
        <v>646</v>
      </c>
      <c r="AE755" s="89" t="s">
        <v>646</v>
      </c>
      <c r="AF755" s="89" t="s">
        <v>23564</v>
      </c>
      <c r="AG755" s="89" t="s">
        <v>646</v>
      </c>
      <c r="AH755" s="89" t="s">
        <v>646</v>
      </c>
      <c r="AI755" s="89" t="s">
        <v>646</v>
      </c>
      <c r="AJ755" s="89" t="s">
        <v>646</v>
      </c>
      <c r="AK755" s="89" t="s">
        <v>646</v>
      </c>
      <c r="AL755" s="89" t="s">
        <v>646</v>
      </c>
      <c r="AM755" s="89" t="s">
        <v>646</v>
      </c>
      <c r="AN755" s="89" t="s">
        <v>646</v>
      </c>
      <c r="AO755" s="89" t="s">
        <v>646</v>
      </c>
      <c r="AP755" s="89" t="s">
        <v>646</v>
      </c>
      <c r="AQ755" s="89" t="s">
        <v>646</v>
      </c>
      <c r="AR755" s="89" t="s">
        <v>646</v>
      </c>
      <c r="AS755" s="89" t="s">
        <v>646</v>
      </c>
      <c r="AT755" s="89" t="s">
        <v>646</v>
      </c>
      <c r="AU755" s="89" t="s">
        <v>646</v>
      </c>
      <c r="AV755" s="89" t="s">
        <v>646</v>
      </c>
      <c r="AW755" s="89" t="s">
        <v>646</v>
      </c>
      <c r="AX755" s="89" t="s">
        <v>646</v>
      </c>
      <c r="AY755" s="89" t="s">
        <v>18367</v>
      </c>
      <c r="AZ755" s="89" t="s">
        <v>18884</v>
      </c>
      <c r="BA755" s="89" t="s">
        <v>23565</v>
      </c>
      <c r="BB755" s="89" t="s">
        <v>646</v>
      </c>
      <c r="BC755" s="89" t="s">
        <v>646</v>
      </c>
      <c r="BD755" s="89" t="s">
        <v>646</v>
      </c>
      <c r="BE755" s="89">
        <v>2021</v>
      </c>
      <c r="BF755" s="89">
        <v>12933</v>
      </c>
      <c r="BG755" s="89" t="s">
        <v>646</v>
      </c>
      <c r="BH755" s="89" t="s">
        <v>646</v>
      </c>
      <c r="BI755" s="89" t="s">
        <v>646</v>
      </c>
      <c r="BJ755" s="89" t="s">
        <v>646</v>
      </c>
      <c r="BK755" s="89" t="s">
        <v>646</v>
      </c>
      <c r="BL755" s="89">
        <v>104</v>
      </c>
      <c r="BM755" s="89">
        <v>113</v>
      </c>
      <c r="BN755" s="89" t="s">
        <v>646</v>
      </c>
      <c r="BO755" s="89" t="str">
        <f>HYPERLINK("http://dx.doi.org/10.1007/978-3-030-85616-8_8","http://dx.doi.org/10.1007/978-3-030-85616-8_8")</f>
        <v>http://dx.doi.org/10.1007/978-3-030-85616-8_8</v>
      </c>
      <c r="BP755" s="89" t="s">
        <v>646</v>
      </c>
      <c r="BQ755" s="89" t="s">
        <v>646</v>
      </c>
      <c r="BR755" s="89" t="s">
        <v>646</v>
      </c>
      <c r="BS755" s="89" t="s">
        <v>646</v>
      </c>
      <c r="BT755" s="89" t="s">
        <v>646</v>
      </c>
      <c r="BU755" s="89" t="s">
        <v>646</v>
      </c>
      <c r="BV755" s="89" t="s">
        <v>646</v>
      </c>
      <c r="BW755" s="89" t="s">
        <v>646</v>
      </c>
      <c r="BX755" s="89" t="s">
        <v>646</v>
      </c>
      <c r="BY755" s="89" t="s">
        <v>646</v>
      </c>
      <c r="BZ755" s="89" t="s">
        <v>646</v>
      </c>
      <c r="CA755" s="89" t="s">
        <v>646</v>
      </c>
      <c r="CB755" s="89" t="s">
        <v>23566</v>
      </c>
      <c r="CC755" s="89" t="str">
        <f>HYPERLINK("https%3A%2F%2Fwww.webofscience.com%2Fwos%2Fwoscc%2Ffull-record%2FWOS:000697565900008","View Full Record in Web of Science")</f>
        <v>View Full Record in Web of Science</v>
      </c>
    </row>
    <row r="756" spans="1:81" ht="13.2" hidden="1" x14ac:dyDescent="0.25">
      <c r="A756" s="89" t="s">
        <v>23567</v>
      </c>
      <c r="B756" s="89" t="e">
        <f>+#REF!</f>
        <v>#REF!</v>
      </c>
      <c r="C756" s="89"/>
      <c r="D756" s="91" t="s">
        <v>717</v>
      </c>
      <c r="E756" s="90" t="e">
        <v>#REF!</v>
      </c>
      <c r="F756" s="89"/>
      <c r="G756" s="89"/>
      <c r="H756" s="89" t="s">
        <v>14631</v>
      </c>
      <c r="I756" s="89" t="s">
        <v>23568</v>
      </c>
      <c r="J756" s="89" t="s">
        <v>646</v>
      </c>
      <c r="K756" s="89" t="s">
        <v>23569</v>
      </c>
      <c r="M756" s="89">
        <v>2009</v>
      </c>
      <c r="N756" s="89" t="s">
        <v>18760</v>
      </c>
      <c r="O756" s="89" t="s">
        <v>646</v>
      </c>
      <c r="P756" s="89" t="str">
        <f>HYPERLINK("http://dx.doi.org/10.1109/ICGSE.2009.8","http://dx.doi.org/10.1109/ICGSE.2009.8")</f>
        <v>http://dx.doi.org/10.1109/ICGSE.2009.8</v>
      </c>
      <c r="S756" s="89" t="s">
        <v>18758</v>
      </c>
      <c r="U756" s="89" t="s">
        <v>17474</v>
      </c>
      <c r="W756" s="89" t="s">
        <v>646</v>
      </c>
      <c r="X756" s="89" t="s">
        <v>646</v>
      </c>
      <c r="Y756" s="89" t="s">
        <v>18761</v>
      </c>
      <c r="Z756" s="89" t="s">
        <v>18762</v>
      </c>
      <c r="AA756" s="89" t="s">
        <v>18763</v>
      </c>
      <c r="AB756" s="89" t="s">
        <v>18764</v>
      </c>
      <c r="AC756" s="89" t="s">
        <v>646</v>
      </c>
      <c r="AD756" s="89" t="s">
        <v>646</v>
      </c>
      <c r="AE756" s="89" t="s">
        <v>646</v>
      </c>
      <c r="AF756" s="89" t="s">
        <v>23569</v>
      </c>
      <c r="AG756" s="89" t="s">
        <v>646</v>
      </c>
      <c r="AH756" s="89" t="s">
        <v>646</v>
      </c>
      <c r="AI756" s="89" t="s">
        <v>646</v>
      </c>
      <c r="AJ756" s="89" t="s">
        <v>646</v>
      </c>
      <c r="AK756" s="89" t="s">
        <v>646</v>
      </c>
      <c r="AL756" s="89" t="s">
        <v>646</v>
      </c>
      <c r="AM756" s="89" t="s">
        <v>646</v>
      </c>
      <c r="AN756" s="89" t="s">
        <v>646</v>
      </c>
      <c r="AO756" s="89" t="s">
        <v>646</v>
      </c>
      <c r="AP756" s="89" t="s">
        <v>646</v>
      </c>
      <c r="AQ756" s="89" t="s">
        <v>646</v>
      </c>
      <c r="AR756" s="89" t="s">
        <v>646</v>
      </c>
      <c r="AS756" s="89" t="s">
        <v>646</v>
      </c>
      <c r="AT756" s="89" t="s">
        <v>646</v>
      </c>
      <c r="AU756" s="89" t="s">
        <v>646</v>
      </c>
      <c r="AV756" s="89" t="s">
        <v>646</v>
      </c>
      <c r="AW756" s="89" t="s">
        <v>646</v>
      </c>
      <c r="AX756" s="89" t="s">
        <v>646</v>
      </c>
      <c r="AY756" s="89" t="s">
        <v>18768</v>
      </c>
      <c r="AZ756" s="89" t="s">
        <v>646</v>
      </c>
      <c r="BA756" s="89" t="s">
        <v>18769</v>
      </c>
      <c r="BB756" s="89" t="s">
        <v>646</v>
      </c>
      <c r="BC756" s="89" t="s">
        <v>646</v>
      </c>
      <c r="BD756" s="89" t="s">
        <v>646</v>
      </c>
      <c r="BE756" s="89">
        <v>2009</v>
      </c>
      <c r="BF756" s="89" t="s">
        <v>646</v>
      </c>
      <c r="BG756" s="89" t="s">
        <v>646</v>
      </c>
      <c r="BH756" s="89" t="s">
        <v>646</v>
      </c>
      <c r="BI756" s="89" t="s">
        <v>646</v>
      </c>
      <c r="BJ756" s="89" t="s">
        <v>646</v>
      </c>
      <c r="BK756" s="89" t="s">
        <v>646</v>
      </c>
      <c r="BL756" s="89">
        <v>3</v>
      </c>
      <c r="BM756" s="89" t="s">
        <v>18405</v>
      </c>
      <c r="BN756" s="89" t="s">
        <v>646</v>
      </c>
      <c r="BO756" s="89" t="str">
        <f>HYPERLINK("http://dx.doi.org/10.1109/ICGSE.2009.8","http://dx.doi.org/10.1109/ICGSE.2009.8")</f>
        <v>http://dx.doi.org/10.1109/ICGSE.2009.8</v>
      </c>
      <c r="BP756" s="89" t="s">
        <v>646</v>
      </c>
      <c r="BQ756" s="89" t="s">
        <v>646</v>
      </c>
      <c r="BR756" s="89" t="s">
        <v>646</v>
      </c>
      <c r="BS756" s="89" t="s">
        <v>646</v>
      </c>
      <c r="BT756" s="89" t="s">
        <v>646</v>
      </c>
      <c r="BU756" s="89" t="s">
        <v>646</v>
      </c>
      <c r="BV756" s="89" t="s">
        <v>646</v>
      </c>
      <c r="BW756" s="89" t="s">
        <v>646</v>
      </c>
      <c r="BX756" s="89" t="s">
        <v>646</v>
      </c>
      <c r="BY756" s="89" t="s">
        <v>646</v>
      </c>
      <c r="BZ756" s="89" t="s">
        <v>646</v>
      </c>
      <c r="CA756" s="89" t="s">
        <v>646</v>
      </c>
      <c r="CB756" s="89" t="s">
        <v>23570</v>
      </c>
      <c r="CC756" s="89" t="str">
        <f>HYPERLINK("https%3A%2F%2Fwww.webofscience.com%2Fwos%2Fwoscc%2Ffull-record%2FWOS:000272550200001","View Full Record in Web of Science")</f>
        <v>View Full Record in Web of Science</v>
      </c>
    </row>
    <row r="757" spans="1:81" ht="13.2" hidden="1" x14ac:dyDescent="0.25">
      <c r="A757" s="89" t="s">
        <v>23571</v>
      </c>
      <c r="B757" s="89" t="e">
        <f>+#REF!</f>
        <v>#REF!</v>
      </c>
      <c r="C757" s="89"/>
      <c r="D757" s="91" t="s">
        <v>717</v>
      </c>
      <c r="E757" s="90" t="e">
        <v>#REF!</v>
      </c>
      <c r="F757" s="89"/>
      <c r="G757" s="89"/>
      <c r="H757" s="89" t="s">
        <v>14637</v>
      </c>
      <c r="I757" s="89" t="s">
        <v>23568</v>
      </c>
      <c r="J757" s="89" t="s">
        <v>646</v>
      </c>
      <c r="K757" s="89" t="s">
        <v>23572</v>
      </c>
      <c r="M757" s="89">
        <v>2012</v>
      </c>
      <c r="N757" s="89" t="s">
        <v>18837</v>
      </c>
      <c r="O757" s="89" t="s">
        <v>646</v>
      </c>
      <c r="P757" s="89" t="str">
        <f>HYPERLINK("http://dx.doi.org/10.1002/smr.474","http://dx.doi.org/10.1002/smr.474")</f>
        <v>http://dx.doi.org/10.1002/smr.474</v>
      </c>
      <c r="S757" s="89" t="s">
        <v>646</v>
      </c>
      <c r="U757" s="89" t="s">
        <v>17462</v>
      </c>
      <c r="W757" s="89" t="s">
        <v>646</v>
      </c>
      <c r="X757" s="89" t="s">
        <v>646</v>
      </c>
      <c r="Y757" s="89" t="s">
        <v>646</v>
      </c>
      <c r="Z757" s="89" t="s">
        <v>646</v>
      </c>
      <c r="AA757" s="89" t="s">
        <v>646</v>
      </c>
      <c r="AB757" s="89" t="s">
        <v>646</v>
      </c>
      <c r="AC757" s="89" t="s">
        <v>646</v>
      </c>
      <c r="AD757" s="89" t="s">
        <v>646</v>
      </c>
      <c r="AE757" s="89" t="s">
        <v>646</v>
      </c>
      <c r="AF757" s="89" t="s">
        <v>23572</v>
      </c>
      <c r="AG757" s="89" t="s">
        <v>646</v>
      </c>
      <c r="AH757" s="89" t="s">
        <v>646</v>
      </c>
      <c r="AI757" s="89" t="s">
        <v>646</v>
      </c>
      <c r="AJ757" s="89" t="s">
        <v>646</v>
      </c>
      <c r="AK757" s="89" t="s">
        <v>646</v>
      </c>
      <c r="AL757" s="89" t="s">
        <v>646</v>
      </c>
      <c r="AM757" s="89" t="s">
        <v>646</v>
      </c>
      <c r="AN757" s="89" t="s">
        <v>646</v>
      </c>
      <c r="AO757" s="89" t="s">
        <v>646</v>
      </c>
      <c r="AP757" s="89" t="s">
        <v>646</v>
      </c>
      <c r="AQ757" s="89" t="s">
        <v>646</v>
      </c>
      <c r="AR757" s="89" t="s">
        <v>646</v>
      </c>
      <c r="AS757" s="89" t="s">
        <v>646</v>
      </c>
      <c r="AT757" s="89" t="s">
        <v>646</v>
      </c>
      <c r="AU757" s="89" t="s">
        <v>646</v>
      </c>
      <c r="AV757" s="89" t="s">
        <v>646</v>
      </c>
      <c r="AW757" s="89" t="s">
        <v>646</v>
      </c>
      <c r="AX757" s="89" t="s">
        <v>646</v>
      </c>
      <c r="AY757" s="89" t="s">
        <v>18839</v>
      </c>
      <c r="AZ757" s="89" t="s">
        <v>18840</v>
      </c>
      <c r="BA757" s="89" t="s">
        <v>646</v>
      </c>
      <c r="BB757" s="89" t="s">
        <v>646</v>
      </c>
      <c r="BC757" s="89" t="s">
        <v>646</v>
      </c>
      <c r="BD757" s="89" t="s">
        <v>17779</v>
      </c>
      <c r="BE757" s="89">
        <v>2012</v>
      </c>
      <c r="BF757" s="89">
        <v>24</v>
      </c>
      <c r="BG757" s="89">
        <v>2</v>
      </c>
      <c r="BH757" s="89" t="s">
        <v>646</v>
      </c>
      <c r="BI757" s="89" t="s">
        <v>646</v>
      </c>
      <c r="BJ757" s="89" t="s">
        <v>17555</v>
      </c>
      <c r="BK757" s="89" t="s">
        <v>646</v>
      </c>
      <c r="BL757" s="89">
        <v>169</v>
      </c>
      <c r="BM757" s="89">
        <v>184</v>
      </c>
      <c r="BN757" s="89" t="s">
        <v>646</v>
      </c>
      <c r="BO757" s="89" t="str">
        <f>HYPERLINK("http://dx.doi.org/10.1002/smr.474","http://dx.doi.org/10.1002/smr.474")</f>
        <v>http://dx.doi.org/10.1002/smr.474</v>
      </c>
      <c r="BP757" s="89" t="s">
        <v>646</v>
      </c>
      <c r="BQ757" s="89" t="s">
        <v>646</v>
      </c>
      <c r="BR757" s="89" t="s">
        <v>646</v>
      </c>
      <c r="BS757" s="89" t="s">
        <v>646</v>
      </c>
      <c r="BT757" s="89" t="s">
        <v>646</v>
      </c>
      <c r="BU757" s="89" t="s">
        <v>646</v>
      </c>
      <c r="BV757" s="89" t="s">
        <v>646</v>
      </c>
      <c r="BW757" s="89" t="s">
        <v>646</v>
      </c>
      <c r="BX757" s="89" t="s">
        <v>646</v>
      </c>
      <c r="BY757" s="89" t="s">
        <v>646</v>
      </c>
      <c r="BZ757" s="89" t="s">
        <v>646</v>
      </c>
      <c r="CA757" s="89" t="s">
        <v>646</v>
      </c>
      <c r="CB757" s="89" t="s">
        <v>23573</v>
      </c>
      <c r="CC757" s="89" t="str">
        <f>HYPERLINK("https%3A%2F%2Fwww.webofscience.com%2Fwos%2Fwoscc%2Ffull-record%2FWOS:000301645500005","View Full Record in Web of Science")</f>
        <v>View Full Record in Web of Science</v>
      </c>
    </row>
    <row r="758" spans="1:81" ht="13.2" hidden="1" x14ac:dyDescent="0.25">
      <c r="A758" s="89" t="s">
        <v>14643</v>
      </c>
      <c r="B758" s="89" t="e">
        <f>+#REF!</f>
        <v>#REF!</v>
      </c>
      <c r="C758" s="89"/>
      <c r="D758" s="91" t="s">
        <v>717</v>
      </c>
      <c r="E758" s="90" t="e">
        <v>#REF!</v>
      </c>
      <c r="F758" s="89"/>
      <c r="G758" s="89"/>
      <c r="H758" s="89" t="s">
        <v>14644</v>
      </c>
      <c r="I758" s="89" t="s">
        <v>23574</v>
      </c>
      <c r="J758" s="89" t="s">
        <v>23575</v>
      </c>
      <c r="K758" s="89" t="s">
        <v>14646</v>
      </c>
      <c r="M758" s="89">
        <v>2014</v>
      </c>
      <c r="N758" s="89" t="s">
        <v>23190</v>
      </c>
      <c r="O758" s="89" t="s">
        <v>646</v>
      </c>
      <c r="P758" s="89" t="str">
        <f>HYPERLINK("http://dx.doi.org/10.1073/pnas.1324054111","http://dx.doi.org/10.1073/pnas.1324054111")</f>
        <v>http://dx.doi.org/10.1073/pnas.1324054111</v>
      </c>
      <c r="S758" s="89" t="s">
        <v>646</v>
      </c>
      <c r="U758" s="89" t="s">
        <v>17462</v>
      </c>
      <c r="W758" s="89" t="s">
        <v>646</v>
      </c>
      <c r="X758" s="89" t="s">
        <v>646</v>
      </c>
      <c r="Y758" s="89" t="s">
        <v>646</v>
      </c>
      <c r="Z758" s="89" t="s">
        <v>646</v>
      </c>
      <c r="AA758" s="89" t="s">
        <v>646</v>
      </c>
      <c r="AB758" s="89" t="s">
        <v>646</v>
      </c>
      <c r="AC758" s="89" t="s">
        <v>646</v>
      </c>
      <c r="AD758" s="89" t="s">
        <v>646</v>
      </c>
      <c r="AE758" s="89" t="s">
        <v>646</v>
      </c>
      <c r="AF758" s="89" t="s">
        <v>14646</v>
      </c>
      <c r="AG758" s="89" t="s">
        <v>646</v>
      </c>
      <c r="AH758" s="89" t="s">
        <v>646</v>
      </c>
      <c r="AI758" s="89" t="s">
        <v>646</v>
      </c>
      <c r="AJ758" s="89" t="s">
        <v>646</v>
      </c>
      <c r="AK758" s="89" t="s">
        <v>23575</v>
      </c>
      <c r="AL758" s="89" t="s">
        <v>23576</v>
      </c>
      <c r="AM758" s="89" t="s">
        <v>646</v>
      </c>
      <c r="AN758" s="89" t="s">
        <v>646</v>
      </c>
      <c r="AO758" s="89" t="s">
        <v>646</v>
      </c>
      <c r="AP758" s="89" t="s">
        <v>646</v>
      </c>
      <c r="AQ758" s="89" t="s">
        <v>646</v>
      </c>
      <c r="AR758" s="89" t="s">
        <v>646</v>
      </c>
      <c r="AS758" s="89" t="s">
        <v>646</v>
      </c>
      <c r="AT758" s="89" t="s">
        <v>646</v>
      </c>
      <c r="AU758" s="89" t="s">
        <v>646</v>
      </c>
      <c r="AV758" s="89" t="s">
        <v>646</v>
      </c>
      <c r="AW758" s="89" t="s">
        <v>646</v>
      </c>
      <c r="AX758" s="89" t="s">
        <v>646</v>
      </c>
      <c r="AY758" s="89" t="s">
        <v>23192</v>
      </c>
      <c r="AZ758" s="89" t="s">
        <v>646</v>
      </c>
      <c r="BA758" s="89" t="s">
        <v>646</v>
      </c>
      <c r="BB758" s="89" t="s">
        <v>646</v>
      </c>
      <c r="BC758" s="89" t="s">
        <v>646</v>
      </c>
      <c r="BD758" s="89" t="s">
        <v>18600</v>
      </c>
      <c r="BE758" s="89">
        <v>2014</v>
      </c>
      <c r="BF758" s="89">
        <v>111</v>
      </c>
      <c r="BG758" s="89">
        <v>32</v>
      </c>
      <c r="BH758" s="89" t="s">
        <v>646</v>
      </c>
      <c r="BI758" s="89" t="s">
        <v>646</v>
      </c>
      <c r="BJ758" s="89" t="s">
        <v>646</v>
      </c>
      <c r="BK758" s="89" t="s">
        <v>646</v>
      </c>
      <c r="BL758" s="89">
        <v>11600</v>
      </c>
      <c r="BM758" s="89">
        <v>11605</v>
      </c>
      <c r="BN758" s="89" t="s">
        <v>646</v>
      </c>
      <c r="BO758" s="89" t="str">
        <f>HYPERLINK("http://dx.doi.org/10.1073/pnas.1324054111","http://dx.doi.org/10.1073/pnas.1324054111")</f>
        <v>http://dx.doi.org/10.1073/pnas.1324054111</v>
      </c>
      <c r="BP758" s="89" t="s">
        <v>646</v>
      </c>
      <c r="BQ758" s="89" t="s">
        <v>646</v>
      </c>
      <c r="BR758" s="89" t="s">
        <v>646</v>
      </c>
      <c r="BS758" s="89" t="s">
        <v>646</v>
      </c>
      <c r="BT758" s="89" t="s">
        <v>646</v>
      </c>
      <c r="BU758" s="89" t="s">
        <v>646</v>
      </c>
      <c r="BV758" s="89" t="s">
        <v>646</v>
      </c>
      <c r="BW758" s="89">
        <v>25071193</v>
      </c>
      <c r="BX758" s="89" t="s">
        <v>646</v>
      </c>
      <c r="BY758" s="89" t="s">
        <v>646</v>
      </c>
      <c r="BZ758" s="89" t="s">
        <v>646</v>
      </c>
      <c r="CA758" s="89" t="s">
        <v>646</v>
      </c>
      <c r="CB758" s="89" t="s">
        <v>23577</v>
      </c>
      <c r="CC758" s="89" t="str">
        <f>HYPERLINK("https%3A%2F%2Fwww.webofscience.com%2Fwos%2Fwoscc%2Ffull-record%2FWOS:000340097900021","View Full Record in Web of Science")</f>
        <v>View Full Record in Web of Science</v>
      </c>
    </row>
    <row r="759" spans="1:81" ht="13.2" hidden="1" x14ac:dyDescent="0.25">
      <c r="A759" s="89" t="s">
        <v>14652</v>
      </c>
      <c r="B759" s="89" t="e">
        <f>+#REF!</f>
        <v>#REF!</v>
      </c>
      <c r="C759" s="89"/>
      <c r="D759" s="91" t="s">
        <v>717</v>
      </c>
      <c r="E759" s="90" t="e">
        <v>#REF!</v>
      </c>
      <c r="F759" s="89"/>
      <c r="G759" s="89"/>
      <c r="H759" s="89" t="s">
        <v>14653</v>
      </c>
      <c r="I759" s="89" t="s">
        <v>23578</v>
      </c>
      <c r="J759" s="89" t="s">
        <v>23581</v>
      </c>
      <c r="K759" s="89" t="s">
        <v>23580</v>
      </c>
      <c r="M759" s="89">
        <v>2020</v>
      </c>
      <c r="N759" s="89" t="s">
        <v>23579</v>
      </c>
      <c r="O759" s="89" t="s">
        <v>646</v>
      </c>
      <c r="P759" s="89" t="str">
        <f>HYPERLINK("http://dx.doi.org/10.1007/s10806-020-09824-1","http://dx.doi.org/10.1007/s10806-020-09824-1")</f>
        <v>http://dx.doi.org/10.1007/s10806-020-09824-1</v>
      </c>
      <c r="S759" s="89" t="s">
        <v>646</v>
      </c>
      <c r="U759" s="89" t="s">
        <v>17462</v>
      </c>
      <c r="W759" s="89" t="s">
        <v>646</v>
      </c>
      <c r="X759" s="89" t="s">
        <v>646</v>
      </c>
      <c r="Y759" s="89" t="s">
        <v>646</v>
      </c>
      <c r="Z759" s="89" t="s">
        <v>646</v>
      </c>
      <c r="AA759" s="89" t="s">
        <v>646</v>
      </c>
      <c r="AB759" s="89" t="s">
        <v>646</v>
      </c>
      <c r="AC759" s="89" t="s">
        <v>646</v>
      </c>
      <c r="AD759" s="89" t="s">
        <v>646</v>
      </c>
      <c r="AE759" s="89" t="s">
        <v>646</v>
      </c>
      <c r="AF759" s="89" t="s">
        <v>23580</v>
      </c>
      <c r="AG759" s="89" t="s">
        <v>646</v>
      </c>
      <c r="AH759" s="89" t="s">
        <v>646</v>
      </c>
      <c r="AI759" s="89" t="s">
        <v>646</v>
      </c>
      <c r="AJ759" s="89" t="s">
        <v>646</v>
      </c>
      <c r="AK759" s="89" t="s">
        <v>23581</v>
      </c>
      <c r="AL759" s="89" t="s">
        <v>23582</v>
      </c>
      <c r="AM759" s="89" t="s">
        <v>646</v>
      </c>
      <c r="AN759" s="89" t="s">
        <v>646</v>
      </c>
      <c r="AO759" s="89" t="s">
        <v>646</v>
      </c>
      <c r="AP759" s="89" t="s">
        <v>646</v>
      </c>
      <c r="AQ759" s="89" t="s">
        <v>646</v>
      </c>
      <c r="AR759" s="89" t="s">
        <v>646</v>
      </c>
      <c r="AS759" s="89" t="s">
        <v>646</v>
      </c>
      <c r="AT759" s="89" t="s">
        <v>646</v>
      </c>
      <c r="AU759" s="89" t="s">
        <v>646</v>
      </c>
      <c r="AV759" s="89" t="s">
        <v>646</v>
      </c>
      <c r="AW759" s="89" t="s">
        <v>646</v>
      </c>
      <c r="AX759" s="89" t="s">
        <v>646</v>
      </c>
      <c r="AY759" s="89" t="s">
        <v>23583</v>
      </c>
      <c r="AZ759" s="89" t="s">
        <v>23584</v>
      </c>
      <c r="BA759" s="89" t="s">
        <v>646</v>
      </c>
      <c r="BB759" s="89" t="s">
        <v>646</v>
      </c>
      <c r="BC759" s="89" t="s">
        <v>646</v>
      </c>
      <c r="BD759" s="89" t="s">
        <v>17823</v>
      </c>
      <c r="BE759" s="89">
        <v>2020</v>
      </c>
      <c r="BF759" s="89">
        <v>33</v>
      </c>
      <c r="BG759" s="89">
        <v>2</v>
      </c>
      <c r="BH759" s="89" t="s">
        <v>646</v>
      </c>
      <c r="BI759" s="89" t="s">
        <v>646</v>
      </c>
      <c r="BJ759" s="89" t="s">
        <v>646</v>
      </c>
      <c r="BK759" s="89" t="s">
        <v>646</v>
      </c>
      <c r="BL759" s="89">
        <v>261</v>
      </c>
      <c r="BM759" s="89">
        <v>282</v>
      </c>
      <c r="BN759" s="89" t="s">
        <v>646</v>
      </c>
      <c r="BO759" s="89" t="str">
        <f>HYPERLINK("http://dx.doi.org/10.1007/s10806-020-09824-1","http://dx.doi.org/10.1007/s10806-020-09824-1")</f>
        <v>http://dx.doi.org/10.1007/s10806-020-09824-1</v>
      </c>
      <c r="BP759" s="89" t="s">
        <v>646</v>
      </c>
      <c r="BQ759" s="89" t="s">
        <v>646</v>
      </c>
      <c r="BR759" s="89" t="s">
        <v>646</v>
      </c>
      <c r="BS759" s="89" t="s">
        <v>646</v>
      </c>
      <c r="BT759" s="89" t="s">
        <v>646</v>
      </c>
      <c r="BU759" s="89" t="s">
        <v>646</v>
      </c>
      <c r="BV759" s="89" t="s">
        <v>646</v>
      </c>
      <c r="BW759" s="89" t="s">
        <v>646</v>
      </c>
      <c r="BX759" s="89" t="s">
        <v>646</v>
      </c>
      <c r="BY759" s="89" t="s">
        <v>646</v>
      </c>
      <c r="BZ759" s="89" t="s">
        <v>646</v>
      </c>
      <c r="CA759" s="89" t="s">
        <v>646</v>
      </c>
      <c r="CB759" s="89" t="s">
        <v>23585</v>
      </c>
      <c r="CC759" s="89" t="str">
        <f>HYPERLINK("https%3A%2F%2Fwww.webofscience.com%2Fwos%2Fwoscc%2Ffull-record%2FWOS:000524233600005","View Full Record in Web of Science")</f>
        <v>View Full Record in Web of Science</v>
      </c>
    </row>
    <row r="760" spans="1:81" ht="13.2" hidden="1" x14ac:dyDescent="0.25">
      <c r="A760" s="89" t="s">
        <v>23586</v>
      </c>
      <c r="B760" s="89" t="e">
        <f>+#REF!</f>
        <v>#REF!</v>
      </c>
      <c r="C760" s="89"/>
      <c r="D760" s="91" t="s">
        <v>717</v>
      </c>
      <c r="E760" s="90" t="e">
        <v>#REF!</v>
      </c>
      <c r="F760" s="89"/>
      <c r="G760" s="89"/>
      <c r="H760" s="89" t="s">
        <v>646</v>
      </c>
      <c r="I760" s="89" t="s">
        <v>23588</v>
      </c>
      <c r="J760" s="89" t="s">
        <v>646</v>
      </c>
      <c r="K760" s="89" t="s">
        <v>23593</v>
      </c>
      <c r="M760" s="89">
        <v>2011</v>
      </c>
      <c r="N760" s="89" t="s">
        <v>23589</v>
      </c>
      <c r="O760" s="89" t="s">
        <v>23587</v>
      </c>
      <c r="P760" s="89" t="s">
        <v>646</v>
      </c>
      <c r="S760" s="89" t="s">
        <v>646</v>
      </c>
      <c r="U760" s="89" t="s">
        <v>17474</v>
      </c>
      <c r="W760" s="89" t="s">
        <v>646</v>
      </c>
      <c r="X760" s="89" t="s">
        <v>646</v>
      </c>
      <c r="Y760" s="89" t="s">
        <v>23590</v>
      </c>
      <c r="Z760" s="89" t="s">
        <v>23591</v>
      </c>
      <c r="AA760" s="89" t="s">
        <v>19520</v>
      </c>
      <c r="AB760" s="89" t="s">
        <v>23592</v>
      </c>
      <c r="AC760" s="89" t="s">
        <v>646</v>
      </c>
      <c r="AD760" s="89" t="s">
        <v>646</v>
      </c>
      <c r="AE760" s="89" t="s">
        <v>646</v>
      </c>
      <c r="AF760" s="89" t="s">
        <v>23593</v>
      </c>
      <c r="AG760" s="89" t="s">
        <v>646</v>
      </c>
      <c r="AH760" s="89" t="s">
        <v>646</v>
      </c>
      <c r="AI760" s="89" t="s">
        <v>646</v>
      </c>
      <c r="AJ760" s="89" t="s">
        <v>646</v>
      </c>
      <c r="AK760" s="89" t="s">
        <v>646</v>
      </c>
      <c r="AL760" s="89" t="s">
        <v>646</v>
      </c>
      <c r="AM760" s="89" t="s">
        <v>646</v>
      </c>
      <c r="AN760" s="89" t="s">
        <v>646</v>
      </c>
      <c r="AO760" s="89" t="s">
        <v>646</v>
      </c>
      <c r="AP760" s="89" t="s">
        <v>646</v>
      </c>
      <c r="AQ760" s="89" t="s">
        <v>646</v>
      </c>
      <c r="AR760" s="89" t="s">
        <v>646</v>
      </c>
      <c r="AS760" s="89" t="s">
        <v>646</v>
      </c>
      <c r="AT760" s="89" t="s">
        <v>646</v>
      </c>
      <c r="AU760" s="89" t="s">
        <v>646</v>
      </c>
      <c r="AV760" s="89" t="s">
        <v>646</v>
      </c>
      <c r="AW760" s="89" t="s">
        <v>646</v>
      </c>
      <c r="AX760" s="89" t="s">
        <v>646</v>
      </c>
      <c r="AY760" s="89" t="s">
        <v>18367</v>
      </c>
      <c r="AZ760" s="89" t="s">
        <v>18884</v>
      </c>
      <c r="BA760" s="89" t="s">
        <v>23594</v>
      </c>
      <c r="BB760" s="89" t="s">
        <v>646</v>
      </c>
      <c r="BC760" s="89" t="s">
        <v>646</v>
      </c>
      <c r="BD760" s="89" t="s">
        <v>646</v>
      </c>
      <c r="BE760" s="89">
        <v>2011</v>
      </c>
      <c r="BF760" s="89">
        <v>6644</v>
      </c>
      <c r="BG760" s="89" t="s">
        <v>646</v>
      </c>
      <c r="BH760" s="89" t="s">
        <v>646</v>
      </c>
      <c r="BI760" s="89" t="s">
        <v>646</v>
      </c>
      <c r="BJ760" s="89" t="s">
        <v>646</v>
      </c>
      <c r="BK760" s="89" t="s">
        <v>646</v>
      </c>
      <c r="BL760" s="89">
        <v>62</v>
      </c>
      <c r="BM760" s="89">
        <v>76</v>
      </c>
      <c r="BN760" s="89" t="s">
        <v>646</v>
      </c>
      <c r="BO760" s="89" t="s">
        <v>646</v>
      </c>
      <c r="BP760" s="89" t="s">
        <v>646</v>
      </c>
      <c r="BQ760" s="89" t="s">
        <v>646</v>
      </c>
      <c r="BR760" s="89" t="s">
        <v>646</v>
      </c>
      <c r="BS760" s="89" t="s">
        <v>646</v>
      </c>
      <c r="BT760" s="89" t="s">
        <v>646</v>
      </c>
      <c r="BU760" s="89" t="s">
        <v>646</v>
      </c>
      <c r="BV760" s="89" t="s">
        <v>646</v>
      </c>
      <c r="BW760" s="89" t="s">
        <v>646</v>
      </c>
      <c r="BX760" s="89" t="s">
        <v>646</v>
      </c>
      <c r="BY760" s="89" t="s">
        <v>646</v>
      </c>
      <c r="BZ760" s="89" t="s">
        <v>646</v>
      </c>
      <c r="CA760" s="89" t="s">
        <v>646</v>
      </c>
      <c r="CB760" s="89" t="s">
        <v>23595</v>
      </c>
      <c r="CC760" s="89" t="str">
        <f>HYPERLINK("https%3A%2F%2Fwww.webofscience.com%2Fwos%2Fwoscc%2Ffull-record%2FWOS:000306485700005","View Full Record in Web of Science")</f>
        <v>View Full Record in Web of Science</v>
      </c>
    </row>
    <row r="761" spans="1:81" ht="13.2" hidden="1" x14ac:dyDescent="0.25">
      <c r="A761" s="89" t="s">
        <v>23596</v>
      </c>
      <c r="B761" s="89" t="e">
        <f>+#REF!</f>
        <v>#REF!</v>
      </c>
      <c r="C761" s="89"/>
      <c r="D761" s="91" t="s">
        <v>717</v>
      </c>
      <c r="E761" s="90" t="e">
        <v>#REF!</v>
      </c>
      <c r="F761" s="89"/>
      <c r="G761" s="89"/>
      <c r="H761" s="89" t="s">
        <v>14672</v>
      </c>
      <c r="I761" s="89" t="s">
        <v>23597</v>
      </c>
      <c r="J761" s="89" t="s">
        <v>646</v>
      </c>
      <c r="K761" s="89" t="s">
        <v>23602</v>
      </c>
      <c r="M761" s="89">
        <v>2020</v>
      </c>
      <c r="N761" s="89" t="s">
        <v>23598</v>
      </c>
      <c r="O761" s="89" t="s">
        <v>646</v>
      </c>
      <c r="P761" s="89" t="str">
        <f>HYPERLINK("http://dx.doi.org/10.1145/3318464.3389767","http://dx.doi.org/10.1145/3318464.3389767")</f>
        <v>http://dx.doi.org/10.1145/3318464.3389767</v>
      </c>
      <c r="S761" s="89" t="s">
        <v>17804</v>
      </c>
      <c r="U761" s="89" t="s">
        <v>17474</v>
      </c>
      <c r="W761" s="89" t="s">
        <v>646</v>
      </c>
      <c r="X761" s="89" t="s">
        <v>646</v>
      </c>
      <c r="Y761" s="89" t="s">
        <v>23599</v>
      </c>
      <c r="Z761" s="89" t="s">
        <v>23600</v>
      </c>
      <c r="AA761" s="89" t="s">
        <v>17494</v>
      </c>
      <c r="AB761" s="89" t="s">
        <v>23601</v>
      </c>
      <c r="AC761" s="89" t="s">
        <v>646</v>
      </c>
      <c r="AD761" s="89" t="s">
        <v>646</v>
      </c>
      <c r="AE761" s="89" t="s">
        <v>646</v>
      </c>
      <c r="AF761" s="89" t="s">
        <v>23602</v>
      </c>
      <c r="AG761" s="89" t="s">
        <v>646</v>
      </c>
      <c r="AH761" s="89" t="s">
        <v>646</v>
      </c>
      <c r="AI761" s="89" t="s">
        <v>646</v>
      </c>
      <c r="AJ761" s="89" t="s">
        <v>646</v>
      </c>
      <c r="AK761" s="89" t="s">
        <v>646</v>
      </c>
      <c r="AL761" s="89" t="s">
        <v>23603</v>
      </c>
      <c r="AM761" s="89" t="s">
        <v>646</v>
      </c>
      <c r="AN761" s="89" t="s">
        <v>646</v>
      </c>
      <c r="AO761" s="89" t="s">
        <v>646</v>
      </c>
      <c r="AP761" s="89" t="s">
        <v>646</v>
      </c>
      <c r="AQ761" s="89" t="s">
        <v>646</v>
      </c>
      <c r="AR761" s="89" t="s">
        <v>646</v>
      </c>
      <c r="AS761" s="89" t="s">
        <v>646</v>
      </c>
      <c r="AT761" s="89" t="s">
        <v>646</v>
      </c>
      <c r="AU761" s="89" t="s">
        <v>646</v>
      </c>
      <c r="AV761" s="89" t="s">
        <v>646</v>
      </c>
      <c r="AW761" s="89" t="s">
        <v>646</v>
      </c>
      <c r="AX761" s="89" t="s">
        <v>646</v>
      </c>
      <c r="AY761" s="89" t="s">
        <v>646</v>
      </c>
      <c r="AZ761" s="89" t="s">
        <v>646</v>
      </c>
      <c r="BA761" s="89" t="s">
        <v>23604</v>
      </c>
      <c r="BB761" s="89" t="s">
        <v>646</v>
      </c>
      <c r="BC761" s="89" t="s">
        <v>646</v>
      </c>
      <c r="BD761" s="89" t="s">
        <v>646</v>
      </c>
      <c r="BE761" s="89">
        <v>2020</v>
      </c>
      <c r="BF761" s="89" t="s">
        <v>646</v>
      </c>
      <c r="BG761" s="89" t="s">
        <v>646</v>
      </c>
      <c r="BH761" s="89" t="s">
        <v>646</v>
      </c>
      <c r="BI761" s="89" t="s">
        <v>646</v>
      </c>
      <c r="BJ761" s="89" t="s">
        <v>646</v>
      </c>
      <c r="BK761" s="89" t="s">
        <v>646</v>
      </c>
      <c r="BL761" s="89">
        <v>2303</v>
      </c>
      <c r="BM761" s="89">
        <v>2318</v>
      </c>
      <c r="BN761" s="89" t="s">
        <v>646</v>
      </c>
      <c r="BO761" s="89" t="str">
        <f>HYPERLINK("http://dx.doi.org/10.1145/3318464.3389767","http://dx.doi.org/10.1145/3318464.3389767")</f>
        <v>http://dx.doi.org/10.1145/3318464.3389767</v>
      </c>
      <c r="BP761" s="89" t="s">
        <v>646</v>
      </c>
      <c r="BQ761" s="89" t="s">
        <v>646</v>
      </c>
      <c r="BR761" s="89" t="s">
        <v>646</v>
      </c>
      <c r="BS761" s="89" t="s">
        <v>646</v>
      </c>
      <c r="BT761" s="89" t="s">
        <v>646</v>
      </c>
      <c r="BU761" s="89" t="s">
        <v>646</v>
      </c>
      <c r="BV761" s="89" t="s">
        <v>646</v>
      </c>
      <c r="BW761" s="89" t="s">
        <v>646</v>
      </c>
      <c r="BX761" s="89" t="s">
        <v>646</v>
      </c>
      <c r="BY761" s="89" t="s">
        <v>646</v>
      </c>
      <c r="BZ761" s="89" t="s">
        <v>646</v>
      </c>
      <c r="CA761" s="89" t="s">
        <v>646</v>
      </c>
      <c r="CB761" s="89" t="s">
        <v>23605</v>
      </c>
      <c r="CC761" s="89" t="str">
        <f>HYPERLINK("https%3A%2F%2Fwww.webofscience.com%2Fwos%2Fwoscc%2Ffull-record%2FWOS:000644433700152","View Full Record in Web of Science")</f>
        <v>View Full Record in Web of Science</v>
      </c>
    </row>
    <row r="762" spans="1:81" ht="13.2" hidden="1" x14ac:dyDescent="0.25">
      <c r="A762" s="89" t="s">
        <v>23606</v>
      </c>
      <c r="B762" s="89" t="e">
        <f>+#REF!</f>
        <v>#REF!</v>
      </c>
      <c r="C762" s="89"/>
      <c r="D762" s="91" t="s">
        <v>717</v>
      </c>
      <c r="E762" s="90" t="e">
        <v>#REF!</v>
      </c>
      <c r="F762" s="89"/>
      <c r="G762" s="89"/>
      <c r="H762" s="89" t="s">
        <v>14680</v>
      </c>
      <c r="I762" s="89" t="s">
        <v>23607</v>
      </c>
      <c r="J762" s="89" t="s">
        <v>23609</v>
      </c>
      <c r="K762" s="89" t="s">
        <v>23608</v>
      </c>
      <c r="M762" s="89">
        <v>2019</v>
      </c>
      <c r="N762" s="89" t="s">
        <v>20879</v>
      </c>
      <c r="O762" s="89" t="s">
        <v>646</v>
      </c>
      <c r="P762" s="89" t="str">
        <f>HYPERLINK("http://dx.doi.org/10.1080/1369118X.2018.1543443","http://dx.doi.org/10.1080/1369118X.2018.1543443")</f>
        <v>http://dx.doi.org/10.1080/1369118X.2018.1543443</v>
      </c>
      <c r="S762" s="89" t="s">
        <v>646</v>
      </c>
      <c r="U762" s="89" t="s">
        <v>17462</v>
      </c>
      <c r="W762" s="89" t="s">
        <v>646</v>
      </c>
      <c r="X762" s="89" t="s">
        <v>646</v>
      </c>
      <c r="Y762" s="89" t="s">
        <v>646</v>
      </c>
      <c r="Z762" s="89" t="s">
        <v>646</v>
      </c>
      <c r="AA762" s="89" t="s">
        <v>646</v>
      </c>
      <c r="AB762" s="89" t="s">
        <v>646</v>
      </c>
      <c r="AC762" s="89" t="s">
        <v>646</v>
      </c>
      <c r="AD762" s="89" t="s">
        <v>646</v>
      </c>
      <c r="AE762" s="89" t="s">
        <v>646</v>
      </c>
      <c r="AF762" s="89" t="s">
        <v>23608</v>
      </c>
      <c r="AG762" s="89" t="s">
        <v>646</v>
      </c>
      <c r="AH762" s="89" t="s">
        <v>646</v>
      </c>
      <c r="AI762" s="89" t="s">
        <v>646</v>
      </c>
      <c r="AJ762" s="89" t="s">
        <v>646</v>
      </c>
      <c r="AK762" s="89" t="s">
        <v>23609</v>
      </c>
      <c r="AL762" s="89" t="s">
        <v>23610</v>
      </c>
      <c r="AM762" s="89" t="s">
        <v>646</v>
      </c>
      <c r="AN762" s="89" t="s">
        <v>646</v>
      </c>
      <c r="AO762" s="89" t="s">
        <v>646</v>
      </c>
      <c r="AP762" s="89" t="s">
        <v>646</v>
      </c>
      <c r="AQ762" s="89" t="s">
        <v>646</v>
      </c>
      <c r="AR762" s="89" t="s">
        <v>646</v>
      </c>
      <c r="AS762" s="89" t="s">
        <v>646</v>
      </c>
      <c r="AT762" s="89" t="s">
        <v>646</v>
      </c>
      <c r="AU762" s="89" t="s">
        <v>646</v>
      </c>
      <c r="AV762" s="89" t="s">
        <v>646</v>
      </c>
      <c r="AW762" s="89" t="s">
        <v>646</v>
      </c>
      <c r="AX762" s="89" t="s">
        <v>646</v>
      </c>
      <c r="AY762" s="89" t="s">
        <v>20881</v>
      </c>
      <c r="AZ762" s="89" t="s">
        <v>20882</v>
      </c>
      <c r="BA762" s="89" t="s">
        <v>646</v>
      </c>
      <c r="BB762" s="89" t="s">
        <v>646</v>
      </c>
      <c r="BC762" s="89" t="s">
        <v>646</v>
      </c>
      <c r="BD762" s="89" t="s">
        <v>646</v>
      </c>
      <c r="BE762" s="89">
        <v>2019</v>
      </c>
      <c r="BF762" s="89">
        <v>22</v>
      </c>
      <c r="BG762" s="89">
        <v>5</v>
      </c>
      <c r="BH762" s="89" t="s">
        <v>646</v>
      </c>
      <c r="BI762" s="89" t="s">
        <v>646</v>
      </c>
      <c r="BJ762" s="89" t="s">
        <v>17555</v>
      </c>
      <c r="BK762" s="89" t="s">
        <v>646</v>
      </c>
      <c r="BL762" s="89">
        <v>709</v>
      </c>
      <c r="BM762" s="89">
        <v>716</v>
      </c>
      <c r="BN762" s="89" t="s">
        <v>646</v>
      </c>
      <c r="BO762" s="89" t="str">
        <f>HYPERLINK("http://dx.doi.org/10.1080/1369118X.2018.1543443","http://dx.doi.org/10.1080/1369118X.2018.1543443")</f>
        <v>http://dx.doi.org/10.1080/1369118X.2018.1543443</v>
      </c>
      <c r="BP762" s="89" t="s">
        <v>646</v>
      </c>
      <c r="BQ762" s="89" t="s">
        <v>646</v>
      </c>
      <c r="BR762" s="89" t="s">
        <v>646</v>
      </c>
      <c r="BS762" s="89" t="s">
        <v>646</v>
      </c>
      <c r="BT762" s="89" t="s">
        <v>646</v>
      </c>
      <c r="BU762" s="89" t="s">
        <v>646</v>
      </c>
      <c r="BV762" s="89" t="s">
        <v>646</v>
      </c>
      <c r="BW762" s="89" t="s">
        <v>646</v>
      </c>
      <c r="BX762" s="89" t="s">
        <v>646</v>
      </c>
      <c r="BY762" s="89" t="s">
        <v>646</v>
      </c>
      <c r="BZ762" s="89" t="s">
        <v>646</v>
      </c>
      <c r="CA762" s="89" t="s">
        <v>646</v>
      </c>
      <c r="CB762" s="89" t="s">
        <v>23611</v>
      </c>
      <c r="CC762" s="89" t="str">
        <f>HYPERLINK("https%3A%2F%2Fwww.webofscience.com%2Fwos%2Fwoscc%2Ffull-record%2FWOS:000462285600011","View Full Record in Web of Science")</f>
        <v>View Full Record in Web of Science</v>
      </c>
    </row>
    <row r="763" spans="1:81" ht="13.2" hidden="1" x14ac:dyDescent="0.25">
      <c r="A763" s="89" t="s">
        <v>23612</v>
      </c>
      <c r="B763" s="89" t="e">
        <f>+#REF!</f>
        <v>#REF!</v>
      </c>
      <c r="C763" s="89"/>
      <c r="D763" s="91" t="s">
        <v>717</v>
      </c>
      <c r="E763" s="90" t="e">
        <v>#REF!</v>
      </c>
      <c r="F763" s="89"/>
      <c r="G763" s="89"/>
      <c r="H763" s="89" t="s">
        <v>646</v>
      </c>
      <c r="I763" s="89" t="s">
        <v>23614</v>
      </c>
      <c r="J763" s="89" t="s">
        <v>646</v>
      </c>
      <c r="K763" s="89" t="s">
        <v>23619</v>
      </c>
      <c r="M763" s="89">
        <v>2014</v>
      </c>
      <c r="N763" s="89" t="s">
        <v>23615</v>
      </c>
      <c r="O763" s="89" t="s">
        <v>23613</v>
      </c>
      <c r="P763" s="89" t="s">
        <v>646</v>
      </c>
      <c r="S763" s="89" t="s">
        <v>646</v>
      </c>
      <c r="U763" s="89" t="s">
        <v>17474</v>
      </c>
      <c r="W763" s="89" t="s">
        <v>646</v>
      </c>
      <c r="X763" s="89" t="s">
        <v>646</v>
      </c>
      <c r="Y763" s="89" t="s">
        <v>23616</v>
      </c>
      <c r="Z763" s="89" t="s">
        <v>23617</v>
      </c>
      <c r="AA763" s="89" t="s">
        <v>23618</v>
      </c>
      <c r="AB763" s="89" t="s">
        <v>646</v>
      </c>
      <c r="AC763" s="89" t="s">
        <v>646</v>
      </c>
      <c r="AD763" s="89" t="s">
        <v>646</v>
      </c>
      <c r="AE763" s="89" t="s">
        <v>646</v>
      </c>
      <c r="AF763" s="89" t="s">
        <v>23619</v>
      </c>
      <c r="AG763" s="89" t="s">
        <v>646</v>
      </c>
      <c r="AH763" s="89" t="s">
        <v>646</v>
      </c>
      <c r="AI763" s="89" t="s">
        <v>646</v>
      </c>
      <c r="AJ763" s="89" t="s">
        <v>646</v>
      </c>
      <c r="AK763" s="89" t="s">
        <v>646</v>
      </c>
      <c r="AL763" s="89" t="s">
        <v>646</v>
      </c>
      <c r="AM763" s="89" t="s">
        <v>646</v>
      </c>
      <c r="AN763" s="89" t="s">
        <v>646</v>
      </c>
      <c r="AO763" s="89" t="s">
        <v>646</v>
      </c>
      <c r="AP763" s="89" t="s">
        <v>646</v>
      </c>
      <c r="AQ763" s="89" t="s">
        <v>646</v>
      </c>
      <c r="AR763" s="89" t="s">
        <v>646</v>
      </c>
      <c r="AS763" s="89" t="s">
        <v>646</v>
      </c>
      <c r="AT763" s="89" t="s">
        <v>646</v>
      </c>
      <c r="AU763" s="89" t="s">
        <v>646</v>
      </c>
      <c r="AV763" s="89" t="s">
        <v>646</v>
      </c>
      <c r="AW763" s="89" t="s">
        <v>646</v>
      </c>
      <c r="AX763" s="89" t="s">
        <v>646</v>
      </c>
      <c r="AY763" s="89" t="s">
        <v>18367</v>
      </c>
      <c r="AZ763" s="89" t="s">
        <v>18884</v>
      </c>
      <c r="BA763" s="89" t="s">
        <v>23620</v>
      </c>
      <c r="BB763" s="89" t="s">
        <v>646</v>
      </c>
      <c r="BC763" s="89" t="s">
        <v>646</v>
      </c>
      <c r="BD763" s="89" t="s">
        <v>646</v>
      </c>
      <c r="BE763" s="89">
        <v>2014</v>
      </c>
      <c r="BF763" s="89">
        <v>8689</v>
      </c>
      <c r="BG763" s="89" t="s">
        <v>646</v>
      </c>
      <c r="BH763" s="89" t="s">
        <v>646</v>
      </c>
      <c r="BI763" s="89" t="s">
        <v>646</v>
      </c>
      <c r="BJ763" s="89" t="s">
        <v>646</v>
      </c>
      <c r="BK763" s="89" t="s">
        <v>646</v>
      </c>
      <c r="BL763" s="89">
        <v>787</v>
      </c>
      <c r="BM763" s="89">
        <v>802</v>
      </c>
      <c r="BN763" s="89" t="s">
        <v>646</v>
      </c>
      <c r="BO763" s="89" t="s">
        <v>646</v>
      </c>
      <c r="BP763" s="89" t="s">
        <v>646</v>
      </c>
      <c r="BQ763" s="89" t="s">
        <v>646</v>
      </c>
      <c r="BR763" s="89" t="s">
        <v>646</v>
      </c>
      <c r="BS763" s="89" t="s">
        <v>646</v>
      </c>
      <c r="BT763" s="89" t="s">
        <v>646</v>
      </c>
      <c r="BU763" s="89" t="s">
        <v>646</v>
      </c>
      <c r="BV763" s="89" t="s">
        <v>646</v>
      </c>
      <c r="BW763" s="89" t="s">
        <v>646</v>
      </c>
      <c r="BX763" s="89" t="s">
        <v>646</v>
      </c>
      <c r="BY763" s="89" t="s">
        <v>646</v>
      </c>
      <c r="BZ763" s="89" t="s">
        <v>646</v>
      </c>
      <c r="CA763" s="89" t="s">
        <v>646</v>
      </c>
      <c r="CB763" s="89" t="s">
        <v>23621</v>
      </c>
      <c r="CC763" s="89" t="str">
        <f>HYPERLINK("https%3A%2F%2Fwww.webofscience.com%2Fwos%2Fwoscc%2Ffull-record%2FWOS:000345524200054","View Full Record in Web of Science")</f>
        <v>View Full Record in Web of Science</v>
      </c>
    </row>
    <row r="764" spans="1:81" ht="13.2" hidden="1" x14ac:dyDescent="0.25">
      <c r="A764" s="89" t="s">
        <v>14696</v>
      </c>
      <c r="B764" s="89" t="e">
        <f>+#REF!</f>
        <v>#REF!</v>
      </c>
      <c r="C764" s="89"/>
      <c r="D764" s="91" t="s">
        <v>717</v>
      </c>
      <c r="E764" s="90" t="e">
        <v>#REF!</v>
      </c>
      <c r="F764" s="89"/>
      <c r="G764" s="89"/>
      <c r="H764" s="89" t="s">
        <v>646</v>
      </c>
      <c r="I764" s="89" t="s">
        <v>23622</v>
      </c>
      <c r="J764" s="89" t="s">
        <v>646</v>
      </c>
      <c r="K764" s="89" t="s">
        <v>23628</v>
      </c>
      <c r="M764" s="89">
        <v>2011</v>
      </c>
      <c r="N764" s="89" t="s">
        <v>23623</v>
      </c>
      <c r="O764" s="89" t="s">
        <v>646</v>
      </c>
      <c r="P764" s="89" t="s">
        <v>646</v>
      </c>
      <c r="S764" s="89" t="s">
        <v>18747</v>
      </c>
      <c r="U764" s="89" t="s">
        <v>17474</v>
      </c>
      <c r="W764" s="89" t="s">
        <v>646</v>
      </c>
      <c r="X764" s="89" t="s">
        <v>646</v>
      </c>
      <c r="Y764" s="89" t="s">
        <v>23624</v>
      </c>
      <c r="Z764" s="89" t="s">
        <v>23625</v>
      </c>
      <c r="AA764" s="89" t="s">
        <v>23626</v>
      </c>
      <c r="AB764" s="89" t="s">
        <v>23627</v>
      </c>
      <c r="AC764" s="89" t="s">
        <v>646</v>
      </c>
      <c r="AD764" s="89" t="s">
        <v>646</v>
      </c>
      <c r="AE764" s="89" t="s">
        <v>646</v>
      </c>
      <c r="AF764" s="89" t="s">
        <v>23628</v>
      </c>
      <c r="AG764" s="89" t="s">
        <v>646</v>
      </c>
      <c r="AH764" s="89" t="s">
        <v>646</v>
      </c>
      <c r="AI764" s="89" t="s">
        <v>646</v>
      </c>
      <c r="AJ764" s="89" t="s">
        <v>646</v>
      </c>
      <c r="AK764" s="89" t="s">
        <v>646</v>
      </c>
      <c r="AL764" s="89" t="s">
        <v>646</v>
      </c>
      <c r="AM764" s="89" t="s">
        <v>646</v>
      </c>
      <c r="AN764" s="89" t="s">
        <v>646</v>
      </c>
      <c r="AO764" s="89" t="s">
        <v>646</v>
      </c>
      <c r="AP764" s="89" t="s">
        <v>646</v>
      </c>
      <c r="AQ764" s="89" t="s">
        <v>646</v>
      </c>
      <c r="AR764" s="89" t="s">
        <v>646</v>
      </c>
      <c r="AS764" s="89" t="s">
        <v>646</v>
      </c>
      <c r="AT764" s="89" t="s">
        <v>646</v>
      </c>
      <c r="AU764" s="89" t="s">
        <v>646</v>
      </c>
      <c r="AV764" s="89" t="s">
        <v>646</v>
      </c>
      <c r="AW764" s="89" t="s">
        <v>646</v>
      </c>
      <c r="AX764" s="89" t="s">
        <v>646</v>
      </c>
      <c r="AY764" s="89" t="s">
        <v>646</v>
      </c>
      <c r="AZ764" s="89" t="s">
        <v>646</v>
      </c>
      <c r="BA764" s="89" t="s">
        <v>23629</v>
      </c>
      <c r="BB764" s="89" t="s">
        <v>646</v>
      </c>
      <c r="BC764" s="89" t="s">
        <v>646</v>
      </c>
      <c r="BD764" s="89" t="s">
        <v>646</v>
      </c>
      <c r="BE764" s="89">
        <v>2011</v>
      </c>
      <c r="BF764" s="89" t="s">
        <v>646</v>
      </c>
      <c r="BG764" s="89" t="s">
        <v>646</v>
      </c>
      <c r="BH764" s="89" t="s">
        <v>646</v>
      </c>
      <c r="BI764" s="89" t="s">
        <v>646</v>
      </c>
      <c r="BJ764" s="89" t="s">
        <v>646</v>
      </c>
      <c r="BK764" s="89" t="s">
        <v>646</v>
      </c>
      <c r="BL764" s="89">
        <v>3068</v>
      </c>
      <c r="BM764" s="89">
        <v>3071</v>
      </c>
      <c r="BN764" s="89" t="s">
        <v>646</v>
      </c>
      <c r="BO764" s="89" t="s">
        <v>646</v>
      </c>
      <c r="BP764" s="89" t="s">
        <v>646</v>
      </c>
      <c r="BQ764" s="89" t="s">
        <v>646</v>
      </c>
      <c r="BR764" s="89" t="s">
        <v>646</v>
      </c>
      <c r="BS764" s="89" t="s">
        <v>646</v>
      </c>
      <c r="BT764" s="89" t="s">
        <v>646</v>
      </c>
      <c r="BU764" s="89" t="s">
        <v>646</v>
      </c>
      <c r="BV764" s="89" t="s">
        <v>646</v>
      </c>
      <c r="BW764" s="89" t="s">
        <v>646</v>
      </c>
      <c r="BX764" s="89" t="s">
        <v>646</v>
      </c>
      <c r="BY764" s="89" t="s">
        <v>646</v>
      </c>
      <c r="BZ764" s="89" t="s">
        <v>646</v>
      </c>
      <c r="CA764" s="89" t="s">
        <v>646</v>
      </c>
      <c r="CB764" s="89" t="s">
        <v>23630</v>
      </c>
      <c r="CC764" s="89" t="str">
        <f>HYPERLINK("https%3A%2F%2Fwww.webofscience.com%2Fwos%2Fwoscc%2Ffull-record%2FWOS:000316502201256","View Full Record in Web of Science")</f>
        <v>View Full Record in Web of Science</v>
      </c>
    </row>
    <row r="765" spans="1:81" ht="13.2" hidden="1" x14ac:dyDescent="0.25">
      <c r="A765" s="89" t="s">
        <v>14704</v>
      </c>
      <c r="B765" s="89" t="e">
        <f>+#REF!</f>
        <v>#REF!</v>
      </c>
      <c r="C765" s="89"/>
      <c r="D765" s="91" t="s">
        <v>717</v>
      </c>
      <c r="E765" s="90" t="e">
        <v>#REF!</v>
      </c>
      <c r="F765" s="89"/>
      <c r="G765" s="89"/>
      <c r="H765" s="89" t="s">
        <v>14705</v>
      </c>
      <c r="I765" s="89" t="s">
        <v>23631</v>
      </c>
      <c r="J765" s="89" t="s">
        <v>23634</v>
      </c>
      <c r="K765" s="89" t="s">
        <v>23633</v>
      </c>
      <c r="M765" s="89">
        <v>2017</v>
      </c>
      <c r="N765" s="89" t="s">
        <v>23632</v>
      </c>
      <c r="O765" s="89" t="s">
        <v>646</v>
      </c>
      <c r="P765" s="89" t="str">
        <f>HYPERLINK("http://dx.doi.org/10.1177/0278364917706418","http://dx.doi.org/10.1177/0278364917706418")</f>
        <v>http://dx.doi.org/10.1177/0278364917706418</v>
      </c>
      <c r="S765" s="89" t="s">
        <v>646</v>
      </c>
      <c r="U765" s="89" t="s">
        <v>17462</v>
      </c>
      <c r="W765" s="89" t="s">
        <v>646</v>
      </c>
      <c r="X765" s="89" t="s">
        <v>646</v>
      </c>
      <c r="Y765" s="89" t="s">
        <v>646</v>
      </c>
      <c r="Z765" s="89" t="s">
        <v>646</v>
      </c>
      <c r="AA765" s="89" t="s">
        <v>646</v>
      </c>
      <c r="AB765" s="89" t="s">
        <v>646</v>
      </c>
      <c r="AC765" s="89" t="s">
        <v>646</v>
      </c>
      <c r="AD765" s="89" t="s">
        <v>646</v>
      </c>
      <c r="AE765" s="89" t="s">
        <v>646</v>
      </c>
      <c r="AF765" s="89" t="s">
        <v>23633</v>
      </c>
      <c r="AG765" s="89" t="s">
        <v>646</v>
      </c>
      <c r="AH765" s="89" t="s">
        <v>646</v>
      </c>
      <c r="AI765" s="89" t="s">
        <v>646</v>
      </c>
      <c r="AJ765" s="89" t="s">
        <v>646</v>
      </c>
      <c r="AK765" s="89" t="s">
        <v>23634</v>
      </c>
      <c r="AL765" s="89" t="s">
        <v>646</v>
      </c>
      <c r="AM765" s="89" t="s">
        <v>646</v>
      </c>
      <c r="AN765" s="89" t="s">
        <v>646</v>
      </c>
      <c r="AO765" s="89" t="s">
        <v>646</v>
      </c>
      <c r="AP765" s="89" t="s">
        <v>646</v>
      </c>
      <c r="AQ765" s="89" t="s">
        <v>646</v>
      </c>
      <c r="AR765" s="89" t="s">
        <v>646</v>
      </c>
      <c r="AS765" s="89" t="s">
        <v>646</v>
      </c>
      <c r="AT765" s="89" t="s">
        <v>646</v>
      </c>
      <c r="AU765" s="89" t="s">
        <v>646</v>
      </c>
      <c r="AV765" s="89" t="s">
        <v>646</v>
      </c>
      <c r="AW765" s="89" t="s">
        <v>646</v>
      </c>
      <c r="AX765" s="89" t="s">
        <v>646</v>
      </c>
      <c r="AY765" s="89" t="s">
        <v>23635</v>
      </c>
      <c r="AZ765" s="89" t="s">
        <v>23636</v>
      </c>
      <c r="BA765" s="89" t="s">
        <v>646</v>
      </c>
      <c r="BB765" s="89" t="s">
        <v>646</v>
      </c>
      <c r="BC765" s="89" t="s">
        <v>646</v>
      </c>
      <c r="BD765" s="89" t="s">
        <v>17772</v>
      </c>
      <c r="BE765" s="89">
        <v>2017</v>
      </c>
      <c r="BF765" s="89">
        <v>36</v>
      </c>
      <c r="BG765" s="89" t="s">
        <v>23637</v>
      </c>
      <c r="BH765" s="89" t="s">
        <v>646</v>
      </c>
      <c r="BI765" s="89" t="s">
        <v>646</v>
      </c>
      <c r="BJ765" s="89" t="s">
        <v>646</v>
      </c>
      <c r="BK765" s="89" t="s">
        <v>646</v>
      </c>
      <c r="BL765" s="89">
        <v>684</v>
      </c>
      <c r="BM765" s="89">
        <v>698</v>
      </c>
      <c r="BN765" s="89" t="s">
        <v>646</v>
      </c>
      <c r="BO765" s="89" t="str">
        <f>HYPERLINK("http://dx.doi.org/10.1177/0278364917706418","http://dx.doi.org/10.1177/0278364917706418")</f>
        <v>http://dx.doi.org/10.1177/0278364917706418</v>
      </c>
      <c r="BP765" s="89" t="s">
        <v>646</v>
      </c>
      <c r="BQ765" s="89" t="s">
        <v>646</v>
      </c>
      <c r="BR765" s="89" t="s">
        <v>646</v>
      </c>
      <c r="BS765" s="89" t="s">
        <v>646</v>
      </c>
      <c r="BT765" s="89" t="s">
        <v>646</v>
      </c>
      <c r="BU765" s="89" t="s">
        <v>646</v>
      </c>
      <c r="BV765" s="89" t="s">
        <v>646</v>
      </c>
      <c r="BW765" s="89" t="s">
        <v>646</v>
      </c>
      <c r="BX765" s="89" t="s">
        <v>646</v>
      </c>
      <c r="BY765" s="89" t="s">
        <v>646</v>
      </c>
      <c r="BZ765" s="89" t="s">
        <v>646</v>
      </c>
      <c r="CA765" s="89" t="s">
        <v>646</v>
      </c>
      <c r="CB765" s="89" t="s">
        <v>23638</v>
      </c>
      <c r="CC765" s="89" t="str">
        <f>HYPERLINK("https%3A%2F%2Fwww.webofscience.com%2Fwos%2Fwoscc%2Ffull-record%2FWOS:000404677700012","View Full Record in Web of Science")</f>
        <v>View Full Record in Web of Science</v>
      </c>
    </row>
    <row r="766" spans="1:81" ht="13.2" hidden="1" x14ac:dyDescent="0.25">
      <c r="A766" s="89" t="s">
        <v>14714</v>
      </c>
      <c r="B766" s="89" t="e">
        <f>+#REF!</f>
        <v>#REF!</v>
      </c>
      <c r="C766" s="89"/>
      <c r="D766" s="91" t="s">
        <v>717</v>
      </c>
      <c r="E766" s="90" t="e">
        <v>#REF!</v>
      </c>
      <c r="F766" s="89"/>
      <c r="G766" s="89"/>
      <c r="H766" s="89" t="s">
        <v>14715</v>
      </c>
      <c r="I766" s="89" t="s">
        <v>23639</v>
      </c>
      <c r="J766" s="89" t="s">
        <v>646</v>
      </c>
      <c r="K766" s="89" t="s">
        <v>23640</v>
      </c>
      <c r="M766" s="89">
        <v>2017</v>
      </c>
      <c r="N766" s="89" t="s">
        <v>19752</v>
      </c>
      <c r="O766" s="89" t="s">
        <v>646</v>
      </c>
      <c r="P766" s="89" t="str">
        <f>HYPERLINK("http://dx.doi.org/10.1002/smi.2710","http://dx.doi.org/10.1002/smi.2710")</f>
        <v>http://dx.doi.org/10.1002/smi.2710</v>
      </c>
      <c r="S766" s="89" t="s">
        <v>646</v>
      </c>
      <c r="U766" s="89" t="s">
        <v>17462</v>
      </c>
      <c r="W766" s="89" t="s">
        <v>646</v>
      </c>
      <c r="X766" s="89" t="s">
        <v>646</v>
      </c>
      <c r="Y766" s="89" t="s">
        <v>646</v>
      </c>
      <c r="Z766" s="89" t="s">
        <v>646</v>
      </c>
      <c r="AA766" s="89" t="s">
        <v>646</v>
      </c>
      <c r="AB766" s="89" t="s">
        <v>646</v>
      </c>
      <c r="AC766" s="89" t="s">
        <v>646</v>
      </c>
      <c r="AD766" s="89" t="s">
        <v>646</v>
      </c>
      <c r="AE766" s="89" t="s">
        <v>646</v>
      </c>
      <c r="AF766" s="89" t="s">
        <v>23640</v>
      </c>
      <c r="AG766" s="89" t="s">
        <v>646</v>
      </c>
      <c r="AH766" s="89" t="s">
        <v>646</v>
      </c>
      <c r="AI766" s="89" t="s">
        <v>646</v>
      </c>
      <c r="AJ766" s="89" t="s">
        <v>646</v>
      </c>
      <c r="AK766" s="89" t="s">
        <v>646</v>
      </c>
      <c r="AL766" s="89" t="s">
        <v>23641</v>
      </c>
      <c r="AM766" s="89" t="s">
        <v>646</v>
      </c>
      <c r="AN766" s="89" t="s">
        <v>646</v>
      </c>
      <c r="AO766" s="89" t="s">
        <v>646</v>
      </c>
      <c r="AP766" s="89" t="s">
        <v>646</v>
      </c>
      <c r="AQ766" s="89" t="s">
        <v>646</v>
      </c>
      <c r="AR766" s="89" t="s">
        <v>646</v>
      </c>
      <c r="AS766" s="89" t="s">
        <v>646</v>
      </c>
      <c r="AT766" s="89" t="s">
        <v>646</v>
      </c>
      <c r="AU766" s="89" t="s">
        <v>646</v>
      </c>
      <c r="AV766" s="89" t="s">
        <v>646</v>
      </c>
      <c r="AW766" s="89" t="s">
        <v>646</v>
      </c>
      <c r="AX766" s="89" t="s">
        <v>646</v>
      </c>
      <c r="AY766" s="89" t="s">
        <v>19756</v>
      </c>
      <c r="AZ766" s="89" t="s">
        <v>19757</v>
      </c>
      <c r="BA766" s="89" t="s">
        <v>646</v>
      </c>
      <c r="BB766" s="89" t="s">
        <v>646</v>
      </c>
      <c r="BC766" s="89" t="s">
        <v>646</v>
      </c>
      <c r="BD766" s="89" t="s">
        <v>18655</v>
      </c>
      <c r="BE766" s="89">
        <v>2017</v>
      </c>
      <c r="BF766" s="89">
        <v>33</v>
      </c>
      <c r="BG766" s="89">
        <v>3</v>
      </c>
      <c r="BH766" s="89" t="s">
        <v>646</v>
      </c>
      <c r="BI766" s="89" t="s">
        <v>646</v>
      </c>
      <c r="BJ766" s="89" t="s">
        <v>646</v>
      </c>
      <c r="BK766" s="89" t="s">
        <v>646</v>
      </c>
      <c r="BL766" s="89">
        <v>288</v>
      </c>
      <c r="BM766" s="89">
        <v>297</v>
      </c>
      <c r="BN766" s="89" t="s">
        <v>646</v>
      </c>
      <c r="BO766" s="89" t="str">
        <f>HYPERLINK("http://dx.doi.org/10.1002/smi.2710","http://dx.doi.org/10.1002/smi.2710")</f>
        <v>http://dx.doi.org/10.1002/smi.2710</v>
      </c>
      <c r="BP766" s="89" t="s">
        <v>646</v>
      </c>
      <c r="BQ766" s="89" t="s">
        <v>646</v>
      </c>
      <c r="BR766" s="89" t="s">
        <v>646</v>
      </c>
      <c r="BS766" s="89" t="s">
        <v>646</v>
      </c>
      <c r="BT766" s="89" t="s">
        <v>646</v>
      </c>
      <c r="BU766" s="89" t="s">
        <v>646</v>
      </c>
      <c r="BV766" s="89" t="s">
        <v>646</v>
      </c>
      <c r="BW766" s="89">
        <v>27647548</v>
      </c>
      <c r="BX766" s="89" t="s">
        <v>646</v>
      </c>
      <c r="BY766" s="89" t="s">
        <v>646</v>
      </c>
      <c r="BZ766" s="89" t="s">
        <v>646</v>
      </c>
      <c r="CA766" s="89" t="s">
        <v>646</v>
      </c>
      <c r="CB766" s="89" t="s">
        <v>23642</v>
      </c>
      <c r="CC766" s="89" t="str">
        <f>HYPERLINK("https%3A%2F%2Fwww.webofscience.com%2Fwos%2Fwoscc%2Ffull-record%2FWOS:000407283500011","View Full Record in Web of Science")</f>
        <v>View Full Record in Web of Science</v>
      </c>
    </row>
    <row r="767" spans="1:81" ht="13.2" hidden="1" x14ac:dyDescent="0.25">
      <c r="A767" s="89" t="s">
        <v>10161</v>
      </c>
      <c r="B767" s="89" t="e">
        <f>+#REF!</f>
        <v>#REF!</v>
      </c>
      <c r="C767" s="89"/>
      <c r="D767" s="91" t="s">
        <v>717</v>
      </c>
      <c r="E767" s="90" t="e">
        <v>#REF!</v>
      </c>
      <c r="F767" s="89"/>
      <c r="G767" s="89"/>
      <c r="H767" s="89" t="s">
        <v>10162</v>
      </c>
      <c r="I767" s="89" t="s">
        <v>23643</v>
      </c>
      <c r="J767" s="89" t="s">
        <v>646</v>
      </c>
      <c r="K767" s="89" t="s">
        <v>23645</v>
      </c>
      <c r="M767" s="89">
        <v>2021</v>
      </c>
      <c r="N767" s="89" t="s">
        <v>23644</v>
      </c>
      <c r="O767" s="89" t="s">
        <v>646</v>
      </c>
      <c r="P767" s="89" t="str">
        <f>HYPERLINK("http://dx.doi.org/10.1016/j.bjps.2021.02.012","http://dx.doi.org/10.1016/j.bjps.2021.02.012")</f>
        <v>http://dx.doi.org/10.1016/j.bjps.2021.02.012</v>
      </c>
      <c r="S767" s="89" t="s">
        <v>646</v>
      </c>
      <c r="U767" s="89" t="s">
        <v>17462</v>
      </c>
      <c r="W767" s="89" t="s">
        <v>646</v>
      </c>
      <c r="X767" s="89" t="s">
        <v>646</v>
      </c>
      <c r="Y767" s="89" t="s">
        <v>646</v>
      </c>
      <c r="Z767" s="89" t="s">
        <v>646</v>
      </c>
      <c r="AA767" s="89" t="s">
        <v>646</v>
      </c>
      <c r="AB767" s="89" t="s">
        <v>646</v>
      </c>
      <c r="AC767" s="89" t="s">
        <v>646</v>
      </c>
      <c r="AD767" s="89" t="s">
        <v>646</v>
      </c>
      <c r="AE767" s="89" t="s">
        <v>646</v>
      </c>
      <c r="AF767" s="89" t="s">
        <v>23645</v>
      </c>
      <c r="AG767" s="89" t="s">
        <v>646</v>
      </c>
      <c r="AH767" s="89" t="s">
        <v>646</v>
      </c>
      <c r="AI767" s="89" t="s">
        <v>646</v>
      </c>
      <c r="AJ767" s="89" t="s">
        <v>646</v>
      </c>
      <c r="AK767" s="89" t="s">
        <v>646</v>
      </c>
      <c r="AL767" s="89" t="s">
        <v>646</v>
      </c>
      <c r="AM767" s="89" t="s">
        <v>646</v>
      </c>
      <c r="AN767" s="89" t="s">
        <v>646</v>
      </c>
      <c r="AO767" s="89" t="s">
        <v>646</v>
      </c>
      <c r="AP767" s="89" t="s">
        <v>646</v>
      </c>
      <c r="AQ767" s="89" t="s">
        <v>646</v>
      </c>
      <c r="AR767" s="89" t="s">
        <v>646</v>
      </c>
      <c r="AS767" s="89" t="s">
        <v>646</v>
      </c>
      <c r="AT767" s="89" t="s">
        <v>646</v>
      </c>
      <c r="AU767" s="89" t="s">
        <v>646</v>
      </c>
      <c r="AV767" s="89" t="s">
        <v>646</v>
      </c>
      <c r="AW767" s="89" t="s">
        <v>646</v>
      </c>
      <c r="AX767" s="89" t="s">
        <v>646</v>
      </c>
      <c r="AY767" s="89" t="s">
        <v>23646</v>
      </c>
      <c r="AZ767" s="89" t="s">
        <v>23647</v>
      </c>
      <c r="BA767" s="89" t="s">
        <v>646</v>
      </c>
      <c r="BB767" s="89" t="s">
        <v>646</v>
      </c>
      <c r="BC767" s="89" t="s">
        <v>646</v>
      </c>
      <c r="BD767" s="89" t="s">
        <v>18292</v>
      </c>
      <c r="BE767" s="89">
        <v>2021</v>
      </c>
      <c r="BF767" s="89">
        <v>74</v>
      </c>
      <c r="BG767" s="89">
        <v>11</v>
      </c>
      <c r="BH767" s="89" t="s">
        <v>646</v>
      </c>
      <c r="BI767" s="89" t="s">
        <v>646</v>
      </c>
      <c r="BJ767" s="89" t="s">
        <v>646</v>
      </c>
      <c r="BK767" s="89" t="s">
        <v>646</v>
      </c>
      <c r="BL767" s="89">
        <v>2947</v>
      </c>
      <c r="BM767" s="89">
        <v>2956</v>
      </c>
      <c r="BN767" s="89" t="s">
        <v>646</v>
      </c>
      <c r="BO767" s="89" t="str">
        <f>HYPERLINK("http://dx.doi.org/10.1016/j.bjps.2021.02.012","http://dx.doi.org/10.1016/j.bjps.2021.02.012")</f>
        <v>http://dx.doi.org/10.1016/j.bjps.2021.02.012</v>
      </c>
      <c r="BP767" s="89" t="s">
        <v>646</v>
      </c>
      <c r="BQ767" s="89" t="s">
        <v>17688</v>
      </c>
      <c r="BR767" s="89" t="s">
        <v>646</v>
      </c>
      <c r="BS767" s="89" t="s">
        <v>646</v>
      </c>
      <c r="BT767" s="89" t="s">
        <v>646</v>
      </c>
      <c r="BU767" s="89" t="s">
        <v>646</v>
      </c>
      <c r="BV767" s="89" t="s">
        <v>646</v>
      </c>
      <c r="BW767" s="89">
        <v>33992560</v>
      </c>
      <c r="BX767" s="89" t="s">
        <v>646</v>
      </c>
      <c r="BY767" s="89" t="s">
        <v>646</v>
      </c>
      <c r="BZ767" s="89" t="s">
        <v>646</v>
      </c>
      <c r="CA767" s="89" t="s">
        <v>646</v>
      </c>
      <c r="CB767" s="89" t="s">
        <v>23648</v>
      </c>
      <c r="CC767" s="89" t="str">
        <f>HYPERLINK("https%3A%2F%2Fwww.webofscience.com%2Fwos%2Fwoscc%2Ffull-record%2FWOS:000714740800016","View Full Record in Web of Science")</f>
        <v>View Full Record in Web of Science</v>
      </c>
    </row>
    <row r="768" spans="1:81" ht="13.2" hidden="1" x14ac:dyDescent="0.25">
      <c r="A768" s="89" t="s">
        <v>16328</v>
      </c>
      <c r="B768" s="89" t="e">
        <f>+#REF!</f>
        <v>#REF!</v>
      </c>
      <c r="C768" s="89"/>
      <c r="D768" s="91" t="s">
        <v>717</v>
      </c>
      <c r="E768" s="90" t="e">
        <v>#REF!</v>
      </c>
      <c r="F768" s="89"/>
      <c r="G768" s="89"/>
      <c r="H768" s="89" t="s">
        <v>16329</v>
      </c>
      <c r="I768" s="89" t="s">
        <v>23649</v>
      </c>
      <c r="J768" s="89" t="s">
        <v>646</v>
      </c>
      <c r="K768" s="89" t="s">
        <v>23650</v>
      </c>
      <c r="M768" s="89">
        <v>2021</v>
      </c>
      <c r="N768" s="89" t="s">
        <v>22485</v>
      </c>
      <c r="O768" s="89" t="s">
        <v>646</v>
      </c>
      <c r="P768" s="89" t="str">
        <f>HYPERLINK("http://dx.doi.org/10.1080/09585192.2020.1867613","http://dx.doi.org/10.1080/09585192.2020.1867613")</f>
        <v>http://dx.doi.org/10.1080/09585192.2020.1867613</v>
      </c>
      <c r="S768" s="89" t="s">
        <v>646</v>
      </c>
      <c r="U768" s="89" t="s">
        <v>17462</v>
      </c>
      <c r="W768" s="89" t="s">
        <v>646</v>
      </c>
      <c r="X768" s="89" t="s">
        <v>646</v>
      </c>
      <c r="Y768" s="89" t="s">
        <v>646</v>
      </c>
      <c r="Z768" s="89" t="s">
        <v>646</v>
      </c>
      <c r="AA768" s="89" t="s">
        <v>646</v>
      </c>
      <c r="AB768" s="89" t="s">
        <v>646</v>
      </c>
      <c r="AC768" s="89" t="s">
        <v>646</v>
      </c>
      <c r="AD768" s="89" t="s">
        <v>646</v>
      </c>
      <c r="AE768" s="89" t="s">
        <v>646</v>
      </c>
      <c r="AF768" s="89" t="s">
        <v>23650</v>
      </c>
      <c r="AG768" s="89" t="s">
        <v>646</v>
      </c>
      <c r="AH768" s="89" t="s">
        <v>646</v>
      </c>
      <c r="AI768" s="89" t="s">
        <v>646</v>
      </c>
      <c r="AJ768" s="89" t="s">
        <v>646</v>
      </c>
      <c r="AK768" s="89" t="s">
        <v>646</v>
      </c>
      <c r="AL768" s="89" t="s">
        <v>23651</v>
      </c>
      <c r="AM768" s="89" t="s">
        <v>646</v>
      </c>
      <c r="AN768" s="89" t="s">
        <v>646</v>
      </c>
      <c r="AO768" s="89" t="s">
        <v>646</v>
      </c>
      <c r="AP768" s="89" t="s">
        <v>646</v>
      </c>
      <c r="AQ768" s="89" t="s">
        <v>646</v>
      </c>
      <c r="AR768" s="89" t="s">
        <v>646</v>
      </c>
      <c r="AS768" s="89" t="s">
        <v>646</v>
      </c>
      <c r="AT768" s="89" t="s">
        <v>646</v>
      </c>
      <c r="AU768" s="89" t="s">
        <v>646</v>
      </c>
      <c r="AV768" s="89" t="s">
        <v>646</v>
      </c>
      <c r="AW768" s="89" t="s">
        <v>646</v>
      </c>
      <c r="AX768" s="89" t="s">
        <v>646</v>
      </c>
      <c r="AY768" s="89" t="s">
        <v>22486</v>
      </c>
      <c r="AZ768" s="89" t="s">
        <v>22487</v>
      </c>
      <c r="BA768" s="89" t="s">
        <v>646</v>
      </c>
      <c r="BB768" s="89" t="s">
        <v>646</v>
      </c>
      <c r="BC768" s="89" t="s">
        <v>646</v>
      </c>
      <c r="BD768" s="89" t="s">
        <v>23652</v>
      </c>
      <c r="BE768" s="89">
        <v>2021</v>
      </c>
      <c r="BF768" s="89">
        <v>32</v>
      </c>
      <c r="BG768" s="89">
        <v>19</v>
      </c>
      <c r="BH768" s="89" t="s">
        <v>646</v>
      </c>
      <c r="BI768" s="89" t="s">
        <v>646</v>
      </c>
      <c r="BJ768" s="89" t="s">
        <v>17555</v>
      </c>
      <c r="BK768" s="89" t="s">
        <v>646</v>
      </c>
      <c r="BL768" s="89">
        <v>4136</v>
      </c>
      <c r="BM768" s="89">
        <v>4162</v>
      </c>
      <c r="BN768" s="89" t="s">
        <v>646</v>
      </c>
      <c r="BO768" s="89" t="str">
        <f>HYPERLINK("http://dx.doi.org/10.1080/09585192.2020.1867613","http://dx.doi.org/10.1080/09585192.2020.1867613")</f>
        <v>http://dx.doi.org/10.1080/09585192.2020.1867613</v>
      </c>
      <c r="BP768" s="89" t="s">
        <v>646</v>
      </c>
      <c r="BQ768" s="89" t="s">
        <v>17556</v>
      </c>
      <c r="BR768" s="89" t="s">
        <v>646</v>
      </c>
      <c r="BS768" s="89" t="s">
        <v>646</v>
      </c>
      <c r="BT768" s="89" t="s">
        <v>646</v>
      </c>
      <c r="BU768" s="89" t="s">
        <v>646</v>
      </c>
      <c r="BV768" s="89" t="s">
        <v>646</v>
      </c>
      <c r="BW768" s="89" t="s">
        <v>646</v>
      </c>
      <c r="BX768" s="89" t="s">
        <v>646</v>
      </c>
      <c r="BY768" s="89" t="s">
        <v>646</v>
      </c>
      <c r="BZ768" s="89" t="s">
        <v>646</v>
      </c>
      <c r="CA768" s="89" t="s">
        <v>646</v>
      </c>
      <c r="CB768" s="89" t="s">
        <v>23653</v>
      </c>
      <c r="CC768" s="89" t="str">
        <f>HYPERLINK("https%3A%2F%2Fwww.webofscience.com%2Fwos%2Fwoscc%2Ffull-record%2FWOS:000605740000001","View Full Record in Web of Science")</f>
        <v>View Full Record in Web of Science</v>
      </c>
    </row>
    <row r="769" spans="1:81" ht="13.2" hidden="1" x14ac:dyDescent="0.25">
      <c r="A769" s="89" t="s">
        <v>23654</v>
      </c>
      <c r="B769" s="89" t="e">
        <f>+#REF!</f>
        <v>#REF!</v>
      </c>
      <c r="C769" s="89"/>
      <c r="D769" s="91" t="s">
        <v>717</v>
      </c>
      <c r="E769" s="90" t="e">
        <v>#REF!</v>
      </c>
      <c r="F769" s="89"/>
      <c r="G769" s="89"/>
      <c r="H769" s="89" t="s">
        <v>14724</v>
      </c>
      <c r="I769" s="89" t="s">
        <v>23655</v>
      </c>
      <c r="J769" s="89" t="s">
        <v>18915</v>
      </c>
      <c r="K769" s="89" t="s">
        <v>23657</v>
      </c>
      <c r="M769" s="89">
        <v>2019</v>
      </c>
      <c r="N769" s="89" t="s">
        <v>23656</v>
      </c>
      <c r="O769" s="89" t="s">
        <v>646</v>
      </c>
      <c r="P769" s="89" t="str">
        <f>HYPERLINK("http://dx.doi.org/10.1037/sgd0000314","http://dx.doi.org/10.1037/sgd0000314")</f>
        <v>http://dx.doi.org/10.1037/sgd0000314</v>
      </c>
      <c r="S769" s="89" t="s">
        <v>646</v>
      </c>
      <c r="U769" s="89" t="s">
        <v>17462</v>
      </c>
      <c r="W769" s="89" t="s">
        <v>646</v>
      </c>
      <c r="X769" s="89" t="s">
        <v>646</v>
      </c>
      <c r="Y769" s="89" t="s">
        <v>646</v>
      </c>
      <c r="Z769" s="89" t="s">
        <v>646</v>
      </c>
      <c r="AA769" s="89" t="s">
        <v>646</v>
      </c>
      <c r="AB769" s="89" t="s">
        <v>646</v>
      </c>
      <c r="AC769" s="89" t="s">
        <v>646</v>
      </c>
      <c r="AD769" s="89" t="s">
        <v>646</v>
      </c>
      <c r="AE769" s="89" t="s">
        <v>646</v>
      </c>
      <c r="AF769" s="89" t="s">
        <v>23657</v>
      </c>
      <c r="AG769" s="89" t="s">
        <v>646</v>
      </c>
      <c r="AH769" s="89" t="s">
        <v>646</v>
      </c>
      <c r="AI769" s="89" t="s">
        <v>646</v>
      </c>
      <c r="AJ769" s="89" t="s">
        <v>646</v>
      </c>
      <c r="AK769" s="89" t="s">
        <v>18915</v>
      </c>
      <c r="AL769" s="89" t="s">
        <v>18916</v>
      </c>
      <c r="AM769" s="89" t="s">
        <v>646</v>
      </c>
      <c r="AN769" s="89" t="s">
        <v>646</v>
      </c>
      <c r="AO769" s="89" t="s">
        <v>646</v>
      </c>
      <c r="AP769" s="89" t="s">
        <v>646</v>
      </c>
      <c r="AQ769" s="89" t="s">
        <v>646</v>
      </c>
      <c r="AR769" s="89" t="s">
        <v>646</v>
      </c>
      <c r="AS769" s="89" t="s">
        <v>646</v>
      </c>
      <c r="AT769" s="89" t="s">
        <v>646</v>
      </c>
      <c r="AU769" s="89" t="s">
        <v>646</v>
      </c>
      <c r="AV769" s="89" t="s">
        <v>646</v>
      </c>
      <c r="AW769" s="89" t="s">
        <v>646</v>
      </c>
      <c r="AX769" s="89" t="s">
        <v>646</v>
      </c>
      <c r="AY769" s="89" t="s">
        <v>23658</v>
      </c>
      <c r="AZ769" s="89" t="s">
        <v>23659</v>
      </c>
      <c r="BA769" s="89" t="s">
        <v>646</v>
      </c>
      <c r="BB769" s="89" t="s">
        <v>646</v>
      </c>
      <c r="BC769" s="89" t="s">
        <v>646</v>
      </c>
      <c r="BD769" s="89" t="s">
        <v>17772</v>
      </c>
      <c r="BE769" s="89">
        <v>2019</v>
      </c>
      <c r="BF769" s="89">
        <v>6</v>
      </c>
      <c r="BG769" s="89">
        <v>2</v>
      </c>
      <c r="BH769" s="89" t="s">
        <v>646</v>
      </c>
      <c r="BI769" s="89" t="s">
        <v>646</v>
      </c>
      <c r="BJ769" s="89" t="s">
        <v>646</v>
      </c>
      <c r="BK769" s="89" t="s">
        <v>646</v>
      </c>
      <c r="BL769" s="89">
        <v>149</v>
      </c>
      <c r="BM769" s="89">
        <v>159</v>
      </c>
      <c r="BN769" s="89" t="s">
        <v>646</v>
      </c>
      <c r="BO769" s="89" t="str">
        <f>HYPERLINK("http://dx.doi.org/10.1037/sgd0000314","http://dx.doi.org/10.1037/sgd0000314")</f>
        <v>http://dx.doi.org/10.1037/sgd0000314</v>
      </c>
      <c r="BP769" s="89" t="s">
        <v>646</v>
      </c>
      <c r="BQ769" s="89" t="s">
        <v>646</v>
      </c>
      <c r="BR769" s="89" t="s">
        <v>646</v>
      </c>
      <c r="BS769" s="89" t="s">
        <v>646</v>
      </c>
      <c r="BT769" s="89" t="s">
        <v>646</v>
      </c>
      <c r="BU769" s="89" t="s">
        <v>646</v>
      </c>
      <c r="BV769" s="89" t="s">
        <v>646</v>
      </c>
      <c r="BW769" s="89" t="s">
        <v>646</v>
      </c>
      <c r="BX769" s="89" t="s">
        <v>646</v>
      </c>
      <c r="BY769" s="89" t="s">
        <v>646</v>
      </c>
      <c r="BZ769" s="89" t="s">
        <v>646</v>
      </c>
      <c r="CA769" s="89" t="s">
        <v>646</v>
      </c>
      <c r="CB769" s="89" t="s">
        <v>23660</v>
      </c>
      <c r="CC769" s="89" t="str">
        <f>HYPERLINK("https%3A%2F%2Fwww.webofscience.com%2Fwos%2Fwoscc%2Ffull-record%2FWOS:000648772300003","View Full Record in Web of Science")</f>
        <v>View Full Record in Web of Science</v>
      </c>
    </row>
    <row r="770" spans="1:81" ht="13.2" hidden="1" x14ac:dyDescent="0.25">
      <c r="A770" s="89" t="s">
        <v>14732</v>
      </c>
      <c r="B770" s="89" t="e">
        <f>+#REF!</f>
        <v>#REF!</v>
      </c>
      <c r="C770" s="89"/>
      <c r="D770" s="91" t="s">
        <v>717</v>
      </c>
      <c r="E770" s="90" t="e">
        <v>#REF!</v>
      </c>
      <c r="F770" s="89"/>
      <c r="G770" s="89"/>
      <c r="H770" s="89" t="s">
        <v>14733</v>
      </c>
      <c r="I770" s="89" t="s">
        <v>23661</v>
      </c>
      <c r="J770" s="89" t="s">
        <v>18915</v>
      </c>
      <c r="K770" s="89" t="s">
        <v>23662</v>
      </c>
      <c r="M770" s="89">
        <v>2021</v>
      </c>
      <c r="N770" s="89" t="s">
        <v>23656</v>
      </c>
      <c r="O770" s="89" t="s">
        <v>646</v>
      </c>
      <c r="P770" s="89" t="str">
        <f>HYPERLINK("http://dx.doi.org/10.1037/sgd0000447","http://dx.doi.org/10.1037/sgd0000447")</f>
        <v>http://dx.doi.org/10.1037/sgd0000447</v>
      </c>
      <c r="S770" s="89" t="s">
        <v>646</v>
      </c>
      <c r="U770" s="89" t="s">
        <v>17462</v>
      </c>
      <c r="W770" s="89" t="s">
        <v>646</v>
      </c>
      <c r="X770" s="89" t="s">
        <v>646</v>
      </c>
      <c r="Y770" s="89" t="s">
        <v>646</v>
      </c>
      <c r="Z770" s="89" t="s">
        <v>646</v>
      </c>
      <c r="AA770" s="89" t="s">
        <v>646</v>
      </c>
      <c r="AB770" s="89" t="s">
        <v>646</v>
      </c>
      <c r="AC770" s="89" t="s">
        <v>646</v>
      </c>
      <c r="AD770" s="89" t="s">
        <v>646</v>
      </c>
      <c r="AE770" s="89" t="s">
        <v>646</v>
      </c>
      <c r="AF770" s="89" t="s">
        <v>23662</v>
      </c>
      <c r="AG770" s="89" t="s">
        <v>646</v>
      </c>
      <c r="AH770" s="89" t="s">
        <v>646</v>
      </c>
      <c r="AI770" s="89" t="s">
        <v>646</v>
      </c>
      <c r="AJ770" s="89" t="s">
        <v>646</v>
      </c>
      <c r="AK770" s="89" t="s">
        <v>18915</v>
      </c>
      <c r="AL770" s="89" t="s">
        <v>23663</v>
      </c>
      <c r="AM770" s="89" t="s">
        <v>646</v>
      </c>
      <c r="AN770" s="89" t="s">
        <v>646</v>
      </c>
      <c r="AO770" s="89" t="s">
        <v>646</v>
      </c>
      <c r="AP770" s="89" t="s">
        <v>646</v>
      </c>
      <c r="AQ770" s="89" t="s">
        <v>646</v>
      </c>
      <c r="AR770" s="89" t="s">
        <v>646</v>
      </c>
      <c r="AS770" s="89" t="s">
        <v>646</v>
      </c>
      <c r="AT770" s="89" t="s">
        <v>646</v>
      </c>
      <c r="AU770" s="89" t="s">
        <v>646</v>
      </c>
      <c r="AV770" s="89" t="s">
        <v>646</v>
      </c>
      <c r="AW770" s="89" t="s">
        <v>646</v>
      </c>
      <c r="AX770" s="89" t="s">
        <v>646</v>
      </c>
      <c r="AY770" s="89" t="s">
        <v>23658</v>
      </c>
      <c r="AZ770" s="89" t="s">
        <v>23659</v>
      </c>
      <c r="BA770" s="89" t="s">
        <v>646</v>
      </c>
      <c r="BB770" s="89" t="s">
        <v>646</v>
      </c>
      <c r="BC770" s="89" t="s">
        <v>646</v>
      </c>
      <c r="BD770" s="89" t="s">
        <v>17615</v>
      </c>
      <c r="BE770" s="89">
        <v>2021</v>
      </c>
      <c r="BF770" s="89">
        <v>8</v>
      </c>
      <c r="BG770" s="89">
        <v>4</v>
      </c>
      <c r="BH770" s="89" t="s">
        <v>646</v>
      </c>
      <c r="BI770" s="89" t="s">
        <v>646</v>
      </c>
      <c r="BJ770" s="89" t="s">
        <v>646</v>
      </c>
      <c r="BK770" s="89" t="s">
        <v>646</v>
      </c>
      <c r="BL770" s="89">
        <v>429</v>
      </c>
      <c r="BM770" s="89">
        <v>439</v>
      </c>
      <c r="BN770" s="89" t="s">
        <v>646</v>
      </c>
      <c r="BO770" s="89" t="str">
        <f>HYPERLINK("http://dx.doi.org/10.1037/sgd0000447","http://dx.doi.org/10.1037/sgd0000447")</f>
        <v>http://dx.doi.org/10.1037/sgd0000447</v>
      </c>
      <c r="BP770" s="89" t="s">
        <v>646</v>
      </c>
      <c r="BQ770" s="89" t="s">
        <v>646</v>
      </c>
      <c r="BR770" s="89" t="s">
        <v>646</v>
      </c>
      <c r="BS770" s="89" t="s">
        <v>646</v>
      </c>
      <c r="BT770" s="89" t="s">
        <v>646</v>
      </c>
      <c r="BU770" s="89" t="s">
        <v>646</v>
      </c>
      <c r="BV770" s="89" t="s">
        <v>646</v>
      </c>
      <c r="BW770" s="89" t="s">
        <v>646</v>
      </c>
      <c r="BX770" s="89" t="s">
        <v>646</v>
      </c>
      <c r="BY770" s="89" t="s">
        <v>646</v>
      </c>
      <c r="BZ770" s="89" t="s">
        <v>646</v>
      </c>
      <c r="CA770" s="89" t="s">
        <v>646</v>
      </c>
      <c r="CB770" s="89" t="s">
        <v>23664</v>
      </c>
      <c r="CC770" s="89" t="str">
        <f>HYPERLINK("https%3A%2F%2Fwww.webofscience.com%2Fwos%2Fwoscc%2Ffull-record%2FWOS:000728150000011","View Full Record in Web of Science")</f>
        <v>View Full Record in Web of Science</v>
      </c>
    </row>
    <row r="771" spans="1:81" ht="13.2" hidden="1" x14ac:dyDescent="0.25">
      <c r="A771" s="89" t="s">
        <v>10171</v>
      </c>
      <c r="B771" s="89" t="e">
        <f>+#REF!</f>
        <v>#REF!</v>
      </c>
      <c r="C771" s="89"/>
      <c r="D771" s="91" t="s">
        <v>717</v>
      </c>
      <c r="E771" s="90" t="e">
        <v>#REF!</v>
      </c>
      <c r="F771" s="89"/>
      <c r="G771" s="89"/>
      <c r="H771" s="89" t="s">
        <v>10172</v>
      </c>
      <c r="I771" s="89" t="s">
        <v>23665</v>
      </c>
      <c r="J771" s="89" t="s">
        <v>23668</v>
      </c>
      <c r="K771" s="89" t="s">
        <v>23667</v>
      </c>
      <c r="M771" s="89">
        <v>2021</v>
      </c>
      <c r="N771" s="89" t="s">
        <v>23666</v>
      </c>
      <c r="O771" s="89" t="s">
        <v>646</v>
      </c>
      <c r="P771" s="89" t="str">
        <f>HYPERLINK("http://dx.doi.org/10.1093/schbul/sbaa114","http://dx.doi.org/10.1093/schbul/sbaa114")</f>
        <v>http://dx.doi.org/10.1093/schbul/sbaa114</v>
      </c>
      <c r="S771" s="89" t="s">
        <v>646</v>
      </c>
      <c r="U771" s="89" t="s">
        <v>17462</v>
      </c>
      <c r="W771" s="89" t="s">
        <v>646</v>
      </c>
      <c r="X771" s="89" t="s">
        <v>646</v>
      </c>
      <c r="Y771" s="89" t="s">
        <v>646</v>
      </c>
      <c r="Z771" s="89" t="s">
        <v>646</v>
      </c>
      <c r="AA771" s="89" t="s">
        <v>646</v>
      </c>
      <c r="AB771" s="89" t="s">
        <v>646</v>
      </c>
      <c r="AC771" s="89" t="s">
        <v>646</v>
      </c>
      <c r="AD771" s="89" t="s">
        <v>646</v>
      </c>
      <c r="AE771" s="89" t="s">
        <v>646</v>
      </c>
      <c r="AF771" s="89" t="s">
        <v>23667</v>
      </c>
      <c r="AG771" s="89" t="s">
        <v>646</v>
      </c>
      <c r="AH771" s="89" t="s">
        <v>646</v>
      </c>
      <c r="AI771" s="89" t="s">
        <v>646</v>
      </c>
      <c r="AJ771" s="89" t="s">
        <v>646</v>
      </c>
      <c r="AK771" s="89" t="s">
        <v>23668</v>
      </c>
      <c r="AL771" s="89" t="s">
        <v>646</v>
      </c>
      <c r="AM771" s="89" t="s">
        <v>646</v>
      </c>
      <c r="AN771" s="89" t="s">
        <v>646</v>
      </c>
      <c r="AO771" s="89" t="s">
        <v>646</v>
      </c>
      <c r="AP771" s="89" t="s">
        <v>646</v>
      </c>
      <c r="AQ771" s="89" t="s">
        <v>646</v>
      </c>
      <c r="AR771" s="89" t="s">
        <v>646</v>
      </c>
      <c r="AS771" s="89" t="s">
        <v>646</v>
      </c>
      <c r="AT771" s="89" t="s">
        <v>646</v>
      </c>
      <c r="AU771" s="89" t="s">
        <v>646</v>
      </c>
      <c r="AV771" s="89" t="s">
        <v>646</v>
      </c>
      <c r="AW771" s="89" t="s">
        <v>646</v>
      </c>
      <c r="AX771" s="89" t="s">
        <v>646</v>
      </c>
      <c r="AY771" s="89" t="s">
        <v>23669</v>
      </c>
      <c r="AZ771" s="89" t="s">
        <v>23670</v>
      </c>
      <c r="BA771" s="89" t="s">
        <v>646</v>
      </c>
      <c r="BB771" s="89" t="s">
        <v>646</v>
      </c>
      <c r="BC771" s="89" t="s">
        <v>646</v>
      </c>
      <c r="BD771" s="89" t="s">
        <v>17513</v>
      </c>
      <c r="BE771" s="89">
        <v>2021</v>
      </c>
      <c r="BF771" s="89">
        <v>47</v>
      </c>
      <c r="BG771" s="89">
        <v>1</v>
      </c>
      <c r="BH771" s="89" t="s">
        <v>646</v>
      </c>
      <c r="BI771" s="89" t="s">
        <v>646</v>
      </c>
      <c r="BJ771" s="89" t="s">
        <v>646</v>
      </c>
      <c r="BK771" s="89" t="s">
        <v>646</v>
      </c>
      <c r="BL771" s="89">
        <v>7</v>
      </c>
      <c r="BM771" s="89">
        <v>14</v>
      </c>
      <c r="BN771" s="89" t="s">
        <v>646</v>
      </c>
      <c r="BO771" s="89" t="str">
        <f>HYPERLINK("http://dx.doi.org/10.1093/schbul/sbaa114","http://dx.doi.org/10.1093/schbul/sbaa114")</f>
        <v>http://dx.doi.org/10.1093/schbul/sbaa114</v>
      </c>
      <c r="BP771" s="89" t="s">
        <v>646</v>
      </c>
      <c r="BQ771" s="89" t="s">
        <v>646</v>
      </c>
      <c r="BR771" s="89" t="s">
        <v>646</v>
      </c>
      <c r="BS771" s="89" t="s">
        <v>646</v>
      </c>
      <c r="BT771" s="89" t="s">
        <v>646</v>
      </c>
      <c r="BU771" s="89" t="s">
        <v>646</v>
      </c>
      <c r="BV771" s="89" t="s">
        <v>646</v>
      </c>
      <c r="BW771" s="89">
        <v>33484269</v>
      </c>
      <c r="BX771" s="89" t="s">
        <v>646</v>
      </c>
      <c r="BY771" s="89" t="s">
        <v>646</v>
      </c>
      <c r="BZ771" s="89" t="s">
        <v>646</v>
      </c>
      <c r="CA771" s="89" t="s">
        <v>646</v>
      </c>
      <c r="CB771" s="89" t="s">
        <v>23671</v>
      </c>
      <c r="CC771" s="89" t="str">
        <f>HYPERLINK("https%3A%2F%2Fwww.webofscience.com%2Fwos%2Fwoscc%2Ffull-record%2FWOS:000649368900005","View Full Record in Web of Science")</f>
        <v>View Full Record in Web of Science</v>
      </c>
    </row>
    <row r="772" spans="1:81" ht="13.2" hidden="1" x14ac:dyDescent="0.25">
      <c r="A772" s="89" t="s">
        <v>14741</v>
      </c>
      <c r="B772" s="89" t="e">
        <f>+#REF!</f>
        <v>#REF!</v>
      </c>
      <c r="C772" s="89"/>
      <c r="D772" s="91" t="s">
        <v>717</v>
      </c>
      <c r="E772" s="90" t="e">
        <v>#REF!</v>
      </c>
      <c r="F772" s="89"/>
      <c r="G772" s="89"/>
      <c r="H772" s="89" t="s">
        <v>14742</v>
      </c>
      <c r="I772" s="89" t="s">
        <v>23672</v>
      </c>
      <c r="J772" s="89" t="s">
        <v>646</v>
      </c>
      <c r="K772" s="89" t="s">
        <v>23673</v>
      </c>
      <c r="M772" s="89">
        <v>2019</v>
      </c>
      <c r="N772" s="89" t="s">
        <v>19527</v>
      </c>
      <c r="O772" s="89" t="s">
        <v>646</v>
      </c>
      <c r="P772" s="89" t="str">
        <f>HYPERLINK("http://dx.doi.org/10.1108/SBM-10-2018-0082","http://dx.doi.org/10.1108/SBM-10-2018-0082")</f>
        <v>http://dx.doi.org/10.1108/SBM-10-2018-0082</v>
      </c>
      <c r="S772" s="89" t="s">
        <v>646</v>
      </c>
      <c r="U772" s="89" t="s">
        <v>17462</v>
      </c>
      <c r="W772" s="89" t="s">
        <v>646</v>
      </c>
      <c r="X772" s="89" t="s">
        <v>646</v>
      </c>
      <c r="Y772" s="89" t="s">
        <v>646</v>
      </c>
      <c r="Z772" s="89" t="s">
        <v>646</v>
      </c>
      <c r="AA772" s="89" t="s">
        <v>646</v>
      </c>
      <c r="AB772" s="89" t="s">
        <v>646</v>
      </c>
      <c r="AC772" s="89" t="s">
        <v>646</v>
      </c>
      <c r="AD772" s="89" t="s">
        <v>646</v>
      </c>
      <c r="AE772" s="89" t="s">
        <v>646</v>
      </c>
      <c r="AF772" s="89" t="s">
        <v>23673</v>
      </c>
      <c r="AG772" s="89" t="s">
        <v>646</v>
      </c>
      <c r="AH772" s="89" t="s">
        <v>646</v>
      </c>
      <c r="AI772" s="89" t="s">
        <v>646</v>
      </c>
      <c r="AJ772" s="89" t="s">
        <v>646</v>
      </c>
      <c r="AK772" s="89" t="s">
        <v>646</v>
      </c>
      <c r="AL772" s="89" t="s">
        <v>646</v>
      </c>
      <c r="AM772" s="89" t="s">
        <v>646</v>
      </c>
      <c r="AN772" s="89" t="s">
        <v>646</v>
      </c>
      <c r="AO772" s="89" t="s">
        <v>646</v>
      </c>
      <c r="AP772" s="89" t="s">
        <v>646</v>
      </c>
      <c r="AQ772" s="89" t="s">
        <v>646</v>
      </c>
      <c r="AR772" s="89" t="s">
        <v>646</v>
      </c>
      <c r="AS772" s="89" t="s">
        <v>646</v>
      </c>
      <c r="AT772" s="89" t="s">
        <v>646</v>
      </c>
      <c r="AU772" s="89" t="s">
        <v>646</v>
      </c>
      <c r="AV772" s="89" t="s">
        <v>646</v>
      </c>
      <c r="AW772" s="89" t="s">
        <v>646</v>
      </c>
      <c r="AX772" s="89" t="s">
        <v>646</v>
      </c>
      <c r="AY772" s="89" t="s">
        <v>19530</v>
      </c>
      <c r="AZ772" s="89" t="s">
        <v>19531</v>
      </c>
      <c r="BA772" s="89" t="s">
        <v>646</v>
      </c>
      <c r="BB772" s="89" t="s">
        <v>646</v>
      </c>
      <c r="BC772" s="89" t="s">
        <v>646</v>
      </c>
      <c r="BD772" s="89" t="s">
        <v>20664</v>
      </c>
      <c r="BE772" s="89">
        <v>2019</v>
      </c>
      <c r="BF772" s="89">
        <v>9</v>
      </c>
      <c r="BG772" s="89">
        <v>3</v>
      </c>
      <c r="BH772" s="89" t="s">
        <v>646</v>
      </c>
      <c r="BI772" s="89" t="s">
        <v>646</v>
      </c>
      <c r="BJ772" s="89" t="s">
        <v>646</v>
      </c>
      <c r="BK772" s="89" t="s">
        <v>646</v>
      </c>
      <c r="BL772" s="89">
        <v>255</v>
      </c>
      <c r="BM772" s="89">
        <v>272</v>
      </c>
      <c r="BN772" s="89" t="s">
        <v>646</v>
      </c>
      <c r="BO772" s="89" t="str">
        <f>HYPERLINK("http://dx.doi.org/10.1108/SBM-10-2018-0082","http://dx.doi.org/10.1108/SBM-10-2018-0082")</f>
        <v>http://dx.doi.org/10.1108/SBM-10-2018-0082</v>
      </c>
      <c r="BP772" s="89" t="s">
        <v>646</v>
      </c>
      <c r="BQ772" s="89" t="s">
        <v>646</v>
      </c>
      <c r="BR772" s="89" t="s">
        <v>646</v>
      </c>
      <c r="BS772" s="89" t="s">
        <v>646</v>
      </c>
      <c r="BT772" s="89" t="s">
        <v>646</v>
      </c>
      <c r="BU772" s="89" t="s">
        <v>646</v>
      </c>
      <c r="BV772" s="89" t="s">
        <v>646</v>
      </c>
      <c r="BW772" s="89" t="s">
        <v>646</v>
      </c>
      <c r="BX772" s="89" t="s">
        <v>646</v>
      </c>
      <c r="BY772" s="89" t="s">
        <v>646</v>
      </c>
      <c r="BZ772" s="89" t="s">
        <v>646</v>
      </c>
      <c r="CA772" s="89" t="s">
        <v>646</v>
      </c>
      <c r="CB772" s="89" t="s">
        <v>23674</v>
      </c>
      <c r="CC772" s="89" t="str">
        <f>HYPERLINK("https%3A%2F%2Fwww.webofscience.com%2Fwos%2Fwoscc%2Ffull-record%2FWOS:000555698300003","View Full Record in Web of Science")</f>
        <v>View Full Record in Web of Science</v>
      </c>
    </row>
    <row r="773" spans="1:81" ht="13.2" hidden="1" x14ac:dyDescent="0.25">
      <c r="A773" s="89" t="s">
        <v>14750</v>
      </c>
      <c r="B773" s="89" t="e">
        <f>+#REF!</f>
        <v>#REF!</v>
      </c>
      <c r="C773" s="89"/>
      <c r="D773" s="91" t="s">
        <v>717</v>
      </c>
      <c r="E773" s="90" t="e">
        <v>#REF!</v>
      </c>
      <c r="F773" s="89"/>
      <c r="G773" s="89"/>
      <c r="H773" s="89" t="s">
        <v>14751</v>
      </c>
      <c r="I773" s="89" t="s">
        <v>23675</v>
      </c>
      <c r="J773" s="89" t="s">
        <v>646</v>
      </c>
      <c r="K773" s="89" t="s">
        <v>23677</v>
      </c>
      <c r="M773" s="89">
        <v>2015</v>
      </c>
      <c r="N773" s="89" t="s">
        <v>23676</v>
      </c>
      <c r="O773" s="89" t="s">
        <v>646</v>
      </c>
      <c r="P773" s="89" t="str">
        <f>HYPERLINK("http://dx.doi.org/10.1186/s13584-015-0046-3","http://dx.doi.org/10.1186/s13584-015-0046-3")</f>
        <v>http://dx.doi.org/10.1186/s13584-015-0046-3</v>
      </c>
      <c r="S773" s="89" t="s">
        <v>646</v>
      </c>
      <c r="U773" s="89" t="s">
        <v>17462</v>
      </c>
      <c r="W773" s="89" t="s">
        <v>646</v>
      </c>
      <c r="X773" s="89" t="s">
        <v>646</v>
      </c>
      <c r="Y773" s="89" t="s">
        <v>646</v>
      </c>
      <c r="Z773" s="89" t="s">
        <v>646</v>
      </c>
      <c r="AA773" s="89" t="s">
        <v>646</v>
      </c>
      <c r="AB773" s="89" t="s">
        <v>646</v>
      </c>
      <c r="AC773" s="89" t="s">
        <v>646</v>
      </c>
      <c r="AD773" s="89" t="s">
        <v>646</v>
      </c>
      <c r="AE773" s="89" t="s">
        <v>646</v>
      </c>
      <c r="AF773" s="89" t="s">
        <v>23677</v>
      </c>
      <c r="AG773" s="89" t="s">
        <v>646</v>
      </c>
      <c r="AH773" s="89" t="s">
        <v>646</v>
      </c>
      <c r="AI773" s="89" t="s">
        <v>646</v>
      </c>
      <c r="AJ773" s="89" t="s">
        <v>646</v>
      </c>
      <c r="AK773" s="89" t="s">
        <v>646</v>
      </c>
      <c r="AL773" s="89" t="s">
        <v>23678</v>
      </c>
      <c r="AM773" s="89" t="s">
        <v>646</v>
      </c>
      <c r="AN773" s="89" t="s">
        <v>646</v>
      </c>
      <c r="AO773" s="89" t="s">
        <v>646</v>
      </c>
      <c r="AP773" s="89" t="s">
        <v>646</v>
      </c>
      <c r="AQ773" s="89" t="s">
        <v>646</v>
      </c>
      <c r="AR773" s="89" t="s">
        <v>646</v>
      </c>
      <c r="AS773" s="89" t="s">
        <v>646</v>
      </c>
      <c r="AT773" s="89" t="s">
        <v>646</v>
      </c>
      <c r="AU773" s="89" t="s">
        <v>646</v>
      </c>
      <c r="AV773" s="89" t="s">
        <v>646</v>
      </c>
      <c r="AW773" s="89" t="s">
        <v>646</v>
      </c>
      <c r="AX773" s="89" t="s">
        <v>646</v>
      </c>
      <c r="AY773" s="89" t="s">
        <v>23679</v>
      </c>
      <c r="AZ773" s="89" t="s">
        <v>646</v>
      </c>
      <c r="BA773" s="89" t="s">
        <v>646</v>
      </c>
      <c r="BB773" s="89" t="s">
        <v>646</v>
      </c>
      <c r="BC773" s="89" t="s">
        <v>646</v>
      </c>
      <c r="BD773" s="89" t="s">
        <v>23680</v>
      </c>
      <c r="BE773" s="89">
        <v>2015</v>
      </c>
      <c r="BF773" s="89">
        <v>4</v>
      </c>
      <c r="BG773" s="89" t="s">
        <v>646</v>
      </c>
      <c r="BH773" s="89" t="s">
        <v>646</v>
      </c>
      <c r="BI773" s="89" t="s">
        <v>646</v>
      </c>
      <c r="BJ773" s="89" t="s">
        <v>646</v>
      </c>
      <c r="BK773" s="89" t="s">
        <v>646</v>
      </c>
      <c r="BL773" s="89" t="s">
        <v>646</v>
      </c>
      <c r="BM773" s="89" t="s">
        <v>646</v>
      </c>
      <c r="BN773" s="89">
        <v>50</v>
      </c>
      <c r="BO773" s="89" t="str">
        <f>HYPERLINK("http://dx.doi.org/10.1186/s13584-015-0046-3","http://dx.doi.org/10.1186/s13584-015-0046-3")</f>
        <v>http://dx.doi.org/10.1186/s13584-015-0046-3</v>
      </c>
      <c r="BP773" s="89" t="s">
        <v>646</v>
      </c>
      <c r="BQ773" s="89" t="s">
        <v>646</v>
      </c>
      <c r="BR773" s="89" t="s">
        <v>646</v>
      </c>
      <c r="BS773" s="89" t="s">
        <v>646</v>
      </c>
      <c r="BT773" s="89" t="s">
        <v>646</v>
      </c>
      <c r="BU773" s="89" t="s">
        <v>646</v>
      </c>
      <c r="BV773" s="89" t="s">
        <v>646</v>
      </c>
      <c r="BW773" s="89">
        <v>26664670</v>
      </c>
      <c r="BX773" s="89" t="s">
        <v>646</v>
      </c>
      <c r="BY773" s="89" t="s">
        <v>646</v>
      </c>
      <c r="BZ773" s="89" t="s">
        <v>646</v>
      </c>
      <c r="CA773" s="89" t="s">
        <v>646</v>
      </c>
      <c r="CB773" s="89" t="s">
        <v>23681</v>
      </c>
      <c r="CC773" s="89" t="str">
        <f>HYPERLINK("https%3A%2F%2Fwww.webofscience.com%2Fwos%2Fwoscc%2Ffull-record%2FWOS:000366259800001","View Full Record in Web of Science")</f>
        <v>View Full Record in Web of Science</v>
      </c>
    </row>
    <row r="774" spans="1:81" ht="13.2" hidden="1" x14ac:dyDescent="0.25">
      <c r="A774" s="89" t="s">
        <v>14760</v>
      </c>
      <c r="B774" s="89" t="e">
        <f>+#REF!</f>
        <v>#REF!</v>
      </c>
      <c r="C774" s="89"/>
      <c r="D774" s="91" t="s">
        <v>717</v>
      </c>
      <c r="E774" s="90" t="e">
        <v>#REF!</v>
      </c>
      <c r="F774" s="89"/>
      <c r="G774" s="89"/>
      <c r="H774" s="89" t="s">
        <v>14761</v>
      </c>
      <c r="I774" s="89" t="s">
        <v>23682</v>
      </c>
      <c r="J774" s="89" t="s">
        <v>23684</v>
      </c>
      <c r="K774" s="89" t="s">
        <v>23683</v>
      </c>
      <c r="M774" s="89">
        <v>2012</v>
      </c>
      <c r="N774" s="89" t="s">
        <v>18837</v>
      </c>
      <c r="O774" s="89" t="s">
        <v>646</v>
      </c>
      <c r="P774" s="89" t="str">
        <f>HYPERLINK("http://dx.doi.org/10.1002/smr.566","http://dx.doi.org/10.1002/smr.566")</f>
        <v>http://dx.doi.org/10.1002/smr.566</v>
      </c>
      <c r="S774" s="89" t="s">
        <v>646</v>
      </c>
      <c r="U774" s="89" t="s">
        <v>17462</v>
      </c>
      <c r="W774" s="89" t="s">
        <v>646</v>
      </c>
      <c r="X774" s="89" t="s">
        <v>646</v>
      </c>
      <c r="Y774" s="89" t="s">
        <v>646</v>
      </c>
      <c r="Z774" s="89" t="s">
        <v>646</v>
      </c>
      <c r="AA774" s="89" t="s">
        <v>646</v>
      </c>
      <c r="AB774" s="89" t="s">
        <v>646</v>
      </c>
      <c r="AC774" s="89" t="s">
        <v>646</v>
      </c>
      <c r="AD774" s="89" t="s">
        <v>646</v>
      </c>
      <c r="AE774" s="89" t="s">
        <v>646</v>
      </c>
      <c r="AF774" s="89" t="s">
        <v>23683</v>
      </c>
      <c r="AG774" s="89" t="s">
        <v>646</v>
      </c>
      <c r="AH774" s="89" t="s">
        <v>646</v>
      </c>
      <c r="AI774" s="89" t="s">
        <v>646</v>
      </c>
      <c r="AJ774" s="89" t="s">
        <v>646</v>
      </c>
      <c r="AK774" s="89" t="s">
        <v>23684</v>
      </c>
      <c r="AL774" s="89" t="s">
        <v>23685</v>
      </c>
      <c r="AM774" s="89" t="s">
        <v>646</v>
      </c>
      <c r="AN774" s="89" t="s">
        <v>646</v>
      </c>
      <c r="AO774" s="89" t="s">
        <v>646</v>
      </c>
      <c r="AP774" s="89" t="s">
        <v>646</v>
      </c>
      <c r="AQ774" s="89" t="s">
        <v>646</v>
      </c>
      <c r="AR774" s="89" t="s">
        <v>646</v>
      </c>
      <c r="AS774" s="89" t="s">
        <v>646</v>
      </c>
      <c r="AT774" s="89" t="s">
        <v>646</v>
      </c>
      <c r="AU774" s="89" t="s">
        <v>646</v>
      </c>
      <c r="AV774" s="89" t="s">
        <v>646</v>
      </c>
      <c r="AW774" s="89" t="s">
        <v>646</v>
      </c>
      <c r="AX774" s="89" t="s">
        <v>646</v>
      </c>
      <c r="AY774" s="89" t="s">
        <v>18840</v>
      </c>
      <c r="AZ774" s="89" t="s">
        <v>646</v>
      </c>
      <c r="BA774" s="89" t="s">
        <v>646</v>
      </c>
      <c r="BB774" s="89" t="s">
        <v>646</v>
      </c>
      <c r="BC774" s="89" t="s">
        <v>646</v>
      </c>
      <c r="BD774" s="89" t="s">
        <v>17687</v>
      </c>
      <c r="BE774" s="89">
        <v>2012</v>
      </c>
      <c r="BF774" s="89">
        <v>24</v>
      </c>
      <c r="BG774" s="89">
        <v>6</v>
      </c>
      <c r="BH774" s="89" t="s">
        <v>646</v>
      </c>
      <c r="BI774" s="89" t="s">
        <v>646</v>
      </c>
      <c r="BJ774" s="89" t="s">
        <v>17555</v>
      </c>
      <c r="BK774" s="89" t="s">
        <v>646</v>
      </c>
      <c r="BL774" s="89">
        <v>677</v>
      </c>
      <c r="BM774" s="89">
        <v>692</v>
      </c>
      <c r="BN774" s="89" t="s">
        <v>646</v>
      </c>
      <c r="BO774" s="89" t="str">
        <f>HYPERLINK("http://dx.doi.org/10.1002/smr.566","http://dx.doi.org/10.1002/smr.566")</f>
        <v>http://dx.doi.org/10.1002/smr.566</v>
      </c>
      <c r="BP774" s="89" t="s">
        <v>646</v>
      </c>
      <c r="BQ774" s="89" t="s">
        <v>646</v>
      </c>
      <c r="BR774" s="89" t="s">
        <v>646</v>
      </c>
      <c r="BS774" s="89" t="s">
        <v>646</v>
      </c>
      <c r="BT774" s="89" t="s">
        <v>646</v>
      </c>
      <c r="BU774" s="89" t="s">
        <v>646</v>
      </c>
      <c r="BV774" s="89" t="s">
        <v>646</v>
      </c>
      <c r="BW774" s="89" t="s">
        <v>646</v>
      </c>
      <c r="BX774" s="89" t="s">
        <v>646</v>
      </c>
      <c r="BY774" s="89" t="s">
        <v>646</v>
      </c>
      <c r="BZ774" s="89" t="s">
        <v>646</v>
      </c>
      <c r="CA774" s="89" t="s">
        <v>646</v>
      </c>
      <c r="CB774" s="89" t="s">
        <v>23686</v>
      </c>
      <c r="CC774" s="89" t="str">
        <f>HYPERLINK("https%3A%2F%2Fwww.webofscience.com%2Fwos%2Fwoscc%2Ffull-record%2FWOS:000308719900006","View Full Record in Web of Science")</f>
        <v>View Full Record in Web of Science</v>
      </c>
    </row>
    <row r="775" spans="1:81" ht="13.2" hidden="1" x14ac:dyDescent="0.25">
      <c r="A775" s="89" t="s">
        <v>14767</v>
      </c>
      <c r="B775" s="89" t="e">
        <f>+#REF!</f>
        <v>#REF!</v>
      </c>
      <c r="C775" s="89"/>
      <c r="D775" s="91" t="s">
        <v>717</v>
      </c>
      <c r="E775" s="90" t="e">
        <v>#REF!</v>
      </c>
      <c r="F775" s="89"/>
      <c r="G775" s="89"/>
      <c r="H775" s="89" t="s">
        <v>14768</v>
      </c>
      <c r="I775" s="89" t="s">
        <v>23687</v>
      </c>
      <c r="J775" s="89" t="s">
        <v>23690</v>
      </c>
      <c r="K775" s="89" t="s">
        <v>23689</v>
      </c>
      <c r="M775" s="89">
        <v>2020</v>
      </c>
      <c r="N775" s="89" t="s">
        <v>23688</v>
      </c>
      <c r="O775" s="89" t="s">
        <v>646</v>
      </c>
      <c r="P775" s="89" t="str">
        <f>HYPERLINK("http://dx.doi.org/10.1016/j.janxdis.2019.102157","http://dx.doi.org/10.1016/j.janxdis.2019.102157")</f>
        <v>http://dx.doi.org/10.1016/j.janxdis.2019.102157</v>
      </c>
      <c r="S775" s="89" t="s">
        <v>646</v>
      </c>
      <c r="U775" s="89" t="s">
        <v>17462</v>
      </c>
      <c r="W775" s="89" t="s">
        <v>646</v>
      </c>
      <c r="X775" s="89" t="s">
        <v>646</v>
      </c>
      <c r="Y775" s="89" t="s">
        <v>646</v>
      </c>
      <c r="Z775" s="89" t="s">
        <v>646</v>
      </c>
      <c r="AA775" s="89" t="s">
        <v>646</v>
      </c>
      <c r="AB775" s="89" t="s">
        <v>646</v>
      </c>
      <c r="AC775" s="89" t="s">
        <v>646</v>
      </c>
      <c r="AD775" s="89" t="s">
        <v>646</v>
      </c>
      <c r="AE775" s="89" t="s">
        <v>646</v>
      </c>
      <c r="AF775" s="89" t="s">
        <v>23689</v>
      </c>
      <c r="AG775" s="89" t="s">
        <v>646</v>
      </c>
      <c r="AH775" s="89" t="s">
        <v>646</v>
      </c>
      <c r="AI775" s="89" t="s">
        <v>646</v>
      </c>
      <c r="AJ775" s="89" t="s">
        <v>646</v>
      </c>
      <c r="AK775" s="89" t="s">
        <v>23690</v>
      </c>
      <c r="AL775" s="89" t="s">
        <v>23691</v>
      </c>
      <c r="AM775" s="89" t="s">
        <v>646</v>
      </c>
      <c r="AN775" s="89" t="s">
        <v>646</v>
      </c>
      <c r="AO775" s="89" t="s">
        <v>646</v>
      </c>
      <c r="AP775" s="89" t="s">
        <v>646</v>
      </c>
      <c r="AQ775" s="89" t="s">
        <v>646</v>
      </c>
      <c r="AR775" s="89" t="s">
        <v>646</v>
      </c>
      <c r="AS775" s="89" t="s">
        <v>646</v>
      </c>
      <c r="AT775" s="89" t="s">
        <v>646</v>
      </c>
      <c r="AU775" s="89" t="s">
        <v>646</v>
      </c>
      <c r="AV775" s="89" t="s">
        <v>646</v>
      </c>
      <c r="AW775" s="89" t="s">
        <v>646</v>
      </c>
      <c r="AX775" s="89" t="s">
        <v>646</v>
      </c>
      <c r="AY775" s="89" t="s">
        <v>23692</v>
      </c>
      <c r="AZ775" s="89" t="s">
        <v>23693</v>
      </c>
      <c r="BA775" s="89" t="s">
        <v>646</v>
      </c>
      <c r="BB775" s="89" t="s">
        <v>646</v>
      </c>
      <c r="BC775" s="89" t="s">
        <v>646</v>
      </c>
      <c r="BD775" s="89" t="s">
        <v>17513</v>
      </c>
      <c r="BE775" s="89">
        <v>2020</v>
      </c>
      <c r="BF775" s="89">
        <v>69</v>
      </c>
      <c r="BG775" s="89" t="s">
        <v>646</v>
      </c>
      <c r="BH775" s="89" t="s">
        <v>646</v>
      </c>
      <c r="BI775" s="89" t="s">
        <v>646</v>
      </c>
      <c r="BJ775" s="89" t="s">
        <v>646</v>
      </c>
      <c r="BK775" s="89" t="s">
        <v>646</v>
      </c>
      <c r="BL775" s="89" t="s">
        <v>646</v>
      </c>
      <c r="BM775" s="89" t="s">
        <v>646</v>
      </c>
      <c r="BN775" s="89">
        <v>102157</v>
      </c>
      <c r="BO775" s="89" t="str">
        <f>HYPERLINK("http://dx.doi.org/10.1016/j.janxdis.2019.102157","http://dx.doi.org/10.1016/j.janxdis.2019.102157")</f>
        <v>http://dx.doi.org/10.1016/j.janxdis.2019.102157</v>
      </c>
      <c r="BP775" s="89" t="s">
        <v>646</v>
      </c>
      <c r="BQ775" s="89" t="s">
        <v>646</v>
      </c>
      <c r="BR775" s="89" t="s">
        <v>646</v>
      </c>
      <c r="BS775" s="89" t="s">
        <v>646</v>
      </c>
      <c r="BT775" s="89" t="s">
        <v>646</v>
      </c>
      <c r="BU775" s="89" t="s">
        <v>646</v>
      </c>
      <c r="BV775" s="89" t="s">
        <v>646</v>
      </c>
      <c r="BW775" s="89">
        <v>31751918</v>
      </c>
      <c r="BX775" s="89" t="s">
        <v>646</v>
      </c>
      <c r="BY775" s="89" t="s">
        <v>646</v>
      </c>
      <c r="BZ775" s="89" t="s">
        <v>646</v>
      </c>
      <c r="CA775" s="89" t="s">
        <v>646</v>
      </c>
      <c r="CB775" s="89" t="s">
        <v>23694</v>
      </c>
      <c r="CC775" s="89" t="str">
        <f>HYPERLINK("https%3A%2F%2Fwww.webofscience.com%2Fwos%2Fwoscc%2Ffull-record%2FWOS:000509005800003","View Full Record in Web of Science")</f>
        <v>View Full Record in Web of Science</v>
      </c>
    </row>
    <row r="776" spans="1:81" ht="13.2" hidden="1" x14ac:dyDescent="0.25">
      <c r="A776" s="89" t="s">
        <v>23695</v>
      </c>
      <c r="B776" s="89" t="e">
        <f>+#REF!</f>
        <v>#REF!</v>
      </c>
      <c r="C776" s="89"/>
      <c r="D776" s="91" t="s">
        <v>717</v>
      </c>
      <c r="E776" s="90" t="e">
        <v>#REF!</v>
      </c>
      <c r="F776" s="89"/>
      <c r="G776" s="89"/>
      <c r="H776" s="89" t="s">
        <v>10181</v>
      </c>
      <c r="I776" s="89" t="s">
        <v>23696</v>
      </c>
      <c r="J776" s="89" t="s">
        <v>23699</v>
      </c>
      <c r="K776" s="89" t="s">
        <v>23698</v>
      </c>
      <c r="M776" s="89">
        <v>2021</v>
      </c>
      <c r="N776" s="89" t="s">
        <v>23697</v>
      </c>
      <c r="O776" s="89" t="s">
        <v>646</v>
      </c>
      <c r="P776" s="89" t="str">
        <f>HYPERLINK("http://dx.doi.org/10.1037/rep0000362","http://dx.doi.org/10.1037/rep0000362")</f>
        <v>http://dx.doi.org/10.1037/rep0000362</v>
      </c>
      <c r="S776" s="89" t="s">
        <v>646</v>
      </c>
      <c r="U776" s="89" t="s">
        <v>17462</v>
      </c>
      <c r="W776" s="89" t="s">
        <v>646</v>
      </c>
      <c r="X776" s="89" t="s">
        <v>646</v>
      </c>
      <c r="Y776" s="89" t="s">
        <v>646</v>
      </c>
      <c r="Z776" s="89" t="s">
        <v>646</v>
      </c>
      <c r="AA776" s="89" t="s">
        <v>646</v>
      </c>
      <c r="AB776" s="89" t="s">
        <v>646</v>
      </c>
      <c r="AC776" s="89" t="s">
        <v>646</v>
      </c>
      <c r="AD776" s="89" t="s">
        <v>646</v>
      </c>
      <c r="AE776" s="89" t="s">
        <v>646</v>
      </c>
      <c r="AF776" s="89" t="s">
        <v>23698</v>
      </c>
      <c r="AG776" s="89" t="s">
        <v>646</v>
      </c>
      <c r="AH776" s="89" t="s">
        <v>646</v>
      </c>
      <c r="AI776" s="89" t="s">
        <v>646</v>
      </c>
      <c r="AJ776" s="89" t="s">
        <v>646</v>
      </c>
      <c r="AK776" s="89" t="s">
        <v>23699</v>
      </c>
      <c r="AL776" s="89" t="s">
        <v>23700</v>
      </c>
      <c r="AM776" s="89" t="s">
        <v>646</v>
      </c>
      <c r="AN776" s="89" t="s">
        <v>646</v>
      </c>
      <c r="AO776" s="89" t="s">
        <v>646</v>
      </c>
      <c r="AP776" s="89" t="s">
        <v>646</v>
      </c>
      <c r="AQ776" s="89" t="s">
        <v>646</v>
      </c>
      <c r="AR776" s="89" t="s">
        <v>646</v>
      </c>
      <c r="AS776" s="89" t="s">
        <v>646</v>
      </c>
      <c r="AT776" s="89" t="s">
        <v>646</v>
      </c>
      <c r="AU776" s="89" t="s">
        <v>646</v>
      </c>
      <c r="AV776" s="89" t="s">
        <v>646</v>
      </c>
      <c r="AW776" s="89" t="s">
        <v>646</v>
      </c>
      <c r="AX776" s="89" t="s">
        <v>646</v>
      </c>
      <c r="AY776" s="89" t="s">
        <v>23701</v>
      </c>
      <c r="AZ776" s="89" t="s">
        <v>23702</v>
      </c>
      <c r="BA776" s="89" t="s">
        <v>646</v>
      </c>
      <c r="BB776" s="89" t="s">
        <v>646</v>
      </c>
      <c r="BC776" s="89" t="s">
        <v>646</v>
      </c>
      <c r="BD776" s="89" t="s">
        <v>17658</v>
      </c>
      <c r="BE776" s="89">
        <v>2021</v>
      </c>
      <c r="BF776" s="89">
        <v>66</v>
      </c>
      <c r="BG776" s="89">
        <v>1</v>
      </c>
      <c r="BH776" s="89" t="s">
        <v>646</v>
      </c>
      <c r="BI776" s="89" t="s">
        <v>646</v>
      </c>
      <c r="BJ776" s="89" t="s">
        <v>646</v>
      </c>
      <c r="BK776" s="89" t="s">
        <v>646</v>
      </c>
      <c r="BL776" s="89">
        <v>65</v>
      </c>
      <c r="BM776" s="89">
        <v>75</v>
      </c>
      <c r="BN776" s="89" t="s">
        <v>646</v>
      </c>
      <c r="BO776" s="89" t="str">
        <f>HYPERLINK("http://dx.doi.org/10.1037/rep0000362","http://dx.doi.org/10.1037/rep0000362")</f>
        <v>http://dx.doi.org/10.1037/rep0000362</v>
      </c>
      <c r="BP776" s="89" t="s">
        <v>646</v>
      </c>
      <c r="BQ776" s="89" t="s">
        <v>646</v>
      </c>
      <c r="BR776" s="89" t="s">
        <v>646</v>
      </c>
      <c r="BS776" s="89" t="s">
        <v>646</v>
      </c>
      <c r="BT776" s="89" t="s">
        <v>646</v>
      </c>
      <c r="BU776" s="89" t="s">
        <v>646</v>
      </c>
      <c r="BV776" s="89" t="s">
        <v>646</v>
      </c>
      <c r="BW776" s="89">
        <v>32790455</v>
      </c>
      <c r="BX776" s="89" t="s">
        <v>646</v>
      </c>
      <c r="BY776" s="89" t="s">
        <v>646</v>
      </c>
      <c r="BZ776" s="89" t="s">
        <v>646</v>
      </c>
      <c r="CA776" s="89" t="s">
        <v>646</v>
      </c>
      <c r="CB776" s="89" t="s">
        <v>23703</v>
      </c>
      <c r="CC776" s="89" t="str">
        <f>HYPERLINK("https%3A%2F%2Fwww.webofscience.com%2Fwos%2Fwoscc%2Ffull-record%2FWOS:000619666700008","View Full Record in Web of Science")</f>
        <v>View Full Record in Web of Science</v>
      </c>
    </row>
    <row r="777" spans="1:81" ht="13.2" hidden="1" x14ac:dyDescent="0.25">
      <c r="A777" s="89" t="s">
        <v>23704</v>
      </c>
      <c r="B777" s="89" t="e">
        <f>+#REF!</f>
        <v>#REF!</v>
      </c>
      <c r="C777" s="89"/>
      <c r="D777" s="91" t="s">
        <v>717</v>
      </c>
      <c r="E777" s="90" t="e">
        <v>#REF!</v>
      </c>
      <c r="F777" s="89"/>
      <c r="G777" s="89"/>
      <c r="H777" s="89" t="s">
        <v>14776</v>
      </c>
      <c r="I777" s="89" t="s">
        <v>23706</v>
      </c>
      <c r="J777" s="89" t="s">
        <v>646</v>
      </c>
      <c r="K777" s="89" t="s">
        <v>14778</v>
      </c>
      <c r="M777" s="89">
        <v>2009</v>
      </c>
      <c r="N777" s="89" t="s">
        <v>23707</v>
      </c>
      <c r="O777" s="89" t="s">
        <v>23705</v>
      </c>
      <c r="P777" s="89" t="str">
        <f>HYPERLINK("http://dx.doi.org/10.1145/1571941.1572115","http://dx.doi.org/10.1145/1571941.1572115")</f>
        <v>http://dx.doi.org/10.1145/1571941.1572115</v>
      </c>
      <c r="S777" s="89" t="s">
        <v>646</v>
      </c>
      <c r="U777" s="89" t="s">
        <v>17474</v>
      </c>
      <c r="W777" s="89" t="s">
        <v>646</v>
      </c>
      <c r="X777" s="89" t="s">
        <v>646</v>
      </c>
      <c r="Y777" s="89" t="s">
        <v>23708</v>
      </c>
      <c r="Z777" s="89" t="s">
        <v>23709</v>
      </c>
      <c r="AA777" s="89" t="s">
        <v>20695</v>
      </c>
      <c r="AB777" s="89" t="s">
        <v>23710</v>
      </c>
      <c r="AC777" s="89" t="s">
        <v>646</v>
      </c>
      <c r="AD777" s="89" t="s">
        <v>646</v>
      </c>
      <c r="AE777" s="89" t="s">
        <v>646</v>
      </c>
      <c r="AF777" s="89" t="s">
        <v>14778</v>
      </c>
      <c r="AG777" s="89" t="s">
        <v>646</v>
      </c>
      <c r="AH777" s="89" t="s">
        <v>646</v>
      </c>
      <c r="AI777" s="89" t="s">
        <v>646</v>
      </c>
      <c r="AJ777" s="89" t="s">
        <v>646</v>
      </c>
      <c r="AK777" s="89" t="s">
        <v>646</v>
      </c>
      <c r="AL777" s="89" t="s">
        <v>23711</v>
      </c>
      <c r="AM777" s="89" t="s">
        <v>646</v>
      </c>
      <c r="AN777" s="89" t="s">
        <v>646</v>
      </c>
      <c r="AO777" s="89" t="s">
        <v>646</v>
      </c>
      <c r="AP777" s="89" t="s">
        <v>646</v>
      </c>
      <c r="AQ777" s="89" t="s">
        <v>646</v>
      </c>
      <c r="AR777" s="89" t="s">
        <v>646</v>
      </c>
      <c r="AS777" s="89" t="s">
        <v>646</v>
      </c>
      <c r="AT777" s="89" t="s">
        <v>646</v>
      </c>
      <c r="AU777" s="89" t="s">
        <v>646</v>
      </c>
      <c r="AV777" s="89" t="s">
        <v>646</v>
      </c>
      <c r="AW777" s="89" t="s">
        <v>646</v>
      </c>
      <c r="AX777" s="89" t="s">
        <v>646</v>
      </c>
      <c r="AY777" s="89" t="s">
        <v>646</v>
      </c>
      <c r="AZ777" s="89" t="s">
        <v>646</v>
      </c>
      <c r="BA777" s="89" t="s">
        <v>23712</v>
      </c>
      <c r="BB777" s="89" t="s">
        <v>646</v>
      </c>
      <c r="BC777" s="89" t="s">
        <v>646</v>
      </c>
      <c r="BD777" s="89" t="s">
        <v>646</v>
      </c>
      <c r="BE777" s="89">
        <v>2009</v>
      </c>
      <c r="BF777" s="89" t="s">
        <v>646</v>
      </c>
      <c r="BG777" s="89" t="s">
        <v>646</v>
      </c>
      <c r="BH777" s="89" t="s">
        <v>646</v>
      </c>
      <c r="BI777" s="89" t="s">
        <v>646</v>
      </c>
      <c r="BJ777" s="89" t="s">
        <v>646</v>
      </c>
      <c r="BK777" s="89" t="s">
        <v>646</v>
      </c>
      <c r="BL777" s="89">
        <v>760</v>
      </c>
      <c r="BM777" s="89">
        <v>761</v>
      </c>
      <c r="BN777" s="89" t="s">
        <v>646</v>
      </c>
      <c r="BO777" s="89" t="str">
        <f>HYPERLINK("http://dx.doi.org/10.1145/1571941.1572115","http://dx.doi.org/10.1145/1571941.1572115")</f>
        <v>http://dx.doi.org/10.1145/1571941.1572115</v>
      </c>
      <c r="BP777" s="89" t="s">
        <v>646</v>
      </c>
      <c r="BQ777" s="89" t="s">
        <v>646</v>
      </c>
      <c r="BR777" s="89" t="s">
        <v>646</v>
      </c>
      <c r="BS777" s="89" t="s">
        <v>646</v>
      </c>
      <c r="BT777" s="89" t="s">
        <v>646</v>
      </c>
      <c r="BU777" s="89" t="s">
        <v>646</v>
      </c>
      <c r="BV777" s="89" t="s">
        <v>646</v>
      </c>
      <c r="BW777" s="89" t="s">
        <v>646</v>
      </c>
      <c r="BX777" s="89" t="s">
        <v>646</v>
      </c>
      <c r="BY777" s="89" t="s">
        <v>646</v>
      </c>
      <c r="BZ777" s="89" t="s">
        <v>646</v>
      </c>
      <c r="CA777" s="89" t="s">
        <v>646</v>
      </c>
      <c r="CB777" s="89" t="s">
        <v>23713</v>
      </c>
      <c r="CC777" s="89" t="str">
        <f>HYPERLINK("https%3A%2F%2Fwww.webofscience.com%2Fwos%2Fwoscc%2Ffull-record%2FWOS:000270976500147","View Full Record in Web of Science")</f>
        <v>View Full Record in Web of Science</v>
      </c>
    </row>
    <row r="778" spans="1:81" ht="13.2" hidden="1" x14ac:dyDescent="0.25">
      <c r="A778" s="89" t="s">
        <v>14785</v>
      </c>
      <c r="B778" s="89" t="e">
        <f>+#REF!</f>
        <v>#REF!</v>
      </c>
      <c r="C778" s="89"/>
      <c r="D778" s="91" t="s">
        <v>717</v>
      </c>
      <c r="E778" s="90" t="e">
        <v>#REF!</v>
      </c>
      <c r="F778" s="89"/>
      <c r="G778" s="89"/>
      <c r="H778" s="89" t="s">
        <v>14786</v>
      </c>
      <c r="I778" s="89" t="s">
        <v>23714</v>
      </c>
      <c r="J778" s="89" t="s">
        <v>23717</v>
      </c>
      <c r="K778" s="89" t="s">
        <v>23716</v>
      </c>
      <c r="M778" s="89">
        <v>2019</v>
      </c>
      <c r="N778" s="89" t="s">
        <v>23715</v>
      </c>
      <c r="O778" s="89" t="s">
        <v>646</v>
      </c>
      <c r="P778" s="89" t="str">
        <f>HYPERLINK("http://dx.doi.org/10.1186/s12889-019-7745-6","http://dx.doi.org/10.1186/s12889-019-7745-6")</f>
        <v>http://dx.doi.org/10.1186/s12889-019-7745-6</v>
      </c>
      <c r="S778" s="89" t="s">
        <v>646</v>
      </c>
      <c r="U778" s="89" t="s">
        <v>17462</v>
      </c>
      <c r="W778" s="89" t="s">
        <v>646</v>
      </c>
      <c r="X778" s="89" t="s">
        <v>646</v>
      </c>
      <c r="Y778" s="89" t="s">
        <v>646</v>
      </c>
      <c r="Z778" s="89" t="s">
        <v>646</v>
      </c>
      <c r="AA778" s="89" t="s">
        <v>646</v>
      </c>
      <c r="AB778" s="89" t="s">
        <v>646</v>
      </c>
      <c r="AC778" s="89" t="s">
        <v>646</v>
      </c>
      <c r="AD778" s="89" t="s">
        <v>646</v>
      </c>
      <c r="AE778" s="89" t="s">
        <v>646</v>
      </c>
      <c r="AF778" s="89" t="s">
        <v>23716</v>
      </c>
      <c r="AG778" s="89" t="s">
        <v>646</v>
      </c>
      <c r="AH778" s="89" t="s">
        <v>646</v>
      </c>
      <c r="AI778" s="89" t="s">
        <v>646</v>
      </c>
      <c r="AJ778" s="89" t="s">
        <v>646</v>
      </c>
      <c r="AK778" s="89" t="s">
        <v>23717</v>
      </c>
      <c r="AL778" s="89" t="s">
        <v>23718</v>
      </c>
      <c r="AM778" s="89" t="s">
        <v>646</v>
      </c>
      <c r="AN778" s="89" t="s">
        <v>646</v>
      </c>
      <c r="AO778" s="89" t="s">
        <v>646</v>
      </c>
      <c r="AP778" s="89" t="s">
        <v>646</v>
      </c>
      <c r="AQ778" s="89" t="s">
        <v>646</v>
      </c>
      <c r="AR778" s="89" t="s">
        <v>646</v>
      </c>
      <c r="AS778" s="89" t="s">
        <v>646</v>
      </c>
      <c r="AT778" s="89" t="s">
        <v>646</v>
      </c>
      <c r="AU778" s="89" t="s">
        <v>646</v>
      </c>
      <c r="AV778" s="89" t="s">
        <v>646</v>
      </c>
      <c r="AW778" s="89" t="s">
        <v>646</v>
      </c>
      <c r="AX778" s="89" t="s">
        <v>646</v>
      </c>
      <c r="AY778" s="89" t="s">
        <v>646</v>
      </c>
      <c r="AZ778" s="89" t="s">
        <v>23719</v>
      </c>
      <c r="BA778" s="89" t="s">
        <v>646</v>
      </c>
      <c r="BB778" s="89" t="s">
        <v>646</v>
      </c>
      <c r="BC778" s="89" t="s">
        <v>646</v>
      </c>
      <c r="BD778" s="89" t="s">
        <v>23652</v>
      </c>
      <c r="BE778" s="89">
        <v>2019</v>
      </c>
      <c r="BF778" s="89">
        <v>19</v>
      </c>
      <c r="BG778" s="89">
        <v>1</v>
      </c>
      <c r="BH778" s="89" t="s">
        <v>646</v>
      </c>
      <c r="BI778" s="89" t="s">
        <v>646</v>
      </c>
      <c r="BJ778" s="89" t="s">
        <v>646</v>
      </c>
      <c r="BK778" s="89" t="s">
        <v>646</v>
      </c>
      <c r="BL778" s="89" t="s">
        <v>646</v>
      </c>
      <c r="BM778" s="89" t="s">
        <v>646</v>
      </c>
      <c r="BN778" s="89">
        <v>1386</v>
      </c>
      <c r="BO778" s="89" t="str">
        <f>HYPERLINK("http://dx.doi.org/10.1186/s12889-019-7745-6","http://dx.doi.org/10.1186/s12889-019-7745-6")</f>
        <v>http://dx.doi.org/10.1186/s12889-019-7745-6</v>
      </c>
      <c r="BP778" s="89" t="s">
        <v>646</v>
      </c>
      <c r="BQ778" s="89" t="s">
        <v>646</v>
      </c>
      <c r="BR778" s="89" t="s">
        <v>646</v>
      </c>
      <c r="BS778" s="89" t="s">
        <v>646</v>
      </c>
      <c r="BT778" s="89" t="s">
        <v>646</v>
      </c>
      <c r="BU778" s="89" t="s">
        <v>646</v>
      </c>
      <c r="BV778" s="89" t="s">
        <v>646</v>
      </c>
      <c r="BW778" s="89">
        <v>31660931</v>
      </c>
      <c r="BX778" s="89" t="s">
        <v>646</v>
      </c>
      <c r="BY778" s="89" t="s">
        <v>646</v>
      </c>
      <c r="BZ778" s="89" t="s">
        <v>646</v>
      </c>
      <c r="CA778" s="89" t="s">
        <v>646</v>
      </c>
      <c r="CB778" s="89" t="s">
        <v>23720</v>
      </c>
      <c r="CC778" s="89" t="str">
        <f>HYPERLINK("https%3A%2F%2Fwww.webofscience.com%2Fwos%2Fwoscc%2Ffull-record%2FWOS:000499673200005","View Full Record in Web of Science")</f>
        <v>View Full Record in Web of Science</v>
      </c>
    </row>
    <row r="779" spans="1:81" ht="13.2" hidden="1" x14ac:dyDescent="0.25">
      <c r="A779" s="89" t="s">
        <v>23721</v>
      </c>
      <c r="B779" s="89" t="e">
        <f>+#REF!</f>
        <v>#REF!</v>
      </c>
      <c r="C779" s="89"/>
      <c r="D779" s="91" t="s">
        <v>717</v>
      </c>
      <c r="E779" s="90" t="e">
        <v>#REF!</v>
      </c>
      <c r="F779" s="89"/>
      <c r="G779" s="89"/>
      <c r="H779" s="89" t="s">
        <v>14796</v>
      </c>
      <c r="I779" s="89" t="s">
        <v>23722</v>
      </c>
      <c r="J779" s="89" t="s">
        <v>23724</v>
      </c>
      <c r="K779" s="89" t="s">
        <v>23723</v>
      </c>
      <c r="M779" s="89">
        <v>2014</v>
      </c>
      <c r="N779" s="89" t="s">
        <v>23357</v>
      </c>
      <c r="O779" s="89" t="s">
        <v>646</v>
      </c>
      <c r="P779" s="89" t="str">
        <f>HYPERLINK("http://dx.doi.org/10.1109/JSTSP.2014.2316116","http://dx.doi.org/10.1109/JSTSP.2014.2316116")</f>
        <v>http://dx.doi.org/10.1109/JSTSP.2014.2316116</v>
      </c>
      <c r="S779" s="89" t="s">
        <v>646</v>
      </c>
      <c r="U779" s="89" t="s">
        <v>17462</v>
      </c>
      <c r="W779" s="89" t="s">
        <v>646</v>
      </c>
      <c r="X779" s="89" t="s">
        <v>646</v>
      </c>
      <c r="Y779" s="89" t="s">
        <v>646</v>
      </c>
      <c r="Z779" s="89" t="s">
        <v>646</v>
      </c>
      <c r="AA779" s="89" t="s">
        <v>646</v>
      </c>
      <c r="AB779" s="89" t="s">
        <v>646</v>
      </c>
      <c r="AC779" s="89" t="s">
        <v>646</v>
      </c>
      <c r="AD779" s="89" t="s">
        <v>646</v>
      </c>
      <c r="AE779" s="89" t="s">
        <v>646</v>
      </c>
      <c r="AF779" s="89" t="s">
        <v>23723</v>
      </c>
      <c r="AG779" s="89" t="s">
        <v>646</v>
      </c>
      <c r="AH779" s="89" t="s">
        <v>646</v>
      </c>
      <c r="AI779" s="89" t="s">
        <v>646</v>
      </c>
      <c r="AJ779" s="89" t="s">
        <v>646</v>
      </c>
      <c r="AK779" s="89" t="s">
        <v>23724</v>
      </c>
      <c r="AL779" s="89" t="s">
        <v>23725</v>
      </c>
      <c r="AM779" s="89" t="s">
        <v>646</v>
      </c>
      <c r="AN779" s="89" t="s">
        <v>646</v>
      </c>
      <c r="AO779" s="89" t="s">
        <v>646</v>
      </c>
      <c r="AP779" s="89" t="s">
        <v>646</v>
      </c>
      <c r="AQ779" s="89" t="s">
        <v>646</v>
      </c>
      <c r="AR779" s="89" t="s">
        <v>646</v>
      </c>
      <c r="AS779" s="89" t="s">
        <v>646</v>
      </c>
      <c r="AT779" s="89" t="s">
        <v>646</v>
      </c>
      <c r="AU779" s="89" t="s">
        <v>646</v>
      </c>
      <c r="AV779" s="89" t="s">
        <v>646</v>
      </c>
      <c r="AW779" s="89" t="s">
        <v>646</v>
      </c>
      <c r="AX779" s="89" t="s">
        <v>646</v>
      </c>
      <c r="AY779" s="89" t="s">
        <v>23361</v>
      </c>
      <c r="AZ779" s="89" t="s">
        <v>23362</v>
      </c>
      <c r="BA779" s="89" t="s">
        <v>646</v>
      </c>
      <c r="BB779" s="89" t="s">
        <v>646</v>
      </c>
      <c r="BC779" s="89" t="s">
        <v>646</v>
      </c>
      <c r="BD779" s="89" t="s">
        <v>18655</v>
      </c>
      <c r="BE779" s="89">
        <v>2014</v>
      </c>
      <c r="BF779" s="89">
        <v>8</v>
      </c>
      <c r="BG779" s="89">
        <v>4</v>
      </c>
      <c r="BH779" s="89" t="s">
        <v>646</v>
      </c>
      <c r="BI779" s="89" t="s">
        <v>646</v>
      </c>
      <c r="BJ779" s="89" t="s">
        <v>646</v>
      </c>
      <c r="BK779" s="89" t="s">
        <v>646</v>
      </c>
      <c r="BL779" s="89">
        <v>667</v>
      </c>
      <c r="BM779" s="89">
        <v>679</v>
      </c>
      <c r="BN779" s="89" t="s">
        <v>646</v>
      </c>
      <c r="BO779" s="89" t="str">
        <f>HYPERLINK("http://dx.doi.org/10.1109/JSTSP.2014.2316116","http://dx.doi.org/10.1109/JSTSP.2014.2316116")</f>
        <v>http://dx.doi.org/10.1109/JSTSP.2014.2316116</v>
      </c>
      <c r="BP779" s="89" t="s">
        <v>646</v>
      </c>
      <c r="BQ779" s="89" t="s">
        <v>646</v>
      </c>
      <c r="BR779" s="89" t="s">
        <v>646</v>
      </c>
      <c r="BS779" s="89" t="s">
        <v>646</v>
      </c>
      <c r="BT779" s="89" t="s">
        <v>646</v>
      </c>
      <c r="BU779" s="89" t="s">
        <v>646</v>
      </c>
      <c r="BV779" s="89" t="s">
        <v>646</v>
      </c>
      <c r="BW779" s="89" t="s">
        <v>646</v>
      </c>
      <c r="BX779" s="89" t="s">
        <v>646</v>
      </c>
      <c r="BY779" s="89" t="s">
        <v>646</v>
      </c>
      <c r="BZ779" s="89" t="s">
        <v>646</v>
      </c>
      <c r="CA779" s="89" t="s">
        <v>646</v>
      </c>
      <c r="CB779" s="89" t="s">
        <v>23726</v>
      </c>
      <c r="CC779" s="89" t="str">
        <f>HYPERLINK("https%3A%2F%2Fwww.webofscience.com%2Fwos%2Fwoscc%2Ffull-record%2FWOS:000340528900014","View Full Record in Web of Science")</f>
        <v>View Full Record in Web of Science</v>
      </c>
    </row>
    <row r="780" spans="1:81" ht="13.2" hidden="1" x14ac:dyDescent="0.25">
      <c r="A780" s="89" t="s">
        <v>23727</v>
      </c>
      <c r="B780" s="89" t="e">
        <f>+#REF!</f>
        <v>#REF!</v>
      </c>
      <c r="C780" s="89"/>
      <c r="D780" s="91" t="s">
        <v>717</v>
      </c>
      <c r="E780" s="90" t="e">
        <v>#REF!</v>
      </c>
      <c r="F780" s="89"/>
      <c r="G780" s="89"/>
      <c r="H780" s="89" t="s">
        <v>10191</v>
      </c>
      <c r="I780" s="89" t="s">
        <v>23728</v>
      </c>
      <c r="J780" s="89" t="s">
        <v>23731</v>
      </c>
      <c r="K780" s="89" t="s">
        <v>23730</v>
      </c>
      <c r="M780" s="89">
        <v>2021</v>
      </c>
      <c r="N780" s="89" t="s">
        <v>23729</v>
      </c>
      <c r="O780" s="89" t="s">
        <v>646</v>
      </c>
      <c r="P780" s="89" t="str">
        <f>HYPERLINK("http://dx.doi.org/10.17589/2309-8678-2021-9-1-81-113","http://dx.doi.org/10.17589/2309-8678-2021-9-1-81-113")</f>
        <v>http://dx.doi.org/10.17589/2309-8678-2021-9-1-81-113</v>
      </c>
      <c r="S780" s="89" t="s">
        <v>646</v>
      </c>
      <c r="U780" s="89" t="s">
        <v>17462</v>
      </c>
      <c r="W780" s="89" t="s">
        <v>646</v>
      </c>
      <c r="X780" s="89" t="s">
        <v>646</v>
      </c>
      <c r="Y780" s="89" t="s">
        <v>646</v>
      </c>
      <c r="Z780" s="89" t="s">
        <v>646</v>
      </c>
      <c r="AA780" s="89" t="s">
        <v>646</v>
      </c>
      <c r="AB780" s="89" t="s">
        <v>646</v>
      </c>
      <c r="AC780" s="89" t="s">
        <v>646</v>
      </c>
      <c r="AD780" s="89" t="s">
        <v>646</v>
      </c>
      <c r="AE780" s="89" t="s">
        <v>646</v>
      </c>
      <c r="AF780" s="89" t="s">
        <v>23730</v>
      </c>
      <c r="AG780" s="89" t="s">
        <v>646</v>
      </c>
      <c r="AH780" s="89" t="s">
        <v>646</v>
      </c>
      <c r="AI780" s="89" t="s">
        <v>646</v>
      </c>
      <c r="AJ780" s="89" t="s">
        <v>646</v>
      </c>
      <c r="AK780" s="89" t="s">
        <v>23731</v>
      </c>
      <c r="AL780" s="89" t="s">
        <v>23732</v>
      </c>
      <c r="AM780" s="89" t="s">
        <v>646</v>
      </c>
      <c r="AN780" s="89" t="s">
        <v>646</v>
      </c>
      <c r="AO780" s="89" t="s">
        <v>646</v>
      </c>
      <c r="AP780" s="89" t="s">
        <v>646</v>
      </c>
      <c r="AQ780" s="89" t="s">
        <v>646</v>
      </c>
      <c r="AR780" s="89" t="s">
        <v>646</v>
      </c>
      <c r="AS780" s="89" t="s">
        <v>646</v>
      </c>
      <c r="AT780" s="89" t="s">
        <v>646</v>
      </c>
      <c r="AU780" s="89" t="s">
        <v>646</v>
      </c>
      <c r="AV780" s="89" t="s">
        <v>646</v>
      </c>
      <c r="AW780" s="89" t="s">
        <v>646</v>
      </c>
      <c r="AX780" s="89" t="s">
        <v>646</v>
      </c>
      <c r="AY780" s="89" t="s">
        <v>23733</v>
      </c>
      <c r="AZ780" s="89" t="s">
        <v>23734</v>
      </c>
      <c r="BA780" s="89" t="s">
        <v>646</v>
      </c>
      <c r="BB780" s="89" t="s">
        <v>646</v>
      </c>
      <c r="BC780" s="89" t="s">
        <v>646</v>
      </c>
      <c r="BD780" s="89" t="s">
        <v>646</v>
      </c>
      <c r="BE780" s="89">
        <v>2021</v>
      </c>
      <c r="BF780" s="89">
        <v>9</v>
      </c>
      <c r="BG780" s="89">
        <v>1</v>
      </c>
      <c r="BH780" s="89" t="s">
        <v>646</v>
      </c>
      <c r="BI780" s="89" t="s">
        <v>646</v>
      </c>
      <c r="BJ780" s="89" t="s">
        <v>646</v>
      </c>
      <c r="BK780" s="89" t="s">
        <v>646</v>
      </c>
      <c r="BL780" s="89">
        <v>81</v>
      </c>
      <c r="BM780" s="89">
        <v>113</v>
      </c>
      <c r="BN780" s="89" t="s">
        <v>646</v>
      </c>
      <c r="BO780" s="89" t="str">
        <f>HYPERLINK("http://dx.doi.org/10.17589/2309-8678-2021-9-1-81-113","http://dx.doi.org/10.17589/2309-8678-2021-9-1-81-113")</f>
        <v>http://dx.doi.org/10.17589/2309-8678-2021-9-1-81-113</v>
      </c>
      <c r="BP780" s="89" t="s">
        <v>646</v>
      </c>
      <c r="BQ780" s="89" t="s">
        <v>646</v>
      </c>
      <c r="BR780" s="89" t="s">
        <v>646</v>
      </c>
      <c r="BS780" s="89" t="s">
        <v>646</v>
      </c>
      <c r="BT780" s="89" t="s">
        <v>646</v>
      </c>
      <c r="BU780" s="89" t="s">
        <v>646</v>
      </c>
      <c r="BV780" s="89" t="s">
        <v>646</v>
      </c>
      <c r="BW780" s="89" t="s">
        <v>646</v>
      </c>
      <c r="BX780" s="89" t="s">
        <v>646</v>
      </c>
      <c r="BY780" s="89" t="s">
        <v>646</v>
      </c>
      <c r="BZ780" s="89" t="s">
        <v>646</v>
      </c>
      <c r="CA780" s="89" t="s">
        <v>646</v>
      </c>
      <c r="CB780" s="89" t="s">
        <v>23735</v>
      </c>
      <c r="CC780" s="89" t="str">
        <f>HYPERLINK("https%3A%2F%2Fwww.webofscience.com%2Fwos%2Fwoscc%2Ffull-record%2FWOS:000625392800004","View Full Record in Web of Science")</f>
        <v>View Full Record in Web of Science</v>
      </c>
    </row>
    <row r="781" spans="1:81" ht="13.2" hidden="1" x14ac:dyDescent="0.25">
      <c r="A781" s="89" t="s">
        <v>14803</v>
      </c>
      <c r="B781" s="89" t="e">
        <f>+#REF!</f>
        <v>#REF!</v>
      </c>
      <c r="C781" s="89"/>
      <c r="D781" s="91" t="s">
        <v>717</v>
      </c>
      <c r="E781" s="90" t="e">
        <v>#REF!</v>
      </c>
      <c r="F781" s="89"/>
      <c r="G781" s="89"/>
      <c r="H781" s="89" t="s">
        <v>14804</v>
      </c>
      <c r="I781" s="89" t="s">
        <v>23736</v>
      </c>
      <c r="J781" s="89" t="s">
        <v>646</v>
      </c>
      <c r="K781" s="89" t="s">
        <v>23737</v>
      </c>
      <c r="M781" s="89">
        <v>2015</v>
      </c>
      <c r="N781" s="89" t="s">
        <v>20105</v>
      </c>
      <c r="O781" s="89" t="s">
        <v>646</v>
      </c>
      <c r="P781" s="89" t="str">
        <f>HYPERLINK("http://dx.doi.org/10.3389/fpsyg.2015.00546","http://dx.doi.org/10.3389/fpsyg.2015.00546")</f>
        <v>http://dx.doi.org/10.3389/fpsyg.2015.00546</v>
      </c>
      <c r="S781" s="89" t="s">
        <v>646</v>
      </c>
      <c r="U781" s="89" t="s">
        <v>17462</v>
      </c>
      <c r="W781" s="89" t="s">
        <v>646</v>
      </c>
      <c r="X781" s="89" t="s">
        <v>646</v>
      </c>
      <c r="Y781" s="89" t="s">
        <v>646</v>
      </c>
      <c r="Z781" s="89" t="s">
        <v>646</v>
      </c>
      <c r="AA781" s="89" t="s">
        <v>646</v>
      </c>
      <c r="AB781" s="89" t="s">
        <v>646</v>
      </c>
      <c r="AC781" s="89" t="s">
        <v>646</v>
      </c>
      <c r="AD781" s="89" t="s">
        <v>646</v>
      </c>
      <c r="AE781" s="89" t="s">
        <v>646</v>
      </c>
      <c r="AF781" s="89" t="s">
        <v>23737</v>
      </c>
      <c r="AG781" s="89" t="s">
        <v>646</v>
      </c>
      <c r="AH781" s="89" t="s">
        <v>646</v>
      </c>
      <c r="AI781" s="89" t="s">
        <v>646</v>
      </c>
      <c r="AJ781" s="89" t="s">
        <v>646</v>
      </c>
      <c r="AK781" s="89" t="s">
        <v>646</v>
      </c>
      <c r="AL781" s="89" t="s">
        <v>646</v>
      </c>
      <c r="AM781" s="89" t="s">
        <v>646</v>
      </c>
      <c r="AN781" s="89" t="s">
        <v>646</v>
      </c>
      <c r="AO781" s="89" t="s">
        <v>646</v>
      </c>
      <c r="AP781" s="89" t="s">
        <v>646</v>
      </c>
      <c r="AQ781" s="89" t="s">
        <v>646</v>
      </c>
      <c r="AR781" s="89" t="s">
        <v>646</v>
      </c>
      <c r="AS781" s="89" t="s">
        <v>646</v>
      </c>
      <c r="AT781" s="89" t="s">
        <v>646</v>
      </c>
      <c r="AU781" s="89" t="s">
        <v>646</v>
      </c>
      <c r="AV781" s="89" t="s">
        <v>646</v>
      </c>
      <c r="AW781" s="89" t="s">
        <v>646</v>
      </c>
      <c r="AX781" s="89" t="s">
        <v>646</v>
      </c>
      <c r="AY781" s="89" t="s">
        <v>20108</v>
      </c>
      <c r="AZ781" s="89" t="s">
        <v>646</v>
      </c>
      <c r="BA781" s="89" t="s">
        <v>646</v>
      </c>
      <c r="BB781" s="89" t="s">
        <v>646</v>
      </c>
      <c r="BC781" s="89" t="s">
        <v>646</v>
      </c>
      <c r="BD781" s="89" t="s">
        <v>23738</v>
      </c>
      <c r="BE781" s="89">
        <v>2015</v>
      </c>
      <c r="BF781" s="89">
        <v>6</v>
      </c>
      <c r="BG781" s="89" t="s">
        <v>646</v>
      </c>
      <c r="BH781" s="89" t="s">
        <v>646</v>
      </c>
      <c r="BI781" s="89" t="s">
        <v>646</v>
      </c>
      <c r="BJ781" s="89" t="s">
        <v>646</v>
      </c>
      <c r="BK781" s="89" t="s">
        <v>646</v>
      </c>
      <c r="BL781" s="89" t="s">
        <v>646</v>
      </c>
      <c r="BM781" s="89" t="s">
        <v>646</v>
      </c>
      <c r="BN781" s="89">
        <v>546</v>
      </c>
      <c r="BO781" s="89" t="str">
        <f>HYPERLINK("http://dx.doi.org/10.3389/fpsyg.2015.00546","http://dx.doi.org/10.3389/fpsyg.2015.00546")</f>
        <v>http://dx.doi.org/10.3389/fpsyg.2015.00546</v>
      </c>
      <c r="BP781" s="89" t="s">
        <v>646</v>
      </c>
      <c r="BQ781" s="89" t="s">
        <v>646</v>
      </c>
      <c r="BR781" s="89" t="s">
        <v>646</v>
      </c>
      <c r="BS781" s="89" t="s">
        <v>646</v>
      </c>
      <c r="BT781" s="89" t="s">
        <v>646</v>
      </c>
      <c r="BU781" s="89" t="s">
        <v>646</v>
      </c>
      <c r="BV781" s="89" t="s">
        <v>646</v>
      </c>
      <c r="BW781" s="89">
        <v>26029129</v>
      </c>
      <c r="BX781" s="89" t="s">
        <v>646</v>
      </c>
      <c r="BY781" s="89" t="s">
        <v>646</v>
      </c>
      <c r="BZ781" s="89" t="s">
        <v>646</v>
      </c>
      <c r="CA781" s="89" t="s">
        <v>646</v>
      </c>
      <c r="CB781" s="89" t="s">
        <v>23739</v>
      </c>
      <c r="CC781" s="89" t="str">
        <f>HYPERLINK("https%3A%2F%2Fwww.webofscience.com%2Fwos%2Fwoscc%2Ffull-record%2FWOS:000355434200001","View Full Record in Web of Science")</f>
        <v>View Full Record in Web of Science</v>
      </c>
    </row>
    <row r="782" spans="1:81" ht="13.2" hidden="1" x14ac:dyDescent="0.25">
      <c r="A782" s="89" t="s">
        <v>10199</v>
      </c>
      <c r="B782" s="89" t="e">
        <f>+#REF!</f>
        <v>#REF!</v>
      </c>
      <c r="C782" s="89"/>
      <c r="D782" s="91" t="s">
        <v>717</v>
      </c>
      <c r="E782" s="90" t="e">
        <v>#REF!</v>
      </c>
      <c r="F782" s="89"/>
      <c r="G782" s="89"/>
      <c r="H782" s="89" t="s">
        <v>10200</v>
      </c>
      <c r="I782" s="89" t="s">
        <v>23740</v>
      </c>
      <c r="J782" s="89" t="s">
        <v>23743</v>
      </c>
      <c r="K782" s="89" t="s">
        <v>23742</v>
      </c>
      <c r="M782" s="89">
        <v>2022</v>
      </c>
      <c r="N782" s="89" t="s">
        <v>23741</v>
      </c>
      <c r="O782" s="89" t="s">
        <v>646</v>
      </c>
      <c r="P782" s="89" t="str">
        <f>HYPERLINK("http://dx.doi.org/10.1177/10892680211055660","http://dx.doi.org/10.1177/10892680211055660")</f>
        <v>http://dx.doi.org/10.1177/10892680211055660</v>
      </c>
      <c r="S782" s="89" t="s">
        <v>646</v>
      </c>
      <c r="U782" s="89" t="s">
        <v>17462</v>
      </c>
      <c r="W782" s="89" t="s">
        <v>646</v>
      </c>
      <c r="X782" s="89" t="s">
        <v>646</v>
      </c>
      <c r="Y782" s="89" t="s">
        <v>646</v>
      </c>
      <c r="Z782" s="89" t="s">
        <v>646</v>
      </c>
      <c r="AA782" s="89" t="s">
        <v>646</v>
      </c>
      <c r="AB782" s="89" t="s">
        <v>646</v>
      </c>
      <c r="AC782" s="89" t="s">
        <v>646</v>
      </c>
      <c r="AD782" s="89" t="s">
        <v>646</v>
      </c>
      <c r="AE782" s="89" t="s">
        <v>646</v>
      </c>
      <c r="AF782" s="89" t="s">
        <v>23742</v>
      </c>
      <c r="AG782" s="89" t="s">
        <v>646</v>
      </c>
      <c r="AH782" s="89" t="s">
        <v>646</v>
      </c>
      <c r="AI782" s="89" t="s">
        <v>646</v>
      </c>
      <c r="AJ782" s="89" t="s">
        <v>646</v>
      </c>
      <c r="AK782" s="89" t="s">
        <v>23743</v>
      </c>
      <c r="AL782" s="89" t="s">
        <v>23744</v>
      </c>
      <c r="AM782" s="89" t="s">
        <v>646</v>
      </c>
      <c r="AN782" s="89" t="s">
        <v>646</v>
      </c>
      <c r="AO782" s="89" t="s">
        <v>646</v>
      </c>
      <c r="AP782" s="89" t="s">
        <v>646</v>
      </c>
      <c r="AQ782" s="89" t="s">
        <v>646</v>
      </c>
      <c r="AR782" s="89" t="s">
        <v>646</v>
      </c>
      <c r="AS782" s="89" t="s">
        <v>646</v>
      </c>
      <c r="AT782" s="89" t="s">
        <v>646</v>
      </c>
      <c r="AU782" s="89" t="s">
        <v>646</v>
      </c>
      <c r="AV782" s="89" t="s">
        <v>646</v>
      </c>
      <c r="AW782" s="89" t="s">
        <v>646</v>
      </c>
      <c r="AX782" s="89" t="s">
        <v>646</v>
      </c>
      <c r="AY782" s="89" t="s">
        <v>23745</v>
      </c>
      <c r="AZ782" s="89" t="s">
        <v>23746</v>
      </c>
      <c r="BA782" s="89" t="s">
        <v>646</v>
      </c>
      <c r="BB782" s="89" t="s">
        <v>646</v>
      </c>
      <c r="BC782" s="89" t="s">
        <v>646</v>
      </c>
      <c r="BD782" s="89" t="s">
        <v>17772</v>
      </c>
      <c r="BE782" s="89">
        <v>2022</v>
      </c>
      <c r="BF782" s="89">
        <v>26</v>
      </c>
      <c r="BG782" s="89">
        <v>2</v>
      </c>
      <c r="BH782" s="89" t="s">
        <v>646</v>
      </c>
      <c r="BI782" s="89" t="s">
        <v>646</v>
      </c>
      <c r="BJ782" s="89" t="s">
        <v>17555</v>
      </c>
      <c r="BK782" s="89" t="s">
        <v>646</v>
      </c>
      <c r="BL782" s="89">
        <v>199</v>
      </c>
      <c r="BM782" s="89">
        <v>211</v>
      </c>
      <c r="BN782" s="89">
        <v>1.089268021105566E+16</v>
      </c>
      <c r="BO782" s="89" t="str">
        <f>HYPERLINK("http://dx.doi.org/10.1177/10892680211055660","http://dx.doi.org/10.1177/10892680211055660")</f>
        <v>http://dx.doi.org/10.1177/10892680211055660</v>
      </c>
      <c r="BP782" s="89" t="s">
        <v>646</v>
      </c>
      <c r="BQ782" s="89" t="s">
        <v>20029</v>
      </c>
      <c r="BR782" s="89" t="s">
        <v>646</v>
      </c>
      <c r="BS782" s="89" t="s">
        <v>646</v>
      </c>
      <c r="BT782" s="89" t="s">
        <v>646</v>
      </c>
      <c r="BU782" s="89" t="s">
        <v>646</v>
      </c>
      <c r="BV782" s="89" t="s">
        <v>646</v>
      </c>
      <c r="BW782" s="89" t="s">
        <v>646</v>
      </c>
      <c r="BX782" s="89" t="s">
        <v>646</v>
      </c>
      <c r="BY782" s="89" t="s">
        <v>646</v>
      </c>
      <c r="BZ782" s="89" t="s">
        <v>646</v>
      </c>
      <c r="CA782" s="89" t="s">
        <v>646</v>
      </c>
      <c r="CB782" s="89" t="s">
        <v>23747</v>
      </c>
      <c r="CC782" s="89" t="str">
        <f>HYPERLINK("https%3A%2F%2Fwww.webofscience.com%2Fwos%2Fwoscc%2Ffull-record%2FWOS:000773571000001","View Full Record in Web of Science")</f>
        <v>View Full Record in Web of Science</v>
      </c>
    </row>
    <row r="783" spans="1:81" ht="13.2" hidden="1" x14ac:dyDescent="0.25">
      <c r="A783" s="89" t="s">
        <v>14812</v>
      </c>
      <c r="B783" s="89" t="e">
        <f>+#REF!</f>
        <v>#REF!</v>
      </c>
      <c r="C783" s="89"/>
      <c r="D783" s="91" t="s">
        <v>717</v>
      </c>
      <c r="E783" s="90" t="e">
        <v>#REF!</v>
      </c>
      <c r="F783" s="89"/>
      <c r="G783" s="89"/>
      <c r="H783" s="89" t="s">
        <v>646</v>
      </c>
      <c r="I783" s="89" t="s">
        <v>23748</v>
      </c>
      <c r="J783" s="89" t="s">
        <v>646</v>
      </c>
      <c r="K783" s="89" t="s">
        <v>23753</v>
      </c>
      <c r="M783" s="89">
        <v>2019</v>
      </c>
      <c r="N783" s="89" t="s">
        <v>23749</v>
      </c>
      <c r="O783" s="89" t="s">
        <v>646</v>
      </c>
      <c r="P783" s="89" t="s">
        <v>646</v>
      </c>
      <c r="S783" s="89" t="s">
        <v>17475</v>
      </c>
      <c r="U783" s="89" t="s">
        <v>17474</v>
      </c>
      <c r="W783" s="89" t="s">
        <v>646</v>
      </c>
      <c r="X783" s="89" t="s">
        <v>646</v>
      </c>
      <c r="Y783" s="89" t="s">
        <v>23750</v>
      </c>
      <c r="Z783" s="89" t="s">
        <v>23751</v>
      </c>
      <c r="AA783" s="89" t="s">
        <v>20627</v>
      </c>
      <c r="AB783" s="89" t="s">
        <v>23752</v>
      </c>
      <c r="AC783" s="89" t="s">
        <v>646</v>
      </c>
      <c r="AD783" s="89" t="s">
        <v>646</v>
      </c>
      <c r="AE783" s="89" t="s">
        <v>646</v>
      </c>
      <c r="AF783" s="89" t="s">
        <v>23753</v>
      </c>
      <c r="AG783" s="89" t="s">
        <v>646</v>
      </c>
      <c r="AH783" s="89" t="s">
        <v>646</v>
      </c>
      <c r="AI783" s="89" t="s">
        <v>646</v>
      </c>
      <c r="AJ783" s="89" t="s">
        <v>646</v>
      </c>
      <c r="AK783" s="89" t="s">
        <v>646</v>
      </c>
      <c r="AL783" s="89" t="s">
        <v>23754</v>
      </c>
      <c r="AM783" s="89" t="s">
        <v>646</v>
      </c>
      <c r="AN783" s="89" t="s">
        <v>646</v>
      </c>
      <c r="AO783" s="89" t="s">
        <v>646</v>
      </c>
      <c r="AP783" s="89" t="s">
        <v>646</v>
      </c>
      <c r="AQ783" s="89" t="s">
        <v>646</v>
      </c>
      <c r="AR783" s="89" t="s">
        <v>646</v>
      </c>
      <c r="AS783" s="89" t="s">
        <v>646</v>
      </c>
      <c r="AT783" s="89" t="s">
        <v>646</v>
      </c>
      <c r="AU783" s="89" t="s">
        <v>646</v>
      </c>
      <c r="AV783" s="89" t="s">
        <v>646</v>
      </c>
      <c r="AW783" s="89" t="s">
        <v>646</v>
      </c>
      <c r="AX783" s="89" t="s">
        <v>646</v>
      </c>
      <c r="AY783" s="89" t="s">
        <v>23755</v>
      </c>
      <c r="AZ783" s="89" t="s">
        <v>646</v>
      </c>
      <c r="BA783" s="89" t="s">
        <v>23756</v>
      </c>
      <c r="BB783" s="89" t="s">
        <v>646</v>
      </c>
      <c r="BC783" s="89" t="s">
        <v>646</v>
      </c>
      <c r="BD783" s="89" t="s">
        <v>646</v>
      </c>
      <c r="BE783" s="89">
        <v>2019</v>
      </c>
      <c r="BF783" s="89" t="s">
        <v>646</v>
      </c>
      <c r="BG783" s="89" t="s">
        <v>646</v>
      </c>
      <c r="BH783" s="89" t="s">
        <v>646</v>
      </c>
      <c r="BI783" s="89" t="s">
        <v>646</v>
      </c>
      <c r="BJ783" s="89" t="s">
        <v>646</v>
      </c>
      <c r="BK783" s="89" t="s">
        <v>646</v>
      </c>
      <c r="BL783" s="89">
        <v>127</v>
      </c>
      <c r="BM783" s="89">
        <v>136</v>
      </c>
      <c r="BN783" s="89" t="s">
        <v>646</v>
      </c>
      <c r="BO783" s="89" t="s">
        <v>646</v>
      </c>
      <c r="BP783" s="89" t="s">
        <v>646</v>
      </c>
      <c r="BQ783" s="89" t="s">
        <v>646</v>
      </c>
      <c r="BR783" s="89" t="s">
        <v>646</v>
      </c>
      <c r="BS783" s="89" t="s">
        <v>646</v>
      </c>
      <c r="BT783" s="89" t="s">
        <v>646</v>
      </c>
      <c r="BU783" s="89" t="s">
        <v>646</v>
      </c>
      <c r="BV783" s="89" t="s">
        <v>646</v>
      </c>
      <c r="BW783" s="89" t="s">
        <v>646</v>
      </c>
      <c r="BX783" s="89" t="s">
        <v>646</v>
      </c>
      <c r="BY783" s="89" t="s">
        <v>646</v>
      </c>
      <c r="BZ783" s="89" t="s">
        <v>646</v>
      </c>
      <c r="CA783" s="89" t="s">
        <v>646</v>
      </c>
      <c r="CB783" s="89" t="s">
        <v>23757</v>
      </c>
      <c r="CC783" s="89" t="str">
        <f>HYPERLINK("https%3A%2F%2Fwww.webofscience.com%2Fwos%2Fwoscc%2Ffull-record%2FWOS:000714943300011","View Full Record in Web of Science")</f>
        <v>View Full Record in Web of Science</v>
      </c>
    </row>
    <row r="784" spans="1:81" ht="13.2" hidden="1" x14ac:dyDescent="0.25">
      <c r="A784" s="89" t="s">
        <v>14821</v>
      </c>
      <c r="B784" s="89" t="e">
        <f>+#REF!</f>
        <v>#REF!</v>
      </c>
      <c r="C784" s="89"/>
      <c r="D784" s="91" t="s">
        <v>717</v>
      </c>
      <c r="E784" s="90" t="e">
        <v>#REF!</v>
      </c>
      <c r="F784" s="89"/>
      <c r="G784" s="89"/>
      <c r="H784" s="89" t="s">
        <v>14822</v>
      </c>
      <c r="I784" s="89" t="s">
        <v>23758</v>
      </c>
      <c r="J784" s="89" t="s">
        <v>23760</v>
      </c>
      <c r="K784" s="89" t="s">
        <v>23759</v>
      </c>
      <c r="M784" s="89">
        <v>2014</v>
      </c>
      <c r="N784" s="89" t="s">
        <v>20176</v>
      </c>
      <c r="O784" s="89" t="s">
        <v>646</v>
      </c>
      <c r="P784" s="89" t="str">
        <f>HYPERLINK("http://dx.doi.org/10.3758/s13428-013-0434-y","http://dx.doi.org/10.3758/s13428-013-0434-y")</f>
        <v>http://dx.doi.org/10.3758/s13428-013-0434-y</v>
      </c>
      <c r="S784" s="89" t="s">
        <v>646</v>
      </c>
      <c r="U784" s="89" t="s">
        <v>17462</v>
      </c>
      <c r="W784" s="89" t="s">
        <v>646</v>
      </c>
      <c r="X784" s="89" t="s">
        <v>646</v>
      </c>
      <c r="Y784" s="89" t="s">
        <v>646</v>
      </c>
      <c r="Z784" s="89" t="s">
        <v>646</v>
      </c>
      <c r="AA784" s="89" t="s">
        <v>646</v>
      </c>
      <c r="AB784" s="89" t="s">
        <v>646</v>
      </c>
      <c r="AC784" s="89" t="s">
        <v>646</v>
      </c>
      <c r="AD784" s="89" t="s">
        <v>646</v>
      </c>
      <c r="AE784" s="89" t="s">
        <v>646</v>
      </c>
      <c r="AF784" s="89" t="s">
        <v>23759</v>
      </c>
      <c r="AG784" s="89" t="s">
        <v>646</v>
      </c>
      <c r="AH784" s="89" t="s">
        <v>646</v>
      </c>
      <c r="AI784" s="89" t="s">
        <v>646</v>
      </c>
      <c r="AJ784" s="89" t="s">
        <v>646</v>
      </c>
      <c r="AK784" s="89" t="s">
        <v>23760</v>
      </c>
      <c r="AL784" s="89" t="s">
        <v>23761</v>
      </c>
      <c r="AM784" s="89" t="s">
        <v>646</v>
      </c>
      <c r="AN784" s="89" t="s">
        <v>646</v>
      </c>
      <c r="AO784" s="89" t="s">
        <v>646</v>
      </c>
      <c r="AP784" s="89" t="s">
        <v>646</v>
      </c>
      <c r="AQ784" s="89" t="s">
        <v>646</v>
      </c>
      <c r="AR784" s="89" t="s">
        <v>646</v>
      </c>
      <c r="AS784" s="89" t="s">
        <v>646</v>
      </c>
      <c r="AT784" s="89" t="s">
        <v>646</v>
      </c>
      <c r="AU784" s="89" t="s">
        <v>646</v>
      </c>
      <c r="AV784" s="89" t="s">
        <v>646</v>
      </c>
      <c r="AW784" s="89" t="s">
        <v>646</v>
      </c>
      <c r="AX784" s="89" t="s">
        <v>646</v>
      </c>
      <c r="AY784" s="89" t="s">
        <v>20178</v>
      </c>
      <c r="AZ784" s="89" t="s">
        <v>20179</v>
      </c>
      <c r="BA784" s="89" t="s">
        <v>646</v>
      </c>
      <c r="BB784" s="89" t="s">
        <v>646</v>
      </c>
      <c r="BC784" s="89" t="s">
        <v>646</v>
      </c>
      <c r="BD784" s="89" t="s">
        <v>17615</v>
      </c>
      <c r="BE784" s="89">
        <v>2014</v>
      </c>
      <c r="BF784" s="89">
        <v>46</v>
      </c>
      <c r="BG784" s="89">
        <v>4</v>
      </c>
      <c r="BH784" s="89" t="s">
        <v>646</v>
      </c>
      <c r="BI784" s="89" t="s">
        <v>646</v>
      </c>
      <c r="BJ784" s="89" t="s">
        <v>646</v>
      </c>
      <c r="BK784" s="89" t="s">
        <v>646</v>
      </c>
      <c r="BL784" s="89">
        <v>1023</v>
      </c>
      <c r="BM784" s="89">
        <v>1031</v>
      </c>
      <c r="BN784" s="89" t="s">
        <v>646</v>
      </c>
      <c r="BO784" s="89" t="str">
        <f>HYPERLINK("http://dx.doi.org/10.3758/s13428-013-0434-y","http://dx.doi.org/10.3758/s13428-013-0434-y")</f>
        <v>http://dx.doi.org/10.3758/s13428-013-0434-y</v>
      </c>
      <c r="BP784" s="89" t="s">
        <v>646</v>
      </c>
      <c r="BQ784" s="89" t="s">
        <v>646</v>
      </c>
      <c r="BR784" s="89" t="s">
        <v>646</v>
      </c>
      <c r="BS784" s="89" t="s">
        <v>646</v>
      </c>
      <c r="BT784" s="89" t="s">
        <v>646</v>
      </c>
      <c r="BU784" s="89" t="s">
        <v>646</v>
      </c>
      <c r="BV784" s="89" t="s">
        <v>646</v>
      </c>
      <c r="BW784" s="89">
        <v>24356996</v>
      </c>
      <c r="BX784" s="89" t="s">
        <v>646</v>
      </c>
      <c r="BY784" s="89" t="s">
        <v>646</v>
      </c>
      <c r="BZ784" s="89" t="s">
        <v>646</v>
      </c>
      <c r="CA784" s="89" t="s">
        <v>646</v>
      </c>
      <c r="CB784" s="89" t="s">
        <v>23762</v>
      </c>
      <c r="CC784" s="89" t="str">
        <f>HYPERLINK("https%3A%2F%2Fwww.webofscience.com%2Fwos%2Fwoscc%2Ffull-record%2FWOS:000347099100011","View Full Record in Web of Science")</f>
        <v>View Full Record in Web of Science</v>
      </c>
    </row>
    <row r="785" spans="1:81" ht="13.2" hidden="1" x14ac:dyDescent="0.25">
      <c r="A785" s="89" t="s">
        <v>23763</v>
      </c>
      <c r="B785" s="89" t="e">
        <f>+#REF!</f>
        <v>#REF!</v>
      </c>
      <c r="C785" s="89"/>
      <c r="D785" s="91" t="s">
        <v>717</v>
      </c>
      <c r="E785" s="90" t="e">
        <v>#REF!</v>
      </c>
      <c r="F785" s="89"/>
      <c r="G785" s="89"/>
      <c r="H785" s="89" t="s">
        <v>14831</v>
      </c>
      <c r="I785" s="89" t="s">
        <v>23765</v>
      </c>
      <c r="J785" s="89" t="s">
        <v>23773</v>
      </c>
      <c r="K785" s="89" t="s">
        <v>23772</v>
      </c>
      <c r="M785" s="89">
        <v>2012</v>
      </c>
      <c r="N785" s="89" t="s">
        <v>23766</v>
      </c>
      <c r="O785" s="89" t="s">
        <v>23764</v>
      </c>
      <c r="P785" s="89" t="str">
        <f>HYPERLINK("http://dx.doi.org/10.1109/COMPSAC.2012.41","http://dx.doi.org/10.1109/COMPSAC.2012.41")</f>
        <v>http://dx.doi.org/10.1109/COMPSAC.2012.41</v>
      </c>
      <c r="S785" s="89" t="s">
        <v>646</v>
      </c>
      <c r="U785" s="89" t="s">
        <v>17474</v>
      </c>
      <c r="W785" s="89" t="s">
        <v>646</v>
      </c>
      <c r="X785" s="89" t="s">
        <v>646</v>
      </c>
      <c r="Y785" s="89" t="s">
        <v>23767</v>
      </c>
      <c r="Z785" s="89" t="s">
        <v>23768</v>
      </c>
      <c r="AA785" s="89" t="s">
        <v>23769</v>
      </c>
      <c r="AB785" s="89" t="s">
        <v>23770</v>
      </c>
      <c r="AC785" s="89" t="s">
        <v>23771</v>
      </c>
      <c r="AD785" s="89" t="s">
        <v>646</v>
      </c>
      <c r="AE785" s="89" t="s">
        <v>646</v>
      </c>
      <c r="AF785" s="89" t="s">
        <v>23772</v>
      </c>
      <c r="AG785" s="89" t="s">
        <v>646</v>
      </c>
      <c r="AH785" s="89" t="s">
        <v>646</v>
      </c>
      <c r="AI785" s="89" t="s">
        <v>646</v>
      </c>
      <c r="AJ785" s="89" t="s">
        <v>646</v>
      </c>
      <c r="AK785" s="89" t="s">
        <v>23773</v>
      </c>
      <c r="AL785" s="89" t="s">
        <v>23774</v>
      </c>
      <c r="AM785" s="89" t="s">
        <v>646</v>
      </c>
      <c r="AN785" s="89" t="s">
        <v>646</v>
      </c>
      <c r="AO785" s="89" t="s">
        <v>646</v>
      </c>
      <c r="AP785" s="89" t="s">
        <v>646</v>
      </c>
      <c r="AQ785" s="89" t="s">
        <v>646</v>
      </c>
      <c r="AR785" s="89" t="s">
        <v>646</v>
      </c>
      <c r="AS785" s="89" t="s">
        <v>646</v>
      </c>
      <c r="AT785" s="89" t="s">
        <v>646</v>
      </c>
      <c r="AU785" s="89" t="s">
        <v>646</v>
      </c>
      <c r="AV785" s="89" t="s">
        <v>646</v>
      </c>
      <c r="AW785" s="89" t="s">
        <v>646</v>
      </c>
      <c r="AX785" s="89" t="s">
        <v>646</v>
      </c>
      <c r="AY785" s="89" t="s">
        <v>18082</v>
      </c>
      <c r="AZ785" s="89" t="s">
        <v>646</v>
      </c>
      <c r="BA785" s="89" t="s">
        <v>23775</v>
      </c>
      <c r="BB785" s="89" t="s">
        <v>646</v>
      </c>
      <c r="BC785" s="89" t="s">
        <v>646</v>
      </c>
      <c r="BD785" s="89" t="s">
        <v>646</v>
      </c>
      <c r="BE785" s="89">
        <v>2012</v>
      </c>
      <c r="BF785" s="89" t="s">
        <v>646</v>
      </c>
      <c r="BG785" s="89" t="s">
        <v>646</v>
      </c>
      <c r="BH785" s="89" t="s">
        <v>646</v>
      </c>
      <c r="BI785" s="89" t="s">
        <v>646</v>
      </c>
      <c r="BJ785" s="89" t="s">
        <v>646</v>
      </c>
      <c r="BK785" s="89" t="s">
        <v>646</v>
      </c>
      <c r="BL785" s="89">
        <v>297</v>
      </c>
      <c r="BM785" s="89">
        <v>306</v>
      </c>
      <c r="BN785" s="89" t="s">
        <v>646</v>
      </c>
      <c r="BO785" s="89" t="str">
        <f>HYPERLINK("http://dx.doi.org/10.1109/COMPSAC.2012.41","http://dx.doi.org/10.1109/COMPSAC.2012.41")</f>
        <v>http://dx.doi.org/10.1109/COMPSAC.2012.41</v>
      </c>
      <c r="BP785" s="89" t="s">
        <v>646</v>
      </c>
      <c r="BQ785" s="89" t="s">
        <v>646</v>
      </c>
      <c r="BR785" s="89" t="s">
        <v>646</v>
      </c>
      <c r="BS785" s="89" t="s">
        <v>646</v>
      </c>
      <c r="BT785" s="89" t="s">
        <v>646</v>
      </c>
      <c r="BU785" s="89" t="s">
        <v>646</v>
      </c>
      <c r="BV785" s="89" t="s">
        <v>646</v>
      </c>
      <c r="BW785" s="89" t="s">
        <v>646</v>
      </c>
      <c r="BX785" s="89" t="s">
        <v>646</v>
      </c>
      <c r="BY785" s="89" t="s">
        <v>646</v>
      </c>
      <c r="BZ785" s="89" t="s">
        <v>646</v>
      </c>
      <c r="CA785" s="89" t="s">
        <v>646</v>
      </c>
      <c r="CB785" s="89" t="s">
        <v>23776</v>
      </c>
      <c r="CC785" s="89" t="str">
        <f>HYPERLINK("https%3A%2F%2Fwww.webofscience.com%2Fwos%2Fwoscc%2Ffull-record%2FWOS:000312376000043","View Full Record in Web of Science")</f>
        <v>View Full Record in Web of Science</v>
      </c>
    </row>
    <row r="786" spans="1:81" ht="13.2" hidden="1" x14ac:dyDescent="0.25">
      <c r="A786" s="89" t="s">
        <v>14840</v>
      </c>
      <c r="B786" s="89" t="e">
        <f>+#REF!</f>
        <v>#REF!</v>
      </c>
      <c r="C786" s="89"/>
      <c r="D786" s="91" t="s">
        <v>717</v>
      </c>
      <c r="E786" s="90" t="e">
        <v>#REF!</v>
      </c>
      <c r="F786" s="89"/>
      <c r="G786" s="89"/>
      <c r="H786" s="89" t="s">
        <v>14841</v>
      </c>
      <c r="I786" s="89" t="s">
        <v>23777</v>
      </c>
      <c r="J786" s="89" t="s">
        <v>646</v>
      </c>
      <c r="K786" s="89" t="s">
        <v>14843</v>
      </c>
      <c r="M786" s="89">
        <v>2005</v>
      </c>
      <c r="N786" s="89" t="s">
        <v>23779</v>
      </c>
      <c r="O786" s="89" t="s">
        <v>23778</v>
      </c>
      <c r="P786" s="89" t="str">
        <f>HYPERLINK("http://dx.doi.org/10.1117/12.576510","http://dx.doi.org/10.1117/12.576510")</f>
        <v>http://dx.doi.org/10.1117/12.576510</v>
      </c>
      <c r="S786" s="89" t="s">
        <v>646</v>
      </c>
      <c r="U786" s="89" t="s">
        <v>17474</v>
      </c>
      <c r="W786" s="89" t="s">
        <v>646</v>
      </c>
      <c r="X786" s="89" t="s">
        <v>646</v>
      </c>
      <c r="Y786" s="89" t="s">
        <v>23780</v>
      </c>
      <c r="Z786" s="89" t="s">
        <v>23781</v>
      </c>
      <c r="AA786" s="89" t="s">
        <v>18278</v>
      </c>
      <c r="AB786" s="89" t="s">
        <v>23782</v>
      </c>
      <c r="AC786" s="89" t="s">
        <v>646</v>
      </c>
      <c r="AD786" s="89" t="s">
        <v>646</v>
      </c>
      <c r="AE786" s="89" t="s">
        <v>646</v>
      </c>
      <c r="AF786" s="89" t="s">
        <v>14843</v>
      </c>
      <c r="AG786" s="89" t="s">
        <v>646</v>
      </c>
      <c r="AH786" s="89" t="s">
        <v>646</v>
      </c>
      <c r="AI786" s="89" t="s">
        <v>646</v>
      </c>
      <c r="AJ786" s="89" t="s">
        <v>646</v>
      </c>
      <c r="AK786" s="89" t="s">
        <v>646</v>
      </c>
      <c r="AL786" s="89" t="s">
        <v>646</v>
      </c>
      <c r="AM786" s="89" t="s">
        <v>646</v>
      </c>
      <c r="AN786" s="89" t="s">
        <v>646</v>
      </c>
      <c r="AO786" s="89" t="s">
        <v>646</v>
      </c>
      <c r="AP786" s="89" t="s">
        <v>646</v>
      </c>
      <c r="AQ786" s="89" t="s">
        <v>646</v>
      </c>
      <c r="AR786" s="89" t="s">
        <v>646</v>
      </c>
      <c r="AS786" s="89" t="s">
        <v>646</v>
      </c>
      <c r="AT786" s="89" t="s">
        <v>646</v>
      </c>
      <c r="AU786" s="89" t="s">
        <v>646</v>
      </c>
      <c r="AV786" s="89" t="s">
        <v>646</v>
      </c>
      <c r="AW786" s="89" t="s">
        <v>646</v>
      </c>
      <c r="AX786" s="89" t="s">
        <v>646</v>
      </c>
      <c r="AY786" s="89" t="s">
        <v>19728</v>
      </c>
      <c r="AZ786" s="89" t="s">
        <v>646</v>
      </c>
      <c r="BA786" s="89" t="s">
        <v>23783</v>
      </c>
      <c r="BB786" s="89" t="s">
        <v>646</v>
      </c>
      <c r="BC786" s="89" t="s">
        <v>646</v>
      </c>
      <c r="BD786" s="89" t="s">
        <v>646</v>
      </c>
      <c r="BE786" s="89">
        <v>2005</v>
      </c>
      <c r="BF786" s="89">
        <v>5626</v>
      </c>
      <c r="BG786" s="89" t="s">
        <v>646</v>
      </c>
      <c r="BH786" s="89" t="s">
        <v>21025</v>
      </c>
      <c r="BI786" s="89" t="s">
        <v>646</v>
      </c>
      <c r="BJ786" s="89" t="s">
        <v>646</v>
      </c>
      <c r="BK786" s="89" t="s">
        <v>646</v>
      </c>
      <c r="BL786" s="89">
        <v>1367</v>
      </c>
      <c r="BM786" s="89">
        <v>1373</v>
      </c>
      <c r="BN786" s="89" t="s">
        <v>646</v>
      </c>
      <c r="BO786" s="89" t="str">
        <f>HYPERLINK("http://dx.doi.org/10.1117/12.576510","http://dx.doi.org/10.1117/12.576510")</f>
        <v>http://dx.doi.org/10.1117/12.576510</v>
      </c>
      <c r="BP786" s="89" t="s">
        <v>646</v>
      </c>
      <c r="BQ786" s="89" t="s">
        <v>646</v>
      </c>
      <c r="BR786" s="89" t="s">
        <v>646</v>
      </c>
      <c r="BS786" s="89" t="s">
        <v>646</v>
      </c>
      <c r="BT786" s="89" t="s">
        <v>646</v>
      </c>
      <c r="BU786" s="89" t="s">
        <v>646</v>
      </c>
      <c r="BV786" s="89" t="s">
        <v>646</v>
      </c>
      <c r="BW786" s="89" t="s">
        <v>646</v>
      </c>
      <c r="BX786" s="89" t="s">
        <v>646</v>
      </c>
      <c r="BY786" s="89" t="s">
        <v>646</v>
      </c>
      <c r="BZ786" s="89" t="s">
        <v>646</v>
      </c>
      <c r="CA786" s="89" t="s">
        <v>646</v>
      </c>
      <c r="CB786" s="89" t="s">
        <v>23784</v>
      </c>
      <c r="CC786" s="89" t="str">
        <f>HYPERLINK("https%3A%2F%2Fwww.webofscience.com%2Fwos%2Fwoscc%2Ffull-record%2FWOS:000228326000161","View Full Record in Web of Science")</f>
        <v>View Full Record in Web of Science</v>
      </c>
    </row>
    <row r="787" spans="1:81" ht="13.2" hidden="1" x14ac:dyDescent="0.25">
      <c r="A787" s="89" t="s">
        <v>10208</v>
      </c>
      <c r="B787" s="89" t="e">
        <f>+#REF!</f>
        <v>#REF!</v>
      </c>
      <c r="C787" s="89"/>
      <c r="D787" s="91" t="s">
        <v>717</v>
      </c>
      <c r="E787" s="90" t="e">
        <v>#REF!</v>
      </c>
      <c r="F787" s="89"/>
      <c r="G787" s="89"/>
      <c r="H787" s="89" t="s">
        <v>10209</v>
      </c>
      <c r="I787" s="89" t="s">
        <v>23785</v>
      </c>
      <c r="J787" s="89" t="s">
        <v>23787</v>
      </c>
      <c r="K787" s="89" t="s">
        <v>23786</v>
      </c>
      <c r="M787" s="89">
        <v>2022</v>
      </c>
      <c r="N787" s="89" t="s">
        <v>19218</v>
      </c>
      <c r="O787" s="89" t="s">
        <v>646</v>
      </c>
      <c r="P787" s="89" t="str">
        <f>HYPERLINK("http://dx.doi.org/10.3390/su14084564","http://dx.doi.org/10.3390/su14084564")</f>
        <v>http://dx.doi.org/10.3390/su14084564</v>
      </c>
      <c r="S787" s="89" t="s">
        <v>646</v>
      </c>
      <c r="U787" s="89" t="s">
        <v>17462</v>
      </c>
      <c r="W787" s="89" t="s">
        <v>646</v>
      </c>
      <c r="X787" s="89" t="s">
        <v>646</v>
      </c>
      <c r="Y787" s="89" t="s">
        <v>646</v>
      </c>
      <c r="Z787" s="89" t="s">
        <v>646</v>
      </c>
      <c r="AA787" s="89" t="s">
        <v>646</v>
      </c>
      <c r="AB787" s="89" t="s">
        <v>646</v>
      </c>
      <c r="AC787" s="89" t="s">
        <v>646</v>
      </c>
      <c r="AD787" s="89" t="s">
        <v>646</v>
      </c>
      <c r="AE787" s="89" t="s">
        <v>646</v>
      </c>
      <c r="AF787" s="89" t="s">
        <v>23786</v>
      </c>
      <c r="AG787" s="89" t="s">
        <v>646</v>
      </c>
      <c r="AH787" s="89" t="s">
        <v>646</v>
      </c>
      <c r="AI787" s="89" t="s">
        <v>646</v>
      </c>
      <c r="AJ787" s="89" t="s">
        <v>646</v>
      </c>
      <c r="AK787" s="89" t="s">
        <v>23787</v>
      </c>
      <c r="AL787" s="89" t="s">
        <v>23788</v>
      </c>
      <c r="AM787" s="89" t="s">
        <v>646</v>
      </c>
      <c r="AN787" s="89" t="s">
        <v>646</v>
      </c>
      <c r="AO787" s="89" t="s">
        <v>646</v>
      </c>
      <c r="AP787" s="89" t="s">
        <v>646</v>
      </c>
      <c r="AQ787" s="89" t="s">
        <v>646</v>
      </c>
      <c r="AR787" s="89" t="s">
        <v>646</v>
      </c>
      <c r="AS787" s="89" t="s">
        <v>646</v>
      </c>
      <c r="AT787" s="89" t="s">
        <v>646</v>
      </c>
      <c r="AU787" s="89" t="s">
        <v>646</v>
      </c>
      <c r="AV787" s="89" t="s">
        <v>646</v>
      </c>
      <c r="AW787" s="89" t="s">
        <v>646</v>
      </c>
      <c r="AX787" s="89" t="s">
        <v>646</v>
      </c>
      <c r="AY787" s="89" t="s">
        <v>646</v>
      </c>
      <c r="AZ787" s="89" t="s">
        <v>19222</v>
      </c>
      <c r="BA787" s="89" t="s">
        <v>646</v>
      </c>
      <c r="BB787" s="89" t="s">
        <v>646</v>
      </c>
      <c r="BC787" s="89" t="s">
        <v>646</v>
      </c>
      <c r="BD787" s="89" t="s">
        <v>17823</v>
      </c>
      <c r="BE787" s="89">
        <v>2022</v>
      </c>
      <c r="BF787" s="89">
        <v>14</v>
      </c>
      <c r="BG787" s="89">
        <v>8</v>
      </c>
      <c r="BH787" s="89" t="s">
        <v>646</v>
      </c>
      <c r="BI787" s="89" t="s">
        <v>646</v>
      </c>
      <c r="BJ787" s="89" t="s">
        <v>646</v>
      </c>
      <c r="BK787" s="89" t="s">
        <v>646</v>
      </c>
      <c r="BL787" s="89" t="s">
        <v>646</v>
      </c>
      <c r="BM787" s="89" t="s">
        <v>646</v>
      </c>
      <c r="BN787" s="89">
        <v>4564</v>
      </c>
      <c r="BO787" s="89" t="str">
        <f>HYPERLINK("http://dx.doi.org/10.3390/su14084564","http://dx.doi.org/10.3390/su14084564")</f>
        <v>http://dx.doi.org/10.3390/su14084564</v>
      </c>
      <c r="BP787" s="89" t="s">
        <v>646</v>
      </c>
      <c r="BQ787" s="89" t="s">
        <v>646</v>
      </c>
      <c r="BR787" s="89" t="s">
        <v>646</v>
      </c>
      <c r="BS787" s="89" t="s">
        <v>646</v>
      </c>
      <c r="BT787" s="89" t="s">
        <v>646</v>
      </c>
      <c r="BU787" s="89" t="s">
        <v>646</v>
      </c>
      <c r="BV787" s="89" t="s">
        <v>646</v>
      </c>
      <c r="BW787" s="89" t="s">
        <v>646</v>
      </c>
      <c r="BX787" s="89" t="s">
        <v>646</v>
      </c>
      <c r="BY787" s="89" t="s">
        <v>646</v>
      </c>
      <c r="BZ787" s="89" t="s">
        <v>646</v>
      </c>
      <c r="CA787" s="89" t="s">
        <v>646</v>
      </c>
      <c r="CB787" s="89" t="s">
        <v>23789</v>
      </c>
      <c r="CC787" s="89" t="str">
        <f>HYPERLINK("https%3A%2F%2Fwww.webofscience.com%2Fwos%2Fwoscc%2Ffull-record%2FWOS:000786291600001","View Full Record in Web of Science")</f>
        <v>View Full Record in Web of Science</v>
      </c>
    </row>
    <row r="788" spans="1:81" ht="13.2" hidden="1" x14ac:dyDescent="0.25">
      <c r="A788" s="89" t="s">
        <v>14849</v>
      </c>
      <c r="B788" s="89" t="e">
        <f>+#REF!</f>
        <v>#REF!</v>
      </c>
      <c r="C788" s="89"/>
      <c r="D788" s="91" t="s">
        <v>717</v>
      </c>
      <c r="E788" s="90" t="e">
        <v>#REF!</v>
      </c>
      <c r="F788" s="89"/>
      <c r="G788" s="89"/>
      <c r="H788" s="89" t="s">
        <v>14850</v>
      </c>
      <c r="I788" s="89" t="s">
        <v>23790</v>
      </c>
      <c r="J788" s="89" t="s">
        <v>23792</v>
      </c>
      <c r="K788" s="89" t="s">
        <v>23791</v>
      </c>
      <c r="M788" s="89">
        <v>2021</v>
      </c>
      <c r="N788" s="89" t="s">
        <v>22989</v>
      </c>
      <c r="O788" s="89" t="s">
        <v>646</v>
      </c>
      <c r="P788" s="89" t="str">
        <f>HYPERLINK("http://dx.doi.org/10.1080/10410236.2019.1669128","http://dx.doi.org/10.1080/10410236.2019.1669128")</f>
        <v>http://dx.doi.org/10.1080/10410236.2019.1669128</v>
      </c>
      <c r="S788" s="89" t="s">
        <v>646</v>
      </c>
      <c r="U788" s="89" t="s">
        <v>17462</v>
      </c>
      <c r="W788" s="89" t="s">
        <v>646</v>
      </c>
      <c r="X788" s="89" t="s">
        <v>646</v>
      </c>
      <c r="Y788" s="89" t="s">
        <v>646</v>
      </c>
      <c r="Z788" s="89" t="s">
        <v>646</v>
      </c>
      <c r="AA788" s="89" t="s">
        <v>646</v>
      </c>
      <c r="AB788" s="89" t="s">
        <v>646</v>
      </c>
      <c r="AC788" s="89" t="s">
        <v>646</v>
      </c>
      <c r="AD788" s="89" t="s">
        <v>646</v>
      </c>
      <c r="AE788" s="89" t="s">
        <v>646</v>
      </c>
      <c r="AF788" s="89" t="s">
        <v>23791</v>
      </c>
      <c r="AG788" s="89" t="s">
        <v>646</v>
      </c>
      <c r="AH788" s="89" t="s">
        <v>646</v>
      </c>
      <c r="AI788" s="89" t="s">
        <v>646</v>
      </c>
      <c r="AJ788" s="89" t="s">
        <v>646</v>
      </c>
      <c r="AK788" s="89" t="s">
        <v>23792</v>
      </c>
      <c r="AL788" s="89" t="s">
        <v>23793</v>
      </c>
      <c r="AM788" s="89" t="s">
        <v>646</v>
      </c>
      <c r="AN788" s="89" t="s">
        <v>646</v>
      </c>
      <c r="AO788" s="89" t="s">
        <v>646</v>
      </c>
      <c r="AP788" s="89" t="s">
        <v>646</v>
      </c>
      <c r="AQ788" s="89" t="s">
        <v>646</v>
      </c>
      <c r="AR788" s="89" t="s">
        <v>646</v>
      </c>
      <c r="AS788" s="89" t="s">
        <v>646</v>
      </c>
      <c r="AT788" s="89" t="s">
        <v>646</v>
      </c>
      <c r="AU788" s="89" t="s">
        <v>646</v>
      </c>
      <c r="AV788" s="89" t="s">
        <v>646</v>
      </c>
      <c r="AW788" s="89" t="s">
        <v>646</v>
      </c>
      <c r="AX788" s="89" t="s">
        <v>646</v>
      </c>
      <c r="AY788" s="89" t="s">
        <v>22992</v>
      </c>
      <c r="AZ788" s="89" t="s">
        <v>22993</v>
      </c>
      <c r="BA788" s="89" t="s">
        <v>646</v>
      </c>
      <c r="BB788" s="89" t="s">
        <v>646</v>
      </c>
      <c r="BC788" s="89" t="s">
        <v>646</v>
      </c>
      <c r="BD788" s="89" t="s">
        <v>21266</v>
      </c>
      <c r="BE788" s="89">
        <v>2021</v>
      </c>
      <c r="BF788" s="89">
        <v>36</v>
      </c>
      <c r="BG788" s="89">
        <v>2</v>
      </c>
      <c r="BH788" s="89" t="s">
        <v>646</v>
      </c>
      <c r="BI788" s="89" t="s">
        <v>646</v>
      </c>
      <c r="BJ788" s="89" t="s">
        <v>646</v>
      </c>
      <c r="BK788" s="89" t="s">
        <v>646</v>
      </c>
      <c r="BL788" s="89">
        <v>136</v>
      </c>
      <c r="BM788" s="89">
        <v>145</v>
      </c>
      <c r="BN788" s="89" t="s">
        <v>646</v>
      </c>
      <c r="BO788" s="89" t="str">
        <f>HYPERLINK("http://dx.doi.org/10.1080/10410236.2019.1669128","http://dx.doi.org/10.1080/10410236.2019.1669128")</f>
        <v>http://dx.doi.org/10.1080/10410236.2019.1669128</v>
      </c>
      <c r="BP788" s="89" t="s">
        <v>646</v>
      </c>
      <c r="BQ788" s="89" t="s">
        <v>19046</v>
      </c>
      <c r="BR788" s="89" t="s">
        <v>646</v>
      </c>
      <c r="BS788" s="89" t="s">
        <v>646</v>
      </c>
      <c r="BT788" s="89" t="s">
        <v>646</v>
      </c>
      <c r="BU788" s="89" t="s">
        <v>646</v>
      </c>
      <c r="BV788" s="89" t="s">
        <v>646</v>
      </c>
      <c r="BW788" s="89">
        <v>31556311</v>
      </c>
      <c r="BX788" s="89" t="s">
        <v>646</v>
      </c>
      <c r="BY788" s="89" t="s">
        <v>646</v>
      </c>
      <c r="BZ788" s="89" t="s">
        <v>646</v>
      </c>
      <c r="CA788" s="89" t="s">
        <v>646</v>
      </c>
      <c r="CB788" s="89" t="s">
        <v>23794</v>
      </c>
      <c r="CC788" s="89" t="str">
        <f>HYPERLINK("https%3A%2F%2Fwww.webofscience.com%2Fwos%2Fwoscc%2Ffull-record%2FWOS:000488106700001","View Full Record in Web of Science")</f>
        <v>View Full Record in Web of Science</v>
      </c>
    </row>
    <row r="789" spans="1:81" ht="13.2" hidden="1" x14ac:dyDescent="0.25">
      <c r="A789" s="89" t="s">
        <v>23795</v>
      </c>
      <c r="B789" s="89" t="e">
        <f>+#REF!</f>
        <v>#REF!</v>
      </c>
      <c r="C789" s="89"/>
      <c r="D789" s="91" t="s">
        <v>717</v>
      </c>
      <c r="E789" s="90" t="e">
        <v>#REF!</v>
      </c>
      <c r="F789" s="89"/>
      <c r="G789" s="89"/>
      <c r="H789" s="89" t="s">
        <v>14859</v>
      </c>
      <c r="I789" s="89" t="s">
        <v>22954</v>
      </c>
      <c r="J789" s="89" t="s">
        <v>646</v>
      </c>
      <c r="K789" s="89" t="s">
        <v>23796</v>
      </c>
      <c r="M789" s="89">
        <v>2019</v>
      </c>
      <c r="N789" s="89" t="s">
        <v>23313</v>
      </c>
      <c r="O789" s="89" t="s">
        <v>646</v>
      </c>
      <c r="P789" s="89" t="str">
        <f>HYPERLINK("http://dx.doi.org/10.1285/i20356609v12i3p640","http://dx.doi.org/10.1285/i20356609v12i3p640")</f>
        <v>http://dx.doi.org/10.1285/i20356609v12i3p640</v>
      </c>
      <c r="S789" s="89" t="s">
        <v>646</v>
      </c>
      <c r="U789" s="89" t="s">
        <v>17462</v>
      </c>
      <c r="W789" s="89" t="s">
        <v>646</v>
      </c>
      <c r="X789" s="89" t="s">
        <v>646</v>
      </c>
      <c r="Y789" s="89" t="s">
        <v>646</v>
      </c>
      <c r="Z789" s="89" t="s">
        <v>646</v>
      </c>
      <c r="AA789" s="89" t="s">
        <v>646</v>
      </c>
      <c r="AB789" s="89" t="s">
        <v>646</v>
      </c>
      <c r="AC789" s="89" t="s">
        <v>646</v>
      </c>
      <c r="AD789" s="89" t="s">
        <v>646</v>
      </c>
      <c r="AE789" s="89" t="s">
        <v>646</v>
      </c>
      <c r="AF789" s="89" t="s">
        <v>23796</v>
      </c>
      <c r="AG789" s="89" t="s">
        <v>646</v>
      </c>
      <c r="AH789" s="89" t="s">
        <v>646</v>
      </c>
      <c r="AI789" s="89" t="s">
        <v>646</v>
      </c>
      <c r="AJ789" s="89" t="s">
        <v>646</v>
      </c>
      <c r="AK789" s="89" t="s">
        <v>646</v>
      </c>
      <c r="AL789" s="89" t="s">
        <v>646</v>
      </c>
      <c r="AM789" s="89" t="s">
        <v>646</v>
      </c>
      <c r="AN789" s="89" t="s">
        <v>646</v>
      </c>
      <c r="AO789" s="89" t="s">
        <v>646</v>
      </c>
      <c r="AP789" s="89" t="s">
        <v>646</v>
      </c>
      <c r="AQ789" s="89" t="s">
        <v>646</v>
      </c>
      <c r="AR789" s="89" t="s">
        <v>646</v>
      </c>
      <c r="AS789" s="89" t="s">
        <v>646</v>
      </c>
      <c r="AT789" s="89" t="s">
        <v>646</v>
      </c>
      <c r="AU789" s="89" t="s">
        <v>646</v>
      </c>
      <c r="AV789" s="89" t="s">
        <v>646</v>
      </c>
      <c r="AW789" s="89" t="s">
        <v>646</v>
      </c>
      <c r="AX789" s="89" t="s">
        <v>646</v>
      </c>
      <c r="AY789" s="89" t="s">
        <v>23315</v>
      </c>
      <c r="AZ789" s="89" t="s">
        <v>23316</v>
      </c>
      <c r="BA789" s="89" t="s">
        <v>646</v>
      </c>
      <c r="BB789" s="89" t="s">
        <v>646</v>
      </c>
      <c r="BC789" s="89" t="s">
        <v>646</v>
      </c>
      <c r="BD789" s="89" t="s">
        <v>646</v>
      </c>
      <c r="BE789" s="89">
        <v>2019</v>
      </c>
      <c r="BF789" s="89">
        <v>12</v>
      </c>
      <c r="BG789" s="89">
        <v>3</v>
      </c>
      <c r="BH789" s="89" t="s">
        <v>646</v>
      </c>
      <c r="BI789" s="89" t="s">
        <v>646</v>
      </c>
      <c r="BJ789" s="89" t="s">
        <v>17555</v>
      </c>
      <c r="BK789" s="89" t="s">
        <v>646</v>
      </c>
      <c r="BL789" s="89">
        <v>640</v>
      </c>
      <c r="BM789" s="89">
        <v>664</v>
      </c>
      <c r="BN789" s="89" t="s">
        <v>646</v>
      </c>
      <c r="BO789" s="89" t="str">
        <f>HYPERLINK("http://dx.doi.org/10.1285/i20356609v12i3p640","http://dx.doi.org/10.1285/i20356609v12i3p640")</f>
        <v>http://dx.doi.org/10.1285/i20356609v12i3p640</v>
      </c>
      <c r="BP789" s="89" t="s">
        <v>646</v>
      </c>
      <c r="BQ789" s="89" t="s">
        <v>646</v>
      </c>
      <c r="BR789" s="89" t="s">
        <v>646</v>
      </c>
      <c r="BS789" s="89" t="s">
        <v>646</v>
      </c>
      <c r="BT789" s="89" t="s">
        <v>646</v>
      </c>
      <c r="BU789" s="89" t="s">
        <v>646</v>
      </c>
      <c r="BV789" s="89" t="s">
        <v>646</v>
      </c>
      <c r="BW789" s="89" t="s">
        <v>646</v>
      </c>
      <c r="BX789" s="89" t="s">
        <v>646</v>
      </c>
      <c r="BY789" s="89" t="s">
        <v>646</v>
      </c>
      <c r="BZ789" s="89" t="s">
        <v>646</v>
      </c>
      <c r="CA789" s="89" t="s">
        <v>646</v>
      </c>
      <c r="CB789" s="89" t="s">
        <v>23797</v>
      </c>
      <c r="CC789" s="89" t="str">
        <f>HYPERLINK("https%3A%2F%2Fwww.webofscience.com%2Fwos%2Fwoscc%2Ffull-record%2FWOS:000500487700003","View Full Record in Web of Science")</f>
        <v>View Full Record in Web of Science</v>
      </c>
    </row>
    <row r="790" spans="1:81" ht="13.2" hidden="1" x14ac:dyDescent="0.25">
      <c r="A790" s="89" t="s">
        <v>23798</v>
      </c>
      <c r="B790" s="89" t="e">
        <f>+#REF!</f>
        <v>#REF!</v>
      </c>
      <c r="C790" s="89"/>
      <c r="D790" s="91" t="s">
        <v>717</v>
      </c>
      <c r="E790" s="90" t="e">
        <v>#REF!</v>
      </c>
      <c r="F790" s="89"/>
      <c r="G790" s="89"/>
      <c r="H790" s="89" t="s">
        <v>1612</v>
      </c>
      <c r="I790" s="89" t="s">
        <v>23799</v>
      </c>
      <c r="J790" s="89" t="s">
        <v>646</v>
      </c>
      <c r="K790" s="89" t="s">
        <v>23801</v>
      </c>
      <c r="M790" s="89">
        <v>2017</v>
      </c>
      <c r="N790" s="89" t="s">
        <v>23800</v>
      </c>
      <c r="O790" s="89" t="s">
        <v>646</v>
      </c>
      <c r="P790" s="89" t="str">
        <f>HYPERLINK("http://dx.doi.org/10.1109/TPC.2017.2656626","http://dx.doi.org/10.1109/TPC.2017.2656626")</f>
        <v>http://dx.doi.org/10.1109/TPC.2017.2656626</v>
      </c>
      <c r="S790" s="89" t="s">
        <v>646</v>
      </c>
      <c r="U790" s="89" t="s">
        <v>17462</v>
      </c>
      <c r="W790" s="89" t="s">
        <v>646</v>
      </c>
      <c r="X790" s="89" t="s">
        <v>646</v>
      </c>
      <c r="Y790" s="89" t="s">
        <v>646</v>
      </c>
      <c r="Z790" s="89" t="s">
        <v>646</v>
      </c>
      <c r="AA790" s="89" t="s">
        <v>646</v>
      </c>
      <c r="AB790" s="89" t="s">
        <v>646</v>
      </c>
      <c r="AC790" s="89" t="s">
        <v>646</v>
      </c>
      <c r="AD790" s="89" t="s">
        <v>646</v>
      </c>
      <c r="AE790" s="89" t="s">
        <v>646</v>
      </c>
      <c r="AF790" s="89" t="s">
        <v>23801</v>
      </c>
      <c r="AG790" s="89" t="s">
        <v>646</v>
      </c>
      <c r="AH790" s="89" t="s">
        <v>646</v>
      </c>
      <c r="AI790" s="89" t="s">
        <v>646</v>
      </c>
      <c r="AJ790" s="89" t="s">
        <v>646</v>
      </c>
      <c r="AK790" s="89" t="s">
        <v>646</v>
      </c>
      <c r="AL790" s="89" t="s">
        <v>646</v>
      </c>
      <c r="AM790" s="89" t="s">
        <v>646</v>
      </c>
      <c r="AN790" s="89" t="s">
        <v>646</v>
      </c>
      <c r="AO790" s="89" t="s">
        <v>646</v>
      </c>
      <c r="AP790" s="89" t="s">
        <v>646</v>
      </c>
      <c r="AQ790" s="89" t="s">
        <v>646</v>
      </c>
      <c r="AR790" s="89" t="s">
        <v>646</v>
      </c>
      <c r="AS790" s="89" t="s">
        <v>646</v>
      </c>
      <c r="AT790" s="89" t="s">
        <v>646</v>
      </c>
      <c r="AU790" s="89" t="s">
        <v>646</v>
      </c>
      <c r="AV790" s="89" t="s">
        <v>646</v>
      </c>
      <c r="AW790" s="89" t="s">
        <v>646</v>
      </c>
      <c r="AX790" s="89" t="s">
        <v>646</v>
      </c>
      <c r="AY790" s="89" t="s">
        <v>23802</v>
      </c>
      <c r="AZ790" s="89" t="s">
        <v>23803</v>
      </c>
      <c r="BA790" s="89" t="s">
        <v>646</v>
      </c>
      <c r="BB790" s="89" t="s">
        <v>646</v>
      </c>
      <c r="BC790" s="89" t="s">
        <v>646</v>
      </c>
      <c r="BD790" s="89" t="s">
        <v>17772</v>
      </c>
      <c r="BE790" s="89">
        <v>2017</v>
      </c>
      <c r="BF790" s="89">
        <v>60</v>
      </c>
      <c r="BG790" s="89">
        <v>2</v>
      </c>
      <c r="BH790" s="89" t="s">
        <v>646</v>
      </c>
      <c r="BI790" s="89" t="s">
        <v>646</v>
      </c>
      <c r="BJ790" s="89" t="s">
        <v>646</v>
      </c>
      <c r="BK790" s="89" t="s">
        <v>646</v>
      </c>
      <c r="BL790" s="89">
        <v>165</v>
      </c>
      <c r="BM790" s="89">
        <v>182</v>
      </c>
      <c r="BN790" s="89" t="s">
        <v>646</v>
      </c>
      <c r="BO790" s="89" t="str">
        <f>HYPERLINK("http://dx.doi.org/10.1109/TPC.2017.2656626","http://dx.doi.org/10.1109/TPC.2017.2656626")</f>
        <v>http://dx.doi.org/10.1109/TPC.2017.2656626</v>
      </c>
      <c r="BP790" s="89" t="s">
        <v>646</v>
      </c>
      <c r="BQ790" s="89" t="s">
        <v>646</v>
      </c>
      <c r="BR790" s="89" t="s">
        <v>646</v>
      </c>
      <c r="BS790" s="89" t="s">
        <v>646</v>
      </c>
      <c r="BT790" s="89" t="s">
        <v>646</v>
      </c>
      <c r="BU790" s="89" t="s">
        <v>646</v>
      </c>
      <c r="BV790" s="89" t="s">
        <v>646</v>
      </c>
      <c r="BW790" s="89" t="s">
        <v>646</v>
      </c>
      <c r="BX790" s="89" t="s">
        <v>646</v>
      </c>
      <c r="BY790" s="89" t="s">
        <v>646</v>
      </c>
      <c r="BZ790" s="89" t="s">
        <v>646</v>
      </c>
      <c r="CA790" s="89" t="s">
        <v>646</v>
      </c>
      <c r="CB790" s="89" t="s">
        <v>23804</v>
      </c>
      <c r="CC790" s="89" t="str">
        <f>HYPERLINK("https%3A%2F%2Fwww.webofscience.com%2Fwos%2Fwoscc%2Ffull-record%2FWOS:000405022400003","View Full Record in Web of Science")</f>
        <v>View Full Record in Web of Science</v>
      </c>
    </row>
    <row r="791" spans="1:81" ht="13.2" hidden="1" x14ac:dyDescent="0.25">
      <c r="A791" s="89" t="s">
        <v>14865</v>
      </c>
      <c r="B791" s="89" t="e">
        <f>+#REF!</f>
        <v>#REF!</v>
      </c>
      <c r="C791" s="89"/>
      <c r="D791" s="91" t="s">
        <v>717</v>
      </c>
      <c r="E791" s="90" t="e">
        <v>#REF!</v>
      </c>
      <c r="F791" s="89"/>
      <c r="G791" s="89"/>
      <c r="H791" s="89" t="s">
        <v>14866</v>
      </c>
      <c r="I791" s="89" t="s">
        <v>23805</v>
      </c>
      <c r="J791" s="89" t="s">
        <v>23808</v>
      </c>
      <c r="K791" s="89" t="s">
        <v>23807</v>
      </c>
      <c r="M791" s="89">
        <v>2019</v>
      </c>
      <c r="N791" s="89" t="s">
        <v>23806</v>
      </c>
      <c r="O791" s="89" t="s">
        <v>646</v>
      </c>
      <c r="P791" s="89" t="str">
        <f>HYPERLINK("http://dx.doi.org/10.1057/s41270-019-00052-9","http://dx.doi.org/10.1057/s41270-019-00052-9")</f>
        <v>http://dx.doi.org/10.1057/s41270-019-00052-9</v>
      </c>
      <c r="S791" s="89" t="s">
        <v>646</v>
      </c>
      <c r="U791" s="89" t="s">
        <v>17462</v>
      </c>
      <c r="W791" s="89" t="s">
        <v>646</v>
      </c>
      <c r="X791" s="89" t="s">
        <v>646</v>
      </c>
      <c r="Y791" s="89" t="s">
        <v>646</v>
      </c>
      <c r="Z791" s="89" t="s">
        <v>646</v>
      </c>
      <c r="AA791" s="89" t="s">
        <v>646</v>
      </c>
      <c r="AB791" s="89" t="s">
        <v>646</v>
      </c>
      <c r="AC791" s="89" t="s">
        <v>646</v>
      </c>
      <c r="AD791" s="89" t="s">
        <v>646</v>
      </c>
      <c r="AE791" s="89" t="s">
        <v>646</v>
      </c>
      <c r="AF791" s="89" t="s">
        <v>23807</v>
      </c>
      <c r="AG791" s="89" t="s">
        <v>646</v>
      </c>
      <c r="AH791" s="89" t="s">
        <v>646</v>
      </c>
      <c r="AI791" s="89" t="s">
        <v>646</v>
      </c>
      <c r="AJ791" s="89" t="s">
        <v>646</v>
      </c>
      <c r="AK791" s="89" t="s">
        <v>23808</v>
      </c>
      <c r="AL791" s="89" t="s">
        <v>23809</v>
      </c>
      <c r="AM791" s="89" t="s">
        <v>646</v>
      </c>
      <c r="AN791" s="89" t="s">
        <v>646</v>
      </c>
      <c r="AO791" s="89" t="s">
        <v>646</v>
      </c>
      <c r="AP791" s="89" t="s">
        <v>646</v>
      </c>
      <c r="AQ791" s="89" t="s">
        <v>646</v>
      </c>
      <c r="AR791" s="89" t="s">
        <v>646</v>
      </c>
      <c r="AS791" s="89" t="s">
        <v>646</v>
      </c>
      <c r="AT791" s="89" t="s">
        <v>646</v>
      </c>
      <c r="AU791" s="89" t="s">
        <v>646</v>
      </c>
      <c r="AV791" s="89" t="s">
        <v>646</v>
      </c>
      <c r="AW791" s="89" t="s">
        <v>646</v>
      </c>
      <c r="AX791" s="89" t="s">
        <v>646</v>
      </c>
      <c r="AY791" s="89" t="s">
        <v>23810</v>
      </c>
      <c r="AZ791" s="89" t="s">
        <v>23811</v>
      </c>
      <c r="BA791" s="89" t="s">
        <v>646</v>
      </c>
      <c r="BB791" s="89" t="s">
        <v>646</v>
      </c>
      <c r="BC791" s="89" t="s">
        <v>646</v>
      </c>
      <c r="BD791" s="89" t="s">
        <v>17772</v>
      </c>
      <c r="BE791" s="89">
        <v>2019</v>
      </c>
      <c r="BF791" s="89">
        <v>7</v>
      </c>
      <c r="BG791" s="89">
        <v>2</v>
      </c>
      <c r="BH791" s="89" t="s">
        <v>646</v>
      </c>
      <c r="BI791" s="89" t="s">
        <v>646</v>
      </c>
      <c r="BJ791" s="89" t="s">
        <v>646</v>
      </c>
      <c r="BK791" s="89" t="s">
        <v>646</v>
      </c>
      <c r="BL791" s="89">
        <v>84</v>
      </c>
      <c r="BM791" s="89">
        <v>93</v>
      </c>
      <c r="BN791" s="89" t="s">
        <v>646</v>
      </c>
      <c r="BO791" s="89" t="str">
        <f>HYPERLINK("http://dx.doi.org/10.1057/s41270-019-00052-9","http://dx.doi.org/10.1057/s41270-019-00052-9")</f>
        <v>http://dx.doi.org/10.1057/s41270-019-00052-9</v>
      </c>
      <c r="BP791" s="89" t="s">
        <v>646</v>
      </c>
      <c r="BQ791" s="89" t="s">
        <v>646</v>
      </c>
      <c r="BR791" s="89" t="s">
        <v>646</v>
      </c>
      <c r="BS791" s="89" t="s">
        <v>646</v>
      </c>
      <c r="BT791" s="89" t="s">
        <v>646</v>
      </c>
      <c r="BU791" s="89" t="s">
        <v>646</v>
      </c>
      <c r="BV791" s="89" t="s">
        <v>646</v>
      </c>
      <c r="BW791" s="89" t="s">
        <v>646</v>
      </c>
      <c r="BX791" s="89" t="s">
        <v>646</v>
      </c>
      <c r="BY791" s="89" t="s">
        <v>646</v>
      </c>
      <c r="BZ791" s="89" t="s">
        <v>646</v>
      </c>
      <c r="CA791" s="89" t="s">
        <v>646</v>
      </c>
      <c r="CB791" s="89" t="s">
        <v>23812</v>
      </c>
      <c r="CC791" s="89" t="str">
        <f>HYPERLINK("https%3A%2F%2Fwww.webofscience.com%2Fwos%2Fwoscc%2Ffull-record%2FWOS:000538567600005","View Full Record in Web of Science")</f>
        <v>View Full Record in Web of Science</v>
      </c>
    </row>
    <row r="792" spans="1:81" ht="13.2" hidden="1" x14ac:dyDescent="0.25">
      <c r="A792" s="89" t="s">
        <v>23813</v>
      </c>
      <c r="B792" s="89" t="e">
        <f>+#REF!</f>
        <v>#REF!</v>
      </c>
      <c r="C792" s="89"/>
      <c r="D792" s="91" t="s">
        <v>717</v>
      </c>
      <c r="E792" s="90" t="e">
        <v>#REF!</v>
      </c>
      <c r="F792" s="89"/>
      <c r="G792" s="89"/>
      <c r="H792" s="89" t="s">
        <v>646</v>
      </c>
      <c r="I792" s="89" t="s">
        <v>23814</v>
      </c>
      <c r="J792" s="89" t="s">
        <v>23821</v>
      </c>
      <c r="K792" s="89" t="s">
        <v>23820</v>
      </c>
      <c r="M792" s="89">
        <v>2017</v>
      </c>
      <c r="N792" s="89" t="s">
        <v>23815</v>
      </c>
      <c r="O792" s="89" t="s">
        <v>646</v>
      </c>
      <c r="P792" s="89" t="s">
        <v>646</v>
      </c>
      <c r="S792" s="89" t="s">
        <v>17475</v>
      </c>
      <c r="U792" s="89" t="s">
        <v>17474</v>
      </c>
      <c r="W792" s="89" t="s">
        <v>646</v>
      </c>
      <c r="X792" s="89" t="s">
        <v>646</v>
      </c>
      <c r="Y792" s="89" t="s">
        <v>23816</v>
      </c>
      <c r="Z792" s="89" t="s">
        <v>23817</v>
      </c>
      <c r="AA792" s="89" t="s">
        <v>23818</v>
      </c>
      <c r="AB792" s="89" t="s">
        <v>23819</v>
      </c>
      <c r="AC792" s="89" t="s">
        <v>646</v>
      </c>
      <c r="AD792" s="89" t="s">
        <v>646</v>
      </c>
      <c r="AE792" s="89" t="s">
        <v>646</v>
      </c>
      <c r="AF792" s="89" t="s">
        <v>23820</v>
      </c>
      <c r="AG792" s="89" t="s">
        <v>646</v>
      </c>
      <c r="AH792" s="89" t="s">
        <v>646</v>
      </c>
      <c r="AI792" s="89" t="s">
        <v>646</v>
      </c>
      <c r="AJ792" s="89" t="s">
        <v>646</v>
      </c>
      <c r="AK792" s="89" t="s">
        <v>23821</v>
      </c>
      <c r="AL792" s="89" t="s">
        <v>23822</v>
      </c>
      <c r="AM792" s="89" t="s">
        <v>646</v>
      </c>
      <c r="AN792" s="89" t="s">
        <v>646</v>
      </c>
      <c r="AO792" s="89" t="s">
        <v>646</v>
      </c>
      <c r="AP792" s="89" t="s">
        <v>646</v>
      </c>
      <c r="AQ792" s="89" t="s">
        <v>646</v>
      </c>
      <c r="AR792" s="89" t="s">
        <v>646</v>
      </c>
      <c r="AS792" s="89" t="s">
        <v>646</v>
      </c>
      <c r="AT792" s="89" t="s">
        <v>646</v>
      </c>
      <c r="AU792" s="89" t="s">
        <v>646</v>
      </c>
      <c r="AV792" s="89" t="s">
        <v>646</v>
      </c>
      <c r="AW792" s="89" t="s">
        <v>646</v>
      </c>
      <c r="AX792" s="89" t="s">
        <v>646</v>
      </c>
      <c r="AY792" s="89" t="s">
        <v>646</v>
      </c>
      <c r="AZ792" s="89" t="s">
        <v>646</v>
      </c>
      <c r="BA792" s="89" t="s">
        <v>23823</v>
      </c>
      <c r="BB792" s="89" t="s">
        <v>646</v>
      </c>
      <c r="BC792" s="89" t="s">
        <v>646</v>
      </c>
      <c r="BD792" s="89" t="s">
        <v>646</v>
      </c>
      <c r="BE792" s="89">
        <v>2017</v>
      </c>
      <c r="BF792" s="89" t="s">
        <v>646</v>
      </c>
      <c r="BG792" s="89" t="s">
        <v>646</v>
      </c>
      <c r="BH792" s="89" t="s">
        <v>646</v>
      </c>
      <c r="BI792" s="89" t="s">
        <v>646</v>
      </c>
      <c r="BJ792" s="89" t="s">
        <v>646</v>
      </c>
      <c r="BK792" s="89" t="s">
        <v>646</v>
      </c>
      <c r="BL792" s="89">
        <v>7</v>
      </c>
      <c r="BM792" s="89">
        <v>12</v>
      </c>
      <c r="BN792" s="89" t="s">
        <v>646</v>
      </c>
      <c r="BO792" s="89" t="s">
        <v>646</v>
      </c>
      <c r="BP792" s="89" t="s">
        <v>646</v>
      </c>
      <c r="BQ792" s="89" t="s">
        <v>646</v>
      </c>
      <c r="BR792" s="89" t="s">
        <v>646</v>
      </c>
      <c r="BS792" s="89" t="s">
        <v>646</v>
      </c>
      <c r="BT792" s="89" t="s">
        <v>646</v>
      </c>
      <c r="BU792" s="89" t="s">
        <v>646</v>
      </c>
      <c r="BV792" s="89" t="s">
        <v>646</v>
      </c>
      <c r="BW792" s="89" t="s">
        <v>646</v>
      </c>
      <c r="BX792" s="89" t="s">
        <v>646</v>
      </c>
      <c r="BY792" s="89" t="s">
        <v>646</v>
      </c>
      <c r="BZ792" s="89" t="s">
        <v>646</v>
      </c>
      <c r="CA792" s="89" t="s">
        <v>646</v>
      </c>
      <c r="CB792" s="89" t="s">
        <v>23824</v>
      </c>
      <c r="CC792" s="89" t="str">
        <f>HYPERLINK("https%3A%2F%2Fwww.webofscience.com%2Fwos%2Fwoscc%2Ffull-record%2FWOS:000425853800002","View Full Record in Web of Science")</f>
        <v>View Full Record in Web of Science</v>
      </c>
    </row>
    <row r="793" spans="1:81" ht="13.2" hidden="1" x14ac:dyDescent="0.25">
      <c r="A793" s="89" t="s">
        <v>23825</v>
      </c>
      <c r="B793" s="89" t="e">
        <f>+#REF!</f>
        <v>#REF!</v>
      </c>
      <c r="C793" s="89"/>
      <c r="D793" s="91" t="s">
        <v>717</v>
      </c>
      <c r="E793" s="90" t="e">
        <v>#REF!</v>
      </c>
      <c r="F793" s="89"/>
      <c r="G793" s="89"/>
      <c r="H793" s="89" t="s">
        <v>10218</v>
      </c>
      <c r="I793" s="89" t="s">
        <v>23826</v>
      </c>
      <c r="J793" s="89" t="s">
        <v>23828</v>
      </c>
      <c r="K793" s="89" t="s">
        <v>23827</v>
      </c>
      <c r="M793" s="89">
        <v>2021</v>
      </c>
      <c r="N793" s="89" t="s">
        <v>19023</v>
      </c>
      <c r="O793" s="89" t="s">
        <v>646</v>
      </c>
      <c r="P793" s="89" t="str">
        <f>HYPERLINK("http://dx.doi.org/10.2196/26994","http://dx.doi.org/10.2196/26994")</f>
        <v>http://dx.doi.org/10.2196/26994</v>
      </c>
      <c r="S793" s="89" t="s">
        <v>646</v>
      </c>
      <c r="U793" s="89" t="s">
        <v>17462</v>
      </c>
      <c r="W793" s="89" t="s">
        <v>646</v>
      </c>
      <c r="X793" s="89" t="s">
        <v>646</v>
      </c>
      <c r="Y793" s="89" t="s">
        <v>646</v>
      </c>
      <c r="Z793" s="89" t="s">
        <v>646</v>
      </c>
      <c r="AA793" s="89" t="s">
        <v>646</v>
      </c>
      <c r="AB793" s="89" t="s">
        <v>646</v>
      </c>
      <c r="AC793" s="89" t="s">
        <v>646</v>
      </c>
      <c r="AD793" s="89" t="s">
        <v>646</v>
      </c>
      <c r="AE793" s="89" t="s">
        <v>646</v>
      </c>
      <c r="AF793" s="89" t="s">
        <v>23827</v>
      </c>
      <c r="AG793" s="89" t="s">
        <v>646</v>
      </c>
      <c r="AH793" s="89" t="s">
        <v>646</v>
      </c>
      <c r="AI793" s="89" t="s">
        <v>646</v>
      </c>
      <c r="AJ793" s="89" t="s">
        <v>646</v>
      </c>
      <c r="AK793" s="89" t="s">
        <v>23828</v>
      </c>
      <c r="AL793" s="89" t="s">
        <v>23829</v>
      </c>
      <c r="AM793" s="89" t="s">
        <v>646</v>
      </c>
      <c r="AN793" s="89" t="s">
        <v>646</v>
      </c>
      <c r="AO793" s="89" t="s">
        <v>646</v>
      </c>
      <c r="AP793" s="89" t="s">
        <v>646</v>
      </c>
      <c r="AQ793" s="89" t="s">
        <v>646</v>
      </c>
      <c r="AR793" s="89" t="s">
        <v>646</v>
      </c>
      <c r="AS793" s="89" t="s">
        <v>646</v>
      </c>
      <c r="AT793" s="89" t="s">
        <v>646</v>
      </c>
      <c r="AU793" s="89" t="s">
        <v>646</v>
      </c>
      <c r="AV793" s="89" t="s">
        <v>646</v>
      </c>
      <c r="AW793" s="89" t="s">
        <v>646</v>
      </c>
      <c r="AX793" s="89" t="s">
        <v>646</v>
      </c>
      <c r="AY793" s="89" t="s">
        <v>19026</v>
      </c>
      <c r="AZ793" s="89" t="s">
        <v>646</v>
      </c>
      <c r="BA793" s="89" t="s">
        <v>646</v>
      </c>
      <c r="BB793" s="89" t="s">
        <v>646</v>
      </c>
      <c r="BC793" s="89" t="s">
        <v>646</v>
      </c>
      <c r="BD793" s="89" t="s">
        <v>23830</v>
      </c>
      <c r="BE793" s="89">
        <v>2021</v>
      </c>
      <c r="BF793" s="89">
        <v>23</v>
      </c>
      <c r="BG793" s="89">
        <v>4</v>
      </c>
      <c r="BH793" s="89" t="s">
        <v>646</v>
      </c>
      <c r="BI793" s="89" t="s">
        <v>646</v>
      </c>
      <c r="BJ793" s="89" t="s">
        <v>646</v>
      </c>
      <c r="BK793" s="89" t="s">
        <v>646</v>
      </c>
      <c r="BL793" s="89" t="s">
        <v>646</v>
      </c>
      <c r="BM793" s="89" t="s">
        <v>646</v>
      </c>
      <c r="BN793" s="89" t="s">
        <v>23831</v>
      </c>
      <c r="BO793" s="89" t="str">
        <f>HYPERLINK("http://dx.doi.org/10.2196/26994","http://dx.doi.org/10.2196/26994")</f>
        <v>http://dx.doi.org/10.2196/26994</v>
      </c>
      <c r="BP793" s="89" t="s">
        <v>646</v>
      </c>
      <c r="BQ793" s="89" t="s">
        <v>646</v>
      </c>
      <c r="BR793" s="89" t="s">
        <v>646</v>
      </c>
      <c r="BS793" s="89" t="s">
        <v>646</v>
      </c>
      <c r="BT793" s="89" t="s">
        <v>646</v>
      </c>
      <c r="BU793" s="89" t="s">
        <v>646</v>
      </c>
      <c r="BV793" s="89" t="s">
        <v>646</v>
      </c>
      <c r="BW793" s="89">
        <v>33822737</v>
      </c>
      <c r="BX793" s="89" t="s">
        <v>646</v>
      </c>
      <c r="BY793" s="89" t="s">
        <v>646</v>
      </c>
      <c r="BZ793" s="89" t="s">
        <v>646</v>
      </c>
      <c r="CA793" s="89" t="s">
        <v>646</v>
      </c>
      <c r="CB793" s="89" t="s">
        <v>23832</v>
      </c>
      <c r="CC793" s="89" t="str">
        <f>HYPERLINK("https%3A%2F%2Fwww.webofscience.com%2Fwos%2Fwoscc%2Ffull-record%2FWOS:000642262600006","View Full Record in Web of Science")</f>
        <v>View Full Record in Web of Science</v>
      </c>
    </row>
    <row r="794" spans="1:81" ht="13.2" hidden="1" x14ac:dyDescent="0.25">
      <c r="A794" s="89" t="s">
        <v>23833</v>
      </c>
      <c r="B794" s="89" t="e">
        <f>+#REF!</f>
        <v>#REF!</v>
      </c>
      <c r="C794" s="89"/>
      <c r="D794" s="91" t="s">
        <v>717</v>
      </c>
      <c r="E794" s="90" t="e">
        <v>#REF!</v>
      </c>
      <c r="F794" s="89"/>
      <c r="G794" s="89"/>
      <c r="H794" s="89" t="s">
        <v>646</v>
      </c>
      <c r="I794" s="89" t="s">
        <v>23834</v>
      </c>
      <c r="J794" s="89" t="s">
        <v>23837</v>
      </c>
      <c r="K794" s="89" t="s">
        <v>23836</v>
      </c>
      <c r="M794" s="89">
        <v>2010</v>
      </c>
      <c r="N794" s="89" t="s">
        <v>23835</v>
      </c>
      <c r="O794" s="89" t="s">
        <v>646</v>
      </c>
      <c r="P794" s="89" t="s">
        <v>646</v>
      </c>
      <c r="S794" s="89" t="s">
        <v>646</v>
      </c>
      <c r="U794" s="89" t="s">
        <v>17462</v>
      </c>
      <c r="W794" s="89" t="s">
        <v>646</v>
      </c>
      <c r="X794" s="89" t="s">
        <v>646</v>
      </c>
      <c r="Y794" s="89" t="s">
        <v>646</v>
      </c>
      <c r="Z794" s="89" t="s">
        <v>646</v>
      </c>
      <c r="AA794" s="89" t="s">
        <v>646</v>
      </c>
      <c r="AB794" s="89" t="s">
        <v>646</v>
      </c>
      <c r="AC794" s="89" t="s">
        <v>646</v>
      </c>
      <c r="AD794" s="89" t="s">
        <v>646</v>
      </c>
      <c r="AE794" s="89" t="s">
        <v>646</v>
      </c>
      <c r="AF794" s="89" t="s">
        <v>23836</v>
      </c>
      <c r="AG794" s="89" t="s">
        <v>646</v>
      </c>
      <c r="AH794" s="89" t="s">
        <v>646</v>
      </c>
      <c r="AI794" s="89" t="s">
        <v>646</v>
      </c>
      <c r="AJ794" s="89" t="s">
        <v>646</v>
      </c>
      <c r="AK794" s="89" t="s">
        <v>23837</v>
      </c>
      <c r="AL794" s="89" t="s">
        <v>23838</v>
      </c>
      <c r="AM794" s="89" t="s">
        <v>646</v>
      </c>
      <c r="AN794" s="89" t="s">
        <v>646</v>
      </c>
      <c r="AO794" s="89" t="s">
        <v>646</v>
      </c>
      <c r="AP794" s="89" t="s">
        <v>646</v>
      </c>
      <c r="AQ794" s="89" t="s">
        <v>646</v>
      </c>
      <c r="AR794" s="89" t="s">
        <v>646</v>
      </c>
      <c r="AS794" s="89" t="s">
        <v>646</v>
      </c>
      <c r="AT794" s="89" t="s">
        <v>646</v>
      </c>
      <c r="AU794" s="89" t="s">
        <v>646</v>
      </c>
      <c r="AV794" s="89" t="s">
        <v>646</v>
      </c>
      <c r="AW794" s="89" t="s">
        <v>646</v>
      </c>
      <c r="AX794" s="89" t="s">
        <v>646</v>
      </c>
      <c r="AY794" s="89" t="s">
        <v>23839</v>
      </c>
      <c r="AZ794" s="89" t="s">
        <v>23840</v>
      </c>
      <c r="BA794" s="89" t="s">
        <v>646</v>
      </c>
      <c r="BB794" s="89" t="s">
        <v>646</v>
      </c>
      <c r="BC794" s="89" t="s">
        <v>646</v>
      </c>
      <c r="BD794" s="89" t="s">
        <v>646</v>
      </c>
      <c r="BE794" s="89">
        <v>2010</v>
      </c>
      <c r="BF794" s="89">
        <v>51</v>
      </c>
      <c r="BG794" s="89">
        <v>1</v>
      </c>
      <c r="BH794" s="89" t="s">
        <v>646</v>
      </c>
      <c r="BI794" s="89" t="s">
        <v>646</v>
      </c>
      <c r="BJ794" s="89" t="s">
        <v>646</v>
      </c>
      <c r="BK794" s="89" t="s">
        <v>646</v>
      </c>
      <c r="BL794" s="89">
        <v>89</v>
      </c>
      <c r="BM794" s="89">
        <v>98</v>
      </c>
      <c r="BN794" s="89" t="s">
        <v>646</v>
      </c>
      <c r="BO794" s="89" t="s">
        <v>646</v>
      </c>
      <c r="BP794" s="89" t="s">
        <v>646</v>
      </c>
      <c r="BQ794" s="89" t="s">
        <v>646</v>
      </c>
      <c r="BR794" s="89" t="s">
        <v>646</v>
      </c>
      <c r="BS794" s="89" t="s">
        <v>646</v>
      </c>
      <c r="BT794" s="89" t="s">
        <v>646</v>
      </c>
      <c r="BU794" s="89" t="s">
        <v>646</v>
      </c>
      <c r="BV794" s="89" t="s">
        <v>646</v>
      </c>
      <c r="BW794" s="89" t="s">
        <v>646</v>
      </c>
      <c r="BX794" s="89" t="s">
        <v>646</v>
      </c>
      <c r="BY794" s="89" t="s">
        <v>646</v>
      </c>
      <c r="BZ794" s="89" t="s">
        <v>646</v>
      </c>
      <c r="CA794" s="89" t="s">
        <v>646</v>
      </c>
      <c r="CB794" s="89" t="s">
        <v>23841</v>
      </c>
      <c r="CC794" s="89" t="str">
        <f>HYPERLINK("https%3A%2F%2Fwww.webofscience.com%2Fwos%2Fwoscc%2Ffull-record%2FWOS:000278342000009","View Full Record in Web of Science")</f>
        <v>View Full Record in Web of Science</v>
      </c>
    </row>
    <row r="795" spans="1:81" ht="13.2" hidden="1" x14ac:dyDescent="0.25">
      <c r="A795" s="89" t="s">
        <v>14894</v>
      </c>
      <c r="B795" s="89" t="e">
        <f>+#REF!</f>
        <v>#REF!</v>
      </c>
      <c r="C795" s="89"/>
      <c r="D795" s="91" t="s">
        <v>717</v>
      </c>
      <c r="E795" s="90" t="e">
        <v>#REF!</v>
      </c>
      <c r="F795" s="89"/>
      <c r="G795" s="89"/>
      <c r="H795" s="89" t="s">
        <v>14895</v>
      </c>
      <c r="I795" s="89" t="s">
        <v>23842</v>
      </c>
      <c r="J795" s="89" t="s">
        <v>23845</v>
      </c>
      <c r="K795" s="89" t="s">
        <v>23844</v>
      </c>
      <c r="M795" s="89">
        <v>2019</v>
      </c>
      <c r="N795" s="89" t="s">
        <v>23843</v>
      </c>
      <c r="O795" s="89" t="s">
        <v>646</v>
      </c>
      <c r="P795" s="89" t="str">
        <f>HYPERLINK("http://dx.doi.org/10.1080/14459795.2018.1545242","http://dx.doi.org/10.1080/14459795.2018.1545242")</f>
        <v>http://dx.doi.org/10.1080/14459795.2018.1545242</v>
      </c>
      <c r="S795" s="89" t="s">
        <v>646</v>
      </c>
      <c r="U795" s="89" t="s">
        <v>17462</v>
      </c>
      <c r="W795" s="89" t="s">
        <v>646</v>
      </c>
      <c r="X795" s="89" t="s">
        <v>646</v>
      </c>
      <c r="Y795" s="89" t="s">
        <v>646</v>
      </c>
      <c r="Z795" s="89" t="s">
        <v>646</v>
      </c>
      <c r="AA795" s="89" t="s">
        <v>646</v>
      </c>
      <c r="AB795" s="89" t="s">
        <v>646</v>
      </c>
      <c r="AC795" s="89" t="s">
        <v>646</v>
      </c>
      <c r="AD795" s="89" t="s">
        <v>646</v>
      </c>
      <c r="AE795" s="89" t="s">
        <v>646</v>
      </c>
      <c r="AF795" s="89" t="s">
        <v>23844</v>
      </c>
      <c r="AG795" s="89" t="s">
        <v>646</v>
      </c>
      <c r="AH795" s="89" t="s">
        <v>646</v>
      </c>
      <c r="AI795" s="89" t="s">
        <v>646</v>
      </c>
      <c r="AJ795" s="89" t="s">
        <v>646</v>
      </c>
      <c r="AK795" s="89" t="s">
        <v>23845</v>
      </c>
      <c r="AL795" s="89" t="s">
        <v>23846</v>
      </c>
      <c r="AM795" s="89" t="s">
        <v>646</v>
      </c>
      <c r="AN795" s="89" t="s">
        <v>646</v>
      </c>
      <c r="AO795" s="89" t="s">
        <v>646</v>
      </c>
      <c r="AP795" s="89" t="s">
        <v>646</v>
      </c>
      <c r="AQ795" s="89" t="s">
        <v>646</v>
      </c>
      <c r="AR795" s="89" t="s">
        <v>646</v>
      </c>
      <c r="AS795" s="89" t="s">
        <v>646</v>
      </c>
      <c r="AT795" s="89" t="s">
        <v>646</v>
      </c>
      <c r="AU795" s="89" t="s">
        <v>646</v>
      </c>
      <c r="AV795" s="89" t="s">
        <v>646</v>
      </c>
      <c r="AW795" s="89" t="s">
        <v>646</v>
      </c>
      <c r="AX795" s="89" t="s">
        <v>646</v>
      </c>
      <c r="AY795" s="89" t="s">
        <v>23847</v>
      </c>
      <c r="AZ795" s="89" t="s">
        <v>23848</v>
      </c>
      <c r="BA795" s="89" t="s">
        <v>646</v>
      </c>
      <c r="BB795" s="89" t="s">
        <v>646</v>
      </c>
      <c r="BC795" s="89" t="s">
        <v>646</v>
      </c>
      <c r="BD795" s="89" t="s">
        <v>17554</v>
      </c>
      <c r="BE795" s="89">
        <v>2019</v>
      </c>
      <c r="BF795" s="89">
        <v>19</v>
      </c>
      <c r="BG795" s="89">
        <v>2</v>
      </c>
      <c r="BH795" s="89" t="s">
        <v>646</v>
      </c>
      <c r="BI795" s="89" t="s">
        <v>646</v>
      </c>
      <c r="BJ795" s="89" t="s">
        <v>646</v>
      </c>
      <c r="BK795" s="89" t="s">
        <v>646</v>
      </c>
      <c r="BL795" s="89">
        <v>241</v>
      </c>
      <c r="BM795" s="89">
        <v>264</v>
      </c>
      <c r="BN795" s="89" t="s">
        <v>646</v>
      </c>
      <c r="BO795" s="89" t="str">
        <f>HYPERLINK("http://dx.doi.org/10.1080/14459795.2018.1545242","http://dx.doi.org/10.1080/14459795.2018.1545242")</f>
        <v>http://dx.doi.org/10.1080/14459795.2018.1545242</v>
      </c>
      <c r="BP795" s="89" t="s">
        <v>646</v>
      </c>
      <c r="BQ795" s="89" t="s">
        <v>646</v>
      </c>
      <c r="BR795" s="89" t="s">
        <v>646</v>
      </c>
      <c r="BS795" s="89" t="s">
        <v>646</v>
      </c>
      <c r="BT795" s="89" t="s">
        <v>646</v>
      </c>
      <c r="BU795" s="89" t="s">
        <v>646</v>
      </c>
      <c r="BV795" s="89" t="s">
        <v>646</v>
      </c>
      <c r="BW795" s="89" t="s">
        <v>646</v>
      </c>
      <c r="BX795" s="89" t="s">
        <v>646</v>
      </c>
      <c r="BY795" s="89" t="s">
        <v>646</v>
      </c>
      <c r="BZ795" s="89" t="s">
        <v>646</v>
      </c>
      <c r="CA795" s="89" t="s">
        <v>646</v>
      </c>
      <c r="CB795" s="89" t="s">
        <v>23849</v>
      </c>
      <c r="CC795" s="89" t="str">
        <f>HYPERLINK("https%3A%2F%2Fwww.webofscience.com%2Fwos%2Fwoscc%2Ffull-record%2FWOS:000470849500004","View Full Record in Web of Science")</f>
        <v>View Full Record in Web of Science</v>
      </c>
    </row>
    <row r="796" spans="1:81" ht="13.2" hidden="1" x14ac:dyDescent="0.25">
      <c r="A796" s="89" t="s">
        <v>23850</v>
      </c>
      <c r="B796" s="89" t="e">
        <f>+#REF!</f>
        <v>#REF!</v>
      </c>
      <c r="C796" s="89"/>
      <c r="D796" s="91" t="s">
        <v>717</v>
      </c>
      <c r="E796" s="90" t="e">
        <v>#REF!</v>
      </c>
      <c r="F796" s="89"/>
      <c r="G796" s="89"/>
      <c r="H796" s="89" t="s">
        <v>14905</v>
      </c>
      <c r="I796" s="89" t="s">
        <v>23852</v>
      </c>
      <c r="J796" s="89" t="s">
        <v>646</v>
      </c>
      <c r="K796" s="89" t="s">
        <v>23859</v>
      </c>
      <c r="M796" s="89">
        <v>2011</v>
      </c>
      <c r="N796" s="89" t="s">
        <v>23853</v>
      </c>
      <c r="O796" s="89" t="s">
        <v>23851</v>
      </c>
      <c r="P796" s="89" t="str">
        <f>HYPERLINK("http://dx.doi.org/10.1109/SEAA.2011.64","http://dx.doi.org/10.1109/SEAA.2011.64")</f>
        <v>http://dx.doi.org/10.1109/SEAA.2011.64</v>
      </c>
      <c r="S796" s="89" t="s">
        <v>646</v>
      </c>
      <c r="U796" s="89" t="s">
        <v>17474</v>
      </c>
      <c r="W796" s="89" t="s">
        <v>646</v>
      </c>
      <c r="X796" s="89" t="s">
        <v>646</v>
      </c>
      <c r="Y796" s="89" t="s">
        <v>23854</v>
      </c>
      <c r="Z796" s="89" t="s">
        <v>23855</v>
      </c>
      <c r="AA796" s="89" t="s">
        <v>23856</v>
      </c>
      <c r="AB796" s="89" t="s">
        <v>23857</v>
      </c>
      <c r="AC796" s="89" t="s">
        <v>23858</v>
      </c>
      <c r="AD796" s="89" t="s">
        <v>646</v>
      </c>
      <c r="AE796" s="89" t="s">
        <v>646</v>
      </c>
      <c r="AF796" s="89" t="s">
        <v>23859</v>
      </c>
      <c r="AG796" s="89" t="s">
        <v>646</v>
      </c>
      <c r="AH796" s="89" t="s">
        <v>646</v>
      </c>
      <c r="AI796" s="89" t="s">
        <v>646</v>
      </c>
      <c r="AJ796" s="89" t="s">
        <v>646</v>
      </c>
      <c r="AK796" s="89" t="s">
        <v>646</v>
      </c>
      <c r="AL796" s="89" t="s">
        <v>646</v>
      </c>
      <c r="AM796" s="89" t="s">
        <v>646</v>
      </c>
      <c r="AN796" s="89" t="s">
        <v>646</v>
      </c>
      <c r="AO796" s="89" t="s">
        <v>646</v>
      </c>
      <c r="AP796" s="89" t="s">
        <v>646</v>
      </c>
      <c r="AQ796" s="89" t="s">
        <v>646</v>
      </c>
      <c r="AR796" s="89" t="s">
        <v>646</v>
      </c>
      <c r="AS796" s="89" t="s">
        <v>646</v>
      </c>
      <c r="AT796" s="89" t="s">
        <v>646</v>
      </c>
      <c r="AU796" s="89" t="s">
        <v>646</v>
      </c>
      <c r="AV796" s="89" t="s">
        <v>646</v>
      </c>
      <c r="AW796" s="89" t="s">
        <v>646</v>
      </c>
      <c r="AX796" s="89" t="s">
        <v>646</v>
      </c>
      <c r="AY796" s="89" t="s">
        <v>23860</v>
      </c>
      <c r="AZ796" s="89" t="s">
        <v>646</v>
      </c>
      <c r="BA796" s="89" t="s">
        <v>23861</v>
      </c>
      <c r="BB796" s="89" t="s">
        <v>646</v>
      </c>
      <c r="BC796" s="89" t="s">
        <v>646</v>
      </c>
      <c r="BD796" s="89" t="s">
        <v>646</v>
      </c>
      <c r="BE796" s="89">
        <v>2011</v>
      </c>
      <c r="BF796" s="89" t="s">
        <v>646</v>
      </c>
      <c r="BG796" s="89" t="s">
        <v>646</v>
      </c>
      <c r="BH796" s="89" t="s">
        <v>646</v>
      </c>
      <c r="BI796" s="89" t="s">
        <v>646</v>
      </c>
      <c r="BJ796" s="89" t="s">
        <v>646</v>
      </c>
      <c r="BK796" s="89" t="s">
        <v>646</v>
      </c>
      <c r="BL796" s="89">
        <v>357</v>
      </c>
      <c r="BM796" s="89">
        <v>361</v>
      </c>
      <c r="BN796" s="89" t="s">
        <v>646</v>
      </c>
      <c r="BO796" s="89" t="str">
        <f>HYPERLINK("http://dx.doi.org/10.1109/SEAA.2011.64","http://dx.doi.org/10.1109/SEAA.2011.64")</f>
        <v>http://dx.doi.org/10.1109/SEAA.2011.64</v>
      </c>
      <c r="BP796" s="89" t="s">
        <v>646</v>
      </c>
      <c r="BQ796" s="89" t="s">
        <v>646</v>
      </c>
      <c r="BR796" s="89" t="s">
        <v>646</v>
      </c>
      <c r="BS796" s="89" t="s">
        <v>646</v>
      </c>
      <c r="BT796" s="89" t="s">
        <v>646</v>
      </c>
      <c r="BU796" s="89" t="s">
        <v>646</v>
      </c>
      <c r="BV796" s="89" t="s">
        <v>646</v>
      </c>
      <c r="BW796" s="89" t="s">
        <v>646</v>
      </c>
      <c r="BX796" s="89" t="s">
        <v>646</v>
      </c>
      <c r="BY796" s="89" t="s">
        <v>646</v>
      </c>
      <c r="BZ796" s="89" t="s">
        <v>646</v>
      </c>
      <c r="CA796" s="89" t="s">
        <v>646</v>
      </c>
      <c r="CB796" s="89" t="s">
        <v>23862</v>
      </c>
      <c r="CC796" s="89" t="str">
        <f>HYPERLINK("https%3A%2F%2Fwww.webofscience.com%2Fwos%2Fwoscc%2Ffull-record%2FWOS:000410220100048","View Full Record in Web of Science")</f>
        <v>View Full Record in Web of Science</v>
      </c>
    </row>
    <row r="797" spans="1:81" ht="13.2" hidden="1" x14ac:dyDescent="0.25">
      <c r="A797" s="89" t="s">
        <v>23863</v>
      </c>
      <c r="B797" s="89" t="e">
        <f>+#REF!</f>
        <v>#REF!</v>
      </c>
      <c r="C797" s="89"/>
      <c r="D797" s="91" t="s">
        <v>717</v>
      </c>
      <c r="E797" s="90" t="e">
        <v>#REF!</v>
      </c>
      <c r="F797" s="89"/>
      <c r="G797" s="89"/>
      <c r="H797" s="89" t="s">
        <v>10227</v>
      </c>
      <c r="I797" s="89" t="s">
        <v>23864</v>
      </c>
      <c r="J797" s="89" t="s">
        <v>23867</v>
      </c>
      <c r="K797" s="89" t="s">
        <v>23866</v>
      </c>
      <c r="M797" s="89">
        <v>2021</v>
      </c>
      <c r="N797" s="89" t="s">
        <v>23865</v>
      </c>
      <c r="O797" s="89" t="s">
        <v>646</v>
      </c>
      <c r="P797" s="89" t="str">
        <f>HYPERLINK("http://dx.doi.org/10.32604/cmc.2021.014830","http://dx.doi.org/10.32604/cmc.2021.014830")</f>
        <v>http://dx.doi.org/10.32604/cmc.2021.014830</v>
      </c>
      <c r="S797" s="89" t="s">
        <v>646</v>
      </c>
      <c r="U797" s="89" t="s">
        <v>17462</v>
      </c>
      <c r="W797" s="89" t="s">
        <v>646</v>
      </c>
      <c r="X797" s="89" t="s">
        <v>646</v>
      </c>
      <c r="Y797" s="89" t="s">
        <v>646</v>
      </c>
      <c r="Z797" s="89" t="s">
        <v>646</v>
      </c>
      <c r="AA797" s="89" t="s">
        <v>646</v>
      </c>
      <c r="AB797" s="89" t="s">
        <v>646</v>
      </c>
      <c r="AC797" s="89" t="s">
        <v>646</v>
      </c>
      <c r="AD797" s="89" t="s">
        <v>646</v>
      </c>
      <c r="AE797" s="89" t="s">
        <v>646</v>
      </c>
      <c r="AF797" s="89" t="s">
        <v>23866</v>
      </c>
      <c r="AG797" s="89" t="s">
        <v>646</v>
      </c>
      <c r="AH797" s="89" t="s">
        <v>646</v>
      </c>
      <c r="AI797" s="89" t="s">
        <v>646</v>
      </c>
      <c r="AJ797" s="89" t="s">
        <v>646</v>
      </c>
      <c r="AK797" s="89" t="s">
        <v>23867</v>
      </c>
      <c r="AL797" s="89" t="s">
        <v>23868</v>
      </c>
      <c r="AM797" s="89" t="s">
        <v>646</v>
      </c>
      <c r="AN797" s="89" t="s">
        <v>646</v>
      </c>
      <c r="AO797" s="89" t="s">
        <v>646</v>
      </c>
      <c r="AP797" s="89" t="s">
        <v>646</v>
      </c>
      <c r="AQ797" s="89" t="s">
        <v>646</v>
      </c>
      <c r="AR797" s="89" t="s">
        <v>646</v>
      </c>
      <c r="AS797" s="89" t="s">
        <v>646</v>
      </c>
      <c r="AT797" s="89" t="s">
        <v>646</v>
      </c>
      <c r="AU797" s="89" t="s">
        <v>646</v>
      </c>
      <c r="AV797" s="89" t="s">
        <v>646</v>
      </c>
      <c r="AW797" s="89" t="s">
        <v>646</v>
      </c>
      <c r="AX797" s="89" t="s">
        <v>646</v>
      </c>
      <c r="AY797" s="89" t="s">
        <v>23869</v>
      </c>
      <c r="AZ797" s="89" t="s">
        <v>23870</v>
      </c>
      <c r="BA797" s="89" t="s">
        <v>646</v>
      </c>
      <c r="BB797" s="89" t="s">
        <v>646</v>
      </c>
      <c r="BC797" s="89" t="s">
        <v>646</v>
      </c>
      <c r="BD797" s="89" t="s">
        <v>646</v>
      </c>
      <c r="BE797" s="89">
        <v>2021</v>
      </c>
      <c r="BF797" s="89">
        <v>67</v>
      </c>
      <c r="BG797" s="89">
        <v>2</v>
      </c>
      <c r="BH797" s="89" t="s">
        <v>646</v>
      </c>
      <c r="BI797" s="89" t="s">
        <v>646</v>
      </c>
      <c r="BJ797" s="89" t="s">
        <v>646</v>
      </c>
      <c r="BK797" s="89" t="s">
        <v>646</v>
      </c>
      <c r="BL797" s="89">
        <v>1979</v>
      </c>
      <c r="BM797" s="89">
        <v>1996</v>
      </c>
      <c r="BN797" s="89" t="s">
        <v>646</v>
      </c>
      <c r="BO797" s="89" t="str">
        <f>HYPERLINK("http://dx.doi.org/10.32604/cmc.2021.014830","http://dx.doi.org/10.32604/cmc.2021.014830")</f>
        <v>http://dx.doi.org/10.32604/cmc.2021.014830</v>
      </c>
      <c r="BP797" s="89" t="s">
        <v>646</v>
      </c>
      <c r="BQ797" s="89" t="s">
        <v>646</v>
      </c>
      <c r="BR797" s="89" t="s">
        <v>646</v>
      </c>
      <c r="BS797" s="89" t="s">
        <v>646</v>
      </c>
      <c r="BT797" s="89" t="s">
        <v>646</v>
      </c>
      <c r="BU797" s="89" t="s">
        <v>646</v>
      </c>
      <c r="BV797" s="89" t="s">
        <v>646</v>
      </c>
      <c r="BW797" s="89" t="s">
        <v>646</v>
      </c>
      <c r="BX797" s="89" t="s">
        <v>646</v>
      </c>
      <c r="BY797" s="89" t="s">
        <v>646</v>
      </c>
      <c r="BZ797" s="89" t="s">
        <v>646</v>
      </c>
      <c r="CA797" s="89" t="s">
        <v>646</v>
      </c>
      <c r="CB797" s="89" t="s">
        <v>23871</v>
      </c>
      <c r="CC797" s="89" t="str">
        <f>HYPERLINK("https%3A%2F%2Fwww.webofscience.com%2Fwos%2Fwoscc%2Ffull-record%2FWOS:000616713000004","View Full Record in Web of Science")</f>
        <v>View Full Record in Web of Science</v>
      </c>
    </row>
    <row r="798" spans="1:81" ht="13.2" hidden="1" x14ac:dyDescent="0.25">
      <c r="A798" s="89" t="s">
        <v>16586</v>
      </c>
      <c r="B798" s="89" t="e">
        <f>+#REF!</f>
        <v>#REF!</v>
      </c>
      <c r="C798" s="89"/>
      <c r="D798" s="91" t="s">
        <v>717</v>
      </c>
      <c r="E798" s="90" t="e">
        <v>#REF!</v>
      </c>
      <c r="F798" s="89"/>
      <c r="G798" s="89"/>
      <c r="H798" s="89" t="s">
        <v>16587</v>
      </c>
      <c r="I798" s="89" t="s">
        <v>23872</v>
      </c>
      <c r="J798" s="89" t="s">
        <v>646</v>
      </c>
      <c r="K798" s="89" t="s">
        <v>23873</v>
      </c>
      <c r="M798" s="89">
        <v>2021</v>
      </c>
      <c r="N798" s="89" t="s">
        <v>21824</v>
      </c>
      <c r="O798" s="89" t="s">
        <v>646</v>
      </c>
      <c r="P798" s="89" t="str">
        <f>HYPERLINK("http://dx.doi.org/10.1007/s11042-020-09896-1","http://dx.doi.org/10.1007/s11042-020-09896-1")</f>
        <v>http://dx.doi.org/10.1007/s11042-020-09896-1</v>
      </c>
      <c r="S798" s="89" t="s">
        <v>646</v>
      </c>
      <c r="U798" s="89" t="s">
        <v>17462</v>
      </c>
      <c r="W798" s="89" t="s">
        <v>646</v>
      </c>
      <c r="X798" s="89" t="s">
        <v>646</v>
      </c>
      <c r="Y798" s="89" t="s">
        <v>646</v>
      </c>
      <c r="Z798" s="89" t="s">
        <v>646</v>
      </c>
      <c r="AA798" s="89" t="s">
        <v>646</v>
      </c>
      <c r="AB798" s="89" t="s">
        <v>646</v>
      </c>
      <c r="AC798" s="89" t="s">
        <v>646</v>
      </c>
      <c r="AD798" s="89" t="s">
        <v>646</v>
      </c>
      <c r="AE798" s="89" t="s">
        <v>646</v>
      </c>
      <c r="AF798" s="89" t="s">
        <v>23873</v>
      </c>
      <c r="AG798" s="89" t="s">
        <v>646</v>
      </c>
      <c r="AH798" s="89" t="s">
        <v>646</v>
      </c>
      <c r="AI798" s="89" t="s">
        <v>646</v>
      </c>
      <c r="AJ798" s="89" t="s">
        <v>646</v>
      </c>
      <c r="AK798" s="89" t="s">
        <v>646</v>
      </c>
      <c r="AL798" s="89" t="s">
        <v>646</v>
      </c>
      <c r="AM798" s="89" t="s">
        <v>646</v>
      </c>
      <c r="AN798" s="89" t="s">
        <v>646</v>
      </c>
      <c r="AO798" s="89" t="s">
        <v>646</v>
      </c>
      <c r="AP798" s="89" t="s">
        <v>646</v>
      </c>
      <c r="AQ798" s="89" t="s">
        <v>646</v>
      </c>
      <c r="AR798" s="89" t="s">
        <v>646</v>
      </c>
      <c r="AS798" s="89" t="s">
        <v>646</v>
      </c>
      <c r="AT798" s="89" t="s">
        <v>646</v>
      </c>
      <c r="AU798" s="89" t="s">
        <v>646</v>
      </c>
      <c r="AV798" s="89" t="s">
        <v>646</v>
      </c>
      <c r="AW798" s="89" t="s">
        <v>646</v>
      </c>
      <c r="AX798" s="89" t="s">
        <v>646</v>
      </c>
      <c r="AY798" s="89" t="s">
        <v>21827</v>
      </c>
      <c r="AZ798" s="89" t="s">
        <v>21828</v>
      </c>
      <c r="BA798" s="89" t="s">
        <v>646</v>
      </c>
      <c r="BB798" s="89" t="s">
        <v>646</v>
      </c>
      <c r="BC798" s="89" t="s">
        <v>646</v>
      </c>
      <c r="BD798" s="89" t="s">
        <v>17779</v>
      </c>
      <c r="BE798" s="89">
        <v>2021</v>
      </c>
      <c r="BF798" s="89">
        <v>80</v>
      </c>
      <c r="BG798" s="89">
        <v>6</v>
      </c>
      <c r="BH798" s="89" t="s">
        <v>646</v>
      </c>
      <c r="BI798" s="89" t="s">
        <v>646</v>
      </c>
      <c r="BJ798" s="89" t="s">
        <v>646</v>
      </c>
      <c r="BK798" s="89" t="s">
        <v>646</v>
      </c>
      <c r="BL798" s="89">
        <v>8881</v>
      </c>
      <c r="BM798" s="89">
        <v>8908</v>
      </c>
      <c r="BN798" s="89" t="s">
        <v>646</v>
      </c>
      <c r="BO798" s="89" t="str">
        <f>HYPERLINK("http://dx.doi.org/10.1007/s11042-020-09896-1","http://dx.doi.org/10.1007/s11042-020-09896-1")</f>
        <v>http://dx.doi.org/10.1007/s11042-020-09896-1</v>
      </c>
      <c r="BP798" s="89" t="s">
        <v>646</v>
      </c>
      <c r="BQ798" s="89" t="s">
        <v>19180</v>
      </c>
      <c r="BR798" s="89" t="s">
        <v>646</v>
      </c>
      <c r="BS798" s="89" t="s">
        <v>646</v>
      </c>
      <c r="BT798" s="89" t="s">
        <v>646</v>
      </c>
      <c r="BU798" s="89" t="s">
        <v>646</v>
      </c>
      <c r="BV798" s="89" t="s">
        <v>646</v>
      </c>
      <c r="BW798" s="89" t="s">
        <v>646</v>
      </c>
      <c r="BX798" s="89" t="s">
        <v>646</v>
      </c>
      <c r="BY798" s="89" t="s">
        <v>646</v>
      </c>
      <c r="BZ798" s="89" t="s">
        <v>646</v>
      </c>
      <c r="CA798" s="89" t="s">
        <v>646</v>
      </c>
      <c r="CB798" s="89" t="s">
        <v>23874</v>
      </c>
      <c r="CC798" s="89" t="str">
        <f>HYPERLINK("https%3A%2F%2Fwww.webofscience.com%2Fwos%2Fwoscc%2Ffull-record%2FWOS:000586377600006","View Full Record in Web of Science")</f>
        <v>View Full Record in Web of Science</v>
      </c>
    </row>
    <row r="799" spans="1:81" ht="13.2" hidden="1" x14ac:dyDescent="0.25">
      <c r="A799" s="89" t="s">
        <v>14913</v>
      </c>
      <c r="B799" s="89" t="e">
        <f>+#REF!</f>
        <v>#REF!</v>
      </c>
      <c r="C799" s="89"/>
      <c r="D799" s="91" t="s">
        <v>717</v>
      </c>
      <c r="E799" s="90" t="e">
        <v>#REF!</v>
      </c>
      <c r="F799" s="89"/>
      <c r="G799" s="89"/>
      <c r="H799" s="89" t="s">
        <v>14914</v>
      </c>
      <c r="I799" s="89" t="s">
        <v>23875</v>
      </c>
      <c r="J799" s="89" t="s">
        <v>646</v>
      </c>
      <c r="K799" s="89" t="s">
        <v>23877</v>
      </c>
      <c r="M799" s="89">
        <v>2020</v>
      </c>
      <c r="N799" s="89" t="s">
        <v>23876</v>
      </c>
      <c r="O799" s="89" t="s">
        <v>646</v>
      </c>
      <c r="P799" s="89" t="str">
        <f>HYPERLINK("http://dx.doi.org/10.1016/j.jbusres.2020.06.053","http://dx.doi.org/10.1016/j.jbusres.2020.06.053")</f>
        <v>http://dx.doi.org/10.1016/j.jbusres.2020.06.053</v>
      </c>
      <c r="S799" s="89" t="s">
        <v>646</v>
      </c>
      <c r="U799" s="89" t="s">
        <v>17462</v>
      </c>
      <c r="W799" s="89" t="s">
        <v>646</v>
      </c>
      <c r="X799" s="89" t="s">
        <v>646</v>
      </c>
      <c r="Y799" s="89" t="s">
        <v>646</v>
      </c>
      <c r="Z799" s="89" t="s">
        <v>646</v>
      </c>
      <c r="AA799" s="89" t="s">
        <v>646</v>
      </c>
      <c r="AB799" s="89" t="s">
        <v>646</v>
      </c>
      <c r="AC799" s="89" t="s">
        <v>646</v>
      </c>
      <c r="AD799" s="89" t="s">
        <v>646</v>
      </c>
      <c r="AE799" s="89" t="s">
        <v>646</v>
      </c>
      <c r="AF799" s="89" t="s">
        <v>23877</v>
      </c>
      <c r="AG799" s="89" t="s">
        <v>646</v>
      </c>
      <c r="AH799" s="89" t="s">
        <v>646</v>
      </c>
      <c r="AI799" s="89" t="s">
        <v>646</v>
      </c>
      <c r="AJ799" s="89" t="s">
        <v>646</v>
      </c>
      <c r="AK799" s="89" t="s">
        <v>646</v>
      </c>
      <c r="AL799" s="89" t="s">
        <v>646</v>
      </c>
      <c r="AM799" s="89" t="s">
        <v>646</v>
      </c>
      <c r="AN799" s="89" t="s">
        <v>646</v>
      </c>
      <c r="AO799" s="89" t="s">
        <v>646</v>
      </c>
      <c r="AP799" s="89" t="s">
        <v>646</v>
      </c>
      <c r="AQ799" s="89" t="s">
        <v>646</v>
      </c>
      <c r="AR799" s="89" t="s">
        <v>646</v>
      </c>
      <c r="AS799" s="89" t="s">
        <v>646</v>
      </c>
      <c r="AT799" s="89" t="s">
        <v>646</v>
      </c>
      <c r="AU799" s="89" t="s">
        <v>646</v>
      </c>
      <c r="AV799" s="89" t="s">
        <v>646</v>
      </c>
      <c r="AW799" s="89" t="s">
        <v>646</v>
      </c>
      <c r="AX799" s="89" t="s">
        <v>646</v>
      </c>
      <c r="AY799" s="89" t="s">
        <v>23878</v>
      </c>
      <c r="AZ799" s="89" t="s">
        <v>23879</v>
      </c>
      <c r="BA799" s="89" t="s">
        <v>646</v>
      </c>
      <c r="BB799" s="89" t="s">
        <v>646</v>
      </c>
      <c r="BC799" s="89" t="s">
        <v>646</v>
      </c>
      <c r="BD799" s="89" t="s">
        <v>17739</v>
      </c>
      <c r="BE799" s="89">
        <v>2020</v>
      </c>
      <c r="BF799" s="89">
        <v>118</v>
      </c>
      <c r="BG799" s="89" t="s">
        <v>646</v>
      </c>
      <c r="BH799" s="89" t="s">
        <v>646</v>
      </c>
      <c r="BI799" s="89" t="s">
        <v>646</v>
      </c>
      <c r="BJ799" s="89" t="s">
        <v>646</v>
      </c>
      <c r="BK799" s="89" t="s">
        <v>646</v>
      </c>
      <c r="BL799" s="89">
        <v>189</v>
      </c>
      <c r="BM799" s="89">
        <v>198</v>
      </c>
      <c r="BN799" s="89" t="s">
        <v>646</v>
      </c>
      <c r="BO799" s="89" t="str">
        <f>HYPERLINK("http://dx.doi.org/10.1016/j.jbusres.2020.06.053","http://dx.doi.org/10.1016/j.jbusres.2020.06.053")</f>
        <v>http://dx.doi.org/10.1016/j.jbusres.2020.06.053</v>
      </c>
      <c r="BP799" s="89" t="s">
        <v>646</v>
      </c>
      <c r="BQ799" s="89" t="s">
        <v>646</v>
      </c>
      <c r="BR799" s="89" t="s">
        <v>646</v>
      </c>
      <c r="BS799" s="89" t="s">
        <v>646</v>
      </c>
      <c r="BT799" s="89" t="s">
        <v>646</v>
      </c>
      <c r="BU799" s="89" t="s">
        <v>646</v>
      </c>
      <c r="BV799" s="89" t="s">
        <v>646</v>
      </c>
      <c r="BW799" s="89">
        <v>32834210</v>
      </c>
      <c r="BX799" s="89" t="s">
        <v>646</v>
      </c>
      <c r="BY799" s="89" t="s">
        <v>646</v>
      </c>
      <c r="BZ799" s="89" t="s">
        <v>646</v>
      </c>
      <c r="CA799" s="89" t="s">
        <v>646</v>
      </c>
      <c r="CB799" s="89" t="s">
        <v>23880</v>
      </c>
      <c r="CC799" s="89" t="str">
        <f>HYPERLINK("https%3A%2F%2Fwww.webofscience.com%2Fwos%2Fwoscc%2Ffull-record%2FWOS:000566752500016","View Full Record in Web of Science")</f>
        <v>View Full Record in Web of Science</v>
      </c>
    </row>
    <row r="800" spans="1:81" ht="13.2" hidden="1" x14ac:dyDescent="0.25">
      <c r="A800" s="89" t="s">
        <v>16595</v>
      </c>
      <c r="B800" s="89" t="e">
        <f>+#REF!</f>
        <v>#REF!</v>
      </c>
      <c r="C800" s="89"/>
      <c r="D800" s="91" t="s">
        <v>717</v>
      </c>
      <c r="E800" s="90" t="e">
        <v>#REF!</v>
      </c>
      <c r="F800" s="89"/>
      <c r="G800" s="89"/>
      <c r="H800" s="89" t="s">
        <v>16596</v>
      </c>
      <c r="I800" s="89" t="s">
        <v>23881</v>
      </c>
      <c r="J800" s="89" t="s">
        <v>646</v>
      </c>
      <c r="K800" s="89" t="s">
        <v>23883</v>
      </c>
      <c r="M800" s="89">
        <v>2020</v>
      </c>
      <c r="N800" s="89" t="s">
        <v>23882</v>
      </c>
      <c r="O800" s="89" t="s">
        <v>646</v>
      </c>
      <c r="P800" s="89" t="str">
        <f>HYPERLINK("http://dx.doi.org/10.1108/JCM-08-2019-3369","http://dx.doi.org/10.1108/JCM-08-2019-3369")</f>
        <v>http://dx.doi.org/10.1108/JCM-08-2019-3369</v>
      </c>
      <c r="S800" s="89" t="s">
        <v>646</v>
      </c>
      <c r="U800" s="89" t="s">
        <v>17462</v>
      </c>
      <c r="W800" s="89" t="s">
        <v>646</v>
      </c>
      <c r="X800" s="89" t="s">
        <v>646</v>
      </c>
      <c r="Y800" s="89" t="s">
        <v>646</v>
      </c>
      <c r="Z800" s="89" t="s">
        <v>646</v>
      </c>
      <c r="AA800" s="89" t="s">
        <v>646</v>
      </c>
      <c r="AB800" s="89" t="s">
        <v>646</v>
      </c>
      <c r="AC800" s="89" t="s">
        <v>646</v>
      </c>
      <c r="AD800" s="89" t="s">
        <v>646</v>
      </c>
      <c r="AE800" s="89" t="s">
        <v>646</v>
      </c>
      <c r="AF800" s="89" t="s">
        <v>23883</v>
      </c>
      <c r="AG800" s="89" t="s">
        <v>646</v>
      </c>
      <c r="AH800" s="89" t="s">
        <v>646</v>
      </c>
      <c r="AI800" s="89" t="s">
        <v>646</v>
      </c>
      <c r="AJ800" s="89" t="s">
        <v>646</v>
      </c>
      <c r="AK800" s="89" t="s">
        <v>646</v>
      </c>
      <c r="AL800" s="89" t="s">
        <v>646</v>
      </c>
      <c r="AM800" s="89" t="s">
        <v>646</v>
      </c>
      <c r="AN800" s="89" t="s">
        <v>646</v>
      </c>
      <c r="AO800" s="89" t="s">
        <v>646</v>
      </c>
      <c r="AP800" s="89" t="s">
        <v>646</v>
      </c>
      <c r="AQ800" s="89" t="s">
        <v>646</v>
      </c>
      <c r="AR800" s="89" t="s">
        <v>646</v>
      </c>
      <c r="AS800" s="89" t="s">
        <v>646</v>
      </c>
      <c r="AT800" s="89" t="s">
        <v>646</v>
      </c>
      <c r="AU800" s="89" t="s">
        <v>646</v>
      </c>
      <c r="AV800" s="89" t="s">
        <v>646</v>
      </c>
      <c r="AW800" s="89" t="s">
        <v>646</v>
      </c>
      <c r="AX800" s="89" t="s">
        <v>646</v>
      </c>
      <c r="AY800" s="89" t="s">
        <v>23884</v>
      </c>
      <c r="AZ800" s="89" t="s">
        <v>23885</v>
      </c>
      <c r="BA800" s="89" t="s">
        <v>646</v>
      </c>
      <c r="BB800" s="89" t="s">
        <v>646</v>
      </c>
      <c r="BC800" s="89" t="s">
        <v>646</v>
      </c>
      <c r="BD800" s="89" t="s">
        <v>20687</v>
      </c>
      <c r="BE800" s="89">
        <v>2020</v>
      </c>
      <c r="BF800" s="89">
        <v>37</v>
      </c>
      <c r="BG800" s="89">
        <v>7</v>
      </c>
      <c r="BH800" s="89" t="s">
        <v>646</v>
      </c>
      <c r="BI800" s="89" t="s">
        <v>646</v>
      </c>
      <c r="BJ800" s="89" t="s">
        <v>646</v>
      </c>
      <c r="BK800" s="89" t="s">
        <v>646</v>
      </c>
      <c r="BL800" s="89">
        <v>869</v>
      </c>
      <c r="BM800" s="89">
        <v>881</v>
      </c>
      <c r="BN800" s="89" t="s">
        <v>646</v>
      </c>
      <c r="BO800" s="89" t="str">
        <f>HYPERLINK("http://dx.doi.org/10.1108/JCM-08-2019-3369","http://dx.doi.org/10.1108/JCM-08-2019-3369")</f>
        <v>http://dx.doi.org/10.1108/JCM-08-2019-3369</v>
      </c>
      <c r="BP800" s="89" t="s">
        <v>646</v>
      </c>
      <c r="BQ800" s="89" t="s">
        <v>19874</v>
      </c>
      <c r="BR800" s="89" t="s">
        <v>646</v>
      </c>
      <c r="BS800" s="89" t="s">
        <v>646</v>
      </c>
      <c r="BT800" s="89" t="s">
        <v>646</v>
      </c>
      <c r="BU800" s="89" t="s">
        <v>646</v>
      </c>
      <c r="BV800" s="89" t="s">
        <v>646</v>
      </c>
      <c r="BW800" s="89" t="s">
        <v>646</v>
      </c>
      <c r="BX800" s="89" t="s">
        <v>646</v>
      </c>
      <c r="BY800" s="89" t="s">
        <v>646</v>
      </c>
      <c r="BZ800" s="89" t="s">
        <v>646</v>
      </c>
      <c r="CA800" s="89" t="s">
        <v>646</v>
      </c>
      <c r="CB800" s="89" t="s">
        <v>23886</v>
      </c>
      <c r="CC800" s="89" t="str">
        <f>HYPERLINK("https%3A%2F%2Fwww.webofscience.com%2Fwos%2Fwoscc%2Ffull-record%2FWOS:000572104600001","View Full Record in Web of Science")</f>
        <v>View Full Record in Web of Science</v>
      </c>
    </row>
    <row r="801" spans="1:81" ht="13.2" hidden="1" x14ac:dyDescent="0.25">
      <c r="A801" s="89" t="s">
        <v>14922</v>
      </c>
      <c r="B801" s="89" t="e">
        <f>+#REF!</f>
        <v>#REF!</v>
      </c>
      <c r="C801" s="89"/>
      <c r="D801" s="91" t="s">
        <v>717</v>
      </c>
      <c r="E801" s="90" t="e">
        <v>#REF!</v>
      </c>
      <c r="F801" s="89"/>
      <c r="G801" s="89"/>
      <c r="H801" s="89" t="s">
        <v>14923</v>
      </c>
      <c r="I801" s="89" t="s">
        <v>23887</v>
      </c>
      <c r="J801" s="89" t="s">
        <v>23889</v>
      </c>
      <c r="K801" s="89" t="s">
        <v>14925</v>
      </c>
      <c r="M801" s="89">
        <v>2015</v>
      </c>
      <c r="N801" s="89" t="s">
        <v>23888</v>
      </c>
      <c r="O801" s="89" t="s">
        <v>646</v>
      </c>
      <c r="P801" s="89" t="str">
        <f>HYPERLINK("http://dx.doi.org/10.1093/database/bav016","http://dx.doi.org/10.1093/database/bav016")</f>
        <v>http://dx.doi.org/10.1093/database/bav016</v>
      </c>
      <c r="S801" s="89" t="s">
        <v>646</v>
      </c>
      <c r="U801" s="89" t="s">
        <v>17462</v>
      </c>
      <c r="W801" s="89" t="s">
        <v>646</v>
      </c>
      <c r="X801" s="89" t="s">
        <v>646</v>
      </c>
      <c r="Y801" s="89" t="s">
        <v>646</v>
      </c>
      <c r="Z801" s="89" t="s">
        <v>646</v>
      </c>
      <c r="AA801" s="89" t="s">
        <v>646</v>
      </c>
      <c r="AB801" s="89" t="s">
        <v>646</v>
      </c>
      <c r="AC801" s="89" t="s">
        <v>646</v>
      </c>
      <c r="AD801" s="89" t="s">
        <v>646</v>
      </c>
      <c r="AE801" s="89" t="s">
        <v>646</v>
      </c>
      <c r="AF801" s="89" t="s">
        <v>14925</v>
      </c>
      <c r="AG801" s="89" t="s">
        <v>646</v>
      </c>
      <c r="AH801" s="89" t="s">
        <v>646</v>
      </c>
      <c r="AI801" s="89" t="s">
        <v>646</v>
      </c>
      <c r="AJ801" s="89" t="s">
        <v>646</v>
      </c>
      <c r="AK801" s="89" t="s">
        <v>23889</v>
      </c>
      <c r="AL801" s="89" t="s">
        <v>23890</v>
      </c>
      <c r="AM801" s="89" t="s">
        <v>646</v>
      </c>
      <c r="AN801" s="89" t="s">
        <v>646</v>
      </c>
      <c r="AO801" s="89" t="s">
        <v>646</v>
      </c>
      <c r="AP801" s="89" t="s">
        <v>646</v>
      </c>
      <c r="AQ801" s="89" t="s">
        <v>646</v>
      </c>
      <c r="AR801" s="89" t="s">
        <v>646</v>
      </c>
      <c r="AS801" s="89" t="s">
        <v>646</v>
      </c>
      <c r="AT801" s="89" t="s">
        <v>646</v>
      </c>
      <c r="AU801" s="89" t="s">
        <v>646</v>
      </c>
      <c r="AV801" s="89" t="s">
        <v>646</v>
      </c>
      <c r="AW801" s="89" t="s">
        <v>646</v>
      </c>
      <c r="AX801" s="89" t="s">
        <v>646</v>
      </c>
      <c r="AY801" s="89" t="s">
        <v>23891</v>
      </c>
      <c r="AZ801" s="89" t="s">
        <v>646</v>
      </c>
      <c r="BA801" s="89" t="s">
        <v>646</v>
      </c>
      <c r="BB801" s="89" t="s">
        <v>646</v>
      </c>
      <c r="BC801" s="89" t="s">
        <v>646</v>
      </c>
      <c r="BD801" s="89" t="s">
        <v>23892</v>
      </c>
      <c r="BE801" s="89">
        <v>2015</v>
      </c>
      <c r="BF801" s="89" t="s">
        <v>646</v>
      </c>
      <c r="BG801" s="89" t="s">
        <v>646</v>
      </c>
      <c r="BH801" s="89" t="s">
        <v>646</v>
      </c>
      <c r="BI801" s="89" t="s">
        <v>646</v>
      </c>
      <c r="BJ801" s="89" t="s">
        <v>646</v>
      </c>
      <c r="BK801" s="89" t="s">
        <v>646</v>
      </c>
      <c r="BL801" s="89" t="s">
        <v>646</v>
      </c>
      <c r="BM801" s="89" t="s">
        <v>646</v>
      </c>
      <c r="BN801" s="89" t="s">
        <v>23893</v>
      </c>
      <c r="BO801" s="89" t="str">
        <f>HYPERLINK("http://dx.doi.org/10.1093/database/bav016","http://dx.doi.org/10.1093/database/bav016")</f>
        <v>http://dx.doi.org/10.1093/database/bav016</v>
      </c>
      <c r="BP801" s="89" t="s">
        <v>646</v>
      </c>
      <c r="BQ801" s="89" t="s">
        <v>646</v>
      </c>
      <c r="BR801" s="89" t="s">
        <v>646</v>
      </c>
      <c r="BS801" s="89" t="s">
        <v>646</v>
      </c>
      <c r="BT801" s="89" t="s">
        <v>646</v>
      </c>
      <c r="BU801" s="89" t="s">
        <v>646</v>
      </c>
      <c r="BV801" s="89" t="s">
        <v>646</v>
      </c>
      <c r="BW801" s="89">
        <v>25797061</v>
      </c>
      <c r="BX801" s="89" t="s">
        <v>646</v>
      </c>
      <c r="BY801" s="89" t="s">
        <v>646</v>
      </c>
      <c r="BZ801" s="89" t="s">
        <v>646</v>
      </c>
      <c r="CA801" s="89" t="s">
        <v>646</v>
      </c>
      <c r="CB801" s="89" t="s">
        <v>23894</v>
      </c>
      <c r="CC801" s="89" t="str">
        <f>HYPERLINK("https%3A%2F%2Fwww.webofscience.com%2Fwos%2Fwoscc%2Ffull-record%2FWOS:000361046300001","View Full Record in Web of Science")</f>
        <v>View Full Record in Web of Science</v>
      </c>
    </row>
    <row r="802" spans="1:81" ht="13.2" hidden="1" x14ac:dyDescent="0.25">
      <c r="A802" s="89" t="s">
        <v>23895</v>
      </c>
      <c r="B802" s="89" t="e">
        <f>+#REF!</f>
        <v>#REF!</v>
      </c>
      <c r="C802" s="89"/>
      <c r="D802" s="91" t="s">
        <v>717</v>
      </c>
      <c r="E802" s="90" t="e">
        <v>#REF!</v>
      </c>
      <c r="F802" s="89"/>
      <c r="G802" s="89"/>
      <c r="H802" s="89" t="s">
        <v>646</v>
      </c>
      <c r="I802" s="89" t="s">
        <v>23897</v>
      </c>
      <c r="J802" s="89" t="s">
        <v>646</v>
      </c>
      <c r="K802" s="89" t="s">
        <v>23903</v>
      </c>
      <c r="M802" s="89">
        <v>2009</v>
      </c>
      <c r="N802" s="89" t="s">
        <v>23898</v>
      </c>
      <c r="O802" s="89" t="s">
        <v>23896</v>
      </c>
      <c r="P802" s="89" t="s">
        <v>646</v>
      </c>
      <c r="S802" s="89" t="s">
        <v>646</v>
      </c>
      <c r="U802" s="89" t="s">
        <v>17474</v>
      </c>
      <c r="W802" s="89" t="s">
        <v>646</v>
      </c>
      <c r="X802" s="89" t="s">
        <v>646</v>
      </c>
      <c r="Y802" s="89" t="s">
        <v>23899</v>
      </c>
      <c r="Z802" s="89" t="s">
        <v>23900</v>
      </c>
      <c r="AA802" s="89" t="s">
        <v>23901</v>
      </c>
      <c r="AB802" s="89" t="s">
        <v>23902</v>
      </c>
      <c r="AC802" s="89" t="s">
        <v>646</v>
      </c>
      <c r="AD802" s="89" t="s">
        <v>646</v>
      </c>
      <c r="AE802" s="89" t="s">
        <v>646</v>
      </c>
      <c r="AF802" s="89" t="s">
        <v>23903</v>
      </c>
      <c r="AG802" s="89" t="s">
        <v>646</v>
      </c>
      <c r="AH802" s="89" t="s">
        <v>646</v>
      </c>
      <c r="AI802" s="89" t="s">
        <v>646</v>
      </c>
      <c r="AJ802" s="89" t="s">
        <v>646</v>
      </c>
      <c r="AK802" s="89" t="s">
        <v>646</v>
      </c>
      <c r="AL802" s="89" t="s">
        <v>646</v>
      </c>
      <c r="AM802" s="89" t="s">
        <v>646</v>
      </c>
      <c r="AN802" s="89" t="s">
        <v>646</v>
      </c>
      <c r="AO802" s="89" t="s">
        <v>646</v>
      </c>
      <c r="AP802" s="89" t="s">
        <v>646</v>
      </c>
      <c r="AQ802" s="89" t="s">
        <v>646</v>
      </c>
      <c r="AR802" s="89" t="s">
        <v>646</v>
      </c>
      <c r="AS802" s="89" t="s">
        <v>646</v>
      </c>
      <c r="AT802" s="89" t="s">
        <v>646</v>
      </c>
      <c r="AU802" s="89" t="s">
        <v>646</v>
      </c>
      <c r="AV802" s="89" t="s">
        <v>646</v>
      </c>
      <c r="AW802" s="89" t="s">
        <v>646</v>
      </c>
      <c r="AX802" s="89" t="s">
        <v>646</v>
      </c>
      <c r="AY802" s="89" t="s">
        <v>18403</v>
      </c>
      <c r="AZ802" s="89" t="s">
        <v>646</v>
      </c>
      <c r="BA802" s="89" t="s">
        <v>23904</v>
      </c>
      <c r="BB802" s="89" t="s">
        <v>646</v>
      </c>
      <c r="BC802" s="89" t="s">
        <v>646</v>
      </c>
      <c r="BD802" s="89" t="s">
        <v>646</v>
      </c>
      <c r="BE802" s="89">
        <v>2009</v>
      </c>
      <c r="BF802" s="89">
        <v>32</v>
      </c>
      <c r="BG802" s="89" t="s">
        <v>646</v>
      </c>
      <c r="BH802" s="89" t="s">
        <v>646</v>
      </c>
      <c r="BI802" s="89" t="s">
        <v>646</v>
      </c>
      <c r="BJ802" s="89" t="s">
        <v>646</v>
      </c>
      <c r="BK802" s="89" t="s">
        <v>646</v>
      </c>
      <c r="BL802" s="89">
        <v>246</v>
      </c>
      <c r="BM802" s="89">
        <v>260</v>
      </c>
      <c r="BN802" s="89" t="s">
        <v>646</v>
      </c>
      <c r="BO802" s="89" t="s">
        <v>646</v>
      </c>
      <c r="BP802" s="89" t="s">
        <v>646</v>
      </c>
      <c r="BQ802" s="89" t="s">
        <v>646</v>
      </c>
      <c r="BR802" s="89" t="s">
        <v>646</v>
      </c>
      <c r="BS802" s="89" t="s">
        <v>646</v>
      </c>
      <c r="BT802" s="89" t="s">
        <v>646</v>
      </c>
      <c r="BU802" s="89" t="s">
        <v>646</v>
      </c>
      <c r="BV802" s="89" t="s">
        <v>646</v>
      </c>
      <c r="BW802" s="89" t="s">
        <v>646</v>
      </c>
      <c r="BX802" s="89" t="s">
        <v>646</v>
      </c>
      <c r="BY802" s="89" t="s">
        <v>646</v>
      </c>
      <c r="BZ802" s="89" t="s">
        <v>646</v>
      </c>
      <c r="CA802" s="89" t="s">
        <v>646</v>
      </c>
      <c r="CB802" s="89" t="s">
        <v>23905</v>
      </c>
      <c r="CC802" s="89" t="str">
        <f>HYPERLINK("https%3A%2F%2Fwww.webofscience.com%2Fwos%2Fwoscc%2Ffull-record%2FWOS:000267795400019","View Full Record in Web of Science")</f>
        <v>View Full Record in Web of Science</v>
      </c>
    </row>
    <row r="803" spans="1:81" ht="13.2" hidden="1" x14ac:dyDescent="0.25">
      <c r="A803" s="89" t="s">
        <v>14941</v>
      </c>
      <c r="B803" s="89" t="e">
        <f>+#REF!</f>
        <v>#REF!</v>
      </c>
      <c r="C803" s="89"/>
      <c r="D803" s="91" t="s">
        <v>717</v>
      </c>
      <c r="E803" s="90" t="e">
        <v>#REF!</v>
      </c>
      <c r="F803" s="89"/>
      <c r="G803" s="89"/>
      <c r="H803" s="89" t="s">
        <v>14942</v>
      </c>
      <c r="I803" s="89" t="s">
        <v>23906</v>
      </c>
      <c r="J803" s="89" t="s">
        <v>23909</v>
      </c>
      <c r="K803" s="89" t="s">
        <v>23908</v>
      </c>
      <c r="M803" s="89">
        <v>2019</v>
      </c>
      <c r="N803" s="89" t="s">
        <v>23907</v>
      </c>
      <c r="O803" s="89" t="s">
        <v>646</v>
      </c>
      <c r="P803" s="89" t="str">
        <f>HYPERLINK("http://dx.doi.org/10.1016/j.futures.2019.05.001","http://dx.doi.org/10.1016/j.futures.2019.05.001")</f>
        <v>http://dx.doi.org/10.1016/j.futures.2019.05.001</v>
      </c>
      <c r="S803" s="89" t="s">
        <v>646</v>
      </c>
      <c r="U803" s="89" t="s">
        <v>17462</v>
      </c>
      <c r="W803" s="89" t="s">
        <v>646</v>
      </c>
      <c r="X803" s="89" t="s">
        <v>646</v>
      </c>
      <c r="Y803" s="89" t="s">
        <v>646</v>
      </c>
      <c r="Z803" s="89" t="s">
        <v>646</v>
      </c>
      <c r="AA803" s="89" t="s">
        <v>646</v>
      </c>
      <c r="AB803" s="89" t="s">
        <v>646</v>
      </c>
      <c r="AC803" s="89" t="s">
        <v>646</v>
      </c>
      <c r="AD803" s="89" t="s">
        <v>646</v>
      </c>
      <c r="AE803" s="89" t="s">
        <v>646</v>
      </c>
      <c r="AF803" s="89" t="s">
        <v>23908</v>
      </c>
      <c r="AG803" s="89" t="s">
        <v>646</v>
      </c>
      <c r="AH803" s="89" t="s">
        <v>646</v>
      </c>
      <c r="AI803" s="89" t="s">
        <v>646</v>
      </c>
      <c r="AJ803" s="89" t="s">
        <v>646</v>
      </c>
      <c r="AK803" s="89" t="s">
        <v>23909</v>
      </c>
      <c r="AL803" s="89" t="s">
        <v>23910</v>
      </c>
      <c r="AM803" s="89" t="s">
        <v>646</v>
      </c>
      <c r="AN803" s="89" t="s">
        <v>646</v>
      </c>
      <c r="AO803" s="89" t="s">
        <v>646</v>
      </c>
      <c r="AP803" s="89" t="s">
        <v>646</v>
      </c>
      <c r="AQ803" s="89" t="s">
        <v>646</v>
      </c>
      <c r="AR803" s="89" t="s">
        <v>646</v>
      </c>
      <c r="AS803" s="89" t="s">
        <v>646</v>
      </c>
      <c r="AT803" s="89" t="s">
        <v>646</v>
      </c>
      <c r="AU803" s="89" t="s">
        <v>646</v>
      </c>
      <c r="AV803" s="89" t="s">
        <v>646</v>
      </c>
      <c r="AW803" s="89" t="s">
        <v>646</v>
      </c>
      <c r="AX803" s="89" t="s">
        <v>646</v>
      </c>
      <c r="AY803" s="89" t="s">
        <v>23911</v>
      </c>
      <c r="AZ803" s="89" t="s">
        <v>23912</v>
      </c>
      <c r="BA803" s="89" t="s">
        <v>646</v>
      </c>
      <c r="BB803" s="89" t="s">
        <v>646</v>
      </c>
      <c r="BC803" s="89" t="s">
        <v>646</v>
      </c>
      <c r="BD803" s="89" t="s">
        <v>18655</v>
      </c>
      <c r="BE803" s="89">
        <v>2019</v>
      </c>
      <c r="BF803" s="89">
        <v>111</v>
      </c>
      <c r="BG803" s="89" t="s">
        <v>646</v>
      </c>
      <c r="BH803" s="89" t="s">
        <v>646</v>
      </c>
      <c r="BI803" s="89" t="s">
        <v>646</v>
      </c>
      <c r="BJ803" s="89" t="s">
        <v>646</v>
      </c>
      <c r="BK803" s="89" t="s">
        <v>646</v>
      </c>
      <c r="BL803" s="89">
        <v>1</v>
      </c>
      <c r="BM803" s="89">
        <v>14</v>
      </c>
      <c r="BN803" s="89" t="s">
        <v>646</v>
      </c>
      <c r="BO803" s="89" t="str">
        <f>HYPERLINK("http://dx.doi.org/10.1016/j.futures.2019.05.001","http://dx.doi.org/10.1016/j.futures.2019.05.001")</f>
        <v>http://dx.doi.org/10.1016/j.futures.2019.05.001</v>
      </c>
      <c r="BP803" s="89" t="s">
        <v>646</v>
      </c>
      <c r="BQ803" s="89" t="s">
        <v>646</v>
      </c>
      <c r="BR803" s="89" t="s">
        <v>646</v>
      </c>
      <c r="BS803" s="89" t="s">
        <v>646</v>
      </c>
      <c r="BT803" s="89" t="s">
        <v>646</v>
      </c>
      <c r="BU803" s="89" t="s">
        <v>646</v>
      </c>
      <c r="BV803" s="89" t="s">
        <v>646</v>
      </c>
      <c r="BW803" s="89" t="s">
        <v>646</v>
      </c>
      <c r="BX803" s="89" t="s">
        <v>646</v>
      </c>
      <c r="BY803" s="89" t="s">
        <v>646</v>
      </c>
      <c r="BZ803" s="89" t="s">
        <v>646</v>
      </c>
      <c r="CA803" s="89" t="s">
        <v>646</v>
      </c>
      <c r="CB803" s="89" t="s">
        <v>23913</v>
      </c>
      <c r="CC803" s="89" t="str">
        <f>HYPERLINK("https%3A%2F%2Fwww.webofscience.com%2Fwos%2Fwoscc%2Ffull-record%2FWOS:000478703800001","View Full Record in Web of Science")</f>
        <v>View Full Record in Web of Science</v>
      </c>
    </row>
    <row r="804" spans="1:81" ht="13.2" hidden="1" x14ac:dyDescent="0.25">
      <c r="A804" s="89" t="s">
        <v>23914</v>
      </c>
      <c r="B804" s="89" t="e">
        <f>+#REF!</f>
        <v>#REF!</v>
      </c>
      <c r="C804" s="89"/>
      <c r="D804" s="91" t="s">
        <v>717</v>
      </c>
      <c r="E804" s="90" t="e">
        <v>#REF!</v>
      </c>
      <c r="F804" s="89"/>
      <c r="G804" s="89"/>
      <c r="H804" s="89" t="s">
        <v>10237</v>
      </c>
      <c r="I804" s="89" t="s">
        <v>23915</v>
      </c>
      <c r="J804" s="89" t="s">
        <v>646</v>
      </c>
      <c r="K804" s="89" t="s">
        <v>23917</v>
      </c>
      <c r="M804" s="89">
        <v>2021</v>
      </c>
      <c r="N804" s="89" t="s">
        <v>23916</v>
      </c>
      <c r="O804" s="89" t="s">
        <v>646</v>
      </c>
      <c r="P804" s="89" t="str">
        <f>HYPERLINK("http://dx.doi.org/10.1136/bmjopen-2021-049716","http://dx.doi.org/10.1136/bmjopen-2021-049716")</f>
        <v>http://dx.doi.org/10.1136/bmjopen-2021-049716</v>
      </c>
      <c r="S804" s="89" t="s">
        <v>646</v>
      </c>
      <c r="U804" s="89" t="s">
        <v>17462</v>
      </c>
      <c r="W804" s="89" t="s">
        <v>646</v>
      </c>
      <c r="X804" s="89" t="s">
        <v>646</v>
      </c>
      <c r="Y804" s="89" t="s">
        <v>646</v>
      </c>
      <c r="Z804" s="89" t="s">
        <v>646</v>
      </c>
      <c r="AA804" s="89" t="s">
        <v>646</v>
      </c>
      <c r="AB804" s="89" t="s">
        <v>646</v>
      </c>
      <c r="AC804" s="89" t="s">
        <v>646</v>
      </c>
      <c r="AD804" s="89" t="s">
        <v>646</v>
      </c>
      <c r="AE804" s="89" t="s">
        <v>646</v>
      </c>
      <c r="AF804" s="89" t="s">
        <v>23917</v>
      </c>
      <c r="AG804" s="89" t="s">
        <v>646</v>
      </c>
      <c r="AH804" s="89" t="s">
        <v>646</v>
      </c>
      <c r="AI804" s="89" t="s">
        <v>646</v>
      </c>
      <c r="AJ804" s="89" t="s">
        <v>646</v>
      </c>
      <c r="AK804" s="89" t="s">
        <v>646</v>
      </c>
      <c r="AL804" s="89" t="s">
        <v>23918</v>
      </c>
      <c r="AM804" s="89" t="s">
        <v>646</v>
      </c>
      <c r="AN804" s="89" t="s">
        <v>646</v>
      </c>
      <c r="AO804" s="89" t="s">
        <v>646</v>
      </c>
      <c r="AP804" s="89" t="s">
        <v>646</v>
      </c>
      <c r="AQ804" s="89" t="s">
        <v>646</v>
      </c>
      <c r="AR804" s="89" t="s">
        <v>646</v>
      </c>
      <c r="AS804" s="89" t="s">
        <v>646</v>
      </c>
      <c r="AT804" s="89" t="s">
        <v>646</v>
      </c>
      <c r="AU804" s="89" t="s">
        <v>646</v>
      </c>
      <c r="AV804" s="89" t="s">
        <v>646</v>
      </c>
      <c r="AW804" s="89" t="s">
        <v>646</v>
      </c>
      <c r="AX804" s="89" t="s">
        <v>646</v>
      </c>
      <c r="AY804" s="89" t="s">
        <v>23919</v>
      </c>
      <c r="AZ804" s="89" t="s">
        <v>646</v>
      </c>
      <c r="BA804" s="89" t="s">
        <v>646</v>
      </c>
      <c r="BB804" s="89" t="s">
        <v>646</v>
      </c>
      <c r="BC804" s="89" t="s">
        <v>646</v>
      </c>
      <c r="BD804" s="89" t="s">
        <v>18292</v>
      </c>
      <c r="BE804" s="89">
        <v>2021</v>
      </c>
      <c r="BF804" s="89">
        <v>11</v>
      </c>
      <c r="BG804" s="89">
        <v>11</v>
      </c>
      <c r="BH804" s="89" t="s">
        <v>646</v>
      </c>
      <c r="BI804" s="89" t="s">
        <v>646</v>
      </c>
      <c r="BJ804" s="89" t="s">
        <v>646</v>
      </c>
      <c r="BK804" s="89" t="s">
        <v>646</v>
      </c>
      <c r="BL804" s="89" t="s">
        <v>646</v>
      </c>
      <c r="BM804" s="89" t="s">
        <v>646</v>
      </c>
      <c r="BN804" s="89" t="s">
        <v>23920</v>
      </c>
      <c r="BO804" s="89" t="str">
        <f>HYPERLINK("http://dx.doi.org/10.1136/bmjopen-2021-049716","http://dx.doi.org/10.1136/bmjopen-2021-049716")</f>
        <v>http://dx.doi.org/10.1136/bmjopen-2021-049716</v>
      </c>
      <c r="BP804" s="89" t="s">
        <v>646</v>
      </c>
      <c r="BQ804" s="89" t="s">
        <v>646</v>
      </c>
      <c r="BR804" s="89" t="s">
        <v>646</v>
      </c>
      <c r="BS804" s="89" t="s">
        <v>646</v>
      </c>
      <c r="BT804" s="89" t="s">
        <v>646</v>
      </c>
      <c r="BU804" s="89" t="s">
        <v>646</v>
      </c>
      <c r="BV804" s="89" t="s">
        <v>646</v>
      </c>
      <c r="BW804" s="89">
        <v>34815278</v>
      </c>
      <c r="BX804" s="89" t="s">
        <v>646</v>
      </c>
      <c r="BY804" s="89" t="s">
        <v>646</v>
      </c>
      <c r="BZ804" s="89" t="s">
        <v>646</v>
      </c>
      <c r="CA804" s="89" t="s">
        <v>646</v>
      </c>
      <c r="CB804" s="89" t="s">
        <v>23921</v>
      </c>
      <c r="CC804" s="89" t="str">
        <f>HYPERLINK("https%3A%2F%2Fwww.webofscience.com%2Fwos%2Fwoscc%2Ffull-record%2FWOS:000722311500019","View Full Record in Web of Science")</f>
        <v>View Full Record in Web of Science</v>
      </c>
    </row>
    <row r="805" spans="1:81" ht="13.2" hidden="1" x14ac:dyDescent="0.25">
      <c r="A805" s="89" t="s">
        <v>1412</v>
      </c>
      <c r="B805" s="89" t="e">
        <f>+#REF!</f>
        <v>#REF!</v>
      </c>
      <c r="C805" s="89"/>
      <c r="D805" s="91" t="s">
        <v>717</v>
      </c>
      <c r="E805" s="90" t="e">
        <v>#REF!</v>
      </c>
      <c r="F805" s="89"/>
      <c r="G805" s="89"/>
      <c r="H805" s="89" t="s">
        <v>23922</v>
      </c>
      <c r="I805" s="89" t="s">
        <v>23923</v>
      </c>
      <c r="J805" s="89" t="s">
        <v>23926</v>
      </c>
      <c r="K805" s="89" t="s">
        <v>23925</v>
      </c>
      <c r="M805" s="89">
        <v>2019</v>
      </c>
      <c r="N805" s="89" t="s">
        <v>23924</v>
      </c>
      <c r="O805" s="89" t="s">
        <v>646</v>
      </c>
      <c r="P805" s="89" t="str">
        <f>HYPERLINK("http://dx.doi.org/10.17533/udea.redin.20190519","http://dx.doi.org/10.17533/udea.redin.20190519")</f>
        <v>http://dx.doi.org/10.17533/udea.redin.20190519</v>
      </c>
      <c r="S805" s="89" t="s">
        <v>646</v>
      </c>
      <c r="U805" s="89" t="s">
        <v>17462</v>
      </c>
      <c r="W805" s="89" t="s">
        <v>646</v>
      </c>
      <c r="X805" s="89" t="s">
        <v>646</v>
      </c>
      <c r="Y805" s="89" t="s">
        <v>646</v>
      </c>
      <c r="Z805" s="89" t="s">
        <v>646</v>
      </c>
      <c r="AA805" s="89" t="s">
        <v>646</v>
      </c>
      <c r="AB805" s="89" t="s">
        <v>646</v>
      </c>
      <c r="AC805" s="89" t="s">
        <v>646</v>
      </c>
      <c r="AD805" s="89" t="s">
        <v>646</v>
      </c>
      <c r="AE805" s="89" t="s">
        <v>646</v>
      </c>
      <c r="AF805" s="89" t="s">
        <v>23925</v>
      </c>
      <c r="AG805" s="89" t="s">
        <v>646</v>
      </c>
      <c r="AH805" s="89" t="s">
        <v>646</v>
      </c>
      <c r="AI805" s="89" t="s">
        <v>646</v>
      </c>
      <c r="AJ805" s="89" t="s">
        <v>646</v>
      </c>
      <c r="AK805" s="89" t="s">
        <v>23926</v>
      </c>
      <c r="AL805" s="89" t="s">
        <v>23927</v>
      </c>
      <c r="AM805" s="89" t="s">
        <v>646</v>
      </c>
      <c r="AN805" s="89" t="s">
        <v>646</v>
      </c>
      <c r="AO805" s="89" t="s">
        <v>646</v>
      </c>
      <c r="AP805" s="89" t="s">
        <v>646</v>
      </c>
      <c r="AQ805" s="89" t="s">
        <v>646</v>
      </c>
      <c r="AR805" s="89" t="s">
        <v>646</v>
      </c>
      <c r="AS805" s="89" t="s">
        <v>646</v>
      </c>
      <c r="AT805" s="89" t="s">
        <v>646</v>
      </c>
      <c r="AU805" s="89" t="s">
        <v>646</v>
      </c>
      <c r="AV805" s="89" t="s">
        <v>646</v>
      </c>
      <c r="AW805" s="89" t="s">
        <v>646</v>
      </c>
      <c r="AX805" s="89" t="s">
        <v>646</v>
      </c>
      <c r="AY805" s="89" t="s">
        <v>23928</v>
      </c>
      <c r="AZ805" s="89" t="s">
        <v>23929</v>
      </c>
      <c r="BA805" s="89" t="s">
        <v>646</v>
      </c>
      <c r="BB805" s="89" t="s">
        <v>646</v>
      </c>
      <c r="BC805" s="89" t="s">
        <v>646</v>
      </c>
      <c r="BD805" s="89" t="s">
        <v>22577</v>
      </c>
      <c r="BE805" s="89">
        <v>2019</v>
      </c>
      <c r="BF805" s="89" t="s">
        <v>646</v>
      </c>
      <c r="BG805" s="89">
        <v>93</v>
      </c>
      <c r="BH805" s="89" t="s">
        <v>646</v>
      </c>
      <c r="BI805" s="89" t="s">
        <v>646</v>
      </c>
      <c r="BJ805" s="89" t="s">
        <v>646</v>
      </c>
      <c r="BK805" s="89" t="s">
        <v>646</v>
      </c>
      <c r="BL805" s="89">
        <v>105</v>
      </c>
      <c r="BM805" s="89">
        <v>116</v>
      </c>
      <c r="BN805" s="89" t="s">
        <v>646</v>
      </c>
      <c r="BO805" s="89" t="str">
        <f>HYPERLINK("http://dx.doi.org/10.17533/udea.redin.20190519","http://dx.doi.org/10.17533/udea.redin.20190519")</f>
        <v>http://dx.doi.org/10.17533/udea.redin.20190519</v>
      </c>
      <c r="BP805" s="89" t="s">
        <v>646</v>
      </c>
      <c r="BQ805" s="89" t="s">
        <v>646</v>
      </c>
      <c r="BR805" s="89" t="s">
        <v>646</v>
      </c>
      <c r="BS805" s="89" t="s">
        <v>646</v>
      </c>
      <c r="BT805" s="89" t="s">
        <v>646</v>
      </c>
      <c r="BU805" s="89" t="s">
        <v>646</v>
      </c>
      <c r="BV805" s="89" t="s">
        <v>646</v>
      </c>
      <c r="BW805" s="89" t="s">
        <v>646</v>
      </c>
      <c r="BX805" s="89" t="s">
        <v>646</v>
      </c>
      <c r="BY805" s="89" t="s">
        <v>646</v>
      </c>
      <c r="BZ805" s="89" t="s">
        <v>646</v>
      </c>
      <c r="CA805" s="89" t="s">
        <v>646</v>
      </c>
      <c r="CB805" s="89" t="s">
        <v>23930</v>
      </c>
      <c r="CC805" s="89" t="str">
        <f>HYPERLINK("https%3A%2F%2Fwww.webofscience.com%2Fwos%2Fwoscc%2Ffull-record%2FWOS:000483304400010","View Full Record in Web of Science")</f>
        <v>View Full Record in Web of Science</v>
      </c>
    </row>
    <row r="806" spans="1:81" ht="13.2" hidden="1" x14ac:dyDescent="0.25">
      <c r="A806" s="89" t="s">
        <v>23931</v>
      </c>
      <c r="B806" s="89" t="e">
        <f>+#REF!</f>
        <v>#REF!</v>
      </c>
      <c r="C806" s="89"/>
      <c r="D806" s="91" t="s">
        <v>717</v>
      </c>
      <c r="E806" s="90" t="e">
        <v>#REF!</v>
      </c>
      <c r="F806" s="89"/>
      <c r="G806" s="89"/>
      <c r="H806" s="89" t="s">
        <v>14954</v>
      </c>
      <c r="I806" s="89" t="s">
        <v>23933</v>
      </c>
      <c r="J806" s="89" t="s">
        <v>646</v>
      </c>
      <c r="K806" s="89" t="s">
        <v>23939</v>
      </c>
      <c r="M806" s="89">
        <v>2019</v>
      </c>
      <c r="N806" s="89" t="s">
        <v>23934</v>
      </c>
      <c r="O806" s="89" t="s">
        <v>23932</v>
      </c>
      <c r="P806" s="89" t="str">
        <f>HYPERLINK("http://dx.doi.org/10.1007/978-3-030-30508-6_43","http://dx.doi.org/10.1007/978-3-030-30508-6_43")</f>
        <v>http://dx.doi.org/10.1007/978-3-030-30508-6_43</v>
      </c>
      <c r="S806" s="89" t="s">
        <v>646</v>
      </c>
      <c r="U806" s="89" t="s">
        <v>17474</v>
      </c>
      <c r="W806" s="89" t="s">
        <v>646</v>
      </c>
      <c r="X806" s="89" t="s">
        <v>646</v>
      </c>
      <c r="Y806" s="89" t="s">
        <v>23935</v>
      </c>
      <c r="Z806" s="89" t="s">
        <v>23936</v>
      </c>
      <c r="AA806" s="89" t="s">
        <v>23937</v>
      </c>
      <c r="AB806" s="89" t="s">
        <v>646</v>
      </c>
      <c r="AC806" s="89" t="s">
        <v>23938</v>
      </c>
      <c r="AD806" s="89" t="s">
        <v>646</v>
      </c>
      <c r="AE806" s="89" t="s">
        <v>646</v>
      </c>
      <c r="AF806" s="89" t="s">
        <v>23939</v>
      </c>
      <c r="AG806" s="89" t="s">
        <v>646</v>
      </c>
      <c r="AH806" s="89" t="s">
        <v>646</v>
      </c>
      <c r="AI806" s="89" t="s">
        <v>646</v>
      </c>
      <c r="AJ806" s="89" t="s">
        <v>646</v>
      </c>
      <c r="AK806" s="89" t="s">
        <v>646</v>
      </c>
      <c r="AL806" s="89" t="s">
        <v>646</v>
      </c>
      <c r="AM806" s="89" t="s">
        <v>646</v>
      </c>
      <c r="AN806" s="89" t="s">
        <v>646</v>
      </c>
      <c r="AO806" s="89" t="s">
        <v>646</v>
      </c>
      <c r="AP806" s="89" t="s">
        <v>646</v>
      </c>
      <c r="AQ806" s="89" t="s">
        <v>646</v>
      </c>
      <c r="AR806" s="89" t="s">
        <v>646</v>
      </c>
      <c r="AS806" s="89" t="s">
        <v>646</v>
      </c>
      <c r="AT806" s="89" t="s">
        <v>646</v>
      </c>
      <c r="AU806" s="89" t="s">
        <v>646</v>
      </c>
      <c r="AV806" s="89" t="s">
        <v>646</v>
      </c>
      <c r="AW806" s="89" t="s">
        <v>646</v>
      </c>
      <c r="AX806" s="89" t="s">
        <v>646</v>
      </c>
      <c r="AY806" s="89" t="s">
        <v>18367</v>
      </c>
      <c r="AZ806" s="89" t="s">
        <v>18884</v>
      </c>
      <c r="BA806" s="89" t="s">
        <v>23940</v>
      </c>
      <c r="BB806" s="89" t="s">
        <v>646</v>
      </c>
      <c r="BC806" s="89" t="s">
        <v>646</v>
      </c>
      <c r="BD806" s="89" t="s">
        <v>646</v>
      </c>
      <c r="BE806" s="89">
        <v>2019</v>
      </c>
      <c r="BF806" s="89">
        <v>11729</v>
      </c>
      <c r="BG806" s="89" t="s">
        <v>646</v>
      </c>
      <c r="BH806" s="89" t="s">
        <v>646</v>
      </c>
      <c r="BI806" s="89" t="s">
        <v>646</v>
      </c>
      <c r="BJ806" s="89" t="s">
        <v>646</v>
      </c>
      <c r="BK806" s="89" t="s">
        <v>646</v>
      </c>
      <c r="BL806" s="89">
        <v>537</v>
      </c>
      <c r="BM806" s="89">
        <v>549</v>
      </c>
      <c r="BN806" s="89" t="s">
        <v>646</v>
      </c>
      <c r="BO806" s="89" t="str">
        <f>HYPERLINK("http://dx.doi.org/10.1007/978-3-030-30508-6_43","http://dx.doi.org/10.1007/978-3-030-30508-6_43")</f>
        <v>http://dx.doi.org/10.1007/978-3-030-30508-6_43</v>
      </c>
      <c r="BP806" s="89" t="s">
        <v>646</v>
      </c>
      <c r="BQ806" s="89" t="s">
        <v>646</v>
      </c>
      <c r="BR806" s="89" t="s">
        <v>646</v>
      </c>
      <c r="BS806" s="89" t="s">
        <v>646</v>
      </c>
      <c r="BT806" s="89" t="s">
        <v>646</v>
      </c>
      <c r="BU806" s="89" t="s">
        <v>646</v>
      </c>
      <c r="BV806" s="89" t="s">
        <v>646</v>
      </c>
      <c r="BW806" s="89" t="s">
        <v>646</v>
      </c>
      <c r="BX806" s="89" t="s">
        <v>646</v>
      </c>
      <c r="BY806" s="89" t="s">
        <v>646</v>
      </c>
      <c r="BZ806" s="89" t="s">
        <v>646</v>
      </c>
      <c r="CA806" s="89" t="s">
        <v>646</v>
      </c>
      <c r="CB806" s="89" t="s">
        <v>23941</v>
      </c>
      <c r="CC806" s="89" t="str">
        <f>HYPERLINK("https%3A%2F%2Fwww.webofscience.com%2Fwos%2Fwoscc%2Ffull-record%2FWOS:000546011500043","View Full Record in Web of Science")</f>
        <v>View Full Record in Web of Science</v>
      </c>
    </row>
    <row r="807" spans="1:81" ht="13.2" hidden="1" x14ac:dyDescent="0.25">
      <c r="A807" s="89" t="s">
        <v>14962</v>
      </c>
      <c r="B807" s="89" t="e">
        <f>+#REF!</f>
        <v>#REF!</v>
      </c>
      <c r="C807" s="89"/>
      <c r="D807" s="91" t="s">
        <v>717</v>
      </c>
      <c r="E807" s="90" t="e">
        <v>#REF!</v>
      </c>
      <c r="F807" s="89"/>
      <c r="G807" s="89"/>
      <c r="H807" s="89" t="s">
        <v>14963</v>
      </c>
      <c r="I807" s="89" t="s">
        <v>23942</v>
      </c>
      <c r="J807" s="89" t="s">
        <v>23944</v>
      </c>
      <c r="K807" s="89" t="s">
        <v>23943</v>
      </c>
      <c r="M807" s="89">
        <v>2020</v>
      </c>
      <c r="N807" s="89" t="s">
        <v>18595</v>
      </c>
      <c r="O807" s="89" t="s">
        <v>646</v>
      </c>
      <c r="P807" s="89" t="str">
        <f>HYPERLINK("http://dx.doi.org/10.1371/journal.pone.0228882","http://dx.doi.org/10.1371/journal.pone.0228882")</f>
        <v>http://dx.doi.org/10.1371/journal.pone.0228882</v>
      </c>
      <c r="S807" s="89" t="s">
        <v>646</v>
      </c>
      <c r="U807" s="89" t="s">
        <v>17462</v>
      </c>
      <c r="W807" s="89" t="s">
        <v>646</v>
      </c>
      <c r="X807" s="89" t="s">
        <v>646</v>
      </c>
      <c r="Y807" s="89" t="s">
        <v>646</v>
      </c>
      <c r="Z807" s="89" t="s">
        <v>646</v>
      </c>
      <c r="AA807" s="89" t="s">
        <v>646</v>
      </c>
      <c r="AB807" s="89" t="s">
        <v>646</v>
      </c>
      <c r="AC807" s="89" t="s">
        <v>646</v>
      </c>
      <c r="AD807" s="89" t="s">
        <v>646</v>
      </c>
      <c r="AE807" s="89" t="s">
        <v>646</v>
      </c>
      <c r="AF807" s="89" t="s">
        <v>23943</v>
      </c>
      <c r="AG807" s="89" t="s">
        <v>646</v>
      </c>
      <c r="AH807" s="89" t="s">
        <v>646</v>
      </c>
      <c r="AI807" s="89" t="s">
        <v>646</v>
      </c>
      <c r="AJ807" s="89" t="s">
        <v>646</v>
      </c>
      <c r="AK807" s="89" t="s">
        <v>23944</v>
      </c>
      <c r="AL807" s="89" t="s">
        <v>23945</v>
      </c>
      <c r="AM807" s="89" t="s">
        <v>646</v>
      </c>
      <c r="AN807" s="89" t="s">
        <v>646</v>
      </c>
      <c r="AO807" s="89" t="s">
        <v>646</v>
      </c>
      <c r="AP807" s="89" t="s">
        <v>646</v>
      </c>
      <c r="AQ807" s="89" t="s">
        <v>646</v>
      </c>
      <c r="AR807" s="89" t="s">
        <v>646</v>
      </c>
      <c r="AS807" s="89" t="s">
        <v>646</v>
      </c>
      <c r="AT807" s="89" t="s">
        <v>646</v>
      </c>
      <c r="AU807" s="89" t="s">
        <v>646</v>
      </c>
      <c r="AV807" s="89" t="s">
        <v>646</v>
      </c>
      <c r="AW807" s="89" t="s">
        <v>646</v>
      </c>
      <c r="AX807" s="89" t="s">
        <v>646</v>
      </c>
      <c r="AY807" s="89" t="s">
        <v>18599</v>
      </c>
      <c r="AZ807" s="89" t="s">
        <v>646</v>
      </c>
      <c r="BA807" s="89" t="s">
        <v>646</v>
      </c>
      <c r="BB807" s="89" t="s">
        <v>646</v>
      </c>
      <c r="BC807" s="89" t="s">
        <v>646</v>
      </c>
      <c r="BD807" s="89" t="s">
        <v>20037</v>
      </c>
      <c r="BE807" s="89">
        <v>2020</v>
      </c>
      <c r="BF807" s="89">
        <v>15</v>
      </c>
      <c r="BG807" s="89">
        <v>2</v>
      </c>
      <c r="BH807" s="89" t="s">
        <v>646</v>
      </c>
      <c r="BI807" s="89" t="s">
        <v>646</v>
      </c>
      <c r="BJ807" s="89" t="s">
        <v>646</v>
      </c>
      <c r="BK807" s="89" t="s">
        <v>646</v>
      </c>
      <c r="BL807" s="89" t="s">
        <v>646</v>
      </c>
      <c r="BM807" s="89" t="s">
        <v>646</v>
      </c>
      <c r="BN807" s="89" t="s">
        <v>23946</v>
      </c>
      <c r="BO807" s="89" t="str">
        <f>HYPERLINK("http://dx.doi.org/10.1371/journal.pone.0228882","http://dx.doi.org/10.1371/journal.pone.0228882")</f>
        <v>http://dx.doi.org/10.1371/journal.pone.0228882</v>
      </c>
      <c r="BP807" s="89" t="s">
        <v>646</v>
      </c>
      <c r="BQ807" s="89" t="s">
        <v>646</v>
      </c>
      <c r="BR807" s="89" t="s">
        <v>646</v>
      </c>
      <c r="BS807" s="89" t="s">
        <v>646</v>
      </c>
      <c r="BT807" s="89" t="s">
        <v>646</v>
      </c>
      <c r="BU807" s="89" t="s">
        <v>646</v>
      </c>
      <c r="BV807" s="89" t="s">
        <v>646</v>
      </c>
      <c r="BW807" s="89">
        <v>32040539</v>
      </c>
      <c r="BX807" s="89" t="s">
        <v>646</v>
      </c>
      <c r="BY807" s="89" t="s">
        <v>646</v>
      </c>
      <c r="BZ807" s="89" t="s">
        <v>646</v>
      </c>
      <c r="CA807" s="89" t="s">
        <v>646</v>
      </c>
      <c r="CB807" s="89" t="s">
        <v>23947</v>
      </c>
      <c r="CC807" s="89" t="str">
        <f>HYPERLINK("https%3A%2F%2Fwww.webofscience.com%2Fwos%2Fwoscc%2Ffull-record%2FWOS:000534629400050","View Full Record in Web of Science")</f>
        <v>View Full Record in Web of Science</v>
      </c>
    </row>
    <row r="808" spans="1:81" ht="13.2" hidden="1" x14ac:dyDescent="0.25">
      <c r="A808" s="89" t="s">
        <v>10246</v>
      </c>
      <c r="B808" s="89" t="e">
        <f>+#REF!</f>
        <v>#REF!</v>
      </c>
      <c r="C808" s="89"/>
      <c r="D808" s="91" t="s">
        <v>717</v>
      </c>
      <c r="E808" s="90" t="e">
        <v>#REF!</v>
      </c>
      <c r="F808" s="89"/>
      <c r="G808" s="89"/>
      <c r="H808" s="89" t="s">
        <v>10247</v>
      </c>
      <c r="I808" s="89" t="s">
        <v>23948</v>
      </c>
      <c r="J808" s="89" t="s">
        <v>646</v>
      </c>
      <c r="K808" s="89" t="s">
        <v>23949</v>
      </c>
      <c r="M808" s="89">
        <v>2022</v>
      </c>
      <c r="N808" s="89" t="s">
        <v>23876</v>
      </c>
      <c r="O808" s="89" t="s">
        <v>646</v>
      </c>
      <c r="P808" s="89" t="str">
        <f>HYPERLINK("http://dx.doi.org/10.1016/j.jbusres.2021.10.074","http://dx.doi.org/10.1016/j.jbusres.2021.10.074")</f>
        <v>http://dx.doi.org/10.1016/j.jbusres.2021.10.074</v>
      </c>
      <c r="S808" s="89" t="s">
        <v>646</v>
      </c>
      <c r="U808" s="89" t="s">
        <v>17462</v>
      </c>
      <c r="W808" s="89" t="s">
        <v>646</v>
      </c>
      <c r="X808" s="89" t="s">
        <v>646</v>
      </c>
      <c r="Y808" s="89" t="s">
        <v>646</v>
      </c>
      <c r="Z808" s="89" t="s">
        <v>646</v>
      </c>
      <c r="AA808" s="89" t="s">
        <v>646</v>
      </c>
      <c r="AB808" s="89" t="s">
        <v>646</v>
      </c>
      <c r="AC808" s="89" t="s">
        <v>646</v>
      </c>
      <c r="AD808" s="89" t="s">
        <v>646</v>
      </c>
      <c r="AE808" s="89" t="s">
        <v>646</v>
      </c>
      <c r="AF808" s="89" t="s">
        <v>23949</v>
      </c>
      <c r="AG808" s="89" t="s">
        <v>646</v>
      </c>
      <c r="AH808" s="89" t="s">
        <v>646</v>
      </c>
      <c r="AI808" s="89" t="s">
        <v>646</v>
      </c>
      <c r="AJ808" s="89" t="s">
        <v>646</v>
      </c>
      <c r="AK808" s="89" t="s">
        <v>646</v>
      </c>
      <c r="AL808" s="89" t="s">
        <v>646</v>
      </c>
      <c r="AM808" s="89" t="s">
        <v>646</v>
      </c>
      <c r="AN808" s="89" t="s">
        <v>646</v>
      </c>
      <c r="AO808" s="89" t="s">
        <v>646</v>
      </c>
      <c r="AP808" s="89" t="s">
        <v>646</v>
      </c>
      <c r="AQ808" s="89" t="s">
        <v>646</v>
      </c>
      <c r="AR808" s="89" t="s">
        <v>646</v>
      </c>
      <c r="AS808" s="89" t="s">
        <v>646</v>
      </c>
      <c r="AT808" s="89" t="s">
        <v>646</v>
      </c>
      <c r="AU808" s="89" t="s">
        <v>646</v>
      </c>
      <c r="AV808" s="89" t="s">
        <v>646</v>
      </c>
      <c r="AW808" s="89" t="s">
        <v>646</v>
      </c>
      <c r="AX808" s="89" t="s">
        <v>646</v>
      </c>
      <c r="AY808" s="89" t="s">
        <v>23878</v>
      </c>
      <c r="AZ808" s="89" t="s">
        <v>23879</v>
      </c>
      <c r="BA808" s="89" t="s">
        <v>646</v>
      </c>
      <c r="BB808" s="89" t="s">
        <v>646</v>
      </c>
      <c r="BC808" s="89" t="s">
        <v>646</v>
      </c>
      <c r="BD808" s="89" t="s">
        <v>17658</v>
      </c>
      <c r="BE808" s="89">
        <v>2022</v>
      </c>
      <c r="BF808" s="89">
        <v>139</v>
      </c>
      <c r="BG808" s="89" t="s">
        <v>646</v>
      </c>
      <c r="BH808" s="89" t="s">
        <v>646</v>
      </c>
      <c r="BI808" s="89" t="s">
        <v>646</v>
      </c>
      <c r="BJ808" s="89" t="s">
        <v>646</v>
      </c>
      <c r="BK808" s="89" t="s">
        <v>646</v>
      </c>
      <c r="BL808" s="89">
        <v>1553</v>
      </c>
      <c r="BM808" s="89">
        <v>1563</v>
      </c>
      <c r="BN808" s="89" t="s">
        <v>646</v>
      </c>
      <c r="BO808" s="89" t="str">
        <f>HYPERLINK("http://dx.doi.org/10.1016/j.jbusres.2021.10.074","http://dx.doi.org/10.1016/j.jbusres.2021.10.074")</f>
        <v>http://dx.doi.org/10.1016/j.jbusres.2021.10.074</v>
      </c>
      <c r="BP808" s="89" t="s">
        <v>646</v>
      </c>
      <c r="BQ808" s="89" t="s">
        <v>646</v>
      </c>
      <c r="BR808" s="89" t="s">
        <v>646</v>
      </c>
      <c r="BS808" s="89" t="s">
        <v>646</v>
      </c>
      <c r="BT808" s="89" t="s">
        <v>646</v>
      </c>
      <c r="BU808" s="89" t="s">
        <v>646</v>
      </c>
      <c r="BV808" s="89" t="s">
        <v>646</v>
      </c>
      <c r="BW808" s="89" t="s">
        <v>646</v>
      </c>
      <c r="BX808" s="89" t="s">
        <v>646</v>
      </c>
      <c r="BY808" s="89" t="s">
        <v>646</v>
      </c>
      <c r="BZ808" s="89" t="s">
        <v>646</v>
      </c>
      <c r="CA808" s="89" t="s">
        <v>646</v>
      </c>
      <c r="CB808" s="89" t="s">
        <v>23950</v>
      </c>
      <c r="CC808" s="89" t="str">
        <f>HYPERLINK("https%3A%2F%2Fwww.webofscience.com%2Fwos%2Fwoscc%2Ffull-record%2FWOS:000780197800016","View Full Record in Web of Science")</f>
        <v>View Full Record in Web of Science</v>
      </c>
    </row>
    <row r="809" spans="1:81" ht="13.2" hidden="1" x14ac:dyDescent="0.25">
      <c r="A809" s="89" t="s">
        <v>23951</v>
      </c>
      <c r="B809" s="89" t="e">
        <f>+#REF!</f>
        <v>#REF!</v>
      </c>
      <c r="C809" s="89"/>
      <c r="D809" s="91" t="s">
        <v>717</v>
      </c>
      <c r="E809" s="90" t="e">
        <v>#REF!</v>
      </c>
      <c r="F809" s="89"/>
      <c r="G809" s="89"/>
      <c r="H809" s="89" t="s">
        <v>14972</v>
      </c>
      <c r="I809" s="89" t="s">
        <v>23952</v>
      </c>
      <c r="J809" s="89" t="s">
        <v>646</v>
      </c>
      <c r="K809" s="89" t="s">
        <v>23954</v>
      </c>
      <c r="M809" s="89">
        <v>2010</v>
      </c>
      <c r="N809" s="89" t="s">
        <v>23953</v>
      </c>
      <c r="O809" s="89" t="s">
        <v>646</v>
      </c>
      <c r="P809" s="89" t="str">
        <f>HYPERLINK("http://dx.doi.org/10.1155/2010/404860","http://dx.doi.org/10.1155/2010/404860")</f>
        <v>http://dx.doi.org/10.1155/2010/404860</v>
      </c>
      <c r="S809" s="89" t="s">
        <v>646</v>
      </c>
      <c r="U809" s="89" t="s">
        <v>17462</v>
      </c>
      <c r="W809" s="89" t="s">
        <v>646</v>
      </c>
      <c r="X809" s="89" t="s">
        <v>646</v>
      </c>
      <c r="Y809" s="89" t="s">
        <v>646</v>
      </c>
      <c r="Z809" s="89" t="s">
        <v>646</v>
      </c>
      <c r="AA809" s="89" t="s">
        <v>646</v>
      </c>
      <c r="AB809" s="89" t="s">
        <v>646</v>
      </c>
      <c r="AC809" s="89" t="s">
        <v>646</v>
      </c>
      <c r="AD809" s="89" t="s">
        <v>646</v>
      </c>
      <c r="AE809" s="89" t="s">
        <v>646</v>
      </c>
      <c r="AF809" s="89" t="s">
        <v>23954</v>
      </c>
      <c r="AG809" s="89" t="s">
        <v>646</v>
      </c>
      <c r="AH809" s="89" t="s">
        <v>646</v>
      </c>
      <c r="AI809" s="89" t="s">
        <v>646</v>
      </c>
      <c r="AJ809" s="89" t="s">
        <v>646</v>
      </c>
      <c r="AK809" s="89" t="s">
        <v>646</v>
      </c>
      <c r="AL809" s="89" t="s">
        <v>23955</v>
      </c>
      <c r="AM809" s="89" t="s">
        <v>646</v>
      </c>
      <c r="AN809" s="89" t="s">
        <v>646</v>
      </c>
      <c r="AO809" s="89" t="s">
        <v>646</v>
      </c>
      <c r="AP809" s="89" t="s">
        <v>646</v>
      </c>
      <c r="AQ809" s="89" t="s">
        <v>646</v>
      </c>
      <c r="AR809" s="89" t="s">
        <v>646</v>
      </c>
      <c r="AS809" s="89" t="s">
        <v>646</v>
      </c>
      <c r="AT809" s="89" t="s">
        <v>646</v>
      </c>
      <c r="AU809" s="89" t="s">
        <v>646</v>
      </c>
      <c r="AV809" s="89" t="s">
        <v>646</v>
      </c>
      <c r="AW809" s="89" t="s">
        <v>646</v>
      </c>
      <c r="AX809" s="89" t="s">
        <v>646</v>
      </c>
      <c r="AY809" s="89" t="s">
        <v>23956</v>
      </c>
      <c r="AZ809" s="89" t="s">
        <v>646</v>
      </c>
      <c r="BA809" s="89" t="s">
        <v>646</v>
      </c>
      <c r="BB809" s="89" t="s">
        <v>646</v>
      </c>
      <c r="BC809" s="89" t="s">
        <v>646</v>
      </c>
      <c r="BD809" s="89" t="s">
        <v>646</v>
      </c>
      <c r="BE809" s="89">
        <v>2010</v>
      </c>
      <c r="BF809" s="89" t="s">
        <v>646</v>
      </c>
      <c r="BG809" s="89" t="s">
        <v>646</v>
      </c>
      <c r="BH809" s="89" t="s">
        <v>646</v>
      </c>
      <c r="BI809" s="89" t="s">
        <v>646</v>
      </c>
      <c r="BJ809" s="89" t="s">
        <v>646</v>
      </c>
      <c r="BK809" s="89" t="s">
        <v>646</v>
      </c>
      <c r="BL809" s="89" t="s">
        <v>646</v>
      </c>
      <c r="BM809" s="89" t="s">
        <v>646</v>
      </c>
      <c r="BN809" s="89">
        <v>404860</v>
      </c>
      <c r="BO809" s="89" t="str">
        <f>HYPERLINK("http://dx.doi.org/10.1155/2010/404860","http://dx.doi.org/10.1155/2010/404860")</f>
        <v>http://dx.doi.org/10.1155/2010/404860</v>
      </c>
      <c r="BP809" s="89" t="s">
        <v>646</v>
      </c>
      <c r="BQ809" s="89" t="s">
        <v>646</v>
      </c>
      <c r="BR809" s="89" t="s">
        <v>646</v>
      </c>
      <c r="BS809" s="89" t="s">
        <v>646</v>
      </c>
      <c r="BT809" s="89" t="s">
        <v>646</v>
      </c>
      <c r="BU809" s="89" t="s">
        <v>646</v>
      </c>
      <c r="BV809" s="89" t="s">
        <v>646</v>
      </c>
      <c r="BW809" s="89" t="s">
        <v>646</v>
      </c>
      <c r="BX809" s="89" t="s">
        <v>646</v>
      </c>
      <c r="BY809" s="89" t="s">
        <v>646</v>
      </c>
      <c r="BZ809" s="89" t="s">
        <v>646</v>
      </c>
      <c r="CA809" s="89" t="s">
        <v>646</v>
      </c>
      <c r="CB809" s="89" t="s">
        <v>23957</v>
      </c>
      <c r="CC809" s="89" t="str">
        <f>HYPERLINK("https%3A%2F%2Fwww.webofscience.com%2Fwos%2Fwoscc%2Ffull-record%2FWOS:000285155200001","View Full Record in Web of Science")</f>
        <v>View Full Record in Web of Science</v>
      </c>
    </row>
    <row r="810" spans="1:81" ht="13.2" hidden="1" x14ac:dyDescent="0.25">
      <c r="A810" s="89" t="s">
        <v>23958</v>
      </c>
      <c r="B810" s="89" t="e">
        <f>+#REF!</f>
        <v>#REF!</v>
      </c>
      <c r="C810" s="89"/>
      <c r="D810" s="91" t="s">
        <v>717</v>
      </c>
      <c r="E810" s="90" t="e">
        <v>#REF!</v>
      </c>
      <c r="F810" s="89"/>
      <c r="G810" s="89"/>
      <c r="H810" s="89" t="s">
        <v>14982</v>
      </c>
      <c r="I810" s="89" t="s">
        <v>23959</v>
      </c>
      <c r="J810" s="89" t="s">
        <v>646</v>
      </c>
      <c r="K810" s="89" t="s">
        <v>23963</v>
      </c>
      <c r="M810" s="89">
        <v>2019</v>
      </c>
      <c r="N810" s="89" t="s">
        <v>23960</v>
      </c>
      <c r="O810" s="89" t="s">
        <v>646</v>
      </c>
      <c r="P810" s="89" t="str">
        <f>HYPERLINK("http://dx.doi.org/10.1145/3330430.3333649","http://dx.doi.org/10.1145/3330430.3333649")</f>
        <v>http://dx.doi.org/10.1145/3330430.3333649</v>
      </c>
      <c r="S810" s="89" t="s">
        <v>17804</v>
      </c>
      <c r="U810" s="89" t="s">
        <v>17474</v>
      </c>
      <c r="W810" s="89" t="s">
        <v>646</v>
      </c>
      <c r="X810" s="89" t="s">
        <v>646</v>
      </c>
      <c r="Y810" s="89" t="s">
        <v>23961</v>
      </c>
      <c r="Z810" s="89" t="s">
        <v>23962</v>
      </c>
      <c r="AA810" s="89" t="s">
        <v>20425</v>
      </c>
      <c r="AB810" s="89" t="s">
        <v>17804</v>
      </c>
      <c r="AC810" s="89" t="s">
        <v>646</v>
      </c>
      <c r="AD810" s="89" t="s">
        <v>646</v>
      </c>
      <c r="AE810" s="89" t="s">
        <v>646</v>
      </c>
      <c r="AF810" s="89" t="s">
        <v>23963</v>
      </c>
      <c r="AG810" s="89" t="s">
        <v>646</v>
      </c>
      <c r="AH810" s="89" t="s">
        <v>646</v>
      </c>
      <c r="AI810" s="89" t="s">
        <v>646</v>
      </c>
      <c r="AJ810" s="89" t="s">
        <v>646</v>
      </c>
      <c r="AK810" s="89" t="s">
        <v>646</v>
      </c>
      <c r="AL810" s="89" t="s">
        <v>646</v>
      </c>
      <c r="AM810" s="89" t="s">
        <v>646</v>
      </c>
      <c r="AN810" s="89" t="s">
        <v>646</v>
      </c>
      <c r="AO810" s="89" t="s">
        <v>646</v>
      </c>
      <c r="AP810" s="89" t="s">
        <v>646</v>
      </c>
      <c r="AQ810" s="89" t="s">
        <v>646</v>
      </c>
      <c r="AR810" s="89" t="s">
        <v>646</v>
      </c>
      <c r="AS810" s="89" t="s">
        <v>646</v>
      </c>
      <c r="AT810" s="89" t="s">
        <v>646</v>
      </c>
      <c r="AU810" s="89" t="s">
        <v>646</v>
      </c>
      <c r="AV810" s="89" t="s">
        <v>646</v>
      </c>
      <c r="AW810" s="89" t="s">
        <v>646</v>
      </c>
      <c r="AX810" s="89" t="s">
        <v>646</v>
      </c>
      <c r="AY810" s="89" t="s">
        <v>646</v>
      </c>
      <c r="AZ810" s="89" t="s">
        <v>646</v>
      </c>
      <c r="BA810" s="89" t="s">
        <v>23964</v>
      </c>
      <c r="BB810" s="89" t="s">
        <v>646</v>
      </c>
      <c r="BC810" s="89" t="s">
        <v>646</v>
      </c>
      <c r="BD810" s="89" t="s">
        <v>646</v>
      </c>
      <c r="BE810" s="89">
        <v>2019</v>
      </c>
      <c r="BF810" s="89" t="s">
        <v>646</v>
      </c>
      <c r="BG810" s="89" t="s">
        <v>646</v>
      </c>
      <c r="BH810" s="89" t="s">
        <v>646</v>
      </c>
      <c r="BI810" s="89" t="s">
        <v>646</v>
      </c>
      <c r="BJ810" s="89" t="s">
        <v>646</v>
      </c>
      <c r="BK810" s="89" t="s">
        <v>646</v>
      </c>
      <c r="BL810" s="89" t="s">
        <v>646</v>
      </c>
      <c r="BM810" s="89" t="s">
        <v>646</v>
      </c>
      <c r="BN810" s="89" t="s">
        <v>646</v>
      </c>
      <c r="BO810" s="89" t="str">
        <f>HYPERLINK("http://dx.doi.org/10.1145/3330430.3333649","http://dx.doi.org/10.1145/3330430.3333649")</f>
        <v>http://dx.doi.org/10.1145/3330430.3333649</v>
      </c>
      <c r="BP810" s="89" t="s">
        <v>646</v>
      </c>
      <c r="BQ810" s="89" t="s">
        <v>646</v>
      </c>
      <c r="BR810" s="89" t="s">
        <v>646</v>
      </c>
      <c r="BS810" s="89" t="s">
        <v>646</v>
      </c>
      <c r="BT810" s="89" t="s">
        <v>646</v>
      </c>
      <c r="BU810" s="89" t="s">
        <v>646</v>
      </c>
      <c r="BV810" s="89" t="s">
        <v>646</v>
      </c>
      <c r="BW810" s="89" t="s">
        <v>646</v>
      </c>
      <c r="BX810" s="89" t="s">
        <v>646</v>
      </c>
      <c r="BY810" s="89" t="s">
        <v>646</v>
      </c>
      <c r="BZ810" s="89" t="s">
        <v>646</v>
      </c>
      <c r="CA810" s="89" t="s">
        <v>646</v>
      </c>
      <c r="CB810" s="89" t="s">
        <v>23965</v>
      </c>
      <c r="CC810" s="89" t="str">
        <f>HYPERLINK("https%3A%2F%2Fwww.webofscience.com%2Fwos%2Fwoscc%2Ffull-record%2FWOS:000507611000036","View Full Record in Web of Science")</f>
        <v>View Full Record in Web of Science</v>
      </c>
    </row>
    <row r="811" spans="1:81" ht="13.2" hidden="1" x14ac:dyDescent="0.25">
      <c r="A811" s="89" t="s">
        <v>10255</v>
      </c>
      <c r="B811" s="89" t="e">
        <f>+#REF!</f>
        <v>#REF!</v>
      </c>
      <c r="C811" s="89"/>
      <c r="D811" s="91" t="s">
        <v>717</v>
      </c>
      <c r="E811" s="90" t="e">
        <v>#REF!</v>
      </c>
      <c r="F811" s="89"/>
      <c r="G811" s="89"/>
      <c r="H811" s="89" t="s">
        <v>10256</v>
      </c>
      <c r="I811" s="89" t="s">
        <v>23966</v>
      </c>
      <c r="J811" s="89" t="s">
        <v>23968</v>
      </c>
      <c r="K811" s="89" t="s">
        <v>23967</v>
      </c>
      <c r="M811" s="89">
        <v>2021</v>
      </c>
      <c r="N811" s="89" t="s">
        <v>20105</v>
      </c>
      <c r="O811" s="89" t="s">
        <v>646</v>
      </c>
      <c r="P811" s="89" t="str">
        <f>HYPERLINK("http://dx.doi.org/10.3389/fpsyg.2021.604843","http://dx.doi.org/10.3389/fpsyg.2021.604843")</f>
        <v>http://dx.doi.org/10.3389/fpsyg.2021.604843</v>
      </c>
      <c r="S811" s="89" t="s">
        <v>646</v>
      </c>
      <c r="U811" s="89" t="s">
        <v>17462</v>
      </c>
      <c r="W811" s="89" t="s">
        <v>646</v>
      </c>
      <c r="X811" s="89" t="s">
        <v>646</v>
      </c>
      <c r="Y811" s="89" t="s">
        <v>646</v>
      </c>
      <c r="Z811" s="89" t="s">
        <v>646</v>
      </c>
      <c r="AA811" s="89" t="s">
        <v>646</v>
      </c>
      <c r="AB811" s="89" t="s">
        <v>646</v>
      </c>
      <c r="AC811" s="89" t="s">
        <v>646</v>
      </c>
      <c r="AD811" s="89" t="s">
        <v>646</v>
      </c>
      <c r="AE811" s="89" t="s">
        <v>646</v>
      </c>
      <c r="AF811" s="89" t="s">
        <v>23967</v>
      </c>
      <c r="AG811" s="89" t="s">
        <v>646</v>
      </c>
      <c r="AH811" s="89" t="s">
        <v>646</v>
      </c>
      <c r="AI811" s="89" t="s">
        <v>646</v>
      </c>
      <c r="AJ811" s="89" t="s">
        <v>646</v>
      </c>
      <c r="AK811" s="89" t="s">
        <v>23968</v>
      </c>
      <c r="AL811" s="89" t="s">
        <v>23969</v>
      </c>
      <c r="AM811" s="89" t="s">
        <v>646</v>
      </c>
      <c r="AN811" s="89" t="s">
        <v>646</v>
      </c>
      <c r="AO811" s="89" t="s">
        <v>646</v>
      </c>
      <c r="AP811" s="89" t="s">
        <v>646</v>
      </c>
      <c r="AQ811" s="89" t="s">
        <v>646</v>
      </c>
      <c r="AR811" s="89" t="s">
        <v>646</v>
      </c>
      <c r="AS811" s="89" t="s">
        <v>646</v>
      </c>
      <c r="AT811" s="89" t="s">
        <v>646</v>
      </c>
      <c r="AU811" s="89" t="s">
        <v>646</v>
      </c>
      <c r="AV811" s="89" t="s">
        <v>646</v>
      </c>
      <c r="AW811" s="89" t="s">
        <v>646</v>
      </c>
      <c r="AX811" s="89" t="s">
        <v>646</v>
      </c>
      <c r="AY811" s="89" t="s">
        <v>20108</v>
      </c>
      <c r="AZ811" s="89" t="s">
        <v>646</v>
      </c>
      <c r="BA811" s="89" t="s">
        <v>646</v>
      </c>
      <c r="BB811" s="89" t="s">
        <v>646</v>
      </c>
      <c r="BC811" s="89" t="s">
        <v>646</v>
      </c>
      <c r="BD811" s="89" t="s">
        <v>22044</v>
      </c>
      <c r="BE811" s="89">
        <v>2021</v>
      </c>
      <c r="BF811" s="89">
        <v>12</v>
      </c>
      <c r="BG811" s="89" t="s">
        <v>646</v>
      </c>
      <c r="BH811" s="89" t="s">
        <v>646</v>
      </c>
      <c r="BI811" s="89" t="s">
        <v>646</v>
      </c>
      <c r="BJ811" s="89" t="s">
        <v>646</v>
      </c>
      <c r="BK811" s="89" t="s">
        <v>646</v>
      </c>
      <c r="BL811" s="89" t="s">
        <v>646</v>
      </c>
      <c r="BM811" s="89" t="s">
        <v>646</v>
      </c>
      <c r="BN811" s="89">
        <v>604843</v>
      </c>
      <c r="BO811" s="89" t="str">
        <f>HYPERLINK("http://dx.doi.org/10.3389/fpsyg.2021.604843","http://dx.doi.org/10.3389/fpsyg.2021.604843")</f>
        <v>http://dx.doi.org/10.3389/fpsyg.2021.604843</v>
      </c>
      <c r="BP811" s="89" t="s">
        <v>646</v>
      </c>
      <c r="BQ811" s="89" t="s">
        <v>646</v>
      </c>
      <c r="BR811" s="89" t="s">
        <v>646</v>
      </c>
      <c r="BS811" s="89" t="s">
        <v>646</v>
      </c>
      <c r="BT811" s="89" t="s">
        <v>646</v>
      </c>
      <c r="BU811" s="89" t="s">
        <v>646</v>
      </c>
      <c r="BV811" s="89" t="s">
        <v>646</v>
      </c>
      <c r="BW811" s="89">
        <v>33692720</v>
      </c>
      <c r="BX811" s="89" t="s">
        <v>646</v>
      </c>
      <c r="BY811" s="89" t="s">
        <v>646</v>
      </c>
      <c r="BZ811" s="89" t="s">
        <v>646</v>
      </c>
      <c r="CA811" s="89" t="s">
        <v>646</v>
      </c>
      <c r="CB811" s="89" t="s">
        <v>23970</v>
      </c>
      <c r="CC811" s="89" t="str">
        <f>HYPERLINK("https%3A%2F%2Fwww.webofscience.com%2Fwos%2Fwoscc%2Ffull-record%2FWOS:000626018800001","View Full Record in Web of Science")</f>
        <v>View Full Record in Web of Science</v>
      </c>
    </row>
    <row r="812" spans="1:81" ht="13.2" hidden="1" x14ac:dyDescent="0.25">
      <c r="A812" s="89" t="s">
        <v>23971</v>
      </c>
      <c r="B812" s="89" t="e">
        <f>+#REF!</f>
        <v>#REF!</v>
      </c>
      <c r="C812" s="89"/>
      <c r="D812" s="91" t="s">
        <v>717</v>
      </c>
      <c r="E812" s="90" t="e">
        <v>#REF!</v>
      </c>
      <c r="F812" s="89"/>
      <c r="G812" s="89"/>
      <c r="H812" s="89" t="s">
        <v>646</v>
      </c>
      <c r="I812" s="89" t="s">
        <v>23973</v>
      </c>
      <c r="J812" s="89" t="s">
        <v>646</v>
      </c>
      <c r="K812" s="89" t="s">
        <v>14992</v>
      </c>
      <c r="M812" s="89">
        <v>2012</v>
      </c>
      <c r="N812" s="89" t="s">
        <v>23974</v>
      </c>
      <c r="O812" s="89" t="s">
        <v>646</v>
      </c>
      <c r="P812" s="89" t="s">
        <v>646</v>
      </c>
      <c r="S812" s="89" t="s">
        <v>23972</v>
      </c>
      <c r="U812" s="89" t="s">
        <v>17474</v>
      </c>
      <c r="W812" s="89" t="s">
        <v>646</v>
      </c>
      <c r="X812" s="89" t="s">
        <v>646</v>
      </c>
      <c r="Y812" s="89" t="s">
        <v>23975</v>
      </c>
      <c r="Z812" s="89" t="s">
        <v>23976</v>
      </c>
      <c r="AA812" s="89" t="s">
        <v>19855</v>
      </c>
      <c r="AB812" s="89" t="s">
        <v>18747</v>
      </c>
      <c r="AC812" s="89" t="s">
        <v>646</v>
      </c>
      <c r="AD812" s="89" t="s">
        <v>646</v>
      </c>
      <c r="AE812" s="89" t="s">
        <v>646</v>
      </c>
      <c r="AF812" s="89" t="s">
        <v>14992</v>
      </c>
      <c r="AG812" s="89" t="s">
        <v>646</v>
      </c>
      <c r="AH812" s="89" t="s">
        <v>646</v>
      </c>
      <c r="AI812" s="89" t="s">
        <v>646</v>
      </c>
      <c r="AJ812" s="89" t="s">
        <v>646</v>
      </c>
      <c r="AK812" s="89" t="s">
        <v>646</v>
      </c>
      <c r="AL812" s="89" t="s">
        <v>646</v>
      </c>
      <c r="AM812" s="89" t="s">
        <v>646</v>
      </c>
      <c r="AN812" s="89" t="s">
        <v>646</v>
      </c>
      <c r="AO812" s="89" t="s">
        <v>646</v>
      </c>
      <c r="AP812" s="89" t="s">
        <v>646</v>
      </c>
      <c r="AQ812" s="89" t="s">
        <v>646</v>
      </c>
      <c r="AR812" s="89" t="s">
        <v>646</v>
      </c>
      <c r="AS812" s="89" t="s">
        <v>646</v>
      </c>
      <c r="AT812" s="89" t="s">
        <v>646</v>
      </c>
      <c r="AU812" s="89" t="s">
        <v>646</v>
      </c>
      <c r="AV812" s="89" t="s">
        <v>646</v>
      </c>
      <c r="AW812" s="89" t="s">
        <v>646</v>
      </c>
      <c r="AX812" s="89" t="s">
        <v>646</v>
      </c>
      <c r="AY812" s="89" t="s">
        <v>646</v>
      </c>
      <c r="AZ812" s="89" t="s">
        <v>646</v>
      </c>
      <c r="BA812" s="89" t="s">
        <v>23977</v>
      </c>
      <c r="BB812" s="89" t="s">
        <v>646</v>
      </c>
      <c r="BC812" s="89" t="s">
        <v>646</v>
      </c>
      <c r="BD812" s="89" t="s">
        <v>646</v>
      </c>
      <c r="BE812" s="89">
        <v>2012</v>
      </c>
      <c r="BF812" s="89" t="s">
        <v>646</v>
      </c>
      <c r="BG812" s="89" t="s">
        <v>646</v>
      </c>
      <c r="BH812" s="89" t="s">
        <v>646</v>
      </c>
      <c r="BI812" s="89" t="s">
        <v>646</v>
      </c>
      <c r="BJ812" s="89" t="s">
        <v>646</v>
      </c>
      <c r="BK812" s="89" t="s">
        <v>646</v>
      </c>
      <c r="BL812" s="89">
        <v>1846</v>
      </c>
      <c r="BM812" s="89">
        <v>1849</v>
      </c>
      <c r="BN812" s="89" t="s">
        <v>646</v>
      </c>
      <c r="BO812" s="89" t="s">
        <v>646</v>
      </c>
      <c r="BP812" s="89" t="s">
        <v>646</v>
      </c>
      <c r="BQ812" s="89" t="s">
        <v>646</v>
      </c>
      <c r="BR812" s="89" t="s">
        <v>646</v>
      </c>
      <c r="BS812" s="89" t="s">
        <v>646</v>
      </c>
      <c r="BT812" s="89" t="s">
        <v>646</v>
      </c>
      <c r="BU812" s="89" t="s">
        <v>646</v>
      </c>
      <c r="BV812" s="89" t="s">
        <v>646</v>
      </c>
      <c r="BW812" s="89" t="s">
        <v>646</v>
      </c>
      <c r="BX812" s="89" t="s">
        <v>646</v>
      </c>
      <c r="BY812" s="89" t="s">
        <v>646</v>
      </c>
      <c r="BZ812" s="89" t="s">
        <v>646</v>
      </c>
      <c r="CA812" s="89" t="s">
        <v>646</v>
      </c>
      <c r="CB812" s="89" t="s">
        <v>23978</v>
      </c>
      <c r="CC812" s="89" t="str">
        <f>HYPERLINK("https%3A%2F%2Fwww.webofscience.com%2Fwos%2Fwoscc%2Ffull-record%2FWOS:000320827201012","View Full Record in Web of Science")</f>
        <v>View Full Record in Web of Science</v>
      </c>
    </row>
    <row r="813" spans="1:81" ht="13.2" hidden="1" x14ac:dyDescent="0.25">
      <c r="A813" s="89" t="s">
        <v>23979</v>
      </c>
      <c r="B813" s="89" t="e">
        <f>+#REF!</f>
        <v>#REF!</v>
      </c>
      <c r="C813" s="89"/>
      <c r="D813" s="91" t="s">
        <v>717</v>
      </c>
      <c r="E813" s="90" t="e">
        <v>#REF!</v>
      </c>
      <c r="F813" s="89"/>
      <c r="G813" s="89"/>
      <c r="H813" s="89" t="s">
        <v>14999</v>
      </c>
      <c r="I813" s="89" t="s">
        <v>23980</v>
      </c>
      <c r="J813" s="89" t="s">
        <v>646</v>
      </c>
      <c r="K813" s="89" t="s">
        <v>23981</v>
      </c>
      <c r="M813" s="89">
        <v>2019</v>
      </c>
      <c r="N813" s="89" t="s">
        <v>21591</v>
      </c>
      <c r="O813" s="89" t="s">
        <v>646</v>
      </c>
      <c r="P813" s="89" t="str">
        <f>HYPERLINK("http://dx.doi.org/10.7189/jogh.09.010702","http://dx.doi.org/10.7189/jogh.09.010702")</f>
        <v>http://dx.doi.org/10.7189/jogh.09.010702</v>
      </c>
      <c r="S813" s="89" t="s">
        <v>646</v>
      </c>
      <c r="U813" s="89" t="s">
        <v>17462</v>
      </c>
      <c r="W813" s="89" t="s">
        <v>646</v>
      </c>
      <c r="X813" s="89" t="s">
        <v>646</v>
      </c>
      <c r="Y813" s="89" t="s">
        <v>646</v>
      </c>
      <c r="Z813" s="89" t="s">
        <v>646</v>
      </c>
      <c r="AA813" s="89" t="s">
        <v>646</v>
      </c>
      <c r="AB813" s="89" t="s">
        <v>646</v>
      </c>
      <c r="AC813" s="89" t="s">
        <v>646</v>
      </c>
      <c r="AD813" s="89" t="s">
        <v>646</v>
      </c>
      <c r="AE813" s="89" t="s">
        <v>646</v>
      </c>
      <c r="AF813" s="89" t="s">
        <v>23981</v>
      </c>
      <c r="AG813" s="89" t="s">
        <v>646</v>
      </c>
      <c r="AH813" s="89" t="s">
        <v>646</v>
      </c>
      <c r="AI813" s="89" t="s">
        <v>646</v>
      </c>
      <c r="AJ813" s="89" t="s">
        <v>646</v>
      </c>
      <c r="AK813" s="89" t="s">
        <v>646</v>
      </c>
      <c r="AL813" s="89" t="s">
        <v>23982</v>
      </c>
      <c r="AM813" s="89" t="s">
        <v>646</v>
      </c>
      <c r="AN813" s="89" t="s">
        <v>646</v>
      </c>
      <c r="AO813" s="89" t="s">
        <v>646</v>
      </c>
      <c r="AP813" s="89" t="s">
        <v>646</v>
      </c>
      <c r="AQ813" s="89" t="s">
        <v>646</v>
      </c>
      <c r="AR813" s="89" t="s">
        <v>646</v>
      </c>
      <c r="AS813" s="89" t="s">
        <v>646</v>
      </c>
      <c r="AT813" s="89" t="s">
        <v>646</v>
      </c>
      <c r="AU813" s="89" t="s">
        <v>646</v>
      </c>
      <c r="AV813" s="89" t="s">
        <v>646</v>
      </c>
      <c r="AW813" s="89" t="s">
        <v>646</v>
      </c>
      <c r="AX813" s="89" t="s">
        <v>646</v>
      </c>
      <c r="AY813" s="89" t="s">
        <v>21595</v>
      </c>
      <c r="AZ813" s="89" t="s">
        <v>21596</v>
      </c>
      <c r="BA813" s="89" t="s">
        <v>646</v>
      </c>
      <c r="BB813" s="89" t="s">
        <v>646</v>
      </c>
      <c r="BC813" s="89" t="s">
        <v>646</v>
      </c>
      <c r="BD813" s="89" t="s">
        <v>17772</v>
      </c>
      <c r="BE813" s="89">
        <v>2019</v>
      </c>
      <c r="BF813" s="89">
        <v>9</v>
      </c>
      <c r="BG813" s="89">
        <v>1</v>
      </c>
      <c r="BH813" s="89" t="s">
        <v>646</v>
      </c>
      <c r="BI813" s="89" t="s">
        <v>646</v>
      </c>
      <c r="BJ813" s="89" t="s">
        <v>646</v>
      </c>
      <c r="BK813" s="89" t="s">
        <v>646</v>
      </c>
      <c r="BL813" s="89" t="s">
        <v>646</v>
      </c>
      <c r="BM813" s="89" t="s">
        <v>646</v>
      </c>
      <c r="BN813" s="89">
        <v>10702</v>
      </c>
      <c r="BO813" s="89" t="str">
        <f>HYPERLINK("http://dx.doi.org/10.7189/jogh.09.010702","http://dx.doi.org/10.7189/jogh.09.010702")</f>
        <v>http://dx.doi.org/10.7189/jogh.09.010702</v>
      </c>
      <c r="BP813" s="89" t="s">
        <v>646</v>
      </c>
      <c r="BQ813" s="89" t="s">
        <v>646</v>
      </c>
      <c r="BR813" s="89" t="s">
        <v>646</v>
      </c>
      <c r="BS813" s="89" t="s">
        <v>646</v>
      </c>
      <c r="BT813" s="89" t="s">
        <v>646</v>
      </c>
      <c r="BU813" s="89" t="s">
        <v>646</v>
      </c>
      <c r="BV813" s="89" t="s">
        <v>646</v>
      </c>
      <c r="BW813" s="89">
        <v>30992986</v>
      </c>
      <c r="BX813" s="89" t="s">
        <v>646</v>
      </c>
      <c r="BY813" s="89" t="s">
        <v>646</v>
      </c>
      <c r="BZ813" s="89" t="s">
        <v>646</v>
      </c>
      <c r="CA813" s="89" t="s">
        <v>646</v>
      </c>
      <c r="CB813" s="89" t="s">
        <v>23983</v>
      </c>
      <c r="CC813" s="89" t="str">
        <f>HYPERLINK("https%3A%2F%2Fwww.webofscience.com%2Fwos%2Fwoscc%2Ffull-record%2FWOS:000476640500071","View Full Record in Web of Science")</f>
        <v>View Full Record in Web of Science</v>
      </c>
    </row>
    <row r="814" spans="1:81" ht="13.2" hidden="1" x14ac:dyDescent="0.25">
      <c r="A814" s="89" t="s">
        <v>23984</v>
      </c>
      <c r="B814" s="89" t="e">
        <f>+#REF!</f>
        <v>#REF!</v>
      </c>
      <c r="C814" s="89"/>
      <c r="D814" s="91" t="s">
        <v>717</v>
      </c>
      <c r="E814" s="90" t="e">
        <v>#REF!</v>
      </c>
      <c r="F814" s="89"/>
      <c r="G814" s="89"/>
      <c r="H814" s="89" t="s">
        <v>15008</v>
      </c>
      <c r="I814" s="89" t="s">
        <v>23985</v>
      </c>
      <c r="J814" s="89" t="s">
        <v>23988</v>
      </c>
      <c r="K814" s="89" t="s">
        <v>23987</v>
      </c>
      <c r="M814" s="89">
        <v>2018</v>
      </c>
      <c r="N814" s="89" t="s">
        <v>23986</v>
      </c>
      <c r="O814" s="89" t="s">
        <v>646</v>
      </c>
      <c r="P814" s="89" t="str">
        <f>HYPERLINK("http://dx.doi.org/10.1177/0361684317744531","http://dx.doi.org/10.1177/0361684317744531")</f>
        <v>http://dx.doi.org/10.1177/0361684317744531</v>
      </c>
      <c r="S814" s="89" t="s">
        <v>646</v>
      </c>
      <c r="U814" s="89" t="s">
        <v>17462</v>
      </c>
      <c r="W814" s="89" t="s">
        <v>646</v>
      </c>
      <c r="X814" s="89" t="s">
        <v>646</v>
      </c>
      <c r="Y814" s="89" t="s">
        <v>646</v>
      </c>
      <c r="Z814" s="89" t="s">
        <v>646</v>
      </c>
      <c r="AA814" s="89" t="s">
        <v>646</v>
      </c>
      <c r="AB814" s="89" t="s">
        <v>646</v>
      </c>
      <c r="AC814" s="89" t="s">
        <v>646</v>
      </c>
      <c r="AD814" s="89" t="s">
        <v>646</v>
      </c>
      <c r="AE814" s="89" t="s">
        <v>646</v>
      </c>
      <c r="AF814" s="89" t="s">
        <v>23987</v>
      </c>
      <c r="AG814" s="89" t="s">
        <v>646</v>
      </c>
      <c r="AH814" s="89" t="s">
        <v>646</v>
      </c>
      <c r="AI814" s="89" t="s">
        <v>646</v>
      </c>
      <c r="AJ814" s="89" t="s">
        <v>646</v>
      </c>
      <c r="AK814" s="89" t="s">
        <v>23988</v>
      </c>
      <c r="AL814" s="89" t="s">
        <v>646</v>
      </c>
      <c r="AM814" s="89" t="s">
        <v>646</v>
      </c>
      <c r="AN814" s="89" t="s">
        <v>646</v>
      </c>
      <c r="AO814" s="89" t="s">
        <v>646</v>
      </c>
      <c r="AP814" s="89" t="s">
        <v>646</v>
      </c>
      <c r="AQ814" s="89" t="s">
        <v>646</v>
      </c>
      <c r="AR814" s="89" t="s">
        <v>646</v>
      </c>
      <c r="AS814" s="89" t="s">
        <v>646</v>
      </c>
      <c r="AT814" s="89" t="s">
        <v>646</v>
      </c>
      <c r="AU814" s="89" t="s">
        <v>646</v>
      </c>
      <c r="AV814" s="89" t="s">
        <v>646</v>
      </c>
      <c r="AW814" s="89" t="s">
        <v>646</v>
      </c>
      <c r="AX814" s="89" t="s">
        <v>646</v>
      </c>
      <c r="AY814" s="89" t="s">
        <v>23989</v>
      </c>
      <c r="AZ814" s="89" t="s">
        <v>23990</v>
      </c>
      <c r="BA814" s="89" t="s">
        <v>646</v>
      </c>
      <c r="BB814" s="89" t="s">
        <v>646</v>
      </c>
      <c r="BC814" s="89" t="s">
        <v>646</v>
      </c>
      <c r="BD814" s="89" t="s">
        <v>17772</v>
      </c>
      <c r="BE814" s="89">
        <v>2018</v>
      </c>
      <c r="BF814" s="89">
        <v>42</v>
      </c>
      <c r="BG814" s="89">
        <v>2</v>
      </c>
      <c r="BH814" s="89" t="s">
        <v>646</v>
      </c>
      <c r="BI814" s="89" t="s">
        <v>646</v>
      </c>
      <c r="BJ814" s="89" t="s">
        <v>646</v>
      </c>
      <c r="BK814" s="89" t="s">
        <v>646</v>
      </c>
      <c r="BL814" s="89">
        <v>235</v>
      </c>
      <c r="BM814" s="89">
        <v>247</v>
      </c>
      <c r="BN814" s="89" t="s">
        <v>646</v>
      </c>
      <c r="BO814" s="89" t="str">
        <f>HYPERLINK("http://dx.doi.org/10.1177/0361684317744531","http://dx.doi.org/10.1177/0361684317744531")</f>
        <v>http://dx.doi.org/10.1177/0361684317744531</v>
      </c>
      <c r="BP814" s="89" t="s">
        <v>646</v>
      </c>
      <c r="BQ814" s="89" t="s">
        <v>646</v>
      </c>
      <c r="BR814" s="89" t="s">
        <v>646</v>
      </c>
      <c r="BS814" s="89" t="s">
        <v>646</v>
      </c>
      <c r="BT814" s="89" t="s">
        <v>646</v>
      </c>
      <c r="BU814" s="89" t="s">
        <v>646</v>
      </c>
      <c r="BV814" s="89" t="s">
        <v>646</v>
      </c>
      <c r="BW814" s="89" t="s">
        <v>646</v>
      </c>
      <c r="BX814" s="89" t="s">
        <v>646</v>
      </c>
      <c r="BY814" s="89" t="s">
        <v>646</v>
      </c>
      <c r="BZ814" s="89" t="s">
        <v>646</v>
      </c>
      <c r="CA814" s="89" t="s">
        <v>646</v>
      </c>
      <c r="CB814" s="89" t="s">
        <v>23991</v>
      </c>
      <c r="CC814" s="89" t="str">
        <f>HYPERLINK("https%3A%2F%2Fwww.webofscience.com%2Fwos%2Fwoscc%2Ffull-record%2FWOS:000433000100008","View Full Record in Web of Science")</f>
        <v>View Full Record in Web of Science</v>
      </c>
    </row>
    <row r="815" spans="1:81" ht="13.2" hidden="1" x14ac:dyDescent="0.25">
      <c r="A815" s="89" t="s">
        <v>15017</v>
      </c>
      <c r="B815" s="89" t="e">
        <f>+#REF!</f>
        <v>#REF!</v>
      </c>
      <c r="C815" s="89"/>
      <c r="D815" s="91" t="s">
        <v>717</v>
      </c>
      <c r="E815" s="90" t="e">
        <v>#REF!</v>
      </c>
      <c r="F815" s="89"/>
      <c r="G815" s="89"/>
      <c r="H815" s="89" t="s">
        <v>15018</v>
      </c>
      <c r="I815" s="89" t="s">
        <v>23992</v>
      </c>
      <c r="J815" s="89" t="s">
        <v>23995</v>
      </c>
      <c r="K815" s="89" t="s">
        <v>23994</v>
      </c>
      <c r="M815" s="89">
        <v>2019</v>
      </c>
      <c r="N815" s="89" t="s">
        <v>23993</v>
      </c>
      <c r="O815" s="89" t="s">
        <v>646</v>
      </c>
      <c r="P815" s="89" t="str">
        <f>HYPERLINK("http://dx.doi.org/10.1111/famp.12385","http://dx.doi.org/10.1111/famp.12385")</f>
        <v>http://dx.doi.org/10.1111/famp.12385</v>
      </c>
      <c r="S815" s="89" t="s">
        <v>646</v>
      </c>
      <c r="U815" s="89" t="s">
        <v>17462</v>
      </c>
      <c r="W815" s="89" t="s">
        <v>646</v>
      </c>
      <c r="X815" s="89" t="s">
        <v>646</v>
      </c>
      <c r="Y815" s="89" t="s">
        <v>646</v>
      </c>
      <c r="Z815" s="89" t="s">
        <v>646</v>
      </c>
      <c r="AA815" s="89" t="s">
        <v>646</v>
      </c>
      <c r="AB815" s="89" t="s">
        <v>646</v>
      </c>
      <c r="AC815" s="89" t="s">
        <v>646</v>
      </c>
      <c r="AD815" s="89" t="s">
        <v>646</v>
      </c>
      <c r="AE815" s="89" t="s">
        <v>646</v>
      </c>
      <c r="AF815" s="89" t="s">
        <v>23994</v>
      </c>
      <c r="AG815" s="89" t="s">
        <v>646</v>
      </c>
      <c r="AH815" s="89" t="s">
        <v>646</v>
      </c>
      <c r="AI815" s="89" t="s">
        <v>646</v>
      </c>
      <c r="AJ815" s="89" t="s">
        <v>646</v>
      </c>
      <c r="AK815" s="89" t="s">
        <v>23995</v>
      </c>
      <c r="AL815" s="89" t="s">
        <v>23996</v>
      </c>
      <c r="AM815" s="89" t="s">
        <v>646</v>
      </c>
      <c r="AN815" s="89" t="s">
        <v>646</v>
      </c>
      <c r="AO815" s="89" t="s">
        <v>646</v>
      </c>
      <c r="AP815" s="89" t="s">
        <v>646</v>
      </c>
      <c r="AQ815" s="89" t="s">
        <v>646</v>
      </c>
      <c r="AR815" s="89" t="s">
        <v>646</v>
      </c>
      <c r="AS815" s="89" t="s">
        <v>646</v>
      </c>
      <c r="AT815" s="89" t="s">
        <v>646</v>
      </c>
      <c r="AU815" s="89" t="s">
        <v>646</v>
      </c>
      <c r="AV815" s="89" t="s">
        <v>646</v>
      </c>
      <c r="AW815" s="89" t="s">
        <v>646</v>
      </c>
      <c r="AX815" s="89" t="s">
        <v>646</v>
      </c>
      <c r="AY815" s="89" t="s">
        <v>23997</v>
      </c>
      <c r="AZ815" s="89" t="s">
        <v>23998</v>
      </c>
      <c r="BA815" s="89" t="s">
        <v>646</v>
      </c>
      <c r="BB815" s="89" t="s">
        <v>646</v>
      </c>
      <c r="BC815" s="89" t="s">
        <v>646</v>
      </c>
      <c r="BD815" s="89" t="s">
        <v>17739</v>
      </c>
      <c r="BE815" s="89">
        <v>2019</v>
      </c>
      <c r="BF815" s="89">
        <v>58</v>
      </c>
      <c r="BG815" s="89">
        <v>3</v>
      </c>
      <c r="BH815" s="89" t="s">
        <v>646</v>
      </c>
      <c r="BI815" s="89" t="s">
        <v>646</v>
      </c>
      <c r="BJ815" s="89" t="s">
        <v>646</v>
      </c>
      <c r="BK815" s="89" t="s">
        <v>646</v>
      </c>
      <c r="BL815" s="89">
        <v>734</v>
      </c>
      <c r="BM815" s="89">
        <v>748</v>
      </c>
      <c r="BN815" s="89" t="s">
        <v>646</v>
      </c>
      <c r="BO815" s="89" t="str">
        <f>HYPERLINK("http://dx.doi.org/10.1111/famp.12385","http://dx.doi.org/10.1111/famp.12385")</f>
        <v>http://dx.doi.org/10.1111/famp.12385</v>
      </c>
      <c r="BP815" s="89" t="s">
        <v>646</v>
      </c>
      <c r="BQ815" s="89" t="s">
        <v>646</v>
      </c>
      <c r="BR815" s="89" t="s">
        <v>646</v>
      </c>
      <c r="BS815" s="89" t="s">
        <v>646</v>
      </c>
      <c r="BT815" s="89" t="s">
        <v>646</v>
      </c>
      <c r="BU815" s="89" t="s">
        <v>646</v>
      </c>
      <c r="BV815" s="89" t="s">
        <v>646</v>
      </c>
      <c r="BW815" s="89">
        <v>30106179</v>
      </c>
      <c r="BX815" s="89" t="s">
        <v>646</v>
      </c>
      <c r="BY815" s="89" t="s">
        <v>646</v>
      </c>
      <c r="BZ815" s="89" t="s">
        <v>646</v>
      </c>
      <c r="CA815" s="89" t="s">
        <v>646</v>
      </c>
      <c r="CB815" s="89" t="s">
        <v>23999</v>
      </c>
      <c r="CC815" s="89" t="str">
        <f>HYPERLINK("https%3A%2F%2Fwww.webofscience.com%2Fwos%2Fwoscc%2Ffull-record%2FWOS:000485281200014","View Full Record in Web of Science")</f>
        <v>View Full Record in Web of Science</v>
      </c>
    </row>
    <row r="816" spans="1:81" ht="13.2" hidden="1" x14ac:dyDescent="0.25">
      <c r="A816" s="89" t="s">
        <v>24000</v>
      </c>
      <c r="B816" s="89" t="e">
        <f>+#REF!</f>
        <v>#REF!</v>
      </c>
      <c r="C816" s="89"/>
      <c r="D816" s="91" t="s">
        <v>717</v>
      </c>
      <c r="E816" s="90" t="e">
        <v>#REF!</v>
      </c>
      <c r="F816" s="89"/>
      <c r="G816" s="89"/>
      <c r="H816" s="89" t="s">
        <v>1446</v>
      </c>
      <c r="I816" s="89" t="s">
        <v>24001</v>
      </c>
      <c r="J816" s="89" t="s">
        <v>646</v>
      </c>
      <c r="K816" s="89" t="s">
        <v>24002</v>
      </c>
      <c r="M816" s="89">
        <v>2019</v>
      </c>
      <c r="N816" s="89" t="s">
        <v>23876</v>
      </c>
      <c r="O816" s="89" t="s">
        <v>646</v>
      </c>
      <c r="P816" s="89" t="str">
        <f>HYPERLINK("http://dx.doi.org/10.1016/j.jbusres.2019.01.041","http://dx.doi.org/10.1016/j.jbusres.2019.01.041")</f>
        <v>http://dx.doi.org/10.1016/j.jbusres.2019.01.041</v>
      </c>
      <c r="S816" s="89" t="s">
        <v>646</v>
      </c>
      <c r="U816" s="89" t="s">
        <v>17462</v>
      </c>
      <c r="W816" s="89" t="s">
        <v>646</v>
      </c>
      <c r="X816" s="89" t="s">
        <v>646</v>
      </c>
      <c r="Y816" s="89" t="s">
        <v>646</v>
      </c>
      <c r="Z816" s="89" t="s">
        <v>646</v>
      </c>
      <c r="AA816" s="89" t="s">
        <v>646</v>
      </c>
      <c r="AB816" s="89" t="s">
        <v>646</v>
      </c>
      <c r="AC816" s="89" t="s">
        <v>646</v>
      </c>
      <c r="AD816" s="89" t="s">
        <v>646</v>
      </c>
      <c r="AE816" s="89" t="s">
        <v>646</v>
      </c>
      <c r="AF816" s="89" t="s">
        <v>24002</v>
      </c>
      <c r="AG816" s="89" t="s">
        <v>646</v>
      </c>
      <c r="AH816" s="89" t="s">
        <v>646</v>
      </c>
      <c r="AI816" s="89" t="s">
        <v>646</v>
      </c>
      <c r="AJ816" s="89" t="s">
        <v>646</v>
      </c>
      <c r="AK816" s="89" t="s">
        <v>646</v>
      </c>
      <c r="AL816" s="89" t="s">
        <v>646</v>
      </c>
      <c r="AM816" s="89" t="s">
        <v>646</v>
      </c>
      <c r="AN816" s="89" t="s">
        <v>646</v>
      </c>
      <c r="AO816" s="89" t="s">
        <v>646</v>
      </c>
      <c r="AP816" s="89" t="s">
        <v>646</v>
      </c>
      <c r="AQ816" s="89" t="s">
        <v>646</v>
      </c>
      <c r="AR816" s="89" t="s">
        <v>646</v>
      </c>
      <c r="AS816" s="89" t="s">
        <v>646</v>
      </c>
      <c r="AT816" s="89" t="s">
        <v>646</v>
      </c>
      <c r="AU816" s="89" t="s">
        <v>646</v>
      </c>
      <c r="AV816" s="89" t="s">
        <v>646</v>
      </c>
      <c r="AW816" s="89" t="s">
        <v>646</v>
      </c>
      <c r="AX816" s="89" t="s">
        <v>646</v>
      </c>
      <c r="AY816" s="89" t="s">
        <v>23878</v>
      </c>
      <c r="AZ816" s="89" t="s">
        <v>23879</v>
      </c>
      <c r="BA816" s="89" t="s">
        <v>646</v>
      </c>
      <c r="BB816" s="89" t="s">
        <v>646</v>
      </c>
      <c r="BC816" s="89" t="s">
        <v>646</v>
      </c>
      <c r="BD816" s="89" t="s">
        <v>18436</v>
      </c>
      <c r="BE816" s="89">
        <v>2019</v>
      </c>
      <c r="BF816" s="89">
        <v>98</v>
      </c>
      <c r="BG816" s="89" t="s">
        <v>646</v>
      </c>
      <c r="BH816" s="89" t="s">
        <v>646</v>
      </c>
      <c r="BI816" s="89" t="s">
        <v>646</v>
      </c>
      <c r="BJ816" s="89" t="s">
        <v>646</v>
      </c>
      <c r="BK816" s="89" t="s">
        <v>646</v>
      </c>
      <c r="BL816" s="89">
        <v>142</v>
      </c>
      <c r="BM816" s="89">
        <v>152</v>
      </c>
      <c r="BN816" s="89" t="s">
        <v>646</v>
      </c>
      <c r="BO816" s="89" t="str">
        <f>HYPERLINK("http://dx.doi.org/10.1016/j.jbusres.2019.01.041","http://dx.doi.org/10.1016/j.jbusres.2019.01.041")</f>
        <v>http://dx.doi.org/10.1016/j.jbusres.2019.01.041</v>
      </c>
      <c r="BP816" s="89" t="s">
        <v>646</v>
      </c>
      <c r="BQ816" s="89" t="s">
        <v>646</v>
      </c>
      <c r="BR816" s="89" t="s">
        <v>646</v>
      </c>
      <c r="BS816" s="89" t="s">
        <v>646</v>
      </c>
      <c r="BT816" s="89" t="s">
        <v>646</v>
      </c>
      <c r="BU816" s="89" t="s">
        <v>646</v>
      </c>
      <c r="BV816" s="89" t="s">
        <v>646</v>
      </c>
      <c r="BW816" s="89" t="s">
        <v>646</v>
      </c>
      <c r="BX816" s="89" t="s">
        <v>646</v>
      </c>
      <c r="BY816" s="89" t="s">
        <v>646</v>
      </c>
      <c r="BZ816" s="89" t="s">
        <v>646</v>
      </c>
      <c r="CA816" s="89" t="s">
        <v>646</v>
      </c>
      <c r="CB816" s="89" t="s">
        <v>24003</v>
      </c>
      <c r="CC816" s="89" t="str">
        <f>HYPERLINK("https%3A%2F%2Fwww.webofscience.com%2Fwos%2Fwoscc%2Ffull-record%2FWOS:000464482600011","View Full Record in Web of Science")</f>
        <v>View Full Record in Web of Science</v>
      </c>
    </row>
    <row r="817" spans="1:81" ht="13.2" hidden="1" x14ac:dyDescent="0.25">
      <c r="A817" s="89" t="s">
        <v>15027</v>
      </c>
      <c r="B817" s="89" t="e">
        <f>+#REF!</f>
        <v>#REF!</v>
      </c>
      <c r="C817" s="89"/>
      <c r="D817" s="91" t="s">
        <v>717</v>
      </c>
      <c r="E817" s="90" t="e">
        <v>#REF!</v>
      </c>
      <c r="F817" s="89"/>
      <c r="G817" s="89"/>
      <c r="H817" s="89" t="s">
        <v>15028</v>
      </c>
      <c r="I817" s="89" t="s">
        <v>24004</v>
      </c>
      <c r="J817" s="89" t="s">
        <v>646</v>
      </c>
      <c r="K817" s="89" t="s">
        <v>24006</v>
      </c>
      <c r="M817" s="89">
        <v>2016</v>
      </c>
      <c r="N817" s="89" t="s">
        <v>24005</v>
      </c>
      <c r="O817" s="89" t="s">
        <v>646</v>
      </c>
      <c r="P817" s="89" t="str">
        <f>HYPERLINK("http://dx.doi.org/10.1016/j.geoforum.2016.10.005","http://dx.doi.org/10.1016/j.geoforum.2016.10.005")</f>
        <v>http://dx.doi.org/10.1016/j.geoforum.2016.10.005</v>
      </c>
      <c r="S817" s="89" t="s">
        <v>646</v>
      </c>
      <c r="U817" s="89" t="s">
        <v>17462</v>
      </c>
      <c r="W817" s="89" t="s">
        <v>646</v>
      </c>
      <c r="X817" s="89" t="s">
        <v>646</v>
      </c>
      <c r="Y817" s="89" t="s">
        <v>646</v>
      </c>
      <c r="Z817" s="89" t="s">
        <v>646</v>
      </c>
      <c r="AA817" s="89" t="s">
        <v>646</v>
      </c>
      <c r="AB817" s="89" t="s">
        <v>646</v>
      </c>
      <c r="AC817" s="89" t="s">
        <v>646</v>
      </c>
      <c r="AD817" s="89" t="s">
        <v>646</v>
      </c>
      <c r="AE817" s="89" t="s">
        <v>646</v>
      </c>
      <c r="AF817" s="89" t="s">
        <v>24006</v>
      </c>
      <c r="AG817" s="89" t="s">
        <v>646</v>
      </c>
      <c r="AH817" s="89" t="s">
        <v>646</v>
      </c>
      <c r="AI817" s="89" t="s">
        <v>646</v>
      </c>
      <c r="AJ817" s="89" t="s">
        <v>646</v>
      </c>
      <c r="AK817" s="89" t="s">
        <v>646</v>
      </c>
      <c r="AL817" s="89" t="s">
        <v>646</v>
      </c>
      <c r="AM817" s="89" t="s">
        <v>646</v>
      </c>
      <c r="AN817" s="89" t="s">
        <v>646</v>
      </c>
      <c r="AO817" s="89" t="s">
        <v>646</v>
      </c>
      <c r="AP817" s="89" t="s">
        <v>646</v>
      </c>
      <c r="AQ817" s="89" t="s">
        <v>646</v>
      </c>
      <c r="AR817" s="89" t="s">
        <v>646</v>
      </c>
      <c r="AS817" s="89" t="s">
        <v>646</v>
      </c>
      <c r="AT817" s="89" t="s">
        <v>646</v>
      </c>
      <c r="AU817" s="89" t="s">
        <v>646</v>
      </c>
      <c r="AV817" s="89" t="s">
        <v>646</v>
      </c>
      <c r="AW817" s="89" t="s">
        <v>646</v>
      </c>
      <c r="AX817" s="89" t="s">
        <v>646</v>
      </c>
      <c r="AY817" s="89" t="s">
        <v>24007</v>
      </c>
      <c r="AZ817" s="89" t="s">
        <v>24008</v>
      </c>
      <c r="BA817" s="89" t="s">
        <v>646</v>
      </c>
      <c r="BB817" s="89" t="s">
        <v>646</v>
      </c>
      <c r="BC817" s="89" t="s">
        <v>646</v>
      </c>
      <c r="BD817" s="89" t="s">
        <v>17615</v>
      </c>
      <c r="BE817" s="89">
        <v>2016</v>
      </c>
      <c r="BF817" s="89">
        <v>77</v>
      </c>
      <c r="BG817" s="89" t="s">
        <v>646</v>
      </c>
      <c r="BH817" s="89" t="s">
        <v>646</v>
      </c>
      <c r="BI817" s="89" t="s">
        <v>646</v>
      </c>
      <c r="BJ817" s="89" t="s">
        <v>646</v>
      </c>
      <c r="BK817" s="89" t="s">
        <v>646</v>
      </c>
      <c r="BL817" s="89">
        <v>73</v>
      </c>
      <c r="BM817" s="89">
        <v>82</v>
      </c>
      <c r="BN817" s="89" t="s">
        <v>646</v>
      </c>
      <c r="BO817" s="89" t="str">
        <f>HYPERLINK("http://dx.doi.org/10.1016/j.geoforum.2016.10.005","http://dx.doi.org/10.1016/j.geoforum.2016.10.005")</f>
        <v>http://dx.doi.org/10.1016/j.geoforum.2016.10.005</v>
      </c>
      <c r="BP817" s="89" t="s">
        <v>646</v>
      </c>
      <c r="BQ817" s="89" t="s">
        <v>646</v>
      </c>
      <c r="BR817" s="89" t="s">
        <v>646</v>
      </c>
      <c r="BS817" s="89" t="s">
        <v>646</v>
      </c>
      <c r="BT817" s="89" t="s">
        <v>646</v>
      </c>
      <c r="BU817" s="89" t="s">
        <v>646</v>
      </c>
      <c r="BV817" s="89" t="s">
        <v>646</v>
      </c>
      <c r="BW817" s="89" t="s">
        <v>646</v>
      </c>
      <c r="BX817" s="89" t="s">
        <v>646</v>
      </c>
      <c r="BY817" s="89" t="s">
        <v>646</v>
      </c>
      <c r="BZ817" s="89" t="s">
        <v>646</v>
      </c>
      <c r="CA817" s="89" t="s">
        <v>646</v>
      </c>
      <c r="CB817" s="89" t="s">
        <v>24009</v>
      </c>
      <c r="CC817" s="89" t="str">
        <f>HYPERLINK("https%3A%2F%2Fwww.webofscience.com%2Fwos%2Fwoscc%2Ffull-record%2FWOS:000390500700009","View Full Record in Web of Science")</f>
        <v>View Full Record in Web of Science</v>
      </c>
    </row>
    <row r="818" spans="1:81" ht="13.2" hidden="1" x14ac:dyDescent="0.25">
      <c r="A818" s="89" t="s">
        <v>15035</v>
      </c>
      <c r="B818" s="89" t="e">
        <f>+#REF!</f>
        <v>#REF!</v>
      </c>
      <c r="C818" s="89"/>
      <c r="D818" s="91" t="s">
        <v>717</v>
      </c>
      <c r="E818" s="90" t="e">
        <v>#REF!</v>
      </c>
      <c r="F818" s="89"/>
      <c r="G818" s="89"/>
      <c r="H818" s="89" t="s">
        <v>15036</v>
      </c>
      <c r="I818" s="89" t="s">
        <v>17958</v>
      </c>
      <c r="J818" s="89" t="s">
        <v>17961</v>
      </c>
      <c r="K818" s="89" t="s">
        <v>24011</v>
      </c>
      <c r="M818" s="89">
        <v>2020</v>
      </c>
      <c r="N818" s="89" t="s">
        <v>24010</v>
      </c>
      <c r="O818" s="89" t="s">
        <v>646</v>
      </c>
      <c r="P818" s="89" t="str">
        <f>HYPERLINK("http://dx.doi.org/10.1016/j.ijhm.2020.102470","http://dx.doi.org/10.1016/j.ijhm.2020.102470")</f>
        <v>http://dx.doi.org/10.1016/j.ijhm.2020.102470</v>
      </c>
      <c r="S818" s="89" t="s">
        <v>646</v>
      </c>
      <c r="U818" s="89" t="s">
        <v>17462</v>
      </c>
      <c r="W818" s="89" t="s">
        <v>646</v>
      </c>
      <c r="X818" s="89" t="s">
        <v>646</v>
      </c>
      <c r="Y818" s="89" t="s">
        <v>646</v>
      </c>
      <c r="Z818" s="89" t="s">
        <v>646</v>
      </c>
      <c r="AA818" s="89" t="s">
        <v>646</v>
      </c>
      <c r="AB818" s="89" t="s">
        <v>646</v>
      </c>
      <c r="AC818" s="89" t="s">
        <v>646</v>
      </c>
      <c r="AD818" s="89" t="s">
        <v>646</v>
      </c>
      <c r="AE818" s="89" t="s">
        <v>646</v>
      </c>
      <c r="AF818" s="89" t="s">
        <v>24011</v>
      </c>
      <c r="AG818" s="89" t="s">
        <v>646</v>
      </c>
      <c r="AH818" s="89" t="s">
        <v>646</v>
      </c>
      <c r="AI818" s="89" t="s">
        <v>646</v>
      </c>
      <c r="AJ818" s="89" t="s">
        <v>646</v>
      </c>
      <c r="AK818" s="89" t="s">
        <v>17961</v>
      </c>
      <c r="AL818" s="89" t="s">
        <v>17962</v>
      </c>
      <c r="AM818" s="89" t="s">
        <v>646</v>
      </c>
      <c r="AN818" s="89" t="s">
        <v>646</v>
      </c>
      <c r="AO818" s="89" t="s">
        <v>646</v>
      </c>
      <c r="AP818" s="89" t="s">
        <v>646</v>
      </c>
      <c r="AQ818" s="89" t="s">
        <v>646</v>
      </c>
      <c r="AR818" s="89" t="s">
        <v>646</v>
      </c>
      <c r="AS818" s="89" t="s">
        <v>646</v>
      </c>
      <c r="AT818" s="89" t="s">
        <v>646</v>
      </c>
      <c r="AU818" s="89" t="s">
        <v>646</v>
      </c>
      <c r="AV818" s="89" t="s">
        <v>646</v>
      </c>
      <c r="AW818" s="89" t="s">
        <v>646</v>
      </c>
      <c r="AX818" s="89" t="s">
        <v>646</v>
      </c>
      <c r="AY818" s="89" t="s">
        <v>24012</v>
      </c>
      <c r="AZ818" s="89" t="s">
        <v>24013</v>
      </c>
      <c r="BA818" s="89" t="s">
        <v>646</v>
      </c>
      <c r="BB818" s="89" t="s">
        <v>646</v>
      </c>
      <c r="BC818" s="89" t="s">
        <v>646</v>
      </c>
      <c r="BD818" s="89" t="s">
        <v>18436</v>
      </c>
      <c r="BE818" s="89">
        <v>2020</v>
      </c>
      <c r="BF818" s="89">
        <v>87</v>
      </c>
      <c r="BG818" s="89" t="s">
        <v>646</v>
      </c>
      <c r="BH818" s="89" t="s">
        <v>646</v>
      </c>
      <c r="BI818" s="89" t="s">
        <v>646</v>
      </c>
      <c r="BJ818" s="89" t="s">
        <v>646</v>
      </c>
      <c r="BK818" s="89" t="s">
        <v>646</v>
      </c>
      <c r="BL818" s="89" t="s">
        <v>646</v>
      </c>
      <c r="BM818" s="89" t="s">
        <v>646</v>
      </c>
      <c r="BN818" s="89">
        <v>102470</v>
      </c>
      <c r="BO818" s="89" t="str">
        <f>HYPERLINK("http://dx.doi.org/10.1016/j.ijhm.2020.102470","http://dx.doi.org/10.1016/j.ijhm.2020.102470")</f>
        <v>http://dx.doi.org/10.1016/j.ijhm.2020.102470</v>
      </c>
      <c r="BP818" s="89" t="s">
        <v>646</v>
      </c>
      <c r="BQ818" s="89" t="s">
        <v>646</v>
      </c>
      <c r="BR818" s="89" t="s">
        <v>646</v>
      </c>
      <c r="BS818" s="89" t="s">
        <v>646</v>
      </c>
      <c r="BT818" s="89" t="s">
        <v>646</v>
      </c>
      <c r="BU818" s="89" t="s">
        <v>646</v>
      </c>
      <c r="BV818" s="89" t="s">
        <v>646</v>
      </c>
      <c r="BW818" s="89" t="s">
        <v>646</v>
      </c>
      <c r="BX818" s="89" t="s">
        <v>646</v>
      </c>
      <c r="BY818" s="89" t="s">
        <v>646</v>
      </c>
      <c r="BZ818" s="89" t="s">
        <v>646</v>
      </c>
      <c r="CA818" s="89" t="s">
        <v>646</v>
      </c>
      <c r="CB818" s="89" t="s">
        <v>24014</v>
      </c>
      <c r="CC818" s="89" t="str">
        <f>HYPERLINK("https%3A%2F%2Fwww.webofscience.com%2Fwos%2Fwoscc%2Ffull-record%2FWOS:000531107100026","View Full Record in Web of Science")</f>
        <v>View Full Record in Web of Science</v>
      </c>
    </row>
    <row r="819" spans="1:81" ht="13.2" hidden="1" x14ac:dyDescent="0.25">
      <c r="A819" s="89" t="s">
        <v>15044</v>
      </c>
      <c r="B819" s="89" t="e">
        <f>+#REF!</f>
        <v>#REF!</v>
      </c>
      <c r="C819" s="89"/>
      <c r="D819" s="91" t="s">
        <v>717</v>
      </c>
      <c r="E819" s="90" t="e">
        <v>#REF!</v>
      </c>
      <c r="F819" s="89"/>
      <c r="G819" s="89"/>
      <c r="H819" s="89" t="s">
        <v>15045</v>
      </c>
      <c r="I819" s="89" t="s">
        <v>24015</v>
      </c>
      <c r="J819" s="89" t="s">
        <v>646</v>
      </c>
      <c r="K819" s="89" t="s">
        <v>24017</v>
      </c>
      <c r="M819" s="89">
        <v>2020</v>
      </c>
      <c r="N819" s="89" t="s">
        <v>24016</v>
      </c>
      <c r="O819" s="89" t="s">
        <v>646</v>
      </c>
      <c r="P819" s="89" t="str">
        <f>HYPERLINK("http://dx.doi.org/10.3233/IP-190190","http://dx.doi.org/10.3233/IP-190190")</f>
        <v>http://dx.doi.org/10.3233/IP-190190</v>
      </c>
      <c r="S819" s="89" t="s">
        <v>646</v>
      </c>
      <c r="U819" s="89" t="s">
        <v>17462</v>
      </c>
      <c r="W819" s="89" t="s">
        <v>646</v>
      </c>
      <c r="X819" s="89" t="s">
        <v>646</v>
      </c>
      <c r="Y819" s="89" t="s">
        <v>646</v>
      </c>
      <c r="Z819" s="89" t="s">
        <v>646</v>
      </c>
      <c r="AA819" s="89" t="s">
        <v>646</v>
      </c>
      <c r="AB819" s="89" t="s">
        <v>646</v>
      </c>
      <c r="AC819" s="89" t="s">
        <v>646</v>
      </c>
      <c r="AD819" s="89" t="s">
        <v>646</v>
      </c>
      <c r="AE819" s="89" t="s">
        <v>646</v>
      </c>
      <c r="AF819" s="89" t="s">
        <v>24017</v>
      </c>
      <c r="AG819" s="89" t="s">
        <v>646</v>
      </c>
      <c r="AH819" s="89" t="s">
        <v>646</v>
      </c>
      <c r="AI819" s="89" t="s">
        <v>646</v>
      </c>
      <c r="AJ819" s="89" t="s">
        <v>646</v>
      </c>
      <c r="AK819" s="89" t="s">
        <v>646</v>
      </c>
      <c r="AL819" s="89" t="s">
        <v>24018</v>
      </c>
      <c r="AM819" s="89" t="s">
        <v>646</v>
      </c>
      <c r="AN819" s="89" t="s">
        <v>646</v>
      </c>
      <c r="AO819" s="89" t="s">
        <v>646</v>
      </c>
      <c r="AP819" s="89" t="s">
        <v>646</v>
      </c>
      <c r="AQ819" s="89" t="s">
        <v>646</v>
      </c>
      <c r="AR819" s="89" t="s">
        <v>646</v>
      </c>
      <c r="AS819" s="89" t="s">
        <v>646</v>
      </c>
      <c r="AT819" s="89" t="s">
        <v>646</v>
      </c>
      <c r="AU819" s="89" t="s">
        <v>646</v>
      </c>
      <c r="AV819" s="89" t="s">
        <v>646</v>
      </c>
      <c r="AW819" s="89" t="s">
        <v>646</v>
      </c>
      <c r="AX819" s="89" t="s">
        <v>646</v>
      </c>
      <c r="AY819" s="89" t="s">
        <v>24019</v>
      </c>
      <c r="AZ819" s="89" t="s">
        <v>24020</v>
      </c>
      <c r="BA819" s="89" t="s">
        <v>646</v>
      </c>
      <c r="BB819" s="89" t="s">
        <v>646</v>
      </c>
      <c r="BC819" s="89" t="s">
        <v>646</v>
      </c>
      <c r="BD819" s="89" t="s">
        <v>646</v>
      </c>
      <c r="BE819" s="89">
        <v>2020</v>
      </c>
      <c r="BF819" s="89">
        <v>25</v>
      </c>
      <c r="BG819" s="89">
        <v>2</v>
      </c>
      <c r="BH819" s="89" t="s">
        <v>646</v>
      </c>
      <c r="BI819" s="89" t="s">
        <v>646</v>
      </c>
      <c r="BJ819" s="89" t="s">
        <v>646</v>
      </c>
      <c r="BK819" s="89" t="s">
        <v>646</v>
      </c>
      <c r="BL819" s="89">
        <v>143</v>
      </c>
      <c r="BM819" s="89">
        <v>158</v>
      </c>
      <c r="BN819" s="89" t="s">
        <v>646</v>
      </c>
      <c r="BO819" s="89" t="str">
        <f>HYPERLINK("http://dx.doi.org/10.3233/IP-190190","http://dx.doi.org/10.3233/IP-190190")</f>
        <v>http://dx.doi.org/10.3233/IP-190190</v>
      </c>
      <c r="BP819" s="89" t="s">
        <v>646</v>
      </c>
      <c r="BQ819" s="89" t="s">
        <v>646</v>
      </c>
      <c r="BR819" s="89" t="s">
        <v>646</v>
      </c>
      <c r="BS819" s="89" t="s">
        <v>646</v>
      </c>
      <c r="BT819" s="89" t="s">
        <v>646</v>
      </c>
      <c r="BU819" s="89" t="s">
        <v>646</v>
      </c>
      <c r="BV819" s="89" t="s">
        <v>646</v>
      </c>
      <c r="BW819" s="89" t="s">
        <v>646</v>
      </c>
      <c r="BX819" s="89" t="s">
        <v>646</v>
      </c>
      <c r="BY819" s="89" t="s">
        <v>646</v>
      </c>
      <c r="BZ819" s="89" t="s">
        <v>646</v>
      </c>
      <c r="CA819" s="89" t="s">
        <v>646</v>
      </c>
      <c r="CB819" s="89" t="s">
        <v>24021</v>
      </c>
      <c r="CC819" s="89" t="str">
        <f>HYPERLINK("https%3A%2F%2Fwww.webofscience.com%2Fwos%2Fwoscc%2Ffull-record%2FWOS:000541061800003","View Full Record in Web of Science")</f>
        <v>View Full Record in Web of Science</v>
      </c>
    </row>
    <row r="820" spans="1:81" ht="13.2" hidden="1" x14ac:dyDescent="0.25">
      <c r="A820" s="89" t="s">
        <v>10264</v>
      </c>
      <c r="B820" s="89" t="e">
        <f>+#REF!</f>
        <v>#REF!</v>
      </c>
      <c r="C820" s="89"/>
      <c r="D820" s="91" t="s">
        <v>717</v>
      </c>
      <c r="E820" s="90" t="e">
        <v>#REF!</v>
      </c>
      <c r="F820" s="89"/>
      <c r="G820" s="89"/>
      <c r="H820" s="89" t="s">
        <v>10265</v>
      </c>
      <c r="I820" s="89" t="s">
        <v>24022</v>
      </c>
      <c r="J820" s="89" t="s">
        <v>646</v>
      </c>
      <c r="K820" s="89" t="s">
        <v>24024</v>
      </c>
      <c r="M820" s="89">
        <v>2019</v>
      </c>
      <c r="N820" s="89" t="s">
        <v>24023</v>
      </c>
      <c r="O820" s="89" t="s">
        <v>646</v>
      </c>
      <c r="P820" s="89" t="str">
        <f>HYPERLINK("http://dx.doi.org/10.1108/REGE-08-2018-0088","http://dx.doi.org/10.1108/REGE-08-2018-0088")</f>
        <v>http://dx.doi.org/10.1108/REGE-08-2018-0088</v>
      </c>
      <c r="S820" s="89" t="s">
        <v>646</v>
      </c>
      <c r="U820" s="89" t="s">
        <v>17462</v>
      </c>
      <c r="W820" s="89" t="s">
        <v>646</v>
      </c>
      <c r="X820" s="89" t="s">
        <v>646</v>
      </c>
      <c r="Y820" s="89" t="s">
        <v>646</v>
      </c>
      <c r="Z820" s="89" t="s">
        <v>646</v>
      </c>
      <c r="AA820" s="89" t="s">
        <v>646</v>
      </c>
      <c r="AB820" s="89" t="s">
        <v>646</v>
      </c>
      <c r="AC820" s="89" t="s">
        <v>646</v>
      </c>
      <c r="AD820" s="89" t="s">
        <v>646</v>
      </c>
      <c r="AE820" s="89" t="s">
        <v>646</v>
      </c>
      <c r="AF820" s="89" t="s">
        <v>24024</v>
      </c>
      <c r="AG820" s="89" t="s">
        <v>646</v>
      </c>
      <c r="AH820" s="89" t="s">
        <v>646</v>
      </c>
      <c r="AI820" s="89" t="s">
        <v>646</v>
      </c>
      <c r="AJ820" s="89" t="s">
        <v>646</v>
      </c>
      <c r="AK820" s="89" t="s">
        <v>646</v>
      </c>
      <c r="AL820" s="89" t="s">
        <v>646</v>
      </c>
      <c r="AM820" s="89" t="s">
        <v>646</v>
      </c>
      <c r="AN820" s="89" t="s">
        <v>646</v>
      </c>
      <c r="AO820" s="89" t="s">
        <v>646</v>
      </c>
      <c r="AP820" s="89" t="s">
        <v>646</v>
      </c>
      <c r="AQ820" s="89" t="s">
        <v>646</v>
      </c>
      <c r="AR820" s="89" t="s">
        <v>646</v>
      </c>
      <c r="AS820" s="89" t="s">
        <v>646</v>
      </c>
      <c r="AT820" s="89" t="s">
        <v>646</v>
      </c>
      <c r="AU820" s="89" t="s">
        <v>646</v>
      </c>
      <c r="AV820" s="89" t="s">
        <v>646</v>
      </c>
      <c r="AW820" s="89" t="s">
        <v>646</v>
      </c>
      <c r="AX820" s="89" t="s">
        <v>646</v>
      </c>
      <c r="AY820" s="89" t="s">
        <v>24025</v>
      </c>
      <c r="AZ820" s="89" t="s">
        <v>24026</v>
      </c>
      <c r="BA820" s="89" t="s">
        <v>646</v>
      </c>
      <c r="BB820" s="89" t="s">
        <v>646</v>
      </c>
      <c r="BC820" s="89" t="s">
        <v>646</v>
      </c>
      <c r="BD820" s="89" t="s">
        <v>646</v>
      </c>
      <c r="BE820" s="89">
        <v>2019</v>
      </c>
      <c r="BF820" s="89">
        <v>26</v>
      </c>
      <c r="BG820" s="89">
        <v>2</v>
      </c>
      <c r="BH820" s="89" t="s">
        <v>646</v>
      </c>
      <c r="BI820" s="89" t="s">
        <v>646</v>
      </c>
      <c r="BJ820" s="89" t="s">
        <v>646</v>
      </c>
      <c r="BK820" s="89" t="s">
        <v>646</v>
      </c>
      <c r="BL820" s="89">
        <v>143</v>
      </c>
      <c r="BM820" s="89">
        <v>160</v>
      </c>
      <c r="BN820" s="89" t="s">
        <v>646</v>
      </c>
      <c r="BO820" s="89" t="str">
        <f>HYPERLINK("http://dx.doi.org/10.1108/REGE-08-2018-0088","http://dx.doi.org/10.1108/REGE-08-2018-0088")</f>
        <v>http://dx.doi.org/10.1108/REGE-08-2018-0088</v>
      </c>
      <c r="BP820" s="89" t="s">
        <v>646</v>
      </c>
      <c r="BQ820" s="89" t="s">
        <v>646</v>
      </c>
      <c r="BR820" s="89" t="s">
        <v>646</v>
      </c>
      <c r="BS820" s="89" t="s">
        <v>646</v>
      </c>
      <c r="BT820" s="89" t="s">
        <v>646</v>
      </c>
      <c r="BU820" s="89" t="s">
        <v>646</v>
      </c>
      <c r="BV820" s="89" t="s">
        <v>646</v>
      </c>
      <c r="BW820" s="89" t="s">
        <v>646</v>
      </c>
      <c r="BX820" s="89" t="s">
        <v>646</v>
      </c>
      <c r="BY820" s="89" t="s">
        <v>646</v>
      </c>
      <c r="BZ820" s="89" t="s">
        <v>646</v>
      </c>
      <c r="CA820" s="89" t="s">
        <v>646</v>
      </c>
      <c r="CB820" s="89" t="s">
        <v>24027</v>
      </c>
      <c r="CC820" s="89" t="str">
        <f>HYPERLINK("https%3A%2F%2Fwww.webofscience.com%2Fwos%2Fwoscc%2Ffull-record%2FWOS:000479012600004","View Full Record in Web of Science")</f>
        <v>View Full Record in Web of Science</v>
      </c>
    </row>
    <row r="821" spans="1:81" ht="13.2" hidden="1" x14ac:dyDescent="0.25">
      <c r="A821" s="89" t="s">
        <v>24028</v>
      </c>
      <c r="B821" s="89" t="e">
        <f>+#REF!</f>
        <v>#REF!</v>
      </c>
      <c r="C821" s="89"/>
      <c r="D821" s="91" t="s">
        <v>717</v>
      </c>
      <c r="E821" s="90" t="e">
        <v>#REF!</v>
      </c>
      <c r="F821" s="89"/>
      <c r="G821" s="89"/>
      <c r="H821" s="89" t="s">
        <v>15055</v>
      </c>
      <c r="I821" s="89" t="s">
        <v>24029</v>
      </c>
      <c r="J821" s="89" t="s">
        <v>24031</v>
      </c>
      <c r="K821" s="89" t="s">
        <v>24030</v>
      </c>
      <c r="M821" s="89">
        <v>2017</v>
      </c>
      <c r="N821" s="89" t="s">
        <v>21029</v>
      </c>
      <c r="O821" s="89" t="s">
        <v>646</v>
      </c>
      <c r="P821" s="89" t="str">
        <f>HYPERLINK("http://dx.doi.org/10.1145/3038920","http://dx.doi.org/10.1145/3038920")</f>
        <v>http://dx.doi.org/10.1145/3038920</v>
      </c>
      <c r="S821" s="89" t="s">
        <v>646</v>
      </c>
      <c r="U821" s="89" t="s">
        <v>17462</v>
      </c>
      <c r="W821" s="89" t="s">
        <v>646</v>
      </c>
      <c r="X821" s="89" t="s">
        <v>646</v>
      </c>
      <c r="Y821" s="89" t="s">
        <v>646</v>
      </c>
      <c r="Z821" s="89" t="s">
        <v>646</v>
      </c>
      <c r="AA821" s="89" t="s">
        <v>646</v>
      </c>
      <c r="AB821" s="89" t="s">
        <v>646</v>
      </c>
      <c r="AC821" s="89" t="s">
        <v>646</v>
      </c>
      <c r="AD821" s="89" t="s">
        <v>646</v>
      </c>
      <c r="AE821" s="89" t="s">
        <v>646</v>
      </c>
      <c r="AF821" s="89" t="s">
        <v>24030</v>
      </c>
      <c r="AG821" s="89" t="s">
        <v>646</v>
      </c>
      <c r="AH821" s="89" t="s">
        <v>646</v>
      </c>
      <c r="AI821" s="89" t="s">
        <v>646</v>
      </c>
      <c r="AJ821" s="89" t="s">
        <v>646</v>
      </c>
      <c r="AK821" s="89" t="s">
        <v>24031</v>
      </c>
      <c r="AL821" s="89" t="s">
        <v>24032</v>
      </c>
      <c r="AM821" s="89" t="s">
        <v>646</v>
      </c>
      <c r="AN821" s="89" t="s">
        <v>646</v>
      </c>
      <c r="AO821" s="89" t="s">
        <v>646</v>
      </c>
      <c r="AP821" s="89" t="s">
        <v>646</v>
      </c>
      <c r="AQ821" s="89" t="s">
        <v>646</v>
      </c>
      <c r="AR821" s="89" t="s">
        <v>646</v>
      </c>
      <c r="AS821" s="89" t="s">
        <v>646</v>
      </c>
      <c r="AT821" s="89" t="s">
        <v>646</v>
      </c>
      <c r="AU821" s="89" t="s">
        <v>646</v>
      </c>
      <c r="AV821" s="89" t="s">
        <v>646</v>
      </c>
      <c r="AW821" s="89" t="s">
        <v>646</v>
      </c>
      <c r="AX821" s="89" t="s">
        <v>646</v>
      </c>
      <c r="AY821" s="89" t="s">
        <v>21033</v>
      </c>
      <c r="AZ821" s="89" t="s">
        <v>21034</v>
      </c>
      <c r="BA821" s="89" t="s">
        <v>646</v>
      </c>
      <c r="BB821" s="89" t="s">
        <v>646</v>
      </c>
      <c r="BC821" s="89" t="s">
        <v>646</v>
      </c>
      <c r="BD821" s="89" t="s">
        <v>17779</v>
      </c>
      <c r="BE821" s="89">
        <v>2017</v>
      </c>
      <c r="BF821" s="89">
        <v>24</v>
      </c>
      <c r="BG821" s="89">
        <v>1</v>
      </c>
      <c r="BH821" s="89" t="s">
        <v>646</v>
      </c>
      <c r="BI821" s="89" t="s">
        <v>646</v>
      </c>
      <c r="BJ821" s="89" t="s">
        <v>646</v>
      </c>
      <c r="BK821" s="89" t="s">
        <v>646</v>
      </c>
      <c r="BL821" s="89" t="s">
        <v>646</v>
      </c>
      <c r="BM821" s="89" t="s">
        <v>646</v>
      </c>
      <c r="BN821" s="89">
        <v>5</v>
      </c>
      <c r="BO821" s="89" t="str">
        <f>HYPERLINK("http://dx.doi.org/10.1145/3038920","http://dx.doi.org/10.1145/3038920")</f>
        <v>http://dx.doi.org/10.1145/3038920</v>
      </c>
      <c r="BP821" s="89" t="s">
        <v>646</v>
      </c>
      <c r="BQ821" s="89" t="s">
        <v>646</v>
      </c>
      <c r="BR821" s="89" t="s">
        <v>646</v>
      </c>
      <c r="BS821" s="89" t="s">
        <v>646</v>
      </c>
      <c r="BT821" s="89" t="s">
        <v>646</v>
      </c>
      <c r="BU821" s="89" t="s">
        <v>646</v>
      </c>
      <c r="BV821" s="89" t="s">
        <v>646</v>
      </c>
      <c r="BW821" s="89" t="s">
        <v>646</v>
      </c>
      <c r="BX821" s="89" t="s">
        <v>646</v>
      </c>
      <c r="BY821" s="89" t="s">
        <v>646</v>
      </c>
      <c r="BZ821" s="89" t="s">
        <v>646</v>
      </c>
      <c r="CA821" s="89" t="s">
        <v>646</v>
      </c>
      <c r="CB821" s="89" t="s">
        <v>24033</v>
      </c>
      <c r="CC821" s="89" t="str">
        <f>HYPERLINK("https%3A%2F%2Fwww.webofscience.com%2Fwos%2Fwoscc%2Ffull-record%2FWOS:000398919900005","View Full Record in Web of Science")</f>
        <v>View Full Record in Web of Science</v>
      </c>
    </row>
    <row r="822" spans="1:81" ht="13.2" hidden="1" x14ac:dyDescent="0.25">
      <c r="A822" s="89" t="s">
        <v>24034</v>
      </c>
      <c r="B822" s="89" t="e">
        <f>+#REF!</f>
        <v>#REF!</v>
      </c>
      <c r="C822" s="89"/>
      <c r="D822" s="91" t="s">
        <v>717</v>
      </c>
      <c r="E822" s="90" t="e">
        <v>#REF!</v>
      </c>
      <c r="F822" s="89"/>
      <c r="G822" s="89"/>
      <c r="H822" s="89" t="s">
        <v>15063</v>
      </c>
      <c r="I822" s="89" t="s">
        <v>24035</v>
      </c>
      <c r="J822" s="89" t="s">
        <v>646</v>
      </c>
      <c r="K822" s="89" t="s">
        <v>24037</v>
      </c>
      <c r="M822" s="89">
        <v>2020</v>
      </c>
      <c r="N822" s="89" t="s">
        <v>24036</v>
      </c>
      <c r="O822" s="89" t="s">
        <v>646</v>
      </c>
      <c r="P822" s="89" t="str">
        <f>HYPERLINK("http://dx.doi.org/10.1037/pspi0000186","http://dx.doi.org/10.1037/pspi0000186")</f>
        <v>http://dx.doi.org/10.1037/pspi0000186</v>
      </c>
      <c r="S822" s="89" t="s">
        <v>646</v>
      </c>
      <c r="U822" s="89" t="s">
        <v>17462</v>
      </c>
      <c r="W822" s="89" t="s">
        <v>646</v>
      </c>
      <c r="X822" s="89" t="s">
        <v>646</v>
      </c>
      <c r="Y822" s="89" t="s">
        <v>646</v>
      </c>
      <c r="Z822" s="89" t="s">
        <v>646</v>
      </c>
      <c r="AA822" s="89" t="s">
        <v>646</v>
      </c>
      <c r="AB822" s="89" t="s">
        <v>646</v>
      </c>
      <c r="AC822" s="89" t="s">
        <v>646</v>
      </c>
      <c r="AD822" s="89" t="s">
        <v>646</v>
      </c>
      <c r="AE822" s="89" t="s">
        <v>646</v>
      </c>
      <c r="AF822" s="89" t="s">
        <v>24037</v>
      </c>
      <c r="AG822" s="89" t="s">
        <v>646</v>
      </c>
      <c r="AH822" s="89" t="s">
        <v>646</v>
      </c>
      <c r="AI822" s="89" t="s">
        <v>646</v>
      </c>
      <c r="AJ822" s="89" t="s">
        <v>646</v>
      </c>
      <c r="AK822" s="89" t="s">
        <v>646</v>
      </c>
      <c r="AL822" s="89" t="s">
        <v>646</v>
      </c>
      <c r="AM822" s="89" t="s">
        <v>646</v>
      </c>
      <c r="AN822" s="89" t="s">
        <v>646</v>
      </c>
      <c r="AO822" s="89" t="s">
        <v>646</v>
      </c>
      <c r="AP822" s="89" t="s">
        <v>646</v>
      </c>
      <c r="AQ822" s="89" t="s">
        <v>646</v>
      </c>
      <c r="AR822" s="89" t="s">
        <v>646</v>
      </c>
      <c r="AS822" s="89" t="s">
        <v>646</v>
      </c>
      <c r="AT822" s="89" t="s">
        <v>646</v>
      </c>
      <c r="AU822" s="89" t="s">
        <v>646</v>
      </c>
      <c r="AV822" s="89" t="s">
        <v>646</v>
      </c>
      <c r="AW822" s="89" t="s">
        <v>646</v>
      </c>
      <c r="AX822" s="89" t="s">
        <v>646</v>
      </c>
      <c r="AY822" s="89" t="s">
        <v>24038</v>
      </c>
      <c r="AZ822" s="89" t="s">
        <v>24039</v>
      </c>
      <c r="BA822" s="89" t="s">
        <v>646</v>
      </c>
      <c r="BB822" s="89" t="s">
        <v>646</v>
      </c>
      <c r="BC822" s="89" t="s">
        <v>646</v>
      </c>
      <c r="BD822" s="89" t="s">
        <v>17513</v>
      </c>
      <c r="BE822" s="89">
        <v>2020</v>
      </c>
      <c r="BF822" s="89">
        <v>118</v>
      </c>
      <c r="BG822" s="89">
        <v>1</v>
      </c>
      <c r="BH822" s="89" t="s">
        <v>646</v>
      </c>
      <c r="BI822" s="89" t="s">
        <v>646</v>
      </c>
      <c r="BJ822" s="89" t="s">
        <v>646</v>
      </c>
      <c r="BK822" s="89" t="s">
        <v>646</v>
      </c>
      <c r="BL822" s="89">
        <v>57</v>
      </c>
      <c r="BM822" s="89">
        <v>88</v>
      </c>
      <c r="BN822" s="89" t="s">
        <v>646</v>
      </c>
      <c r="BO822" s="89" t="str">
        <f>HYPERLINK("http://dx.doi.org/10.1037/pspi0000186","http://dx.doi.org/10.1037/pspi0000186")</f>
        <v>http://dx.doi.org/10.1037/pspi0000186</v>
      </c>
      <c r="BP822" s="89" t="s">
        <v>646</v>
      </c>
      <c r="BQ822" s="89" t="s">
        <v>646</v>
      </c>
      <c r="BR822" s="89" t="s">
        <v>646</v>
      </c>
      <c r="BS822" s="89" t="s">
        <v>646</v>
      </c>
      <c r="BT822" s="89" t="s">
        <v>646</v>
      </c>
      <c r="BU822" s="89" t="s">
        <v>646</v>
      </c>
      <c r="BV822" s="89" t="s">
        <v>646</v>
      </c>
      <c r="BW822" s="89">
        <v>30985155</v>
      </c>
      <c r="BX822" s="89" t="s">
        <v>646</v>
      </c>
      <c r="BY822" s="89" t="s">
        <v>646</v>
      </c>
      <c r="BZ822" s="89" t="s">
        <v>646</v>
      </c>
      <c r="CA822" s="89" t="s">
        <v>646</v>
      </c>
      <c r="CB822" s="89" t="s">
        <v>24040</v>
      </c>
      <c r="CC822" s="89" t="str">
        <f>HYPERLINK("https%3A%2F%2Fwww.webofscience.com%2Fwos%2Fwoscc%2Ffull-record%2FWOS:000504010100003","View Full Record in Web of Science")</f>
        <v>View Full Record in Web of Science</v>
      </c>
    </row>
    <row r="823" spans="1:81" ht="13.2" hidden="1" x14ac:dyDescent="0.25">
      <c r="A823" s="89" t="s">
        <v>15072</v>
      </c>
      <c r="B823" s="89" t="e">
        <f>+#REF!</f>
        <v>#REF!</v>
      </c>
      <c r="C823" s="89"/>
      <c r="D823" s="91" t="s">
        <v>717</v>
      </c>
      <c r="E823" s="90" t="e">
        <v>#REF!</v>
      </c>
      <c r="F823" s="89"/>
      <c r="G823" s="89"/>
      <c r="H823" s="89" t="s">
        <v>15073</v>
      </c>
      <c r="I823" s="89" t="s">
        <v>24041</v>
      </c>
      <c r="J823" s="89" t="s">
        <v>646</v>
      </c>
      <c r="K823" s="89" t="s">
        <v>24042</v>
      </c>
      <c r="M823" s="89">
        <v>2016</v>
      </c>
      <c r="N823" s="89" t="s">
        <v>22485</v>
      </c>
      <c r="O823" s="89" t="s">
        <v>646</v>
      </c>
      <c r="P823" s="89" t="str">
        <f>HYPERLINK("http://dx.doi.org/10.1080/09585192.2015.1020444","http://dx.doi.org/10.1080/09585192.2015.1020444")</f>
        <v>http://dx.doi.org/10.1080/09585192.2015.1020444</v>
      </c>
      <c r="S823" s="89" t="s">
        <v>646</v>
      </c>
      <c r="U823" s="89" t="s">
        <v>17462</v>
      </c>
      <c r="W823" s="89" t="s">
        <v>646</v>
      </c>
      <c r="X823" s="89" t="s">
        <v>646</v>
      </c>
      <c r="Y823" s="89" t="s">
        <v>646</v>
      </c>
      <c r="Z823" s="89" t="s">
        <v>646</v>
      </c>
      <c r="AA823" s="89" t="s">
        <v>646</v>
      </c>
      <c r="AB823" s="89" t="s">
        <v>646</v>
      </c>
      <c r="AC823" s="89" t="s">
        <v>646</v>
      </c>
      <c r="AD823" s="89" t="s">
        <v>646</v>
      </c>
      <c r="AE823" s="89" t="s">
        <v>646</v>
      </c>
      <c r="AF823" s="89" t="s">
        <v>24042</v>
      </c>
      <c r="AG823" s="89" t="s">
        <v>646</v>
      </c>
      <c r="AH823" s="89" t="s">
        <v>646</v>
      </c>
      <c r="AI823" s="89" t="s">
        <v>646</v>
      </c>
      <c r="AJ823" s="89" t="s">
        <v>646</v>
      </c>
      <c r="AK823" s="89" t="s">
        <v>646</v>
      </c>
      <c r="AL823" s="89" t="s">
        <v>646</v>
      </c>
      <c r="AM823" s="89" t="s">
        <v>646</v>
      </c>
      <c r="AN823" s="89" t="s">
        <v>646</v>
      </c>
      <c r="AO823" s="89" t="s">
        <v>646</v>
      </c>
      <c r="AP823" s="89" t="s">
        <v>646</v>
      </c>
      <c r="AQ823" s="89" t="s">
        <v>646</v>
      </c>
      <c r="AR823" s="89" t="s">
        <v>646</v>
      </c>
      <c r="AS823" s="89" t="s">
        <v>646</v>
      </c>
      <c r="AT823" s="89" t="s">
        <v>646</v>
      </c>
      <c r="AU823" s="89" t="s">
        <v>646</v>
      </c>
      <c r="AV823" s="89" t="s">
        <v>646</v>
      </c>
      <c r="AW823" s="89" t="s">
        <v>646</v>
      </c>
      <c r="AX823" s="89" t="s">
        <v>646</v>
      </c>
      <c r="AY823" s="89" t="s">
        <v>22486</v>
      </c>
      <c r="AZ823" s="89" t="s">
        <v>22487</v>
      </c>
      <c r="BA823" s="89" t="s">
        <v>646</v>
      </c>
      <c r="BB823" s="89" t="s">
        <v>646</v>
      </c>
      <c r="BC823" s="89" t="s">
        <v>646</v>
      </c>
      <c r="BD823" s="89" t="s">
        <v>24043</v>
      </c>
      <c r="BE823" s="89">
        <v>2016</v>
      </c>
      <c r="BF823" s="89">
        <v>27</v>
      </c>
      <c r="BG823" s="89">
        <v>5</v>
      </c>
      <c r="BH823" s="89" t="s">
        <v>646</v>
      </c>
      <c r="BI823" s="89" t="s">
        <v>646</v>
      </c>
      <c r="BJ823" s="89" t="s">
        <v>646</v>
      </c>
      <c r="BK823" s="89" t="s">
        <v>646</v>
      </c>
      <c r="BL823" s="89">
        <v>527</v>
      </c>
      <c r="BM823" s="89">
        <v>547</v>
      </c>
      <c r="BN823" s="89" t="s">
        <v>646</v>
      </c>
      <c r="BO823" s="89" t="str">
        <f>HYPERLINK("http://dx.doi.org/10.1080/09585192.2015.1020444","http://dx.doi.org/10.1080/09585192.2015.1020444")</f>
        <v>http://dx.doi.org/10.1080/09585192.2015.1020444</v>
      </c>
      <c r="BP823" s="89" t="s">
        <v>646</v>
      </c>
      <c r="BQ823" s="89" t="s">
        <v>646</v>
      </c>
      <c r="BR823" s="89" t="s">
        <v>646</v>
      </c>
      <c r="BS823" s="89" t="s">
        <v>646</v>
      </c>
      <c r="BT823" s="89" t="s">
        <v>646</v>
      </c>
      <c r="BU823" s="89" t="s">
        <v>646</v>
      </c>
      <c r="BV823" s="89" t="s">
        <v>646</v>
      </c>
      <c r="BW823" s="89" t="s">
        <v>646</v>
      </c>
      <c r="BX823" s="89" t="s">
        <v>646</v>
      </c>
      <c r="BY823" s="89" t="s">
        <v>646</v>
      </c>
      <c r="BZ823" s="89" t="s">
        <v>646</v>
      </c>
      <c r="CA823" s="89" t="s">
        <v>646</v>
      </c>
      <c r="CB823" s="89" t="s">
        <v>24044</v>
      </c>
      <c r="CC823" s="89" t="str">
        <f>HYPERLINK("https%3A%2F%2Fwww.webofscience.com%2Fwos%2Fwoscc%2Ffull-record%2FWOS:000367746000003","View Full Record in Web of Science")</f>
        <v>View Full Record in Web of Science</v>
      </c>
    </row>
    <row r="824" spans="1:81" ht="13.2" hidden="1" x14ac:dyDescent="0.25">
      <c r="A824" s="89" t="s">
        <v>24045</v>
      </c>
      <c r="B824" s="89" t="e">
        <f>+#REF!</f>
        <v>#REF!</v>
      </c>
      <c r="C824" s="89"/>
      <c r="D824" s="91" t="s">
        <v>717</v>
      </c>
      <c r="E824" s="90" t="e">
        <v>#REF!</v>
      </c>
      <c r="F824" s="89"/>
      <c r="G824" s="89"/>
      <c r="H824" s="89" t="s">
        <v>15082</v>
      </c>
      <c r="I824" s="89" t="s">
        <v>24046</v>
      </c>
      <c r="J824" s="89" t="s">
        <v>24049</v>
      </c>
      <c r="K824" s="89" t="s">
        <v>24048</v>
      </c>
      <c r="M824" s="89">
        <v>2019</v>
      </c>
      <c r="N824" s="89" t="s">
        <v>24047</v>
      </c>
      <c r="O824" s="89" t="s">
        <v>646</v>
      </c>
      <c r="P824" s="89" t="str">
        <f>HYPERLINK("http://dx.doi.org/10.1093/abm/kay059","http://dx.doi.org/10.1093/abm/kay059")</f>
        <v>http://dx.doi.org/10.1093/abm/kay059</v>
      </c>
      <c r="S824" s="89" t="s">
        <v>646</v>
      </c>
      <c r="U824" s="89" t="s">
        <v>17462</v>
      </c>
      <c r="W824" s="89" t="s">
        <v>646</v>
      </c>
      <c r="X824" s="89" t="s">
        <v>646</v>
      </c>
      <c r="Y824" s="89" t="s">
        <v>646</v>
      </c>
      <c r="Z824" s="89" t="s">
        <v>646</v>
      </c>
      <c r="AA824" s="89" t="s">
        <v>646</v>
      </c>
      <c r="AB824" s="89" t="s">
        <v>646</v>
      </c>
      <c r="AC824" s="89" t="s">
        <v>646</v>
      </c>
      <c r="AD824" s="89" t="s">
        <v>646</v>
      </c>
      <c r="AE824" s="89" t="s">
        <v>646</v>
      </c>
      <c r="AF824" s="89" t="s">
        <v>24048</v>
      </c>
      <c r="AG824" s="89" t="s">
        <v>646</v>
      </c>
      <c r="AH824" s="89" t="s">
        <v>646</v>
      </c>
      <c r="AI824" s="89" t="s">
        <v>646</v>
      </c>
      <c r="AJ824" s="89" t="s">
        <v>646</v>
      </c>
      <c r="AK824" s="89" t="s">
        <v>24049</v>
      </c>
      <c r="AL824" s="89" t="s">
        <v>24050</v>
      </c>
      <c r="AM824" s="89" t="s">
        <v>646</v>
      </c>
      <c r="AN824" s="89" t="s">
        <v>646</v>
      </c>
      <c r="AO824" s="89" t="s">
        <v>646</v>
      </c>
      <c r="AP824" s="89" t="s">
        <v>646</v>
      </c>
      <c r="AQ824" s="89" t="s">
        <v>646</v>
      </c>
      <c r="AR824" s="89" t="s">
        <v>646</v>
      </c>
      <c r="AS824" s="89" t="s">
        <v>646</v>
      </c>
      <c r="AT824" s="89" t="s">
        <v>646</v>
      </c>
      <c r="AU824" s="89" t="s">
        <v>646</v>
      </c>
      <c r="AV824" s="89" t="s">
        <v>646</v>
      </c>
      <c r="AW824" s="89" t="s">
        <v>646</v>
      </c>
      <c r="AX824" s="89" t="s">
        <v>646</v>
      </c>
      <c r="AY824" s="89" t="s">
        <v>24051</v>
      </c>
      <c r="AZ824" s="89" t="s">
        <v>24052</v>
      </c>
      <c r="BA824" s="89" t="s">
        <v>646</v>
      </c>
      <c r="BB824" s="89" t="s">
        <v>646</v>
      </c>
      <c r="BC824" s="89" t="s">
        <v>646</v>
      </c>
      <c r="BD824" s="89" t="s">
        <v>18436</v>
      </c>
      <c r="BE824" s="89">
        <v>2019</v>
      </c>
      <c r="BF824" s="89">
        <v>53</v>
      </c>
      <c r="BG824" s="89">
        <v>5</v>
      </c>
      <c r="BH824" s="89" t="s">
        <v>646</v>
      </c>
      <c r="BI824" s="89" t="s">
        <v>646</v>
      </c>
      <c r="BJ824" s="89" t="s">
        <v>646</v>
      </c>
      <c r="BK824" s="89" t="s">
        <v>646</v>
      </c>
      <c r="BL824" s="89">
        <v>476</v>
      </c>
      <c r="BM824" s="89">
        <v>485</v>
      </c>
      <c r="BN824" s="89" t="s">
        <v>646</v>
      </c>
      <c r="BO824" s="89" t="str">
        <f>HYPERLINK("http://dx.doi.org/10.1093/abm/kay059","http://dx.doi.org/10.1093/abm/kay059")</f>
        <v>http://dx.doi.org/10.1093/abm/kay059</v>
      </c>
      <c r="BP824" s="89" t="s">
        <v>646</v>
      </c>
      <c r="BQ824" s="89" t="s">
        <v>646</v>
      </c>
      <c r="BR824" s="89" t="s">
        <v>646</v>
      </c>
      <c r="BS824" s="89" t="s">
        <v>646</v>
      </c>
      <c r="BT824" s="89" t="s">
        <v>646</v>
      </c>
      <c r="BU824" s="89" t="s">
        <v>646</v>
      </c>
      <c r="BV824" s="89" t="s">
        <v>646</v>
      </c>
      <c r="BW824" s="89">
        <v>30052702</v>
      </c>
      <c r="BX824" s="89" t="s">
        <v>646</v>
      </c>
      <c r="BY824" s="89" t="s">
        <v>646</v>
      </c>
      <c r="BZ824" s="89" t="s">
        <v>646</v>
      </c>
      <c r="CA824" s="89" t="s">
        <v>646</v>
      </c>
      <c r="CB824" s="89" t="s">
        <v>24053</v>
      </c>
      <c r="CC824" s="89" t="str">
        <f>HYPERLINK("https%3A%2F%2Fwww.webofscience.com%2Fwos%2Fwoscc%2Ffull-record%2FWOS:000480802400007","View Full Record in Web of Science")</f>
        <v>View Full Record in Web of Science</v>
      </c>
    </row>
    <row r="825" spans="1:81" ht="13.2" hidden="1" x14ac:dyDescent="0.25">
      <c r="A825" s="89" t="s">
        <v>15091</v>
      </c>
      <c r="B825" s="89" t="e">
        <f>+#REF!</f>
        <v>#REF!</v>
      </c>
      <c r="C825" s="89"/>
      <c r="D825" s="91" t="s">
        <v>717</v>
      </c>
      <c r="E825" s="90" t="e">
        <v>#REF!</v>
      </c>
      <c r="F825" s="89"/>
      <c r="G825" s="89"/>
      <c r="H825" s="89" t="s">
        <v>15092</v>
      </c>
      <c r="I825" s="89" t="s">
        <v>24054</v>
      </c>
      <c r="J825" s="89" t="s">
        <v>646</v>
      </c>
      <c r="K825" s="89" t="s">
        <v>24056</v>
      </c>
      <c r="M825" s="89">
        <v>2012</v>
      </c>
      <c r="N825" s="89" t="s">
        <v>24055</v>
      </c>
      <c r="O825" s="89" t="s">
        <v>646</v>
      </c>
      <c r="P825" s="89" t="str">
        <f>HYPERLINK("http://dx.doi.org/10.1177/0037549711405249","http://dx.doi.org/10.1177/0037549711405249")</f>
        <v>http://dx.doi.org/10.1177/0037549711405249</v>
      </c>
      <c r="S825" s="89" t="s">
        <v>646</v>
      </c>
      <c r="U825" s="89" t="s">
        <v>17462</v>
      </c>
      <c r="W825" s="89" t="s">
        <v>646</v>
      </c>
      <c r="X825" s="89" t="s">
        <v>646</v>
      </c>
      <c r="Y825" s="89" t="s">
        <v>646</v>
      </c>
      <c r="Z825" s="89" t="s">
        <v>646</v>
      </c>
      <c r="AA825" s="89" t="s">
        <v>646</v>
      </c>
      <c r="AB825" s="89" t="s">
        <v>646</v>
      </c>
      <c r="AC825" s="89" t="s">
        <v>646</v>
      </c>
      <c r="AD825" s="89" t="s">
        <v>646</v>
      </c>
      <c r="AE825" s="89" t="s">
        <v>646</v>
      </c>
      <c r="AF825" s="89" t="s">
        <v>24056</v>
      </c>
      <c r="AG825" s="89" t="s">
        <v>646</v>
      </c>
      <c r="AH825" s="89" t="s">
        <v>646</v>
      </c>
      <c r="AI825" s="89" t="s">
        <v>646</v>
      </c>
      <c r="AJ825" s="89" t="s">
        <v>646</v>
      </c>
      <c r="AK825" s="89" t="s">
        <v>646</v>
      </c>
      <c r="AL825" s="89" t="s">
        <v>24057</v>
      </c>
      <c r="AM825" s="89" t="s">
        <v>646</v>
      </c>
      <c r="AN825" s="89" t="s">
        <v>646</v>
      </c>
      <c r="AO825" s="89" t="s">
        <v>646</v>
      </c>
      <c r="AP825" s="89" t="s">
        <v>646</v>
      </c>
      <c r="AQ825" s="89" t="s">
        <v>646</v>
      </c>
      <c r="AR825" s="89" t="s">
        <v>646</v>
      </c>
      <c r="AS825" s="89" t="s">
        <v>646</v>
      </c>
      <c r="AT825" s="89" t="s">
        <v>646</v>
      </c>
      <c r="AU825" s="89" t="s">
        <v>646</v>
      </c>
      <c r="AV825" s="89" t="s">
        <v>646</v>
      </c>
      <c r="AW825" s="89" t="s">
        <v>646</v>
      </c>
      <c r="AX825" s="89" t="s">
        <v>646</v>
      </c>
      <c r="AY825" s="89" t="s">
        <v>24058</v>
      </c>
      <c r="AZ825" s="89" t="s">
        <v>24059</v>
      </c>
      <c r="BA825" s="89" t="s">
        <v>646</v>
      </c>
      <c r="BB825" s="89" t="s">
        <v>646</v>
      </c>
      <c r="BC825" s="89" t="s">
        <v>646</v>
      </c>
      <c r="BD825" s="89" t="s">
        <v>17513</v>
      </c>
      <c r="BE825" s="89">
        <v>2012</v>
      </c>
      <c r="BF825" s="89">
        <v>88</v>
      </c>
      <c r="BG825" s="89">
        <v>1</v>
      </c>
      <c r="BH825" s="89" t="s">
        <v>646</v>
      </c>
      <c r="BI825" s="89" t="s">
        <v>646</v>
      </c>
      <c r="BJ825" s="89" t="s">
        <v>17555</v>
      </c>
      <c r="BK825" s="89" t="s">
        <v>646</v>
      </c>
      <c r="BL825" s="89">
        <v>72</v>
      </c>
      <c r="BM825" s="89">
        <v>96</v>
      </c>
      <c r="BN825" s="89" t="s">
        <v>646</v>
      </c>
      <c r="BO825" s="89" t="str">
        <f>HYPERLINK("http://dx.doi.org/10.1177/0037549711405249","http://dx.doi.org/10.1177/0037549711405249")</f>
        <v>http://dx.doi.org/10.1177/0037549711405249</v>
      </c>
      <c r="BP825" s="89" t="s">
        <v>646</v>
      </c>
      <c r="BQ825" s="89" t="s">
        <v>646</v>
      </c>
      <c r="BR825" s="89" t="s">
        <v>646</v>
      </c>
      <c r="BS825" s="89" t="s">
        <v>646</v>
      </c>
      <c r="BT825" s="89" t="s">
        <v>646</v>
      </c>
      <c r="BU825" s="89" t="s">
        <v>646</v>
      </c>
      <c r="BV825" s="89" t="s">
        <v>646</v>
      </c>
      <c r="BW825" s="89" t="s">
        <v>646</v>
      </c>
      <c r="BX825" s="89" t="s">
        <v>646</v>
      </c>
      <c r="BY825" s="89" t="s">
        <v>646</v>
      </c>
      <c r="BZ825" s="89" t="s">
        <v>646</v>
      </c>
      <c r="CA825" s="89" t="s">
        <v>646</v>
      </c>
      <c r="CB825" s="89" t="s">
        <v>24060</v>
      </c>
      <c r="CC825" s="89" t="str">
        <f>HYPERLINK("https%3A%2F%2Fwww.webofscience.com%2Fwos%2Fwoscc%2Ffull-record%2FWOS:000298745300007","View Full Record in Web of Science")</f>
        <v>View Full Record in Web of Science</v>
      </c>
    </row>
    <row r="826" spans="1:81" ht="13.2" hidden="1" x14ac:dyDescent="0.25">
      <c r="A826" s="89" t="s">
        <v>15101</v>
      </c>
      <c r="B826" s="89" t="e">
        <f>+#REF!</f>
        <v>#REF!</v>
      </c>
      <c r="C826" s="89"/>
      <c r="D826" s="91" t="s">
        <v>717</v>
      </c>
      <c r="E826" s="90" t="e">
        <v>#REF!</v>
      </c>
      <c r="F826" s="89"/>
      <c r="G826" s="89"/>
      <c r="H826" s="89" t="s">
        <v>15102</v>
      </c>
      <c r="I826" s="89" t="s">
        <v>24061</v>
      </c>
      <c r="J826" s="89" t="s">
        <v>646</v>
      </c>
      <c r="K826" s="89" t="s">
        <v>24063</v>
      </c>
      <c r="M826" s="89">
        <v>2020</v>
      </c>
      <c r="N826" s="89" t="s">
        <v>24062</v>
      </c>
      <c r="O826" s="89" t="s">
        <v>646</v>
      </c>
      <c r="P826" s="89" t="str">
        <f>HYPERLINK("http://dx.doi.org/10.1108/JWL-12-2019-0140","http://dx.doi.org/10.1108/JWL-12-2019-0140")</f>
        <v>http://dx.doi.org/10.1108/JWL-12-2019-0140</v>
      </c>
      <c r="S826" s="89" t="s">
        <v>646</v>
      </c>
      <c r="U826" s="89" t="s">
        <v>17462</v>
      </c>
      <c r="W826" s="89" t="s">
        <v>646</v>
      </c>
      <c r="X826" s="89" t="s">
        <v>646</v>
      </c>
      <c r="Y826" s="89" t="s">
        <v>646</v>
      </c>
      <c r="Z826" s="89" t="s">
        <v>646</v>
      </c>
      <c r="AA826" s="89" t="s">
        <v>646</v>
      </c>
      <c r="AB826" s="89" t="s">
        <v>646</v>
      </c>
      <c r="AC826" s="89" t="s">
        <v>646</v>
      </c>
      <c r="AD826" s="89" t="s">
        <v>646</v>
      </c>
      <c r="AE826" s="89" t="s">
        <v>646</v>
      </c>
      <c r="AF826" s="89" t="s">
        <v>24063</v>
      </c>
      <c r="AG826" s="89" t="s">
        <v>646</v>
      </c>
      <c r="AH826" s="89" t="s">
        <v>646</v>
      </c>
      <c r="AI826" s="89" t="s">
        <v>646</v>
      </c>
      <c r="AJ826" s="89" t="s">
        <v>646</v>
      </c>
      <c r="AK826" s="89" t="s">
        <v>646</v>
      </c>
      <c r="AL826" s="89" t="s">
        <v>646</v>
      </c>
      <c r="AM826" s="89" t="s">
        <v>646</v>
      </c>
      <c r="AN826" s="89" t="s">
        <v>646</v>
      </c>
      <c r="AO826" s="89" t="s">
        <v>646</v>
      </c>
      <c r="AP826" s="89" t="s">
        <v>646</v>
      </c>
      <c r="AQ826" s="89" t="s">
        <v>646</v>
      </c>
      <c r="AR826" s="89" t="s">
        <v>646</v>
      </c>
      <c r="AS826" s="89" t="s">
        <v>646</v>
      </c>
      <c r="AT826" s="89" t="s">
        <v>646</v>
      </c>
      <c r="AU826" s="89" t="s">
        <v>646</v>
      </c>
      <c r="AV826" s="89" t="s">
        <v>646</v>
      </c>
      <c r="AW826" s="89" t="s">
        <v>646</v>
      </c>
      <c r="AX826" s="89" t="s">
        <v>646</v>
      </c>
      <c r="AY826" s="89" t="s">
        <v>24064</v>
      </c>
      <c r="AZ826" s="89" t="s">
        <v>24065</v>
      </c>
      <c r="BA826" s="89" t="s">
        <v>646</v>
      </c>
      <c r="BB826" s="89" t="s">
        <v>646</v>
      </c>
      <c r="BC826" s="89" t="s">
        <v>646</v>
      </c>
      <c r="BD826" s="89" t="s">
        <v>20021</v>
      </c>
      <c r="BE826" s="89">
        <v>2020</v>
      </c>
      <c r="BF826" s="89">
        <v>32</v>
      </c>
      <c r="BG826" s="89">
        <v>7</v>
      </c>
      <c r="BH826" s="89" t="s">
        <v>646</v>
      </c>
      <c r="BI826" s="89" t="s">
        <v>646</v>
      </c>
      <c r="BJ826" s="89" t="s">
        <v>646</v>
      </c>
      <c r="BK826" s="89" t="s">
        <v>646</v>
      </c>
      <c r="BL826" s="89">
        <v>473</v>
      </c>
      <c r="BM826" s="89">
        <v>487</v>
      </c>
      <c r="BN826" s="89" t="s">
        <v>646</v>
      </c>
      <c r="BO826" s="89" t="str">
        <f>HYPERLINK("http://dx.doi.org/10.1108/JWL-12-2019-0140","http://dx.doi.org/10.1108/JWL-12-2019-0140")</f>
        <v>http://dx.doi.org/10.1108/JWL-12-2019-0140</v>
      </c>
      <c r="BP826" s="89" t="s">
        <v>646</v>
      </c>
      <c r="BQ826" s="89" t="s">
        <v>18718</v>
      </c>
      <c r="BR826" s="89" t="s">
        <v>646</v>
      </c>
      <c r="BS826" s="89" t="s">
        <v>646</v>
      </c>
      <c r="BT826" s="89" t="s">
        <v>646</v>
      </c>
      <c r="BU826" s="89" t="s">
        <v>646</v>
      </c>
      <c r="BV826" s="89" t="s">
        <v>646</v>
      </c>
      <c r="BW826" s="89" t="s">
        <v>646</v>
      </c>
      <c r="BX826" s="89" t="s">
        <v>646</v>
      </c>
      <c r="BY826" s="89" t="s">
        <v>646</v>
      </c>
      <c r="BZ826" s="89" t="s">
        <v>646</v>
      </c>
      <c r="CA826" s="89" t="s">
        <v>646</v>
      </c>
      <c r="CB826" s="89" t="s">
        <v>24066</v>
      </c>
      <c r="CC826" s="89" t="str">
        <f>HYPERLINK("https%3A%2F%2Fwww.webofscience.com%2Fwos%2Fwoscc%2Ffull-record%2FWOS:000556936900001","View Full Record in Web of Science")</f>
        <v>View Full Record in Web of Science</v>
      </c>
    </row>
    <row r="827" spans="1:81" ht="13.2" hidden="1" x14ac:dyDescent="0.25">
      <c r="A827" s="89" t="s">
        <v>10274</v>
      </c>
      <c r="B827" s="89" t="e">
        <f>+#REF!</f>
        <v>#REF!</v>
      </c>
      <c r="C827" s="89"/>
      <c r="D827" s="91" t="s">
        <v>717</v>
      </c>
      <c r="E827" s="90" t="e">
        <v>#REF!</v>
      </c>
      <c r="F827" s="89"/>
      <c r="G827" s="89"/>
      <c r="H827" s="89" t="s">
        <v>10275</v>
      </c>
      <c r="I827" s="89" t="s">
        <v>24067</v>
      </c>
      <c r="J827" s="89" t="s">
        <v>646</v>
      </c>
      <c r="K827" s="89" t="s">
        <v>24069</v>
      </c>
      <c r="M827" s="89">
        <v>2021</v>
      </c>
      <c r="N827" s="89" t="s">
        <v>24068</v>
      </c>
      <c r="O827" s="89" t="s">
        <v>646</v>
      </c>
      <c r="P827" s="89" t="str">
        <f>HYPERLINK("http://dx.doi.org/10.1177/1455072520985971","http://dx.doi.org/10.1177/1455072520985971")</f>
        <v>http://dx.doi.org/10.1177/1455072520985971</v>
      </c>
      <c r="S827" s="89" t="s">
        <v>646</v>
      </c>
      <c r="U827" s="89" t="s">
        <v>17462</v>
      </c>
      <c r="W827" s="89" t="s">
        <v>646</v>
      </c>
      <c r="X827" s="89" t="s">
        <v>646</v>
      </c>
      <c r="Y827" s="89" t="s">
        <v>646</v>
      </c>
      <c r="Z827" s="89" t="s">
        <v>646</v>
      </c>
      <c r="AA827" s="89" t="s">
        <v>646</v>
      </c>
      <c r="AB827" s="89" t="s">
        <v>646</v>
      </c>
      <c r="AC827" s="89" t="s">
        <v>646</v>
      </c>
      <c r="AD827" s="89" t="s">
        <v>646</v>
      </c>
      <c r="AE827" s="89" t="s">
        <v>646</v>
      </c>
      <c r="AF827" s="89" t="s">
        <v>24069</v>
      </c>
      <c r="AG827" s="89" t="s">
        <v>646</v>
      </c>
      <c r="AH827" s="89" t="s">
        <v>646</v>
      </c>
      <c r="AI827" s="89" t="s">
        <v>646</v>
      </c>
      <c r="AJ827" s="89" t="s">
        <v>646</v>
      </c>
      <c r="AK827" s="89" t="s">
        <v>646</v>
      </c>
      <c r="AL827" s="89" t="s">
        <v>646</v>
      </c>
      <c r="AM827" s="89" t="s">
        <v>646</v>
      </c>
      <c r="AN827" s="89" t="s">
        <v>646</v>
      </c>
      <c r="AO827" s="89" t="s">
        <v>646</v>
      </c>
      <c r="AP827" s="89" t="s">
        <v>646</v>
      </c>
      <c r="AQ827" s="89" t="s">
        <v>646</v>
      </c>
      <c r="AR827" s="89" t="s">
        <v>646</v>
      </c>
      <c r="AS827" s="89" t="s">
        <v>646</v>
      </c>
      <c r="AT827" s="89" t="s">
        <v>646</v>
      </c>
      <c r="AU827" s="89" t="s">
        <v>646</v>
      </c>
      <c r="AV827" s="89" t="s">
        <v>646</v>
      </c>
      <c r="AW827" s="89" t="s">
        <v>646</v>
      </c>
      <c r="AX827" s="89" t="s">
        <v>646</v>
      </c>
      <c r="AY827" s="89" t="s">
        <v>24070</v>
      </c>
      <c r="AZ827" s="89" t="s">
        <v>24071</v>
      </c>
      <c r="BA827" s="89" t="s">
        <v>646</v>
      </c>
      <c r="BB827" s="89" t="s">
        <v>646</v>
      </c>
      <c r="BC827" s="89" t="s">
        <v>646</v>
      </c>
      <c r="BD827" s="89" t="s">
        <v>17615</v>
      </c>
      <c r="BE827" s="89">
        <v>2021</v>
      </c>
      <c r="BF827" s="89">
        <v>38</v>
      </c>
      <c r="BG827" s="89">
        <v>6</v>
      </c>
      <c r="BH827" s="89" t="s">
        <v>646</v>
      </c>
      <c r="BI827" s="89" t="s">
        <v>646</v>
      </c>
      <c r="BJ827" s="89" t="s">
        <v>646</v>
      </c>
      <c r="BK827" s="89" t="s">
        <v>646</v>
      </c>
      <c r="BL827" s="89">
        <v>605</v>
      </c>
      <c r="BM827" s="89">
        <v>614</v>
      </c>
      <c r="BN827" s="89">
        <v>1455072520985971</v>
      </c>
      <c r="BO827" s="89" t="str">
        <f>HYPERLINK("http://dx.doi.org/10.1177/1455072520985971","http://dx.doi.org/10.1177/1455072520985971")</f>
        <v>http://dx.doi.org/10.1177/1455072520985971</v>
      </c>
      <c r="BP827" s="89" t="s">
        <v>646</v>
      </c>
      <c r="BQ827" s="89" t="s">
        <v>19593</v>
      </c>
      <c r="BR827" s="89" t="s">
        <v>646</v>
      </c>
      <c r="BS827" s="89" t="s">
        <v>646</v>
      </c>
      <c r="BT827" s="89" t="s">
        <v>646</v>
      </c>
      <c r="BU827" s="89" t="s">
        <v>646</v>
      </c>
      <c r="BV827" s="89" t="s">
        <v>646</v>
      </c>
      <c r="BW827" s="89">
        <v>35309853</v>
      </c>
      <c r="BX827" s="89" t="s">
        <v>646</v>
      </c>
      <c r="BY827" s="89" t="s">
        <v>646</v>
      </c>
      <c r="BZ827" s="89" t="s">
        <v>646</v>
      </c>
      <c r="CA827" s="89" t="s">
        <v>646</v>
      </c>
      <c r="CB827" s="89" t="s">
        <v>24072</v>
      </c>
      <c r="CC827" s="89" t="str">
        <f>HYPERLINK("https%3A%2F%2Fwww.webofscience.com%2Fwos%2Fwoscc%2Ffull-record%2FWOS:000635310400001","View Full Record in Web of Science")</f>
        <v>View Full Record in Web of Science</v>
      </c>
    </row>
    <row r="828" spans="1:81" ht="13.2" hidden="1" x14ac:dyDescent="0.25">
      <c r="A828" s="89" t="s">
        <v>24073</v>
      </c>
      <c r="B828" s="89" t="e">
        <f>+#REF!</f>
        <v>#REF!</v>
      </c>
      <c r="C828" s="89"/>
      <c r="D828" s="91" t="s">
        <v>717</v>
      </c>
      <c r="E828" s="90" t="e">
        <v>#REF!</v>
      </c>
      <c r="F828" s="89"/>
      <c r="G828" s="89"/>
      <c r="H828" s="89" t="s">
        <v>10285</v>
      </c>
      <c r="I828" s="89" t="s">
        <v>24074</v>
      </c>
      <c r="J828" s="89" t="s">
        <v>646</v>
      </c>
      <c r="K828" s="89" t="s">
        <v>24076</v>
      </c>
      <c r="M828" s="89">
        <v>2021</v>
      </c>
      <c r="N828" s="89" t="s">
        <v>24075</v>
      </c>
      <c r="O828" s="89" t="s">
        <v>646</v>
      </c>
      <c r="P828" s="89" t="str">
        <f>HYPERLINK("http://dx.doi.org/10.3390/en14196062","http://dx.doi.org/10.3390/en14196062")</f>
        <v>http://dx.doi.org/10.3390/en14196062</v>
      </c>
      <c r="S828" s="89" t="s">
        <v>646</v>
      </c>
      <c r="U828" s="89" t="s">
        <v>17462</v>
      </c>
      <c r="W828" s="89" t="s">
        <v>646</v>
      </c>
      <c r="X828" s="89" t="s">
        <v>646</v>
      </c>
      <c r="Y828" s="89" t="s">
        <v>646</v>
      </c>
      <c r="Z828" s="89" t="s">
        <v>646</v>
      </c>
      <c r="AA828" s="89" t="s">
        <v>646</v>
      </c>
      <c r="AB828" s="89" t="s">
        <v>646</v>
      </c>
      <c r="AC828" s="89" t="s">
        <v>646</v>
      </c>
      <c r="AD828" s="89" t="s">
        <v>646</v>
      </c>
      <c r="AE828" s="89" t="s">
        <v>646</v>
      </c>
      <c r="AF828" s="89" t="s">
        <v>24076</v>
      </c>
      <c r="AG828" s="89" t="s">
        <v>646</v>
      </c>
      <c r="AH828" s="89" t="s">
        <v>646</v>
      </c>
      <c r="AI828" s="89" t="s">
        <v>646</v>
      </c>
      <c r="AJ828" s="89" t="s">
        <v>646</v>
      </c>
      <c r="AK828" s="89" t="s">
        <v>646</v>
      </c>
      <c r="AL828" s="89" t="s">
        <v>24077</v>
      </c>
      <c r="AM828" s="89" t="s">
        <v>646</v>
      </c>
      <c r="AN828" s="89" t="s">
        <v>646</v>
      </c>
      <c r="AO828" s="89" t="s">
        <v>646</v>
      </c>
      <c r="AP828" s="89" t="s">
        <v>646</v>
      </c>
      <c r="AQ828" s="89" t="s">
        <v>646</v>
      </c>
      <c r="AR828" s="89" t="s">
        <v>646</v>
      </c>
      <c r="AS828" s="89" t="s">
        <v>646</v>
      </c>
      <c r="AT828" s="89" t="s">
        <v>646</v>
      </c>
      <c r="AU828" s="89" t="s">
        <v>646</v>
      </c>
      <c r="AV828" s="89" t="s">
        <v>646</v>
      </c>
      <c r="AW828" s="89" t="s">
        <v>646</v>
      </c>
      <c r="AX828" s="89" t="s">
        <v>646</v>
      </c>
      <c r="AY828" s="89" t="s">
        <v>646</v>
      </c>
      <c r="AZ828" s="89" t="s">
        <v>24078</v>
      </c>
      <c r="BA828" s="89" t="s">
        <v>646</v>
      </c>
      <c r="BB828" s="89" t="s">
        <v>646</v>
      </c>
      <c r="BC828" s="89" t="s">
        <v>646</v>
      </c>
      <c r="BD828" s="89" t="s">
        <v>17687</v>
      </c>
      <c r="BE828" s="89">
        <v>2021</v>
      </c>
      <c r="BF828" s="89">
        <v>14</v>
      </c>
      <c r="BG828" s="89">
        <v>19</v>
      </c>
      <c r="BH828" s="89" t="s">
        <v>646</v>
      </c>
      <c r="BI828" s="89" t="s">
        <v>646</v>
      </c>
      <c r="BJ828" s="89" t="s">
        <v>646</v>
      </c>
      <c r="BK828" s="89" t="s">
        <v>646</v>
      </c>
      <c r="BL828" s="89" t="s">
        <v>646</v>
      </c>
      <c r="BM828" s="89" t="s">
        <v>646</v>
      </c>
      <c r="BN828" s="89">
        <v>6062</v>
      </c>
      <c r="BO828" s="89" t="str">
        <f>HYPERLINK("http://dx.doi.org/10.3390/en14196062","http://dx.doi.org/10.3390/en14196062")</f>
        <v>http://dx.doi.org/10.3390/en14196062</v>
      </c>
      <c r="BP828" s="89" t="s">
        <v>646</v>
      </c>
      <c r="BQ828" s="89" t="s">
        <v>646</v>
      </c>
      <c r="BR828" s="89" t="s">
        <v>646</v>
      </c>
      <c r="BS828" s="89" t="s">
        <v>646</v>
      </c>
      <c r="BT828" s="89" t="s">
        <v>646</v>
      </c>
      <c r="BU828" s="89" t="s">
        <v>646</v>
      </c>
      <c r="BV828" s="89" t="s">
        <v>646</v>
      </c>
      <c r="BW828" s="89" t="s">
        <v>646</v>
      </c>
      <c r="BX828" s="89" t="s">
        <v>646</v>
      </c>
      <c r="BY828" s="89" t="s">
        <v>646</v>
      </c>
      <c r="BZ828" s="89" t="s">
        <v>646</v>
      </c>
      <c r="CA828" s="89" t="s">
        <v>646</v>
      </c>
      <c r="CB828" s="89" t="s">
        <v>24079</v>
      </c>
      <c r="CC828" s="89" t="str">
        <f>HYPERLINK("https%3A%2F%2Fwww.webofscience.com%2Fwos%2Fwoscc%2Ffull-record%2FWOS:000707739700001","View Full Record in Web of Science")</f>
        <v>View Full Record in Web of Science</v>
      </c>
    </row>
    <row r="829" spans="1:81" ht="13.2" hidden="1" x14ac:dyDescent="0.25">
      <c r="A829" s="89" t="s">
        <v>15111</v>
      </c>
      <c r="B829" s="89" t="e">
        <f>+#REF!</f>
        <v>#REF!</v>
      </c>
      <c r="C829" s="89"/>
      <c r="D829" s="91" t="s">
        <v>717</v>
      </c>
      <c r="E829" s="90" t="e">
        <v>#REF!</v>
      </c>
      <c r="F829" s="89"/>
      <c r="G829" s="89"/>
      <c r="H829" s="89" t="s">
        <v>15112</v>
      </c>
      <c r="I829" s="89" t="s">
        <v>24080</v>
      </c>
      <c r="J829" s="89" t="s">
        <v>24083</v>
      </c>
      <c r="K829" s="89" t="s">
        <v>24082</v>
      </c>
      <c r="M829" s="89">
        <v>2018</v>
      </c>
      <c r="N829" s="89" t="s">
        <v>24081</v>
      </c>
      <c r="O829" s="89" t="s">
        <v>646</v>
      </c>
      <c r="P829" s="89" t="str">
        <f>HYPERLINK("http://dx.doi.org/10.1111/jpim.12425","http://dx.doi.org/10.1111/jpim.12425")</f>
        <v>http://dx.doi.org/10.1111/jpim.12425</v>
      </c>
      <c r="S829" s="89" t="s">
        <v>646</v>
      </c>
      <c r="U829" s="89" t="s">
        <v>17462</v>
      </c>
      <c r="W829" s="89" t="s">
        <v>646</v>
      </c>
      <c r="X829" s="89" t="s">
        <v>646</v>
      </c>
      <c r="Y829" s="89" t="s">
        <v>646</v>
      </c>
      <c r="Z829" s="89" t="s">
        <v>646</v>
      </c>
      <c r="AA829" s="89" t="s">
        <v>646</v>
      </c>
      <c r="AB829" s="89" t="s">
        <v>646</v>
      </c>
      <c r="AC829" s="89" t="s">
        <v>646</v>
      </c>
      <c r="AD829" s="89" t="s">
        <v>646</v>
      </c>
      <c r="AE829" s="89" t="s">
        <v>646</v>
      </c>
      <c r="AF829" s="89" t="s">
        <v>24082</v>
      </c>
      <c r="AG829" s="89" t="s">
        <v>646</v>
      </c>
      <c r="AH829" s="89" t="s">
        <v>646</v>
      </c>
      <c r="AI829" s="89" t="s">
        <v>646</v>
      </c>
      <c r="AJ829" s="89" t="s">
        <v>646</v>
      </c>
      <c r="AK829" s="89" t="s">
        <v>24083</v>
      </c>
      <c r="AL829" s="89" t="s">
        <v>24084</v>
      </c>
      <c r="AM829" s="89" t="s">
        <v>646</v>
      </c>
      <c r="AN829" s="89" t="s">
        <v>646</v>
      </c>
      <c r="AO829" s="89" t="s">
        <v>646</v>
      </c>
      <c r="AP829" s="89" t="s">
        <v>646</v>
      </c>
      <c r="AQ829" s="89" t="s">
        <v>646</v>
      </c>
      <c r="AR829" s="89" t="s">
        <v>646</v>
      </c>
      <c r="AS829" s="89" t="s">
        <v>646</v>
      </c>
      <c r="AT829" s="89" t="s">
        <v>646</v>
      </c>
      <c r="AU829" s="89" t="s">
        <v>646</v>
      </c>
      <c r="AV829" s="89" t="s">
        <v>646</v>
      </c>
      <c r="AW829" s="89" t="s">
        <v>646</v>
      </c>
      <c r="AX829" s="89" t="s">
        <v>646</v>
      </c>
      <c r="AY829" s="89" t="s">
        <v>24085</v>
      </c>
      <c r="AZ829" s="89" t="s">
        <v>24086</v>
      </c>
      <c r="BA829" s="89" t="s">
        <v>646</v>
      </c>
      <c r="BB829" s="89" t="s">
        <v>646</v>
      </c>
      <c r="BC829" s="89" t="s">
        <v>646</v>
      </c>
      <c r="BD829" s="89" t="s">
        <v>18436</v>
      </c>
      <c r="BE829" s="89">
        <v>2018</v>
      </c>
      <c r="BF829" s="89">
        <v>35</v>
      </c>
      <c r="BG829" s="89">
        <v>3</v>
      </c>
      <c r="BH829" s="89" t="s">
        <v>646</v>
      </c>
      <c r="BI829" s="89" t="s">
        <v>646</v>
      </c>
      <c r="BJ829" s="89" t="s">
        <v>646</v>
      </c>
      <c r="BK829" s="89" t="s">
        <v>646</v>
      </c>
      <c r="BL829" s="89">
        <v>367</v>
      </c>
      <c r="BM829" s="89">
        <v>388</v>
      </c>
      <c r="BN829" s="89" t="s">
        <v>646</v>
      </c>
      <c r="BO829" s="89" t="str">
        <f>HYPERLINK("http://dx.doi.org/10.1111/jpim.12425","http://dx.doi.org/10.1111/jpim.12425")</f>
        <v>http://dx.doi.org/10.1111/jpim.12425</v>
      </c>
      <c r="BP829" s="89" t="s">
        <v>646</v>
      </c>
      <c r="BQ829" s="89" t="s">
        <v>646</v>
      </c>
      <c r="BR829" s="89" t="s">
        <v>646</v>
      </c>
      <c r="BS829" s="89" t="s">
        <v>646</v>
      </c>
      <c r="BT829" s="89" t="s">
        <v>646</v>
      </c>
      <c r="BU829" s="89" t="s">
        <v>646</v>
      </c>
      <c r="BV829" s="89" t="s">
        <v>646</v>
      </c>
      <c r="BW829" s="89" t="s">
        <v>646</v>
      </c>
      <c r="BX829" s="89" t="s">
        <v>646</v>
      </c>
      <c r="BY829" s="89" t="s">
        <v>646</v>
      </c>
      <c r="BZ829" s="89" t="s">
        <v>646</v>
      </c>
      <c r="CA829" s="89" t="s">
        <v>646</v>
      </c>
      <c r="CB829" s="89" t="s">
        <v>24087</v>
      </c>
      <c r="CC829" s="89" t="str">
        <f>HYPERLINK("https%3A%2F%2Fwww.webofscience.com%2Fwos%2Fwoscc%2Ffull-record%2FWOS:000430671400006","View Full Record in Web of Science")</f>
        <v>View Full Record in Web of Science</v>
      </c>
    </row>
    <row r="830" spans="1:81" ht="13.2" hidden="1" x14ac:dyDescent="0.25">
      <c r="A830" s="89" t="s">
        <v>10294</v>
      </c>
      <c r="B830" s="89" t="e">
        <f>+#REF!</f>
        <v>#REF!</v>
      </c>
      <c r="C830" s="89"/>
      <c r="D830" s="91" t="s">
        <v>717</v>
      </c>
      <c r="E830" s="90" t="e">
        <v>#REF!</v>
      </c>
      <c r="F830" s="89"/>
      <c r="G830" s="89"/>
      <c r="H830" s="89" t="s">
        <v>10295</v>
      </c>
      <c r="I830" s="89" t="s">
        <v>24088</v>
      </c>
      <c r="J830" s="89" t="s">
        <v>646</v>
      </c>
      <c r="K830" s="89" t="s">
        <v>24089</v>
      </c>
      <c r="M830" s="89">
        <v>2022</v>
      </c>
      <c r="N830" s="89" t="s">
        <v>20105</v>
      </c>
      <c r="O830" s="89" t="s">
        <v>646</v>
      </c>
      <c r="P830" s="89" t="str">
        <f>HYPERLINK("http://dx.doi.org/10.3389/fpsyg.2022.861656","http://dx.doi.org/10.3389/fpsyg.2022.861656")</f>
        <v>http://dx.doi.org/10.3389/fpsyg.2022.861656</v>
      </c>
      <c r="S830" s="89" t="s">
        <v>646</v>
      </c>
      <c r="U830" s="89" t="s">
        <v>17462</v>
      </c>
      <c r="W830" s="89" t="s">
        <v>646</v>
      </c>
      <c r="X830" s="89" t="s">
        <v>646</v>
      </c>
      <c r="Y830" s="89" t="s">
        <v>646</v>
      </c>
      <c r="Z830" s="89" t="s">
        <v>646</v>
      </c>
      <c r="AA830" s="89" t="s">
        <v>646</v>
      </c>
      <c r="AB830" s="89" t="s">
        <v>646</v>
      </c>
      <c r="AC830" s="89" t="s">
        <v>646</v>
      </c>
      <c r="AD830" s="89" t="s">
        <v>646</v>
      </c>
      <c r="AE830" s="89" t="s">
        <v>646</v>
      </c>
      <c r="AF830" s="89" t="s">
        <v>24089</v>
      </c>
      <c r="AG830" s="89" t="s">
        <v>646</v>
      </c>
      <c r="AH830" s="89" t="s">
        <v>646</v>
      </c>
      <c r="AI830" s="89" t="s">
        <v>646</v>
      </c>
      <c r="AJ830" s="89" t="s">
        <v>646</v>
      </c>
      <c r="AK830" s="89" t="s">
        <v>646</v>
      </c>
      <c r="AL830" s="89" t="s">
        <v>646</v>
      </c>
      <c r="AM830" s="89" t="s">
        <v>646</v>
      </c>
      <c r="AN830" s="89" t="s">
        <v>646</v>
      </c>
      <c r="AO830" s="89" t="s">
        <v>646</v>
      </c>
      <c r="AP830" s="89" t="s">
        <v>646</v>
      </c>
      <c r="AQ830" s="89" t="s">
        <v>646</v>
      </c>
      <c r="AR830" s="89" t="s">
        <v>646</v>
      </c>
      <c r="AS830" s="89" t="s">
        <v>646</v>
      </c>
      <c r="AT830" s="89" t="s">
        <v>646</v>
      </c>
      <c r="AU830" s="89" t="s">
        <v>646</v>
      </c>
      <c r="AV830" s="89" t="s">
        <v>646</v>
      </c>
      <c r="AW830" s="89" t="s">
        <v>646</v>
      </c>
      <c r="AX830" s="89" t="s">
        <v>646</v>
      </c>
      <c r="AY830" s="89" t="s">
        <v>20108</v>
      </c>
      <c r="AZ830" s="89" t="s">
        <v>646</v>
      </c>
      <c r="BA830" s="89" t="s">
        <v>646</v>
      </c>
      <c r="BB830" s="89" t="s">
        <v>646</v>
      </c>
      <c r="BC830" s="89" t="s">
        <v>646</v>
      </c>
      <c r="BD830" s="89" t="s">
        <v>18590</v>
      </c>
      <c r="BE830" s="89">
        <v>2022</v>
      </c>
      <c r="BF830" s="89">
        <v>13</v>
      </c>
      <c r="BG830" s="89" t="s">
        <v>646</v>
      </c>
      <c r="BH830" s="89" t="s">
        <v>646</v>
      </c>
      <c r="BI830" s="89" t="s">
        <v>646</v>
      </c>
      <c r="BJ830" s="89" t="s">
        <v>646</v>
      </c>
      <c r="BK830" s="89" t="s">
        <v>646</v>
      </c>
      <c r="BL830" s="89" t="s">
        <v>646</v>
      </c>
      <c r="BM830" s="89" t="s">
        <v>646</v>
      </c>
      <c r="BN830" s="89">
        <v>861656</v>
      </c>
      <c r="BO830" s="89" t="str">
        <f>HYPERLINK("http://dx.doi.org/10.3389/fpsyg.2022.861656","http://dx.doi.org/10.3389/fpsyg.2022.861656")</f>
        <v>http://dx.doi.org/10.3389/fpsyg.2022.861656</v>
      </c>
      <c r="BP830" s="89" t="s">
        <v>646</v>
      </c>
      <c r="BQ830" s="89" t="s">
        <v>646</v>
      </c>
      <c r="BR830" s="89" t="s">
        <v>646</v>
      </c>
      <c r="BS830" s="89" t="s">
        <v>646</v>
      </c>
      <c r="BT830" s="89" t="s">
        <v>646</v>
      </c>
      <c r="BU830" s="89" t="s">
        <v>646</v>
      </c>
      <c r="BV830" s="89" t="s">
        <v>646</v>
      </c>
      <c r="BW830" s="89">
        <v>35401371</v>
      </c>
      <c r="BX830" s="89" t="s">
        <v>646</v>
      </c>
      <c r="BY830" s="89" t="s">
        <v>646</v>
      </c>
      <c r="BZ830" s="89" t="s">
        <v>646</v>
      </c>
      <c r="CA830" s="89" t="s">
        <v>646</v>
      </c>
      <c r="CB830" s="89" t="s">
        <v>24090</v>
      </c>
      <c r="CC830" s="89" t="str">
        <f>HYPERLINK("https%3A%2F%2Fwww.webofscience.com%2Fwos%2Fwoscc%2Ffull-record%2FWOS:000805980700001","View Full Record in Web of Science")</f>
        <v>View Full Record in Web of Science</v>
      </c>
    </row>
    <row r="831" spans="1:81" ht="13.2" hidden="1" x14ac:dyDescent="0.25">
      <c r="A831" s="89" t="s">
        <v>10303</v>
      </c>
      <c r="B831" s="89" t="e">
        <f>+#REF!</f>
        <v>#REF!</v>
      </c>
      <c r="C831" s="89"/>
      <c r="D831" s="91" t="s">
        <v>717</v>
      </c>
      <c r="E831" s="90" t="e">
        <v>#REF!</v>
      </c>
      <c r="F831" s="89"/>
      <c r="G831" s="89"/>
      <c r="H831" s="89" t="s">
        <v>10304</v>
      </c>
      <c r="I831" s="89" t="s">
        <v>24091</v>
      </c>
      <c r="J831" s="89" t="s">
        <v>17466</v>
      </c>
      <c r="K831" s="89" t="s">
        <v>24093</v>
      </c>
      <c r="M831" s="89">
        <v>2022</v>
      </c>
      <c r="N831" s="89" t="s">
        <v>24092</v>
      </c>
      <c r="O831" s="89" t="s">
        <v>646</v>
      </c>
      <c r="P831" s="89" t="str">
        <f>HYPERLINK("http://dx.doi.org/10.1109/RITA.2022.3166966","http://dx.doi.org/10.1109/RITA.2022.3166966")</f>
        <v>http://dx.doi.org/10.1109/RITA.2022.3166966</v>
      </c>
      <c r="S831" s="89" t="s">
        <v>646</v>
      </c>
      <c r="U831" s="89" t="s">
        <v>17462</v>
      </c>
      <c r="W831" s="89" t="s">
        <v>646</v>
      </c>
      <c r="X831" s="89" t="s">
        <v>646</v>
      </c>
      <c r="Y831" s="89" t="s">
        <v>646</v>
      </c>
      <c r="Z831" s="89" t="s">
        <v>646</v>
      </c>
      <c r="AA831" s="89" t="s">
        <v>646</v>
      </c>
      <c r="AB831" s="89" t="s">
        <v>646</v>
      </c>
      <c r="AC831" s="89" t="s">
        <v>646</v>
      </c>
      <c r="AD831" s="89" t="s">
        <v>646</v>
      </c>
      <c r="AE831" s="89" t="s">
        <v>646</v>
      </c>
      <c r="AF831" s="89" t="s">
        <v>24093</v>
      </c>
      <c r="AG831" s="89" t="s">
        <v>646</v>
      </c>
      <c r="AH831" s="89" t="s">
        <v>646</v>
      </c>
      <c r="AI831" s="89" t="s">
        <v>646</v>
      </c>
      <c r="AJ831" s="89" t="s">
        <v>646</v>
      </c>
      <c r="AK831" s="89" t="s">
        <v>17466</v>
      </c>
      <c r="AL831" s="89" t="s">
        <v>17467</v>
      </c>
      <c r="AM831" s="89" t="s">
        <v>646</v>
      </c>
      <c r="AN831" s="89" t="s">
        <v>646</v>
      </c>
      <c r="AO831" s="89" t="s">
        <v>646</v>
      </c>
      <c r="AP831" s="89" t="s">
        <v>646</v>
      </c>
      <c r="AQ831" s="89" t="s">
        <v>646</v>
      </c>
      <c r="AR831" s="89" t="s">
        <v>646</v>
      </c>
      <c r="AS831" s="89" t="s">
        <v>646</v>
      </c>
      <c r="AT831" s="89" t="s">
        <v>646</v>
      </c>
      <c r="AU831" s="89" t="s">
        <v>646</v>
      </c>
      <c r="AV831" s="89" t="s">
        <v>646</v>
      </c>
      <c r="AW831" s="89" t="s">
        <v>646</v>
      </c>
      <c r="AX831" s="89" t="s">
        <v>646</v>
      </c>
      <c r="AY831" s="89" t="s">
        <v>646</v>
      </c>
      <c r="AZ831" s="89" t="s">
        <v>24094</v>
      </c>
      <c r="BA831" s="89" t="s">
        <v>646</v>
      </c>
      <c r="BB831" s="89" t="s">
        <v>646</v>
      </c>
      <c r="BC831" s="89" t="s">
        <v>646</v>
      </c>
      <c r="BD831" s="89" t="s">
        <v>18436</v>
      </c>
      <c r="BE831" s="89">
        <v>2022</v>
      </c>
      <c r="BF831" s="89">
        <v>17</v>
      </c>
      <c r="BG831" s="89">
        <v>2</v>
      </c>
      <c r="BH831" s="89" t="s">
        <v>646</v>
      </c>
      <c r="BI831" s="89" t="s">
        <v>646</v>
      </c>
      <c r="BJ831" s="89" t="s">
        <v>646</v>
      </c>
      <c r="BK831" s="89" t="s">
        <v>646</v>
      </c>
      <c r="BL831" s="89">
        <v>197</v>
      </c>
      <c r="BM831" s="89">
        <v>207</v>
      </c>
      <c r="BN831" s="89" t="s">
        <v>646</v>
      </c>
      <c r="BO831" s="89" t="str">
        <f>HYPERLINK("http://dx.doi.org/10.1109/RITA.2022.3166966","http://dx.doi.org/10.1109/RITA.2022.3166966")</f>
        <v>http://dx.doi.org/10.1109/RITA.2022.3166966</v>
      </c>
      <c r="BP831" s="89" t="s">
        <v>646</v>
      </c>
      <c r="BQ831" s="89" t="s">
        <v>646</v>
      </c>
      <c r="BR831" s="89" t="s">
        <v>646</v>
      </c>
      <c r="BS831" s="89" t="s">
        <v>646</v>
      </c>
      <c r="BT831" s="89" t="s">
        <v>646</v>
      </c>
      <c r="BU831" s="89" t="s">
        <v>646</v>
      </c>
      <c r="BV831" s="89" t="s">
        <v>646</v>
      </c>
      <c r="BW831" s="89" t="s">
        <v>646</v>
      </c>
      <c r="BX831" s="89" t="s">
        <v>646</v>
      </c>
      <c r="BY831" s="89" t="s">
        <v>646</v>
      </c>
      <c r="BZ831" s="89" t="s">
        <v>646</v>
      </c>
      <c r="CA831" s="89" t="s">
        <v>646</v>
      </c>
      <c r="CB831" s="89" t="s">
        <v>24095</v>
      </c>
      <c r="CC831" s="89" t="str">
        <f>HYPERLINK("https%3A%2F%2Fwww.webofscience.com%2Fwos%2Fwoscc%2Ffull-record%2FWOS:000790812000013","View Full Record in Web of Science")</f>
        <v>View Full Record in Web of Science</v>
      </c>
    </row>
    <row r="832" spans="1:81" ht="13.2" hidden="1" x14ac:dyDescent="0.25">
      <c r="A832" s="89" t="s">
        <v>24096</v>
      </c>
      <c r="B832" s="89" t="e">
        <f>+#REF!</f>
        <v>#REF!</v>
      </c>
      <c r="C832" s="89"/>
      <c r="D832" s="91" t="s">
        <v>717</v>
      </c>
      <c r="E832" s="90" t="e">
        <v>#REF!</v>
      </c>
      <c r="F832" s="89"/>
      <c r="G832" s="89"/>
      <c r="H832" s="89" t="s">
        <v>15122</v>
      </c>
      <c r="I832" s="89" t="s">
        <v>24097</v>
      </c>
      <c r="J832" s="89" t="s">
        <v>646</v>
      </c>
      <c r="K832" s="89" t="s">
        <v>15124</v>
      </c>
      <c r="M832" s="89">
        <v>2009</v>
      </c>
      <c r="N832" s="89" t="s">
        <v>24098</v>
      </c>
      <c r="O832" s="89" t="s">
        <v>646</v>
      </c>
      <c r="P832" s="89" t="str">
        <f>HYPERLINK("http://dx.doi.org/10.1093/esr/jcp012","http://dx.doi.org/10.1093/esr/jcp012")</f>
        <v>http://dx.doi.org/10.1093/esr/jcp012</v>
      </c>
      <c r="S832" s="89" t="s">
        <v>646</v>
      </c>
      <c r="U832" s="89" t="s">
        <v>17462</v>
      </c>
      <c r="W832" s="89" t="s">
        <v>646</v>
      </c>
      <c r="X832" s="89" t="s">
        <v>646</v>
      </c>
      <c r="Y832" s="89" t="s">
        <v>24099</v>
      </c>
      <c r="Z832" s="89" t="s">
        <v>24100</v>
      </c>
      <c r="AA832" s="89" t="s">
        <v>24101</v>
      </c>
      <c r="AB832" s="89" t="s">
        <v>24102</v>
      </c>
      <c r="AC832" s="89" t="s">
        <v>646</v>
      </c>
      <c r="AD832" s="89" t="s">
        <v>646</v>
      </c>
      <c r="AE832" s="89" t="s">
        <v>646</v>
      </c>
      <c r="AF832" s="89" t="s">
        <v>15124</v>
      </c>
      <c r="AG832" s="89" t="s">
        <v>646</v>
      </c>
      <c r="AH832" s="89" t="s">
        <v>646</v>
      </c>
      <c r="AI832" s="89" t="s">
        <v>646</v>
      </c>
      <c r="AJ832" s="89" t="s">
        <v>646</v>
      </c>
      <c r="AK832" s="89" t="s">
        <v>646</v>
      </c>
      <c r="AL832" s="89" t="s">
        <v>646</v>
      </c>
      <c r="AM832" s="89" t="s">
        <v>646</v>
      </c>
      <c r="AN832" s="89" t="s">
        <v>646</v>
      </c>
      <c r="AO832" s="89" t="s">
        <v>646</v>
      </c>
      <c r="AP832" s="89" t="s">
        <v>646</v>
      </c>
      <c r="AQ832" s="89" t="s">
        <v>646</v>
      </c>
      <c r="AR832" s="89" t="s">
        <v>646</v>
      </c>
      <c r="AS832" s="89" t="s">
        <v>646</v>
      </c>
      <c r="AT832" s="89" t="s">
        <v>646</v>
      </c>
      <c r="AU832" s="89" t="s">
        <v>646</v>
      </c>
      <c r="AV832" s="89" t="s">
        <v>646</v>
      </c>
      <c r="AW832" s="89" t="s">
        <v>646</v>
      </c>
      <c r="AX832" s="89" t="s">
        <v>646</v>
      </c>
      <c r="AY832" s="89" t="s">
        <v>24103</v>
      </c>
      <c r="AZ832" s="89" t="s">
        <v>24104</v>
      </c>
      <c r="BA832" s="89" t="s">
        <v>646</v>
      </c>
      <c r="BB832" s="89" t="s">
        <v>646</v>
      </c>
      <c r="BC832" s="89" t="s">
        <v>646</v>
      </c>
      <c r="BD832" s="89" t="s">
        <v>17615</v>
      </c>
      <c r="BE832" s="89">
        <v>2009</v>
      </c>
      <c r="BF832" s="89">
        <v>25</v>
      </c>
      <c r="BG832" s="89">
        <v>6</v>
      </c>
      <c r="BH832" s="89" t="s">
        <v>646</v>
      </c>
      <c r="BI832" s="89" t="s">
        <v>646</v>
      </c>
      <c r="BJ832" s="89" t="s">
        <v>646</v>
      </c>
      <c r="BK832" s="89" t="s">
        <v>646</v>
      </c>
      <c r="BL832" s="89">
        <v>629</v>
      </c>
      <c r="BM832" s="89">
        <v>646</v>
      </c>
      <c r="BN832" s="89" t="s">
        <v>646</v>
      </c>
      <c r="BO832" s="89" t="str">
        <f>HYPERLINK("http://dx.doi.org/10.1093/esr/jcp012","http://dx.doi.org/10.1093/esr/jcp012")</f>
        <v>http://dx.doi.org/10.1093/esr/jcp012</v>
      </c>
      <c r="BP832" s="89" t="s">
        <v>646</v>
      </c>
      <c r="BQ832" s="89" t="s">
        <v>646</v>
      </c>
      <c r="BR832" s="89" t="s">
        <v>646</v>
      </c>
      <c r="BS832" s="89" t="s">
        <v>646</v>
      </c>
      <c r="BT832" s="89" t="s">
        <v>646</v>
      </c>
      <c r="BU832" s="89" t="s">
        <v>646</v>
      </c>
      <c r="BV832" s="89" t="s">
        <v>646</v>
      </c>
      <c r="BW832" s="89" t="s">
        <v>646</v>
      </c>
      <c r="BX832" s="89" t="s">
        <v>646</v>
      </c>
      <c r="BY832" s="89" t="s">
        <v>646</v>
      </c>
      <c r="BZ832" s="89" t="s">
        <v>646</v>
      </c>
      <c r="CA832" s="89" t="s">
        <v>646</v>
      </c>
      <c r="CB832" s="89" t="s">
        <v>24105</v>
      </c>
      <c r="CC832" s="89" t="str">
        <f>HYPERLINK("https%3A%2F%2Fwww.webofscience.com%2Fwos%2Fwoscc%2Ffull-record%2FWOS:000272079900002","View Full Record in Web of Science")</f>
        <v>View Full Record in Web of Science</v>
      </c>
    </row>
    <row r="833" spans="1:81" ht="13.2" hidden="1" x14ac:dyDescent="0.25">
      <c r="A833" s="89" t="s">
        <v>1477</v>
      </c>
      <c r="B833" s="89" t="e">
        <f>+#REF!</f>
        <v>#REF!</v>
      </c>
      <c r="C833" s="89"/>
      <c r="D833" s="91" t="s">
        <v>717</v>
      </c>
      <c r="E833" s="90" t="e">
        <v>#REF!</v>
      </c>
      <c r="F833" s="89"/>
      <c r="G833" s="89"/>
      <c r="H833" s="89" t="s">
        <v>1479</v>
      </c>
      <c r="I833" s="89" t="s">
        <v>24106</v>
      </c>
      <c r="J833" s="89" t="s">
        <v>646</v>
      </c>
      <c r="K833" s="89" t="s">
        <v>24108</v>
      </c>
      <c r="M833" s="89">
        <v>2019</v>
      </c>
      <c r="N833" s="89" t="s">
        <v>24107</v>
      </c>
      <c r="O833" s="89" t="s">
        <v>646</v>
      </c>
      <c r="P833" s="89" t="str">
        <f>HYPERLINK("http://dx.doi.org/10.1016/j.jss.2019.110400","http://dx.doi.org/10.1016/j.jss.2019.110400")</f>
        <v>http://dx.doi.org/10.1016/j.jss.2019.110400</v>
      </c>
      <c r="S833" s="89" t="s">
        <v>646</v>
      </c>
      <c r="U833" s="89" t="s">
        <v>17462</v>
      </c>
      <c r="W833" s="89" t="s">
        <v>646</v>
      </c>
      <c r="X833" s="89" t="s">
        <v>646</v>
      </c>
      <c r="Y833" s="89" t="s">
        <v>646</v>
      </c>
      <c r="Z833" s="89" t="s">
        <v>646</v>
      </c>
      <c r="AA833" s="89" t="s">
        <v>646</v>
      </c>
      <c r="AB833" s="89" t="s">
        <v>646</v>
      </c>
      <c r="AC833" s="89" t="s">
        <v>646</v>
      </c>
      <c r="AD833" s="89" t="s">
        <v>646</v>
      </c>
      <c r="AE833" s="89" t="s">
        <v>646</v>
      </c>
      <c r="AF833" s="89" t="s">
        <v>24108</v>
      </c>
      <c r="AG833" s="89" t="s">
        <v>646</v>
      </c>
      <c r="AH833" s="89" t="s">
        <v>646</v>
      </c>
      <c r="AI833" s="89" t="s">
        <v>646</v>
      </c>
      <c r="AJ833" s="89" t="s">
        <v>646</v>
      </c>
      <c r="AK833" s="89" t="s">
        <v>646</v>
      </c>
      <c r="AL833" s="89" t="s">
        <v>24109</v>
      </c>
      <c r="AM833" s="89" t="s">
        <v>646</v>
      </c>
      <c r="AN833" s="89" t="s">
        <v>646</v>
      </c>
      <c r="AO833" s="89" t="s">
        <v>646</v>
      </c>
      <c r="AP833" s="89" t="s">
        <v>646</v>
      </c>
      <c r="AQ833" s="89" t="s">
        <v>646</v>
      </c>
      <c r="AR833" s="89" t="s">
        <v>646</v>
      </c>
      <c r="AS833" s="89" t="s">
        <v>646</v>
      </c>
      <c r="AT833" s="89" t="s">
        <v>646</v>
      </c>
      <c r="AU833" s="89" t="s">
        <v>646</v>
      </c>
      <c r="AV833" s="89" t="s">
        <v>646</v>
      </c>
      <c r="AW833" s="89" t="s">
        <v>646</v>
      </c>
      <c r="AX833" s="89" t="s">
        <v>646</v>
      </c>
      <c r="AY833" s="89" t="s">
        <v>24110</v>
      </c>
      <c r="AZ833" s="89" t="s">
        <v>24111</v>
      </c>
      <c r="BA833" s="89" t="s">
        <v>646</v>
      </c>
      <c r="BB833" s="89" t="s">
        <v>646</v>
      </c>
      <c r="BC833" s="89" t="s">
        <v>646</v>
      </c>
      <c r="BD833" s="89" t="s">
        <v>17615</v>
      </c>
      <c r="BE833" s="89">
        <v>2019</v>
      </c>
      <c r="BF833" s="89">
        <v>158</v>
      </c>
      <c r="BG833" s="89" t="s">
        <v>646</v>
      </c>
      <c r="BH833" s="89" t="s">
        <v>646</v>
      </c>
      <c r="BI833" s="89" t="s">
        <v>646</v>
      </c>
      <c r="BJ833" s="89" t="s">
        <v>646</v>
      </c>
      <c r="BK833" s="89" t="s">
        <v>646</v>
      </c>
      <c r="BL833" s="89" t="s">
        <v>646</v>
      </c>
      <c r="BM833" s="89" t="s">
        <v>646</v>
      </c>
      <c r="BN833" s="89">
        <v>110400</v>
      </c>
      <c r="BO833" s="89" t="str">
        <f>HYPERLINK("http://dx.doi.org/10.1016/j.jss.2019.110400","http://dx.doi.org/10.1016/j.jss.2019.110400")</f>
        <v>http://dx.doi.org/10.1016/j.jss.2019.110400</v>
      </c>
      <c r="BP833" s="89" t="s">
        <v>646</v>
      </c>
      <c r="BQ833" s="89" t="s">
        <v>646</v>
      </c>
      <c r="BR833" s="89" t="s">
        <v>646</v>
      </c>
      <c r="BS833" s="89" t="s">
        <v>646</v>
      </c>
      <c r="BT833" s="89" t="s">
        <v>646</v>
      </c>
      <c r="BU833" s="89" t="s">
        <v>646</v>
      </c>
      <c r="BV833" s="89" t="s">
        <v>646</v>
      </c>
      <c r="BW833" s="89" t="s">
        <v>646</v>
      </c>
      <c r="BX833" s="89" t="s">
        <v>646</v>
      </c>
      <c r="BY833" s="89" t="s">
        <v>646</v>
      </c>
      <c r="BZ833" s="89" t="s">
        <v>646</v>
      </c>
      <c r="CA833" s="89" t="s">
        <v>646</v>
      </c>
      <c r="CB833" s="89" t="s">
        <v>24112</v>
      </c>
      <c r="CC833" s="89" t="str">
        <f>HYPERLINK("https%3A%2F%2Fwww.webofscience.com%2Fwos%2Fwoscc%2Ffull-record%2FWOS:000495476500009","View Full Record in Web of Science")</f>
        <v>View Full Record in Web of Science</v>
      </c>
    </row>
    <row r="834" spans="1:81" ht="13.2" hidden="1" x14ac:dyDescent="0.25">
      <c r="A834" s="89" t="s">
        <v>24113</v>
      </c>
      <c r="B834" s="89" t="e">
        <f>+#REF!</f>
        <v>#REF!</v>
      </c>
      <c r="C834" s="89"/>
      <c r="D834" s="91" t="s">
        <v>717</v>
      </c>
      <c r="E834" s="90" t="e">
        <v>#REF!</v>
      </c>
      <c r="F834" s="89"/>
      <c r="G834" s="89"/>
      <c r="H834" s="89" t="s">
        <v>646</v>
      </c>
      <c r="I834" s="89" t="s">
        <v>24115</v>
      </c>
      <c r="J834" s="89" t="s">
        <v>646</v>
      </c>
      <c r="K834" s="89" t="s">
        <v>24121</v>
      </c>
      <c r="M834" s="89">
        <v>2009</v>
      </c>
      <c r="N834" s="89" t="s">
        <v>24116</v>
      </c>
      <c r="O834" s="89" t="s">
        <v>24114</v>
      </c>
      <c r="P834" s="89" t="s">
        <v>646</v>
      </c>
      <c r="S834" s="89" t="s">
        <v>646</v>
      </c>
      <c r="U834" s="89" t="s">
        <v>17474</v>
      </c>
      <c r="W834" s="89" t="s">
        <v>646</v>
      </c>
      <c r="X834" s="89" t="s">
        <v>646</v>
      </c>
      <c r="Y834" s="89" t="s">
        <v>24117</v>
      </c>
      <c r="Z834" s="89" t="s">
        <v>24118</v>
      </c>
      <c r="AA834" s="89" t="s">
        <v>24119</v>
      </c>
      <c r="AB834" s="89" t="s">
        <v>24120</v>
      </c>
      <c r="AC834" s="89" t="s">
        <v>646</v>
      </c>
      <c r="AD834" s="89" t="s">
        <v>646</v>
      </c>
      <c r="AE834" s="89" t="s">
        <v>646</v>
      </c>
      <c r="AF834" s="89" t="s">
        <v>24121</v>
      </c>
      <c r="AG834" s="89" t="s">
        <v>646</v>
      </c>
      <c r="AH834" s="89" t="s">
        <v>646</v>
      </c>
      <c r="AI834" s="89" t="s">
        <v>646</v>
      </c>
      <c r="AJ834" s="89" t="s">
        <v>646</v>
      </c>
      <c r="AK834" s="89" t="s">
        <v>646</v>
      </c>
      <c r="AL834" s="89" t="s">
        <v>646</v>
      </c>
      <c r="AM834" s="89" t="s">
        <v>646</v>
      </c>
      <c r="AN834" s="89" t="s">
        <v>646</v>
      </c>
      <c r="AO834" s="89" t="s">
        <v>646</v>
      </c>
      <c r="AP834" s="89" t="s">
        <v>646</v>
      </c>
      <c r="AQ834" s="89" t="s">
        <v>646</v>
      </c>
      <c r="AR834" s="89" t="s">
        <v>646</v>
      </c>
      <c r="AS834" s="89" t="s">
        <v>646</v>
      </c>
      <c r="AT834" s="89" t="s">
        <v>646</v>
      </c>
      <c r="AU834" s="89" t="s">
        <v>646</v>
      </c>
      <c r="AV834" s="89" t="s">
        <v>646</v>
      </c>
      <c r="AW834" s="89" t="s">
        <v>646</v>
      </c>
      <c r="AX834" s="89" t="s">
        <v>646</v>
      </c>
      <c r="AY834" s="89" t="s">
        <v>18367</v>
      </c>
      <c r="AZ834" s="89" t="s">
        <v>18884</v>
      </c>
      <c r="BA834" s="89" t="s">
        <v>24122</v>
      </c>
      <c r="BB834" s="89" t="s">
        <v>646</v>
      </c>
      <c r="BC834" s="89" t="s">
        <v>646</v>
      </c>
      <c r="BD834" s="89" t="s">
        <v>646</v>
      </c>
      <c r="BE834" s="89">
        <v>2009</v>
      </c>
      <c r="BF834" s="89">
        <v>5872</v>
      </c>
      <c r="BG834" s="89" t="s">
        <v>646</v>
      </c>
      <c r="BH834" s="89" t="s">
        <v>646</v>
      </c>
      <c r="BI834" s="89" t="s">
        <v>646</v>
      </c>
      <c r="BJ834" s="89" t="s">
        <v>646</v>
      </c>
      <c r="BK834" s="89" t="s">
        <v>646</v>
      </c>
      <c r="BL834" s="89">
        <v>391</v>
      </c>
      <c r="BM834" s="89">
        <v>400</v>
      </c>
      <c r="BN834" s="89" t="s">
        <v>646</v>
      </c>
      <c r="BO834" s="89" t="s">
        <v>646</v>
      </c>
      <c r="BP834" s="89" t="s">
        <v>646</v>
      </c>
      <c r="BQ834" s="89" t="s">
        <v>646</v>
      </c>
      <c r="BR834" s="89" t="s">
        <v>646</v>
      </c>
      <c r="BS834" s="89" t="s">
        <v>646</v>
      </c>
      <c r="BT834" s="89" t="s">
        <v>646</v>
      </c>
      <c r="BU834" s="89" t="s">
        <v>646</v>
      </c>
      <c r="BV834" s="89" t="s">
        <v>646</v>
      </c>
      <c r="BW834" s="89" t="s">
        <v>646</v>
      </c>
      <c r="BX834" s="89" t="s">
        <v>646</v>
      </c>
      <c r="BY834" s="89" t="s">
        <v>646</v>
      </c>
      <c r="BZ834" s="89" t="s">
        <v>646</v>
      </c>
      <c r="CA834" s="89" t="s">
        <v>646</v>
      </c>
      <c r="CB834" s="89" t="s">
        <v>24123</v>
      </c>
      <c r="CC834" s="89" t="str">
        <f>HYPERLINK("https%3A%2F%2Fwww.webofscience.com%2Fwos%2Fwoscc%2Ffull-record%2FWOS:000279915700044","View Full Record in Web of Science")</f>
        <v>View Full Record in Web of Science</v>
      </c>
    </row>
    <row r="835" spans="1:81" ht="13.2" hidden="1" x14ac:dyDescent="0.25">
      <c r="A835" s="89" t="s">
        <v>24124</v>
      </c>
      <c r="B835" s="89" t="e">
        <f>+#REF!</f>
        <v>#REF!</v>
      </c>
      <c r="C835" s="89"/>
      <c r="D835" s="91" t="s">
        <v>717</v>
      </c>
      <c r="E835" s="90" t="e">
        <v>#REF!</v>
      </c>
      <c r="F835" s="89"/>
      <c r="G835" s="89"/>
      <c r="H835" s="89" t="s">
        <v>646</v>
      </c>
      <c r="I835" s="89" t="s">
        <v>24126</v>
      </c>
      <c r="J835" s="89" t="s">
        <v>24134</v>
      </c>
      <c r="K835" s="89" t="s">
        <v>24133</v>
      </c>
      <c r="M835" s="89">
        <v>2013</v>
      </c>
      <c r="N835" s="89" t="s">
        <v>24127</v>
      </c>
      <c r="O835" s="89" t="s">
        <v>646</v>
      </c>
      <c r="P835" s="89" t="s">
        <v>646</v>
      </c>
      <c r="S835" s="89" t="s">
        <v>24125</v>
      </c>
      <c r="U835" s="89" t="s">
        <v>17474</v>
      </c>
      <c r="W835" s="89" t="s">
        <v>646</v>
      </c>
      <c r="X835" s="89" t="s">
        <v>646</v>
      </c>
      <c r="Y835" s="89" t="s">
        <v>24128</v>
      </c>
      <c r="Z835" s="89" t="s">
        <v>24129</v>
      </c>
      <c r="AA835" s="89" t="s">
        <v>24130</v>
      </c>
      <c r="AB835" s="89" t="s">
        <v>24131</v>
      </c>
      <c r="AC835" s="89" t="s">
        <v>24132</v>
      </c>
      <c r="AD835" s="89" t="s">
        <v>646</v>
      </c>
      <c r="AE835" s="89" t="s">
        <v>646</v>
      </c>
      <c r="AF835" s="89" t="s">
        <v>24133</v>
      </c>
      <c r="AG835" s="89" t="s">
        <v>646</v>
      </c>
      <c r="AH835" s="89" t="s">
        <v>646</v>
      </c>
      <c r="AI835" s="89" t="s">
        <v>646</v>
      </c>
      <c r="AJ835" s="89" t="s">
        <v>646</v>
      </c>
      <c r="AK835" s="89" t="s">
        <v>24134</v>
      </c>
      <c r="AL835" s="89" t="s">
        <v>24135</v>
      </c>
      <c r="AM835" s="89" t="s">
        <v>646</v>
      </c>
      <c r="AN835" s="89" t="s">
        <v>646</v>
      </c>
      <c r="AO835" s="89" t="s">
        <v>646</v>
      </c>
      <c r="AP835" s="89" t="s">
        <v>646</v>
      </c>
      <c r="AQ835" s="89" t="s">
        <v>646</v>
      </c>
      <c r="AR835" s="89" t="s">
        <v>646</v>
      </c>
      <c r="AS835" s="89" t="s">
        <v>646</v>
      </c>
      <c r="AT835" s="89" t="s">
        <v>646</v>
      </c>
      <c r="AU835" s="89" t="s">
        <v>646</v>
      </c>
      <c r="AV835" s="89" t="s">
        <v>646</v>
      </c>
      <c r="AW835" s="89" t="s">
        <v>646</v>
      </c>
      <c r="AX835" s="89" t="s">
        <v>646</v>
      </c>
      <c r="AY835" s="89" t="s">
        <v>24136</v>
      </c>
      <c r="AZ835" s="89" t="s">
        <v>646</v>
      </c>
      <c r="BA835" s="89" t="s">
        <v>24137</v>
      </c>
      <c r="BB835" s="89" t="s">
        <v>646</v>
      </c>
      <c r="BC835" s="89" t="s">
        <v>646</v>
      </c>
      <c r="BD835" s="89" t="s">
        <v>646</v>
      </c>
      <c r="BE835" s="89">
        <v>2013</v>
      </c>
      <c r="BF835" s="89" t="s">
        <v>646</v>
      </c>
      <c r="BG835" s="89" t="s">
        <v>646</v>
      </c>
      <c r="BH835" s="89" t="s">
        <v>646</v>
      </c>
      <c r="BI835" s="89" t="s">
        <v>646</v>
      </c>
      <c r="BJ835" s="89" t="s">
        <v>646</v>
      </c>
      <c r="BK835" s="89" t="s">
        <v>646</v>
      </c>
      <c r="BL835" s="89">
        <v>214</v>
      </c>
      <c r="BM835" s="89">
        <v>218</v>
      </c>
      <c r="BN835" s="89" t="s">
        <v>646</v>
      </c>
      <c r="BO835" s="89" t="s">
        <v>646</v>
      </c>
      <c r="BP835" s="89" t="s">
        <v>646</v>
      </c>
      <c r="BQ835" s="89" t="s">
        <v>646</v>
      </c>
      <c r="BR835" s="89" t="s">
        <v>646</v>
      </c>
      <c r="BS835" s="89" t="s">
        <v>646</v>
      </c>
      <c r="BT835" s="89" t="s">
        <v>646</v>
      </c>
      <c r="BU835" s="89" t="s">
        <v>646</v>
      </c>
      <c r="BV835" s="89" t="s">
        <v>646</v>
      </c>
      <c r="BW835" s="89" t="s">
        <v>646</v>
      </c>
      <c r="BX835" s="89" t="s">
        <v>646</v>
      </c>
      <c r="BY835" s="89" t="s">
        <v>646</v>
      </c>
      <c r="BZ835" s="89" t="s">
        <v>646</v>
      </c>
      <c r="CA835" s="89" t="s">
        <v>646</v>
      </c>
      <c r="CB835" s="89" t="s">
        <v>24138</v>
      </c>
      <c r="CC835" s="89" t="str">
        <f>HYPERLINK("https%3A%2F%2Fwww.webofscience.com%2Fwos%2Fwoscc%2Ffull-record%2FWOS:000332960400034","View Full Record in Web of Science")</f>
        <v>View Full Record in Web of Science</v>
      </c>
    </row>
    <row r="836" spans="1:81" ht="13.2" hidden="1" x14ac:dyDescent="0.25">
      <c r="A836" s="89" t="s">
        <v>975</v>
      </c>
      <c r="B836" s="89" t="e">
        <f>+#REF!</f>
        <v>#REF!</v>
      </c>
      <c r="C836" s="89"/>
      <c r="D836" s="91" t="s">
        <v>717</v>
      </c>
      <c r="E836" s="90" t="e">
        <v>#REF!</v>
      </c>
      <c r="F836" s="89"/>
      <c r="G836" s="89"/>
      <c r="H836" s="89" t="s">
        <v>977</v>
      </c>
      <c r="I836" s="89" t="s">
        <v>18533</v>
      </c>
      <c r="J836" s="89" t="s">
        <v>18541</v>
      </c>
      <c r="K836" s="89" t="s">
        <v>24139</v>
      </c>
      <c r="M836" s="89">
        <v>2017</v>
      </c>
      <c r="N836" s="89" t="s">
        <v>18837</v>
      </c>
      <c r="O836" s="89" t="s">
        <v>646</v>
      </c>
      <c r="P836" s="89" t="str">
        <f>HYPERLINK("http://dx.doi.org/10.1002/smr.1875","http://dx.doi.org/10.1002/smr.1875")</f>
        <v>http://dx.doi.org/10.1002/smr.1875</v>
      </c>
      <c r="S836" s="89" t="s">
        <v>646</v>
      </c>
      <c r="U836" s="89" t="s">
        <v>17462</v>
      </c>
      <c r="W836" s="89" t="s">
        <v>646</v>
      </c>
      <c r="X836" s="89" t="s">
        <v>646</v>
      </c>
      <c r="Y836" s="89" t="s">
        <v>646</v>
      </c>
      <c r="Z836" s="89" t="s">
        <v>646</v>
      </c>
      <c r="AA836" s="89" t="s">
        <v>646</v>
      </c>
      <c r="AB836" s="89" t="s">
        <v>646</v>
      </c>
      <c r="AC836" s="89" t="s">
        <v>646</v>
      </c>
      <c r="AD836" s="89" t="s">
        <v>646</v>
      </c>
      <c r="AE836" s="89" t="s">
        <v>646</v>
      </c>
      <c r="AF836" s="89" t="s">
        <v>24139</v>
      </c>
      <c r="AG836" s="89" t="s">
        <v>646</v>
      </c>
      <c r="AH836" s="89" t="s">
        <v>646</v>
      </c>
      <c r="AI836" s="89" t="s">
        <v>646</v>
      </c>
      <c r="AJ836" s="89" t="s">
        <v>646</v>
      </c>
      <c r="AK836" s="89" t="s">
        <v>18541</v>
      </c>
      <c r="AL836" s="89" t="s">
        <v>18542</v>
      </c>
      <c r="AM836" s="89" t="s">
        <v>646</v>
      </c>
      <c r="AN836" s="89" t="s">
        <v>646</v>
      </c>
      <c r="AO836" s="89" t="s">
        <v>646</v>
      </c>
      <c r="AP836" s="89" t="s">
        <v>646</v>
      </c>
      <c r="AQ836" s="89" t="s">
        <v>646</v>
      </c>
      <c r="AR836" s="89" t="s">
        <v>646</v>
      </c>
      <c r="AS836" s="89" t="s">
        <v>646</v>
      </c>
      <c r="AT836" s="89" t="s">
        <v>646</v>
      </c>
      <c r="AU836" s="89" t="s">
        <v>646</v>
      </c>
      <c r="AV836" s="89" t="s">
        <v>646</v>
      </c>
      <c r="AW836" s="89" t="s">
        <v>646</v>
      </c>
      <c r="AX836" s="89" t="s">
        <v>646</v>
      </c>
      <c r="AY836" s="89" t="s">
        <v>18839</v>
      </c>
      <c r="AZ836" s="89" t="s">
        <v>18840</v>
      </c>
      <c r="BA836" s="89" t="s">
        <v>646</v>
      </c>
      <c r="BB836" s="89" t="s">
        <v>646</v>
      </c>
      <c r="BC836" s="89" t="s">
        <v>646</v>
      </c>
      <c r="BD836" s="89" t="s">
        <v>18655</v>
      </c>
      <c r="BE836" s="89">
        <v>2017</v>
      </c>
      <c r="BF836" s="89">
        <v>29</v>
      </c>
      <c r="BG836" s="89">
        <v>8</v>
      </c>
      <c r="BH836" s="89" t="s">
        <v>646</v>
      </c>
      <c r="BI836" s="89" t="s">
        <v>646</v>
      </c>
      <c r="BJ836" s="89" t="s">
        <v>646</v>
      </c>
      <c r="BK836" s="89" t="s">
        <v>646</v>
      </c>
      <c r="BL836" s="89" t="s">
        <v>646</v>
      </c>
      <c r="BM836" s="89" t="s">
        <v>646</v>
      </c>
      <c r="BN836" s="89" t="s">
        <v>24140</v>
      </c>
      <c r="BO836" s="89" t="str">
        <f>HYPERLINK("http://dx.doi.org/10.1002/smr.1875","http://dx.doi.org/10.1002/smr.1875")</f>
        <v>http://dx.doi.org/10.1002/smr.1875</v>
      </c>
      <c r="BP836" s="89" t="s">
        <v>646</v>
      </c>
      <c r="BQ836" s="89" t="s">
        <v>646</v>
      </c>
      <c r="BR836" s="89" t="s">
        <v>646</v>
      </c>
      <c r="BS836" s="89" t="s">
        <v>646</v>
      </c>
      <c r="BT836" s="89" t="s">
        <v>646</v>
      </c>
      <c r="BU836" s="89" t="s">
        <v>646</v>
      </c>
      <c r="BV836" s="89" t="s">
        <v>646</v>
      </c>
      <c r="BW836" s="89" t="s">
        <v>646</v>
      </c>
      <c r="BX836" s="89" t="s">
        <v>646</v>
      </c>
      <c r="BY836" s="89" t="s">
        <v>646</v>
      </c>
      <c r="BZ836" s="89" t="s">
        <v>646</v>
      </c>
      <c r="CA836" s="89" t="s">
        <v>646</v>
      </c>
      <c r="CB836" s="89" t="s">
        <v>24141</v>
      </c>
      <c r="CC836" s="89" t="str">
        <f>HYPERLINK("https%3A%2F%2Fwww.webofscience.com%2Fwos%2Fwoscc%2Ffull-record%2FWOS:000407214100004","View Full Record in Web of Science")</f>
        <v>View Full Record in Web of Science</v>
      </c>
    </row>
    <row r="837" spans="1:81" ht="13.2" hidden="1" x14ac:dyDescent="0.25">
      <c r="A837" s="89" t="s">
        <v>1680</v>
      </c>
      <c r="B837" s="89" t="e">
        <f>+#REF!</f>
        <v>#REF!</v>
      </c>
      <c r="C837" s="89"/>
      <c r="D837" s="91" t="s">
        <v>717</v>
      </c>
      <c r="E837" s="90" t="e">
        <v>#REF!</v>
      </c>
      <c r="F837" s="89"/>
      <c r="G837" s="89"/>
      <c r="H837" s="89" t="s">
        <v>1682</v>
      </c>
      <c r="I837" s="89" t="s">
        <v>24143</v>
      </c>
      <c r="J837" s="89" t="s">
        <v>24149</v>
      </c>
      <c r="K837" s="89" t="s">
        <v>24148</v>
      </c>
      <c r="M837" s="89">
        <v>2020</v>
      </c>
      <c r="N837" s="89" t="s">
        <v>24144</v>
      </c>
      <c r="O837" s="89" t="s">
        <v>24142</v>
      </c>
      <c r="P837" s="89" t="str">
        <f>HYPERLINK("http://dx.doi.org/10.1007/978-3-030-58811-3_70","http://dx.doi.org/10.1007/978-3-030-58811-3_70")</f>
        <v>http://dx.doi.org/10.1007/978-3-030-58811-3_70</v>
      </c>
      <c r="S837" s="89" t="s">
        <v>646</v>
      </c>
      <c r="U837" s="89" t="s">
        <v>17474</v>
      </c>
      <c r="W837" s="89" t="s">
        <v>646</v>
      </c>
      <c r="X837" s="89" t="s">
        <v>646</v>
      </c>
      <c r="Y837" s="89" t="s">
        <v>24145</v>
      </c>
      <c r="Z837" s="89" t="s">
        <v>24146</v>
      </c>
      <c r="AA837" s="89" t="s">
        <v>17494</v>
      </c>
      <c r="AB837" s="89" t="s">
        <v>24147</v>
      </c>
      <c r="AC837" s="89" t="s">
        <v>646</v>
      </c>
      <c r="AD837" s="89" t="s">
        <v>646</v>
      </c>
      <c r="AE837" s="89" t="s">
        <v>646</v>
      </c>
      <c r="AF837" s="89" t="s">
        <v>24148</v>
      </c>
      <c r="AG837" s="89" t="s">
        <v>646</v>
      </c>
      <c r="AH837" s="89" t="s">
        <v>646</v>
      </c>
      <c r="AI837" s="89" t="s">
        <v>646</v>
      </c>
      <c r="AJ837" s="89" t="s">
        <v>646</v>
      </c>
      <c r="AK837" s="89" t="s">
        <v>24149</v>
      </c>
      <c r="AL837" s="89" t="s">
        <v>24150</v>
      </c>
      <c r="AM837" s="89" t="s">
        <v>646</v>
      </c>
      <c r="AN837" s="89" t="s">
        <v>646</v>
      </c>
      <c r="AO837" s="89" t="s">
        <v>646</v>
      </c>
      <c r="AP837" s="89" t="s">
        <v>646</v>
      </c>
      <c r="AQ837" s="89" t="s">
        <v>646</v>
      </c>
      <c r="AR837" s="89" t="s">
        <v>646</v>
      </c>
      <c r="AS837" s="89" t="s">
        <v>646</v>
      </c>
      <c r="AT837" s="89" t="s">
        <v>646</v>
      </c>
      <c r="AU837" s="89" t="s">
        <v>646</v>
      </c>
      <c r="AV837" s="89" t="s">
        <v>646</v>
      </c>
      <c r="AW837" s="89" t="s">
        <v>646</v>
      </c>
      <c r="AX837" s="89" t="s">
        <v>646</v>
      </c>
      <c r="AY837" s="89" t="s">
        <v>18367</v>
      </c>
      <c r="AZ837" s="89" t="s">
        <v>18884</v>
      </c>
      <c r="BA837" s="89" t="s">
        <v>24151</v>
      </c>
      <c r="BB837" s="89" t="s">
        <v>646</v>
      </c>
      <c r="BC837" s="89" t="s">
        <v>646</v>
      </c>
      <c r="BD837" s="89" t="s">
        <v>646</v>
      </c>
      <c r="BE837" s="89">
        <v>2020</v>
      </c>
      <c r="BF837" s="89">
        <v>12252</v>
      </c>
      <c r="BG837" s="89" t="s">
        <v>646</v>
      </c>
      <c r="BH837" s="89" t="s">
        <v>646</v>
      </c>
      <c r="BI837" s="89" t="s">
        <v>646</v>
      </c>
      <c r="BJ837" s="89" t="s">
        <v>646</v>
      </c>
      <c r="BK837" s="89" t="s">
        <v>646</v>
      </c>
      <c r="BL837" s="89">
        <v>989</v>
      </c>
      <c r="BM837" s="89">
        <v>1001</v>
      </c>
      <c r="BN837" s="89" t="s">
        <v>646</v>
      </c>
      <c r="BO837" s="89" t="str">
        <f>HYPERLINK("http://dx.doi.org/10.1007/978-3-030-58811-3_70","http://dx.doi.org/10.1007/978-3-030-58811-3_70")</f>
        <v>http://dx.doi.org/10.1007/978-3-030-58811-3_70</v>
      </c>
      <c r="BP837" s="89" t="s">
        <v>646</v>
      </c>
      <c r="BQ837" s="89" t="s">
        <v>646</v>
      </c>
      <c r="BR837" s="89" t="s">
        <v>646</v>
      </c>
      <c r="BS837" s="89" t="s">
        <v>646</v>
      </c>
      <c r="BT837" s="89" t="s">
        <v>646</v>
      </c>
      <c r="BU837" s="89" t="s">
        <v>646</v>
      </c>
      <c r="BV837" s="89" t="s">
        <v>646</v>
      </c>
      <c r="BW837" s="89" t="s">
        <v>646</v>
      </c>
      <c r="BX837" s="89" t="s">
        <v>646</v>
      </c>
      <c r="BY837" s="89" t="s">
        <v>646</v>
      </c>
      <c r="BZ837" s="89" t="s">
        <v>646</v>
      </c>
      <c r="CA837" s="89" t="s">
        <v>646</v>
      </c>
      <c r="CB837" s="89" t="s">
        <v>24152</v>
      </c>
      <c r="CC837" s="89" t="str">
        <f>HYPERLINK("https%3A%2F%2Fwww.webofscience.com%2Fwos%2Fwoscc%2Ffull-record%2FWOS:000722380600070","View Full Record in Web of Science")</f>
        <v>View Full Record in Web of Science</v>
      </c>
    </row>
    <row r="838" spans="1:81" ht="13.2" hidden="1" x14ac:dyDescent="0.25">
      <c r="A838" s="89" t="s">
        <v>24153</v>
      </c>
      <c r="B838" s="89" t="e">
        <f>+#REF!</f>
        <v>#REF!</v>
      </c>
      <c r="C838" s="89"/>
      <c r="D838" s="91" t="s">
        <v>717</v>
      </c>
      <c r="E838" s="90" t="e">
        <v>#REF!</v>
      </c>
      <c r="F838" s="89"/>
      <c r="G838" s="89"/>
      <c r="H838" s="89" t="s">
        <v>1401</v>
      </c>
      <c r="I838" s="89" t="s">
        <v>24154</v>
      </c>
      <c r="J838" s="89" t="s">
        <v>646</v>
      </c>
      <c r="K838" s="89" t="s">
        <v>24155</v>
      </c>
      <c r="M838" s="89">
        <v>2011</v>
      </c>
      <c r="N838" s="89" t="s">
        <v>23853</v>
      </c>
      <c r="O838" s="89" t="s">
        <v>23851</v>
      </c>
      <c r="P838" s="89" t="str">
        <f>HYPERLINK("http://dx.doi.org/10.1109/SEAA.2011.67","http://dx.doi.org/10.1109/SEAA.2011.67")</f>
        <v>http://dx.doi.org/10.1109/SEAA.2011.67</v>
      </c>
      <c r="S838" s="89" t="s">
        <v>646</v>
      </c>
      <c r="U838" s="89" t="s">
        <v>17474</v>
      </c>
      <c r="W838" s="89" t="s">
        <v>646</v>
      </c>
      <c r="X838" s="89" t="s">
        <v>646</v>
      </c>
      <c r="Y838" s="89" t="s">
        <v>23854</v>
      </c>
      <c r="Z838" s="89" t="s">
        <v>23855</v>
      </c>
      <c r="AA838" s="89" t="s">
        <v>23856</v>
      </c>
      <c r="AB838" s="89" t="s">
        <v>23857</v>
      </c>
      <c r="AC838" s="89" t="s">
        <v>23858</v>
      </c>
      <c r="AD838" s="89" t="s">
        <v>646</v>
      </c>
      <c r="AE838" s="89" t="s">
        <v>646</v>
      </c>
      <c r="AF838" s="89" t="s">
        <v>24155</v>
      </c>
      <c r="AG838" s="89" t="s">
        <v>646</v>
      </c>
      <c r="AH838" s="89" t="s">
        <v>646</v>
      </c>
      <c r="AI838" s="89" t="s">
        <v>646</v>
      </c>
      <c r="AJ838" s="89" t="s">
        <v>646</v>
      </c>
      <c r="AK838" s="89" t="s">
        <v>646</v>
      </c>
      <c r="AL838" s="89" t="s">
        <v>24156</v>
      </c>
      <c r="AM838" s="89" t="s">
        <v>646</v>
      </c>
      <c r="AN838" s="89" t="s">
        <v>646</v>
      </c>
      <c r="AO838" s="89" t="s">
        <v>646</v>
      </c>
      <c r="AP838" s="89" t="s">
        <v>646</v>
      </c>
      <c r="AQ838" s="89" t="s">
        <v>646</v>
      </c>
      <c r="AR838" s="89" t="s">
        <v>646</v>
      </c>
      <c r="AS838" s="89" t="s">
        <v>646</v>
      </c>
      <c r="AT838" s="89" t="s">
        <v>646</v>
      </c>
      <c r="AU838" s="89" t="s">
        <v>646</v>
      </c>
      <c r="AV838" s="89" t="s">
        <v>646</v>
      </c>
      <c r="AW838" s="89" t="s">
        <v>646</v>
      </c>
      <c r="AX838" s="89" t="s">
        <v>646</v>
      </c>
      <c r="AY838" s="89" t="s">
        <v>23860</v>
      </c>
      <c r="AZ838" s="89" t="s">
        <v>646</v>
      </c>
      <c r="BA838" s="89" t="s">
        <v>23861</v>
      </c>
      <c r="BB838" s="89" t="s">
        <v>646</v>
      </c>
      <c r="BC838" s="89" t="s">
        <v>646</v>
      </c>
      <c r="BD838" s="89" t="s">
        <v>646</v>
      </c>
      <c r="BE838" s="89">
        <v>2011</v>
      </c>
      <c r="BF838" s="89" t="s">
        <v>646</v>
      </c>
      <c r="BG838" s="89" t="s">
        <v>646</v>
      </c>
      <c r="BH838" s="89" t="s">
        <v>646</v>
      </c>
      <c r="BI838" s="89" t="s">
        <v>646</v>
      </c>
      <c r="BJ838" s="89" t="s">
        <v>646</v>
      </c>
      <c r="BK838" s="89" t="s">
        <v>646</v>
      </c>
      <c r="BL838" s="89">
        <v>435</v>
      </c>
      <c r="BM838" s="89">
        <v>442</v>
      </c>
      <c r="BN838" s="89" t="s">
        <v>646</v>
      </c>
      <c r="BO838" s="89" t="str">
        <f>HYPERLINK("http://dx.doi.org/10.1109/SEAA.2011.67","http://dx.doi.org/10.1109/SEAA.2011.67")</f>
        <v>http://dx.doi.org/10.1109/SEAA.2011.67</v>
      </c>
      <c r="BP838" s="89" t="s">
        <v>646</v>
      </c>
      <c r="BQ838" s="89" t="s">
        <v>646</v>
      </c>
      <c r="BR838" s="89" t="s">
        <v>646</v>
      </c>
      <c r="BS838" s="89" t="s">
        <v>646</v>
      </c>
      <c r="BT838" s="89" t="s">
        <v>646</v>
      </c>
      <c r="BU838" s="89" t="s">
        <v>646</v>
      </c>
      <c r="BV838" s="89" t="s">
        <v>646</v>
      </c>
      <c r="BW838" s="89" t="s">
        <v>646</v>
      </c>
      <c r="BX838" s="89" t="s">
        <v>646</v>
      </c>
      <c r="BY838" s="89" t="s">
        <v>646</v>
      </c>
      <c r="BZ838" s="89" t="s">
        <v>646</v>
      </c>
      <c r="CA838" s="89" t="s">
        <v>646</v>
      </c>
      <c r="CB838" s="89" t="s">
        <v>24157</v>
      </c>
      <c r="CC838" s="89" t="str">
        <f>HYPERLINK("https%3A%2F%2Fwww.webofscience.com%2Fwos%2Fwoscc%2Ffull-record%2FWOS:000410220100060","View Full Record in Web of Science")</f>
        <v>View Full Record in Web of Science</v>
      </c>
    </row>
    <row r="839" spans="1:81" ht="13.2" hidden="1" x14ac:dyDescent="0.25">
      <c r="A839" s="89" t="s">
        <v>24158</v>
      </c>
      <c r="B839" s="89" t="e">
        <f>+#REF!</f>
        <v>#REF!</v>
      </c>
      <c r="C839" s="89"/>
      <c r="D839" s="91" t="s">
        <v>717</v>
      </c>
      <c r="E839" s="90" t="e">
        <v>#REF!</v>
      </c>
      <c r="F839" s="89"/>
      <c r="G839" s="89"/>
      <c r="H839" s="89" t="s">
        <v>803</v>
      </c>
      <c r="I839" s="89" t="s">
        <v>24159</v>
      </c>
      <c r="J839" s="89" t="s">
        <v>24162</v>
      </c>
      <c r="K839" s="89" t="s">
        <v>24161</v>
      </c>
      <c r="M839" s="89">
        <v>2018</v>
      </c>
      <c r="N839" s="89" t="s">
        <v>24160</v>
      </c>
      <c r="O839" s="89" t="s">
        <v>646</v>
      </c>
      <c r="P839" s="89" t="str">
        <f>HYPERLINK("http://dx.doi.org/10.26599/TST.2018.9010029","http://dx.doi.org/10.26599/TST.2018.9010029")</f>
        <v>http://dx.doi.org/10.26599/TST.2018.9010029</v>
      </c>
      <c r="S839" s="89" t="s">
        <v>646</v>
      </c>
      <c r="U839" s="89" t="s">
        <v>17462</v>
      </c>
      <c r="W839" s="89" t="s">
        <v>646</v>
      </c>
      <c r="X839" s="89" t="s">
        <v>646</v>
      </c>
      <c r="Y839" s="89" t="s">
        <v>646</v>
      </c>
      <c r="Z839" s="89" t="s">
        <v>646</v>
      </c>
      <c r="AA839" s="89" t="s">
        <v>646</v>
      </c>
      <c r="AB839" s="89" t="s">
        <v>646</v>
      </c>
      <c r="AC839" s="89" t="s">
        <v>646</v>
      </c>
      <c r="AD839" s="89" t="s">
        <v>646</v>
      </c>
      <c r="AE839" s="89" t="s">
        <v>646</v>
      </c>
      <c r="AF839" s="89" t="s">
        <v>24161</v>
      </c>
      <c r="AG839" s="89" t="s">
        <v>646</v>
      </c>
      <c r="AH839" s="89" t="s">
        <v>646</v>
      </c>
      <c r="AI839" s="89" t="s">
        <v>646</v>
      </c>
      <c r="AJ839" s="89" t="s">
        <v>646</v>
      </c>
      <c r="AK839" s="89" t="s">
        <v>24162</v>
      </c>
      <c r="AL839" s="89" t="s">
        <v>24163</v>
      </c>
      <c r="AM839" s="89" t="s">
        <v>646</v>
      </c>
      <c r="AN839" s="89" t="s">
        <v>646</v>
      </c>
      <c r="AO839" s="89" t="s">
        <v>646</v>
      </c>
      <c r="AP839" s="89" t="s">
        <v>646</v>
      </c>
      <c r="AQ839" s="89" t="s">
        <v>646</v>
      </c>
      <c r="AR839" s="89" t="s">
        <v>646</v>
      </c>
      <c r="AS839" s="89" t="s">
        <v>646</v>
      </c>
      <c r="AT839" s="89" t="s">
        <v>646</v>
      </c>
      <c r="AU839" s="89" t="s">
        <v>646</v>
      </c>
      <c r="AV839" s="89" t="s">
        <v>646</v>
      </c>
      <c r="AW839" s="89" t="s">
        <v>646</v>
      </c>
      <c r="AX839" s="89" t="s">
        <v>646</v>
      </c>
      <c r="AY839" s="89" t="s">
        <v>24164</v>
      </c>
      <c r="AZ839" s="89" t="s">
        <v>24165</v>
      </c>
      <c r="BA839" s="89" t="s">
        <v>646</v>
      </c>
      <c r="BB839" s="89" t="s">
        <v>646</v>
      </c>
      <c r="BC839" s="89" t="s">
        <v>646</v>
      </c>
      <c r="BD839" s="89" t="s">
        <v>17615</v>
      </c>
      <c r="BE839" s="89">
        <v>2018</v>
      </c>
      <c r="BF839" s="89">
        <v>23</v>
      </c>
      <c r="BG839" s="89">
        <v>6</v>
      </c>
      <c r="BH839" s="89" t="s">
        <v>646</v>
      </c>
      <c r="BI839" s="89" t="s">
        <v>646</v>
      </c>
      <c r="BJ839" s="89" t="s">
        <v>646</v>
      </c>
      <c r="BK839" s="89" t="s">
        <v>646</v>
      </c>
      <c r="BL839" s="89">
        <v>690</v>
      </c>
      <c r="BM839" s="89">
        <v>714</v>
      </c>
      <c r="BN839" s="89" t="s">
        <v>646</v>
      </c>
      <c r="BO839" s="89" t="str">
        <f>HYPERLINK("http://dx.doi.org/10.26599/TST.2018.9010029","http://dx.doi.org/10.26599/TST.2018.9010029")</f>
        <v>http://dx.doi.org/10.26599/TST.2018.9010029</v>
      </c>
      <c r="BP839" s="89" t="s">
        <v>646</v>
      </c>
      <c r="BQ839" s="89" t="s">
        <v>646</v>
      </c>
      <c r="BR839" s="89" t="s">
        <v>646</v>
      </c>
      <c r="BS839" s="89" t="s">
        <v>646</v>
      </c>
      <c r="BT839" s="89" t="s">
        <v>646</v>
      </c>
      <c r="BU839" s="89" t="s">
        <v>646</v>
      </c>
      <c r="BV839" s="89" t="s">
        <v>646</v>
      </c>
      <c r="BW839" s="89" t="s">
        <v>646</v>
      </c>
      <c r="BX839" s="89" t="s">
        <v>646</v>
      </c>
      <c r="BY839" s="89" t="s">
        <v>646</v>
      </c>
      <c r="BZ839" s="89" t="s">
        <v>646</v>
      </c>
      <c r="CA839" s="89" t="s">
        <v>646</v>
      </c>
      <c r="CB839" s="89" t="s">
        <v>24166</v>
      </c>
      <c r="CC839" s="89" t="str">
        <f>HYPERLINK("https%3A%2F%2Fwww.webofscience.com%2Fwos%2Fwoscc%2Ffull-record%2FWOS:000452622900006","View Full Record in Web of Science")</f>
        <v>View Full Record in Web of Science</v>
      </c>
    </row>
    <row r="840" spans="1:81" ht="13.2" hidden="1" x14ac:dyDescent="0.25">
      <c r="A840" s="89" t="s">
        <v>15155</v>
      </c>
      <c r="B840" s="89" t="e">
        <f>+#REF!</f>
        <v>#REF!</v>
      </c>
      <c r="C840" s="89"/>
      <c r="D840" s="91" t="s">
        <v>717</v>
      </c>
      <c r="E840" s="90" t="e">
        <v>#REF!</v>
      </c>
      <c r="F840" s="89"/>
      <c r="G840" s="89"/>
      <c r="H840" s="89" t="s">
        <v>15156</v>
      </c>
      <c r="I840" s="89" t="s">
        <v>24167</v>
      </c>
      <c r="J840" s="89" t="s">
        <v>646</v>
      </c>
      <c r="K840" s="89" t="s">
        <v>24168</v>
      </c>
      <c r="M840" s="89">
        <v>2014</v>
      </c>
      <c r="N840" s="89" t="s">
        <v>18779</v>
      </c>
      <c r="O840" s="89" t="s">
        <v>646</v>
      </c>
      <c r="P840" s="89" t="str">
        <f>HYPERLINK("http://dx.doi.org/10.1016/j.infsof.2013.06.004","http://dx.doi.org/10.1016/j.infsof.2013.06.004")</f>
        <v>http://dx.doi.org/10.1016/j.infsof.2013.06.004</v>
      </c>
      <c r="S840" s="89" t="s">
        <v>646</v>
      </c>
      <c r="U840" s="89" t="s">
        <v>17462</v>
      </c>
      <c r="W840" s="89" t="s">
        <v>646</v>
      </c>
      <c r="X840" s="89" t="s">
        <v>646</v>
      </c>
      <c r="Y840" s="89" t="s">
        <v>646</v>
      </c>
      <c r="Z840" s="89" t="s">
        <v>646</v>
      </c>
      <c r="AA840" s="89" t="s">
        <v>646</v>
      </c>
      <c r="AB840" s="89" t="s">
        <v>646</v>
      </c>
      <c r="AC840" s="89" t="s">
        <v>646</v>
      </c>
      <c r="AD840" s="89" t="s">
        <v>646</v>
      </c>
      <c r="AE840" s="89" t="s">
        <v>646</v>
      </c>
      <c r="AF840" s="89" t="s">
        <v>24168</v>
      </c>
      <c r="AG840" s="89" t="s">
        <v>646</v>
      </c>
      <c r="AH840" s="89" t="s">
        <v>646</v>
      </c>
      <c r="AI840" s="89" t="s">
        <v>646</v>
      </c>
      <c r="AJ840" s="89" t="s">
        <v>646</v>
      </c>
      <c r="AK840" s="89" t="s">
        <v>646</v>
      </c>
      <c r="AL840" s="89" t="s">
        <v>24169</v>
      </c>
      <c r="AM840" s="89" t="s">
        <v>646</v>
      </c>
      <c r="AN840" s="89" t="s">
        <v>646</v>
      </c>
      <c r="AO840" s="89" t="s">
        <v>646</v>
      </c>
      <c r="AP840" s="89" t="s">
        <v>646</v>
      </c>
      <c r="AQ840" s="89" t="s">
        <v>646</v>
      </c>
      <c r="AR840" s="89" t="s">
        <v>646</v>
      </c>
      <c r="AS840" s="89" t="s">
        <v>646</v>
      </c>
      <c r="AT840" s="89" t="s">
        <v>646</v>
      </c>
      <c r="AU840" s="89" t="s">
        <v>646</v>
      </c>
      <c r="AV840" s="89" t="s">
        <v>646</v>
      </c>
      <c r="AW840" s="89" t="s">
        <v>646</v>
      </c>
      <c r="AX840" s="89" t="s">
        <v>646</v>
      </c>
      <c r="AY840" s="89" t="s">
        <v>18782</v>
      </c>
      <c r="AZ840" s="89" t="s">
        <v>18783</v>
      </c>
      <c r="BA840" s="89" t="s">
        <v>646</v>
      </c>
      <c r="BB840" s="89" t="s">
        <v>646</v>
      </c>
      <c r="BC840" s="89" t="s">
        <v>646</v>
      </c>
      <c r="BD840" s="89" t="s">
        <v>17513</v>
      </c>
      <c r="BE840" s="89">
        <v>2014</v>
      </c>
      <c r="BF840" s="89">
        <v>56</v>
      </c>
      <c r="BG840" s="89">
        <v>1</v>
      </c>
      <c r="BH840" s="89" t="s">
        <v>646</v>
      </c>
      <c r="BI840" s="89" t="s">
        <v>646</v>
      </c>
      <c r="BJ840" s="89" t="s">
        <v>646</v>
      </c>
      <c r="BK840" s="89" t="s">
        <v>646</v>
      </c>
      <c r="BL840" s="89">
        <v>20</v>
      </c>
      <c r="BM840" s="89">
        <v>38</v>
      </c>
      <c r="BN840" s="89" t="s">
        <v>646</v>
      </c>
      <c r="BO840" s="89" t="str">
        <f>HYPERLINK("http://dx.doi.org/10.1016/j.infsof.2013.06.004","http://dx.doi.org/10.1016/j.infsof.2013.06.004")</f>
        <v>http://dx.doi.org/10.1016/j.infsof.2013.06.004</v>
      </c>
      <c r="BP840" s="89" t="s">
        <v>646</v>
      </c>
      <c r="BQ840" s="89" t="s">
        <v>646</v>
      </c>
      <c r="BR840" s="89" t="s">
        <v>646</v>
      </c>
      <c r="BS840" s="89" t="s">
        <v>646</v>
      </c>
      <c r="BT840" s="89" t="s">
        <v>646</v>
      </c>
      <c r="BU840" s="89" t="s">
        <v>646</v>
      </c>
      <c r="BV840" s="89" t="s">
        <v>646</v>
      </c>
      <c r="BW840" s="89" t="s">
        <v>646</v>
      </c>
      <c r="BX840" s="89" t="s">
        <v>646</v>
      </c>
      <c r="BY840" s="89" t="s">
        <v>646</v>
      </c>
      <c r="BZ840" s="89" t="s">
        <v>646</v>
      </c>
      <c r="CA840" s="89" t="s">
        <v>646</v>
      </c>
      <c r="CB840" s="89" t="s">
        <v>24170</v>
      </c>
      <c r="CC840" s="89" t="str">
        <f>HYPERLINK("https%3A%2F%2Fwww.webofscience.com%2Fwos%2Fwoscc%2Ffull-record%2FWOS:000329151900003","View Full Record in Web of Science")</f>
        <v>View Full Record in Web of Science</v>
      </c>
    </row>
    <row r="841" spans="1:81" ht="13.2" hidden="1" x14ac:dyDescent="0.25">
      <c r="A841" s="89" t="s">
        <v>10313</v>
      </c>
      <c r="B841" s="89" t="e">
        <f>+#REF!</f>
        <v>#REF!</v>
      </c>
      <c r="C841" s="89"/>
      <c r="D841" s="91" t="s">
        <v>717</v>
      </c>
      <c r="E841" s="90" t="e">
        <v>#REF!</v>
      </c>
      <c r="F841" s="89"/>
      <c r="G841" s="89"/>
      <c r="H841" s="89" t="s">
        <v>10314</v>
      </c>
      <c r="I841" s="89" t="s">
        <v>24171</v>
      </c>
      <c r="J841" s="89" t="s">
        <v>646</v>
      </c>
      <c r="K841" s="89" t="s">
        <v>24177</v>
      </c>
      <c r="M841" s="89">
        <v>2021</v>
      </c>
      <c r="N841" s="89" t="s">
        <v>24172</v>
      </c>
      <c r="O841" s="89" t="s">
        <v>646</v>
      </c>
      <c r="P841" s="89" t="str">
        <f>HYPERLINK("http://dx.doi.org/10.1109/FIT53504.2021.00013","http://dx.doi.org/10.1109/FIT53504.2021.00013")</f>
        <v>http://dx.doi.org/10.1109/FIT53504.2021.00013</v>
      </c>
      <c r="S841" s="89" t="s">
        <v>17475</v>
      </c>
      <c r="U841" s="89" t="s">
        <v>17474</v>
      </c>
      <c r="W841" s="89" t="s">
        <v>646</v>
      </c>
      <c r="X841" s="89" t="s">
        <v>646</v>
      </c>
      <c r="Y841" s="89" t="s">
        <v>24173</v>
      </c>
      <c r="Z841" s="89" t="s">
        <v>24174</v>
      </c>
      <c r="AA841" s="89" t="s">
        <v>24175</v>
      </c>
      <c r="AB841" s="89" t="s">
        <v>24176</v>
      </c>
      <c r="AC841" s="89" t="s">
        <v>646</v>
      </c>
      <c r="AD841" s="89" t="s">
        <v>646</v>
      </c>
      <c r="AE841" s="89" t="s">
        <v>646</v>
      </c>
      <c r="AF841" s="89" t="s">
        <v>24177</v>
      </c>
      <c r="AG841" s="89" t="s">
        <v>646</v>
      </c>
      <c r="AH841" s="89" t="s">
        <v>646</v>
      </c>
      <c r="AI841" s="89" t="s">
        <v>646</v>
      </c>
      <c r="AJ841" s="89" t="s">
        <v>646</v>
      </c>
      <c r="AK841" s="89" t="s">
        <v>646</v>
      </c>
      <c r="AL841" s="89" t="s">
        <v>646</v>
      </c>
      <c r="AM841" s="89" t="s">
        <v>646</v>
      </c>
      <c r="AN841" s="89" t="s">
        <v>646</v>
      </c>
      <c r="AO841" s="89" t="s">
        <v>646</v>
      </c>
      <c r="AP841" s="89" t="s">
        <v>646</v>
      </c>
      <c r="AQ841" s="89" t="s">
        <v>646</v>
      </c>
      <c r="AR841" s="89" t="s">
        <v>646</v>
      </c>
      <c r="AS841" s="89" t="s">
        <v>646</v>
      </c>
      <c r="AT841" s="89" t="s">
        <v>646</v>
      </c>
      <c r="AU841" s="89" t="s">
        <v>646</v>
      </c>
      <c r="AV841" s="89" t="s">
        <v>646</v>
      </c>
      <c r="AW841" s="89" t="s">
        <v>646</v>
      </c>
      <c r="AX841" s="89" t="s">
        <v>646</v>
      </c>
      <c r="AY841" s="89" t="s">
        <v>24178</v>
      </c>
      <c r="AZ841" s="89" t="s">
        <v>646</v>
      </c>
      <c r="BA841" s="89" t="s">
        <v>24179</v>
      </c>
      <c r="BB841" s="89" t="s">
        <v>646</v>
      </c>
      <c r="BC841" s="89" t="s">
        <v>646</v>
      </c>
      <c r="BD841" s="89" t="s">
        <v>646</v>
      </c>
      <c r="BE841" s="89">
        <v>2021</v>
      </c>
      <c r="BF841" s="89" t="s">
        <v>646</v>
      </c>
      <c r="BG841" s="89" t="s">
        <v>646</v>
      </c>
      <c r="BH841" s="89" t="s">
        <v>646</v>
      </c>
      <c r="BI841" s="89" t="s">
        <v>646</v>
      </c>
      <c r="BJ841" s="89" t="s">
        <v>646</v>
      </c>
      <c r="BK841" s="89" t="s">
        <v>646</v>
      </c>
      <c r="BL841" s="89">
        <v>13</v>
      </c>
      <c r="BM841" s="89">
        <v>18</v>
      </c>
      <c r="BN841" s="89" t="s">
        <v>646</v>
      </c>
      <c r="BO841" s="89" t="str">
        <f>HYPERLINK("http://dx.doi.org/10.1109/FIT53504.2021.00013","http://dx.doi.org/10.1109/FIT53504.2021.00013")</f>
        <v>http://dx.doi.org/10.1109/FIT53504.2021.00013</v>
      </c>
      <c r="BP841" s="89" t="s">
        <v>646</v>
      </c>
      <c r="BQ841" s="89" t="s">
        <v>646</v>
      </c>
      <c r="BR841" s="89" t="s">
        <v>646</v>
      </c>
      <c r="BS841" s="89" t="s">
        <v>646</v>
      </c>
      <c r="BT841" s="89" t="s">
        <v>646</v>
      </c>
      <c r="BU841" s="89" t="s">
        <v>646</v>
      </c>
      <c r="BV841" s="89" t="s">
        <v>646</v>
      </c>
      <c r="BW841" s="89" t="s">
        <v>646</v>
      </c>
      <c r="BX841" s="89" t="s">
        <v>646</v>
      </c>
      <c r="BY841" s="89" t="s">
        <v>646</v>
      </c>
      <c r="BZ841" s="89" t="s">
        <v>646</v>
      </c>
      <c r="CA841" s="89" t="s">
        <v>646</v>
      </c>
      <c r="CB841" s="89" t="s">
        <v>24180</v>
      </c>
      <c r="CC841" s="89" t="str">
        <f>HYPERLINK("https%3A%2F%2Fwww.webofscience.com%2Fwos%2Fwoscc%2Ffull-record%2FWOS:000792442100003","View Full Record in Web of Science")</f>
        <v>View Full Record in Web of Science</v>
      </c>
    </row>
    <row r="842" spans="1:81" ht="13.2" hidden="1" x14ac:dyDescent="0.25">
      <c r="A842" s="89" t="s">
        <v>24181</v>
      </c>
      <c r="B842" s="89" t="e">
        <f>+#REF!</f>
        <v>#REF!</v>
      </c>
      <c r="C842" s="89"/>
      <c r="D842" s="91" t="s">
        <v>717</v>
      </c>
      <c r="E842" s="90" t="e">
        <v>#REF!</v>
      </c>
      <c r="F842" s="89"/>
      <c r="G842" s="89"/>
      <c r="H842" s="89" t="s">
        <v>15165</v>
      </c>
      <c r="I842" s="89" t="s">
        <v>24183</v>
      </c>
      <c r="J842" s="89" t="s">
        <v>24189</v>
      </c>
      <c r="K842" s="89" t="s">
        <v>24188</v>
      </c>
      <c r="M842" s="89">
        <v>2015</v>
      </c>
      <c r="N842" s="89" t="s">
        <v>24184</v>
      </c>
      <c r="O842" s="89" t="s">
        <v>24182</v>
      </c>
      <c r="P842" s="89" t="str">
        <f>HYPERLINK("http://dx.doi.org/10.1016/j.proeng.2015.10.097","http://dx.doi.org/10.1016/j.proeng.2015.10.097")</f>
        <v>http://dx.doi.org/10.1016/j.proeng.2015.10.097</v>
      </c>
      <c r="S842" s="89" t="s">
        <v>646</v>
      </c>
      <c r="U842" s="89" t="s">
        <v>17474</v>
      </c>
      <c r="W842" s="89" t="s">
        <v>646</v>
      </c>
      <c r="X842" s="89" t="s">
        <v>646</v>
      </c>
      <c r="Y842" s="89" t="s">
        <v>24185</v>
      </c>
      <c r="Z842" s="89" t="s">
        <v>24186</v>
      </c>
      <c r="AA842" s="89" t="s">
        <v>24187</v>
      </c>
      <c r="AB842" s="89" t="s">
        <v>646</v>
      </c>
      <c r="AC842" s="89" t="s">
        <v>646</v>
      </c>
      <c r="AD842" s="89" t="s">
        <v>646</v>
      </c>
      <c r="AE842" s="89" t="s">
        <v>646</v>
      </c>
      <c r="AF842" s="89" t="s">
        <v>24188</v>
      </c>
      <c r="AG842" s="89" t="s">
        <v>646</v>
      </c>
      <c r="AH842" s="89" t="s">
        <v>646</v>
      </c>
      <c r="AI842" s="89" t="s">
        <v>646</v>
      </c>
      <c r="AJ842" s="89" t="s">
        <v>646</v>
      </c>
      <c r="AK842" s="89" t="s">
        <v>24189</v>
      </c>
      <c r="AL842" s="89" t="s">
        <v>24190</v>
      </c>
      <c r="AM842" s="89" t="s">
        <v>646</v>
      </c>
      <c r="AN842" s="89" t="s">
        <v>646</v>
      </c>
      <c r="AO842" s="89" t="s">
        <v>646</v>
      </c>
      <c r="AP842" s="89" t="s">
        <v>646</v>
      </c>
      <c r="AQ842" s="89" t="s">
        <v>646</v>
      </c>
      <c r="AR842" s="89" t="s">
        <v>646</v>
      </c>
      <c r="AS842" s="89" t="s">
        <v>646</v>
      </c>
      <c r="AT842" s="89" t="s">
        <v>646</v>
      </c>
      <c r="AU842" s="89" t="s">
        <v>646</v>
      </c>
      <c r="AV842" s="89" t="s">
        <v>646</v>
      </c>
      <c r="AW842" s="89" t="s">
        <v>646</v>
      </c>
      <c r="AX842" s="89" t="s">
        <v>646</v>
      </c>
      <c r="AY842" s="89" t="s">
        <v>24191</v>
      </c>
      <c r="AZ842" s="89" t="s">
        <v>646</v>
      </c>
      <c r="BA842" s="89" t="s">
        <v>646</v>
      </c>
      <c r="BB842" s="89" t="s">
        <v>646</v>
      </c>
      <c r="BC842" s="89" t="s">
        <v>646</v>
      </c>
      <c r="BD842" s="89" t="s">
        <v>646</v>
      </c>
      <c r="BE842" s="89">
        <v>2015</v>
      </c>
      <c r="BF842" s="89">
        <v>123</v>
      </c>
      <c r="BG842" s="89" t="s">
        <v>646</v>
      </c>
      <c r="BH842" s="89" t="s">
        <v>646</v>
      </c>
      <c r="BI842" s="89" t="s">
        <v>646</v>
      </c>
      <c r="BJ842" s="89" t="s">
        <v>646</v>
      </c>
      <c r="BK842" s="89" t="s">
        <v>646</v>
      </c>
      <c r="BL842" s="89">
        <v>316</v>
      </c>
      <c r="BM842" s="89">
        <v>324</v>
      </c>
      <c r="BN842" s="89" t="s">
        <v>646</v>
      </c>
      <c r="BO842" s="89" t="str">
        <f>HYPERLINK("http://dx.doi.org/10.1016/j.proeng.2015.10.097","http://dx.doi.org/10.1016/j.proeng.2015.10.097")</f>
        <v>http://dx.doi.org/10.1016/j.proeng.2015.10.097</v>
      </c>
      <c r="BP842" s="89" t="s">
        <v>646</v>
      </c>
      <c r="BQ842" s="89" t="s">
        <v>646</v>
      </c>
      <c r="BR842" s="89" t="s">
        <v>646</v>
      </c>
      <c r="BS842" s="89" t="s">
        <v>646</v>
      </c>
      <c r="BT842" s="89" t="s">
        <v>646</v>
      </c>
      <c r="BU842" s="89" t="s">
        <v>646</v>
      </c>
      <c r="BV842" s="89" t="s">
        <v>646</v>
      </c>
      <c r="BW842" s="89" t="s">
        <v>646</v>
      </c>
      <c r="BX842" s="89" t="s">
        <v>646</v>
      </c>
      <c r="BY842" s="89" t="s">
        <v>646</v>
      </c>
      <c r="BZ842" s="89" t="s">
        <v>646</v>
      </c>
      <c r="CA842" s="89" t="s">
        <v>646</v>
      </c>
      <c r="CB842" s="89" t="s">
        <v>24192</v>
      </c>
      <c r="CC842" s="89" t="str">
        <f>HYPERLINK("https%3A%2F%2Fwww.webofscience.com%2Fwos%2Fwoscc%2Ffull-record%2FWOS:000380488800038","View Full Record in Web of Science")</f>
        <v>View Full Record in Web of Science</v>
      </c>
    </row>
    <row r="843" spans="1:81" ht="13.2" hidden="1" x14ac:dyDescent="0.25">
      <c r="A843" s="89" t="s">
        <v>24193</v>
      </c>
      <c r="B843" s="89" t="e">
        <f>+#REF!</f>
        <v>#REF!</v>
      </c>
      <c r="C843" s="89"/>
      <c r="D843" s="91" t="s">
        <v>717</v>
      </c>
      <c r="E843" s="90" t="e">
        <v>#REF!</v>
      </c>
      <c r="F843" s="89"/>
      <c r="G843" s="89"/>
      <c r="H843" s="89" t="s">
        <v>15175</v>
      </c>
      <c r="I843" s="89" t="s">
        <v>24194</v>
      </c>
      <c r="J843" s="89" t="s">
        <v>646</v>
      </c>
      <c r="K843" s="89" t="s">
        <v>24196</v>
      </c>
      <c r="M843" s="89">
        <v>2020</v>
      </c>
      <c r="N843" s="89" t="s">
        <v>24195</v>
      </c>
      <c r="O843" s="89" t="s">
        <v>646</v>
      </c>
      <c r="P843" s="89" t="str">
        <f>HYPERLINK("http://dx.doi.org/10.1177/0193841X19834968","http://dx.doi.org/10.1177/0193841X19834968")</f>
        <v>http://dx.doi.org/10.1177/0193841X19834968</v>
      </c>
      <c r="S843" s="89" t="s">
        <v>646</v>
      </c>
      <c r="U843" s="89" t="s">
        <v>17462</v>
      </c>
      <c r="W843" s="89" t="s">
        <v>646</v>
      </c>
      <c r="X843" s="89" t="s">
        <v>646</v>
      </c>
      <c r="Y843" s="89" t="s">
        <v>646</v>
      </c>
      <c r="Z843" s="89" t="s">
        <v>646</v>
      </c>
      <c r="AA843" s="89" t="s">
        <v>646</v>
      </c>
      <c r="AB843" s="89" t="s">
        <v>646</v>
      </c>
      <c r="AC843" s="89" t="s">
        <v>646</v>
      </c>
      <c r="AD843" s="89" t="s">
        <v>646</v>
      </c>
      <c r="AE843" s="89" t="s">
        <v>646</v>
      </c>
      <c r="AF843" s="89" t="s">
        <v>24196</v>
      </c>
      <c r="AG843" s="89" t="s">
        <v>646</v>
      </c>
      <c r="AH843" s="89" t="s">
        <v>646</v>
      </c>
      <c r="AI843" s="89" t="s">
        <v>646</v>
      </c>
      <c r="AJ843" s="89" t="s">
        <v>646</v>
      </c>
      <c r="AK843" s="89" t="s">
        <v>646</v>
      </c>
      <c r="AL843" s="89" t="s">
        <v>24197</v>
      </c>
      <c r="AM843" s="89" t="s">
        <v>646</v>
      </c>
      <c r="AN843" s="89" t="s">
        <v>646</v>
      </c>
      <c r="AO843" s="89" t="s">
        <v>646</v>
      </c>
      <c r="AP843" s="89" t="s">
        <v>646</v>
      </c>
      <c r="AQ843" s="89" t="s">
        <v>646</v>
      </c>
      <c r="AR843" s="89" t="s">
        <v>646</v>
      </c>
      <c r="AS843" s="89" t="s">
        <v>646</v>
      </c>
      <c r="AT843" s="89" t="s">
        <v>646</v>
      </c>
      <c r="AU843" s="89" t="s">
        <v>646</v>
      </c>
      <c r="AV843" s="89" t="s">
        <v>646</v>
      </c>
      <c r="AW843" s="89" t="s">
        <v>646</v>
      </c>
      <c r="AX843" s="89" t="s">
        <v>646</v>
      </c>
      <c r="AY843" s="89" t="s">
        <v>24198</v>
      </c>
      <c r="AZ843" s="89" t="s">
        <v>24199</v>
      </c>
      <c r="BA843" s="89" t="s">
        <v>646</v>
      </c>
      <c r="BB843" s="89" t="s">
        <v>646</v>
      </c>
      <c r="BC843" s="89" t="s">
        <v>646</v>
      </c>
      <c r="BD843" s="89" t="s">
        <v>18655</v>
      </c>
      <c r="BE843" s="89">
        <v>2020</v>
      </c>
      <c r="BF843" s="89">
        <v>44</v>
      </c>
      <c r="BG843" s="89">
        <v>4</v>
      </c>
      <c r="BH843" s="89" t="s">
        <v>646</v>
      </c>
      <c r="BI843" s="89" t="s">
        <v>646</v>
      </c>
      <c r="BJ843" s="89" t="s">
        <v>646</v>
      </c>
      <c r="BK843" s="89" t="s">
        <v>646</v>
      </c>
      <c r="BL843" s="89">
        <v>325</v>
      </c>
      <c r="BM843" s="89">
        <v>353</v>
      </c>
      <c r="BN843" s="89" t="s">
        <v>646</v>
      </c>
      <c r="BO843" s="89" t="str">
        <f>HYPERLINK("http://dx.doi.org/10.1177/0193841X19834968","http://dx.doi.org/10.1177/0193841X19834968")</f>
        <v>http://dx.doi.org/10.1177/0193841X19834968</v>
      </c>
      <c r="BP843" s="89" t="s">
        <v>646</v>
      </c>
      <c r="BQ843" s="89" t="s">
        <v>646</v>
      </c>
      <c r="BR843" s="89" t="s">
        <v>646</v>
      </c>
      <c r="BS843" s="89" t="s">
        <v>646</v>
      </c>
      <c r="BT843" s="89" t="s">
        <v>646</v>
      </c>
      <c r="BU843" s="89" t="s">
        <v>646</v>
      </c>
      <c r="BV843" s="89" t="s">
        <v>646</v>
      </c>
      <c r="BW843" s="89">
        <v>30866674</v>
      </c>
      <c r="BX843" s="89" t="s">
        <v>646</v>
      </c>
      <c r="BY843" s="89" t="s">
        <v>646</v>
      </c>
      <c r="BZ843" s="89" t="s">
        <v>646</v>
      </c>
      <c r="CA843" s="89" t="s">
        <v>646</v>
      </c>
      <c r="CB843" s="89" t="s">
        <v>24200</v>
      </c>
      <c r="CC843" s="89" t="str">
        <f>HYPERLINK("https%3A%2F%2Fwww.webofscience.com%2Fwos%2Fwoscc%2Ffull-record%2FWOS:000614877600006","View Full Record in Web of Science")</f>
        <v>View Full Record in Web of Science</v>
      </c>
    </row>
    <row r="844" spans="1:81" ht="13.2" hidden="1" x14ac:dyDescent="0.25">
      <c r="A844" s="89" t="s">
        <v>24201</v>
      </c>
      <c r="B844" s="89" t="e">
        <f>+#REF!</f>
        <v>#REF!</v>
      </c>
      <c r="C844" s="89"/>
      <c r="D844" s="91" t="s">
        <v>717</v>
      </c>
      <c r="E844" s="90" t="e">
        <v>#REF!</v>
      </c>
      <c r="F844" s="89"/>
      <c r="G844" s="89"/>
      <c r="H844" s="89" t="s">
        <v>15185</v>
      </c>
      <c r="I844" s="89" t="s">
        <v>24202</v>
      </c>
      <c r="J844" s="89" t="s">
        <v>646</v>
      </c>
      <c r="K844" s="89" t="s">
        <v>24204</v>
      </c>
      <c r="M844" s="89">
        <v>2017</v>
      </c>
      <c r="N844" s="89" t="s">
        <v>24203</v>
      </c>
      <c r="O844" s="89" t="s">
        <v>646</v>
      </c>
      <c r="P844" s="89" t="str">
        <f>HYPERLINK("http://dx.doi.org/10.1109/TASLP.2017.2694699","http://dx.doi.org/10.1109/TASLP.2017.2694699")</f>
        <v>http://dx.doi.org/10.1109/TASLP.2017.2694699</v>
      </c>
      <c r="S844" s="89" t="s">
        <v>646</v>
      </c>
      <c r="U844" s="89" t="s">
        <v>17462</v>
      </c>
      <c r="W844" s="89" t="s">
        <v>646</v>
      </c>
      <c r="X844" s="89" t="s">
        <v>646</v>
      </c>
      <c r="Y844" s="89" t="s">
        <v>646</v>
      </c>
      <c r="Z844" s="89" t="s">
        <v>646</v>
      </c>
      <c r="AA844" s="89" t="s">
        <v>646</v>
      </c>
      <c r="AB844" s="89" t="s">
        <v>646</v>
      </c>
      <c r="AC844" s="89" t="s">
        <v>646</v>
      </c>
      <c r="AD844" s="89" t="s">
        <v>646</v>
      </c>
      <c r="AE844" s="89" t="s">
        <v>646</v>
      </c>
      <c r="AF844" s="89" t="s">
        <v>24204</v>
      </c>
      <c r="AG844" s="89" t="s">
        <v>646</v>
      </c>
      <c r="AH844" s="89" t="s">
        <v>646</v>
      </c>
      <c r="AI844" s="89" t="s">
        <v>646</v>
      </c>
      <c r="AJ844" s="89" t="s">
        <v>646</v>
      </c>
      <c r="AK844" s="89" t="s">
        <v>646</v>
      </c>
      <c r="AL844" s="89" t="s">
        <v>24205</v>
      </c>
      <c r="AM844" s="89" t="s">
        <v>646</v>
      </c>
      <c r="AN844" s="89" t="s">
        <v>646</v>
      </c>
      <c r="AO844" s="89" t="s">
        <v>646</v>
      </c>
      <c r="AP844" s="89" t="s">
        <v>646</v>
      </c>
      <c r="AQ844" s="89" t="s">
        <v>646</v>
      </c>
      <c r="AR844" s="89" t="s">
        <v>646</v>
      </c>
      <c r="AS844" s="89" t="s">
        <v>646</v>
      </c>
      <c r="AT844" s="89" t="s">
        <v>646</v>
      </c>
      <c r="AU844" s="89" t="s">
        <v>646</v>
      </c>
      <c r="AV844" s="89" t="s">
        <v>646</v>
      </c>
      <c r="AW844" s="89" t="s">
        <v>646</v>
      </c>
      <c r="AX844" s="89" t="s">
        <v>646</v>
      </c>
      <c r="AY844" s="89" t="s">
        <v>24206</v>
      </c>
      <c r="AZ844" s="89" t="s">
        <v>646</v>
      </c>
      <c r="BA844" s="89" t="s">
        <v>646</v>
      </c>
      <c r="BB844" s="89" t="s">
        <v>646</v>
      </c>
      <c r="BC844" s="89" t="s">
        <v>646</v>
      </c>
      <c r="BD844" s="89" t="s">
        <v>17676</v>
      </c>
      <c r="BE844" s="89">
        <v>2017</v>
      </c>
      <c r="BF844" s="89">
        <v>25</v>
      </c>
      <c r="BG844" s="89">
        <v>7</v>
      </c>
      <c r="BH844" s="89" t="s">
        <v>646</v>
      </c>
      <c r="BI844" s="89" t="s">
        <v>646</v>
      </c>
      <c r="BJ844" s="89" t="s">
        <v>646</v>
      </c>
      <c r="BK844" s="89" t="s">
        <v>646</v>
      </c>
      <c r="BL844" s="89">
        <v>1450</v>
      </c>
      <c r="BM844" s="89">
        <v>1461</v>
      </c>
      <c r="BN844" s="89" t="s">
        <v>646</v>
      </c>
      <c r="BO844" s="89" t="str">
        <f>HYPERLINK("http://dx.doi.org/10.1109/TASLP.2017.2694699","http://dx.doi.org/10.1109/TASLP.2017.2694699")</f>
        <v>http://dx.doi.org/10.1109/TASLP.2017.2694699</v>
      </c>
      <c r="BP844" s="89" t="s">
        <v>646</v>
      </c>
      <c r="BQ844" s="89" t="s">
        <v>646</v>
      </c>
      <c r="BR844" s="89" t="s">
        <v>646</v>
      </c>
      <c r="BS844" s="89" t="s">
        <v>646</v>
      </c>
      <c r="BT844" s="89" t="s">
        <v>646</v>
      </c>
      <c r="BU844" s="89" t="s">
        <v>646</v>
      </c>
      <c r="BV844" s="89" t="s">
        <v>646</v>
      </c>
      <c r="BW844" s="89" t="s">
        <v>646</v>
      </c>
      <c r="BX844" s="89" t="s">
        <v>646</v>
      </c>
      <c r="BY844" s="89" t="s">
        <v>646</v>
      </c>
      <c r="BZ844" s="89" t="s">
        <v>646</v>
      </c>
      <c r="CA844" s="89" t="s">
        <v>646</v>
      </c>
      <c r="CB844" s="89" t="s">
        <v>24207</v>
      </c>
      <c r="CC844" s="89" t="str">
        <f>HYPERLINK("https%3A%2F%2Fwww.webofscience.com%2Fwos%2Fwoscc%2Ffull-record%2FWOS:000403311100004","View Full Record in Web of Science")</f>
        <v>View Full Record in Web of Science</v>
      </c>
    </row>
    <row r="845" spans="1:81" ht="13.2" hidden="1" x14ac:dyDescent="0.25">
      <c r="A845" s="89" t="s">
        <v>15194</v>
      </c>
      <c r="B845" s="89" t="e">
        <f>+#REF!</f>
        <v>#REF!</v>
      </c>
      <c r="C845" s="89"/>
      <c r="D845" s="91" t="s">
        <v>717</v>
      </c>
      <c r="E845" s="90" t="e">
        <v>#REF!</v>
      </c>
      <c r="F845" s="89"/>
      <c r="G845" s="89"/>
      <c r="H845" s="89" t="s">
        <v>15195</v>
      </c>
      <c r="I845" s="89" t="s">
        <v>24208</v>
      </c>
      <c r="J845" s="89" t="s">
        <v>24210</v>
      </c>
      <c r="K845" s="89" t="s">
        <v>24209</v>
      </c>
      <c r="M845" s="89">
        <v>2019</v>
      </c>
      <c r="N845" s="89" t="s">
        <v>21761</v>
      </c>
      <c r="O845" s="89" t="s">
        <v>646</v>
      </c>
      <c r="P845" s="89" t="str">
        <f>HYPERLINK("http://dx.doi.org/10.1108/ER-03-2019-0159","http://dx.doi.org/10.1108/ER-03-2019-0159")</f>
        <v>http://dx.doi.org/10.1108/ER-03-2019-0159</v>
      </c>
      <c r="S845" s="89" t="s">
        <v>646</v>
      </c>
      <c r="U845" s="89" t="s">
        <v>17462</v>
      </c>
      <c r="W845" s="89" t="s">
        <v>646</v>
      </c>
      <c r="X845" s="89" t="s">
        <v>646</v>
      </c>
      <c r="Y845" s="89" t="s">
        <v>646</v>
      </c>
      <c r="Z845" s="89" t="s">
        <v>646</v>
      </c>
      <c r="AA845" s="89" t="s">
        <v>646</v>
      </c>
      <c r="AB845" s="89" t="s">
        <v>646</v>
      </c>
      <c r="AC845" s="89" t="s">
        <v>646</v>
      </c>
      <c r="AD845" s="89" t="s">
        <v>646</v>
      </c>
      <c r="AE845" s="89" t="s">
        <v>646</v>
      </c>
      <c r="AF845" s="89" t="s">
        <v>24209</v>
      </c>
      <c r="AG845" s="89" t="s">
        <v>646</v>
      </c>
      <c r="AH845" s="89" t="s">
        <v>646</v>
      </c>
      <c r="AI845" s="89" t="s">
        <v>646</v>
      </c>
      <c r="AJ845" s="89" t="s">
        <v>646</v>
      </c>
      <c r="AK845" s="89" t="s">
        <v>24210</v>
      </c>
      <c r="AL845" s="89" t="s">
        <v>24211</v>
      </c>
      <c r="AM845" s="89" t="s">
        <v>646</v>
      </c>
      <c r="AN845" s="89" t="s">
        <v>646</v>
      </c>
      <c r="AO845" s="89" t="s">
        <v>646</v>
      </c>
      <c r="AP845" s="89" t="s">
        <v>646</v>
      </c>
      <c r="AQ845" s="89" t="s">
        <v>646</v>
      </c>
      <c r="AR845" s="89" t="s">
        <v>646</v>
      </c>
      <c r="AS845" s="89" t="s">
        <v>646</v>
      </c>
      <c r="AT845" s="89" t="s">
        <v>646</v>
      </c>
      <c r="AU845" s="89" t="s">
        <v>646</v>
      </c>
      <c r="AV845" s="89" t="s">
        <v>646</v>
      </c>
      <c r="AW845" s="89" t="s">
        <v>646</v>
      </c>
      <c r="AX845" s="89" t="s">
        <v>646</v>
      </c>
      <c r="AY845" s="89" t="s">
        <v>21763</v>
      </c>
      <c r="AZ845" s="89" t="s">
        <v>21764</v>
      </c>
      <c r="BA845" s="89" t="s">
        <v>646</v>
      </c>
      <c r="BB845" s="89" t="s">
        <v>646</v>
      </c>
      <c r="BC845" s="89" t="s">
        <v>646</v>
      </c>
      <c r="BD845" s="89" t="s">
        <v>24212</v>
      </c>
      <c r="BE845" s="89">
        <v>2019</v>
      </c>
      <c r="BF845" s="89">
        <v>42</v>
      </c>
      <c r="BG845" s="89">
        <v>2</v>
      </c>
      <c r="BH845" s="89" t="s">
        <v>646</v>
      </c>
      <c r="BI845" s="89" t="s">
        <v>646</v>
      </c>
      <c r="BJ845" s="89" t="s">
        <v>646</v>
      </c>
      <c r="BK845" s="89" t="s">
        <v>646</v>
      </c>
      <c r="BL845" s="89">
        <v>525</v>
      </c>
      <c r="BM845" s="89">
        <v>541</v>
      </c>
      <c r="BN845" s="89" t="s">
        <v>646</v>
      </c>
      <c r="BO845" s="89" t="str">
        <f>HYPERLINK("http://dx.doi.org/10.1108/ER-03-2019-0159","http://dx.doi.org/10.1108/ER-03-2019-0159")</f>
        <v>http://dx.doi.org/10.1108/ER-03-2019-0159</v>
      </c>
      <c r="BP845" s="89" t="s">
        <v>646</v>
      </c>
      <c r="BQ845" s="89" t="s">
        <v>19749</v>
      </c>
      <c r="BR845" s="89" t="s">
        <v>646</v>
      </c>
      <c r="BS845" s="89" t="s">
        <v>646</v>
      </c>
      <c r="BT845" s="89" t="s">
        <v>646</v>
      </c>
      <c r="BU845" s="89" t="s">
        <v>646</v>
      </c>
      <c r="BV845" s="89" t="s">
        <v>646</v>
      </c>
      <c r="BW845" s="89" t="s">
        <v>646</v>
      </c>
      <c r="BX845" s="89" t="s">
        <v>646</v>
      </c>
      <c r="BY845" s="89" t="s">
        <v>646</v>
      </c>
      <c r="BZ845" s="89" t="s">
        <v>646</v>
      </c>
      <c r="CA845" s="89" t="s">
        <v>646</v>
      </c>
      <c r="CB845" s="89" t="s">
        <v>24213</v>
      </c>
      <c r="CC845" s="89" t="str">
        <f>HYPERLINK("https%3A%2F%2Fwww.webofscience.com%2Fwos%2Fwoscc%2Ffull-record%2FWOS:000506061500001","View Full Record in Web of Science")</f>
        <v>View Full Record in Web of Science</v>
      </c>
    </row>
    <row r="846" spans="1:81" ht="13.2" hidden="1" x14ac:dyDescent="0.25">
      <c r="A846" s="89" t="s">
        <v>24214</v>
      </c>
      <c r="B846" s="89" t="e">
        <f>+#REF!</f>
        <v>#REF!</v>
      </c>
      <c r="C846" s="89"/>
      <c r="D846" s="91" t="s">
        <v>717</v>
      </c>
      <c r="E846" s="90" t="e">
        <v>#REF!</v>
      </c>
      <c r="F846" s="89"/>
      <c r="G846" s="89"/>
      <c r="H846" s="89" t="s">
        <v>646</v>
      </c>
      <c r="I846" s="89" t="s">
        <v>24215</v>
      </c>
      <c r="J846" s="89" t="s">
        <v>646</v>
      </c>
      <c r="K846" s="89" t="s">
        <v>24218</v>
      </c>
      <c r="M846" s="89">
        <v>2013</v>
      </c>
      <c r="N846" s="89" t="s">
        <v>24216</v>
      </c>
      <c r="O846" s="89" t="s">
        <v>646</v>
      </c>
      <c r="P846" s="89" t="s">
        <v>646</v>
      </c>
      <c r="S846" s="89" t="s">
        <v>17475</v>
      </c>
      <c r="U846" s="89" t="s">
        <v>17474</v>
      </c>
      <c r="W846" s="89" t="s">
        <v>646</v>
      </c>
      <c r="X846" s="89" t="s">
        <v>646</v>
      </c>
      <c r="Y846" s="89" t="s">
        <v>20454</v>
      </c>
      <c r="Z846" s="89" t="s">
        <v>24217</v>
      </c>
      <c r="AA846" s="89" t="s">
        <v>19963</v>
      </c>
      <c r="AB846" s="89" t="s">
        <v>21716</v>
      </c>
      <c r="AC846" s="89" t="s">
        <v>646</v>
      </c>
      <c r="AD846" s="89" t="s">
        <v>646</v>
      </c>
      <c r="AE846" s="89" t="s">
        <v>646</v>
      </c>
      <c r="AF846" s="89" t="s">
        <v>24218</v>
      </c>
      <c r="AG846" s="89" t="s">
        <v>646</v>
      </c>
      <c r="AH846" s="89" t="s">
        <v>646</v>
      </c>
      <c r="AI846" s="89" t="s">
        <v>646</v>
      </c>
      <c r="AJ846" s="89" t="s">
        <v>646</v>
      </c>
      <c r="AK846" s="89" t="s">
        <v>646</v>
      </c>
      <c r="AL846" s="89" t="s">
        <v>24219</v>
      </c>
      <c r="AM846" s="89" t="s">
        <v>646</v>
      </c>
      <c r="AN846" s="89" t="s">
        <v>646</v>
      </c>
      <c r="AO846" s="89" t="s">
        <v>646</v>
      </c>
      <c r="AP846" s="89" t="s">
        <v>646</v>
      </c>
      <c r="AQ846" s="89" t="s">
        <v>646</v>
      </c>
      <c r="AR846" s="89" t="s">
        <v>646</v>
      </c>
      <c r="AS846" s="89" t="s">
        <v>646</v>
      </c>
      <c r="AT846" s="89" t="s">
        <v>646</v>
      </c>
      <c r="AU846" s="89" t="s">
        <v>646</v>
      </c>
      <c r="AV846" s="89" t="s">
        <v>646</v>
      </c>
      <c r="AW846" s="89" t="s">
        <v>646</v>
      </c>
      <c r="AX846" s="89" t="s">
        <v>646</v>
      </c>
      <c r="AY846" s="89" t="s">
        <v>20083</v>
      </c>
      <c r="AZ846" s="89" t="s">
        <v>646</v>
      </c>
      <c r="BA846" s="89" t="s">
        <v>24220</v>
      </c>
      <c r="BB846" s="89" t="s">
        <v>646</v>
      </c>
      <c r="BC846" s="89" t="s">
        <v>646</v>
      </c>
      <c r="BD846" s="89" t="s">
        <v>646</v>
      </c>
      <c r="BE846" s="89">
        <v>2013</v>
      </c>
      <c r="BF846" s="89" t="s">
        <v>646</v>
      </c>
      <c r="BG846" s="89" t="s">
        <v>646</v>
      </c>
      <c r="BH846" s="89" t="s">
        <v>646</v>
      </c>
      <c r="BI846" s="89" t="s">
        <v>646</v>
      </c>
      <c r="BJ846" s="89" t="s">
        <v>646</v>
      </c>
      <c r="BK846" s="89" t="s">
        <v>646</v>
      </c>
      <c r="BL846" s="89">
        <v>8406</v>
      </c>
      <c r="BM846" s="89">
        <v>8410</v>
      </c>
      <c r="BN846" s="89" t="s">
        <v>646</v>
      </c>
      <c r="BO846" s="89" t="s">
        <v>646</v>
      </c>
      <c r="BP846" s="89" t="s">
        <v>646</v>
      </c>
      <c r="BQ846" s="89" t="s">
        <v>646</v>
      </c>
      <c r="BR846" s="89" t="s">
        <v>646</v>
      </c>
      <c r="BS846" s="89" t="s">
        <v>646</v>
      </c>
      <c r="BT846" s="89" t="s">
        <v>646</v>
      </c>
      <c r="BU846" s="89" t="s">
        <v>646</v>
      </c>
      <c r="BV846" s="89" t="s">
        <v>646</v>
      </c>
      <c r="BW846" s="89" t="s">
        <v>646</v>
      </c>
      <c r="BX846" s="89" t="s">
        <v>646</v>
      </c>
      <c r="BY846" s="89" t="s">
        <v>646</v>
      </c>
      <c r="BZ846" s="89" t="s">
        <v>646</v>
      </c>
      <c r="CA846" s="89" t="s">
        <v>646</v>
      </c>
      <c r="CB846" s="89" t="s">
        <v>24221</v>
      </c>
      <c r="CC846" s="89" t="str">
        <f>HYPERLINK("https%3A%2F%2Fwww.webofscience.com%2Fwos%2Fwoscc%2Ffull-record%2FWOS:000329611508115","View Full Record in Web of Science")</f>
        <v>View Full Record in Web of Science</v>
      </c>
    </row>
    <row r="847" spans="1:81" ht="13.2" hidden="1" x14ac:dyDescent="0.25">
      <c r="A847" s="89" t="s">
        <v>24222</v>
      </c>
      <c r="B847" s="89" t="e">
        <f>+#REF!</f>
        <v>#REF!</v>
      </c>
      <c r="C847" s="89"/>
      <c r="D847" s="91" t="s">
        <v>717</v>
      </c>
      <c r="E847" s="90" t="e">
        <v>#REF!</v>
      </c>
      <c r="F847" s="89"/>
      <c r="G847" s="89"/>
      <c r="H847" s="89" t="s">
        <v>15213</v>
      </c>
      <c r="I847" s="89" t="s">
        <v>24223</v>
      </c>
      <c r="J847" s="89" t="s">
        <v>646</v>
      </c>
      <c r="K847" s="89" t="s">
        <v>24224</v>
      </c>
      <c r="M847" s="89">
        <v>2018</v>
      </c>
      <c r="N847" s="89" t="s">
        <v>19184</v>
      </c>
      <c r="O847" s="89" t="s">
        <v>646</v>
      </c>
      <c r="P847" s="89" t="str">
        <f>HYPERLINK("http://dx.doi.org/10.1287/mnsc.2016.2715","http://dx.doi.org/10.1287/mnsc.2016.2715")</f>
        <v>http://dx.doi.org/10.1287/mnsc.2016.2715</v>
      </c>
      <c r="S847" s="89" t="s">
        <v>646</v>
      </c>
      <c r="U847" s="89" t="s">
        <v>17462</v>
      </c>
      <c r="W847" s="89" t="s">
        <v>646</v>
      </c>
      <c r="X847" s="89" t="s">
        <v>646</v>
      </c>
      <c r="Y847" s="89" t="s">
        <v>646</v>
      </c>
      <c r="Z847" s="89" t="s">
        <v>646</v>
      </c>
      <c r="AA847" s="89" t="s">
        <v>646</v>
      </c>
      <c r="AB847" s="89" t="s">
        <v>646</v>
      </c>
      <c r="AC847" s="89" t="s">
        <v>646</v>
      </c>
      <c r="AD847" s="89" t="s">
        <v>646</v>
      </c>
      <c r="AE847" s="89" t="s">
        <v>646</v>
      </c>
      <c r="AF847" s="89" t="s">
        <v>24224</v>
      </c>
      <c r="AG847" s="89" t="s">
        <v>646</v>
      </c>
      <c r="AH847" s="89" t="s">
        <v>646</v>
      </c>
      <c r="AI847" s="89" t="s">
        <v>646</v>
      </c>
      <c r="AJ847" s="89" t="s">
        <v>646</v>
      </c>
      <c r="AK847" s="89" t="s">
        <v>646</v>
      </c>
      <c r="AL847" s="89" t="s">
        <v>646</v>
      </c>
      <c r="AM847" s="89" t="s">
        <v>646</v>
      </c>
      <c r="AN847" s="89" t="s">
        <v>646</v>
      </c>
      <c r="AO847" s="89" t="s">
        <v>646</v>
      </c>
      <c r="AP847" s="89" t="s">
        <v>646</v>
      </c>
      <c r="AQ847" s="89" t="s">
        <v>646</v>
      </c>
      <c r="AR847" s="89" t="s">
        <v>646</v>
      </c>
      <c r="AS847" s="89" t="s">
        <v>646</v>
      </c>
      <c r="AT847" s="89" t="s">
        <v>646</v>
      </c>
      <c r="AU847" s="89" t="s">
        <v>646</v>
      </c>
      <c r="AV847" s="89" t="s">
        <v>646</v>
      </c>
      <c r="AW847" s="89" t="s">
        <v>646</v>
      </c>
      <c r="AX847" s="89" t="s">
        <v>646</v>
      </c>
      <c r="AY847" s="89" t="s">
        <v>19187</v>
      </c>
      <c r="AZ847" s="89" t="s">
        <v>19188</v>
      </c>
      <c r="BA847" s="89" t="s">
        <v>646</v>
      </c>
      <c r="BB847" s="89" t="s">
        <v>646</v>
      </c>
      <c r="BC847" s="89" t="s">
        <v>646</v>
      </c>
      <c r="BD847" s="89" t="s">
        <v>18436</v>
      </c>
      <c r="BE847" s="89">
        <v>2018</v>
      </c>
      <c r="BF847" s="89">
        <v>64</v>
      </c>
      <c r="BG847" s="89">
        <v>5</v>
      </c>
      <c r="BH847" s="89" t="s">
        <v>646</v>
      </c>
      <c r="BI847" s="89" t="s">
        <v>646</v>
      </c>
      <c r="BJ847" s="89" t="s">
        <v>646</v>
      </c>
      <c r="BK847" s="89" t="s">
        <v>646</v>
      </c>
      <c r="BL847" s="89">
        <v>2065</v>
      </c>
      <c r="BM847" s="89">
        <v>2082</v>
      </c>
      <c r="BN847" s="89" t="s">
        <v>646</v>
      </c>
      <c r="BO847" s="89" t="str">
        <f>HYPERLINK("http://dx.doi.org/10.1287/mnsc.2016.2715","http://dx.doi.org/10.1287/mnsc.2016.2715")</f>
        <v>http://dx.doi.org/10.1287/mnsc.2016.2715</v>
      </c>
      <c r="BP847" s="89" t="s">
        <v>646</v>
      </c>
      <c r="BQ847" s="89" t="s">
        <v>646</v>
      </c>
      <c r="BR847" s="89" t="s">
        <v>646</v>
      </c>
      <c r="BS847" s="89" t="s">
        <v>646</v>
      </c>
      <c r="BT847" s="89" t="s">
        <v>646</v>
      </c>
      <c r="BU847" s="89" t="s">
        <v>646</v>
      </c>
      <c r="BV847" s="89" t="s">
        <v>646</v>
      </c>
      <c r="BW847" s="89" t="s">
        <v>646</v>
      </c>
      <c r="BX847" s="89" t="s">
        <v>646</v>
      </c>
      <c r="BY847" s="89" t="s">
        <v>646</v>
      </c>
      <c r="BZ847" s="89" t="s">
        <v>646</v>
      </c>
      <c r="CA847" s="89" t="s">
        <v>646</v>
      </c>
      <c r="CB847" s="89" t="s">
        <v>24225</v>
      </c>
      <c r="CC847" s="89" t="str">
        <f>HYPERLINK("https%3A%2F%2Fwww.webofscience.com%2Fwos%2Fwoscc%2Ffull-record%2FWOS:000439102900006","View Full Record in Web of Science")</f>
        <v>View Full Record in Web of Science</v>
      </c>
    </row>
    <row r="848" spans="1:81" ht="13.2" hidden="1" x14ac:dyDescent="0.25">
      <c r="A848" s="89" t="s">
        <v>24226</v>
      </c>
      <c r="B848" s="89" t="e">
        <f>+#REF!</f>
        <v>#REF!</v>
      </c>
      <c r="C848" s="89"/>
      <c r="D848" s="91" t="s">
        <v>717</v>
      </c>
      <c r="E848" s="90" t="e">
        <v>#REF!</v>
      </c>
      <c r="F848" s="89"/>
      <c r="G848" s="89"/>
      <c r="H848" s="89" t="s">
        <v>1096</v>
      </c>
      <c r="I848" s="89" t="s">
        <v>24227</v>
      </c>
      <c r="J848" s="89" t="s">
        <v>24230</v>
      </c>
      <c r="K848" s="89" t="s">
        <v>24229</v>
      </c>
      <c r="M848" s="89">
        <v>2016</v>
      </c>
      <c r="N848" s="89" t="s">
        <v>24228</v>
      </c>
      <c r="O848" s="89" t="s">
        <v>646</v>
      </c>
      <c r="P848" s="89" t="str">
        <f>HYPERLINK("http://dx.doi.org/10.1145/2955093","http://dx.doi.org/10.1145/2955093")</f>
        <v>http://dx.doi.org/10.1145/2955093</v>
      </c>
      <c r="S848" s="89" t="s">
        <v>646</v>
      </c>
      <c r="U848" s="89" t="s">
        <v>17462</v>
      </c>
      <c r="W848" s="89" t="s">
        <v>646</v>
      </c>
      <c r="X848" s="89" t="s">
        <v>646</v>
      </c>
      <c r="Y848" s="89" t="s">
        <v>646</v>
      </c>
      <c r="Z848" s="89" t="s">
        <v>646</v>
      </c>
      <c r="AA848" s="89" t="s">
        <v>646</v>
      </c>
      <c r="AB848" s="89" t="s">
        <v>646</v>
      </c>
      <c r="AC848" s="89" t="s">
        <v>646</v>
      </c>
      <c r="AD848" s="89" t="s">
        <v>646</v>
      </c>
      <c r="AE848" s="89" t="s">
        <v>646</v>
      </c>
      <c r="AF848" s="89" t="s">
        <v>24229</v>
      </c>
      <c r="AG848" s="89" t="s">
        <v>646</v>
      </c>
      <c r="AH848" s="89" t="s">
        <v>646</v>
      </c>
      <c r="AI848" s="89" t="s">
        <v>646</v>
      </c>
      <c r="AJ848" s="89" t="s">
        <v>646</v>
      </c>
      <c r="AK848" s="89" t="s">
        <v>24230</v>
      </c>
      <c r="AL848" s="89" t="s">
        <v>24231</v>
      </c>
      <c r="AM848" s="89" t="s">
        <v>646</v>
      </c>
      <c r="AN848" s="89" t="s">
        <v>646</v>
      </c>
      <c r="AO848" s="89" t="s">
        <v>646</v>
      </c>
      <c r="AP848" s="89" t="s">
        <v>646</v>
      </c>
      <c r="AQ848" s="89" t="s">
        <v>646</v>
      </c>
      <c r="AR848" s="89" t="s">
        <v>646</v>
      </c>
      <c r="AS848" s="89" t="s">
        <v>646</v>
      </c>
      <c r="AT848" s="89" t="s">
        <v>646</v>
      </c>
      <c r="AU848" s="89" t="s">
        <v>646</v>
      </c>
      <c r="AV848" s="89" t="s">
        <v>646</v>
      </c>
      <c r="AW848" s="89" t="s">
        <v>646</v>
      </c>
      <c r="AX848" s="89" t="s">
        <v>646</v>
      </c>
      <c r="AY848" s="89" t="s">
        <v>24232</v>
      </c>
      <c r="AZ848" s="89" t="s">
        <v>24233</v>
      </c>
      <c r="BA848" s="89" t="s">
        <v>646</v>
      </c>
      <c r="BB848" s="89" t="s">
        <v>646</v>
      </c>
      <c r="BC848" s="89" t="s">
        <v>646</v>
      </c>
      <c r="BD848" s="89" t="s">
        <v>18655</v>
      </c>
      <c r="BE848" s="89">
        <v>2016</v>
      </c>
      <c r="BF848" s="89">
        <v>25</v>
      </c>
      <c r="BG848" s="89">
        <v>3</v>
      </c>
      <c r="BH848" s="89" t="s">
        <v>646</v>
      </c>
      <c r="BI848" s="89" t="s">
        <v>646</v>
      </c>
      <c r="BJ848" s="89" t="s">
        <v>646</v>
      </c>
      <c r="BK848" s="89" t="s">
        <v>646</v>
      </c>
      <c r="BL848" s="89" t="s">
        <v>646</v>
      </c>
      <c r="BM848" s="89" t="s">
        <v>646</v>
      </c>
      <c r="BN848" s="89">
        <v>26</v>
      </c>
      <c r="BO848" s="89" t="str">
        <f>HYPERLINK("http://dx.doi.org/10.1145/2955093","http://dx.doi.org/10.1145/2955093")</f>
        <v>http://dx.doi.org/10.1145/2955093</v>
      </c>
      <c r="BP848" s="89" t="s">
        <v>646</v>
      </c>
      <c r="BQ848" s="89" t="s">
        <v>646</v>
      </c>
      <c r="BR848" s="89" t="s">
        <v>646</v>
      </c>
      <c r="BS848" s="89" t="s">
        <v>646</v>
      </c>
      <c r="BT848" s="89" t="s">
        <v>646</v>
      </c>
      <c r="BU848" s="89" t="s">
        <v>646</v>
      </c>
      <c r="BV848" s="89" t="s">
        <v>646</v>
      </c>
      <c r="BW848" s="89" t="s">
        <v>646</v>
      </c>
      <c r="BX848" s="89" t="s">
        <v>646</v>
      </c>
      <c r="BY848" s="89" t="s">
        <v>646</v>
      </c>
      <c r="BZ848" s="89" t="s">
        <v>646</v>
      </c>
      <c r="CA848" s="89" t="s">
        <v>646</v>
      </c>
      <c r="CB848" s="89" t="s">
        <v>24234</v>
      </c>
      <c r="CC848" s="89" t="str">
        <f>HYPERLINK("https%3A%2F%2Fwww.webofscience.com%2Fwos%2Fwoscc%2Ffull-record%2FWOS:000382754000007","View Full Record in Web of Science")</f>
        <v>View Full Record in Web of Science</v>
      </c>
    </row>
    <row r="849" spans="1:81" ht="13.2" hidden="1" x14ac:dyDescent="0.25">
      <c r="A849" s="89" t="s">
        <v>24235</v>
      </c>
      <c r="B849" s="89" t="e">
        <f>+#REF!</f>
        <v>#REF!</v>
      </c>
      <c r="C849" s="89"/>
      <c r="D849" s="91" t="s">
        <v>717</v>
      </c>
      <c r="E849" s="90" t="e">
        <v>#REF!</v>
      </c>
      <c r="F849" s="89"/>
      <c r="G849" s="89"/>
      <c r="H849" s="89" t="s">
        <v>15221</v>
      </c>
      <c r="I849" s="89" t="s">
        <v>24236</v>
      </c>
      <c r="J849" s="89" t="s">
        <v>646</v>
      </c>
      <c r="K849" s="89" t="s">
        <v>15223</v>
      </c>
      <c r="M849" s="89">
        <v>2016</v>
      </c>
      <c r="N849" s="89" t="s">
        <v>24237</v>
      </c>
      <c r="O849" s="89" t="s">
        <v>646</v>
      </c>
      <c r="P849" s="89" t="str">
        <f>HYPERLINK("http://dx.doi.org/10.1145/2858036.2858592","http://dx.doi.org/10.1145/2858036.2858592")</f>
        <v>http://dx.doi.org/10.1145/2858036.2858592</v>
      </c>
      <c r="S849" s="89" t="s">
        <v>19206</v>
      </c>
      <c r="U849" s="89" t="s">
        <v>17474</v>
      </c>
      <c r="W849" s="89" t="s">
        <v>646</v>
      </c>
      <c r="X849" s="89" t="s">
        <v>646</v>
      </c>
      <c r="Y849" s="89" t="s">
        <v>24238</v>
      </c>
      <c r="Z849" s="89" t="s">
        <v>24239</v>
      </c>
      <c r="AA849" s="89" t="s">
        <v>24240</v>
      </c>
      <c r="AB849" s="89" t="s">
        <v>24241</v>
      </c>
      <c r="AC849" s="89" t="s">
        <v>646</v>
      </c>
      <c r="AD849" s="89" t="s">
        <v>646</v>
      </c>
      <c r="AE849" s="89" t="s">
        <v>646</v>
      </c>
      <c r="AF849" s="89" t="s">
        <v>15223</v>
      </c>
      <c r="AG849" s="89" t="s">
        <v>646</v>
      </c>
      <c r="AH849" s="89" t="s">
        <v>646</v>
      </c>
      <c r="AI849" s="89" t="s">
        <v>646</v>
      </c>
      <c r="AJ849" s="89" t="s">
        <v>646</v>
      </c>
      <c r="AK849" s="89" t="s">
        <v>646</v>
      </c>
      <c r="AL849" s="89" t="s">
        <v>24242</v>
      </c>
      <c r="AM849" s="89" t="s">
        <v>646</v>
      </c>
      <c r="AN849" s="89" t="s">
        <v>646</v>
      </c>
      <c r="AO849" s="89" t="s">
        <v>646</v>
      </c>
      <c r="AP849" s="89" t="s">
        <v>646</v>
      </c>
      <c r="AQ849" s="89" t="s">
        <v>646</v>
      </c>
      <c r="AR849" s="89" t="s">
        <v>646</v>
      </c>
      <c r="AS849" s="89" t="s">
        <v>646</v>
      </c>
      <c r="AT849" s="89" t="s">
        <v>646</v>
      </c>
      <c r="AU849" s="89" t="s">
        <v>646</v>
      </c>
      <c r="AV849" s="89" t="s">
        <v>646</v>
      </c>
      <c r="AW849" s="89" t="s">
        <v>646</v>
      </c>
      <c r="AX849" s="89" t="s">
        <v>646</v>
      </c>
      <c r="AY849" s="89" t="s">
        <v>646</v>
      </c>
      <c r="AZ849" s="89" t="s">
        <v>646</v>
      </c>
      <c r="BA849" s="89" t="s">
        <v>24243</v>
      </c>
      <c r="BB849" s="89" t="s">
        <v>646</v>
      </c>
      <c r="BC849" s="89" t="s">
        <v>646</v>
      </c>
      <c r="BD849" s="89" t="s">
        <v>646</v>
      </c>
      <c r="BE849" s="89">
        <v>2016</v>
      </c>
      <c r="BF849" s="89" t="s">
        <v>646</v>
      </c>
      <c r="BG849" s="89" t="s">
        <v>646</v>
      </c>
      <c r="BH849" s="89" t="s">
        <v>646</v>
      </c>
      <c r="BI849" s="89" t="s">
        <v>646</v>
      </c>
      <c r="BJ849" s="89" t="s">
        <v>646</v>
      </c>
      <c r="BK849" s="89" t="s">
        <v>646</v>
      </c>
      <c r="BL849" s="89">
        <v>4573</v>
      </c>
      <c r="BM849" s="89">
        <v>4586</v>
      </c>
      <c r="BN849" s="89" t="s">
        <v>646</v>
      </c>
      <c r="BO849" s="89" t="str">
        <f>HYPERLINK("http://dx.doi.org/10.1145/2858036.2858592","http://dx.doi.org/10.1145/2858036.2858592")</f>
        <v>http://dx.doi.org/10.1145/2858036.2858592</v>
      </c>
      <c r="BP849" s="89" t="s">
        <v>646</v>
      </c>
      <c r="BQ849" s="89" t="s">
        <v>646</v>
      </c>
      <c r="BR849" s="89" t="s">
        <v>646</v>
      </c>
      <c r="BS849" s="89" t="s">
        <v>646</v>
      </c>
      <c r="BT849" s="89" t="s">
        <v>646</v>
      </c>
      <c r="BU849" s="89" t="s">
        <v>646</v>
      </c>
      <c r="BV849" s="89" t="s">
        <v>646</v>
      </c>
      <c r="BW849" s="89" t="s">
        <v>646</v>
      </c>
      <c r="BX849" s="89" t="s">
        <v>646</v>
      </c>
      <c r="BY849" s="89" t="s">
        <v>646</v>
      </c>
      <c r="BZ849" s="89" t="s">
        <v>646</v>
      </c>
      <c r="CA849" s="89" t="s">
        <v>646</v>
      </c>
      <c r="CB849" s="89" t="s">
        <v>24244</v>
      </c>
      <c r="CC849" s="89" t="str">
        <f>HYPERLINK("https%3A%2F%2Fwww.webofscience.com%2Fwos%2Fwoscc%2Ffull-record%2FWOS:000380532904053","View Full Record in Web of Science")</f>
        <v>View Full Record in Web of Science</v>
      </c>
    </row>
    <row r="850" spans="1:81" ht="13.2" hidden="1" x14ac:dyDescent="0.25">
      <c r="A850" s="89" t="s">
        <v>15228</v>
      </c>
      <c r="B850" s="89" t="e">
        <f>+#REF!</f>
        <v>#REF!</v>
      </c>
      <c r="C850" s="89"/>
      <c r="D850" s="91" t="s">
        <v>717</v>
      </c>
      <c r="E850" s="90" t="e">
        <v>#REF!</v>
      </c>
      <c r="F850" s="89"/>
      <c r="G850" s="89"/>
      <c r="H850" s="89" t="s">
        <v>15229</v>
      </c>
      <c r="I850" s="89" t="s">
        <v>24245</v>
      </c>
      <c r="J850" s="89" t="s">
        <v>646</v>
      </c>
      <c r="K850" s="89" t="s">
        <v>24247</v>
      </c>
      <c r="M850" s="89">
        <v>2019</v>
      </c>
      <c r="N850" s="89" t="s">
        <v>24246</v>
      </c>
      <c r="O850" s="89" t="s">
        <v>646</v>
      </c>
      <c r="P850" s="89" t="str">
        <f>HYPERLINK("http://dx.doi.org/10.1007/s10458-019-09402-4","http://dx.doi.org/10.1007/s10458-019-09402-4")</f>
        <v>http://dx.doi.org/10.1007/s10458-019-09402-4</v>
      </c>
      <c r="S850" s="89" t="s">
        <v>646</v>
      </c>
      <c r="U850" s="89" t="s">
        <v>17462</v>
      </c>
      <c r="W850" s="89" t="s">
        <v>646</v>
      </c>
      <c r="X850" s="89" t="s">
        <v>646</v>
      </c>
      <c r="Y850" s="89" t="s">
        <v>646</v>
      </c>
      <c r="Z850" s="89" t="s">
        <v>646</v>
      </c>
      <c r="AA850" s="89" t="s">
        <v>646</v>
      </c>
      <c r="AB850" s="89" t="s">
        <v>646</v>
      </c>
      <c r="AC850" s="89" t="s">
        <v>646</v>
      </c>
      <c r="AD850" s="89" t="s">
        <v>646</v>
      </c>
      <c r="AE850" s="89" t="s">
        <v>646</v>
      </c>
      <c r="AF850" s="89" t="s">
        <v>24247</v>
      </c>
      <c r="AG850" s="89" t="s">
        <v>646</v>
      </c>
      <c r="AH850" s="89" t="s">
        <v>646</v>
      </c>
      <c r="AI850" s="89" t="s">
        <v>646</v>
      </c>
      <c r="AJ850" s="89" t="s">
        <v>646</v>
      </c>
      <c r="AK850" s="89" t="s">
        <v>646</v>
      </c>
      <c r="AL850" s="89" t="s">
        <v>646</v>
      </c>
      <c r="AM850" s="89" t="s">
        <v>646</v>
      </c>
      <c r="AN850" s="89" t="s">
        <v>646</v>
      </c>
      <c r="AO850" s="89" t="s">
        <v>646</v>
      </c>
      <c r="AP850" s="89" t="s">
        <v>646</v>
      </c>
      <c r="AQ850" s="89" t="s">
        <v>646</v>
      </c>
      <c r="AR850" s="89" t="s">
        <v>646</v>
      </c>
      <c r="AS850" s="89" t="s">
        <v>646</v>
      </c>
      <c r="AT850" s="89" t="s">
        <v>646</v>
      </c>
      <c r="AU850" s="89" t="s">
        <v>646</v>
      </c>
      <c r="AV850" s="89" t="s">
        <v>646</v>
      </c>
      <c r="AW850" s="89" t="s">
        <v>646</v>
      </c>
      <c r="AX850" s="89" t="s">
        <v>646</v>
      </c>
      <c r="AY850" s="89" t="s">
        <v>24248</v>
      </c>
      <c r="AZ850" s="89" t="s">
        <v>24249</v>
      </c>
      <c r="BA850" s="89" t="s">
        <v>646</v>
      </c>
      <c r="BB850" s="89" t="s">
        <v>646</v>
      </c>
      <c r="BC850" s="89" t="s">
        <v>646</v>
      </c>
      <c r="BD850" s="89" t="s">
        <v>17779</v>
      </c>
      <c r="BE850" s="89">
        <v>2019</v>
      </c>
      <c r="BF850" s="89">
        <v>33</v>
      </c>
      <c r="BG850" s="89" t="s">
        <v>21025</v>
      </c>
      <c r="BH850" s="89" t="s">
        <v>646</v>
      </c>
      <c r="BI850" s="89" t="s">
        <v>646</v>
      </c>
      <c r="BJ850" s="89" t="s">
        <v>646</v>
      </c>
      <c r="BK850" s="89" t="s">
        <v>646</v>
      </c>
      <c r="BL850" s="89">
        <v>192</v>
      </c>
      <c r="BM850" s="89">
        <v>215</v>
      </c>
      <c r="BN850" s="89" t="s">
        <v>646</v>
      </c>
      <c r="BO850" s="89" t="str">
        <f>HYPERLINK("http://dx.doi.org/10.1007/s10458-019-09402-4","http://dx.doi.org/10.1007/s10458-019-09402-4")</f>
        <v>http://dx.doi.org/10.1007/s10458-019-09402-4</v>
      </c>
      <c r="BP850" s="89" t="s">
        <v>646</v>
      </c>
      <c r="BQ850" s="89" t="s">
        <v>646</v>
      </c>
      <c r="BR850" s="89" t="s">
        <v>646</v>
      </c>
      <c r="BS850" s="89" t="s">
        <v>646</v>
      </c>
      <c r="BT850" s="89" t="s">
        <v>646</v>
      </c>
      <c r="BU850" s="89" t="s">
        <v>646</v>
      </c>
      <c r="BV850" s="89" t="s">
        <v>646</v>
      </c>
      <c r="BW850" s="89" t="s">
        <v>646</v>
      </c>
      <c r="BX850" s="89" t="s">
        <v>646</v>
      </c>
      <c r="BY850" s="89" t="s">
        <v>646</v>
      </c>
      <c r="BZ850" s="89" t="s">
        <v>646</v>
      </c>
      <c r="CA850" s="89" t="s">
        <v>646</v>
      </c>
      <c r="CB850" s="89" t="s">
        <v>24250</v>
      </c>
      <c r="CC850" s="89" t="str">
        <f>HYPERLINK("https%3A%2F%2Fwww.webofscience.com%2Fwos%2Fwoscc%2Ffull-record%2FWOS:000461140300006","View Full Record in Web of Science")</f>
        <v>View Full Record in Web of Science</v>
      </c>
    </row>
    <row r="851" spans="1:81" ht="13.2" hidden="1" x14ac:dyDescent="0.25">
      <c r="A851" s="89" t="s">
        <v>24251</v>
      </c>
      <c r="B851" s="89" t="e">
        <f>+#REF!</f>
        <v>#REF!</v>
      </c>
      <c r="C851" s="89"/>
      <c r="D851" s="91" t="s">
        <v>717</v>
      </c>
      <c r="E851" s="90" t="e">
        <v>#REF!</v>
      </c>
      <c r="F851" s="89"/>
      <c r="G851" s="89"/>
      <c r="H851" s="89" t="s">
        <v>15239</v>
      </c>
      <c r="I851" s="89" t="s">
        <v>19554</v>
      </c>
      <c r="J851" s="89" t="s">
        <v>19560</v>
      </c>
      <c r="K851" s="89" t="s">
        <v>24254</v>
      </c>
      <c r="M851" s="89">
        <v>2008</v>
      </c>
      <c r="N851" s="89" t="s">
        <v>24253</v>
      </c>
      <c r="O851" s="89" t="s">
        <v>24252</v>
      </c>
      <c r="P851" s="89" t="str">
        <f>HYPERLINK("http://dx.doi.org/10.1109/COGINF.2008.4639165","http://dx.doi.org/10.1109/COGINF.2008.4639165")</f>
        <v>http://dx.doi.org/10.1109/COGINF.2008.4639165</v>
      </c>
      <c r="S851" s="89" t="s">
        <v>646</v>
      </c>
      <c r="U851" s="89" t="s">
        <v>17474</v>
      </c>
      <c r="W851" s="89" t="s">
        <v>646</v>
      </c>
      <c r="X851" s="89" t="s">
        <v>646</v>
      </c>
      <c r="Y851" s="89" t="s">
        <v>19619</v>
      </c>
      <c r="Z851" s="89" t="s">
        <v>19620</v>
      </c>
      <c r="AA851" s="89" t="s">
        <v>19621</v>
      </c>
      <c r="AB851" s="89" t="s">
        <v>19622</v>
      </c>
      <c r="AC851" s="89" t="s">
        <v>19623</v>
      </c>
      <c r="AD851" s="89" t="s">
        <v>646</v>
      </c>
      <c r="AE851" s="89" t="s">
        <v>646</v>
      </c>
      <c r="AF851" s="89" t="s">
        <v>24254</v>
      </c>
      <c r="AG851" s="89" t="s">
        <v>646</v>
      </c>
      <c r="AH851" s="89" t="s">
        <v>646</v>
      </c>
      <c r="AI851" s="89" t="s">
        <v>646</v>
      </c>
      <c r="AJ851" s="89" t="s">
        <v>646</v>
      </c>
      <c r="AK851" s="89" t="s">
        <v>19560</v>
      </c>
      <c r="AL851" s="89" t="s">
        <v>19561</v>
      </c>
      <c r="AM851" s="89" t="s">
        <v>646</v>
      </c>
      <c r="AN851" s="89" t="s">
        <v>646</v>
      </c>
      <c r="AO851" s="89" t="s">
        <v>646</v>
      </c>
      <c r="AP851" s="89" t="s">
        <v>646</v>
      </c>
      <c r="AQ851" s="89" t="s">
        <v>646</v>
      </c>
      <c r="AR851" s="89" t="s">
        <v>646</v>
      </c>
      <c r="AS851" s="89" t="s">
        <v>646</v>
      </c>
      <c r="AT851" s="89" t="s">
        <v>646</v>
      </c>
      <c r="AU851" s="89" t="s">
        <v>646</v>
      </c>
      <c r="AV851" s="89" t="s">
        <v>646</v>
      </c>
      <c r="AW851" s="89" t="s">
        <v>646</v>
      </c>
      <c r="AX851" s="89" t="s">
        <v>646</v>
      </c>
      <c r="AY851" s="89" t="s">
        <v>646</v>
      </c>
      <c r="AZ851" s="89" t="s">
        <v>646</v>
      </c>
      <c r="BA851" s="89" t="s">
        <v>24255</v>
      </c>
      <c r="BB851" s="89" t="s">
        <v>646</v>
      </c>
      <c r="BC851" s="89" t="s">
        <v>646</v>
      </c>
      <c r="BD851" s="89" t="s">
        <v>646</v>
      </c>
      <c r="BE851" s="89">
        <v>2008</v>
      </c>
      <c r="BF851" s="89" t="s">
        <v>646</v>
      </c>
      <c r="BG851" s="89" t="s">
        <v>646</v>
      </c>
      <c r="BH851" s="89" t="s">
        <v>646</v>
      </c>
      <c r="BI851" s="89" t="s">
        <v>646</v>
      </c>
      <c r="BJ851" s="89" t="s">
        <v>646</v>
      </c>
      <c r="BK851" s="89" t="s">
        <v>646</v>
      </c>
      <c r="BL851" s="89">
        <v>168</v>
      </c>
      <c r="BM851" s="89" t="s">
        <v>18405</v>
      </c>
      <c r="BN851" s="89" t="s">
        <v>646</v>
      </c>
      <c r="BO851" s="89" t="str">
        <f>HYPERLINK("http://dx.doi.org/10.1109/COGINF.2008.4639165","http://dx.doi.org/10.1109/COGINF.2008.4639165")</f>
        <v>http://dx.doi.org/10.1109/COGINF.2008.4639165</v>
      </c>
      <c r="BP851" s="89" t="s">
        <v>646</v>
      </c>
      <c r="BQ851" s="89" t="s">
        <v>646</v>
      </c>
      <c r="BR851" s="89" t="s">
        <v>646</v>
      </c>
      <c r="BS851" s="89" t="s">
        <v>646</v>
      </c>
      <c r="BT851" s="89" t="s">
        <v>646</v>
      </c>
      <c r="BU851" s="89" t="s">
        <v>646</v>
      </c>
      <c r="BV851" s="89" t="s">
        <v>646</v>
      </c>
      <c r="BW851" s="89" t="s">
        <v>646</v>
      </c>
      <c r="BX851" s="89" t="s">
        <v>646</v>
      </c>
      <c r="BY851" s="89" t="s">
        <v>646</v>
      </c>
      <c r="BZ851" s="89" t="s">
        <v>646</v>
      </c>
      <c r="CA851" s="89" t="s">
        <v>646</v>
      </c>
      <c r="CB851" s="89" t="s">
        <v>24256</v>
      </c>
      <c r="CC851" s="89" t="str">
        <f>HYPERLINK("https%3A%2F%2Fwww.webofscience.com%2Fwos%2Fwoscc%2Ffull-record%2FWOS:000260491700020","View Full Record in Web of Science")</f>
        <v>View Full Record in Web of Science</v>
      </c>
    </row>
    <row r="852" spans="1:81" ht="13.2" hidden="1" x14ac:dyDescent="0.25">
      <c r="A852" s="89" t="s">
        <v>10322</v>
      </c>
      <c r="B852" s="89" t="e">
        <f>+#REF!</f>
        <v>#REF!</v>
      </c>
      <c r="C852" s="89"/>
      <c r="D852" s="91" t="s">
        <v>717</v>
      </c>
      <c r="E852" s="90" t="e">
        <v>#REF!</v>
      </c>
      <c r="F852" s="89"/>
      <c r="G852" s="89"/>
      <c r="H852" s="89" t="s">
        <v>10323</v>
      </c>
      <c r="I852" s="89" t="s">
        <v>24257</v>
      </c>
      <c r="J852" s="89" t="s">
        <v>24259</v>
      </c>
      <c r="K852" s="89" t="s">
        <v>24258</v>
      </c>
      <c r="M852" s="89">
        <v>2022</v>
      </c>
      <c r="N852" s="89" t="s">
        <v>20340</v>
      </c>
      <c r="O852" s="89" t="s">
        <v>646</v>
      </c>
      <c r="P852" s="89" t="str">
        <f>HYPERLINK("http://dx.doi.org/10.1016/j.neucom.2021.10.085","http://dx.doi.org/10.1016/j.neucom.2021.10.085")</f>
        <v>http://dx.doi.org/10.1016/j.neucom.2021.10.085</v>
      </c>
      <c r="S852" s="89" t="s">
        <v>646</v>
      </c>
      <c r="U852" s="89" t="s">
        <v>17462</v>
      </c>
      <c r="W852" s="89" t="s">
        <v>646</v>
      </c>
      <c r="X852" s="89" t="s">
        <v>646</v>
      </c>
      <c r="Y852" s="89" t="s">
        <v>646</v>
      </c>
      <c r="Z852" s="89" t="s">
        <v>646</v>
      </c>
      <c r="AA852" s="89" t="s">
        <v>646</v>
      </c>
      <c r="AB852" s="89" t="s">
        <v>646</v>
      </c>
      <c r="AC852" s="89" t="s">
        <v>646</v>
      </c>
      <c r="AD852" s="89" t="s">
        <v>646</v>
      </c>
      <c r="AE852" s="89" t="s">
        <v>646</v>
      </c>
      <c r="AF852" s="89" t="s">
        <v>24258</v>
      </c>
      <c r="AG852" s="89" t="s">
        <v>646</v>
      </c>
      <c r="AH852" s="89" t="s">
        <v>646</v>
      </c>
      <c r="AI852" s="89" t="s">
        <v>646</v>
      </c>
      <c r="AJ852" s="89" t="s">
        <v>646</v>
      </c>
      <c r="AK852" s="89" t="s">
        <v>24259</v>
      </c>
      <c r="AL852" s="89" t="s">
        <v>24260</v>
      </c>
      <c r="AM852" s="89" t="s">
        <v>646</v>
      </c>
      <c r="AN852" s="89" t="s">
        <v>646</v>
      </c>
      <c r="AO852" s="89" t="s">
        <v>646</v>
      </c>
      <c r="AP852" s="89" t="s">
        <v>646</v>
      </c>
      <c r="AQ852" s="89" t="s">
        <v>646</v>
      </c>
      <c r="AR852" s="89" t="s">
        <v>646</v>
      </c>
      <c r="AS852" s="89" t="s">
        <v>646</v>
      </c>
      <c r="AT852" s="89" t="s">
        <v>646</v>
      </c>
      <c r="AU852" s="89" t="s">
        <v>646</v>
      </c>
      <c r="AV852" s="89" t="s">
        <v>646</v>
      </c>
      <c r="AW852" s="89" t="s">
        <v>646</v>
      </c>
      <c r="AX852" s="89" t="s">
        <v>646</v>
      </c>
      <c r="AY852" s="89" t="s">
        <v>20343</v>
      </c>
      <c r="AZ852" s="89" t="s">
        <v>20344</v>
      </c>
      <c r="BA852" s="89" t="s">
        <v>646</v>
      </c>
      <c r="BB852" s="89" t="s">
        <v>646</v>
      </c>
      <c r="BC852" s="89" t="s">
        <v>646</v>
      </c>
      <c r="BD852" s="89" t="s">
        <v>24261</v>
      </c>
      <c r="BE852" s="89">
        <v>2022</v>
      </c>
      <c r="BF852" s="89">
        <v>483</v>
      </c>
      <c r="BG852" s="89" t="s">
        <v>646</v>
      </c>
      <c r="BH852" s="89" t="s">
        <v>646</v>
      </c>
      <c r="BI852" s="89" t="s">
        <v>646</v>
      </c>
      <c r="BJ852" s="89" t="s">
        <v>646</v>
      </c>
      <c r="BK852" s="89" t="s">
        <v>646</v>
      </c>
      <c r="BL852" s="89">
        <v>386</v>
      </c>
      <c r="BM852" s="89">
        <v>397</v>
      </c>
      <c r="BN852" s="89" t="s">
        <v>646</v>
      </c>
      <c r="BO852" s="89" t="str">
        <f>HYPERLINK("http://dx.doi.org/10.1016/j.neucom.2021.10.085","http://dx.doi.org/10.1016/j.neucom.2021.10.085")</f>
        <v>http://dx.doi.org/10.1016/j.neucom.2021.10.085</v>
      </c>
      <c r="BP852" s="89" t="s">
        <v>646</v>
      </c>
      <c r="BQ852" s="89" t="s">
        <v>646</v>
      </c>
      <c r="BR852" s="89" t="s">
        <v>646</v>
      </c>
      <c r="BS852" s="89" t="s">
        <v>646</v>
      </c>
      <c r="BT852" s="89" t="s">
        <v>646</v>
      </c>
      <c r="BU852" s="89" t="s">
        <v>646</v>
      </c>
      <c r="BV852" s="89" t="s">
        <v>646</v>
      </c>
      <c r="BW852" s="89" t="s">
        <v>646</v>
      </c>
      <c r="BX852" s="89" t="s">
        <v>646</v>
      </c>
      <c r="BY852" s="89" t="s">
        <v>646</v>
      </c>
      <c r="BZ852" s="89" t="s">
        <v>646</v>
      </c>
      <c r="CA852" s="89" t="s">
        <v>646</v>
      </c>
      <c r="CB852" s="89" t="s">
        <v>24262</v>
      </c>
      <c r="CC852" s="89" t="str">
        <f>HYPERLINK("https%3A%2F%2Fwww.webofscience.com%2Fwos%2Fwoscc%2Ffull-record%2FWOS:000776152200003","View Full Record in Web of Science")</f>
        <v>View Full Record in Web of Science</v>
      </c>
    </row>
    <row r="853" spans="1:81" ht="13.2" hidden="1" x14ac:dyDescent="0.25">
      <c r="A853" s="89" t="s">
        <v>24263</v>
      </c>
      <c r="B853" s="89" t="e">
        <f>+#REF!</f>
        <v>#REF!</v>
      </c>
      <c r="C853" s="89"/>
      <c r="D853" s="91" t="s">
        <v>717</v>
      </c>
      <c r="E853" s="90" t="e">
        <v>#REF!</v>
      </c>
      <c r="F853" s="89"/>
      <c r="G853" s="89"/>
      <c r="H853" s="89" t="s">
        <v>10333</v>
      </c>
      <c r="I853" s="89" t="s">
        <v>24264</v>
      </c>
      <c r="J853" s="89" t="s">
        <v>646</v>
      </c>
      <c r="K853" s="89" t="s">
        <v>24266</v>
      </c>
      <c r="M853" s="89">
        <v>2021</v>
      </c>
      <c r="N853" s="89" t="s">
        <v>24265</v>
      </c>
      <c r="O853" s="89" t="s">
        <v>646</v>
      </c>
      <c r="P853" s="89" t="str">
        <f>HYPERLINK("http://dx.doi.org/10.1037/adb0000687","http://dx.doi.org/10.1037/adb0000687")</f>
        <v>http://dx.doi.org/10.1037/adb0000687</v>
      </c>
      <c r="S853" s="89" t="s">
        <v>646</v>
      </c>
      <c r="U853" s="89" t="s">
        <v>17462</v>
      </c>
      <c r="W853" s="89" t="s">
        <v>646</v>
      </c>
      <c r="X853" s="89" t="s">
        <v>646</v>
      </c>
      <c r="Y853" s="89" t="s">
        <v>646</v>
      </c>
      <c r="Z853" s="89" t="s">
        <v>646</v>
      </c>
      <c r="AA853" s="89" t="s">
        <v>646</v>
      </c>
      <c r="AB853" s="89" t="s">
        <v>646</v>
      </c>
      <c r="AC853" s="89" t="s">
        <v>646</v>
      </c>
      <c r="AD853" s="89" t="s">
        <v>646</v>
      </c>
      <c r="AE853" s="89" t="s">
        <v>646</v>
      </c>
      <c r="AF853" s="89" t="s">
        <v>24266</v>
      </c>
      <c r="AG853" s="89" t="s">
        <v>646</v>
      </c>
      <c r="AH853" s="89" t="s">
        <v>646</v>
      </c>
      <c r="AI853" s="89" t="s">
        <v>646</v>
      </c>
      <c r="AJ853" s="89" t="s">
        <v>646</v>
      </c>
      <c r="AK853" s="89" t="s">
        <v>646</v>
      </c>
      <c r="AL853" s="89" t="s">
        <v>24267</v>
      </c>
      <c r="AM853" s="89" t="s">
        <v>646</v>
      </c>
      <c r="AN853" s="89" t="s">
        <v>646</v>
      </c>
      <c r="AO853" s="89" t="s">
        <v>646</v>
      </c>
      <c r="AP853" s="89" t="s">
        <v>646</v>
      </c>
      <c r="AQ853" s="89" t="s">
        <v>646</v>
      </c>
      <c r="AR853" s="89" t="s">
        <v>646</v>
      </c>
      <c r="AS853" s="89" t="s">
        <v>646</v>
      </c>
      <c r="AT853" s="89" t="s">
        <v>646</v>
      </c>
      <c r="AU853" s="89" t="s">
        <v>646</v>
      </c>
      <c r="AV853" s="89" t="s">
        <v>646</v>
      </c>
      <c r="AW853" s="89" t="s">
        <v>646</v>
      </c>
      <c r="AX853" s="89" t="s">
        <v>646</v>
      </c>
      <c r="AY853" s="89" t="s">
        <v>24268</v>
      </c>
      <c r="AZ853" s="89" t="s">
        <v>24269</v>
      </c>
      <c r="BA853" s="89" t="s">
        <v>646</v>
      </c>
      <c r="BB853" s="89" t="s">
        <v>646</v>
      </c>
      <c r="BC853" s="89" t="s">
        <v>646</v>
      </c>
      <c r="BD853" s="89" t="s">
        <v>17615</v>
      </c>
      <c r="BE853" s="89">
        <v>2021</v>
      </c>
      <c r="BF853" s="89">
        <v>35</v>
      </c>
      <c r="BG853" s="89">
        <v>8</v>
      </c>
      <c r="BH853" s="89" t="s">
        <v>646</v>
      </c>
      <c r="BI853" s="89" t="s">
        <v>646</v>
      </c>
      <c r="BJ853" s="89" t="s">
        <v>646</v>
      </c>
      <c r="BK853" s="89" t="s">
        <v>646</v>
      </c>
      <c r="BL853" s="89">
        <v>914</v>
      </c>
      <c r="BM853" s="89">
        <v>920</v>
      </c>
      <c r="BN853" s="89" t="s">
        <v>646</v>
      </c>
      <c r="BO853" s="89" t="str">
        <f>HYPERLINK("http://dx.doi.org/10.1037/adb0000687","http://dx.doi.org/10.1037/adb0000687")</f>
        <v>http://dx.doi.org/10.1037/adb0000687</v>
      </c>
      <c r="BP853" s="89" t="s">
        <v>646</v>
      </c>
      <c r="BQ853" s="89" t="s">
        <v>646</v>
      </c>
      <c r="BR853" s="89" t="s">
        <v>646</v>
      </c>
      <c r="BS853" s="89" t="s">
        <v>646</v>
      </c>
      <c r="BT853" s="89" t="s">
        <v>646</v>
      </c>
      <c r="BU853" s="89" t="s">
        <v>646</v>
      </c>
      <c r="BV853" s="89" t="s">
        <v>646</v>
      </c>
      <c r="BW853" s="89">
        <v>33570974</v>
      </c>
      <c r="BX853" s="89" t="s">
        <v>646</v>
      </c>
      <c r="BY853" s="89" t="s">
        <v>646</v>
      </c>
      <c r="BZ853" s="89" t="s">
        <v>646</v>
      </c>
      <c r="CA853" s="89" t="s">
        <v>646</v>
      </c>
      <c r="CB853" s="89" t="s">
        <v>24270</v>
      </c>
      <c r="CC853" s="89" t="str">
        <f>HYPERLINK("https%3A%2F%2Fwww.webofscience.com%2Fwos%2Fwoscc%2Ffull-record%2FWOS:000728148000009","View Full Record in Web of Science")</f>
        <v>View Full Record in Web of Science</v>
      </c>
    </row>
    <row r="854" spans="1:81" ht="13.2" hidden="1" x14ac:dyDescent="0.25">
      <c r="A854" s="89" t="s">
        <v>24271</v>
      </c>
      <c r="B854" s="89" t="e">
        <f>+#REF!</f>
        <v>#REF!</v>
      </c>
      <c r="C854" s="89"/>
      <c r="D854" s="91" t="s">
        <v>717</v>
      </c>
      <c r="E854" s="90" t="e">
        <v>#REF!</v>
      </c>
      <c r="F854" s="89"/>
      <c r="G854" s="89"/>
      <c r="H854" s="89" t="s">
        <v>10342</v>
      </c>
      <c r="I854" s="89" t="s">
        <v>24272</v>
      </c>
      <c r="J854" s="89" t="s">
        <v>24275</v>
      </c>
      <c r="K854" s="89" t="s">
        <v>24274</v>
      </c>
      <c r="M854" s="89">
        <v>2017</v>
      </c>
      <c r="N854" s="89" t="s">
        <v>24273</v>
      </c>
      <c r="O854" s="89" t="s">
        <v>646</v>
      </c>
      <c r="P854" s="89" t="str">
        <f>HYPERLINK("http://dx.doi.org/10.2196/resprot.7565","http://dx.doi.org/10.2196/resprot.7565")</f>
        <v>http://dx.doi.org/10.2196/resprot.7565</v>
      </c>
      <c r="S854" s="89" t="s">
        <v>646</v>
      </c>
      <c r="U854" s="89" t="s">
        <v>17462</v>
      </c>
      <c r="W854" s="89" t="s">
        <v>646</v>
      </c>
      <c r="X854" s="89" t="s">
        <v>646</v>
      </c>
      <c r="Y854" s="89" t="s">
        <v>646</v>
      </c>
      <c r="Z854" s="89" t="s">
        <v>646</v>
      </c>
      <c r="AA854" s="89" t="s">
        <v>646</v>
      </c>
      <c r="AB854" s="89" t="s">
        <v>646</v>
      </c>
      <c r="AC854" s="89" t="s">
        <v>646</v>
      </c>
      <c r="AD854" s="89" t="s">
        <v>646</v>
      </c>
      <c r="AE854" s="89" t="s">
        <v>646</v>
      </c>
      <c r="AF854" s="89" t="s">
        <v>24274</v>
      </c>
      <c r="AG854" s="89" t="s">
        <v>646</v>
      </c>
      <c r="AH854" s="89" t="s">
        <v>646</v>
      </c>
      <c r="AI854" s="89" t="s">
        <v>646</v>
      </c>
      <c r="AJ854" s="89" t="s">
        <v>646</v>
      </c>
      <c r="AK854" s="89" t="s">
        <v>24275</v>
      </c>
      <c r="AL854" s="89" t="s">
        <v>24276</v>
      </c>
      <c r="AM854" s="89" t="s">
        <v>646</v>
      </c>
      <c r="AN854" s="89" t="s">
        <v>646</v>
      </c>
      <c r="AO854" s="89" t="s">
        <v>646</v>
      </c>
      <c r="AP854" s="89" t="s">
        <v>646</v>
      </c>
      <c r="AQ854" s="89" t="s">
        <v>646</v>
      </c>
      <c r="AR854" s="89" t="s">
        <v>646</v>
      </c>
      <c r="AS854" s="89" t="s">
        <v>646</v>
      </c>
      <c r="AT854" s="89" t="s">
        <v>646</v>
      </c>
      <c r="AU854" s="89" t="s">
        <v>646</v>
      </c>
      <c r="AV854" s="89" t="s">
        <v>646</v>
      </c>
      <c r="AW854" s="89" t="s">
        <v>646</v>
      </c>
      <c r="AX854" s="89" t="s">
        <v>646</v>
      </c>
      <c r="AY854" s="89" t="s">
        <v>24277</v>
      </c>
      <c r="AZ854" s="89" t="s">
        <v>646</v>
      </c>
      <c r="BA854" s="89" t="s">
        <v>646</v>
      </c>
      <c r="BB854" s="89" t="s">
        <v>646</v>
      </c>
      <c r="BC854" s="89" t="s">
        <v>646</v>
      </c>
      <c r="BD854" s="89" t="s">
        <v>17739</v>
      </c>
      <c r="BE854" s="89">
        <v>2017</v>
      </c>
      <c r="BF854" s="89">
        <v>6</v>
      </c>
      <c r="BG854" s="89">
        <v>9</v>
      </c>
      <c r="BH854" s="89" t="s">
        <v>646</v>
      </c>
      <c r="BI854" s="89" t="s">
        <v>646</v>
      </c>
      <c r="BJ854" s="89" t="s">
        <v>646</v>
      </c>
      <c r="BK854" s="89" t="s">
        <v>646</v>
      </c>
      <c r="BL854" s="89" t="s">
        <v>646</v>
      </c>
      <c r="BM854" s="89" t="s">
        <v>646</v>
      </c>
      <c r="BN854" s="89" t="s">
        <v>24278</v>
      </c>
      <c r="BO854" s="89" t="str">
        <f>HYPERLINK("http://dx.doi.org/10.2196/resprot.7565","http://dx.doi.org/10.2196/resprot.7565")</f>
        <v>http://dx.doi.org/10.2196/resprot.7565</v>
      </c>
      <c r="BP854" s="89" t="s">
        <v>646</v>
      </c>
      <c r="BQ854" s="89" t="s">
        <v>646</v>
      </c>
      <c r="BR854" s="89" t="s">
        <v>646</v>
      </c>
      <c r="BS854" s="89" t="s">
        <v>646</v>
      </c>
      <c r="BT854" s="89" t="s">
        <v>646</v>
      </c>
      <c r="BU854" s="89" t="s">
        <v>646</v>
      </c>
      <c r="BV854" s="89" t="s">
        <v>646</v>
      </c>
      <c r="BW854" s="89">
        <v>28882810</v>
      </c>
      <c r="BX854" s="89" t="s">
        <v>646</v>
      </c>
      <c r="BY854" s="89" t="s">
        <v>646</v>
      </c>
      <c r="BZ854" s="89" t="s">
        <v>646</v>
      </c>
      <c r="CA854" s="89" t="s">
        <v>646</v>
      </c>
      <c r="CB854" s="89" t="s">
        <v>24279</v>
      </c>
      <c r="CC854" s="89" t="str">
        <f>HYPERLINK("https%3A%2F%2Fwww.webofscience.com%2Fwos%2Fwoscc%2Ffull-record%2FWOS:000415605000009","View Full Record in Web of Science")</f>
        <v>View Full Record in Web of Science</v>
      </c>
    </row>
    <row r="855" spans="1:81" ht="13.2" hidden="1" x14ac:dyDescent="0.25">
      <c r="A855" s="89" t="s">
        <v>10350</v>
      </c>
      <c r="B855" s="89" t="e">
        <f>+#REF!</f>
        <v>#REF!</v>
      </c>
      <c r="C855" s="89"/>
      <c r="D855" s="91" t="s">
        <v>717</v>
      </c>
      <c r="E855" s="90" t="e">
        <v>#REF!</v>
      </c>
      <c r="F855" s="89"/>
      <c r="G855" s="89"/>
      <c r="H855" s="89" t="s">
        <v>10351</v>
      </c>
      <c r="I855" s="89" t="s">
        <v>24280</v>
      </c>
      <c r="J855" s="89" t="s">
        <v>646</v>
      </c>
      <c r="K855" s="89" t="s">
        <v>24281</v>
      </c>
      <c r="M855" s="89">
        <v>2021</v>
      </c>
      <c r="N855" s="89" t="s">
        <v>19788</v>
      </c>
      <c r="O855" s="89" t="s">
        <v>646</v>
      </c>
      <c r="P855" s="89" t="str">
        <f>HYPERLINK("http://dx.doi.org/10.3389/fpsyt.2020.571954","http://dx.doi.org/10.3389/fpsyt.2020.571954")</f>
        <v>http://dx.doi.org/10.3389/fpsyt.2020.571954</v>
      </c>
      <c r="S855" s="89" t="s">
        <v>646</v>
      </c>
      <c r="U855" s="89" t="s">
        <v>17462</v>
      </c>
      <c r="W855" s="89" t="s">
        <v>646</v>
      </c>
      <c r="X855" s="89" t="s">
        <v>646</v>
      </c>
      <c r="Y855" s="89" t="s">
        <v>646</v>
      </c>
      <c r="Z855" s="89" t="s">
        <v>646</v>
      </c>
      <c r="AA855" s="89" t="s">
        <v>646</v>
      </c>
      <c r="AB855" s="89" t="s">
        <v>646</v>
      </c>
      <c r="AC855" s="89" t="s">
        <v>646</v>
      </c>
      <c r="AD855" s="89" t="s">
        <v>646</v>
      </c>
      <c r="AE855" s="89" t="s">
        <v>646</v>
      </c>
      <c r="AF855" s="89" t="s">
        <v>24281</v>
      </c>
      <c r="AG855" s="89" t="s">
        <v>646</v>
      </c>
      <c r="AH855" s="89" t="s">
        <v>646</v>
      </c>
      <c r="AI855" s="89" t="s">
        <v>646</v>
      </c>
      <c r="AJ855" s="89" t="s">
        <v>646</v>
      </c>
      <c r="AK855" s="89" t="s">
        <v>646</v>
      </c>
      <c r="AL855" s="89" t="s">
        <v>646</v>
      </c>
      <c r="AM855" s="89" t="s">
        <v>646</v>
      </c>
      <c r="AN855" s="89" t="s">
        <v>646</v>
      </c>
      <c r="AO855" s="89" t="s">
        <v>646</v>
      </c>
      <c r="AP855" s="89" t="s">
        <v>646</v>
      </c>
      <c r="AQ855" s="89" t="s">
        <v>646</v>
      </c>
      <c r="AR855" s="89" t="s">
        <v>646</v>
      </c>
      <c r="AS855" s="89" t="s">
        <v>646</v>
      </c>
      <c r="AT855" s="89" t="s">
        <v>646</v>
      </c>
      <c r="AU855" s="89" t="s">
        <v>646</v>
      </c>
      <c r="AV855" s="89" t="s">
        <v>646</v>
      </c>
      <c r="AW855" s="89" t="s">
        <v>646</v>
      </c>
      <c r="AX855" s="89" t="s">
        <v>646</v>
      </c>
      <c r="AY855" s="89" t="s">
        <v>19791</v>
      </c>
      <c r="AZ855" s="89" t="s">
        <v>646</v>
      </c>
      <c r="BA855" s="89" t="s">
        <v>646</v>
      </c>
      <c r="BB855" s="89" t="s">
        <v>646</v>
      </c>
      <c r="BC855" s="89" t="s">
        <v>646</v>
      </c>
      <c r="BD855" s="89" t="s">
        <v>20657</v>
      </c>
      <c r="BE855" s="89">
        <v>2021</v>
      </c>
      <c r="BF855" s="89">
        <v>11</v>
      </c>
      <c r="BG855" s="89" t="s">
        <v>646</v>
      </c>
      <c r="BH855" s="89" t="s">
        <v>646</v>
      </c>
      <c r="BI855" s="89" t="s">
        <v>646</v>
      </c>
      <c r="BJ855" s="89" t="s">
        <v>646</v>
      </c>
      <c r="BK855" s="89" t="s">
        <v>646</v>
      </c>
      <c r="BL855" s="89" t="s">
        <v>646</v>
      </c>
      <c r="BM855" s="89" t="s">
        <v>646</v>
      </c>
      <c r="BN855" s="89">
        <v>571954</v>
      </c>
      <c r="BO855" s="89" t="str">
        <f>HYPERLINK("http://dx.doi.org/10.3389/fpsyt.2020.571954","http://dx.doi.org/10.3389/fpsyt.2020.571954")</f>
        <v>http://dx.doi.org/10.3389/fpsyt.2020.571954</v>
      </c>
      <c r="BP855" s="89" t="s">
        <v>646</v>
      </c>
      <c r="BQ855" s="89" t="s">
        <v>646</v>
      </c>
      <c r="BR855" s="89" t="s">
        <v>646</v>
      </c>
      <c r="BS855" s="89" t="s">
        <v>646</v>
      </c>
      <c r="BT855" s="89" t="s">
        <v>646</v>
      </c>
      <c r="BU855" s="89" t="s">
        <v>646</v>
      </c>
      <c r="BV855" s="89" t="s">
        <v>646</v>
      </c>
      <c r="BW855" s="89">
        <v>33613331</v>
      </c>
      <c r="BX855" s="89" t="s">
        <v>646</v>
      </c>
      <c r="BY855" s="89" t="s">
        <v>646</v>
      </c>
      <c r="BZ855" s="89" t="s">
        <v>646</v>
      </c>
      <c r="CA855" s="89" t="s">
        <v>646</v>
      </c>
      <c r="CB855" s="89" t="s">
        <v>24282</v>
      </c>
      <c r="CC855" s="89" t="str">
        <f>HYPERLINK("https%3A%2F%2Fwww.webofscience.com%2Fwos%2Fwoscc%2Ffull-record%2FWOS:000619466000001","View Full Record in Web of Science")</f>
        <v>View Full Record in Web of Science</v>
      </c>
    </row>
    <row r="856" spans="1:81" ht="13.2" hidden="1" x14ac:dyDescent="0.25">
      <c r="A856" s="89" t="s">
        <v>24283</v>
      </c>
      <c r="B856" s="89" t="e">
        <f>+#REF!</f>
        <v>#REF!</v>
      </c>
      <c r="C856" s="89"/>
      <c r="D856" s="91" t="s">
        <v>717</v>
      </c>
      <c r="E856" s="90" t="e">
        <v>#REF!</v>
      </c>
      <c r="F856" s="89"/>
      <c r="G856" s="89"/>
      <c r="H856" s="89" t="s">
        <v>15247</v>
      </c>
      <c r="I856" s="89" t="s">
        <v>24284</v>
      </c>
      <c r="J856" s="89" t="s">
        <v>646</v>
      </c>
      <c r="K856" s="89" t="s">
        <v>24290</v>
      </c>
      <c r="M856" s="89">
        <v>2015</v>
      </c>
      <c r="N856" s="89" t="s">
        <v>24285</v>
      </c>
      <c r="O856" s="89" t="s">
        <v>646</v>
      </c>
      <c r="P856" s="89" t="str">
        <f>HYPERLINK("http://dx.doi.org/10.1145/2814815.2814817","http://dx.doi.org/10.1145/2814815.2814817")</f>
        <v>http://dx.doi.org/10.1145/2814815.2814817</v>
      </c>
      <c r="S856" s="89" t="s">
        <v>19206</v>
      </c>
      <c r="U856" s="89" t="s">
        <v>17474</v>
      </c>
      <c r="W856" s="89" t="s">
        <v>646</v>
      </c>
      <c r="X856" s="89" t="s">
        <v>646</v>
      </c>
      <c r="Y856" s="89" t="s">
        <v>24286</v>
      </c>
      <c r="Z856" s="89" t="s">
        <v>24287</v>
      </c>
      <c r="AA856" s="89" t="s">
        <v>24288</v>
      </c>
      <c r="AB856" s="89" t="s">
        <v>24289</v>
      </c>
      <c r="AC856" s="89" t="s">
        <v>646</v>
      </c>
      <c r="AD856" s="89" t="s">
        <v>646</v>
      </c>
      <c r="AE856" s="89" t="s">
        <v>646</v>
      </c>
      <c r="AF856" s="89" t="s">
        <v>24290</v>
      </c>
      <c r="AG856" s="89" t="s">
        <v>646</v>
      </c>
      <c r="AH856" s="89" t="s">
        <v>646</v>
      </c>
      <c r="AI856" s="89" t="s">
        <v>646</v>
      </c>
      <c r="AJ856" s="89" t="s">
        <v>646</v>
      </c>
      <c r="AK856" s="89" t="s">
        <v>646</v>
      </c>
      <c r="AL856" s="89" t="s">
        <v>24291</v>
      </c>
      <c r="AM856" s="89" t="s">
        <v>646</v>
      </c>
      <c r="AN856" s="89" t="s">
        <v>646</v>
      </c>
      <c r="AO856" s="89" t="s">
        <v>646</v>
      </c>
      <c r="AP856" s="89" t="s">
        <v>646</v>
      </c>
      <c r="AQ856" s="89" t="s">
        <v>646</v>
      </c>
      <c r="AR856" s="89" t="s">
        <v>646</v>
      </c>
      <c r="AS856" s="89" t="s">
        <v>646</v>
      </c>
      <c r="AT856" s="89" t="s">
        <v>646</v>
      </c>
      <c r="AU856" s="89" t="s">
        <v>646</v>
      </c>
      <c r="AV856" s="89" t="s">
        <v>646</v>
      </c>
      <c r="AW856" s="89" t="s">
        <v>646</v>
      </c>
      <c r="AX856" s="89" t="s">
        <v>646</v>
      </c>
      <c r="AY856" s="89" t="s">
        <v>646</v>
      </c>
      <c r="AZ856" s="89" t="s">
        <v>646</v>
      </c>
      <c r="BA856" s="89" t="s">
        <v>24292</v>
      </c>
      <c r="BB856" s="89" t="s">
        <v>646</v>
      </c>
      <c r="BC856" s="89" t="s">
        <v>646</v>
      </c>
      <c r="BD856" s="89" t="s">
        <v>646</v>
      </c>
      <c r="BE856" s="89">
        <v>2015</v>
      </c>
      <c r="BF856" s="89" t="s">
        <v>646</v>
      </c>
      <c r="BG856" s="89" t="s">
        <v>646</v>
      </c>
      <c r="BH856" s="89" t="s">
        <v>646</v>
      </c>
      <c r="BI856" s="89" t="s">
        <v>646</v>
      </c>
      <c r="BJ856" s="89" t="s">
        <v>646</v>
      </c>
      <c r="BK856" s="89" t="s">
        <v>646</v>
      </c>
      <c r="BL856" s="89">
        <v>31</v>
      </c>
      <c r="BM856" s="89">
        <v>36</v>
      </c>
      <c r="BN856" s="89" t="s">
        <v>646</v>
      </c>
      <c r="BO856" s="89" t="str">
        <f>HYPERLINK("http://dx.doi.org/10.1145/2814815.2814817","http://dx.doi.org/10.1145/2814815.2814817")</f>
        <v>http://dx.doi.org/10.1145/2814815.2814817</v>
      </c>
      <c r="BP856" s="89" t="s">
        <v>646</v>
      </c>
      <c r="BQ856" s="89" t="s">
        <v>646</v>
      </c>
      <c r="BR856" s="89" t="s">
        <v>646</v>
      </c>
      <c r="BS856" s="89" t="s">
        <v>646</v>
      </c>
      <c r="BT856" s="89" t="s">
        <v>646</v>
      </c>
      <c r="BU856" s="89" t="s">
        <v>646</v>
      </c>
      <c r="BV856" s="89" t="s">
        <v>646</v>
      </c>
      <c r="BW856" s="89" t="s">
        <v>646</v>
      </c>
      <c r="BX856" s="89" t="s">
        <v>646</v>
      </c>
      <c r="BY856" s="89" t="s">
        <v>646</v>
      </c>
      <c r="BZ856" s="89" t="s">
        <v>646</v>
      </c>
      <c r="CA856" s="89" t="s">
        <v>646</v>
      </c>
      <c r="CB856" s="89" t="s">
        <v>24293</v>
      </c>
      <c r="CC856" s="89" t="str">
        <f>HYPERLINK("https%3A%2F%2Fwww.webofscience.com%2Fwos%2Fwoscc%2Ffull-record%2FWOS:000380612000006","View Full Record in Web of Science")</f>
        <v>View Full Record in Web of Science</v>
      </c>
    </row>
    <row r="857" spans="1:81" ht="13.2" hidden="1" x14ac:dyDescent="0.25">
      <c r="A857" s="89" t="s">
        <v>24294</v>
      </c>
      <c r="B857" s="89" t="e">
        <f>+#REF!</f>
        <v>#REF!</v>
      </c>
      <c r="C857" s="89"/>
      <c r="D857" s="91" t="s">
        <v>717</v>
      </c>
      <c r="E857" s="90" t="e">
        <v>#REF!</v>
      </c>
      <c r="F857" s="89"/>
      <c r="G857" s="89"/>
      <c r="H857" s="89" t="s">
        <v>15256</v>
      </c>
      <c r="I857" s="89" t="s">
        <v>24295</v>
      </c>
      <c r="J857" s="89" t="s">
        <v>646</v>
      </c>
      <c r="K857" s="89" t="s">
        <v>24300</v>
      </c>
      <c r="M857" s="89">
        <v>2017</v>
      </c>
      <c r="N857" s="89" t="s">
        <v>24296</v>
      </c>
      <c r="O857" s="89" t="s">
        <v>646</v>
      </c>
      <c r="P857" s="89" t="str">
        <f>HYPERLINK("http://dx.doi.org/10.1145/3025453.3025687","http://dx.doi.org/10.1145/3025453.3025687")</f>
        <v>http://dx.doi.org/10.1145/3025453.3025687</v>
      </c>
      <c r="S857" s="89" t="s">
        <v>19206</v>
      </c>
      <c r="U857" s="89" t="s">
        <v>17474</v>
      </c>
      <c r="W857" s="89" t="s">
        <v>646</v>
      </c>
      <c r="X857" s="89" t="s">
        <v>646</v>
      </c>
      <c r="Y857" s="89" t="s">
        <v>24297</v>
      </c>
      <c r="Z857" s="89" t="s">
        <v>24298</v>
      </c>
      <c r="AA857" s="89" t="s">
        <v>24299</v>
      </c>
      <c r="AB857" s="89" t="s">
        <v>19440</v>
      </c>
      <c r="AC857" s="89" t="s">
        <v>646</v>
      </c>
      <c r="AD857" s="89" t="s">
        <v>646</v>
      </c>
      <c r="AE857" s="89" t="s">
        <v>646</v>
      </c>
      <c r="AF857" s="89" t="s">
        <v>24300</v>
      </c>
      <c r="AG857" s="89" t="s">
        <v>646</v>
      </c>
      <c r="AH857" s="89" t="s">
        <v>646</v>
      </c>
      <c r="AI857" s="89" t="s">
        <v>646</v>
      </c>
      <c r="AJ857" s="89" t="s">
        <v>646</v>
      </c>
      <c r="AK857" s="89" t="s">
        <v>646</v>
      </c>
      <c r="AL857" s="89" t="s">
        <v>24301</v>
      </c>
      <c r="AM857" s="89" t="s">
        <v>646</v>
      </c>
      <c r="AN857" s="89" t="s">
        <v>646</v>
      </c>
      <c r="AO857" s="89" t="s">
        <v>646</v>
      </c>
      <c r="AP857" s="89" t="s">
        <v>646</v>
      </c>
      <c r="AQ857" s="89" t="s">
        <v>646</v>
      </c>
      <c r="AR857" s="89" t="s">
        <v>646</v>
      </c>
      <c r="AS857" s="89" t="s">
        <v>646</v>
      </c>
      <c r="AT857" s="89" t="s">
        <v>646</v>
      </c>
      <c r="AU857" s="89" t="s">
        <v>646</v>
      </c>
      <c r="AV857" s="89" t="s">
        <v>646</v>
      </c>
      <c r="AW857" s="89" t="s">
        <v>646</v>
      </c>
      <c r="AX857" s="89" t="s">
        <v>646</v>
      </c>
      <c r="AY857" s="89" t="s">
        <v>646</v>
      </c>
      <c r="AZ857" s="89" t="s">
        <v>646</v>
      </c>
      <c r="BA857" s="89" t="s">
        <v>24302</v>
      </c>
      <c r="BB857" s="89" t="s">
        <v>646</v>
      </c>
      <c r="BC857" s="89" t="s">
        <v>646</v>
      </c>
      <c r="BD857" s="89" t="s">
        <v>646</v>
      </c>
      <c r="BE857" s="89">
        <v>2017</v>
      </c>
      <c r="BF857" s="89" t="s">
        <v>646</v>
      </c>
      <c r="BG857" s="89" t="s">
        <v>646</v>
      </c>
      <c r="BH857" s="89" t="s">
        <v>646</v>
      </c>
      <c r="BI857" s="89" t="s">
        <v>646</v>
      </c>
      <c r="BJ857" s="89" t="s">
        <v>646</v>
      </c>
      <c r="BK857" s="89" t="s">
        <v>646</v>
      </c>
      <c r="BL857" s="89">
        <v>1867</v>
      </c>
      <c r="BM857" s="89">
        <v>1876</v>
      </c>
      <c r="BN857" s="89" t="s">
        <v>646</v>
      </c>
      <c r="BO857" s="89" t="str">
        <f>HYPERLINK("http://dx.doi.org/10.1145/3025453.3025687","http://dx.doi.org/10.1145/3025453.3025687")</f>
        <v>http://dx.doi.org/10.1145/3025453.3025687</v>
      </c>
      <c r="BP857" s="89" t="s">
        <v>646</v>
      </c>
      <c r="BQ857" s="89" t="s">
        <v>646</v>
      </c>
      <c r="BR857" s="89" t="s">
        <v>646</v>
      </c>
      <c r="BS857" s="89" t="s">
        <v>646</v>
      </c>
      <c r="BT857" s="89" t="s">
        <v>646</v>
      </c>
      <c r="BU857" s="89" t="s">
        <v>646</v>
      </c>
      <c r="BV857" s="89" t="s">
        <v>646</v>
      </c>
      <c r="BW857" s="89" t="s">
        <v>646</v>
      </c>
      <c r="BX857" s="89" t="s">
        <v>646</v>
      </c>
      <c r="BY857" s="89" t="s">
        <v>646</v>
      </c>
      <c r="BZ857" s="89" t="s">
        <v>646</v>
      </c>
      <c r="CA857" s="89" t="s">
        <v>646</v>
      </c>
      <c r="CB857" s="89" t="s">
        <v>24303</v>
      </c>
      <c r="CC857" s="89" t="str">
        <f>HYPERLINK("https%3A%2F%2Fwww.webofscience.com%2Fwos%2Fwoscc%2Ffull-record%2FWOS:000426970501076","View Full Record in Web of Science")</f>
        <v>View Full Record in Web of Science</v>
      </c>
    </row>
    <row r="858" spans="1:81" ht="13.2" hidden="1" x14ac:dyDescent="0.25">
      <c r="A858" s="89" t="s">
        <v>15263</v>
      </c>
      <c r="B858" s="89" t="e">
        <f>+#REF!</f>
        <v>#REF!</v>
      </c>
      <c r="C858" s="89"/>
      <c r="D858" s="91" t="s">
        <v>717</v>
      </c>
      <c r="E858" s="90" t="e">
        <v>#REF!</v>
      </c>
      <c r="F858" s="89"/>
      <c r="G858" s="89"/>
      <c r="H858" s="89" t="s">
        <v>646</v>
      </c>
      <c r="I858" s="89" t="s">
        <v>24304</v>
      </c>
      <c r="J858" s="89" t="s">
        <v>646</v>
      </c>
      <c r="K858" s="89" t="s">
        <v>24310</v>
      </c>
      <c r="M858" s="89">
        <v>2007</v>
      </c>
      <c r="N858" s="89" t="s">
        <v>24305</v>
      </c>
      <c r="O858" s="89" t="s">
        <v>646</v>
      </c>
      <c r="P858" s="89" t="s">
        <v>646</v>
      </c>
      <c r="S858" s="89" t="s">
        <v>23373</v>
      </c>
      <c r="U858" s="89" t="s">
        <v>17474</v>
      </c>
      <c r="W858" s="89" t="s">
        <v>646</v>
      </c>
      <c r="X858" s="89" t="s">
        <v>646</v>
      </c>
      <c r="Y858" s="89" t="s">
        <v>24306</v>
      </c>
      <c r="Z858" s="89" t="s">
        <v>24307</v>
      </c>
      <c r="AA858" s="89" t="s">
        <v>24308</v>
      </c>
      <c r="AB858" s="89" t="s">
        <v>24309</v>
      </c>
      <c r="AC858" s="89" t="s">
        <v>646</v>
      </c>
      <c r="AD858" s="89" t="s">
        <v>646</v>
      </c>
      <c r="AE858" s="89" t="s">
        <v>646</v>
      </c>
      <c r="AF858" s="89" t="s">
        <v>24310</v>
      </c>
      <c r="AG858" s="89" t="s">
        <v>646</v>
      </c>
      <c r="AH858" s="89" t="s">
        <v>646</v>
      </c>
      <c r="AI858" s="89" t="s">
        <v>646</v>
      </c>
      <c r="AJ858" s="89" t="s">
        <v>646</v>
      </c>
      <c r="AK858" s="89" t="s">
        <v>646</v>
      </c>
      <c r="AL858" s="89" t="s">
        <v>646</v>
      </c>
      <c r="AM858" s="89" t="s">
        <v>646</v>
      </c>
      <c r="AN858" s="89" t="s">
        <v>646</v>
      </c>
      <c r="AO858" s="89" t="s">
        <v>646</v>
      </c>
      <c r="AP858" s="89" t="s">
        <v>646</v>
      </c>
      <c r="AQ858" s="89" t="s">
        <v>646</v>
      </c>
      <c r="AR858" s="89" t="s">
        <v>646</v>
      </c>
      <c r="AS858" s="89" t="s">
        <v>646</v>
      </c>
      <c r="AT858" s="89" t="s">
        <v>646</v>
      </c>
      <c r="AU858" s="89" t="s">
        <v>646</v>
      </c>
      <c r="AV858" s="89" t="s">
        <v>646</v>
      </c>
      <c r="AW858" s="89" t="s">
        <v>646</v>
      </c>
      <c r="AX858" s="89" t="s">
        <v>646</v>
      </c>
      <c r="AY858" s="89" t="s">
        <v>646</v>
      </c>
      <c r="AZ858" s="89" t="s">
        <v>646</v>
      </c>
      <c r="BA858" s="89" t="s">
        <v>24311</v>
      </c>
      <c r="BB858" s="89" t="s">
        <v>646</v>
      </c>
      <c r="BC858" s="89" t="s">
        <v>646</v>
      </c>
      <c r="BD858" s="89" t="s">
        <v>646</v>
      </c>
      <c r="BE858" s="89">
        <v>2007</v>
      </c>
      <c r="BF858" s="89" t="s">
        <v>646</v>
      </c>
      <c r="BG858" s="89" t="s">
        <v>646</v>
      </c>
      <c r="BH858" s="89" t="s">
        <v>646</v>
      </c>
      <c r="BI858" s="89" t="s">
        <v>646</v>
      </c>
      <c r="BJ858" s="89" t="s">
        <v>646</v>
      </c>
      <c r="BK858" s="89" t="s">
        <v>646</v>
      </c>
      <c r="BL858" s="89">
        <v>217</v>
      </c>
      <c r="BM858" s="89">
        <v>224</v>
      </c>
      <c r="BN858" s="89" t="s">
        <v>646</v>
      </c>
      <c r="BO858" s="89" t="s">
        <v>646</v>
      </c>
      <c r="BP858" s="89" t="s">
        <v>646</v>
      </c>
      <c r="BQ858" s="89" t="s">
        <v>646</v>
      </c>
      <c r="BR858" s="89" t="s">
        <v>646</v>
      </c>
      <c r="BS858" s="89" t="s">
        <v>646</v>
      </c>
      <c r="BT858" s="89" t="s">
        <v>646</v>
      </c>
      <c r="BU858" s="89" t="s">
        <v>646</v>
      </c>
      <c r="BV858" s="89" t="s">
        <v>646</v>
      </c>
      <c r="BW858" s="89" t="s">
        <v>646</v>
      </c>
      <c r="BX858" s="89" t="s">
        <v>646</v>
      </c>
      <c r="BY858" s="89" t="s">
        <v>646</v>
      </c>
      <c r="BZ858" s="89" t="s">
        <v>646</v>
      </c>
      <c r="CA858" s="89" t="s">
        <v>646</v>
      </c>
      <c r="CB858" s="89" t="s">
        <v>24312</v>
      </c>
      <c r="CC858" s="89" t="str">
        <f>HYPERLINK("https%3A%2F%2Fwww.webofscience.com%2Fwos%2Fwoscc%2Ffull-record%2FWOS:000250108900024","View Full Record in Web of Science")</f>
        <v>View Full Record in Web of Science</v>
      </c>
    </row>
    <row r="859" spans="1:81" ht="13.2" hidden="1" x14ac:dyDescent="0.25">
      <c r="A859" s="89" t="s">
        <v>24313</v>
      </c>
      <c r="B859" s="89" t="e">
        <f>+#REF!</f>
        <v>#REF!</v>
      </c>
      <c r="C859" s="89"/>
      <c r="D859" s="91" t="s">
        <v>717</v>
      </c>
      <c r="E859" s="90" t="e">
        <v>#REF!</v>
      </c>
      <c r="F859" s="89"/>
      <c r="G859" s="89"/>
      <c r="H859" s="89" t="s">
        <v>15274</v>
      </c>
      <c r="I859" s="89" t="s">
        <v>24314</v>
      </c>
      <c r="J859" s="89" t="s">
        <v>24316</v>
      </c>
      <c r="K859" s="89" t="s">
        <v>24315</v>
      </c>
      <c r="M859" s="89">
        <v>2017</v>
      </c>
      <c r="N859" s="89" t="s">
        <v>19769</v>
      </c>
      <c r="O859" s="89" t="s">
        <v>646</v>
      </c>
      <c r="P859" s="89" t="str">
        <f>HYPERLINK("http://dx.doi.org/10.1109/CVPR.2017.648","http://dx.doi.org/10.1109/CVPR.2017.648")</f>
        <v>http://dx.doi.org/10.1109/CVPR.2017.648</v>
      </c>
      <c r="S859" s="89" t="s">
        <v>17475</v>
      </c>
      <c r="U859" s="89" t="s">
        <v>17474</v>
      </c>
      <c r="W859" s="89" t="s">
        <v>646</v>
      </c>
      <c r="X859" s="89" t="s">
        <v>646</v>
      </c>
      <c r="Y859" s="89" t="s">
        <v>19770</v>
      </c>
      <c r="Z859" s="89" t="s">
        <v>19771</v>
      </c>
      <c r="AA859" s="89" t="s">
        <v>19772</v>
      </c>
      <c r="AB859" s="89" t="s">
        <v>19773</v>
      </c>
      <c r="AC859" s="89" t="s">
        <v>646</v>
      </c>
      <c r="AD859" s="89" t="s">
        <v>646</v>
      </c>
      <c r="AE859" s="89" t="s">
        <v>646</v>
      </c>
      <c r="AF859" s="89" t="s">
        <v>24315</v>
      </c>
      <c r="AG859" s="89" t="s">
        <v>646</v>
      </c>
      <c r="AH859" s="89" t="s">
        <v>646</v>
      </c>
      <c r="AI859" s="89" t="s">
        <v>646</v>
      </c>
      <c r="AJ859" s="89" t="s">
        <v>646</v>
      </c>
      <c r="AK859" s="89" t="s">
        <v>24316</v>
      </c>
      <c r="AL859" s="89" t="s">
        <v>24317</v>
      </c>
      <c r="AM859" s="89" t="s">
        <v>646</v>
      </c>
      <c r="AN859" s="89" t="s">
        <v>646</v>
      </c>
      <c r="AO859" s="89" t="s">
        <v>646</v>
      </c>
      <c r="AP859" s="89" t="s">
        <v>646</v>
      </c>
      <c r="AQ859" s="89" t="s">
        <v>646</v>
      </c>
      <c r="AR859" s="89" t="s">
        <v>646</v>
      </c>
      <c r="AS859" s="89" t="s">
        <v>646</v>
      </c>
      <c r="AT859" s="89" t="s">
        <v>646</v>
      </c>
      <c r="AU859" s="89" t="s">
        <v>646</v>
      </c>
      <c r="AV859" s="89" t="s">
        <v>646</v>
      </c>
      <c r="AW859" s="89" t="s">
        <v>646</v>
      </c>
      <c r="AX859" s="89" t="s">
        <v>646</v>
      </c>
      <c r="AY859" s="89" t="s">
        <v>19775</v>
      </c>
      <c r="AZ859" s="89" t="s">
        <v>646</v>
      </c>
      <c r="BA859" s="89" t="s">
        <v>19776</v>
      </c>
      <c r="BB859" s="89" t="s">
        <v>646</v>
      </c>
      <c r="BC859" s="89" t="s">
        <v>646</v>
      </c>
      <c r="BD859" s="89" t="s">
        <v>646</v>
      </c>
      <c r="BE859" s="89">
        <v>2017</v>
      </c>
      <c r="BF859" s="89" t="s">
        <v>646</v>
      </c>
      <c r="BG859" s="89" t="s">
        <v>646</v>
      </c>
      <c r="BH859" s="89" t="s">
        <v>646</v>
      </c>
      <c r="BI859" s="89" t="s">
        <v>646</v>
      </c>
      <c r="BJ859" s="89" t="s">
        <v>646</v>
      </c>
      <c r="BK859" s="89" t="s">
        <v>646</v>
      </c>
      <c r="BL859" s="89">
        <v>6119</v>
      </c>
      <c r="BM859" s="89">
        <v>6127</v>
      </c>
      <c r="BN859" s="89" t="s">
        <v>646</v>
      </c>
      <c r="BO859" s="89" t="str">
        <f>HYPERLINK("http://dx.doi.org/10.1109/CVPR.2017.648","http://dx.doi.org/10.1109/CVPR.2017.648")</f>
        <v>http://dx.doi.org/10.1109/CVPR.2017.648</v>
      </c>
      <c r="BP859" s="89" t="s">
        <v>646</v>
      </c>
      <c r="BQ859" s="89" t="s">
        <v>646</v>
      </c>
      <c r="BR859" s="89" t="s">
        <v>646</v>
      </c>
      <c r="BS859" s="89" t="s">
        <v>646</v>
      </c>
      <c r="BT859" s="89" t="s">
        <v>646</v>
      </c>
      <c r="BU859" s="89" t="s">
        <v>646</v>
      </c>
      <c r="BV859" s="89" t="s">
        <v>646</v>
      </c>
      <c r="BW859" s="89" t="s">
        <v>646</v>
      </c>
      <c r="BX859" s="89" t="s">
        <v>646</v>
      </c>
      <c r="BY859" s="89" t="s">
        <v>646</v>
      </c>
      <c r="BZ859" s="89" t="s">
        <v>646</v>
      </c>
      <c r="CA859" s="89" t="s">
        <v>646</v>
      </c>
      <c r="CB859" s="89" t="s">
        <v>24318</v>
      </c>
      <c r="CC859" s="89" t="str">
        <f>HYPERLINK("https%3A%2F%2Fwww.webofscience.com%2Fwos%2Fwoscc%2Ffull-record%2FWOS:000418371406023","View Full Record in Web of Science")</f>
        <v>View Full Record in Web of Science</v>
      </c>
    </row>
    <row r="860" spans="1:81" ht="13.2" hidden="1" x14ac:dyDescent="0.25">
      <c r="A860" s="89" t="s">
        <v>24319</v>
      </c>
      <c r="B860" s="89" t="e">
        <f>+#REF!</f>
        <v>#REF!</v>
      </c>
      <c r="C860" s="89"/>
      <c r="D860" s="91" t="s">
        <v>717</v>
      </c>
      <c r="E860" s="90" t="e">
        <v>#REF!</v>
      </c>
      <c r="F860" s="89"/>
      <c r="G860" s="89"/>
      <c r="H860" s="89" t="s">
        <v>15282</v>
      </c>
      <c r="I860" s="89" t="s">
        <v>24320</v>
      </c>
      <c r="J860" s="89" t="s">
        <v>646</v>
      </c>
      <c r="K860" s="89" t="s">
        <v>24326</v>
      </c>
      <c r="M860" s="89">
        <v>2015</v>
      </c>
      <c r="N860" s="89" t="s">
        <v>24321</v>
      </c>
      <c r="O860" s="89" t="s">
        <v>646</v>
      </c>
      <c r="P860" s="89" t="str">
        <f>HYPERLINK("http://dx.doi.org/10.1145/3151547.3151554","http://dx.doi.org/10.1145/3151547.3151554")</f>
        <v>http://dx.doi.org/10.1145/3151547.3151554</v>
      </c>
      <c r="S860" s="89" t="s">
        <v>19206</v>
      </c>
      <c r="U860" s="89" t="s">
        <v>17474</v>
      </c>
      <c r="W860" s="89" t="s">
        <v>646</v>
      </c>
      <c r="X860" s="89" t="s">
        <v>646</v>
      </c>
      <c r="Y860" s="89" t="s">
        <v>24322</v>
      </c>
      <c r="Z860" s="89" t="s">
        <v>24323</v>
      </c>
      <c r="AA860" s="89" t="s">
        <v>24324</v>
      </c>
      <c r="AB860" s="89" t="s">
        <v>24325</v>
      </c>
      <c r="AC860" s="89" t="s">
        <v>646</v>
      </c>
      <c r="AD860" s="89" t="s">
        <v>646</v>
      </c>
      <c r="AE860" s="89" t="s">
        <v>646</v>
      </c>
      <c r="AF860" s="89" t="s">
        <v>24326</v>
      </c>
      <c r="AG860" s="89" t="s">
        <v>646</v>
      </c>
      <c r="AH860" s="89" t="s">
        <v>646</v>
      </c>
      <c r="AI860" s="89" t="s">
        <v>646</v>
      </c>
      <c r="AJ860" s="89" t="s">
        <v>646</v>
      </c>
      <c r="AK860" s="89" t="s">
        <v>646</v>
      </c>
      <c r="AL860" s="89" t="s">
        <v>646</v>
      </c>
      <c r="AM860" s="89" t="s">
        <v>646</v>
      </c>
      <c r="AN860" s="89" t="s">
        <v>646</v>
      </c>
      <c r="AO860" s="89" t="s">
        <v>646</v>
      </c>
      <c r="AP860" s="89" t="s">
        <v>646</v>
      </c>
      <c r="AQ860" s="89" t="s">
        <v>646</v>
      </c>
      <c r="AR860" s="89" t="s">
        <v>646</v>
      </c>
      <c r="AS860" s="89" t="s">
        <v>646</v>
      </c>
      <c r="AT860" s="89" t="s">
        <v>646</v>
      </c>
      <c r="AU860" s="89" t="s">
        <v>646</v>
      </c>
      <c r="AV860" s="89" t="s">
        <v>646</v>
      </c>
      <c r="AW860" s="89" t="s">
        <v>646</v>
      </c>
      <c r="AX860" s="89" t="s">
        <v>646</v>
      </c>
      <c r="AY860" s="89" t="s">
        <v>646</v>
      </c>
      <c r="AZ860" s="89" t="s">
        <v>646</v>
      </c>
      <c r="BA860" s="89" t="s">
        <v>24327</v>
      </c>
      <c r="BB860" s="89" t="s">
        <v>646</v>
      </c>
      <c r="BC860" s="89" t="s">
        <v>646</v>
      </c>
      <c r="BD860" s="89" t="s">
        <v>646</v>
      </c>
      <c r="BE860" s="89">
        <v>2015</v>
      </c>
      <c r="BF860" s="89" t="s">
        <v>646</v>
      </c>
      <c r="BG860" s="89" t="s">
        <v>646</v>
      </c>
      <c r="BH860" s="89" t="s">
        <v>646</v>
      </c>
      <c r="BI860" s="89" t="s">
        <v>646</v>
      </c>
      <c r="BJ860" s="89" t="s">
        <v>646</v>
      </c>
      <c r="BK860" s="89" t="s">
        <v>646</v>
      </c>
      <c r="BL860" s="89">
        <v>36</v>
      </c>
      <c r="BM860" s="89">
        <v>41</v>
      </c>
      <c r="BN860" s="89" t="s">
        <v>646</v>
      </c>
      <c r="BO860" s="89" t="str">
        <f>HYPERLINK("http://dx.doi.org/10.1145/3151547.3151554","http://dx.doi.org/10.1145/3151547.3151554")</f>
        <v>http://dx.doi.org/10.1145/3151547.3151554</v>
      </c>
      <c r="BP860" s="89" t="s">
        <v>646</v>
      </c>
      <c r="BQ860" s="89" t="s">
        <v>646</v>
      </c>
      <c r="BR860" s="89" t="s">
        <v>646</v>
      </c>
      <c r="BS860" s="89" t="s">
        <v>646</v>
      </c>
      <c r="BT860" s="89" t="s">
        <v>646</v>
      </c>
      <c r="BU860" s="89" t="s">
        <v>646</v>
      </c>
      <c r="BV860" s="89" t="s">
        <v>646</v>
      </c>
      <c r="BW860" s="89" t="s">
        <v>646</v>
      </c>
      <c r="BX860" s="89" t="s">
        <v>646</v>
      </c>
      <c r="BY860" s="89" t="s">
        <v>646</v>
      </c>
      <c r="BZ860" s="89" t="s">
        <v>646</v>
      </c>
      <c r="CA860" s="89" t="s">
        <v>646</v>
      </c>
      <c r="CB860" s="89" t="s">
        <v>24328</v>
      </c>
      <c r="CC860" s="89" t="str">
        <f>HYPERLINK("https%3A%2F%2Fwww.webofscience.com%2Fwos%2Fwoscc%2Ffull-record%2FWOS:000501729800007","View Full Record in Web of Science")</f>
        <v>View Full Record in Web of Science</v>
      </c>
    </row>
    <row r="861" spans="1:81" ht="13.2" hidden="1" x14ac:dyDescent="0.25">
      <c r="A861" s="89" t="s">
        <v>24329</v>
      </c>
      <c r="B861" s="89" t="e">
        <f>+#REF!</f>
        <v>#REF!</v>
      </c>
      <c r="C861" s="89"/>
      <c r="D861" s="91" t="s">
        <v>717</v>
      </c>
      <c r="E861" s="90" t="e">
        <v>#REF!</v>
      </c>
      <c r="F861" s="89"/>
      <c r="G861" s="89"/>
      <c r="H861" s="89" t="s">
        <v>646</v>
      </c>
      <c r="I861" s="89" t="s">
        <v>24331</v>
      </c>
      <c r="J861" s="89" t="s">
        <v>24337</v>
      </c>
      <c r="K861" s="89" t="s">
        <v>24336</v>
      </c>
      <c r="M861" s="89">
        <v>2008</v>
      </c>
      <c r="N861" s="89" t="s">
        <v>24332</v>
      </c>
      <c r="O861" s="89" t="s">
        <v>24330</v>
      </c>
      <c r="P861" s="89" t="s">
        <v>646</v>
      </c>
      <c r="S861" s="89" t="s">
        <v>646</v>
      </c>
      <c r="U861" s="89" t="s">
        <v>17474</v>
      </c>
      <c r="W861" s="89" t="s">
        <v>646</v>
      </c>
      <c r="X861" s="89" t="s">
        <v>646</v>
      </c>
      <c r="Y861" s="89" t="s">
        <v>24333</v>
      </c>
      <c r="Z861" s="89" t="s">
        <v>24334</v>
      </c>
      <c r="AA861" s="89" t="s">
        <v>24335</v>
      </c>
      <c r="AB861" s="89" t="s">
        <v>646</v>
      </c>
      <c r="AC861" s="89" t="s">
        <v>646</v>
      </c>
      <c r="AD861" s="89" t="s">
        <v>646</v>
      </c>
      <c r="AE861" s="89" t="s">
        <v>646</v>
      </c>
      <c r="AF861" s="89" t="s">
        <v>24336</v>
      </c>
      <c r="AG861" s="89" t="s">
        <v>646</v>
      </c>
      <c r="AH861" s="89" t="s">
        <v>646</v>
      </c>
      <c r="AI861" s="89" t="s">
        <v>646</v>
      </c>
      <c r="AJ861" s="89" t="s">
        <v>646</v>
      </c>
      <c r="AK861" s="89" t="s">
        <v>24337</v>
      </c>
      <c r="AL861" s="89" t="s">
        <v>24338</v>
      </c>
      <c r="AM861" s="89" t="s">
        <v>646</v>
      </c>
      <c r="AN861" s="89" t="s">
        <v>646</v>
      </c>
      <c r="AO861" s="89" t="s">
        <v>646</v>
      </c>
      <c r="AP861" s="89" t="s">
        <v>646</v>
      </c>
      <c r="AQ861" s="89" t="s">
        <v>646</v>
      </c>
      <c r="AR861" s="89" t="s">
        <v>646</v>
      </c>
      <c r="AS861" s="89" t="s">
        <v>646</v>
      </c>
      <c r="AT861" s="89" t="s">
        <v>646</v>
      </c>
      <c r="AU861" s="89" t="s">
        <v>646</v>
      </c>
      <c r="AV861" s="89" t="s">
        <v>646</v>
      </c>
      <c r="AW861" s="89" t="s">
        <v>646</v>
      </c>
      <c r="AX861" s="89" t="s">
        <v>646</v>
      </c>
      <c r="AY861" s="89" t="s">
        <v>18367</v>
      </c>
      <c r="AZ861" s="89" t="s">
        <v>18884</v>
      </c>
      <c r="BA861" s="89" t="s">
        <v>24339</v>
      </c>
      <c r="BB861" s="89" t="s">
        <v>646</v>
      </c>
      <c r="BC861" s="89" t="s">
        <v>646</v>
      </c>
      <c r="BD861" s="89" t="s">
        <v>646</v>
      </c>
      <c r="BE861" s="89">
        <v>2008</v>
      </c>
      <c r="BF861" s="89">
        <v>5411</v>
      </c>
      <c r="BG861" s="89" t="s">
        <v>646</v>
      </c>
      <c r="BH861" s="89" t="s">
        <v>646</v>
      </c>
      <c r="BI861" s="89" t="s">
        <v>646</v>
      </c>
      <c r="BJ861" s="89" t="s">
        <v>646</v>
      </c>
      <c r="BK861" s="89" t="s">
        <v>646</v>
      </c>
      <c r="BL861" s="89">
        <v>83</v>
      </c>
      <c r="BM861" s="89" t="s">
        <v>18405</v>
      </c>
      <c r="BN861" s="89" t="s">
        <v>646</v>
      </c>
      <c r="BO861" s="89" t="s">
        <v>646</v>
      </c>
      <c r="BP861" s="89" t="s">
        <v>646</v>
      </c>
      <c r="BQ861" s="89" t="s">
        <v>646</v>
      </c>
      <c r="BR861" s="89" t="s">
        <v>646</v>
      </c>
      <c r="BS861" s="89" t="s">
        <v>646</v>
      </c>
      <c r="BT861" s="89" t="s">
        <v>646</v>
      </c>
      <c r="BU861" s="89" t="s">
        <v>646</v>
      </c>
      <c r="BV861" s="89" t="s">
        <v>646</v>
      </c>
      <c r="BW861" s="89" t="s">
        <v>646</v>
      </c>
      <c r="BX861" s="89" t="s">
        <v>646</v>
      </c>
      <c r="BY861" s="89" t="s">
        <v>646</v>
      </c>
      <c r="BZ861" s="89" t="s">
        <v>646</v>
      </c>
      <c r="CA861" s="89" t="s">
        <v>646</v>
      </c>
      <c r="CB861" s="89" t="s">
        <v>24340</v>
      </c>
      <c r="CC861" s="89" t="str">
        <f>HYPERLINK("https%3A%2F%2Fwww.webofscience.com%2Fwos%2Fwoscc%2Ffull-record%2FWOS:000263868100008","View Full Record in Web of Science")</f>
        <v>View Full Record in Web of Science</v>
      </c>
    </row>
    <row r="862" spans="1:81" ht="13.2" hidden="1" x14ac:dyDescent="0.25">
      <c r="A862" s="89" t="s">
        <v>10359</v>
      </c>
      <c r="B862" s="89" t="e">
        <f>+#REF!</f>
        <v>#REF!</v>
      </c>
      <c r="C862" s="89"/>
      <c r="D862" s="91" t="s">
        <v>717</v>
      </c>
      <c r="E862" s="90" t="e">
        <v>#REF!</v>
      </c>
      <c r="F862" s="89"/>
      <c r="G862" s="89"/>
      <c r="H862" s="89" t="s">
        <v>10360</v>
      </c>
      <c r="I862" s="89" t="s">
        <v>24341</v>
      </c>
      <c r="J862" s="89" t="s">
        <v>646</v>
      </c>
      <c r="K862" s="89" t="s">
        <v>24342</v>
      </c>
      <c r="M862" s="89">
        <v>2022</v>
      </c>
      <c r="N862" s="89" t="s">
        <v>23538</v>
      </c>
      <c r="O862" s="89" t="s">
        <v>646</v>
      </c>
      <c r="P862" s="89" t="str">
        <f>HYPERLINK("http://dx.doi.org/10.1016/j.jss.2022.01.030","http://dx.doi.org/10.1016/j.jss.2022.01.030")</f>
        <v>http://dx.doi.org/10.1016/j.jss.2022.01.030</v>
      </c>
      <c r="S862" s="89" t="s">
        <v>646</v>
      </c>
      <c r="U862" s="89" t="s">
        <v>17462</v>
      </c>
      <c r="W862" s="89" t="s">
        <v>646</v>
      </c>
      <c r="X862" s="89" t="s">
        <v>646</v>
      </c>
      <c r="Y862" s="89" t="s">
        <v>646</v>
      </c>
      <c r="Z862" s="89" t="s">
        <v>646</v>
      </c>
      <c r="AA862" s="89" t="s">
        <v>646</v>
      </c>
      <c r="AB862" s="89" t="s">
        <v>646</v>
      </c>
      <c r="AC862" s="89" t="s">
        <v>646</v>
      </c>
      <c r="AD862" s="89" t="s">
        <v>646</v>
      </c>
      <c r="AE862" s="89" t="s">
        <v>646</v>
      </c>
      <c r="AF862" s="89" t="s">
        <v>24342</v>
      </c>
      <c r="AG862" s="89" t="s">
        <v>646</v>
      </c>
      <c r="AH862" s="89" t="s">
        <v>646</v>
      </c>
      <c r="AI862" s="89" t="s">
        <v>646</v>
      </c>
      <c r="AJ862" s="89" t="s">
        <v>646</v>
      </c>
      <c r="AK862" s="89" t="s">
        <v>646</v>
      </c>
      <c r="AL862" s="89" t="s">
        <v>24343</v>
      </c>
      <c r="AM862" s="89" t="s">
        <v>646</v>
      </c>
      <c r="AN862" s="89" t="s">
        <v>646</v>
      </c>
      <c r="AO862" s="89" t="s">
        <v>646</v>
      </c>
      <c r="AP862" s="89" t="s">
        <v>646</v>
      </c>
      <c r="AQ862" s="89" t="s">
        <v>646</v>
      </c>
      <c r="AR862" s="89" t="s">
        <v>646</v>
      </c>
      <c r="AS862" s="89" t="s">
        <v>646</v>
      </c>
      <c r="AT862" s="89" t="s">
        <v>646</v>
      </c>
      <c r="AU862" s="89" t="s">
        <v>646</v>
      </c>
      <c r="AV862" s="89" t="s">
        <v>646</v>
      </c>
      <c r="AW862" s="89" t="s">
        <v>646</v>
      </c>
      <c r="AX862" s="89" t="s">
        <v>646</v>
      </c>
      <c r="AY862" s="89" t="s">
        <v>23541</v>
      </c>
      <c r="AZ862" s="89" t="s">
        <v>23542</v>
      </c>
      <c r="BA862" s="89" t="s">
        <v>646</v>
      </c>
      <c r="BB862" s="89" t="s">
        <v>646</v>
      </c>
      <c r="BC862" s="89" t="s">
        <v>646</v>
      </c>
      <c r="BD862" s="89" t="s">
        <v>17676</v>
      </c>
      <c r="BE862" s="89">
        <v>2022</v>
      </c>
      <c r="BF862" s="89">
        <v>275</v>
      </c>
      <c r="BG862" s="89" t="s">
        <v>646</v>
      </c>
      <c r="BH862" s="89" t="s">
        <v>646</v>
      </c>
      <c r="BI862" s="89" t="s">
        <v>646</v>
      </c>
      <c r="BJ862" s="89" t="s">
        <v>646</v>
      </c>
      <c r="BK862" s="89" t="s">
        <v>646</v>
      </c>
      <c r="BL862" s="89">
        <v>208</v>
      </c>
      <c r="BM862" s="89">
        <v>217</v>
      </c>
      <c r="BN862" s="89" t="s">
        <v>646</v>
      </c>
      <c r="BO862" s="89" t="str">
        <f>HYPERLINK("http://dx.doi.org/10.1016/j.jss.2022.01.030","http://dx.doi.org/10.1016/j.jss.2022.01.030")</f>
        <v>http://dx.doi.org/10.1016/j.jss.2022.01.030</v>
      </c>
      <c r="BP862" s="89" t="s">
        <v>646</v>
      </c>
      <c r="BQ862" s="89" t="s">
        <v>646</v>
      </c>
      <c r="BR862" s="89" t="s">
        <v>646</v>
      </c>
      <c r="BS862" s="89" t="s">
        <v>646</v>
      </c>
      <c r="BT862" s="89" t="s">
        <v>646</v>
      </c>
      <c r="BU862" s="89" t="s">
        <v>646</v>
      </c>
      <c r="BV862" s="89" t="s">
        <v>646</v>
      </c>
      <c r="BW862" s="89">
        <v>35306256</v>
      </c>
      <c r="BX862" s="89" t="s">
        <v>646</v>
      </c>
      <c r="BY862" s="89" t="s">
        <v>646</v>
      </c>
      <c r="BZ862" s="89" t="s">
        <v>646</v>
      </c>
      <c r="CA862" s="89" t="s">
        <v>646</v>
      </c>
      <c r="CB862" s="89" t="s">
        <v>24344</v>
      </c>
      <c r="CC862" s="89" t="str">
        <f>HYPERLINK("https%3A%2F%2Fwww.webofscience.com%2Fwos%2Fwoscc%2Ffull-record%2FWOS:000806348600004","View Full Record in Web of Science")</f>
        <v>View Full Record in Web of Science</v>
      </c>
    </row>
    <row r="863" spans="1:81" ht="13.2" hidden="1" x14ac:dyDescent="0.25">
      <c r="A863" s="89" t="s">
        <v>24345</v>
      </c>
      <c r="B863" s="89" t="e">
        <f>+#REF!</f>
        <v>#REF!</v>
      </c>
      <c r="C863" s="89"/>
      <c r="D863" s="91" t="s">
        <v>717</v>
      </c>
      <c r="E863" s="90" t="e">
        <v>#REF!</v>
      </c>
      <c r="F863" s="89"/>
      <c r="G863" s="89"/>
      <c r="H863" s="89" t="s">
        <v>646</v>
      </c>
      <c r="I863" s="89" t="s">
        <v>24346</v>
      </c>
      <c r="J863" s="89" t="s">
        <v>19537</v>
      </c>
      <c r="K863" s="89" t="s">
        <v>24351</v>
      </c>
      <c r="M863" s="89">
        <v>2014</v>
      </c>
      <c r="N863" s="89" t="s">
        <v>24347</v>
      </c>
      <c r="O863" s="89" t="s">
        <v>646</v>
      </c>
      <c r="P863" s="89" t="s">
        <v>646</v>
      </c>
      <c r="S863" s="89" t="s">
        <v>17475</v>
      </c>
      <c r="U863" s="89" t="s">
        <v>17474</v>
      </c>
      <c r="W863" s="89" t="s">
        <v>646</v>
      </c>
      <c r="X863" s="89" t="s">
        <v>646</v>
      </c>
      <c r="Y863" s="89" t="s">
        <v>24348</v>
      </c>
      <c r="Z863" s="89" t="s">
        <v>24349</v>
      </c>
      <c r="AA863" s="89" t="s">
        <v>24350</v>
      </c>
      <c r="AB863" s="89" t="s">
        <v>17475</v>
      </c>
      <c r="AC863" s="89" t="s">
        <v>646</v>
      </c>
      <c r="AD863" s="89" t="s">
        <v>646</v>
      </c>
      <c r="AE863" s="89" t="s">
        <v>646</v>
      </c>
      <c r="AF863" s="89" t="s">
        <v>24351</v>
      </c>
      <c r="AG863" s="89" t="s">
        <v>646</v>
      </c>
      <c r="AH863" s="89" t="s">
        <v>646</v>
      </c>
      <c r="AI863" s="89" t="s">
        <v>646</v>
      </c>
      <c r="AJ863" s="89" t="s">
        <v>646</v>
      </c>
      <c r="AK863" s="89" t="s">
        <v>19537</v>
      </c>
      <c r="AL863" s="89" t="s">
        <v>24352</v>
      </c>
      <c r="AM863" s="89" t="s">
        <v>646</v>
      </c>
      <c r="AN863" s="89" t="s">
        <v>646</v>
      </c>
      <c r="AO863" s="89" t="s">
        <v>646</v>
      </c>
      <c r="AP863" s="89" t="s">
        <v>646</v>
      </c>
      <c r="AQ863" s="89" t="s">
        <v>646</v>
      </c>
      <c r="AR863" s="89" t="s">
        <v>646</v>
      </c>
      <c r="AS863" s="89" t="s">
        <v>646</v>
      </c>
      <c r="AT863" s="89" t="s">
        <v>646</v>
      </c>
      <c r="AU863" s="89" t="s">
        <v>646</v>
      </c>
      <c r="AV863" s="89" t="s">
        <v>646</v>
      </c>
      <c r="AW863" s="89" t="s">
        <v>646</v>
      </c>
      <c r="AX863" s="89" t="s">
        <v>646</v>
      </c>
      <c r="AY863" s="89" t="s">
        <v>24353</v>
      </c>
      <c r="AZ863" s="89" t="s">
        <v>646</v>
      </c>
      <c r="BA863" s="89" t="s">
        <v>24354</v>
      </c>
      <c r="BB863" s="89" t="s">
        <v>646</v>
      </c>
      <c r="BC863" s="89" t="s">
        <v>646</v>
      </c>
      <c r="BD863" s="89" t="s">
        <v>646</v>
      </c>
      <c r="BE863" s="89">
        <v>2014</v>
      </c>
      <c r="BF863" s="89" t="s">
        <v>646</v>
      </c>
      <c r="BG863" s="89" t="s">
        <v>646</v>
      </c>
      <c r="BH863" s="89" t="s">
        <v>646</v>
      </c>
      <c r="BI863" s="89" t="s">
        <v>646</v>
      </c>
      <c r="BJ863" s="89" t="s">
        <v>646</v>
      </c>
      <c r="BK863" s="89" t="s">
        <v>646</v>
      </c>
      <c r="BL863" s="89" t="s">
        <v>646</v>
      </c>
      <c r="BM863" s="89" t="s">
        <v>646</v>
      </c>
      <c r="BN863" s="89" t="s">
        <v>646</v>
      </c>
      <c r="BO863" s="89" t="s">
        <v>646</v>
      </c>
      <c r="BP863" s="89" t="s">
        <v>646</v>
      </c>
      <c r="BQ863" s="89" t="s">
        <v>646</v>
      </c>
      <c r="BR863" s="89" t="s">
        <v>646</v>
      </c>
      <c r="BS863" s="89" t="s">
        <v>646</v>
      </c>
      <c r="BT863" s="89" t="s">
        <v>646</v>
      </c>
      <c r="BU863" s="89" t="s">
        <v>646</v>
      </c>
      <c r="BV863" s="89" t="s">
        <v>646</v>
      </c>
      <c r="BW863" s="89" t="s">
        <v>646</v>
      </c>
      <c r="BX863" s="89" t="s">
        <v>646</v>
      </c>
      <c r="BY863" s="89" t="s">
        <v>646</v>
      </c>
      <c r="BZ863" s="89" t="s">
        <v>646</v>
      </c>
      <c r="CA863" s="89" t="s">
        <v>646</v>
      </c>
      <c r="CB863" s="89" t="s">
        <v>24355</v>
      </c>
      <c r="CC863" s="89" t="str">
        <f>HYPERLINK("https%3A%2F%2Fwww.webofscience.com%2Fwos%2Fwoscc%2Ffull-record%2FWOS:000411484600046","View Full Record in Web of Science")</f>
        <v>View Full Record in Web of Science</v>
      </c>
    </row>
    <row r="864" spans="1:81" ht="13.2" hidden="1" x14ac:dyDescent="0.25">
      <c r="A864" s="89" t="s">
        <v>24356</v>
      </c>
      <c r="B864" s="89" t="e">
        <f>+#REF!</f>
        <v>#REF!</v>
      </c>
      <c r="C864" s="89"/>
      <c r="D864" s="91" t="s">
        <v>717</v>
      </c>
      <c r="E864" s="90" t="e">
        <v>#REF!</v>
      </c>
      <c r="F864" s="89"/>
      <c r="G864" s="89"/>
      <c r="H864" s="89" t="s">
        <v>1022</v>
      </c>
      <c r="I864" s="89" t="s">
        <v>24357</v>
      </c>
      <c r="J864" s="89" t="s">
        <v>646</v>
      </c>
      <c r="K864" s="89" t="s">
        <v>24361</v>
      </c>
      <c r="M864" s="89">
        <v>2014</v>
      </c>
      <c r="N864" s="89" t="s">
        <v>24358</v>
      </c>
      <c r="O864" s="89" t="s">
        <v>646</v>
      </c>
      <c r="P864" s="89" t="str">
        <f>HYPERLINK("http://dx.doi.org/10.1109/ICGSE.2014.19","http://dx.doi.org/10.1109/ICGSE.2014.19")</f>
        <v>http://dx.doi.org/10.1109/ICGSE.2014.19</v>
      </c>
      <c r="S864" s="89" t="s">
        <v>17475</v>
      </c>
      <c r="U864" s="89" t="s">
        <v>17474</v>
      </c>
      <c r="W864" s="89" t="s">
        <v>646</v>
      </c>
      <c r="X864" s="89" t="s">
        <v>646</v>
      </c>
      <c r="Y864" s="89" t="s">
        <v>24359</v>
      </c>
      <c r="Z864" s="89" t="s">
        <v>24360</v>
      </c>
      <c r="AA864" s="89" t="s">
        <v>21715</v>
      </c>
      <c r="AB864" s="89" t="s">
        <v>20525</v>
      </c>
      <c r="AC864" s="89" t="s">
        <v>646</v>
      </c>
      <c r="AD864" s="89" t="s">
        <v>646</v>
      </c>
      <c r="AE864" s="89" t="s">
        <v>646</v>
      </c>
      <c r="AF864" s="89" t="s">
        <v>24361</v>
      </c>
      <c r="AG864" s="89" t="s">
        <v>646</v>
      </c>
      <c r="AH864" s="89" t="s">
        <v>646</v>
      </c>
      <c r="AI864" s="89" t="s">
        <v>646</v>
      </c>
      <c r="AJ864" s="89" t="s">
        <v>646</v>
      </c>
      <c r="AK864" s="89" t="s">
        <v>646</v>
      </c>
      <c r="AL864" s="89" t="s">
        <v>646</v>
      </c>
      <c r="AM864" s="89" t="s">
        <v>646</v>
      </c>
      <c r="AN864" s="89" t="s">
        <v>646</v>
      </c>
      <c r="AO864" s="89" t="s">
        <v>646</v>
      </c>
      <c r="AP864" s="89" t="s">
        <v>646</v>
      </c>
      <c r="AQ864" s="89" t="s">
        <v>646</v>
      </c>
      <c r="AR864" s="89" t="s">
        <v>646</v>
      </c>
      <c r="AS864" s="89" t="s">
        <v>646</v>
      </c>
      <c r="AT864" s="89" t="s">
        <v>646</v>
      </c>
      <c r="AU864" s="89" t="s">
        <v>646</v>
      </c>
      <c r="AV864" s="89" t="s">
        <v>646</v>
      </c>
      <c r="AW864" s="89" t="s">
        <v>646</v>
      </c>
      <c r="AX864" s="89" t="s">
        <v>646</v>
      </c>
      <c r="AY864" s="89" t="s">
        <v>18768</v>
      </c>
      <c r="AZ864" s="89" t="s">
        <v>646</v>
      </c>
      <c r="BA864" s="89" t="s">
        <v>24362</v>
      </c>
      <c r="BB864" s="89" t="s">
        <v>646</v>
      </c>
      <c r="BC864" s="89" t="s">
        <v>646</v>
      </c>
      <c r="BD864" s="89" t="s">
        <v>646</v>
      </c>
      <c r="BE864" s="89">
        <v>2014</v>
      </c>
      <c r="BF864" s="89" t="s">
        <v>646</v>
      </c>
      <c r="BG864" s="89" t="s">
        <v>646</v>
      </c>
      <c r="BH864" s="89" t="s">
        <v>646</v>
      </c>
      <c r="BI864" s="89" t="s">
        <v>646</v>
      </c>
      <c r="BJ864" s="89" t="s">
        <v>646</v>
      </c>
      <c r="BK864" s="89" t="s">
        <v>646</v>
      </c>
      <c r="BL864" s="89">
        <v>100</v>
      </c>
      <c r="BM864" s="89">
        <v>109</v>
      </c>
      <c r="BN864" s="89" t="s">
        <v>646</v>
      </c>
      <c r="BO864" s="89" t="str">
        <f>HYPERLINK("http://dx.doi.org/10.1109/ICGSE.2014.19","http://dx.doi.org/10.1109/ICGSE.2014.19")</f>
        <v>http://dx.doi.org/10.1109/ICGSE.2014.19</v>
      </c>
      <c r="BP864" s="89" t="s">
        <v>646</v>
      </c>
      <c r="BQ864" s="89" t="s">
        <v>646</v>
      </c>
      <c r="BR864" s="89" t="s">
        <v>646</v>
      </c>
      <c r="BS864" s="89" t="s">
        <v>646</v>
      </c>
      <c r="BT864" s="89" t="s">
        <v>646</v>
      </c>
      <c r="BU864" s="89" t="s">
        <v>646</v>
      </c>
      <c r="BV864" s="89" t="s">
        <v>646</v>
      </c>
      <c r="BW864" s="89" t="s">
        <v>646</v>
      </c>
      <c r="BX864" s="89" t="s">
        <v>646</v>
      </c>
      <c r="BY864" s="89" t="s">
        <v>646</v>
      </c>
      <c r="BZ864" s="89" t="s">
        <v>646</v>
      </c>
      <c r="CA864" s="89" t="s">
        <v>646</v>
      </c>
      <c r="CB864" s="89" t="s">
        <v>24363</v>
      </c>
      <c r="CC864" s="89" t="str">
        <f>HYPERLINK("https%3A%2F%2Fwww.webofscience.com%2Fwos%2Fwoscc%2Ffull-record%2FWOS:000363321200013","View Full Record in Web of Science")</f>
        <v>View Full Record in Web of Science</v>
      </c>
    </row>
    <row r="865" spans="1:81" ht="13.2" hidden="1" x14ac:dyDescent="0.25">
      <c r="A865" s="89" t="s">
        <v>24364</v>
      </c>
      <c r="B865" s="89" t="e">
        <f>+#REF!</f>
        <v>#REF!</v>
      </c>
      <c r="C865" s="89"/>
      <c r="D865" s="91" t="s">
        <v>717</v>
      </c>
      <c r="E865" s="90" t="e">
        <v>#REF!</v>
      </c>
      <c r="F865" s="89"/>
      <c r="G865" s="89"/>
      <c r="H865" s="89" t="s">
        <v>646</v>
      </c>
      <c r="I865" s="89" t="s">
        <v>24365</v>
      </c>
      <c r="J865" s="89" t="s">
        <v>646</v>
      </c>
      <c r="K865" s="89" t="s">
        <v>24370</v>
      </c>
      <c r="M865" s="89">
        <v>2015</v>
      </c>
      <c r="N865" s="89" t="s">
        <v>24366</v>
      </c>
      <c r="O865" s="89" t="s">
        <v>646</v>
      </c>
      <c r="P865" s="89" t="s">
        <v>646</v>
      </c>
      <c r="S865" s="89" t="s">
        <v>17475</v>
      </c>
      <c r="U865" s="89" t="s">
        <v>17474</v>
      </c>
      <c r="W865" s="89" t="s">
        <v>646</v>
      </c>
      <c r="X865" s="89" t="s">
        <v>646</v>
      </c>
      <c r="Y865" s="89" t="s">
        <v>24367</v>
      </c>
      <c r="Z865" s="89" t="s">
        <v>24368</v>
      </c>
      <c r="AA865" s="89" t="s">
        <v>24369</v>
      </c>
      <c r="AB865" s="89" t="s">
        <v>646</v>
      </c>
      <c r="AC865" s="89" t="s">
        <v>646</v>
      </c>
      <c r="AD865" s="89" t="s">
        <v>646</v>
      </c>
      <c r="AE865" s="89" t="s">
        <v>646</v>
      </c>
      <c r="AF865" s="89" t="s">
        <v>24370</v>
      </c>
      <c r="AG865" s="89" t="s">
        <v>646</v>
      </c>
      <c r="AH865" s="89" t="s">
        <v>646</v>
      </c>
      <c r="AI865" s="89" t="s">
        <v>646</v>
      </c>
      <c r="AJ865" s="89" t="s">
        <v>646</v>
      </c>
      <c r="AK865" s="89" t="s">
        <v>646</v>
      </c>
      <c r="AL865" s="89" t="s">
        <v>646</v>
      </c>
      <c r="AM865" s="89" t="s">
        <v>646</v>
      </c>
      <c r="AN865" s="89" t="s">
        <v>646</v>
      </c>
      <c r="AO865" s="89" t="s">
        <v>646</v>
      </c>
      <c r="AP865" s="89" t="s">
        <v>646</v>
      </c>
      <c r="AQ865" s="89" t="s">
        <v>646</v>
      </c>
      <c r="AR865" s="89" t="s">
        <v>646</v>
      </c>
      <c r="AS865" s="89" t="s">
        <v>646</v>
      </c>
      <c r="AT865" s="89" t="s">
        <v>646</v>
      </c>
      <c r="AU865" s="89" t="s">
        <v>646</v>
      </c>
      <c r="AV865" s="89" t="s">
        <v>646</v>
      </c>
      <c r="AW865" s="89" t="s">
        <v>646</v>
      </c>
      <c r="AX865" s="89" t="s">
        <v>646</v>
      </c>
      <c r="AY865" s="89" t="s">
        <v>646</v>
      </c>
      <c r="AZ865" s="89" t="s">
        <v>646</v>
      </c>
      <c r="BA865" s="89" t="s">
        <v>24371</v>
      </c>
      <c r="BB865" s="89" t="s">
        <v>646</v>
      </c>
      <c r="BC865" s="89" t="s">
        <v>646</v>
      </c>
      <c r="BD865" s="89" t="s">
        <v>646</v>
      </c>
      <c r="BE865" s="89">
        <v>2015</v>
      </c>
      <c r="BF865" s="89" t="s">
        <v>646</v>
      </c>
      <c r="BG865" s="89" t="s">
        <v>646</v>
      </c>
      <c r="BH865" s="89" t="s">
        <v>646</v>
      </c>
      <c r="BI865" s="89" t="s">
        <v>646</v>
      </c>
      <c r="BJ865" s="89" t="s">
        <v>646</v>
      </c>
      <c r="BK865" s="89" t="s">
        <v>646</v>
      </c>
      <c r="BL865" s="89">
        <v>315</v>
      </c>
      <c r="BM865" s="89">
        <v>319</v>
      </c>
      <c r="BN865" s="89" t="s">
        <v>646</v>
      </c>
      <c r="BO865" s="89" t="s">
        <v>646</v>
      </c>
      <c r="BP865" s="89" t="s">
        <v>646</v>
      </c>
      <c r="BQ865" s="89" t="s">
        <v>646</v>
      </c>
      <c r="BR865" s="89" t="s">
        <v>646</v>
      </c>
      <c r="BS865" s="89" t="s">
        <v>646</v>
      </c>
      <c r="BT865" s="89" t="s">
        <v>646</v>
      </c>
      <c r="BU865" s="89" t="s">
        <v>646</v>
      </c>
      <c r="BV865" s="89" t="s">
        <v>646</v>
      </c>
      <c r="BW865" s="89" t="s">
        <v>646</v>
      </c>
      <c r="BX865" s="89" t="s">
        <v>646</v>
      </c>
      <c r="BY865" s="89" t="s">
        <v>646</v>
      </c>
      <c r="BZ865" s="89" t="s">
        <v>646</v>
      </c>
      <c r="CA865" s="89" t="s">
        <v>646</v>
      </c>
      <c r="CB865" s="89" t="s">
        <v>24372</v>
      </c>
      <c r="CC865" s="89" t="str">
        <f>HYPERLINK("https%3A%2F%2Fwww.webofscience.com%2Fwos%2Fwoscc%2Ffull-record%2FWOS:000380436800059","View Full Record in Web of Science")</f>
        <v>View Full Record in Web of Science</v>
      </c>
    </row>
    <row r="866" spans="1:81" ht="13.2" hidden="1" x14ac:dyDescent="0.25">
      <c r="A866" s="89" t="s">
        <v>10368</v>
      </c>
      <c r="B866" s="89" t="e">
        <f>+#REF!</f>
        <v>#REF!</v>
      </c>
      <c r="C866" s="89"/>
      <c r="D866" s="91" t="s">
        <v>717</v>
      </c>
      <c r="E866" s="90" t="e">
        <v>#REF!</v>
      </c>
      <c r="F866" s="89"/>
      <c r="G866" s="89"/>
      <c r="H866" s="89" t="s">
        <v>10369</v>
      </c>
      <c r="I866" s="89" t="s">
        <v>24373</v>
      </c>
      <c r="J866" s="89" t="s">
        <v>24376</v>
      </c>
      <c r="K866" s="89" t="s">
        <v>24375</v>
      </c>
      <c r="M866" s="89">
        <v>2021</v>
      </c>
      <c r="N866" s="89" t="s">
        <v>24374</v>
      </c>
      <c r="O866" s="89" t="s">
        <v>646</v>
      </c>
      <c r="P866" s="89" t="str">
        <f>HYPERLINK("http://dx.doi.org/10.1080/01972243.2021.1942356","http://dx.doi.org/10.1080/01972243.2021.1942356")</f>
        <v>http://dx.doi.org/10.1080/01972243.2021.1942356</v>
      </c>
      <c r="S866" s="89" t="s">
        <v>646</v>
      </c>
      <c r="U866" s="89" t="s">
        <v>17462</v>
      </c>
      <c r="W866" s="89" t="s">
        <v>646</v>
      </c>
      <c r="X866" s="89" t="s">
        <v>646</v>
      </c>
      <c r="Y866" s="89" t="s">
        <v>646</v>
      </c>
      <c r="Z866" s="89" t="s">
        <v>646</v>
      </c>
      <c r="AA866" s="89" t="s">
        <v>646</v>
      </c>
      <c r="AB866" s="89" t="s">
        <v>646</v>
      </c>
      <c r="AC866" s="89" t="s">
        <v>646</v>
      </c>
      <c r="AD866" s="89" t="s">
        <v>646</v>
      </c>
      <c r="AE866" s="89" t="s">
        <v>646</v>
      </c>
      <c r="AF866" s="89" t="s">
        <v>24375</v>
      </c>
      <c r="AG866" s="89" t="s">
        <v>646</v>
      </c>
      <c r="AH866" s="89" t="s">
        <v>646</v>
      </c>
      <c r="AI866" s="89" t="s">
        <v>646</v>
      </c>
      <c r="AJ866" s="89" t="s">
        <v>646</v>
      </c>
      <c r="AK866" s="89" t="s">
        <v>24376</v>
      </c>
      <c r="AL866" s="89" t="s">
        <v>24377</v>
      </c>
      <c r="AM866" s="89" t="s">
        <v>646</v>
      </c>
      <c r="AN866" s="89" t="s">
        <v>646</v>
      </c>
      <c r="AO866" s="89" t="s">
        <v>646</v>
      </c>
      <c r="AP866" s="89" t="s">
        <v>646</v>
      </c>
      <c r="AQ866" s="89" t="s">
        <v>646</v>
      </c>
      <c r="AR866" s="89" t="s">
        <v>646</v>
      </c>
      <c r="AS866" s="89" t="s">
        <v>646</v>
      </c>
      <c r="AT866" s="89" t="s">
        <v>646</v>
      </c>
      <c r="AU866" s="89" t="s">
        <v>646</v>
      </c>
      <c r="AV866" s="89" t="s">
        <v>646</v>
      </c>
      <c r="AW866" s="89" t="s">
        <v>646</v>
      </c>
      <c r="AX866" s="89" t="s">
        <v>646</v>
      </c>
      <c r="AY866" s="89" t="s">
        <v>24378</v>
      </c>
      <c r="AZ866" s="89" t="s">
        <v>24379</v>
      </c>
      <c r="BA866" s="89" t="s">
        <v>646</v>
      </c>
      <c r="BB866" s="89" t="s">
        <v>646</v>
      </c>
      <c r="BC866" s="89" t="s">
        <v>646</v>
      </c>
      <c r="BD866" s="89" t="s">
        <v>21462</v>
      </c>
      <c r="BE866" s="89">
        <v>2021</v>
      </c>
      <c r="BF866" s="89">
        <v>37</v>
      </c>
      <c r="BG866" s="89">
        <v>5</v>
      </c>
      <c r="BH866" s="89" t="s">
        <v>646</v>
      </c>
      <c r="BI866" s="89" t="s">
        <v>646</v>
      </c>
      <c r="BJ866" s="89" t="s">
        <v>646</v>
      </c>
      <c r="BK866" s="89" t="s">
        <v>646</v>
      </c>
      <c r="BL866" s="89">
        <v>267</v>
      </c>
      <c r="BM866" s="89">
        <v>286</v>
      </c>
      <c r="BN866" s="89" t="s">
        <v>646</v>
      </c>
      <c r="BO866" s="89" t="str">
        <f>HYPERLINK("http://dx.doi.org/10.1080/01972243.2021.1942356","http://dx.doi.org/10.1080/01972243.2021.1942356")</f>
        <v>http://dx.doi.org/10.1080/01972243.2021.1942356</v>
      </c>
      <c r="BP866" s="89" t="s">
        <v>646</v>
      </c>
      <c r="BQ866" s="89" t="s">
        <v>17514</v>
      </c>
      <c r="BR866" s="89" t="s">
        <v>646</v>
      </c>
      <c r="BS866" s="89" t="s">
        <v>646</v>
      </c>
      <c r="BT866" s="89" t="s">
        <v>646</v>
      </c>
      <c r="BU866" s="89" t="s">
        <v>646</v>
      </c>
      <c r="BV866" s="89" t="s">
        <v>646</v>
      </c>
      <c r="BW866" s="89" t="s">
        <v>646</v>
      </c>
      <c r="BX866" s="89" t="s">
        <v>646</v>
      </c>
      <c r="BY866" s="89" t="s">
        <v>646</v>
      </c>
      <c r="BZ866" s="89" t="s">
        <v>646</v>
      </c>
      <c r="CA866" s="89" t="s">
        <v>646</v>
      </c>
      <c r="CB866" s="89" t="s">
        <v>24380</v>
      </c>
      <c r="CC866" s="89" t="str">
        <f>HYPERLINK("https%3A%2F%2Fwww.webofscience.com%2Fwos%2Fwoscc%2Ffull-record%2FWOS:000677821000001","View Full Record in Web of Science")</f>
        <v>View Full Record in Web of Science</v>
      </c>
    </row>
    <row r="867" spans="1:81" ht="13.2" hidden="1" x14ac:dyDescent="0.25">
      <c r="A867" s="89" t="s">
        <v>1325</v>
      </c>
      <c r="B867" s="89" t="e">
        <f>+#REF!</f>
        <v>#REF!</v>
      </c>
      <c r="C867" s="89"/>
      <c r="D867" s="91" t="s">
        <v>717</v>
      </c>
      <c r="E867" s="90" t="e">
        <v>#REF!</v>
      </c>
      <c r="F867" s="89"/>
      <c r="G867" s="89"/>
      <c r="H867" s="89" t="s">
        <v>1327</v>
      </c>
      <c r="I867" s="89" t="s">
        <v>24381</v>
      </c>
      <c r="J867" s="89" t="s">
        <v>24383</v>
      </c>
      <c r="K867" s="89" t="s">
        <v>24382</v>
      </c>
      <c r="M867" s="89">
        <v>2020</v>
      </c>
      <c r="N867" s="89" t="s">
        <v>18837</v>
      </c>
      <c r="O867" s="89" t="s">
        <v>646</v>
      </c>
      <c r="P867" s="89" t="str">
        <f>HYPERLINK("http://dx.doi.org/10.1002/smr.2242","http://dx.doi.org/10.1002/smr.2242")</f>
        <v>http://dx.doi.org/10.1002/smr.2242</v>
      </c>
      <c r="S867" s="89" t="s">
        <v>646</v>
      </c>
      <c r="U867" s="89" t="s">
        <v>17462</v>
      </c>
      <c r="W867" s="89" t="s">
        <v>646</v>
      </c>
      <c r="X867" s="89" t="s">
        <v>646</v>
      </c>
      <c r="Y867" s="89" t="s">
        <v>646</v>
      </c>
      <c r="Z867" s="89" t="s">
        <v>646</v>
      </c>
      <c r="AA867" s="89" t="s">
        <v>646</v>
      </c>
      <c r="AB867" s="89" t="s">
        <v>646</v>
      </c>
      <c r="AC867" s="89" t="s">
        <v>646</v>
      </c>
      <c r="AD867" s="89" t="s">
        <v>646</v>
      </c>
      <c r="AE867" s="89" t="s">
        <v>646</v>
      </c>
      <c r="AF867" s="89" t="s">
        <v>24382</v>
      </c>
      <c r="AG867" s="89" t="s">
        <v>646</v>
      </c>
      <c r="AH867" s="89" t="s">
        <v>646</v>
      </c>
      <c r="AI867" s="89" t="s">
        <v>646</v>
      </c>
      <c r="AJ867" s="89" t="s">
        <v>646</v>
      </c>
      <c r="AK867" s="89" t="s">
        <v>24383</v>
      </c>
      <c r="AL867" s="89" t="s">
        <v>24384</v>
      </c>
      <c r="AM867" s="89" t="s">
        <v>646</v>
      </c>
      <c r="AN867" s="89" t="s">
        <v>646</v>
      </c>
      <c r="AO867" s="89" t="s">
        <v>646</v>
      </c>
      <c r="AP867" s="89" t="s">
        <v>646</v>
      </c>
      <c r="AQ867" s="89" t="s">
        <v>646</v>
      </c>
      <c r="AR867" s="89" t="s">
        <v>646</v>
      </c>
      <c r="AS867" s="89" t="s">
        <v>646</v>
      </c>
      <c r="AT867" s="89" t="s">
        <v>646</v>
      </c>
      <c r="AU867" s="89" t="s">
        <v>646</v>
      </c>
      <c r="AV867" s="89" t="s">
        <v>646</v>
      </c>
      <c r="AW867" s="89" t="s">
        <v>646</v>
      </c>
      <c r="AX867" s="89" t="s">
        <v>646</v>
      </c>
      <c r="AY867" s="89" t="s">
        <v>18839</v>
      </c>
      <c r="AZ867" s="89" t="s">
        <v>18840</v>
      </c>
      <c r="BA867" s="89" t="s">
        <v>646</v>
      </c>
      <c r="BB867" s="89" t="s">
        <v>646</v>
      </c>
      <c r="BC867" s="89" t="s">
        <v>646</v>
      </c>
      <c r="BD867" s="89" t="s">
        <v>17823</v>
      </c>
      <c r="BE867" s="89">
        <v>2020</v>
      </c>
      <c r="BF867" s="89">
        <v>32</v>
      </c>
      <c r="BG867" s="89">
        <v>4</v>
      </c>
      <c r="BH867" s="89" t="s">
        <v>646</v>
      </c>
      <c r="BI867" s="89" t="s">
        <v>646</v>
      </c>
      <c r="BJ867" s="89" t="s">
        <v>646</v>
      </c>
      <c r="BK867" s="89" t="s">
        <v>646</v>
      </c>
      <c r="BL867" s="89" t="s">
        <v>646</v>
      </c>
      <c r="BM867" s="89" t="s">
        <v>646</v>
      </c>
      <c r="BN867" s="89" t="s">
        <v>24385</v>
      </c>
      <c r="BO867" s="89" t="str">
        <f>HYPERLINK("http://dx.doi.org/10.1002/smr.2242","http://dx.doi.org/10.1002/smr.2242")</f>
        <v>http://dx.doi.org/10.1002/smr.2242</v>
      </c>
      <c r="BP867" s="89" t="s">
        <v>646</v>
      </c>
      <c r="BQ867" s="89" t="s">
        <v>646</v>
      </c>
      <c r="BR867" s="89" t="s">
        <v>646</v>
      </c>
      <c r="BS867" s="89" t="s">
        <v>646</v>
      </c>
      <c r="BT867" s="89" t="s">
        <v>646</v>
      </c>
      <c r="BU867" s="89" t="s">
        <v>646</v>
      </c>
      <c r="BV867" s="89" t="s">
        <v>646</v>
      </c>
      <c r="BW867" s="89" t="s">
        <v>646</v>
      </c>
      <c r="BX867" s="89" t="s">
        <v>646</v>
      </c>
      <c r="BY867" s="89" t="s">
        <v>646</v>
      </c>
      <c r="BZ867" s="89" t="s">
        <v>646</v>
      </c>
      <c r="CA867" s="89" t="s">
        <v>646</v>
      </c>
      <c r="CB867" s="89" t="s">
        <v>24386</v>
      </c>
      <c r="CC867" s="89" t="str">
        <f>HYPERLINK("https%3A%2F%2Fwww.webofscience.com%2Fwos%2Fwoscc%2Ffull-record%2FWOS:000523495100001","View Full Record in Web of Science")</f>
        <v>View Full Record in Web of Science</v>
      </c>
    </row>
    <row r="868" spans="1:81" ht="13.2" hidden="1" x14ac:dyDescent="0.25">
      <c r="A868" s="89" t="s">
        <v>24387</v>
      </c>
      <c r="B868" s="89" t="e">
        <f>+#REF!</f>
        <v>#REF!</v>
      </c>
      <c r="C868" s="89"/>
      <c r="D868" s="91" t="s">
        <v>717</v>
      </c>
      <c r="E868" s="90" t="e">
        <v>#REF!</v>
      </c>
      <c r="F868" s="89"/>
      <c r="G868" s="89"/>
      <c r="H868" s="89" t="s">
        <v>15315</v>
      </c>
      <c r="I868" s="89" t="s">
        <v>24388</v>
      </c>
      <c r="J868" s="89" t="s">
        <v>646</v>
      </c>
      <c r="K868" s="89" t="s">
        <v>24389</v>
      </c>
      <c r="M868" s="89">
        <v>2018</v>
      </c>
      <c r="N868" s="89" t="s">
        <v>23538</v>
      </c>
      <c r="O868" s="89" t="s">
        <v>646</v>
      </c>
      <c r="P868" s="89" t="str">
        <f>HYPERLINK("http://dx.doi.org/10.1016/j.jss.2018.06.032","http://dx.doi.org/10.1016/j.jss.2018.06.032")</f>
        <v>http://dx.doi.org/10.1016/j.jss.2018.06.032</v>
      </c>
      <c r="S868" s="89" t="s">
        <v>646</v>
      </c>
      <c r="U868" s="89" t="s">
        <v>17462</v>
      </c>
      <c r="W868" s="89" t="s">
        <v>646</v>
      </c>
      <c r="X868" s="89" t="s">
        <v>646</v>
      </c>
      <c r="Y868" s="89" t="s">
        <v>646</v>
      </c>
      <c r="Z868" s="89" t="s">
        <v>646</v>
      </c>
      <c r="AA868" s="89" t="s">
        <v>646</v>
      </c>
      <c r="AB868" s="89" t="s">
        <v>646</v>
      </c>
      <c r="AC868" s="89" t="s">
        <v>646</v>
      </c>
      <c r="AD868" s="89" t="s">
        <v>646</v>
      </c>
      <c r="AE868" s="89" t="s">
        <v>646</v>
      </c>
      <c r="AF868" s="89" t="s">
        <v>24389</v>
      </c>
      <c r="AG868" s="89" t="s">
        <v>646</v>
      </c>
      <c r="AH868" s="89" t="s">
        <v>646</v>
      </c>
      <c r="AI868" s="89" t="s">
        <v>646</v>
      </c>
      <c r="AJ868" s="89" t="s">
        <v>646</v>
      </c>
      <c r="AK868" s="89" t="s">
        <v>646</v>
      </c>
      <c r="AL868" s="89" t="s">
        <v>646</v>
      </c>
      <c r="AM868" s="89" t="s">
        <v>646</v>
      </c>
      <c r="AN868" s="89" t="s">
        <v>646</v>
      </c>
      <c r="AO868" s="89" t="s">
        <v>646</v>
      </c>
      <c r="AP868" s="89" t="s">
        <v>646</v>
      </c>
      <c r="AQ868" s="89" t="s">
        <v>646</v>
      </c>
      <c r="AR868" s="89" t="s">
        <v>646</v>
      </c>
      <c r="AS868" s="89" t="s">
        <v>646</v>
      </c>
      <c r="AT868" s="89" t="s">
        <v>646</v>
      </c>
      <c r="AU868" s="89" t="s">
        <v>646</v>
      </c>
      <c r="AV868" s="89" t="s">
        <v>646</v>
      </c>
      <c r="AW868" s="89" t="s">
        <v>646</v>
      </c>
      <c r="AX868" s="89" t="s">
        <v>646</v>
      </c>
      <c r="AY868" s="89" t="s">
        <v>23541</v>
      </c>
      <c r="AZ868" s="89" t="s">
        <v>23542</v>
      </c>
      <c r="BA868" s="89" t="s">
        <v>646</v>
      </c>
      <c r="BB868" s="89" t="s">
        <v>646</v>
      </c>
      <c r="BC868" s="89" t="s">
        <v>646</v>
      </c>
      <c r="BD868" s="89" t="s">
        <v>17615</v>
      </c>
      <c r="BE868" s="89">
        <v>2018</v>
      </c>
      <c r="BF868" s="89">
        <v>232</v>
      </c>
      <c r="BG868" s="89" t="s">
        <v>646</v>
      </c>
      <c r="BH868" s="89" t="s">
        <v>646</v>
      </c>
      <c r="BI868" s="89" t="s">
        <v>646</v>
      </c>
      <c r="BJ868" s="89" t="s">
        <v>646</v>
      </c>
      <c r="BK868" s="89" t="s">
        <v>646</v>
      </c>
      <c r="BL868" s="89">
        <v>351</v>
      </c>
      <c r="BM868" s="89">
        <v>364</v>
      </c>
      <c r="BN868" s="89" t="s">
        <v>646</v>
      </c>
      <c r="BO868" s="89" t="str">
        <f>HYPERLINK("http://dx.doi.org/10.1016/j.jss.2018.06.032","http://dx.doi.org/10.1016/j.jss.2018.06.032")</f>
        <v>http://dx.doi.org/10.1016/j.jss.2018.06.032</v>
      </c>
      <c r="BP868" s="89" t="s">
        <v>646</v>
      </c>
      <c r="BQ868" s="89" t="s">
        <v>646</v>
      </c>
      <c r="BR868" s="89" t="s">
        <v>646</v>
      </c>
      <c r="BS868" s="89" t="s">
        <v>646</v>
      </c>
      <c r="BT868" s="89" t="s">
        <v>646</v>
      </c>
      <c r="BU868" s="89" t="s">
        <v>646</v>
      </c>
      <c r="BV868" s="89" t="s">
        <v>646</v>
      </c>
      <c r="BW868" s="89">
        <v>30463741</v>
      </c>
      <c r="BX868" s="89" t="s">
        <v>646</v>
      </c>
      <c r="BY868" s="89" t="s">
        <v>646</v>
      </c>
      <c r="BZ868" s="89" t="s">
        <v>646</v>
      </c>
      <c r="CA868" s="89" t="s">
        <v>646</v>
      </c>
      <c r="CB868" s="89" t="s">
        <v>24390</v>
      </c>
      <c r="CC868" s="89" t="str">
        <f>HYPERLINK("https%3A%2F%2Fwww.webofscience.com%2Fwos%2Fwoscc%2Ffull-record%2FWOS:000448333700049","View Full Record in Web of Science")</f>
        <v>View Full Record in Web of Science</v>
      </c>
    </row>
    <row r="869" spans="1:81" ht="13.2" hidden="1" x14ac:dyDescent="0.25">
      <c r="A869" s="89" t="s">
        <v>24391</v>
      </c>
      <c r="B869" s="89" t="e">
        <f>+#REF!</f>
        <v>#REF!</v>
      </c>
      <c r="C869" s="89"/>
      <c r="D869" s="91" t="s">
        <v>717</v>
      </c>
      <c r="E869" s="90" t="e">
        <v>#REF!</v>
      </c>
      <c r="F869" s="89"/>
      <c r="G869" s="89"/>
      <c r="H869" s="89" t="s">
        <v>15324</v>
      </c>
      <c r="I869" s="89" t="s">
        <v>24392</v>
      </c>
      <c r="J869" s="89" t="s">
        <v>646</v>
      </c>
      <c r="K869" s="89" t="s">
        <v>24397</v>
      </c>
      <c r="M869" s="89">
        <v>2018</v>
      </c>
      <c r="N869" s="89" t="s">
        <v>24393</v>
      </c>
      <c r="O869" s="89" t="s">
        <v>646</v>
      </c>
      <c r="P869" s="89" t="str">
        <f>HYPERLINK("http://dx.doi.org/10.1109/CRV.2018.00028","http://dx.doi.org/10.1109/CRV.2018.00028")</f>
        <v>http://dx.doi.org/10.1109/CRV.2018.00028</v>
      </c>
      <c r="S869" s="89" t="s">
        <v>17475</v>
      </c>
      <c r="U869" s="89" t="s">
        <v>17474</v>
      </c>
      <c r="W869" s="89" t="s">
        <v>646</v>
      </c>
      <c r="X869" s="89" t="s">
        <v>646</v>
      </c>
      <c r="Y869" s="89" t="s">
        <v>24394</v>
      </c>
      <c r="Z869" s="89" t="s">
        <v>24395</v>
      </c>
      <c r="AA869" s="89" t="s">
        <v>19385</v>
      </c>
      <c r="AB869" s="89" t="s">
        <v>24396</v>
      </c>
      <c r="AC869" s="89" t="s">
        <v>646</v>
      </c>
      <c r="AD869" s="89" t="s">
        <v>646</v>
      </c>
      <c r="AE869" s="89" t="s">
        <v>646</v>
      </c>
      <c r="AF869" s="89" t="s">
        <v>24397</v>
      </c>
      <c r="AG869" s="89" t="s">
        <v>646</v>
      </c>
      <c r="AH869" s="89" t="s">
        <v>646</v>
      </c>
      <c r="AI869" s="89" t="s">
        <v>646</v>
      </c>
      <c r="AJ869" s="89" t="s">
        <v>646</v>
      </c>
      <c r="AK869" s="89" t="s">
        <v>646</v>
      </c>
      <c r="AL869" s="89" t="s">
        <v>24398</v>
      </c>
      <c r="AM869" s="89" t="s">
        <v>646</v>
      </c>
      <c r="AN869" s="89" t="s">
        <v>646</v>
      </c>
      <c r="AO869" s="89" t="s">
        <v>646</v>
      </c>
      <c r="AP869" s="89" t="s">
        <v>646</v>
      </c>
      <c r="AQ869" s="89" t="s">
        <v>646</v>
      </c>
      <c r="AR869" s="89" t="s">
        <v>646</v>
      </c>
      <c r="AS869" s="89" t="s">
        <v>646</v>
      </c>
      <c r="AT869" s="89" t="s">
        <v>646</v>
      </c>
      <c r="AU869" s="89" t="s">
        <v>646</v>
      </c>
      <c r="AV869" s="89" t="s">
        <v>646</v>
      </c>
      <c r="AW869" s="89" t="s">
        <v>646</v>
      </c>
      <c r="AX869" s="89" t="s">
        <v>646</v>
      </c>
      <c r="AY869" s="89" t="s">
        <v>646</v>
      </c>
      <c r="AZ869" s="89" t="s">
        <v>646</v>
      </c>
      <c r="BA869" s="89" t="s">
        <v>24399</v>
      </c>
      <c r="BB869" s="89" t="s">
        <v>646</v>
      </c>
      <c r="BC869" s="89" t="s">
        <v>646</v>
      </c>
      <c r="BD869" s="89" t="s">
        <v>646</v>
      </c>
      <c r="BE869" s="89">
        <v>2018</v>
      </c>
      <c r="BF869" s="89" t="s">
        <v>646</v>
      </c>
      <c r="BG869" s="89" t="s">
        <v>646</v>
      </c>
      <c r="BH869" s="89" t="s">
        <v>646</v>
      </c>
      <c r="BI869" s="89" t="s">
        <v>646</v>
      </c>
      <c r="BJ869" s="89" t="s">
        <v>646</v>
      </c>
      <c r="BK869" s="89" t="s">
        <v>646</v>
      </c>
      <c r="BL869" s="89">
        <v>134</v>
      </c>
      <c r="BM869" s="89">
        <v>141</v>
      </c>
      <c r="BN869" s="89" t="s">
        <v>646</v>
      </c>
      <c r="BO869" s="89" t="str">
        <f>HYPERLINK("http://dx.doi.org/10.1109/CRV.2018.00028","http://dx.doi.org/10.1109/CRV.2018.00028")</f>
        <v>http://dx.doi.org/10.1109/CRV.2018.00028</v>
      </c>
      <c r="BP869" s="89" t="s">
        <v>646</v>
      </c>
      <c r="BQ869" s="89" t="s">
        <v>646</v>
      </c>
      <c r="BR869" s="89" t="s">
        <v>646</v>
      </c>
      <c r="BS869" s="89" t="s">
        <v>646</v>
      </c>
      <c r="BT869" s="89" t="s">
        <v>646</v>
      </c>
      <c r="BU869" s="89" t="s">
        <v>646</v>
      </c>
      <c r="BV869" s="89" t="s">
        <v>646</v>
      </c>
      <c r="BW869" s="89" t="s">
        <v>646</v>
      </c>
      <c r="BX869" s="89" t="s">
        <v>646</v>
      </c>
      <c r="BY869" s="89" t="s">
        <v>646</v>
      </c>
      <c r="BZ869" s="89" t="s">
        <v>646</v>
      </c>
      <c r="CA869" s="89" t="s">
        <v>646</v>
      </c>
      <c r="CB869" s="89" t="s">
        <v>24400</v>
      </c>
      <c r="CC869" s="89" t="str">
        <f>HYPERLINK("https%3A%2F%2Fwww.webofscience.com%2Fwos%2Fwoscc%2Ffull-record%2FWOS:000457719100018","View Full Record in Web of Science")</f>
        <v>View Full Record in Web of Science</v>
      </c>
    </row>
    <row r="870" spans="1:81" ht="13.2" hidden="1" x14ac:dyDescent="0.25">
      <c r="A870" s="89" t="s">
        <v>24401</v>
      </c>
      <c r="B870" s="89" t="e">
        <f>+#REF!</f>
        <v>#REF!</v>
      </c>
      <c r="C870" s="89"/>
      <c r="D870" s="91" t="s">
        <v>717</v>
      </c>
      <c r="E870" s="90" t="e">
        <v>#REF!</v>
      </c>
      <c r="F870" s="89"/>
      <c r="G870" s="89"/>
      <c r="H870" s="89" t="s">
        <v>646</v>
      </c>
      <c r="I870" s="89" t="s">
        <v>24402</v>
      </c>
      <c r="J870" s="89" t="s">
        <v>19018</v>
      </c>
      <c r="K870" s="89" t="s">
        <v>24403</v>
      </c>
      <c r="M870" s="89">
        <v>2009</v>
      </c>
      <c r="N870" s="89" t="s">
        <v>24116</v>
      </c>
      <c r="O870" s="89" t="s">
        <v>24114</v>
      </c>
      <c r="P870" s="89" t="s">
        <v>646</v>
      </c>
      <c r="S870" s="89" t="s">
        <v>646</v>
      </c>
      <c r="U870" s="89" t="s">
        <v>17474</v>
      </c>
      <c r="W870" s="89" t="s">
        <v>646</v>
      </c>
      <c r="X870" s="89" t="s">
        <v>646</v>
      </c>
      <c r="Y870" s="89" t="s">
        <v>24117</v>
      </c>
      <c r="Z870" s="89" t="s">
        <v>24118</v>
      </c>
      <c r="AA870" s="89" t="s">
        <v>24119</v>
      </c>
      <c r="AB870" s="89" t="s">
        <v>24120</v>
      </c>
      <c r="AC870" s="89" t="s">
        <v>646</v>
      </c>
      <c r="AD870" s="89" t="s">
        <v>646</v>
      </c>
      <c r="AE870" s="89" t="s">
        <v>646</v>
      </c>
      <c r="AF870" s="89" t="s">
        <v>24403</v>
      </c>
      <c r="AG870" s="89" t="s">
        <v>646</v>
      </c>
      <c r="AH870" s="89" t="s">
        <v>646</v>
      </c>
      <c r="AI870" s="89" t="s">
        <v>646</v>
      </c>
      <c r="AJ870" s="89" t="s">
        <v>646</v>
      </c>
      <c r="AK870" s="89" t="s">
        <v>19018</v>
      </c>
      <c r="AL870" s="89" t="s">
        <v>19019</v>
      </c>
      <c r="AM870" s="89" t="s">
        <v>646</v>
      </c>
      <c r="AN870" s="89" t="s">
        <v>646</v>
      </c>
      <c r="AO870" s="89" t="s">
        <v>646</v>
      </c>
      <c r="AP870" s="89" t="s">
        <v>646</v>
      </c>
      <c r="AQ870" s="89" t="s">
        <v>646</v>
      </c>
      <c r="AR870" s="89" t="s">
        <v>646</v>
      </c>
      <c r="AS870" s="89" t="s">
        <v>646</v>
      </c>
      <c r="AT870" s="89" t="s">
        <v>646</v>
      </c>
      <c r="AU870" s="89" t="s">
        <v>646</v>
      </c>
      <c r="AV870" s="89" t="s">
        <v>646</v>
      </c>
      <c r="AW870" s="89" t="s">
        <v>646</v>
      </c>
      <c r="AX870" s="89" t="s">
        <v>646</v>
      </c>
      <c r="AY870" s="89" t="s">
        <v>18367</v>
      </c>
      <c r="AZ870" s="89" t="s">
        <v>18884</v>
      </c>
      <c r="BA870" s="89" t="s">
        <v>24122</v>
      </c>
      <c r="BB870" s="89" t="s">
        <v>646</v>
      </c>
      <c r="BC870" s="89" t="s">
        <v>646</v>
      </c>
      <c r="BD870" s="89" t="s">
        <v>646</v>
      </c>
      <c r="BE870" s="89">
        <v>2009</v>
      </c>
      <c r="BF870" s="89">
        <v>5872</v>
      </c>
      <c r="BG870" s="89" t="s">
        <v>646</v>
      </c>
      <c r="BH870" s="89" t="s">
        <v>646</v>
      </c>
      <c r="BI870" s="89" t="s">
        <v>646</v>
      </c>
      <c r="BJ870" s="89" t="s">
        <v>646</v>
      </c>
      <c r="BK870" s="89" t="s">
        <v>646</v>
      </c>
      <c r="BL870" s="89">
        <v>228</v>
      </c>
      <c r="BM870" s="89" t="s">
        <v>18405</v>
      </c>
      <c r="BN870" s="89" t="s">
        <v>646</v>
      </c>
      <c r="BO870" s="89" t="s">
        <v>646</v>
      </c>
      <c r="BP870" s="89" t="s">
        <v>646</v>
      </c>
      <c r="BQ870" s="89" t="s">
        <v>646</v>
      </c>
      <c r="BR870" s="89" t="s">
        <v>646</v>
      </c>
      <c r="BS870" s="89" t="s">
        <v>646</v>
      </c>
      <c r="BT870" s="89" t="s">
        <v>646</v>
      </c>
      <c r="BU870" s="89" t="s">
        <v>646</v>
      </c>
      <c r="BV870" s="89" t="s">
        <v>646</v>
      </c>
      <c r="BW870" s="89" t="s">
        <v>646</v>
      </c>
      <c r="BX870" s="89" t="s">
        <v>646</v>
      </c>
      <c r="BY870" s="89" t="s">
        <v>646</v>
      </c>
      <c r="BZ870" s="89" t="s">
        <v>646</v>
      </c>
      <c r="CA870" s="89" t="s">
        <v>646</v>
      </c>
      <c r="CB870" s="89" t="s">
        <v>24404</v>
      </c>
      <c r="CC870" s="89" t="str">
        <f>HYPERLINK("https%3A%2F%2Fwww.webofscience.com%2Fwos%2Fwoscc%2Ffull-record%2FWOS:000279915700028","View Full Record in Web of Science")</f>
        <v>View Full Record in Web of Science</v>
      </c>
    </row>
    <row r="871" spans="1:81" ht="13.2" hidden="1" x14ac:dyDescent="0.25">
      <c r="A871" s="89" t="s">
        <v>24405</v>
      </c>
      <c r="B871" s="89" t="e">
        <f>+#REF!</f>
        <v>#REF!</v>
      </c>
      <c r="C871" s="89"/>
      <c r="D871" s="91" t="s">
        <v>717</v>
      </c>
      <c r="E871" s="90" t="e">
        <v>#REF!</v>
      </c>
      <c r="F871" s="89"/>
      <c r="G871" s="89"/>
      <c r="H871" s="89" t="s">
        <v>15333</v>
      </c>
      <c r="I871" s="89" t="s">
        <v>24406</v>
      </c>
      <c r="J871" s="89" t="s">
        <v>24408</v>
      </c>
      <c r="K871" s="89" t="s">
        <v>24407</v>
      </c>
      <c r="M871" s="89">
        <v>2017</v>
      </c>
      <c r="N871" s="89" t="s">
        <v>20105</v>
      </c>
      <c r="O871" s="89" t="s">
        <v>646</v>
      </c>
      <c r="P871" s="89" t="str">
        <f>HYPERLINK("http://dx.doi.org/10.3389/fpsyg.2017.01359","http://dx.doi.org/10.3389/fpsyg.2017.01359")</f>
        <v>http://dx.doi.org/10.3389/fpsyg.2017.01359</v>
      </c>
      <c r="S871" s="89" t="s">
        <v>646</v>
      </c>
      <c r="U871" s="89" t="s">
        <v>17462</v>
      </c>
      <c r="W871" s="89" t="s">
        <v>646</v>
      </c>
      <c r="X871" s="89" t="s">
        <v>646</v>
      </c>
      <c r="Y871" s="89" t="s">
        <v>646</v>
      </c>
      <c r="Z871" s="89" t="s">
        <v>646</v>
      </c>
      <c r="AA871" s="89" t="s">
        <v>646</v>
      </c>
      <c r="AB871" s="89" t="s">
        <v>646</v>
      </c>
      <c r="AC871" s="89" t="s">
        <v>646</v>
      </c>
      <c r="AD871" s="89" t="s">
        <v>646</v>
      </c>
      <c r="AE871" s="89" t="s">
        <v>646</v>
      </c>
      <c r="AF871" s="89" t="s">
        <v>24407</v>
      </c>
      <c r="AG871" s="89" t="s">
        <v>646</v>
      </c>
      <c r="AH871" s="89" t="s">
        <v>646</v>
      </c>
      <c r="AI871" s="89" t="s">
        <v>646</v>
      </c>
      <c r="AJ871" s="89" t="s">
        <v>646</v>
      </c>
      <c r="AK871" s="89" t="s">
        <v>24408</v>
      </c>
      <c r="AL871" s="89" t="s">
        <v>24409</v>
      </c>
      <c r="AM871" s="89" t="s">
        <v>646</v>
      </c>
      <c r="AN871" s="89" t="s">
        <v>646</v>
      </c>
      <c r="AO871" s="89" t="s">
        <v>646</v>
      </c>
      <c r="AP871" s="89" t="s">
        <v>646</v>
      </c>
      <c r="AQ871" s="89" t="s">
        <v>646</v>
      </c>
      <c r="AR871" s="89" t="s">
        <v>646</v>
      </c>
      <c r="AS871" s="89" t="s">
        <v>646</v>
      </c>
      <c r="AT871" s="89" t="s">
        <v>646</v>
      </c>
      <c r="AU871" s="89" t="s">
        <v>646</v>
      </c>
      <c r="AV871" s="89" t="s">
        <v>646</v>
      </c>
      <c r="AW871" s="89" t="s">
        <v>646</v>
      </c>
      <c r="AX871" s="89" t="s">
        <v>646</v>
      </c>
      <c r="AY871" s="89" t="s">
        <v>20108</v>
      </c>
      <c r="AZ871" s="89" t="s">
        <v>646</v>
      </c>
      <c r="BA871" s="89" t="s">
        <v>646</v>
      </c>
      <c r="BB871" s="89" t="s">
        <v>646</v>
      </c>
      <c r="BC871" s="89" t="s">
        <v>646</v>
      </c>
      <c r="BD871" s="89" t="s">
        <v>24410</v>
      </c>
      <c r="BE871" s="89">
        <v>2017</v>
      </c>
      <c r="BF871" s="89">
        <v>8</v>
      </c>
      <c r="BG871" s="89" t="s">
        <v>646</v>
      </c>
      <c r="BH871" s="89" t="s">
        <v>646</v>
      </c>
      <c r="BI871" s="89" t="s">
        <v>646</v>
      </c>
      <c r="BJ871" s="89" t="s">
        <v>646</v>
      </c>
      <c r="BK871" s="89" t="s">
        <v>646</v>
      </c>
      <c r="BL871" s="89" t="s">
        <v>646</v>
      </c>
      <c r="BM871" s="89" t="s">
        <v>646</v>
      </c>
      <c r="BN871" s="89">
        <v>1359</v>
      </c>
      <c r="BO871" s="89" t="str">
        <f>HYPERLINK("http://dx.doi.org/10.3389/fpsyg.2017.01359","http://dx.doi.org/10.3389/fpsyg.2017.01359")</f>
        <v>http://dx.doi.org/10.3389/fpsyg.2017.01359</v>
      </c>
      <c r="BP871" s="89" t="s">
        <v>646</v>
      </c>
      <c r="BQ871" s="89" t="s">
        <v>646</v>
      </c>
      <c r="BR871" s="89" t="s">
        <v>646</v>
      </c>
      <c r="BS871" s="89" t="s">
        <v>646</v>
      </c>
      <c r="BT871" s="89" t="s">
        <v>646</v>
      </c>
      <c r="BU871" s="89" t="s">
        <v>646</v>
      </c>
      <c r="BV871" s="89" t="s">
        <v>646</v>
      </c>
      <c r="BW871" s="89">
        <v>28848474</v>
      </c>
      <c r="BX871" s="89" t="s">
        <v>646</v>
      </c>
      <c r="BY871" s="89" t="s">
        <v>646</v>
      </c>
      <c r="BZ871" s="89" t="s">
        <v>646</v>
      </c>
      <c r="CA871" s="89" t="s">
        <v>646</v>
      </c>
      <c r="CB871" s="89" t="s">
        <v>24411</v>
      </c>
      <c r="CC871" s="89" t="str">
        <f>HYPERLINK("https%3A%2F%2Fwww.webofscience.com%2Fwos%2Fwoscc%2Ffull-record%2FWOS:000407367900001","View Full Record in Web of Science")</f>
        <v>View Full Record in Web of Science</v>
      </c>
    </row>
    <row r="872" spans="1:81" ht="13.2" hidden="1" x14ac:dyDescent="0.25">
      <c r="A872" s="89" t="s">
        <v>24412</v>
      </c>
      <c r="B872" s="89" t="e">
        <f>+#REF!</f>
        <v>#REF!</v>
      </c>
      <c r="C872" s="89"/>
      <c r="D872" s="91" t="s">
        <v>717</v>
      </c>
      <c r="E872" s="90" t="e">
        <v>#REF!</v>
      </c>
      <c r="F872" s="89"/>
      <c r="G872" s="89"/>
      <c r="H872" s="89" t="s">
        <v>15342</v>
      </c>
      <c r="I872" s="89" t="s">
        <v>24413</v>
      </c>
      <c r="J872" s="89" t="s">
        <v>24416</v>
      </c>
      <c r="K872" s="89" t="s">
        <v>24415</v>
      </c>
      <c r="M872" s="89">
        <v>2017</v>
      </c>
      <c r="N872" s="89" t="s">
        <v>24414</v>
      </c>
      <c r="O872" s="89" t="s">
        <v>646</v>
      </c>
      <c r="P872" s="89" t="str">
        <f>HYPERLINK("http://dx.doi.org/10.1142/S108494671750011X","http://dx.doi.org/10.1142/S108494671750011X")</f>
        <v>http://dx.doi.org/10.1142/S108494671750011X</v>
      </c>
      <c r="S872" s="89" t="s">
        <v>646</v>
      </c>
      <c r="U872" s="89" t="s">
        <v>17462</v>
      </c>
      <c r="W872" s="89" t="s">
        <v>646</v>
      </c>
      <c r="X872" s="89" t="s">
        <v>646</v>
      </c>
      <c r="Y872" s="89" t="s">
        <v>646</v>
      </c>
      <c r="Z872" s="89" t="s">
        <v>646</v>
      </c>
      <c r="AA872" s="89" t="s">
        <v>646</v>
      </c>
      <c r="AB872" s="89" t="s">
        <v>646</v>
      </c>
      <c r="AC872" s="89" t="s">
        <v>646</v>
      </c>
      <c r="AD872" s="89" t="s">
        <v>646</v>
      </c>
      <c r="AE872" s="89" t="s">
        <v>646</v>
      </c>
      <c r="AF872" s="89" t="s">
        <v>24415</v>
      </c>
      <c r="AG872" s="89" t="s">
        <v>646</v>
      </c>
      <c r="AH872" s="89" t="s">
        <v>646</v>
      </c>
      <c r="AI872" s="89" t="s">
        <v>646</v>
      </c>
      <c r="AJ872" s="89" t="s">
        <v>646</v>
      </c>
      <c r="AK872" s="89" t="s">
        <v>24416</v>
      </c>
      <c r="AL872" s="89" t="s">
        <v>24417</v>
      </c>
      <c r="AM872" s="89" t="s">
        <v>646</v>
      </c>
      <c r="AN872" s="89" t="s">
        <v>646</v>
      </c>
      <c r="AO872" s="89" t="s">
        <v>646</v>
      </c>
      <c r="AP872" s="89" t="s">
        <v>646</v>
      </c>
      <c r="AQ872" s="89" t="s">
        <v>646</v>
      </c>
      <c r="AR872" s="89" t="s">
        <v>646</v>
      </c>
      <c r="AS872" s="89" t="s">
        <v>646</v>
      </c>
      <c r="AT872" s="89" t="s">
        <v>646</v>
      </c>
      <c r="AU872" s="89" t="s">
        <v>646</v>
      </c>
      <c r="AV872" s="89" t="s">
        <v>646</v>
      </c>
      <c r="AW872" s="89" t="s">
        <v>646</v>
      </c>
      <c r="AX872" s="89" t="s">
        <v>646</v>
      </c>
      <c r="AY872" s="89" t="s">
        <v>24418</v>
      </c>
      <c r="AZ872" s="89" t="s">
        <v>24419</v>
      </c>
      <c r="BA872" s="89" t="s">
        <v>646</v>
      </c>
      <c r="BB872" s="89" t="s">
        <v>646</v>
      </c>
      <c r="BC872" s="89" t="s">
        <v>646</v>
      </c>
      <c r="BD872" s="89" t="s">
        <v>17772</v>
      </c>
      <c r="BE872" s="89">
        <v>2017</v>
      </c>
      <c r="BF872" s="89">
        <v>22</v>
      </c>
      <c r="BG872" s="89">
        <v>2</v>
      </c>
      <c r="BH872" s="89" t="s">
        <v>646</v>
      </c>
      <c r="BI872" s="89" t="s">
        <v>646</v>
      </c>
      <c r="BJ872" s="89" t="s">
        <v>646</v>
      </c>
      <c r="BK872" s="89" t="s">
        <v>646</v>
      </c>
      <c r="BL872" s="89" t="s">
        <v>646</v>
      </c>
      <c r="BM872" s="89" t="s">
        <v>646</v>
      </c>
      <c r="BN872" s="89">
        <v>1750011</v>
      </c>
      <c r="BO872" s="89" t="str">
        <f>HYPERLINK("http://dx.doi.org/10.1142/S108494671750011X","http://dx.doi.org/10.1142/S108494671750011X")</f>
        <v>http://dx.doi.org/10.1142/S108494671750011X</v>
      </c>
      <c r="BP872" s="89" t="s">
        <v>646</v>
      </c>
      <c r="BQ872" s="89" t="s">
        <v>646</v>
      </c>
      <c r="BR872" s="89" t="s">
        <v>646</v>
      </c>
      <c r="BS872" s="89" t="s">
        <v>646</v>
      </c>
      <c r="BT872" s="89" t="s">
        <v>646</v>
      </c>
      <c r="BU872" s="89" t="s">
        <v>646</v>
      </c>
      <c r="BV872" s="89" t="s">
        <v>646</v>
      </c>
      <c r="BW872" s="89" t="s">
        <v>646</v>
      </c>
      <c r="BX872" s="89" t="s">
        <v>646</v>
      </c>
      <c r="BY872" s="89" t="s">
        <v>646</v>
      </c>
      <c r="BZ872" s="89" t="s">
        <v>646</v>
      </c>
      <c r="CA872" s="89" t="s">
        <v>646</v>
      </c>
      <c r="CB872" s="89" t="s">
        <v>24420</v>
      </c>
      <c r="CC872" s="89" t="str">
        <f>HYPERLINK("https%3A%2F%2Fwww.webofscience.com%2Fwos%2Fwoscc%2Ffull-record%2FWOS:000404983600005","View Full Record in Web of Science")</f>
        <v>View Full Record in Web of Science</v>
      </c>
    </row>
    <row r="873" spans="1:81" ht="13.2" hidden="1" x14ac:dyDescent="0.25">
      <c r="A873" s="89" t="s">
        <v>24421</v>
      </c>
      <c r="B873" s="89" t="e">
        <f>+#REF!</f>
        <v>#REF!</v>
      </c>
      <c r="C873" s="89"/>
      <c r="D873" s="91" t="s">
        <v>717</v>
      </c>
      <c r="E873" s="90" t="e">
        <v>#REF!</v>
      </c>
      <c r="F873" s="89"/>
      <c r="G873" s="89"/>
      <c r="H873" s="89" t="s">
        <v>10379</v>
      </c>
      <c r="I873" s="89" t="s">
        <v>24422</v>
      </c>
      <c r="J873" s="89" t="s">
        <v>646</v>
      </c>
      <c r="K873" s="89" t="s">
        <v>24427</v>
      </c>
      <c r="M873" s="89">
        <v>2020</v>
      </c>
      <c r="N873" s="89" t="s">
        <v>24423</v>
      </c>
      <c r="O873" s="89" t="s">
        <v>646</v>
      </c>
      <c r="P873" s="89" t="str">
        <f>HYPERLINK("http://dx.doi.org/10.1109/IROS45743.2020.9340983","http://dx.doi.org/10.1109/IROS45743.2020.9340983")</f>
        <v>http://dx.doi.org/10.1109/IROS45743.2020.9340983</v>
      </c>
      <c r="S873" s="89" t="s">
        <v>17475</v>
      </c>
      <c r="U873" s="89" t="s">
        <v>17474</v>
      </c>
      <c r="W873" s="89" t="s">
        <v>646</v>
      </c>
      <c r="X873" s="89" t="s">
        <v>646</v>
      </c>
      <c r="Y873" s="89" t="s">
        <v>24424</v>
      </c>
      <c r="Z873" s="89" t="s">
        <v>24425</v>
      </c>
      <c r="AA873" s="89" t="s">
        <v>17494</v>
      </c>
      <c r="AB873" s="89" t="s">
        <v>24426</v>
      </c>
      <c r="AC873" s="89" t="s">
        <v>646</v>
      </c>
      <c r="AD873" s="89" t="s">
        <v>646</v>
      </c>
      <c r="AE873" s="89" t="s">
        <v>646</v>
      </c>
      <c r="AF873" s="89" t="s">
        <v>24427</v>
      </c>
      <c r="AG873" s="89" t="s">
        <v>646</v>
      </c>
      <c r="AH873" s="89" t="s">
        <v>646</v>
      </c>
      <c r="AI873" s="89" t="s">
        <v>646</v>
      </c>
      <c r="AJ873" s="89" t="s">
        <v>646</v>
      </c>
      <c r="AK873" s="89" t="s">
        <v>646</v>
      </c>
      <c r="AL873" s="89" t="s">
        <v>646</v>
      </c>
      <c r="AM873" s="89" t="s">
        <v>646</v>
      </c>
      <c r="AN873" s="89" t="s">
        <v>646</v>
      </c>
      <c r="AO873" s="89" t="s">
        <v>646</v>
      </c>
      <c r="AP873" s="89" t="s">
        <v>646</v>
      </c>
      <c r="AQ873" s="89" t="s">
        <v>646</v>
      </c>
      <c r="AR873" s="89" t="s">
        <v>646</v>
      </c>
      <c r="AS873" s="89" t="s">
        <v>646</v>
      </c>
      <c r="AT873" s="89" t="s">
        <v>646</v>
      </c>
      <c r="AU873" s="89" t="s">
        <v>646</v>
      </c>
      <c r="AV873" s="89" t="s">
        <v>646</v>
      </c>
      <c r="AW873" s="89" t="s">
        <v>646</v>
      </c>
      <c r="AX873" s="89" t="s">
        <v>646</v>
      </c>
      <c r="AY873" s="89" t="s">
        <v>24428</v>
      </c>
      <c r="AZ873" s="89" t="s">
        <v>646</v>
      </c>
      <c r="BA873" s="89" t="s">
        <v>24429</v>
      </c>
      <c r="BB873" s="89" t="s">
        <v>646</v>
      </c>
      <c r="BC873" s="89" t="s">
        <v>646</v>
      </c>
      <c r="BD873" s="89" t="s">
        <v>646</v>
      </c>
      <c r="BE873" s="89">
        <v>2020</v>
      </c>
      <c r="BF873" s="89" t="s">
        <v>646</v>
      </c>
      <c r="BG873" s="89" t="s">
        <v>646</v>
      </c>
      <c r="BH873" s="89" t="s">
        <v>646</v>
      </c>
      <c r="BI873" s="89" t="s">
        <v>646</v>
      </c>
      <c r="BJ873" s="89" t="s">
        <v>646</v>
      </c>
      <c r="BK873" s="89" t="s">
        <v>646</v>
      </c>
      <c r="BL873" s="89">
        <v>11229</v>
      </c>
      <c r="BM873" s="89">
        <v>11236</v>
      </c>
      <c r="BN873" s="89" t="s">
        <v>646</v>
      </c>
      <c r="BO873" s="89" t="str">
        <f>HYPERLINK("http://dx.doi.org/10.1109/IROS45743.2020.9340983","http://dx.doi.org/10.1109/IROS45743.2020.9340983")</f>
        <v>http://dx.doi.org/10.1109/IROS45743.2020.9340983</v>
      </c>
      <c r="BP873" s="89" t="s">
        <v>646</v>
      </c>
      <c r="BQ873" s="89" t="s">
        <v>646</v>
      </c>
      <c r="BR873" s="89" t="s">
        <v>646</v>
      </c>
      <c r="BS873" s="89" t="s">
        <v>646</v>
      </c>
      <c r="BT873" s="89" t="s">
        <v>646</v>
      </c>
      <c r="BU873" s="89" t="s">
        <v>646</v>
      </c>
      <c r="BV873" s="89" t="s">
        <v>646</v>
      </c>
      <c r="BW873" s="89" t="s">
        <v>646</v>
      </c>
      <c r="BX873" s="89" t="s">
        <v>646</v>
      </c>
      <c r="BY873" s="89" t="s">
        <v>646</v>
      </c>
      <c r="BZ873" s="89" t="s">
        <v>646</v>
      </c>
      <c r="CA873" s="89" t="s">
        <v>646</v>
      </c>
      <c r="CB873" s="89" t="s">
        <v>24430</v>
      </c>
      <c r="CC873" s="89" t="str">
        <f>HYPERLINK("https%3A%2F%2Fwww.webofscience.com%2Fwos%2Fwoscc%2Ffull-record%2FWOS:000724145800135","View Full Record in Web of Science")</f>
        <v>View Full Record in Web of Science</v>
      </c>
    </row>
    <row r="874" spans="1:81" ht="13.2" hidden="1" x14ac:dyDescent="0.25">
      <c r="A874" s="89" t="s">
        <v>24431</v>
      </c>
      <c r="B874" s="89" t="e">
        <f>+#REF!</f>
        <v>#REF!</v>
      </c>
      <c r="C874" s="89"/>
      <c r="D874" s="91" t="s">
        <v>717</v>
      </c>
      <c r="E874" s="90" t="e">
        <v>#REF!</v>
      </c>
      <c r="F874" s="89"/>
      <c r="G874" s="89"/>
      <c r="H874" s="89" t="s">
        <v>15351</v>
      </c>
      <c r="I874" s="89" t="s">
        <v>24433</v>
      </c>
      <c r="J874" s="89" t="s">
        <v>646</v>
      </c>
      <c r="K874" s="89" t="s">
        <v>24439</v>
      </c>
      <c r="M874" s="89">
        <v>2015</v>
      </c>
      <c r="N874" s="89" t="s">
        <v>24434</v>
      </c>
      <c r="O874" s="89" t="s">
        <v>24432</v>
      </c>
      <c r="P874" s="89" t="str">
        <f>HYPERLINK("http://dx.doi.org/10.1109/ICDM.2015.119","http://dx.doi.org/10.1109/ICDM.2015.119")</f>
        <v>http://dx.doi.org/10.1109/ICDM.2015.119</v>
      </c>
      <c r="S874" s="89" t="s">
        <v>646</v>
      </c>
      <c r="U874" s="89" t="s">
        <v>17474</v>
      </c>
      <c r="W874" s="89" t="s">
        <v>646</v>
      </c>
      <c r="X874" s="89" t="s">
        <v>646</v>
      </c>
      <c r="Y874" s="89" t="s">
        <v>24435</v>
      </c>
      <c r="Z874" s="89" t="s">
        <v>24436</v>
      </c>
      <c r="AA874" s="89" t="s">
        <v>24437</v>
      </c>
      <c r="AB874" s="89" t="s">
        <v>24438</v>
      </c>
      <c r="AC874" s="89" t="s">
        <v>646</v>
      </c>
      <c r="AD874" s="89" t="s">
        <v>646</v>
      </c>
      <c r="AE874" s="89" t="s">
        <v>646</v>
      </c>
      <c r="AF874" s="89" t="s">
        <v>24439</v>
      </c>
      <c r="AG874" s="89" t="s">
        <v>646</v>
      </c>
      <c r="AH874" s="89" t="s">
        <v>646</v>
      </c>
      <c r="AI874" s="89" t="s">
        <v>646</v>
      </c>
      <c r="AJ874" s="89" t="s">
        <v>646</v>
      </c>
      <c r="AK874" s="89" t="s">
        <v>646</v>
      </c>
      <c r="AL874" s="89" t="s">
        <v>646</v>
      </c>
      <c r="AM874" s="89" t="s">
        <v>646</v>
      </c>
      <c r="AN874" s="89" t="s">
        <v>646</v>
      </c>
      <c r="AO874" s="89" t="s">
        <v>646</v>
      </c>
      <c r="AP874" s="89" t="s">
        <v>646</v>
      </c>
      <c r="AQ874" s="89" t="s">
        <v>646</v>
      </c>
      <c r="AR874" s="89" t="s">
        <v>646</v>
      </c>
      <c r="AS874" s="89" t="s">
        <v>646</v>
      </c>
      <c r="AT874" s="89" t="s">
        <v>646</v>
      </c>
      <c r="AU874" s="89" t="s">
        <v>646</v>
      </c>
      <c r="AV874" s="89" t="s">
        <v>646</v>
      </c>
      <c r="AW874" s="89" t="s">
        <v>646</v>
      </c>
      <c r="AX874" s="89" t="s">
        <v>646</v>
      </c>
      <c r="AY874" s="89" t="s">
        <v>24440</v>
      </c>
      <c r="AZ874" s="89" t="s">
        <v>646</v>
      </c>
      <c r="BA874" s="89" t="s">
        <v>24441</v>
      </c>
      <c r="BB874" s="89" t="s">
        <v>646</v>
      </c>
      <c r="BC874" s="89" t="s">
        <v>646</v>
      </c>
      <c r="BD874" s="89" t="s">
        <v>646</v>
      </c>
      <c r="BE874" s="89">
        <v>2015</v>
      </c>
      <c r="BF874" s="89" t="s">
        <v>646</v>
      </c>
      <c r="BG874" s="89" t="s">
        <v>646</v>
      </c>
      <c r="BH874" s="89" t="s">
        <v>646</v>
      </c>
      <c r="BI874" s="89" t="s">
        <v>646</v>
      </c>
      <c r="BJ874" s="89" t="s">
        <v>646</v>
      </c>
      <c r="BK874" s="89" t="s">
        <v>646</v>
      </c>
      <c r="BL874" s="89">
        <v>949</v>
      </c>
      <c r="BM874" s="89">
        <v>954</v>
      </c>
      <c r="BN874" s="89" t="s">
        <v>646</v>
      </c>
      <c r="BO874" s="89" t="str">
        <f>HYPERLINK("http://dx.doi.org/10.1109/ICDM.2015.119","http://dx.doi.org/10.1109/ICDM.2015.119")</f>
        <v>http://dx.doi.org/10.1109/ICDM.2015.119</v>
      </c>
      <c r="BP874" s="89" t="s">
        <v>646</v>
      </c>
      <c r="BQ874" s="89" t="s">
        <v>646</v>
      </c>
      <c r="BR874" s="89" t="s">
        <v>646</v>
      </c>
      <c r="BS874" s="89" t="s">
        <v>646</v>
      </c>
      <c r="BT874" s="89" t="s">
        <v>646</v>
      </c>
      <c r="BU874" s="89" t="s">
        <v>646</v>
      </c>
      <c r="BV874" s="89" t="s">
        <v>646</v>
      </c>
      <c r="BW874" s="89" t="s">
        <v>646</v>
      </c>
      <c r="BX874" s="89" t="s">
        <v>646</v>
      </c>
      <c r="BY874" s="89" t="s">
        <v>646</v>
      </c>
      <c r="BZ874" s="89" t="s">
        <v>646</v>
      </c>
      <c r="CA874" s="89" t="s">
        <v>646</v>
      </c>
      <c r="CB874" s="89" t="s">
        <v>24442</v>
      </c>
      <c r="CC874" s="89" t="str">
        <f>HYPERLINK("https%3A%2F%2Fwww.webofscience.com%2Fwos%2Fwoscc%2Ffull-record%2FWOS:000380541000114","View Full Record in Web of Science")</f>
        <v>View Full Record in Web of Science</v>
      </c>
    </row>
    <row r="875" spans="1:81" ht="13.2" hidden="1" x14ac:dyDescent="0.25">
      <c r="A875" s="89" t="s">
        <v>24443</v>
      </c>
      <c r="B875" s="89" t="e">
        <f>+#REF!</f>
        <v>#REF!</v>
      </c>
      <c r="C875" s="89"/>
      <c r="D875" s="91" t="s">
        <v>717</v>
      </c>
      <c r="E875" s="90" t="e">
        <v>#REF!</v>
      </c>
      <c r="F875" s="89"/>
      <c r="G875" s="89"/>
      <c r="H875" s="89" t="s">
        <v>15360</v>
      </c>
      <c r="I875" s="89" t="s">
        <v>24444</v>
      </c>
      <c r="J875" s="89" t="s">
        <v>646</v>
      </c>
      <c r="K875" s="89" t="s">
        <v>24445</v>
      </c>
      <c r="M875" s="89">
        <v>2015</v>
      </c>
      <c r="N875" s="89" t="s">
        <v>22137</v>
      </c>
      <c r="O875" s="89" t="s">
        <v>646</v>
      </c>
      <c r="P875" s="89" t="str">
        <f>HYPERLINK("http://dx.doi.org/10.1145/2723372.2749440","http://dx.doi.org/10.1145/2723372.2749440")</f>
        <v>http://dx.doi.org/10.1145/2723372.2749440</v>
      </c>
      <c r="S875" s="89" t="s">
        <v>20420</v>
      </c>
      <c r="U875" s="89" t="s">
        <v>17474</v>
      </c>
      <c r="W875" s="89" t="s">
        <v>646</v>
      </c>
      <c r="X875" s="89" t="s">
        <v>646</v>
      </c>
      <c r="Y875" s="89" t="s">
        <v>22138</v>
      </c>
      <c r="Z875" s="89" t="s">
        <v>22139</v>
      </c>
      <c r="AA875" s="89" t="s">
        <v>22140</v>
      </c>
      <c r="AB875" s="89" t="s">
        <v>22141</v>
      </c>
      <c r="AC875" s="89" t="s">
        <v>646</v>
      </c>
      <c r="AD875" s="89" t="s">
        <v>646</v>
      </c>
      <c r="AE875" s="89" t="s">
        <v>646</v>
      </c>
      <c r="AF875" s="89" t="s">
        <v>24445</v>
      </c>
      <c r="AG875" s="89" t="s">
        <v>646</v>
      </c>
      <c r="AH875" s="89" t="s">
        <v>646</v>
      </c>
      <c r="AI875" s="89" t="s">
        <v>646</v>
      </c>
      <c r="AJ875" s="89" t="s">
        <v>646</v>
      </c>
      <c r="AK875" s="89" t="s">
        <v>646</v>
      </c>
      <c r="AL875" s="89" t="s">
        <v>646</v>
      </c>
      <c r="AM875" s="89" t="s">
        <v>646</v>
      </c>
      <c r="AN875" s="89" t="s">
        <v>646</v>
      </c>
      <c r="AO875" s="89" t="s">
        <v>646</v>
      </c>
      <c r="AP875" s="89" t="s">
        <v>646</v>
      </c>
      <c r="AQ875" s="89" t="s">
        <v>646</v>
      </c>
      <c r="AR875" s="89" t="s">
        <v>646</v>
      </c>
      <c r="AS875" s="89" t="s">
        <v>646</v>
      </c>
      <c r="AT875" s="89" t="s">
        <v>646</v>
      </c>
      <c r="AU875" s="89" t="s">
        <v>646</v>
      </c>
      <c r="AV875" s="89" t="s">
        <v>646</v>
      </c>
      <c r="AW875" s="89" t="s">
        <v>646</v>
      </c>
      <c r="AX875" s="89" t="s">
        <v>646</v>
      </c>
      <c r="AY875" s="89" t="s">
        <v>646</v>
      </c>
      <c r="AZ875" s="89" t="s">
        <v>646</v>
      </c>
      <c r="BA875" s="89" t="s">
        <v>22144</v>
      </c>
      <c r="BB875" s="89" t="s">
        <v>646</v>
      </c>
      <c r="BC875" s="89" t="s">
        <v>646</v>
      </c>
      <c r="BD875" s="89" t="s">
        <v>646</v>
      </c>
      <c r="BE875" s="89">
        <v>2015</v>
      </c>
      <c r="BF875" s="89" t="s">
        <v>646</v>
      </c>
      <c r="BG875" s="89" t="s">
        <v>646</v>
      </c>
      <c r="BH875" s="89" t="s">
        <v>646</v>
      </c>
      <c r="BI875" s="89" t="s">
        <v>646</v>
      </c>
      <c r="BJ875" s="89" t="s">
        <v>646</v>
      </c>
      <c r="BK875" s="89" t="s">
        <v>646</v>
      </c>
      <c r="BL875" s="89">
        <v>1047</v>
      </c>
      <c r="BM875" s="89">
        <v>1062</v>
      </c>
      <c r="BN875" s="89" t="s">
        <v>646</v>
      </c>
      <c r="BO875" s="89" t="str">
        <f>HYPERLINK("http://dx.doi.org/10.1145/2723372.2749440","http://dx.doi.org/10.1145/2723372.2749440")</f>
        <v>http://dx.doi.org/10.1145/2723372.2749440</v>
      </c>
      <c r="BP875" s="89" t="s">
        <v>646</v>
      </c>
      <c r="BQ875" s="89" t="s">
        <v>646</v>
      </c>
      <c r="BR875" s="89" t="s">
        <v>646</v>
      </c>
      <c r="BS875" s="89" t="s">
        <v>646</v>
      </c>
      <c r="BT875" s="89" t="s">
        <v>646</v>
      </c>
      <c r="BU875" s="89" t="s">
        <v>646</v>
      </c>
      <c r="BV875" s="89" t="s">
        <v>646</v>
      </c>
      <c r="BW875" s="89" t="s">
        <v>646</v>
      </c>
      <c r="BX875" s="89" t="s">
        <v>646</v>
      </c>
      <c r="BY875" s="89" t="s">
        <v>646</v>
      </c>
      <c r="BZ875" s="89" t="s">
        <v>646</v>
      </c>
      <c r="CA875" s="89" t="s">
        <v>646</v>
      </c>
      <c r="CB875" s="89" t="s">
        <v>24446</v>
      </c>
      <c r="CC875" s="89" t="str">
        <f>HYPERLINK("https%3A%2F%2Fwww.webofscience.com%2Fwos%2Fwoscc%2Ffull-record%2FWOS:000452535700081","View Full Record in Web of Science")</f>
        <v>View Full Record in Web of Science</v>
      </c>
    </row>
    <row r="876" spans="1:81" ht="13.2" hidden="1" x14ac:dyDescent="0.25">
      <c r="A876" s="89" t="s">
        <v>24447</v>
      </c>
      <c r="B876" s="89" t="e">
        <f>+#REF!</f>
        <v>#REF!</v>
      </c>
      <c r="C876" s="89"/>
      <c r="D876" s="91" t="s">
        <v>717</v>
      </c>
      <c r="E876" s="90" t="e">
        <v>#REF!</v>
      </c>
      <c r="F876" s="89"/>
      <c r="G876" s="89"/>
      <c r="H876" s="89" t="s">
        <v>15367</v>
      </c>
      <c r="I876" s="89" t="s">
        <v>24448</v>
      </c>
      <c r="J876" s="89" t="s">
        <v>646</v>
      </c>
      <c r="K876" s="89" t="s">
        <v>24453</v>
      </c>
      <c r="M876" s="89">
        <v>2016</v>
      </c>
      <c r="N876" s="89" t="s">
        <v>24449</v>
      </c>
      <c r="O876" s="89" t="s">
        <v>646</v>
      </c>
      <c r="P876" s="89" t="str">
        <f>HYPERLINK("http://dx.doi.org/10.1145/2889160.2889198","http://dx.doi.org/10.1145/2889160.2889198")</f>
        <v>http://dx.doi.org/10.1145/2889160.2889198</v>
      </c>
      <c r="S876" s="89" t="s">
        <v>17475</v>
      </c>
      <c r="U876" s="89" t="s">
        <v>17474</v>
      </c>
      <c r="W876" s="89" t="s">
        <v>646</v>
      </c>
      <c r="X876" s="89" t="s">
        <v>646</v>
      </c>
      <c r="Y876" s="89" t="s">
        <v>24450</v>
      </c>
      <c r="Z876" s="89" t="s">
        <v>24451</v>
      </c>
      <c r="AA876" s="89" t="s">
        <v>20171</v>
      </c>
      <c r="AB876" s="89" t="s">
        <v>24452</v>
      </c>
      <c r="AC876" s="89" t="s">
        <v>646</v>
      </c>
      <c r="AD876" s="89" t="s">
        <v>646</v>
      </c>
      <c r="AE876" s="89" t="s">
        <v>646</v>
      </c>
      <c r="AF876" s="89" t="s">
        <v>24453</v>
      </c>
      <c r="AG876" s="89" t="s">
        <v>646</v>
      </c>
      <c r="AH876" s="89" t="s">
        <v>646</v>
      </c>
      <c r="AI876" s="89" t="s">
        <v>646</v>
      </c>
      <c r="AJ876" s="89" t="s">
        <v>646</v>
      </c>
      <c r="AK876" s="89" t="s">
        <v>646</v>
      </c>
      <c r="AL876" s="89" t="s">
        <v>646</v>
      </c>
      <c r="AM876" s="89" t="s">
        <v>646</v>
      </c>
      <c r="AN876" s="89" t="s">
        <v>646</v>
      </c>
      <c r="AO876" s="89" t="s">
        <v>646</v>
      </c>
      <c r="AP876" s="89" t="s">
        <v>646</v>
      </c>
      <c r="AQ876" s="89" t="s">
        <v>646</v>
      </c>
      <c r="AR876" s="89" t="s">
        <v>646</v>
      </c>
      <c r="AS876" s="89" t="s">
        <v>646</v>
      </c>
      <c r="AT876" s="89" t="s">
        <v>646</v>
      </c>
      <c r="AU876" s="89" t="s">
        <v>646</v>
      </c>
      <c r="AV876" s="89" t="s">
        <v>646</v>
      </c>
      <c r="AW876" s="89" t="s">
        <v>646</v>
      </c>
      <c r="AX876" s="89" t="s">
        <v>646</v>
      </c>
      <c r="AY876" s="89" t="s">
        <v>646</v>
      </c>
      <c r="AZ876" s="89" t="s">
        <v>646</v>
      </c>
      <c r="BA876" s="89" t="s">
        <v>24454</v>
      </c>
      <c r="BB876" s="89" t="s">
        <v>646</v>
      </c>
      <c r="BC876" s="89" t="s">
        <v>646</v>
      </c>
      <c r="BD876" s="89" t="s">
        <v>646</v>
      </c>
      <c r="BE876" s="89">
        <v>2016</v>
      </c>
      <c r="BF876" s="89" t="s">
        <v>646</v>
      </c>
      <c r="BG876" s="89" t="s">
        <v>646</v>
      </c>
      <c r="BH876" s="89" t="s">
        <v>646</v>
      </c>
      <c r="BI876" s="89" t="s">
        <v>646</v>
      </c>
      <c r="BJ876" s="89" t="s">
        <v>646</v>
      </c>
      <c r="BK876" s="89" t="s">
        <v>646</v>
      </c>
      <c r="BL876" s="89">
        <v>440</v>
      </c>
      <c r="BM876" s="89">
        <v>450</v>
      </c>
      <c r="BN876" s="89" t="s">
        <v>646</v>
      </c>
      <c r="BO876" s="89" t="str">
        <f>HYPERLINK("http://dx.doi.org/10.1145/2889160.2889198","http://dx.doi.org/10.1145/2889160.2889198")</f>
        <v>http://dx.doi.org/10.1145/2889160.2889198</v>
      </c>
      <c r="BP876" s="89" t="s">
        <v>646</v>
      </c>
      <c r="BQ876" s="89" t="s">
        <v>646</v>
      </c>
      <c r="BR876" s="89" t="s">
        <v>646</v>
      </c>
      <c r="BS876" s="89" t="s">
        <v>646</v>
      </c>
      <c r="BT876" s="89" t="s">
        <v>646</v>
      </c>
      <c r="BU876" s="89" t="s">
        <v>646</v>
      </c>
      <c r="BV876" s="89" t="s">
        <v>646</v>
      </c>
      <c r="BW876" s="89" t="s">
        <v>646</v>
      </c>
      <c r="BX876" s="89" t="s">
        <v>646</v>
      </c>
      <c r="BY876" s="89" t="s">
        <v>646</v>
      </c>
      <c r="BZ876" s="89" t="s">
        <v>646</v>
      </c>
      <c r="CA876" s="89" t="s">
        <v>646</v>
      </c>
      <c r="CB876" s="89" t="s">
        <v>24455</v>
      </c>
      <c r="CC876" s="89" t="str">
        <f>HYPERLINK("https%3A%2F%2Fwww.webofscience.com%2Fwos%2Fwoscc%2Ffull-record%2FWOS:000402155300052","View Full Record in Web of Science")</f>
        <v>View Full Record in Web of Science</v>
      </c>
    </row>
    <row r="877" spans="1:81" ht="13.2" hidden="1" x14ac:dyDescent="0.25">
      <c r="A877" s="89" t="s">
        <v>15374</v>
      </c>
      <c r="B877" s="89" t="e">
        <f>+#REF!</f>
        <v>#REF!</v>
      </c>
      <c r="C877" s="89"/>
      <c r="D877" s="91" t="s">
        <v>717</v>
      </c>
      <c r="E877" s="90" t="e">
        <v>#REF!</v>
      </c>
      <c r="F877" s="89"/>
      <c r="G877" s="89"/>
      <c r="H877" s="89" t="s">
        <v>15375</v>
      </c>
      <c r="I877" s="89" t="s">
        <v>24456</v>
      </c>
      <c r="J877" s="89" t="s">
        <v>646</v>
      </c>
      <c r="K877" s="89" t="s">
        <v>24458</v>
      </c>
      <c r="M877" s="89">
        <v>2020</v>
      </c>
      <c r="N877" s="89" t="s">
        <v>24457</v>
      </c>
      <c r="O877" s="89" t="s">
        <v>646</v>
      </c>
      <c r="P877" s="89" t="str">
        <f>HYPERLINK("http://dx.doi.org/10.1163/15691497-12341538","http://dx.doi.org/10.1163/15691497-12341538")</f>
        <v>http://dx.doi.org/10.1163/15691497-12341538</v>
      </c>
      <c r="S877" s="89" t="s">
        <v>646</v>
      </c>
      <c r="U877" s="89" t="s">
        <v>17462</v>
      </c>
      <c r="W877" s="89" t="s">
        <v>646</v>
      </c>
      <c r="X877" s="89" t="s">
        <v>646</v>
      </c>
      <c r="Y877" s="89" t="s">
        <v>646</v>
      </c>
      <c r="Z877" s="89" t="s">
        <v>646</v>
      </c>
      <c r="AA877" s="89" t="s">
        <v>646</v>
      </c>
      <c r="AB877" s="89" t="s">
        <v>646</v>
      </c>
      <c r="AC877" s="89" t="s">
        <v>646</v>
      </c>
      <c r="AD877" s="89" t="s">
        <v>646</v>
      </c>
      <c r="AE877" s="89" t="s">
        <v>646</v>
      </c>
      <c r="AF877" s="89" t="s">
        <v>24458</v>
      </c>
      <c r="AG877" s="89" t="s">
        <v>646</v>
      </c>
      <c r="AH877" s="89" t="s">
        <v>646</v>
      </c>
      <c r="AI877" s="89" t="s">
        <v>646</v>
      </c>
      <c r="AJ877" s="89" t="s">
        <v>646</v>
      </c>
      <c r="AK877" s="89" t="s">
        <v>646</v>
      </c>
      <c r="AL877" s="89" t="s">
        <v>646</v>
      </c>
      <c r="AM877" s="89" t="s">
        <v>646</v>
      </c>
      <c r="AN877" s="89" t="s">
        <v>646</v>
      </c>
      <c r="AO877" s="89" t="s">
        <v>646</v>
      </c>
      <c r="AP877" s="89" t="s">
        <v>646</v>
      </c>
      <c r="AQ877" s="89" t="s">
        <v>646</v>
      </c>
      <c r="AR877" s="89" t="s">
        <v>646</v>
      </c>
      <c r="AS877" s="89" t="s">
        <v>646</v>
      </c>
      <c r="AT877" s="89" t="s">
        <v>646</v>
      </c>
      <c r="AU877" s="89" t="s">
        <v>646</v>
      </c>
      <c r="AV877" s="89" t="s">
        <v>646</v>
      </c>
      <c r="AW877" s="89" t="s">
        <v>646</v>
      </c>
      <c r="AX877" s="89" t="s">
        <v>646</v>
      </c>
      <c r="AY877" s="89" t="s">
        <v>24459</v>
      </c>
      <c r="AZ877" s="89" t="s">
        <v>24460</v>
      </c>
      <c r="BA877" s="89" t="s">
        <v>646</v>
      </c>
      <c r="BB877" s="89" t="s">
        <v>646</v>
      </c>
      <c r="BC877" s="89" t="s">
        <v>646</v>
      </c>
      <c r="BD877" s="89" t="s">
        <v>17779</v>
      </c>
      <c r="BE877" s="89">
        <v>2020</v>
      </c>
      <c r="BF877" s="89">
        <v>19</v>
      </c>
      <c r="BG877" s="89" t="s">
        <v>21025</v>
      </c>
      <c r="BH877" s="89" t="s">
        <v>646</v>
      </c>
      <c r="BI877" s="89" t="s">
        <v>646</v>
      </c>
      <c r="BJ877" s="89" t="s">
        <v>17555</v>
      </c>
      <c r="BK877" s="89" t="s">
        <v>646</v>
      </c>
      <c r="BL877" s="89">
        <v>32</v>
      </c>
      <c r="BM877" s="89">
        <v>44</v>
      </c>
      <c r="BN877" s="89" t="s">
        <v>646</v>
      </c>
      <c r="BO877" s="89" t="str">
        <f>HYPERLINK("http://dx.doi.org/10.1163/15691497-12341538","http://dx.doi.org/10.1163/15691497-12341538")</f>
        <v>http://dx.doi.org/10.1163/15691497-12341538</v>
      </c>
      <c r="BP877" s="89" t="s">
        <v>646</v>
      </c>
      <c r="BQ877" s="89" t="s">
        <v>646</v>
      </c>
      <c r="BR877" s="89" t="s">
        <v>646</v>
      </c>
      <c r="BS877" s="89" t="s">
        <v>646</v>
      </c>
      <c r="BT877" s="89" t="s">
        <v>646</v>
      </c>
      <c r="BU877" s="89" t="s">
        <v>646</v>
      </c>
      <c r="BV877" s="89" t="s">
        <v>646</v>
      </c>
      <c r="BW877" s="89" t="s">
        <v>646</v>
      </c>
      <c r="BX877" s="89" t="s">
        <v>646</v>
      </c>
      <c r="BY877" s="89" t="s">
        <v>646</v>
      </c>
      <c r="BZ877" s="89" t="s">
        <v>646</v>
      </c>
      <c r="CA877" s="89" t="s">
        <v>646</v>
      </c>
      <c r="CB877" s="89" t="s">
        <v>24461</v>
      </c>
      <c r="CC877" s="89" t="str">
        <f>HYPERLINK("https%3A%2F%2Fwww.webofscience.com%2Fwos%2Fwoscc%2Ffull-record%2FWOS:000523359300003","View Full Record in Web of Science")</f>
        <v>View Full Record in Web of Science</v>
      </c>
    </row>
    <row r="878" spans="1:81" ht="13.2" hidden="1" x14ac:dyDescent="0.25">
      <c r="A878" s="89" t="s">
        <v>15384</v>
      </c>
      <c r="B878" s="89" t="e">
        <f>+#REF!</f>
        <v>#REF!</v>
      </c>
      <c r="C878" s="89"/>
      <c r="D878" s="91" t="s">
        <v>717</v>
      </c>
      <c r="E878" s="90" t="e">
        <v>#REF!</v>
      </c>
      <c r="F878" s="89"/>
      <c r="G878" s="89"/>
      <c r="H878" s="89" t="s">
        <v>15385</v>
      </c>
      <c r="I878" s="89" t="s">
        <v>19554</v>
      </c>
      <c r="J878" s="89" t="s">
        <v>19625</v>
      </c>
      <c r="K878" s="89" t="s">
        <v>24462</v>
      </c>
      <c r="M878" s="89">
        <v>2006</v>
      </c>
      <c r="N878" s="89" t="s">
        <v>19008</v>
      </c>
      <c r="O878" s="89" t="s">
        <v>646</v>
      </c>
      <c r="P878" s="89" t="str">
        <f>HYPERLINK("http://dx.doi.org/10.1109/ICGSE.2006.261236","http://dx.doi.org/10.1109/ICGSE.2006.261236")</f>
        <v>http://dx.doi.org/10.1109/ICGSE.2006.261236</v>
      </c>
      <c r="S878" s="89" t="s">
        <v>19006</v>
      </c>
      <c r="U878" s="89" t="s">
        <v>17474</v>
      </c>
      <c r="W878" s="89" t="s">
        <v>646</v>
      </c>
      <c r="X878" s="89" t="s">
        <v>646</v>
      </c>
      <c r="Y878" s="89" t="s">
        <v>19009</v>
      </c>
      <c r="Z878" s="89" t="s">
        <v>19010</v>
      </c>
      <c r="AA878" s="89" t="s">
        <v>19011</v>
      </c>
      <c r="AB878" s="89" t="s">
        <v>19012</v>
      </c>
      <c r="AC878" s="89" t="s">
        <v>646</v>
      </c>
      <c r="AD878" s="89" t="s">
        <v>646</v>
      </c>
      <c r="AE878" s="89" t="s">
        <v>646</v>
      </c>
      <c r="AF878" s="89" t="s">
        <v>24462</v>
      </c>
      <c r="AG878" s="89" t="s">
        <v>646</v>
      </c>
      <c r="AH878" s="89" t="s">
        <v>646</v>
      </c>
      <c r="AI878" s="89" t="s">
        <v>646</v>
      </c>
      <c r="AJ878" s="89" t="s">
        <v>646</v>
      </c>
      <c r="AK878" s="89" t="s">
        <v>19625</v>
      </c>
      <c r="AL878" s="89" t="s">
        <v>19626</v>
      </c>
      <c r="AM878" s="89" t="s">
        <v>646</v>
      </c>
      <c r="AN878" s="89" t="s">
        <v>646</v>
      </c>
      <c r="AO878" s="89" t="s">
        <v>646</v>
      </c>
      <c r="AP878" s="89" t="s">
        <v>646</v>
      </c>
      <c r="AQ878" s="89" t="s">
        <v>646</v>
      </c>
      <c r="AR878" s="89" t="s">
        <v>646</v>
      </c>
      <c r="AS878" s="89" t="s">
        <v>646</v>
      </c>
      <c r="AT878" s="89" t="s">
        <v>646</v>
      </c>
      <c r="AU878" s="89" t="s">
        <v>646</v>
      </c>
      <c r="AV878" s="89" t="s">
        <v>646</v>
      </c>
      <c r="AW878" s="89" t="s">
        <v>646</v>
      </c>
      <c r="AX878" s="89" t="s">
        <v>646</v>
      </c>
      <c r="AY878" s="89" t="s">
        <v>646</v>
      </c>
      <c r="AZ878" s="89" t="s">
        <v>646</v>
      </c>
      <c r="BA878" s="89" t="s">
        <v>19014</v>
      </c>
      <c r="BB878" s="89" t="s">
        <v>646</v>
      </c>
      <c r="BC878" s="89" t="s">
        <v>646</v>
      </c>
      <c r="BD878" s="89" t="s">
        <v>646</v>
      </c>
      <c r="BE878" s="89">
        <v>2006</v>
      </c>
      <c r="BF878" s="89" t="s">
        <v>646</v>
      </c>
      <c r="BG878" s="89" t="s">
        <v>646</v>
      </c>
      <c r="BH878" s="89" t="s">
        <v>646</v>
      </c>
      <c r="BI878" s="89" t="s">
        <v>646</v>
      </c>
      <c r="BJ878" s="89" t="s">
        <v>646</v>
      </c>
      <c r="BK878" s="89" t="s">
        <v>646</v>
      </c>
      <c r="BL878" s="89">
        <v>223</v>
      </c>
      <c r="BM878" s="89" t="s">
        <v>18405</v>
      </c>
      <c r="BN878" s="89" t="s">
        <v>646</v>
      </c>
      <c r="BO878" s="89" t="str">
        <f>HYPERLINK("http://dx.doi.org/10.1109/ICGSE.2006.261236","http://dx.doi.org/10.1109/ICGSE.2006.261236")</f>
        <v>http://dx.doi.org/10.1109/ICGSE.2006.261236</v>
      </c>
      <c r="BP878" s="89" t="s">
        <v>646</v>
      </c>
      <c r="BQ878" s="89" t="s">
        <v>646</v>
      </c>
      <c r="BR878" s="89" t="s">
        <v>646</v>
      </c>
      <c r="BS878" s="89" t="s">
        <v>646</v>
      </c>
      <c r="BT878" s="89" t="s">
        <v>646</v>
      </c>
      <c r="BU878" s="89" t="s">
        <v>646</v>
      </c>
      <c r="BV878" s="89" t="s">
        <v>646</v>
      </c>
      <c r="BW878" s="89" t="s">
        <v>646</v>
      </c>
      <c r="BX878" s="89" t="s">
        <v>646</v>
      </c>
      <c r="BY878" s="89" t="s">
        <v>646</v>
      </c>
      <c r="BZ878" s="89" t="s">
        <v>646</v>
      </c>
      <c r="CA878" s="89" t="s">
        <v>646</v>
      </c>
      <c r="CB878" s="89" t="s">
        <v>24463</v>
      </c>
      <c r="CC878" s="89" t="str">
        <f>HYPERLINK("https%3A%2F%2Fwww.webofscience.com%2Fwos%2Fwoscc%2Ffull-record%2FWOS:000242500600025","View Full Record in Web of Science")</f>
        <v>View Full Record in Web of Science</v>
      </c>
    </row>
    <row r="879" spans="1:81" ht="13.2" hidden="1" x14ac:dyDescent="0.25">
      <c r="A879" s="89" t="s">
        <v>15393</v>
      </c>
      <c r="B879" s="89" t="e">
        <f>+#REF!</f>
        <v>#REF!</v>
      </c>
      <c r="C879" s="89"/>
      <c r="D879" s="91" t="s">
        <v>717</v>
      </c>
      <c r="E879" s="90" t="e">
        <v>#REF!</v>
      </c>
      <c r="F879" s="89"/>
      <c r="G879" s="89"/>
      <c r="H879" s="89" t="s">
        <v>15394</v>
      </c>
      <c r="I879" s="89" t="s">
        <v>24464</v>
      </c>
      <c r="J879" s="89" t="s">
        <v>18816</v>
      </c>
      <c r="K879" s="89" t="s">
        <v>24465</v>
      </c>
      <c r="M879" s="89">
        <v>2018</v>
      </c>
      <c r="N879" s="89" t="s">
        <v>18576</v>
      </c>
      <c r="O879" s="89" t="s">
        <v>646</v>
      </c>
      <c r="P879" s="89" t="str">
        <f>HYPERLINK("http://dx.doi.org/10.1002/jeab.328","http://dx.doi.org/10.1002/jeab.328")</f>
        <v>http://dx.doi.org/10.1002/jeab.328</v>
      </c>
      <c r="S879" s="89" t="s">
        <v>646</v>
      </c>
      <c r="U879" s="89" t="s">
        <v>17462</v>
      </c>
      <c r="W879" s="89" t="s">
        <v>646</v>
      </c>
      <c r="X879" s="89" t="s">
        <v>646</v>
      </c>
      <c r="Y879" s="89" t="s">
        <v>646</v>
      </c>
      <c r="Z879" s="89" t="s">
        <v>646</v>
      </c>
      <c r="AA879" s="89" t="s">
        <v>646</v>
      </c>
      <c r="AB879" s="89" t="s">
        <v>646</v>
      </c>
      <c r="AC879" s="89" t="s">
        <v>646</v>
      </c>
      <c r="AD879" s="89" t="s">
        <v>646</v>
      </c>
      <c r="AE879" s="89" t="s">
        <v>646</v>
      </c>
      <c r="AF879" s="89" t="s">
        <v>24465</v>
      </c>
      <c r="AG879" s="89" t="s">
        <v>646</v>
      </c>
      <c r="AH879" s="89" t="s">
        <v>646</v>
      </c>
      <c r="AI879" s="89" t="s">
        <v>646</v>
      </c>
      <c r="AJ879" s="89" t="s">
        <v>646</v>
      </c>
      <c r="AK879" s="89" t="s">
        <v>18816</v>
      </c>
      <c r="AL879" s="89" t="s">
        <v>24466</v>
      </c>
      <c r="AM879" s="89" t="s">
        <v>646</v>
      </c>
      <c r="AN879" s="89" t="s">
        <v>646</v>
      </c>
      <c r="AO879" s="89" t="s">
        <v>646</v>
      </c>
      <c r="AP879" s="89" t="s">
        <v>646</v>
      </c>
      <c r="AQ879" s="89" t="s">
        <v>646</v>
      </c>
      <c r="AR879" s="89" t="s">
        <v>646</v>
      </c>
      <c r="AS879" s="89" t="s">
        <v>646</v>
      </c>
      <c r="AT879" s="89" t="s">
        <v>646</v>
      </c>
      <c r="AU879" s="89" t="s">
        <v>646</v>
      </c>
      <c r="AV879" s="89" t="s">
        <v>646</v>
      </c>
      <c r="AW879" s="89" t="s">
        <v>646</v>
      </c>
      <c r="AX879" s="89" t="s">
        <v>646</v>
      </c>
      <c r="AY879" s="89" t="s">
        <v>18579</v>
      </c>
      <c r="AZ879" s="89" t="s">
        <v>18580</v>
      </c>
      <c r="BA879" s="89" t="s">
        <v>646</v>
      </c>
      <c r="BB879" s="89" t="s">
        <v>646</v>
      </c>
      <c r="BC879" s="89" t="s">
        <v>646</v>
      </c>
      <c r="BD879" s="89" t="s">
        <v>18436</v>
      </c>
      <c r="BE879" s="89">
        <v>2018</v>
      </c>
      <c r="BF879" s="89">
        <v>109</v>
      </c>
      <c r="BG879" s="89">
        <v>3</v>
      </c>
      <c r="BH879" s="89" t="s">
        <v>646</v>
      </c>
      <c r="BI879" s="89" t="s">
        <v>646</v>
      </c>
      <c r="BJ879" s="89" t="s">
        <v>646</v>
      </c>
      <c r="BK879" s="89" t="s">
        <v>646</v>
      </c>
      <c r="BL879" s="89">
        <v>506</v>
      </c>
      <c r="BM879" s="89">
        <v>519</v>
      </c>
      <c r="BN879" s="89" t="s">
        <v>646</v>
      </c>
      <c r="BO879" s="89" t="str">
        <f>HYPERLINK("http://dx.doi.org/10.1002/jeab.328","http://dx.doi.org/10.1002/jeab.328")</f>
        <v>http://dx.doi.org/10.1002/jeab.328</v>
      </c>
      <c r="BP879" s="89" t="s">
        <v>646</v>
      </c>
      <c r="BQ879" s="89" t="s">
        <v>646</v>
      </c>
      <c r="BR879" s="89" t="s">
        <v>646</v>
      </c>
      <c r="BS879" s="89" t="s">
        <v>646</v>
      </c>
      <c r="BT879" s="89" t="s">
        <v>646</v>
      </c>
      <c r="BU879" s="89" t="s">
        <v>646</v>
      </c>
      <c r="BV879" s="89" t="s">
        <v>646</v>
      </c>
      <c r="BW879" s="89">
        <v>29663440</v>
      </c>
      <c r="BX879" s="89" t="s">
        <v>646</v>
      </c>
      <c r="BY879" s="89" t="s">
        <v>646</v>
      </c>
      <c r="BZ879" s="89" t="s">
        <v>646</v>
      </c>
      <c r="CA879" s="89" t="s">
        <v>646</v>
      </c>
      <c r="CB879" s="89" t="s">
        <v>24467</v>
      </c>
      <c r="CC879" s="89" t="str">
        <f>HYPERLINK("https%3A%2F%2Fwww.webofscience.com%2Fwos%2Fwoscc%2Ffull-record%2FWOS:000433588300004","View Full Record in Web of Science")</f>
        <v>View Full Record in Web of Science</v>
      </c>
    </row>
    <row r="880" spans="1:81" ht="13.2" hidden="1" x14ac:dyDescent="0.25">
      <c r="A880" s="89" t="s">
        <v>24468</v>
      </c>
      <c r="B880" s="89" t="e">
        <f>+#REF!</f>
        <v>#REF!</v>
      </c>
      <c r="C880" s="89"/>
      <c r="D880" s="91" t="s">
        <v>717</v>
      </c>
      <c r="E880" s="90" t="e">
        <v>#REF!</v>
      </c>
      <c r="F880" s="89"/>
      <c r="G880" s="89"/>
      <c r="H880" s="89" t="s">
        <v>15402</v>
      </c>
      <c r="I880" s="89" t="s">
        <v>18465</v>
      </c>
      <c r="J880" s="89" t="s">
        <v>646</v>
      </c>
      <c r="K880" s="89" t="s">
        <v>24470</v>
      </c>
      <c r="M880" s="89">
        <v>2014</v>
      </c>
      <c r="N880" s="89" t="s">
        <v>24469</v>
      </c>
      <c r="O880" s="89" t="s">
        <v>646</v>
      </c>
      <c r="P880" s="89" t="str">
        <f>HYPERLINK("http://dx.doi.org/10.1111/irel.12062","http://dx.doi.org/10.1111/irel.12062")</f>
        <v>http://dx.doi.org/10.1111/irel.12062</v>
      </c>
      <c r="S880" s="89" t="s">
        <v>646</v>
      </c>
      <c r="U880" s="89" t="s">
        <v>17462</v>
      </c>
      <c r="W880" s="89" t="s">
        <v>646</v>
      </c>
      <c r="X880" s="89" t="s">
        <v>646</v>
      </c>
      <c r="Y880" s="89" t="s">
        <v>646</v>
      </c>
      <c r="Z880" s="89" t="s">
        <v>646</v>
      </c>
      <c r="AA880" s="89" t="s">
        <v>646</v>
      </c>
      <c r="AB880" s="89" t="s">
        <v>646</v>
      </c>
      <c r="AC880" s="89" t="s">
        <v>646</v>
      </c>
      <c r="AD880" s="89" t="s">
        <v>646</v>
      </c>
      <c r="AE880" s="89" t="s">
        <v>646</v>
      </c>
      <c r="AF880" s="89" t="s">
        <v>24470</v>
      </c>
      <c r="AG880" s="89" t="s">
        <v>646</v>
      </c>
      <c r="AH880" s="89" t="s">
        <v>646</v>
      </c>
      <c r="AI880" s="89" t="s">
        <v>646</v>
      </c>
      <c r="AJ880" s="89" t="s">
        <v>646</v>
      </c>
      <c r="AK880" s="89" t="s">
        <v>646</v>
      </c>
      <c r="AL880" s="89" t="s">
        <v>646</v>
      </c>
      <c r="AM880" s="89" t="s">
        <v>646</v>
      </c>
      <c r="AN880" s="89" t="s">
        <v>646</v>
      </c>
      <c r="AO880" s="89" t="s">
        <v>646</v>
      </c>
      <c r="AP880" s="89" t="s">
        <v>646</v>
      </c>
      <c r="AQ880" s="89" t="s">
        <v>646</v>
      </c>
      <c r="AR880" s="89" t="s">
        <v>646</v>
      </c>
      <c r="AS880" s="89" t="s">
        <v>646</v>
      </c>
      <c r="AT880" s="89" t="s">
        <v>646</v>
      </c>
      <c r="AU880" s="89" t="s">
        <v>646</v>
      </c>
      <c r="AV880" s="89" t="s">
        <v>646</v>
      </c>
      <c r="AW880" s="89" t="s">
        <v>646</v>
      </c>
      <c r="AX880" s="89" t="s">
        <v>646</v>
      </c>
      <c r="AY880" s="89" t="s">
        <v>24471</v>
      </c>
      <c r="AZ880" s="89" t="s">
        <v>24472</v>
      </c>
      <c r="BA880" s="89" t="s">
        <v>646</v>
      </c>
      <c r="BB880" s="89" t="s">
        <v>646</v>
      </c>
      <c r="BC880" s="89" t="s">
        <v>646</v>
      </c>
      <c r="BD880" s="89" t="s">
        <v>17676</v>
      </c>
      <c r="BE880" s="89">
        <v>2014</v>
      </c>
      <c r="BF880" s="89">
        <v>53</v>
      </c>
      <c r="BG880" s="89">
        <v>3</v>
      </c>
      <c r="BH880" s="89" t="s">
        <v>646</v>
      </c>
      <c r="BI880" s="89" t="s">
        <v>646</v>
      </c>
      <c r="BJ880" s="89" t="s">
        <v>646</v>
      </c>
      <c r="BK880" s="89" t="s">
        <v>646</v>
      </c>
      <c r="BL880" s="89">
        <v>365</v>
      </c>
      <c r="BM880" s="89">
        <v>393</v>
      </c>
      <c r="BN880" s="89" t="s">
        <v>646</v>
      </c>
      <c r="BO880" s="89" t="str">
        <f>HYPERLINK("http://dx.doi.org/10.1111/irel.12062","http://dx.doi.org/10.1111/irel.12062")</f>
        <v>http://dx.doi.org/10.1111/irel.12062</v>
      </c>
      <c r="BP880" s="89" t="s">
        <v>646</v>
      </c>
      <c r="BQ880" s="89" t="s">
        <v>646</v>
      </c>
      <c r="BR880" s="89" t="s">
        <v>646</v>
      </c>
      <c r="BS880" s="89" t="s">
        <v>646</v>
      </c>
      <c r="BT880" s="89" t="s">
        <v>646</v>
      </c>
      <c r="BU880" s="89" t="s">
        <v>646</v>
      </c>
      <c r="BV880" s="89" t="s">
        <v>646</v>
      </c>
      <c r="BW880" s="89" t="s">
        <v>646</v>
      </c>
      <c r="BX880" s="89" t="s">
        <v>646</v>
      </c>
      <c r="BY880" s="89" t="s">
        <v>646</v>
      </c>
      <c r="BZ880" s="89" t="s">
        <v>646</v>
      </c>
      <c r="CA880" s="89" t="s">
        <v>646</v>
      </c>
      <c r="CB880" s="89" t="s">
        <v>24473</v>
      </c>
      <c r="CC880" s="89" t="str">
        <f>HYPERLINK("https%3A%2F%2Fwww.webofscience.com%2Fwos%2Fwoscc%2Ffull-record%2FWOS:000337528000001","View Full Record in Web of Science")</f>
        <v>View Full Record in Web of Science</v>
      </c>
    </row>
    <row r="881" spans="1:81" ht="13.2" hidden="1" x14ac:dyDescent="0.25">
      <c r="A881" s="89" t="s">
        <v>15410</v>
      </c>
      <c r="B881" s="89" t="e">
        <f>+#REF!</f>
        <v>#REF!</v>
      </c>
      <c r="C881" s="89"/>
      <c r="D881" s="91" t="s">
        <v>717</v>
      </c>
      <c r="E881" s="90" t="e">
        <v>#REF!</v>
      </c>
      <c r="F881" s="89"/>
      <c r="G881" s="89"/>
      <c r="H881" s="89" t="s">
        <v>15411</v>
      </c>
      <c r="I881" s="89" t="s">
        <v>24474</v>
      </c>
      <c r="J881" s="89" t="s">
        <v>646</v>
      </c>
      <c r="K881" s="89" t="s">
        <v>24476</v>
      </c>
      <c r="M881" s="89">
        <v>2020</v>
      </c>
      <c r="N881" s="89" t="s">
        <v>24475</v>
      </c>
      <c r="O881" s="89" t="s">
        <v>646</v>
      </c>
      <c r="P881" s="89" t="str">
        <f>HYPERLINK("http://dx.doi.org/10.1515/jbnst-2018-0038","http://dx.doi.org/10.1515/jbnst-2018-0038")</f>
        <v>http://dx.doi.org/10.1515/jbnst-2018-0038</v>
      </c>
      <c r="S881" s="89" t="s">
        <v>646</v>
      </c>
      <c r="U881" s="89" t="s">
        <v>17462</v>
      </c>
      <c r="W881" s="89" t="s">
        <v>646</v>
      </c>
      <c r="X881" s="89" t="s">
        <v>646</v>
      </c>
      <c r="Y881" s="89" t="s">
        <v>646</v>
      </c>
      <c r="Z881" s="89" t="s">
        <v>646</v>
      </c>
      <c r="AA881" s="89" t="s">
        <v>646</v>
      </c>
      <c r="AB881" s="89" t="s">
        <v>646</v>
      </c>
      <c r="AC881" s="89" t="s">
        <v>646</v>
      </c>
      <c r="AD881" s="89" t="s">
        <v>646</v>
      </c>
      <c r="AE881" s="89" t="s">
        <v>646</v>
      </c>
      <c r="AF881" s="89" t="s">
        <v>24476</v>
      </c>
      <c r="AG881" s="89" t="s">
        <v>646</v>
      </c>
      <c r="AH881" s="89" t="s">
        <v>646</v>
      </c>
      <c r="AI881" s="89" t="s">
        <v>646</v>
      </c>
      <c r="AJ881" s="89" t="s">
        <v>646</v>
      </c>
      <c r="AK881" s="89" t="s">
        <v>646</v>
      </c>
      <c r="AL881" s="89" t="s">
        <v>646</v>
      </c>
      <c r="AM881" s="89" t="s">
        <v>646</v>
      </c>
      <c r="AN881" s="89" t="s">
        <v>646</v>
      </c>
      <c r="AO881" s="89" t="s">
        <v>646</v>
      </c>
      <c r="AP881" s="89" t="s">
        <v>646</v>
      </c>
      <c r="AQ881" s="89" t="s">
        <v>646</v>
      </c>
      <c r="AR881" s="89" t="s">
        <v>646</v>
      </c>
      <c r="AS881" s="89" t="s">
        <v>646</v>
      </c>
      <c r="AT881" s="89" t="s">
        <v>646</v>
      </c>
      <c r="AU881" s="89" t="s">
        <v>646</v>
      </c>
      <c r="AV881" s="89" t="s">
        <v>646</v>
      </c>
      <c r="AW881" s="89" t="s">
        <v>646</v>
      </c>
      <c r="AX881" s="89" t="s">
        <v>646</v>
      </c>
      <c r="AY881" s="89" t="s">
        <v>24477</v>
      </c>
      <c r="AZ881" s="89" t="s">
        <v>24478</v>
      </c>
      <c r="BA881" s="89" t="s">
        <v>646</v>
      </c>
      <c r="BB881" s="89" t="s">
        <v>646</v>
      </c>
      <c r="BC881" s="89" t="s">
        <v>646</v>
      </c>
      <c r="BD881" s="89" t="s">
        <v>18655</v>
      </c>
      <c r="BE881" s="89">
        <v>2020</v>
      </c>
      <c r="BF881" s="89">
        <v>240</v>
      </c>
      <c r="BG881" s="89">
        <v>4</v>
      </c>
      <c r="BH881" s="89" t="s">
        <v>646</v>
      </c>
      <c r="BI881" s="89" t="s">
        <v>646</v>
      </c>
      <c r="BJ881" s="89" t="s">
        <v>646</v>
      </c>
      <c r="BK881" s="89" t="s">
        <v>646</v>
      </c>
      <c r="BL881" s="89">
        <v>455</v>
      </c>
      <c r="BM881" s="89">
        <v>465</v>
      </c>
      <c r="BN881" s="89" t="s">
        <v>646</v>
      </c>
      <c r="BO881" s="89" t="str">
        <f>HYPERLINK("http://dx.doi.org/10.1515/jbnst-2018-0038","http://dx.doi.org/10.1515/jbnst-2018-0038")</f>
        <v>http://dx.doi.org/10.1515/jbnst-2018-0038</v>
      </c>
      <c r="BP881" s="89" t="s">
        <v>646</v>
      </c>
      <c r="BQ881" s="89" t="s">
        <v>646</v>
      </c>
      <c r="BR881" s="89" t="s">
        <v>646</v>
      </c>
      <c r="BS881" s="89" t="s">
        <v>646</v>
      </c>
      <c r="BT881" s="89" t="s">
        <v>646</v>
      </c>
      <c r="BU881" s="89" t="s">
        <v>646</v>
      </c>
      <c r="BV881" s="89" t="s">
        <v>646</v>
      </c>
      <c r="BW881" s="89" t="s">
        <v>646</v>
      </c>
      <c r="BX881" s="89" t="s">
        <v>646</v>
      </c>
      <c r="BY881" s="89" t="s">
        <v>646</v>
      </c>
      <c r="BZ881" s="89" t="s">
        <v>646</v>
      </c>
      <c r="CA881" s="89" t="s">
        <v>646</v>
      </c>
      <c r="CB881" s="89" t="s">
        <v>24479</v>
      </c>
      <c r="CC881" s="89" t="str">
        <f>HYPERLINK("https%3A%2F%2Fwww.webofscience.com%2Fwos%2Fwoscc%2Ffull-record%2FWOS:000529417800003","View Full Record in Web of Science")</f>
        <v>View Full Record in Web of Science</v>
      </c>
    </row>
    <row r="882" spans="1:81" ht="13.2" hidden="1" x14ac:dyDescent="0.25">
      <c r="A882" s="89" t="s">
        <v>24480</v>
      </c>
      <c r="B882" s="89" t="e">
        <f>+#REF!</f>
        <v>#REF!</v>
      </c>
      <c r="C882" s="89"/>
      <c r="D882" s="91" t="s">
        <v>717</v>
      </c>
      <c r="E882" s="90" t="e">
        <v>#REF!</v>
      </c>
      <c r="F882" s="89"/>
      <c r="G882" s="89"/>
      <c r="H882" s="89" t="s">
        <v>10388</v>
      </c>
      <c r="I882" s="89" t="s">
        <v>24481</v>
      </c>
      <c r="J882" s="89" t="s">
        <v>646</v>
      </c>
      <c r="K882" s="89" t="s">
        <v>24482</v>
      </c>
      <c r="M882" s="89">
        <v>2021</v>
      </c>
      <c r="N882" s="89" t="s">
        <v>18693</v>
      </c>
      <c r="O882" s="89" t="s">
        <v>646</v>
      </c>
      <c r="P882" s="89" t="str">
        <f>HYPERLINK("http://dx.doi.org/10.3390/ijerph182111154","http://dx.doi.org/10.3390/ijerph182111154")</f>
        <v>http://dx.doi.org/10.3390/ijerph182111154</v>
      </c>
      <c r="S882" s="89" t="s">
        <v>646</v>
      </c>
      <c r="U882" s="89" t="s">
        <v>17462</v>
      </c>
      <c r="W882" s="89" t="s">
        <v>646</v>
      </c>
      <c r="X882" s="89" t="s">
        <v>646</v>
      </c>
      <c r="Y882" s="89" t="s">
        <v>646</v>
      </c>
      <c r="Z882" s="89" t="s">
        <v>646</v>
      </c>
      <c r="AA882" s="89" t="s">
        <v>646</v>
      </c>
      <c r="AB882" s="89" t="s">
        <v>646</v>
      </c>
      <c r="AC882" s="89" t="s">
        <v>646</v>
      </c>
      <c r="AD882" s="89" t="s">
        <v>646</v>
      </c>
      <c r="AE882" s="89" t="s">
        <v>646</v>
      </c>
      <c r="AF882" s="89" t="s">
        <v>24482</v>
      </c>
      <c r="AG882" s="89" t="s">
        <v>646</v>
      </c>
      <c r="AH882" s="89" t="s">
        <v>646</v>
      </c>
      <c r="AI882" s="89" t="s">
        <v>646</v>
      </c>
      <c r="AJ882" s="89" t="s">
        <v>646</v>
      </c>
      <c r="AK882" s="89" t="s">
        <v>646</v>
      </c>
      <c r="AL882" s="89" t="s">
        <v>24483</v>
      </c>
      <c r="AM882" s="89" t="s">
        <v>646</v>
      </c>
      <c r="AN882" s="89" t="s">
        <v>646</v>
      </c>
      <c r="AO882" s="89" t="s">
        <v>646</v>
      </c>
      <c r="AP882" s="89" t="s">
        <v>646</v>
      </c>
      <c r="AQ882" s="89" t="s">
        <v>646</v>
      </c>
      <c r="AR882" s="89" t="s">
        <v>646</v>
      </c>
      <c r="AS882" s="89" t="s">
        <v>646</v>
      </c>
      <c r="AT882" s="89" t="s">
        <v>646</v>
      </c>
      <c r="AU882" s="89" t="s">
        <v>646</v>
      </c>
      <c r="AV882" s="89" t="s">
        <v>646</v>
      </c>
      <c r="AW882" s="89" t="s">
        <v>646</v>
      </c>
      <c r="AX882" s="89" t="s">
        <v>646</v>
      </c>
      <c r="AY882" s="89" t="s">
        <v>646</v>
      </c>
      <c r="AZ882" s="89" t="s">
        <v>18697</v>
      </c>
      <c r="BA882" s="89" t="s">
        <v>646</v>
      </c>
      <c r="BB882" s="89" t="s">
        <v>646</v>
      </c>
      <c r="BC882" s="89" t="s">
        <v>646</v>
      </c>
      <c r="BD882" s="89" t="s">
        <v>18292</v>
      </c>
      <c r="BE882" s="89">
        <v>2021</v>
      </c>
      <c r="BF882" s="89">
        <v>18</v>
      </c>
      <c r="BG882" s="89">
        <v>21</v>
      </c>
      <c r="BH882" s="89" t="s">
        <v>646</v>
      </c>
      <c r="BI882" s="89" t="s">
        <v>646</v>
      </c>
      <c r="BJ882" s="89" t="s">
        <v>646</v>
      </c>
      <c r="BK882" s="89" t="s">
        <v>646</v>
      </c>
      <c r="BL882" s="89" t="s">
        <v>646</v>
      </c>
      <c r="BM882" s="89" t="s">
        <v>646</v>
      </c>
      <c r="BN882" s="89">
        <v>11154</v>
      </c>
      <c r="BO882" s="89" t="str">
        <f>HYPERLINK("http://dx.doi.org/10.3390/ijerph182111154","http://dx.doi.org/10.3390/ijerph182111154")</f>
        <v>http://dx.doi.org/10.3390/ijerph182111154</v>
      </c>
      <c r="BP882" s="89" t="s">
        <v>646</v>
      </c>
      <c r="BQ882" s="89" t="s">
        <v>646</v>
      </c>
      <c r="BR882" s="89" t="s">
        <v>646</v>
      </c>
      <c r="BS882" s="89" t="s">
        <v>646</v>
      </c>
      <c r="BT882" s="89" t="s">
        <v>646</v>
      </c>
      <c r="BU882" s="89" t="s">
        <v>646</v>
      </c>
      <c r="BV882" s="89" t="s">
        <v>646</v>
      </c>
      <c r="BW882" s="89">
        <v>34769672</v>
      </c>
      <c r="BX882" s="89" t="s">
        <v>646</v>
      </c>
      <c r="BY882" s="89" t="s">
        <v>646</v>
      </c>
      <c r="BZ882" s="89" t="s">
        <v>646</v>
      </c>
      <c r="CA882" s="89" t="s">
        <v>646</v>
      </c>
      <c r="CB882" s="89" t="s">
        <v>24484</v>
      </c>
      <c r="CC882" s="89" t="str">
        <f>HYPERLINK("https%3A%2F%2Fwww.webofscience.com%2Fwos%2Fwoscc%2Ffull-record%2FWOS:000720453800001","View Full Record in Web of Science")</f>
        <v>View Full Record in Web of Science</v>
      </c>
    </row>
    <row r="883" spans="1:81" ht="13.2" hidden="1" x14ac:dyDescent="0.25">
      <c r="A883" s="89" t="s">
        <v>24485</v>
      </c>
      <c r="B883" s="89" t="e">
        <f>+#REF!</f>
        <v>#REF!</v>
      </c>
      <c r="C883" s="89"/>
      <c r="D883" s="91" t="s">
        <v>717</v>
      </c>
      <c r="E883" s="90" t="e">
        <v>#REF!</v>
      </c>
      <c r="F883" s="89"/>
      <c r="G883" s="89"/>
      <c r="H883" s="89" t="s">
        <v>15440</v>
      </c>
      <c r="I883" s="89" t="s">
        <v>24486</v>
      </c>
      <c r="J883" s="89" t="s">
        <v>646</v>
      </c>
      <c r="K883" s="89" t="s">
        <v>24487</v>
      </c>
      <c r="M883" s="89">
        <v>2017</v>
      </c>
      <c r="N883" s="89" t="s">
        <v>19852</v>
      </c>
      <c r="O883" s="89" t="s">
        <v>646</v>
      </c>
      <c r="P883" s="89" t="str">
        <f>HYPERLINK("http://dx.doi.org/10.1145/2998181.2998229","http://dx.doi.org/10.1145/2998181.2998229")</f>
        <v>http://dx.doi.org/10.1145/2998181.2998229</v>
      </c>
      <c r="S883" s="89" t="s">
        <v>17804</v>
      </c>
      <c r="U883" s="89" t="s">
        <v>17474</v>
      </c>
      <c r="W883" s="89" t="s">
        <v>646</v>
      </c>
      <c r="X883" s="89" t="s">
        <v>646</v>
      </c>
      <c r="Y883" s="89" t="s">
        <v>19853</v>
      </c>
      <c r="Z883" s="89" t="s">
        <v>19854</v>
      </c>
      <c r="AA883" s="89" t="s">
        <v>19855</v>
      </c>
      <c r="AB883" s="89" t="s">
        <v>19856</v>
      </c>
      <c r="AC883" s="89" t="s">
        <v>646</v>
      </c>
      <c r="AD883" s="89" t="s">
        <v>646</v>
      </c>
      <c r="AE883" s="89" t="s">
        <v>646</v>
      </c>
      <c r="AF883" s="89" t="s">
        <v>24487</v>
      </c>
      <c r="AG883" s="89" t="s">
        <v>646</v>
      </c>
      <c r="AH883" s="89" t="s">
        <v>646</v>
      </c>
      <c r="AI883" s="89" t="s">
        <v>646</v>
      </c>
      <c r="AJ883" s="89" t="s">
        <v>646</v>
      </c>
      <c r="AK883" s="89" t="s">
        <v>646</v>
      </c>
      <c r="AL883" s="89" t="s">
        <v>646</v>
      </c>
      <c r="AM883" s="89" t="s">
        <v>646</v>
      </c>
      <c r="AN883" s="89" t="s">
        <v>646</v>
      </c>
      <c r="AO883" s="89" t="s">
        <v>646</v>
      </c>
      <c r="AP883" s="89" t="s">
        <v>646</v>
      </c>
      <c r="AQ883" s="89" t="s">
        <v>646</v>
      </c>
      <c r="AR883" s="89" t="s">
        <v>646</v>
      </c>
      <c r="AS883" s="89" t="s">
        <v>646</v>
      </c>
      <c r="AT883" s="89" t="s">
        <v>646</v>
      </c>
      <c r="AU883" s="89" t="s">
        <v>646</v>
      </c>
      <c r="AV883" s="89" t="s">
        <v>646</v>
      </c>
      <c r="AW883" s="89" t="s">
        <v>646</v>
      </c>
      <c r="AX883" s="89" t="s">
        <v>646</v>
      </c>
      <c r="AY883" s="89" t="s">
        <v>646</v>
      </c>
      <c r="AZ883" s="89" t="s">
        <v>646</v>
      </c>
      <c r="BA883" s="89" t="s">
        <v>19860</v>
      </c>
      <c r="BB883" s="89" t="s">
        <v>646</v>
      </c>
      <c r="BC883" s="89" t="s">
        <v>646</v>
      </c>
      <c r="BD883" s="89" t="s">
        <v>646</v>
      </c>
      <c r="BE883" s="89">
        <v>2017</v>
      </c>
      <c r="BF883" s="89" t="s">
        <v>646</v>
      </c>
      <c r="BG883" s="89" t="s">
        <v>646</v>
      </c>
      <c r="BH883" s="89" t="s">
        <v>646</v>
      </c>
      <c r="BI883" s="89" t="s">
        <v>646</v>
      </c>
      <c r="BJ883" s="89" t="s">
        <v>646</v>
      </c>
      <c r="BK883" s="89" t="s">
        <v>646</v>
      </c>
      <c r="BL883" s="89">
        <v>755</v>
      </c>
      <c r="BM883" s="89">
        <v>769</v>
      </c>
      <c r="BN883" s="89" t="s">
        <v>646</v>
      </c>
      <c r="BO883" s="89" t="str">
        <f>HYPERLINK("http://dx.doi.org/10.1145/2998181.2998229","http://dx.doi.org/10.1145/2998181.2998229")</f>
        <v>http://dx.doi.org/10.1145/2998181.2998229</v>
      </c>
      <c r="BP883" s="89" t="s">
        <v>646</v>
      </c>
      <c r="BQ883" s="89" t="s">
        <v>646</v>
      </c>
      <c r="BR883" s="89" t="s">
        <v>646</v>
      </c>
      <c r="BS883" s="89" t="s">
        <v>646</v>
      </c>
      <c r="BT883" s="89" t="s">
        <v>646</v>
      </c>
      <c r="BU883" s="89" t="s">
        <v>646</v>
      </c>
      <c r="BV883" s="89" t="s">
        <v>646</v>
      </c>
      <c r="BW883" s="89" t="s">
        <v>646</v>
      </c>
      <c r="BX883" s="89" t="s">
        <v>646</v>
      </c>
      <c r="BY883" s="89" t="s">
        <v>646</v>
      </c>
      <c r="BZ883" s="89" t="s">
        <v>646</v>
      </c>
      <c r="CA883" s="89" t="s">
        <v>646</v>
      </c>
      <c r="CB883" s="89" t="s">
        <v>24488</v>
      </c>
      <c r="CC883" s="89" t="str">
        <f>HYPERLINK("https%3A%2F%2Fwww.webofscience.com%2Fwos%2Fwoscc%2Ffull-record%2FWOS:000455087800057","View Full Record in Web of Science")</f>
        <v>View Full Record in Web of Science</v>
      </c>
    </row>
    <row r="884" spans="1:81" ht="13.2" hidden="1" x14ac:dyDescent="0.25">
      <c r="A884" s="89" t="s">
        <v>10396</v>
      </c>
      <c r="B884" s="89" t="e">
        <f>+#REF!</f>
        <v>#REF!</v>
      </c>
      <c r="C884" s="89"/>
      <c r="D884" s="91" t="s">
        <v>717</v>
      </c>
      <c r="E884" s="90" t="e">
        <v>#REF!</v>
      </c>
      <c r="F884" s="89"/>
      <c r="G884" s="89"/>
      <c r="H884" s="89" t="s">
        <v>10397</v>
      </c>
      <c r="I884" s="89" t="s">
        <v>24489</v>
      </c>
      <c r="J884" s="89" t="s">
        <v>646</v>
      </c>
      <c r="K884" s="89" t="s">
        <v>24490</v>
      </c>
      <c r="M884" s="89">
        <v>2022</v>
      </c>
      <c r="N884" s="89" t="s">
        <v>18693</v>
      </c>
      <c r="O884" s="89" t="s">
        <v>646</v>
      </c>
      <c r="P884" s="89" t="str">
        <f>HYPERLINK("http://dx.doi.org/10.3390/ijerph19106174","http://dx.doi.org/10.3390/ijerph19106174")</f>
        <v>http://dx.doi.org/10.3390/ijerph19106174</v>
      </c>
      <c r="S884" s="89" t="s">
        <v>646</v>
      </c>
      <c r="U884" s="89" t="s">
        <v>17462</v>
      </c>
      <c r="W884" s="89" t="s">
        <v>646</v>
      </c>
      <c r="X884" s="89" t="s">
        <v>646</v>
      </c>
      <c r="Y884" s="89" t="s">
        <v>646</v>
      </c>
      <c r="Z884" s="89" t="s">
        <v>646</v>
      </c>
      <c r="AA884" s="89" t="s">
        <v>646</v>
      </c>
      <c r="AB884" s="89" t="s">
        <v>646</v>
      </c>
      <c r="AC884" s="89" t="s">
        <v>646</v>
      </c>
      <c r="AD884" s="89" t="s">
        <v>646</v>
      </c>
      <c r="AE884" s="89" t="s">
        <v>646</v>
      </c>
      <c r="AF884" s="89" t="s">
        <v>24490</v>
      </c>
      <c r="AG884" s="89" t="s">
        <v>646</v>
      </c>
      <c r="AH884" s="89" t="s">
        <v>646</v>
      </c>
      <c r="AI884" s="89" t="s">
        <v>646</v>
      </c>
      <c r="AJ884" s="89" t="s">
        <v>646</v>
      </c>
      <c r="AK884" s="89" t="s">
        <v>646</v>
      </c>
      <c r="AL884" s="89" t="s">
        <v>24491</v>
      </c>
      <c r="AM884" s="89" t="s">
        <v>646</v>
      </c>
      <c r="AN884" s="89" t="s">
        <v>646</v>
      </c>
      <c r="AO884" s="89" t="s">
        <v>646</v>
      </c>
      <c r="AP884" s="89" t="s">
        <v>646</v>
      </c>
      <c r="AQ884" s="89" t="s">
        <v>646</v>
      </c>
      <c r="AR884" s="89" t="s">
        <v>646</v>
      </c>
      <c r="AS884" s="89" t="s">
        <v>646</v>
      </c>
      <c r="AT884" s="89" t="s">
        <v>646</v>
      </c>
      <c r="AU884" s="89" t="s">
        <v>646</v>
      </c>
      <c r="AV884" s="89" t="s">
        <v>646</v>
      </c>
      <c r="AW884" s="89" t="s">
        <v>646</v>
      </c>
      <c r="AX884" s="89" t="s">
        <v>646</v>
      </c>
      <c r="AY884" s="89" t="s">
        <v>646</v>
      </c>
      <c r="AZ884" s="89" t="s">
        <v>18697</v>
      </c>
      <c r="BA884" s="89" t="s">
        <v>646</v>
      </c>
      <c r="BB884" s="89" t="s">
        <v>646</v>
      </c>
      <c r="BC884" s="89" t="s">
        <v>646</v>
      </c>
      <c r="BD884" s="89" t="s">
        <v>18436</v>
      </c>
      <c r="BE884" s="89">
        <v>2022</v>
      </c>
      <c r="BF884" s="89">
        <v>19</v>
      </c>
      <c r="BG884" s="89">
        <v>10</v>
      </c>
      <c r="BH884" s="89" t="s">
        <v>646</v>
      </c>
      <c r="BI884" s="89" t="s">
        <v>646</v>
      </c>
      <c r="BJ884" s="89" t="s">
        <v>646</v>
      </c>
      <c r="BK884" s="89" t="s">
        <v>646</v>
      </c>
      <c r="BL884" s="89" t="s">
        <v>646</v>
      </c>
      <c r="BM884" s="89" t="s">
        <v>646</v>
      </c>
      <c r="BN884" s="89">
        <v>6174</v>
      </c>
      <c r="BO884" s="89" t="str">
        <f>HYPERLINK("http://dx.doi.org/10.3390/ijerph19106174","http://dx.doi.org/10.3390/ijerph19106174")</f>
        <v>http://dx.doi.org/10.3390/ijerph19106174</v>
      </c>
      <c r="BP884" s="89" t="s">
        <v>646</v>
      </c>
      <c r="BQ884" s="89" t="s">
        <v>646</v>
      </c>
      <c r="BR884" s="89" t="s">
        <v>646</v>
      </c>
      <c r="BS884" s="89" t="s">
        <v>646</v>
      </c>
      <c r="BT884" s="89" t="s">
        <v>646</v>
      </c>
      <c r="BU884" s="89" t="s">
        <v>646</v>
      </c>
      <c r="BV884" s="89" t="s">
        <v>646</v>
      </c>
      <c r="BW884" s="89">
        <v>35627710</v>
      </c>
      <c r="BX884" s="89" t="s">
        <v>646</v>
      </c>
      <c r="BY884" s="89" t="s">
        <v>646</v>
      </c>
      <c r="BZ884" s="89" t="s">
        <v>646</v>
      </c>
      <c r="CA884" s="89" t="s">
        <v>646</v>
      </c>
      <c r="CB884" s="89" t="s">
        <v>24492</v>
      </c>
      <c r="CC884" s="89" t="str">
        <f>HYPERLINK("https%3A%2F%2Fwww.webofscience.com%2Fwos%2Fwoscc%2Ffull-record%2FWOS:000801815900001","View Full Record in Web of Science")</f>
        <v>View Full Record in Web of Science</v>
      </c>
    </row>
    <row r="885" spans="1:81" ht="13.2" hidden="1" x14ac:dyDescent="0.25">
      <c r="A885" s="89" t="s">
        <v>24493</v>
      </c>
      <c r="B885" s="89" t="e">
        <f>+#REF!</f>
        <v>#REF!</v>
      </c>
      <c r="C885" s="89"/>
      <c r="D885" s="91" t="s">
        <v>717</v>
      </c>
      <c r="E885" s="90" t="e">
        <v>#REF!</v>
      </c>
      <c r="F885" s="89"/>
      <c r="G885" s="89"/>
      <c r="H885" s="89" t="s">
        <v>15448</v>
      </c>
      <c r="I885" s="89" t="s">
        <v>24494</v>
      </c>
      <c r="J885" s="89" t="s">
        <v>646</v>
      </c>
      <c r="K885" s="89" t="s">
        <v>24496</v>
      </c>
      <c r="M885" s="89">
        <v>2020</v>
      </c>
      <c r="N885" s="89" t="s">
        <v>24495</v>
      </c>
      <c r="O885" s="89" t="s">
        <v>646</v>
      </c>
      <c r="P885" s="89" t="str">
        <f>HYPERLINK("http://dx.doi.org/10.1080/21670811.2018.1490656","http://dx.doi.org/10.1080/21670811.2018.1490656")</f>
        <v>http://dx.doi.org/10.1080/21670811.2018.1490656</v>
      </c>
      <c r="S885" s="89" t="s">
        <v>646</v>
      </c>
      <c r="U885" s="89" t="s">
        <v>17462</v>
      </c>
      <c r="W885" s="89" t="s">
        <v>646</v>
      </c>
      <c r="X885" s="89" t="s">
        <v>646</v>
      </c>
      <c r="Y885" s="89" t="s">
        <v>646</v>
      </c>
      <c r="Z885" s="89" t="s">
        <v>646</v>
      </c>
      <c r="AA885" s="89" t="s">
        <v>646</v>
      </c>
      <c r="AB885" s="89" t="s">
        <v>646</v>
      </c>
      <c r="AC885" s="89" t="s">
        <v>646</v>
      </c>
      <c r="AD885" s="89" t="s">
        <v>646</v>
      </c>
      <c r="AE885" s="89" t="s">
        <v>646</v>
      </c>
      <c r="AF885" s="89" t="s">
        <v>24496</v>
      </c>
      <c r="AG885" s="89" t="s">
        <v>646</v>
      </c>
      <c r="AH885" s="89" t="s">
        <v>646</v>
      </c>
      <c r="AI885" s="89" t="s">
        <v>646</v>
      </c>
      <c r="AJ885" s="89" t="s">
        <v>646</v>
      </c>
      <c r="AK885" s="89" t="s">
        <v>646</v>
      </c>
      <c r="AL885" s="89" t="s">
        <v>646</v>
      </c>
      <c r="AM885" s="89" t="s">
        <v>646</v>
      </c>
      <c r="AN885" s="89" t="s">
        <v>646</v>
      </c>
      <c r="AO885" s="89" t="s">
        <v>646</v>
      </c>
      <c r="AP885" s="89" t="s">
        <v>646</v>
      </c>
      <c r="AQ885" s="89" t="s">
        <v>646</v>
      </c>
      <c r="AR885" s="89" t="s">
        <v>646</v>
      </c>
      <c r="AS885" s="89" t="s">
        <v>646</v>
      </c>
      <c r="AT885" s="89" t="s">
        <v>646</v>
      </c>
      <c r="AU885" s="89" t="s">
        <v>646</v>
      </c>
      <c r="AV885" s="89" t="s">
        <v>646</v>
      </c>
      <c r="AW885" s="89" t="s">
        <v>646</v>
      </c>
      <c r="AX885" s="89" t="s">
        <v>646</v>
      </c>
      <c r="AY885" s="89" t="s">
        <v>24497</v>
      </c>
      <c r="AZ885" s="89" t="s">
        <v>24498</v>
      </c>
      <c r="BA885" s="89" t="s">
        <v>646</v>
      </c>
      <c r="BB885" s="89" t="s">
        <v>646</v>
      </c>
      <c r="BC885" s="89" t="s">
        <v>646</v>
      </c>
      <c r="BD885" s="89" t="s">
        <v>24499</v>
      </c>
      <c r="BE885" s="89">
        <v>2020</v>
      </c>
      <c r="BF885" s="89">
        <v>8</v>
      </c>
      <c r="BG885" s="89">
        <v>2</v>
      </c>
      <c r="BH885" s="89" t="s">
        <v>646</v>
      </c>
      <c r="BI885" s="89" t="s">
        <v>646</v>
      </c>
      <c r="BJ885" s="89" t="s">
        <v>17555</v>
      </c>
      <c r="BK885" s="89" t="s">
        <v>646</v>
      </c>
      <c r="BL885" s="89">
        <v>249</v>
      </c>
      <c r="BM885" s="89">
        <v>266</v>
      </c>
      <c r="BN885" s="89" t="s">
        <v>646</v>
      </c>
      <c r="BO885" s="89" t="str">
        <f>HYPERLINK("http://dx.doi.org/10.1080/21670811.2018.1490656","http://dx.doi.org/10.1080/21670811.2018.1490656")</f>
        <v>http://dx.doi.org/10.1080/21670811.2018.1490656</v>
      </c>
      <c r="BP885" s="89" t="s">
        <v>646</v>
      </c>
      <c r="BQ885" s="89" t="s">
        <v>646</v>
      </c>
      <c r="BR885" s="89" t="s">
        <v>646</v>
      </c>
      <c r="BS885" s="89" t="s">
        <v>646</v>
      </c>
      <c r="BT885" s="89" t="s">
        <v>646</v>
      </c>
      <c r="BU885" s="89" t="s">
        <v>646</v>
      </c>
      <c r="BV885" s="89" t="s">
        <v>646</v>
      </c>
      <c r="BW885" s="89" t="s">
        <v>646</v>
      </c>
      <c r="BX885" s="89" t="s">
        <v>646</v>
      </c>
      <c r="BY885" s="89" t="s">
        <v>646</v>
      </c>
      <c r="BZ885" s="89" t="s">
        <v>646</v>
      </c>
      <c r="CA885" s="89" t="s">
        <v>646</v>
      </c>
      <c r="CB885" s="89" t="s">
        <v>24500</v>
      </c>
      <c r="CC885" s="89" t="str">
        <f>HYPERLINK("https%3A%2F%2Fwww.webofscience.com%2Fwos%2Fwoscc%2Ffull-record%2FWOS:000519769500005","View Full Record in Web of Science")</f>
        <v>View Full Record in Web of Science</v>
      </c>
    </row>
    <row r="886" spans="1:81" ht="13.2" hidden="1" x14ac:dyDescent="0.25">
      <c r="A886" s="89" t="s">
        <v>24501</v>
      </c>
      <c r="B886" s="89" t="e">
        <f>+#REF!</f>
        <v>#REF!</v>
      </c>
      <c r="C886" s="89"/>
      <c r="D886" s="91" t="s">
        <v>717</v>
      </c>
      <c r="E886" s="90" t="e">
        <v>#REF!</v>
      </c>
      <c r="F886" s="89"/>
      <c r="G886" s="89"/>
      <c r="H886" s="89" t="s">
        <v>15458</v>
      </c>
      <c r="I886" s="89" t="s">
        <v>24502</v>
      </c>
      <c r="J886" s="89" t="s">
        <v>646</v>
      </c>
      <c r="K886" s="89" t="s">
        <v>24503</v>
      </c>
      <c r="M886" s="89">
        <v>2015</v>
      </c>
      <c r="N886" s="89" t="s">
        <v>22752</v>
      </c>
      <c r="O886" s="89" t="s">
        <v>646</v>
      </c>
      <c r="P886" s="89" t="str">
        <f>HYPERLINK("http://dx.doi.org/10.1016/j.bodyim.2014.09.006","http://dx.doi.org/10.1016/j.bodyim.2014.09.006")</f>
        <v>http://dx.doi.org/10.1016/j.bodyim.2014.09.006</v>
      </c>
      <c r="S886" s="89" t="s">
        <v>646</v>
      </c>
      <c r="U886" s="89" t="s">
        <v>17462</v>
      </c>
      <c r="W886" s="89" t="s">
        <v>646</v>
      </c>
      <c r="X886" s="89" t="s">
        <v>646</v>
      </c>
      <c r="Y886" s="89" t="s">
        <v>646</v>
      </c>
      <c r="Z886" s="89" t="s">
        <v>646</v>
      </c>
      <c r="AA886" s="89" t="s">
        <v>646</v>
      </c>
      <c r="AB886" s="89" t="s">
        <v>646</v>
      </c>
      <c r="AC886" s="89" t="s">
        <v>646</v>
      </c>
      <c r="AD886" s="89" t="s">
        <v>646</v>
      </c>
      <c r="AE886" s="89" t="s">
        <v>646</v>
      </c>
      <c r="AF886" s="89" t="s">
        <v>24503</v>
      </c>
      <c r="AG886" s="89" t="s">
        <v>646</v>
      </c>
      <c r="AH886" s="89" t="s">
        <v>646</v>
      </c>
      <c r="AI886" s="89" t="s">
        <v>646</v>
      </c>
      <c r="AJ886" s="89" t="s">
        <v>646</v>
      </c>
      <c r="AK886" s="89" t="s">
        <v>646</v>
      </c>
      <c r="AL886" s="89" t="s">
        <v>646</v>
      </c>
      <c r="AM886" s="89" t="s">
        <v>646</v>
      </c>
      <c r="AN886" s="89" t="s">
        <v>646</v>
      </c>
      <c r="AO886" s="89" t="s">
        <v>646</v>
      </c>
      <c r="AP886" s="89" t="s">
        <v>646</v>
      </c>
      <c r="AQ886" s="89" t="s">
        <v>646</v>
      </c>
      <c r="AR886" s="89" t="s">
        <v>646</v>
      </c>
      <c r="AS886" s="89" t="s">
        <v>646</v>
      </c>
      <c r="AT886" s="89" t="s">
        <v>646</v>
      </c>
      <c r="AU886" s="89" t="s">
        <v>646</v>
      </c>
      <c r="AV886" s="89" t="s">
        <v>646</v>
      </c>
      <c r="AW886" s="89" t="s">
        <v>646</v>
      </c>
      <c r="AX886" s="89" t="s">
        <v>646</v>
      </c>
      <c r="AY886" s="89" t="s">
        <v>22755</v>
      </c>
      <c r="AZ886" s="89" t="s">
        <v>22756</v>
      </c>
      <c r="BA886" s="89" t="s">
        <v>646</v>
      </c>
      <c r="BB886" s="89" t="s">
        <v>646</v>
      </c>
      <c r="BC886" s="89" t="s">
        <v>646</v>
      </c>
      <c r="BD886" s="89" t="s">
        <v>17513</v>
      </c>
      <c r="BE886" s="89">
        <v>2015</v>
      </c>
      <c r="BF886" s="89">
        <v>12</v>
      </c>
      <c r="BG886" s="89" t="s">
        <v>646</v>
      </c>
      <c r="BH886" s="89" t="s">
        <v>646</v>
      </c>
      <c r="BI886" s="89" t="s">
        <v>646</v>
      </c>
      <c r="BJ886" s="89" t="s">
        <v>646</v>
      </c>
      <c r="BK886" s="89" t="s">
        <v>646</v>
      </c>
      <c r="BL886" s="89">
        <v>53</v>
      </c>
      <c r="BM886" s="89">
        <v>67</v>
      </c>
      <c r="BN886" s="89" t="s">
        <v>646</v>
      </c>
      <c r="BO886" s="89" t="str">
        <f>HYPERLINK("http://dx.doi.org/10.1016/j.bodyim.2014.09.006","http://dx.doi.org/10.1016/j.bodyim.2014.09.006")</f>
        <v>http://dx.doi.org/10.1016/j.bodyim.2014.09.006</v>
      </c>
      <c r="BP886" s="89" t="s">
        <v>646</v>
      </c>
      <c r="BQ886" s="89" t="s">
        <v>646</v>
      </c>
      <c r="BR886" s="89" t="s">
        <v>646</v>
      </c>
      <c r="BS886" s="89" t="s">
        <v>646</v>
      </c>
      <c r="BT886" s="89" t="s">
        <v>646</v>
      </c>
      <c r="BU886" s="89" t="s">
        <v>646</v>
      </c>
      <c r="BV886" s="89" t="s">
        <v>646</v>
      </c>
      <c r="BW886" s="89">
        <v>25462882</v>
      </c>
      <c r="BX886" s="89" t="s">
        <v>646</v>
      </c>
      <c r="BY886" s="89" t="s">
        <v>646</v>
      </c>
      <c r="BZ886" s="89" t="s">
        <v>646</v>
      </c>
      <c r="CA886" s="89" t="s">
        <v>646</v>
      </c>
      <c r="CB886" s="89" t="s">
        <v>24504</v>
      </c>
      <c r="CC886" s="89" t="str">
        <f>HYPERLINK("https%3A%2F%2Fwww.webofscience.com%2Fwos%2Fwoscc%2Ffull-record%2FWOS:000348954500008","View Full Record in Web of Science")</f>
        <v>View Full Record in Web of Science</v>
      </c>
    </row>
    <row r="887" spans="1:81" ht="13.2" hidden="1" x14ac:dyDescent="0.25">
      <c r="A887" s="89" t="s">
        <v>24505</v>
      </c>
      <c r="B887" s="89" t="e">
        <f>+#REF!</f>
        <v>#REF!</v>
      </c>
      <c r="C887" s="89"/>
      <c r="D887" s="91" t="s">
        <v>717</v>
      </c>
      <c r="E887" s="90" t="e">
        <v>#REF!</v>
      </c>
      <c r="F887" s="89"/>
      <c r="G887" s="89"/>
      <c r="H887" s="89" t="s">
        <v>15467</v>
      </c>
      <c r="I887" s="89" t="s">
        <v>24506</v>
      </c>
      <c r="J887" s="89" t="s">
        <v>24509</v>
      </c>
      <c r="K887" s="89" t="s">
        <v>24508</v>
      </c>
      <c r="M887" s="89">
        <v>2018</v>
      </c>
      <c r="N887" s="89" t="s">
        <v>24507</v>
      </c>
      <c r="O887" s="89" t="s">
        <v>646</v>
      </c>
      <c r="P887" s="89" t="str">
        <f>HYPERLINK("http://dx.doi.org/10.1080/21568316.2018.1504318","http://dx.doi.org/10.1080/21568316.2018.1504318")</f>
        <v>http://dx.doi.org/10.1080/21568316.2018.1504318</v>
      </c>
      <c r="S887" s="89" t="s">
        <v>646</v>
      </c>
      <c r="U887" s="89" t="s">
        <v>17462</v>
      </c>
      <c r="W887" s="89" t="s">
        <v>646</v>
      </c>
      <c r="X887" s="89" t="s">
        <v>646</v>
      </c>
      <c r="Y887" s="89" t="s">
        <v>646</v>
      </c>
      <c r="Z887" s="89" t="s">
        <v>646</v>
      </c>
      <c r="AA887" s="89" t="s">
        <v>646</v>
      </c>
      <c r="AB887" s="89" t="s">
        <v>646</v>
      </c>
      <c r="AC887" s="89" t="s">
        <v>646</v>
      </c>
      <c r="AD887" s="89" t="s">
        <v>646</v>
      </c>
      <c r="AE887" s="89" t="s">
        <v>646</v>
      </c>
      <c r="AF887" s="89" t="s">
        <v>24508</v>
      </c>
      <c r="AG887" s="89" t="s">
        <v>646</v>
      </c>
      <c r="AH887" s="89" t="s">
        <v>646</v>
      </c>
      <c r="AI887" s="89" t="s">
        <v>646</v>
      </c>
      <c r="AJ887" s="89" t="s">
        <v>646</v>
      </c>
      <c r="AK887" s="89" t="s">
        <v>24509</v>
      </c>
      <c r="AL887" s="89" t="s">
        <v>646</v>
      </c>
      <c r="AM887" s="89" t="s">
        <v>646</v>
      </c>
      <c r="AN887" s="89" t="s">
        <v>646</v>
      </c>
      <c r="AO887" s="89" t="s">
        <v>646</v>
      </c>
      <c r="AP887" s="89" t="s">
        <v>646</v>
      </c>
      <c r="AQ887" s="89" t="s">
        <v>646</v>
      </c>
      <c r="AR887" s="89" t="s">
        <v>646</v>
      </c>
      <c r="AS887" s="89" t="s">
        <v>646</v>
      </c>
      <c r="AT887" s="89" t="s">
        <v>646</v>
      </c>
      <c r="AU887" s="89" t="s">
        <v>646</v>
      </c>
      <c r="AV887" s="89" t="s">
        <v>646</v>
      </c>
      <c r="AW887" s="89" t="s">
        <v>646</v>
      </c>
      <c r="AX887" s="89" t="s">
        <v>646</v>
      </c>
      <c r="AY887" s="89" t="s">
        <v>24510</v>
      </c>
      <c r="AZ887" s="89" t="s">
        <v>24511</v>
      </c>
      <c r="BA887" s="89" t="s">
        <v>646</v>
      </c>
      <c r="BB887" s="89" t="s">
        <v>646</v>
      </c>
      <c r="BC887" s="89" t="s">
        <v>646</v>
      </c>
      <c r="BD887" s="89" t="s">
        <v>646</v>
      </c>
      <c r="BE887" s="89">
        <v>2018</v>
      </c>
      <c r="BF887" s="89">
        <v>15</v>
      </c>
      <c r="BG887" s="89">
        <v>5</v>
      </c>
      <c r="BH887" s="89" t="s">
        <v>646</v>
      </c>
      <c r="BI887" s="89" t="s">
        <v>646</v>
      </c>
      <c r="BJ887" s="89" t="s">
        <v>17555</v>
      </c>
      <c r="BK887" s="89" t="s">
        <v>646</v>
      </c>
      <c r="BL887" s="89">
        <v>496</v>
      </c>
      <c r="BM887" s="89">
        <v>515</v>
      </c>
      <c r="BN887" s="89" t="s">
        <v>646</v>
      </c>
      <c r="BO887" s="89" t="str">
        <f>HYPERLINK("http://dx.doi.org/10.1080/21568316.2018.1504318","http://dx.doi.org/10.1080/21568316.2018.1504318")</f>
        <v>http://dx.doi.org/10.1080/21568316.2018.1504318</v>
      </c>
      <c r="BP887" s="89" t="s">
        <v>646</v>
      </c>
      <c r="BQ887" s="89" t="s">
        <v>646</v>
      </c>
      <c r="BR887" s="89" t="s">
        <v>646</v>
      </c>
      <c r="BS887" s="89" t="s">
        <v>646</v>
      </c>
      <c r="BT887" s="89" t="s">
        <v>646</v>
      </c>
      <c r="BU887" s="89" t="s">
        <v>646</v>
      </c>
      <c r="BV887" s="89" t="s">
        <v>646</v>
      </c>
      <c r="BW887" s="89" t="s">
        <v>646</v>
      </c>
      <c r="BX887" s="89" t="s">
        <v>646</v>
      </c>
      <c r="BY887" s="89" t="s">
        <v>646</v>
      </c>
      <c r="BZ887" s="89" t="s">
        <v>646</v>
      </c>
      <c r="CA887" s="89" t="s">
        <v>646</v>
      </c>
      <c r="CB887" s="89" t="s">
        <v>24512</v>
      </c>
      <c r="CC887" s="89" t="str">
        <f>HYPERLINK("https%3A%2F%2Fwww.webofscience.com%2Fwos%2Fwoscc%2Ffull-record%2FWOS:000443038300003","View Full Record in Web of Science")</f>
        <v>View Full Record in Web of Science</v>
      </c>
    </row>
    <row r="888" spans="1:81" ht="13.2" hidden="1" x14ac:dyDescent="0.25">
      <c r="A888" s="89" t="s">
        <v>15476</v>
      </c>
      <c r="B888" s="89" t="e">
        <f>+#REF!</f>
        <v>#REF!</v>
      </c>
      <c r="C888" s="89"/>
      <c r="D888" s="91" t="s">
        <v>717</v>
      </c>
      <c r="E888" s="90" t="e">
        <v>#REF!</v>
      </c>
      <c r="F888" s="89"/>
      <c r="G888" s="89"/>
      <c r="H888" s="89" t="s">
        <v>15477</v>
      </c>
      <c r="I888" s="89" t="s">
        <v>24513</v>
      </c>
      <c r="J888" s="89" t="s">
        <v>24516</v>
      </c>
      <c r="K888" s="89" t="s">
        <v>24515</v>
      </c>
      <c r="M888" s="89">
        <v>2021</v>
      </c>
      <c r="N888" s="89" t="s">
        <v>24514</v>
      </c>
      <c r="O888" s="89" t="s">
        <v>646</v>
      </c>
      <c r="P888" s="89" t="str">
        <f>HYPERLINK("http://dx.doi.org/10.1016/j.rtbm.2020.100503","http://dx.doi.org/10.1016/j.rtbm.2020.100503")</f>
        <v>http://dx.doi.org/10.1016/j.rtbm.2020.100503</v>
      </c>
      <c r="S888" s="89" t="s">
        <v>646</v>
      </c>
      <c r="U888" s="89" t="s">
        <v>17462</v>
      </c>
      <c r="W888" s="89" t="s">
        <v>646</v>
      </c>
      <c r="X888" s="89" t="s">
        <v>646</v>
      </c>
      <c r="Y888" s="89" t="s">
        <v>646</v>
      </c>
      <c r="Z888" s="89" t="s">
        <v>646</v>
      </c>
      <c r="AA888" s="89" t="s">
        <v>646</v>
      </c>
      <c r="AB888" s="89" t="s">
        <v>646</v>
      </c>
      <c r="AC888" s="89" t="s">
        <v>646</v>
      </c>
      <c r="AD888" s="89" t="s">
        <v>646</v>
      </c>
      <c r="AE888" s="89" t="s">
        <v>646</v>
      </c>
      <c r="AF888" s="89" t="s">
        <v>24515</v>
      </c>
      <c r="AG888" s="89" t="s">
        <v>646</v>
      </c>
      <c r="AH888" s="89" t="s">
        <v>646</v>
      </c>
      <c r="AI888" s="89" t="s">
        <v>646</v>
      </c>
      <c r="AJ888" s="89" t="s">
        <v>646</v>
      </c>
      <c r="AK888" s="89" t="s">
        <v>24516</v>
      </c>
      <c r="AL888" s="89" t="s">
        <v>24517</v>
      </c>
      <c r="AM888" s="89" t="s">
        <v>646</v>
      </c>
      <c r="AN888" s="89" t="s">
        <v>646</v>
      </c>
      <c r="AO888" s="89" t="s">
        <v>646</v>
      </c>
      <c r="AP888" s="89" t="s">
        <v>646</v>
      </c>
      <c r="AQ888" s="89" t="s">
        <v>646</v>
      </c>
      <c r="AR888" s="89" t="s">
        <v>646</v>
      </c>
      <c r="AS888" s="89" t="s">
        <v>646</v>
      </c>
      <c r="AT888" s="89" t="s">
        <v>646</v>
      </c>
      <c r="AU888" s="89" t="s">
        <v>646</v>
      </c>
      <c r="AV888" s="89" t="s">
        <v>646</v>
      </c>
      <c r="AW888" s="89" t="s">
        <v>646</v>
      </c>
      <c r="AX888" s="89" t="s">
        <v>646</v>
      </c>
      <c r="AY888" s="89" t="s">
        <v>24518</v>
      </c>
      <c r="AZ888" s="89" t="s">
        <v>24519</v>
      </c>
      <c r="BA888" s="89" t="s">
        <v>646</v>
      </c>
      <c r="BB888" s="89" t="s">
        <v>646</v>
      </c>
      <c r="BC888" s="89" t="s">
        <v>646</v>
      </c>
      <c r="BD888" s="89" t="s">
        <v>17772</v>
      </c>
      <c r="BE888" s="89">
        <v>2021</v>
      </c>
      <c r="BF888" s="89">
        <v>39</v>
      </c>
      <c r="BG888" s="89" t="s">
        <v>646</v>
      </c>
      <c r="BH888" s="89" t="s">
        <v>646</v>
      </c>
      <c r="BI888" s="89" t="s">
        <v>646</v>
      </c>
      <c r="BJ888" s="89" t="s">
        <v>646</v>
      </c>
      <c r="BK888" s="89" t="s">
        <v>646</v>
      </c>
      <c r="BL888" s="89" t="s">
        <v>646</v>
      </c>
      <c r="BM888" s="89" t="s">
        <v>646</v>
      </c>
      <c r="BN888" s="89">
        <v>100503</v>
      </c>
      <c r="BO888" s="89" t="str">
        <f>HYPERLINK("http://dx.doi.org/10.1016/j.rtbm.2020.100503","http://dx.doi.org/10.1016/j.rtbm.2020.100503")</f>
        <v>http://dx.doi.org/10.1016/j.rtbm.2020.100503</v>
      </c>
      <c r="BP888" s="89" t="s">
        <v>646</v>
      </c>
      <c r="BQ888" s="89" t="s">
        <v>17514</v>
      </c>
      <c r="BR888" s="89" t="s">
        <v>646</v>
      </c>
      <c r="BS888" s="89" t="s">
        <v>646</v>
      </c>
      <c r="BT888" s="89" t="s">
        <v>646</v>
      </c>
      <c r="BU888" s="89" t="s">
        <v>646</v>
      </c>
      <c r="BV888" s="89" t="s">
        <v>646</v>
      </c>
      <c r="BW888" s="89" t="s">
        <v>646</v>
      </c>
      <c r="BX888" s="89" t="s">
        <v>646</v>
      </c>
      <c r="BY888" s="89" t="s">
        <v>646</v>
      </c>
      <c r="BZ888" s="89" t="s">
        <v>646</v>
      </c>
      <c r="CA888" s="89" t="s">
        <v>646</v>
      </c>
      <c r="CB888" s="89" t="s">
        <v>24520</v>
      </c>
      <c r="CC888" s="89" t="str">
        <f>HYPERLINK("https%3A%2F%2Fwww.webofscience.com%2Fwos%2Fwoscc%2Ffull-record%2FWOS:000668571500010","View Full Record in Web of Science")</f>
        <v>View Full Record in Web of Science</v>
      </c>
    </row>
    <row r="889" spans="1:81" ht="13.2" hidden="1" x14ac:dyDescent="0.25">
      <c r="A889" s="89" t="s">
        <v>24521</v>
      </c>
      <c r="B889" s="89" t="e">
        <f>+#REF!</f>
        <v>#REF!</v>
      </c>
      <c r="C889" s="89"/>
      <c r="D889" s="91" t="s">
        <v>717</v>
      </c>
      <c r="E889" s="90" t="e">
        <v>#REF!</v>
      </c>
      <c r="F889" s="89"/>
      <c r="G889" s="89"/>
      <c r="H889" s="89" t="s">
        <v>15487</v>
      </c>
      <c r="I889" s="89" t="s">
        <v>24522</v>
      </c>
      <c r="J889" s="89" t="s">
        <v>24524</v>
      </c>
      <c r="K889" s="89" t="s">
        <v>24523</v>
      </c>
      <c r="M889" s="89">
        <v>2018</v>
      </c>
      <c r="N889" s="89" t="s">
        <v>21628</v>
      </c>
      <c r="O889" s="89" t="s">
        <v>646</v>
      </c>
      <c r="P889" s="89" t="str">
        <f>HYPERLINK("http://dx.doi.org/10.4067/S0718-18762018000300105","http://dx.doi.org/10.4067/S0718-18762018000300105")</f>
        <v>http://dx.doi.org/10.4067/S0718-18762018000300105</v>
      </c>
      <c r="S889" s="89" t="s">
        <v>646</v>
      </c>
      <c r="U889" s="89" t="s">
        <v>17462</v>
      </c>
      <c r="W889" s="89" t="s">
        <v>646</v>
      </c>
      <c r="X889" s="89" t="s">
        <v>646</v>
      </c>
      <c r="Y889" s="89" t="s">
        <v>646</v>
      </c>
      <c r="Z889" s="89" t="s">
        <v>646</v>
      </c>
      <c r="AA889" s="89" t="s">
        <v>646</v>
      </c>
      <c r="AB889" s="89" t="s">
        <v>646</v>
      </c>
      <c r="AC889" s="89" t="s">
        <v>646</v>
      </c>
      <c r="AD889" s="89" t="s">
        <v>646</v>
      </c>
      <c r="AE889" s="89" t="s">
        <v>646</v>
      </c>
      <c r="AF889" s="89" t="s">
        <v>24523</v>
      </c>
      <c r="AG889" s="89" t="s">
        <v>646</v>
      </c>
      <c r="AH889" s="89" t="s">
        <v>646</v>
      </c>
      <c r="AI889" s="89" t="s">
        <v>646</v>
      </c>
      <c r="AJ889" s="89" t="s">
        <v>646</v>
      </c>
      <c r="AK889" s="89" t="s">
        <v>24524</v>
      </c>
      <c r="AL889" s="89" t="s">
        <v>24525</v>
      </c>
      <c r="AM889" s="89" t="s">
        <v>646</v>
      </c>
      <c r="AN889" s="89" t="s">
        <v>646</v>
      </c>
      <c r="AO889" s="89" t="s">
        <v>646</v>
      </c>
      <c r="AP889" s="89" t="s">
        <v>646</v>
      </c>
      <c r="AQ889" s="89" t="s">
        <v>646</v>
      </c>
      <c r="AR889" s="89" t="s">
        <v>646</v>
      </c>
      <c r="AS889" s="89" t="s">
        <v>646</v>
      </c>
      <c r="AT889" s="89" t="s">
        <v>646</v>
      </c>
      <c r="AU889" s="89" t="s">
        <v>646</v>
      </c>
      <c r="AV889" s="89" t="s">
        <v>646</v>
      </c>
      <c r="AW889" s="89" t="s">
        <v>646</v>
      </c>
      <c r="AX889" s="89" t="s">
        <v>646</v>
      </c>
      <c r="AY889" s="89" t="s">
        <v>21631</v>
      </c>
      <c r="AZ889" s="89" t="s">
        <v>646</v>
      </c>
      <c r="BA889" s="89" t="s">
        <v>646</v>
      </c>
      <c r="BB889" s="89" t="s">
        <v>646</v>
      </c>
      <c r="BC889" s="89" t="s">
        <v>646</v>
      </c>
      <c r="BD889" s="89" t="s">
        <v>17739</v>
      </c>
      <c r="BE889" s="89">
        <v>2018</v>
      </c>
      <c r="BF889" s="89">
        <v>13</v>
      </c>
      <c r="BG889" s="89">
        <v>3</v>
      </c>
      <c r="BH889" s="89" t="s">
        <v>646</v>
      </c>
      <c r="BI889" s="89" t="s">
        <v>646</v>
      </c>
      <c r="BJ889" s="89" t="s">
        <v>646</v>
      </c>
      <c r="BK889" s="89" t="s">
        <v>646</v>
      </c>
      <c r="BL889" s="89">
        <v>85</v>
      </c>
      <c r="BM889" s="89">
        <v>98</v>
      </c>
      <c r="BN889" s="89" t="s">
        <v>646</v>
      </c>
      <c r="BO889" s="89" t="str">
        <f>HYPERLINK("http://dx.doi.org/10.4067/S0718-18762018000300105","http://dx.doi.org/10.4067/S0718-18762018000300105")</f>
        <v>http://dx.doi.org/10.4067/S0718-18762018000300105</v>
      </c>
      <c r="BP889" s="89" t="s">
        <v>646</v>
      </c>
      <c r="BQ889" s="89" t="s">
        <v>646</v>
      </c>
      <c r="BR889" s="89" t="s">
        <v>646</v>
      </c>
      <c r="BS889" s="89" t="s">
        <v>646</v>
      </c>
      <c r="BT889" s="89" t="s">
        <v>646</v>
      </c>
      <c r="BU889" s="89" t="s">
        <v>646</v>
      </c>
      <c r="BV889" s="89" t="s">
        <v>646</v>
      </c>
      <c r="BW889" s="89" t="s">
        <v>646</v>
      </c>
      <c r="BX889" s="89" t="s">
        <v>646</v>
      </c>
      <c r="BY889" s="89" t="s">
        <v>646</v>
      </c>
      <c r="BZ889" s="89" t="s">
        <v>646</v>
      </c>
      <c r="CA889" s="89" t="s">
        <v>646</v>
      </c>
      <c r="CB889" s="89" t="s">
        <v>24526</v>
      </c>
      <c r="CC889" s="89" t="str">
        <f>HYPERLINK("https%3A%2F%2Fwww.webofscience.com%2Fwos%2Fwoscc%2Ffull-record%2FWOS:000432909900005","View Full Record in Web of Science")</f>
        <v>View Full Record in Web of Science</v>
      </c>
    </row>
    <row r="890" spans="1:81" ht="13.2" hidden="1" x14ac:dyDescent="0.25">
      <c r="A890" s="89" t="s">
        <v>24527</v>
      </c>
      <c r="B890" s="89" t="e">
        <f>+#REF!</f>
        <v>#REF!</v>
      </c>
      <c r="C890" s="89"/>
      <c r="D890" s="91" t="s">
        <v>717</v>
      </c>
      <c r="E890" s="90" t="e">
        <v>#REF!</v>
      </c>
      <c r="F890" s="89"/>
      <c r="G890" s="89"/>
      <c r="H890" s="89" t="s">
        <v>15495</v>
      </c>
      <c r="I890" s="89" t="s">
        <v>24528</v>
      </c>
      <c r="J890" s="89" t="s">
        <v>646</v>
      </c>
      <c r="K890" s="89" t="s">
        <v>24530</v>
      </c>
      <c r="M890" s="89">
        <v>2018</v>
      </c>
      <c r="N890" s="89" t="s">
        <v>24529</v>
      </c>
      <c r="O890" s="89" t="s">
        <v>646</v>
      </c>
      <c r="P890" s="89" t="str">
        <f>HYPERLINK("http://dx.doi.org/10.1111/1468-2230.12343","http://dx.doi.org/10.1111/1468-2230.12343")</f>
        <v>http://dx.doi.org/10.1111/1468-2230.12343</v>
      </c>
      <c r="S890" s="89" t="s">
        <v>646</v>
      </c>
      <c r="U890" s="89" t="s">
        <v>17462</v>
      </c>
      <c r="W890" s="89" t="s">
        <v>646</v>
      </c>
      <c r="X890" s="89" t="s">
        <v>646</v>
      </c>
      <c r="Y890" s="89" t="s">
        <v>646</v>
      </c>
      <c r="Z890" s="89" t="s">
        <v>646</v>
      </c>
      <c r="AA890" s="89" t="s">
        <v>646</v>
      </c>
      <c r="AB890" s="89" t="s">
        <v>646</v>
      </c>
      <c r="AC890" s="89" t="s">
        <v>646</v>
      </c>
      <c r="AD890" s="89" t="s">
        <v>646</v>
      </c>
      <c r="AE890" s="89" t="s">
        <v>646</v>
      </c>
      <c r="AF890" s="89" t="s">
        <v>24530</v>
      </c>
      <c r="AG890" s="89" t="s">
        <v>646</v>
      </c>
      <c r="AH890" s="89" t="s">
        <v>646</v>
      </c>
      <c r="AI890" s="89" t="s">
        <v>646</v>
      </c>
      <c r="AJ890" s="89" t="s">
        <v>646</v>
      </c>
      <c r="AK890" s="89" t="s">
        <v>646</v>
      </c>
      <c r="AL890" s="89" t="s">
        <v>646</v>
      </c>
      <c r="AM890" s="89" t="s">
        <v>646</v>
      </c>
      <c r="AN890" s="89" t="s">
        <v>646</v>
      </c>
      <c r="AO890" s="89" t="s">
        <v>646</v>
      </c>
      <c r="AP890" s="89" t="s">
        <v>646</v>
      </c>
      <c r="AQ890" s="89" t="s">
        <v>646</v>
      </c>
      <c r="AR890" s="89" t="s">
        <v>646</v>
      </c>
      <c r="AS890" s="89" t="s">
        <v>646</v>
      </c>
      <c r="AT890" s="89" t="s">
        <v>646</v>
      </c>
      <c r="AU890" s="89" t="s">
        <v>646</v>
      </c>
      <c r="AV890" s="89" t="s">
        <v>646</v>
      </c>
      <c r="AW890" s="89" t="s">
        <v>646</v>
      </c>
      <c r="AX890" s="89" t="s">
        <v>646</v>
      </c>
      <c r="AY890" s="89" t="s">
        <v>24531</v>
      </c>
      <c r="AZ890" s="89" t="s">
        <v>24532</v>
      </c>
      <c r="BA890" s="89" t="s">
        <v>646</v>
      </c>
      <c r="BB890" s="89" t="s">
        <v>646</v>
      </c>
      <c r="BC890" s="89" t="s">
        <v>646</v>
      </c>
      <c r="BD890" s="89" t="s">
        <v>18436</v>
      </c>
      <c r="BE890" s="89">
        <v>2018</v>
      </c>
      <c r="BF890" s="89">
        <v>81</v>
      </c>
      <c r="BG890" s="89">
        <v>3</v>
      </c>
      <c r="BH890" s="89" t="s">
        <v>646</v>
      </c>
      <c r="BI890" s="89" t="s">
        <v>646</v>
      </c>
      <c r="BJ890" s="89" t="s">
        <v>646</v>
      </c>
      <c r="BK890" s="89" t="s">
        <v>646</v>
      </c>
      <c r="BL890" s="89">
        <v>509</v>
      </c>
      <c r="BM890" s="89">
        <v>526</v>
      </c>
      <c r="BN890" s="89" t="s">
        <v>646</v>
      </c>
      <c r="BO890" s="89" t="str">
        <f>HYPERLINK("http://dx.doi.org/10.1111/1468-2230.12343","http://dx.doi.org/10.1111/1468-2230.12343")</f>
        <v>http://dx.doi.org/10.1111/1468-2230.12343</v>
      </c>
      <c r="BP890" s="89" t="s">
        <v>646</v>
      </c>
      <c r="BQ890" s="89" t="s">
        <v>646</v>
      </c>
      <c r="BR890" s="89" t="s">
        <v>646</v>
      </c>
      <c r="BS890" s="89" t="s">
        <v>646</v>
      </c>
      <c r="BT890" s="89" t="s">
        <v>646</v>
      </c>
      <c r="BU890" s="89" t="s">
        <v>646</v>
      </c>
      <c r="BV890" s="89" t="s">
        <v>646</v>
      </c>
      <c r="BW890" s="89" t="s">
        <v>646</v>
      </c>
      <c r="BX890" s="89" t="s">
        <v>646</v>
      </c>
      <c r="BY890" s="89" t="s">
        <v>646</v>
      </c>
      <c r="BZ890" s="89" t="s">
        <v>646</v>
      </c>
      <c r="CA890" s="89" t="s">
        <v>646</v>
      </c>
      <c r="CB890" s="89" t="s">
        <v>24533</v>
      </c>
      <c r="CC890" s="89" t="str">
        <f>HYPERLINK("https%3A%2F%2Fwww.webofscience.com%2Fwos%2Fwoscc%2Ffull-record%2FWOS:000431679600005","View Full Record in Web of Science")</f>
        <v>View Full Record in Web of Science</v>
      </c>
    </row>
    <row r="891" spans="1:81" ht="13.2" hidden="1" x14ac:dyDescent="0.25">
      <c r="A891" s="89" t="s">
        <v>24534</v>
      </c>
      <c r="B891" s="89" t="e">
        <f>+#REF!</f>
        <v>#REF!</v>
      </c>
      <c r="C891" s="89"/>
      <c r="D891" s="91" t="s">
        <v>717</v>
      </c>
      <c r="E891" s="90" t="e">
        <v>#REF!</v>
      </c>
      <c r="F891" s="89"/>
      <c r="G891" s="89"/>
      <c r="H891" s="89" t="s">
        <v>15505</v>
      </c>
      <c r="I891" s="89" t="s">
        <v>24535</v>
      </c>
      <c r="J891" s="89" t="s">
        <v>646</v>
      </c>
      <c r="K891" s="89" t="s">
        <v>24537</v>
      </c>
      <c r="M891" s="89">
        <v>2019</v>
      </c>
      <c r="N891" s="89" t="s">
        <v>24536</v>
      </c>
      <c r="O891" s="89" t="s">
        <v>646</v>
      </c>
      <c r="P891" s="89" t="str">
        <f>HYPERLINK("http://dx.doi.org/10.5755/j01.ee.30.3.21253","http://dx.doi.org/10.5755/j01.ee.30.3.21253")</f>
        <v>http://dx.doi.org/10.5755/j01.ee.30.3.21253</v>
      </c>
      <c r="S891" s="89" t="s">
        <v>646</v>
      </c>
      <c r="U891" s="89" t="s">
        <v>17462</v>
      </c>
      <c r="W891" s="89" t="s">
        <v>646</v>
      </c>
      <c r="X891" s="89" t="s">
        <v>646</v>
      </c>
      <c r="Y891" s="89" t="s">
        <v>646</v>
      </c>
      <c r="Z891" s="89" t="s">
        <v>646</v>
      </c>
      <c r="AA891" s="89" t="s">
        <v>646</v>
      </c>
      <c r="AB891" s="89" t="s">
        <v>646</v>
      </c>
      <c r="AC891" s="89" t="s">
        <v>646</v>
      </c>
      <c r="AD891" s="89" t="s">
        <v>646</v>
      </c>
      <c r="AE891" s="89" t="s">
        <v>646</v>
      </c>
      <c r="AF891" s="89" t="s">
        <v>24537</v>
      </c>
      <c r="AG891" s="89" t="s">
        <v>646</v>
      </c>
      <c r="AH891" s="89" t="s">
        <v>646</v>
      </c>
      <c r="AI891" s="89" t="s">
        <v>646</v>
      </c>
      <c r="AJ891" s="89" t="s">
        <v>646</v>
      </c>
      <c r="AK891" s="89" t="s">
        <v>646</v>
      </c>
      <c r="AL891" s="89" t="s">
        <v>646</v>
      </c>
      <c r="AM891" s="89" t="s">
        <v>646</v>
      </c>
      <c r="AN891" s="89" t="s">
        <v>646</v>
      </c>
      <c r="AO891" s="89" t="s">
        <v>646</v>
      </c>
      <c r="AP891" s="89" t="s">
        <v>646</v>
      </c>
      <c r="AQ891" s="89" t="s">
        <v>646</v>
      </c>
      <c r="AR891" s="89" t="s">
        <v>646</v>
      </c>
      <c r="AS891" s="89" t="s">
        <v>646</v>
      </c>
      <c r="AT891" s="89" t="s">
        <v>646</v>
      </c>
      <c r="AU891" s="89" t="s">
        <v>646</v>
      </c>
      <c r="AV891" s="89" t="s">
        <v>646</v>
      </c>
      <c r="AW891" s="89" t="s">
        <v>646</v>
      </c>
      <c r="AX891" s="89" t="s">
        <v>646</v>
      </c>
      <c r="AY891" s="89" t="s">
        <v>24538</v>
      </c>
      <c r="AZ891" s="89" t="s">
        <v>24539</v>
      </c>
      <c r="BA891" s="89" t="s">
        <v>646</v>
      </c>
      <c r="BB891" s="89" t="s">
        <v>646</v>
      </c>
      <c r="BC891" s="89" t="s">
        <v>646</v>
      </c>
      <c r="BD891" s="89" t="s">
        <v>646</v>
      </c>
      <c r="BE891" s="89">
        <v>2019</v>
      </c>
      <c r="BF891" s="89">
        <v>30</v>
      </c>
      <c r="BG891" s="89">
        <v>3</v>
      </c>
      <c r="BH891" s="89" t="s">
        <v>646</v>
      </c>
      <c r="BI891" s="89" t="s">
        <v>646</v>
      </c>
      <c r="BJ891" s="89" t="s">
        <v>646</v>
      </c>
      <c r="BK891" s="89" t="s">
        <v>646</v>
      </c>
      <c r="BL891" s="89">
        <v>373</v>
      </c>
      <c r="BM891" s="89">
        <v>381</v>
      </c>
      <c r="BN891" s="89" t="s">
        <v>646</v>
      </c>
      <c r="BO891" s="89" t="str">
        <f>HYPERLINK("http://dx.doi.org/10.5755/j01.ee.30.3.21253","http://dx.doi.org/10.5755/j01.ee.30.3.21253")</f>
        <v>http://dx.doi.org/10.5755/j01.ee.30.3.21253</v>
      </c>
      <c r="BP891" s="89" t="s">
        <v>646</v>
      </c>
      <c r="BQ891" s="89" t="s">
        <v>646</v>
      </c>
      <c r="BR891" s="89" t="s">
        <v>646</v>
      </c>
      <c r="BS891" s="89" t="s">
        <v>646</v>
      </c>
      <c r="BT891" s="89" t="s">
        <v>646</v>
      </c>
      <c r="BU891" s="89" t="s">
        <v>646</v>
      </c>
      <c r="BV891" s="89" t="s">
        <v>646</v>
      </c>
      <c r="BW891" s="89" t="s">
        <v>646</v>
      </c>
      <c r="BX891" s="89" t="s">
        <v>646</v>
      </c>
      <c r="BY891" s="89" t="s">
        <v>646</v>
      </c>
      <c r="BZ891" s="89" t="s">
        <v>646</v>
      </c>
      <c r="CA891" s="89" t="s">
        <v>646</v>
      </c>
      <c r="CB891" s="89" t="s">
        <v>24540</v>
      </c>
      <c r="CC891" s="89" t="str">
        <f>HYPERLINK("https%3A%2F%2Fwww.webofscience.com%2Fwos%2Fwoscc%2Ffull-record%2FWOS:000480418100011","View Full Record in Web of Science")</f>
        <v>View Full Record in Web of Science</v>
      </c>
    </row>
    <row r="892" spans="1:81" ht="13.2" hidden="1" x14ac:dyDescent="0.25">
      <c r="A892" s="89" t="s">
        <v>15513</v>
      </c>
      <c r="B892" s="89" t="e">
        <f>+#REF!</f>
        <v>#REF!</v>
      </c>
      <c r="C892" s="89"/>
      <c r="D892" s="91" t="s">
        <v>717</v>
      </c>
      <c r="E892" s="90" t="e">
        <v>#REF!</v>
      </c>
      <c r="F892" s="89"/>
      <c r="G892" s="89"/>
      <c r="H892" s="89" t="s">
        <v>15514</v>
      </c>
      <c r="I892" s="89" t="s">
        <v>24541</v>
      </c>
      <c r="J892" s="89" t="s">
        <v>646</v>
      </c>
      <c r="K892" s="89" t="s">
        <v>24542</v>
      </c>
      <c r="M892" s="89">
        <v>2014</v>
      </c>
      <c r="N892" s="89" t="s">
        <v>20684</v>
      </c>
      <c r="O892" s="89" t="s">
        <v>646</v>
      </c>
      <c r="P892" s="89" t="str">
        <f>HYPERLINK("http://dx.doi.org/10.1016/j.paid.2014.02.003","http://dx.doi.org/10.1016/j.paid.2014.02.003")</f>
        <v>http://dx.doi.org/10.1016/j.paid.2014.02.003</v>
      </c>
      <c r="S892" s="89" t="s">
        <v>646</v>
      </c>
      <c r="U892" s="89" t="s">
        <v>17462</v>
      </c>
      <c r="W892" s="89" t="s">
        <v>646</v>
      </c>
      <c r="X892" s="89" t="s">
        <v>646</v>
      </c>
      <c r="Y892" s="89" t="s">
        <v>646</v>
      </c>
      <c r="Z892" s="89" t="s">
        <v>646</v>
      </c>
      <c r="AA892" s="89" t="s">
        <v>646</v>
      </c>
      <c r="AB892" s="89" t="s">
        <v>646</v>
      </c>
      <c r="AC892" s="89" t="s">
        <v>646</v>
      </c>
      <c r="AD892" s="89" t="s">
        <v>646</v>
      </c>
      <c r="AE892" s="89" t="s">
        <v>646</v>
      </c>
      <c r="AF892" s="89" t="s">
        <v>24542</v>
      </c>
      <c r="AG892" s="89" t="s">
        <v>646</v>
      </c>
      <c r="AH892" s="89" t="s">
        <v>646</v>
      </c>
      <c r="AI892" s="89" t="s">
        <v>646</v>
      </c>
      <c r="AJ892" s="89" t="s">
        <v>646</v>
      </c>
      <c r="AK892" s="89" t="s">
        <v>646</v>
      </c>
      <c r="AL892" s="89" t="s">
        <v>646</v>
      </c>
      <c r="AM892" s="89" t="s">
        <v>646</v>
      </c>
      <c r="AN892" s="89" t="s">
        <v>646</v>
      </c>
      <c r="AO892" s="89" t="s">
        <v>646</v>
      </c>
      <c r="AP892" s="89" t="s">
        <v>646</v>
      </c>
      <c r="AQ892" s="89" t="s">
        <v>646</v>
      </c>
      <c r="AR892" s="89" t="s">
        <v>646</v>
      </c>
      <c r="AS892" s="89" t="s">
        <v>646</v>
      </c>
      <c r="AT892" s="89" t="s">
        <v>646</v>
      </c>
      <c r="AU892" s="89" t="s">
        <v>646</v>
      </c>
      <c r="AV892" s="89" t="s">
        <v>646</v>
      </c>
      <c r="AW892" s="89" t="s">
        <v>646</v>
      </c>
      <c r="AX892" s="89" t="s">
        <v>646</v>
      </c>
      <c r="AY892" s="89" t="s">
        <v>20686</v>
      </c>
      <c r="AZ892" s="89" t="s">
        <v>646</v>
      </c>
      <c r="BA892" s="89" t="s">
        <v>646</v>
      </c>
      <c r="BB892" s="89" t="s">
        <v>646</v>
      </c>
      <c r="BC892" s="89" t="s">
        <v>646</v>
      </c>
      <c r="BD892" s="89" t="s">
        <v>17739</v>
      </c>
      <c r="BE892" s="89">
        <v>2014</v>
      </c>
      <c r="BF892" s="89">
        <v>67</v>
      </c>
      <c r="BG892" s="89" t="s">
        <v>646</v>
      </c>
      <c r="BH892" s="89" t="s">
        <v>646</v>
      </c>
      <c r="BI892" s="89" t="s">
        <v>646</v>
      </c>
      <c r="BJ892" s="89" t="s">
        <v>646</v>
      </c>
      <c r="BK892" s="89" t="s">
        <v>646</v>
      </c>
      <c r="BL892" s="89">
        <v>42</v>
      </c>
      <c r="BM892" s="89">
        <v>46</v>
      </c>
      <c r="BN892" s="89" t="s">
        <v>646</v>
      </c>
      <c r="BO892" s="89" t="str">
        <f>HYPERLINK("http://dx.doi.org/10.1016/j.paid.2014.02.003","http://dx.doi.org/10.1016/j.paid.2014.02.003")</f>
        <v>http://dx.doi.org/10.1016/j.paid.2014.02.003</v>
      </c>
      <c r="BP892" s="89" t="s">
        <v>646</v>
      </c>
      <c r="BQ892" s="89" t="s">
        <v>646</v>
      </c>
      <c r="BR892" s="89" t="s">
        <v>646</v>
      </c>
      <c r="BS892" s="89" t="s">
        <v>646</v>
      </c>
      <c r="BT892" s="89" t="s">
        <v>646</v>
      </c>
      <c r="BU892" s="89" t="s">
        <v>646</v>
      </c>
      <c r="BV892" s="89" t="s">
        <v>646</v>
      </c>
      <c r="BW892" s="89" t="s">
        <v>646</v>
      </c>
      <c r="BX892" s="89" t="s">
        <v>646</v>
      </c>
      <c r="BY892" s="89" t="s">
        <v>646</v>
      </c>
      <c r="BZ892" s="89" t="s">
        <v>646</v>
      </c>
      <c r="CA892" s="89" t="s">
        <v>646</v>
      </c>
      <c r="CB892" s="89" t="s">
        <v>24543</v>
      </c>
      <c r="CC892" s="89" t="str">
        <f>HYPERLINK("https%3A%2F%2Fwww.webofscience.com%2Fwos%2Fwoscc%2Ffull-record%2FWOS:000337991400009","View Full Record in Web of Science")</f>
        <v>View Full Record in Web of Science</v>
      </c>
    </row>
    <row r="893" spans="1:81" ht="13.2" hidden="1" x14ac:dyDescent="0.25">
      <c r="A893" s="89" t="s">
        <v>24544</v>
      </c>
      <c r="B893" s="89" t="e">
        <f>+#REF!</f>
        <v>#REF!</v>
      </c>
      <c r="C893" s="89"/>
      <c r="D893" s="91" t="s">
        <v>717</v>
      </c>
      <c r="E893" s="90" t="e">
        <v>#REF!</v>
      </c>
      <c r="F893" s="89"/>
      <c r="G893" s="89"/>
      <c r="H893" s="89" t="s">
        <v>15523</v>
      </c>
      <c r="I893" s="89" t="s">
        <v>24545</v>
      </c>
      <c r="J893" s="89" t="s">
        <v>24547</v>
      </c>
      <c r="K893" s="89" t="s">
        <v>24546</v>
      </c>
      <c r="M893" s="89">
        <v>2019</v>
      </c>
      <c r="N893" s="89" t="s">
        <v>20801</v>
      </c>
      <c r="O893" s="89" t="s">
        <v>646</v>
      </c>
      <c r="P893" s="89" t="str">
        <f>HYPERLINK("http://dx.doi.org/10.1037/cou0000312","http://dx.doi.org/10.1037/cou0000312")</f>
        <v>http://dx.doi.org/10.1037/cou0000312</v>
      </c>
      <c r="S893" s="89" t="s">
        <v>646</v>
      </c>
      <c r="U893" s="89" t="s">
        <v>17462</v>
      </c>
      <c r="W893" s="89" t="s">
        <v>646</v>
      </c>
      <c r="X893" s="89" t="s">
        <v>646</v>
      </c>
      <c r="Y893" s="89" t="s">
        <v>646</v>
      </c>
      <c r="Z893" s="89" t="s">
        <v>646</v>
      </c>
      <c r="AA893" s="89" t="s">
        <v>646</v>
      </c>
      <c r="AB893" s="89" t="s">
        <v>646</v>
      </c>
      <c r="AC893" s="89" t="s">
        <v>646</v>
      </c>
      <c r="AD893" s="89" t="s">
        <v>646</v>
      </c>
      <c r="AE893" s="89" t="s">
        <v>646</v>
      </c>
      <c r="AF893" s="89" t="s">
        <v>24546</v>
      </c>
      <c r="AG893" s="89" t="s">
        <v>646</v>
      </c>
      <c r="AH893" s="89" t="s">
        <v>646</v>
      </c>
      <c r="AI893" s="89" t="s">
        <v>646</v>
      </c>
      <c r="AJ893" s="89" t="s">
        <v>646</v>
      </c>
      <c r="AK893" s="89" t="s">
        <v>24547</v>
      </c>
      <c r="AL893" s="89" t="s">
        <v>646</v>
      </c>
      <c r="AM893" s="89" t="s">
        <v>646</v>
      </c>
      <c r="AN893" s="89" t="s">
        <v>646</v>
      </c>
      <c r="AO893" s="89" t="s">
        <v>646</v>
      </c>
      <c r="AP893" s="89" t="s">
        <v>646</v>
      </c>
      <c r="AQ893" s="89" t="s">
        <v>646</v>
      </c>
      <c r="AR893" s="89" t="s">
        <v>646</v>
      </c>
      <c r="AS893" s="89" t="s">
        <v>646</v>
      </c>
      <c r="AT893" s="89" t="s">
        <v>646</v>
      </c>
      <c r="AU893" s="89" t="s">
        <v>646</v>
      </c>
      <c r="AV893" s="89" t="s">
        <v>646</v>
      </c>
      <c r="AW893" s="89" t="s">
        <v>646</v>
      </c>
      <c r="AX893" s="89" t="s">
        <v>646</v>
      </c>
      <c r="AY893" s="89" t="s">
        <v>20805</v>
      </c>
      <c r="AZ893" s="89" t="s">
        <v>20806</v>
      </c>
      <c r="BA893" s="89" t="s">
        <v>646</v>
      </c>
      <c r="BB893" s="89" t="s">
        <v>646</v>
      </c>
      <c r="BC893" s="89" t="s">
        <v>646</v>
      </c>
      <c r="BD893" s="89" t="s">
        <v>17779</v>
      </c>
      <c r="BE893" s="89">
        <v>2019</v>
      </c>
      <c r="BF893" s="89">
        <v>66</v>
      </c>
      <c r="BG893" s="89">
        <v>2</v>
      </c>
      <c r="BH893" s="89" t="s">
        <v>646</v>
      </c>
      <c r="BI893" s="89" t="s">
        <v>646</v>
      </c>
      <c r="BJ893" s="89" t="s">
        <v>646</v>
      </c>
      <c r="BK893" s="89" t="s">
        <v>646</v>
      </c>
      <c r="BL893" s="89">
        <v>224</v>
      </c>
      <c r="BM893" s="89">
        <v>233</v>
      </c>
      <c r="BN893" s="89" t="s">
        <v>646</v>
      </c>
      <c r="BO893" s="89" t="str">
        <f>HYPERLINK("http://dx.doi.org/10.1037/cou0000312","http://dx.doi.org/10.1037/cou0000312")</f>
        <v>http://dx.doi.org/10.1037/cou0000312</v>
      </c>
      <c r="BP893" s="89" t="s">
        <v>646</v>
      </c>
      <c r="BQ893" s="89" t="s">
        <v>646</v>
      </c>
      <c r="BR893" s="89" t="s">
        <v>646</v>
      </c>
      <c r="BS893" s="89" t="s">
        <v>646</v>
      </c>
      <c r="BT893" s="89" t="s">
        <v>646</v>
      </c>
      <c r="BU893" s="89" t="s">
        <v>646</v>
      </c>
      <c r="BV893" s="89" t="s">
        <v>646</v>
      </c>
      <c r="BW893" s="89">
        <v>30284847</v>
      </c>
      <c r="BX893" s="89" t="s">
        <v>646</v>
      </c>
      <c r="BY893" s="89" t="s">
        <v>646</v>
      </c>
      <c r="BZ893" s="89" t="s">
        <v>646</v>
      </c>
      <c r="CA893" s="89" t="s">
        <v>646</v>
      </c>
      <c r="CB893" s="89" t="s">
        <v>24548</v>
      </c>
      <c r="CC893" s="89" t="str">
        <f>HYPERLINK("https%3A%2F%2Fwww.webofscience.com%2Fwos%2Fwoscc%2Ffull-record%2FWOS:000459931800008","View Full Record in Web of Science")</f>
        <v>View Full Record in Web of Science</v>
      </c>
    </row>
    <row r="894" spans="1:81" ht="13.2" hidden="1" x14ac:dyDescent="0.25">
      <c r="A894" s="89" t="s">
        <v>15531</v>
      </c>
      <c r="B894" s="89" t="e">
        <f>+#REF!</f>
        <v>#REF!</v>
      </c>
      <c r="C894" s="89"/>
      <c r="D894" s="91" t="s">
        <v>717</v>
      </c>
      <c r="E894" s="90" t="e">
        <v>#REF!</v>
      </c>
      <c r="F894" s="89"/>
      <c r="G894" s="89"/>
      <c r="H894" s="89" t="s">
        <v>15532</v>
      </c>
      <c r="I894" s="89" t="s">
        <v>24549</v>
      </c>
      <c r="J894" s="89" t="s">
        <v>646</v>
      </c>
      <c r="K894" s="89" t="s">
        <v>24550</v>
      </c>
      <c r="M894" s="89">
        <v>2014</v>
      </c>
      <c r="N894" s="89" t="s">
        <v>18779</v>
      </c>
      <c r="O894" s="89" t="s">
        <v>646</v>
      </c>
      <c r="P894" s="89" t="str">
        <f>HYPERLINK("http://dx.doi.org/10.1016/j.infsof.2014.04.012","http://dx.doi.org/10.1016/j.infsof.2014.04.012")</f>
        <v>http://dx.doi.org/10.1016/j.infsof.2014.04.012</v>
      </c>
      <c r="S894" s="89" t="s">
        <v>646</v>
      </c>
      <c r="U894" s="89" t="s">
        <v>17462</v>
      </c>
      <c r="W894" s="89" t="s">
        <v>646</v>
      </c>
      <c r="X894" s="89" t="s">
        <v>646</v>
      </c>
      <c r="Y894" s="89" t="s">
        <v>646</v>
      </c>
      <c r="Z894" s="89" t="s">
        <v>646</v>
      </c>
      <c r="AA894" s="89" t="s">
        <v>646</v>
      </c>
      <c r="AB894" s="89" t="s">
        <v>646</v>
      </c>
      <c r="AC894" s="89" t="s">
        <v>646</v>
      </c>
      <c r="AD894" s="89" t="s">
        <v>646</v>
      </c>
      <c r="AE894" s="89" t="s">
        <v>646</v>
      </c>
      <c r="AF894" s="89" t="s">
        <v>24550</v>
      </c>
      <c r="AG894" s="89" t="s">
        <v>646</v>
      </c>
      <c r="AH894" s="89" t="s">
        <v>646</v>
      </c>
      <c r="AI894" s="89" t="s">
        <v>646</v>
      </c>
      <c r="AJ894" s="89" t="s">
        <v>646</v>
      </c>
      <c r="AK894" s="89" t="s">
        <v>646</v>
      </c>
      <c r="AL894" s="89" t="s">
        <v>23130</v>
      </c>
      <c r="AM894" s="89" t="s">
        <v>646</v>
      </c>
      <c r="AN894" s="89" t="s">
        <v>646</v>
      </c>
      <c r="AO894" s="89" t="s">
        <v>646</v>
      </c>
      <c r="AP894" s="89" t="s">
        <v>646</v>
      </c>
      <c r="AQ894" s="89" t="s">
        <v>646</v>
      </c>
      <c r="AR894" s="89" t="s">
        <v>646</v>
      </c>
      <c r="AS894" s="89" t="s">
        <v>646</v>
      </c>
      <c r="AT894" s="89" t="s">
        <v>646</v>
      </c>
      <c r="AU894" s="89" t="s">
        <v>646</v>
      </c>
      <c r="AV894" s="89" t="s">
        <v>646</v>
      </c>
      <c r="AW894" s="89" t="s">
        <v>646</v>
      </c>
      <c r="AX894" s="89" t="s">
        <v>646</v>
      </c>
      <c r="AY894" s="89" t="s">
        <v>18782</v>
      </c>
      <c r="AZ894" s="89" t="s">
        <v>18783</v>
      </c>
      <c r="BA894" s="89" t="s">
        <v>646</v>
      </c>
      <c r="BB894" s="89" t="s">
        <v>646</v>
      </c>
      <c r="BC894" s="89" t="s">
        <v>646</v>
      </c>
      <c r="BD894" s="89" t="s">
        <v>17687</v>
      </c>
      <c r="BE894" s="89">
        <v>2014</v>
      </c>
      <c r="BF894" s="89">
        <v>56</v>
      </c>
      <c r="BG894" s="89">
        <v>10</v>
      </c>
      <c r="BH894" s="89" t="s">
        <v>646</v>
      </c>
      <c r="BI894" s="89" t="s">
        <v>646</v>
      </c>
      <c r="BJ894" s="89" t="s">
        <v>646</v>
      </c>
      <c r="BK894" s="89" t="s">
        <v>646</v>
      </c>
      <c r="BL894" s="89">
        <v>1309</v>
      </c>
      <c r="BM894" s="89">
        <v>1321</v>
      </c>
      <c r="BN894" s="89" t="s">
        <v>646</v>
      </c>
      <c r="BO894" s="89" t="str">
        <f>HYPERLINK("http://dx.doi.org/10.1016/j.infsof.2014.04.012","http://dx.doi.org/10.1016/j.infsof.2014.04.012")</f>
        <v>http://dx.doi.org/10.1016/j.infsof.2014.04.012</v>
      </c>
      <c r="BP894" s="89" t="s">
        <v>646</v>
      </c>
      <c r="BQ894" s="89" t="s">
        <v>646</v>
      </c>
      <c r="BR894" s="89" t="s">
        <v>646</v>
      </c>
      <c r="BS894" s="89" t="s">
        <v>646</v>
      </c>
      <c r="BT894" s="89" t="s">
        <v>646</v>
      </c>
      <c r="BU894" s="89" t="s">
        <v>646</v>
      </c>
      <c r="BV894" s="89" t="s">
        <v>646</v>
      </c>
      <c r="BW894" s="89" t="s">
        <v>646</v>
      </c>
      <c r="BX894" s="89" t="s">
        <v>646</v>
      </c>
      <c r="BY894" s="89" t="s">
        <v>646</v>
      </c>
      <c r="BZ894" s="89" t="s">
        <v>646</v>
      </c>
      <c r="CA894" s="89" t="s">
        <v>646</v>
      </c>
      <c r="CB894" s="89" t="s">
        <v>24551</v>
      </c>
      <c r="CC894" s="89" t="str">
        <f>HYPERLINK("https%3A%2F%2Fwww.webofscience.com%2Fwos%2Fwoscc%2Ffull-record%2FWOS:000340850700009","View Full Record in Web of Science")</f>
        <v>View Full Record in Web of Science</v>
      </c>
    </row>
    <row r="895" spans="1:81" ht="13.2" hidden="1" x14ac:dyDescent="0.25">
      <c r="A895" s="89" t="s">
        <v>10404</v>
      </c>
      <c r="B895" s="89" t="e">
        <f>+#REF!</f>
        <v>#REF!</v>
      </c>
      <c r="C895" s="89"/>
      <c r="D895" s="91" t="s">
        <v>717</v>
      </c>
      <c r="E895" s="90" t="e">
        <v>#REF!</v>
      </c>
      <c r="F895" s="89"/>
      <c r="G895" s="89"/>
      <c r="H895" s="89" t="s">
        <v>10405</v>
      </c>
      <c r="I895" s="89" t="s">
        <v>24552</v>
      </c>
      <c r="J895" s="89" t="s">
        <v>646</v>
      </c>
      <c r="K895" s="89" t="s">
        <v>24553</v>
      </c>
      <c r="M895" s="89">
        <v>2021</v>
      </c>
      <c r="N895" s="89" t="s">
        <v>20313</v>
      </c>
      <c r="O895" s="89" t="s">
        <v>646</v>
      </c>
      <c r="P895" s="89" t="str">
        <f>HYPERLINK("http://dx.doi.org/10.1016/j.drugalcdep.2021.108919","http://dx.doi.org/10.1016/j.drugalcdep.2021.108919")</f>
        <v>http://dx.doi.org/10.1016/j.drugalcdep.2021.108919</v>
      </c>
      <c r="S895" s="89" t="s">
        <v>646</v>
      </c>
      <c r="U895" s="89" t="s">
        <v>17462</v>
      </c>
      <c r="W895" s="89" t="s">
        <v>646</v>
      </c>
      <c r="X895" s="89" t="s">
        <v>646</v>
      </c>
      <c r="Y895" s="89" t="s">
        <v>646</v>
      </c>
      <c r="Z895" s="89" t="s">
        <v>646</v>
      </c>
      <c r="AA895" s="89" t="s">
        <v>646</v>
      </c>
      <c r="AB895" s="89" t="s">
        <v>646</v>
      </c>
      <c r="AC895" s="89" t="s">
        <v>646</v>
      </c>
      <c r="AD895" s="89" t="s">
        <v>646</v>
      </c>
      <c r="AE895" s="89" t="s">
        <v>646</v>
      </c>
      <c r="AF895" s="89" t="s">
        <v>24553</v>
      </c>
      <c r="AG895" s="89" t="s">
        <v>646</v>
      </c>
      <c r="AH895" s="89" t="s">
        <v>646</v>
      </c>
      <c r="AI895" s="89" t="s">
        <v>646</v>
      </c>
      <c r="AJ895" s="89" t="s">
        <v>646</v>
      </c>
      <c r="AK895" s="89" t="s">
        <v>646</v>
      </c>
      <c r="AL895" s="89" t="s">
        <v>646</v>
      </c>
      <c r="AM895" s="89" t="s">
        <v>646</v>
      </c>
      <c r="AN895" s="89" t="s">
        <v>646</v>
      </c>
      <c r="AO895" s="89" t="s">
        <v>646</v>
      </c>
      <c r="AP895" s="89" t="s">
        <v>646</v>
      </c>
      <c r="AQ895" s="89" t="s">
        <v>646</v>
      </c>
      <c r="AR895" s="89" t="s">
        <v>646</v>
      </c>
      <c r="AS895" s="89" t="s">
        <v>646</v>
      </c>
      <c r="AT895" s="89" t="s">
        <v>646</v>
      </c>
      <c r="AU895" s="89" t="s">
        <v>646</v>
      </c>
      <c r="AV895" s="89" t="s">
        <v>646</v>
      </c>
      <c r="AW895" s="89" t="s">
        <v>646</v>
      </c>
      <c r="AX895" s="89" t="s">
        <v>646</v>
      </c>
      <c r="AY895" s="89" t="s">
        <v>20317</v>
      </c>
      <c r="AZ895" s="89" t="s">
        <v>20318</v>
      </c>
      <c r="BA895" s="89" t="s">
        <v>646</v>
      </c>
      <c r="BB895" s="89" t="s">
        <v>646</v>
      </c>
      <c r="BC895" s="89" t="s">
        <v>646</v>
      </c>
      <c r="BD895" s="89" t="s">
        <v>23526</v>
      </c>
      <c r="BE895" s="89">
        <v>2021</v>
      </c>
      <c r="BF895" s="89">
        <v>227</v>
      </c>
      <c r="BG895" s="89" t="s">
        <v>646</v>
      </c>
      <c r="BH895" s="89" t="s">
        <v>646</v>
      </c>
      <c r="BI895" s="89" t="s">
        <v>646</v>
      </c>
      <c r="BJ895" s="89" t="s">
        <v>646</v>
      </c>
      <c r="BK895" s="89" t="s">
        <v>646</v>
      </c>
      <c r="BL895" s="89" t="s">
        <v>646</v>
      </c>
      <c r="BM895" s="89" t="s">
        <v>646</v>
      </c>
      <c r="BN895" s="89">
        <v>108919</v>
      </c>
      <c r="BO895" s="89" t="str">
        <f>HYPERLINK("http://dx.doi.org/10.1016/j.drugalcdep.2021.108919","http://dx.doi.org/10.1016/j.drugalcdep.2021.108919")</f>
        <v>http://dx.doi.org/10.1016/j.drugalcdep.2021.108919</v>
      </c>
      <c r="BP895" s="89" t="s">
        <v>646</v>
      </c>
      <c r="BQ895" s="89" t="s">
        <v>17906</v>
      </c>
      <c r="BR895" s="89" t="s">
        <v>646</v>
      </c>
      <c r="BS895" s="89" t="s">
        <v>646</v>
      </c>
      <c r="BT895" s="89" t="s">
        <v>646</v>
      </c>
      <c r="BU895" s="89" t="s">
        <v>646</v>
      </c>
      <c r="BV895" s="89" t="s">
        <v>646</v>
      </c>
      <c r="BW895" s="89">
        <v>34340160</v>
      </c>
      <c r="BX895" s="89" t="s">
        <v>646</v>
      </c>
      <c r="BY895" s="89" t="s">
        <v>646</v>
      </c>
      <c r="BZ895" s="89" t="s">
        <v>646</v>
      </c>
      <c r="CA895" s="89" t="s">
        <v>646</v>
      </c>
      <c r="CB895" s="89" t="s">
        <v>24554</v>
      </c>
      <c r="CC895" s="89" t="str">
        <f>HYPERLINK("https%3A%2F%2Fwww.webofscience.com%2Fwos%2Fwoscc%2Ffull-record%2FWOS:000704373800009","View Full Record in Web of Science")</f>
        <v>View Full Record in Web of Science</v>
      </c>
    </row>
    <row r="896" spans="1:81" ht="13.2" hidden="1" x14ac:dyDescent="0.25">
      <c r="A896" s="89" t="s">
        <v>15540</v>
      </c>
      <c r="B896" s="89" t="e">
        <f>+#REF!</f>
        <v>#REF!</v>
      </c>
      <c r="C896" s="89"/>
      <c r="D896" s="91" t="s">
        <v>717</v>
      </c>
      <c r="E896" s="90" t="e">
        <v>#REF!</v>
      </c>
      <c r="F896" s="89"/>
      <c r="G896" s="89"/>
      <c r="H896" s="89" t="s">
        <v>646</v>
      </c>
      <c r="I896" s="89" t="s">
        <v>24556</v>
      </c>
      <c r="J896" s="89" t="s">
        <v>646</v>
      </c>
      <c r="K896" s="89" t="s">
        <v>24562</v>
      </c>
      <c r="M896" s="89">
        <v>2018</v>
      </c>
      <c r="N896" s="89" t="s">
        <v>24557</v>
      </c>
      <c r="O896" s="89" t="s">
        <v>24555</v>
      </c>
      <c r="P896" s="89" t="s">
        <v>646</v>
      </c>
      <c r="S896" s="89" t="s">
        <v>646</v>
      </c>
      <c r="U896" s="89" t="s">
        <v>17474</v>
      </c>
      <c r="W896" s="89" t="s">
        <v>646</v>
      </c>
      <c r="X896" s="89" t="s">
        <v>646</v>
      </c>
      <c r="Y896" s="89" t="s">
        <v>24558</v>
      </c>
      <c r="Z896" s="89" t="s">
        <v>24559</v>
      </c>
      <c r="AA896" s="89" t="s">
        <v>24560</v>
      </c>
      <c r="AB896" s="89" t="s">
        <v>24561</v>
      </c>
      <c r="AC896" s="89" t="s">
        <v>646</v>
      </c>
      <c r="AD896" s="89" t="s">
        <v>646</v>
      </c>
      <c r="AE896" s="89" t="s">
        <v>646</v>
      </c>
      <c r="AF896" s="89" t="s">
        <v>24562</v>
      </c>
      <c r="AG896" s="89" t="s">
        <v>646</v>
      </c>
      <c r="AH896" s="89" t="s">
        <v>646</v>
      </c>
      <c r="AI896" s="89" t="s">
        <v>646</v>
      </c>
      <c r="AJ896" s="89" t="s">
        <v>646</v>
      </c>
      <c r="AK896" s="89" t="s">
        <v>646</v>
      </c>
      <c r="AL896" s="89" t="s">
        <v>646</v>
      </c>
      <c r="AM896" s="89" t="s">
        <v>646</v>
      </c>
      <c r="AN896" s="89" t="s">
        <v>646</v>
      </c>
      <c r="AO896" s="89" t="s">
        <v>646</v>
      </c>
      <c r="AP896" s="89" t="s">
        <v>646</v>
      </c>
      <c r="AQ896" s="89" t="s">
        <v>646</v>
      </c>
      <c r="AR896" s="89" t="s">
        <v>646</v>
      </c>
      <c r="AS896" s="89" t="s">
        <v>646</v>
      </c>
      <c r="AT896" s="89" t="s">
        <v>646</v>
      </c>
      <c r="AU896" s="89" t="s">
        <v>646</v>
      </c>
      <c r="AV896" s="89" t="s">
        <v>646</v>
      </c>
      <c r="AW896" s="89" t="s">
        <v>646</v>
      </c>
      <c r="AX896" s="89" t="s">
        <v>646</v>
      </c>
      <c r="AY896" s="89" t="s">
        <v>20389</v>
      </c>
      <c r="AZ896" s="89" t="s">
        <v>646</v>
      </c>
      <c r="BA896" s="89" t="s">
        <v>24563</v>
      </c>
      <c r="BB896" s="89" t="s">
        <v>646</v>
      </c>
      <c r="BC896" s="89" t="s">
        <v>646</v>
      </c>
      <c r="BD896" s="89" t="s">
        <v>646</v>
      </c>
      <c r="BE896" s="89">
        <v>2018</v>
      </c>
      <c r="BF896" s="89" t="s">
        <v>646</v>
      </c>
      <c r="BG896" s="89" t="s">
        <v>646</v>
      </c>
      <c r="BH896" s="89" t="s">
        <v>646</v>
      </c>
      <c r="BI896" s="89" t="s">
        <v>646</v>
      </c>
      <c r="BJ896" s="89" t="s">
        <v>646</v>
      </c>
      <c r="BK896" s="89" t="s">
        <v>646</v>
      </c>
      <c r="BL896" s="89">
        <v>1</v>
      </c>
      <c r="BM896" s="89">
        <v>12</v>
      </c>
      <c r="BN896" s="89" t="s">
        <v>646</v>
      </c>
      <c r="BO896" s="89" t="s">
        <v>646</v>
      </c>
      <c r="BP896" s="89" t="s">
        <v>646</v>
      </c>
      <c r="BQ896" s="89" t="s">
        <v>646</v>
      </c>
      <c r="BR896" s="89" t="s">
        <v>646</v>
      </c>
      <c r="BS896" s="89" t="s">
        <v>646</v>
      </c>
      <c r="BT896" s="89" t="s">
        <v>646</v>
      </c>
      <c r="BU896" s="89" t="s">
        <v>646</v>
      </c>
      <c r="BV896" s="89" t="s">
        <v>646</v>
      </c>
      <c r="BW896" s="89" t="s">
        <v>646</v>
      </c>
      <c r="BX896" s="89" t="s">
        <v>646</v>
      </c>
      <c r="BY896" s="89" t="s">
        <v>646</v>
      </c>
      <c r="BZ896" s="89" t="s">
        <v>646</v>
      </c>
      <c r="CA896" s="89" t="s">
        <v>646</v>
      </c>
      <c r="CB896" s="89" t="s">
        <v>24564</v>
      </c>
      <c r="CC896" s="89" t="str">
        <f>HYPERLINK("https%3A%2F%2Fwww.webofscience.com%2Fwos%2Fwoscc%2Ffull-record%2FWOS:000502616800001","View Full Record in Web of Science")</f>
        <v>View Full Record in Web of Science</v>
      </c>
    </row>
    <row r="897" spans="1:81" ht="13.2" hidden="1" x14ac:dyDescent="0.25">
      <c r="A897" s="89" t="s">
        <v>10413</v>
      </c>
      <c r="B897" s="89" t="e">
        <f>+#REF!</f>
        <v>#REF!</v>
      </c>
      <c r="C897" s="89"/>
      <c r="D897" s="91" t="s">
        <v>717</v>
      </c>
      <c r="E897" s="90" t="e">
        <v>#REF!</v>
      </c>
      <c r="F897" s="89"/>
      <c r="G897" s="89"/>
      <c r="H897" s="89" t="s">
        <v>10414</v>
      </c>
      <c r="I897" s="89" t="s">
        <v>24565</v>
      </c>
      <c r="J897" s="89" t="s">
        <v>646</v>
      </c>
      <c r="K897" s="89" t="s">
        <v>24567</v>
      </c>
      <c r="M897" s="89">
        <v>2021</v>
      </c>
      <c r="N897" s="89" t="s">
        <v>24566</v>
      </c>
      <c r="O897" s="89" t="s">
        <v>646</v>
      </c>
      <c r="P897" s="89" t="str">
        <f>HYPERLINK("http://dx.doi.org/10.1111/lang.12451","http://dx.doi.org/10.1111/lang.12451")</f>
        <v>http://dx.doi.org/10.1111/lang.12451</v>
      </c>
      <c r="S897" s="89" t="s">
        <v>646</v>
      </c>
      <c r="U897" s="89" t="s">
        <v>17462</v>
      </c>
      <c r="W897" s="89" t="s">
        <v>646</v>
      </c>
      <c r="X897" s="89" t="s">
        <v>646</v>
      </c>
      <c r="Y897" s="89" t="s">
        <v>646</v>
      </c>
      <c r="Z897" s="89" t="s">
        <v>646</v>
      </c>
      <c r="AA897" s="89" t="s">
        <v>646</v>
      </c>
      <c r="AB897" s="89" t="s">
        <v>646</v>
      </c>
      <c r="AC897" s="89" t="s">
        <v>646</v>
      </c>
      <c r="AD897" s="89" t="s">
        <v>646</v>
      </c>
      <c r="AE897" s="89" t="s">
        <v>646</v>
      </c>
      <c r="AF897" s="89" t="s">
        <v>24567</v>
      </c>
      <c r="AG897" s="89" t="s">
        <v>646</v>
      </c>
      <c r="AH897" s="89" t="s">
        <v>646</v>
      </c>
      <c r="AI897" s="89" t="s">
        <v>646</v>
      </c>
      <c r="AJ897" s="89" t="s">
        <v>646</v>
      </c>
      <c r="AK897" s="89" t="s">
        <v>646</v>
      </c>
      <c r="AL897" s="89" t="s">
        <v>24568</v>
      </c>
      <c r="AM897" s="89" t="s">
        <v>646</v>
      </c>
      <c r="AN897" s="89" t="s">
        <v>646</v>
      </c>
      <c r="AO897" s="89" t="s">
        <v>646</v>
      </c>
      <c r="AP897" s="89" t="s">
        <v>646</v>
      </c>
      <c r="AQ897" s="89" t="s">
        <v>646</v>
      </c>
      <c r="AR897" s="89" t="s">
        <v>646</v>
      </c>
      <c r="AS897" s="89" t="s">
        <v>646</v>
      </c>
      <c r="AT897" s="89" t="s">
        <v>646</v>
      </c>
      <c r="AU897" s="89" t="s">
        <v>646</v>
      </c>
      <c r="AV897" s="89" t="s">
        <v>646</v>
      </c>
      <c r="AW897" s="89" t="s">
        <v>646</v>
      </c>
      <c r="AX897" s="89" t="s">
        <v>646</v>
      </c>
      <c r="AY897" s="89" t="s">
        <v>24569</v>
      </c>
      <c r="AZ897" s="89" t="s">
        <v>24570</v>
      </c>
      <c r="BA897" s="89" t="s">
        <v>646</v>
      </c>
      <c r="BB897" s="89" t="s">
        <v>646</v>
      </c>
      <c r="BC897" s="89" t="s">
        <v>646</v>
      </c>
      <c r="BD897" s="89" t="s">
        <v>17739</v>
      </c>
      <c r="BE897" s="89">
        <v>2021</v>
      </c>
      <c r="BF897" s="89">
        <v>71</v>
      </c>
      <c r="BG897" s="89">
        <v>3</v>
      </c>
      <c r="BH897" s="89" t="s">
        <v>646</v>
      </c>
      <c r="BI897" s="89" t="s">
        <v>646</v>
      </c>
      <c r="BJ897" s="89" t="s">
        <v>646</v>
      </c>
      <c r="BK897" s="89" t="s">
        <v>646</v>
      </c>
      <c r="BL897" s="89">
        <v>626</v>
      </c>
      <c r="BM897" s="89">
        <v>668</v>
      </c>
      <c r="BN897" s="89" t="s">
        <v>646</v>
      </c>
      <c r="BO897" s="89" t="str">
        <f>HYPERLINK("http://dx.doi.org/10.1111/lang.12451","http://dx.doi.org/10.1111/lang.12451")</f>
        <v>http://dx.doi.org/10.1111/lang.12451</v>
      </c>
      <c r="BP897" s="89" t="s">
        <v>646</v>
      </c>
      <c r="BQ897" s="89" t="s">
        <v>20147</v>
      </c>
      <c r="BR897" s="89" t="s">
        <v>646</v>
      </c>
      <c r="BS897" s="89" t="s">
        <v>646</v>
      </c>
      <c r="BT897" s="89" t="s">
        <v>646</v>
      </c>
      <c r="BU897" s="89" t="s">
        <v>646</v>
      </c>
      <c r="BV897" s="89" t="s">
        <v>646</v>
      </c>
      <c r="BW897" s="89" t="s">
        <v>646</v>
      </c>
      <c r="BX897" s="89" t="s">
        <v>646</v>
      </c>
      <c r="BY897" s="89" t="s">
        <v>646</v>
      </c>
      <c r="BZ897" s="89" t="s">
        <v>646</v>
      </c>
      <c r="CA897" s="89" t="s">
        <v>646</v>
      </c>
      <c r="CB897" s="89" t="s">
        <v>24571</v>
      </c>
      <c r="CC897" s="89" t="str">
        <f>HYPERLINK("https%3A%2F%2Fwww.webofscience.com%2Fwos%2Fwoscc%2Ffull-record%2FWOS:000634695900001","View Full Record in Web of Science")</f>
        <v>View Full Record in Web of Science</v>
      </c>
    </row>
    <row r="898" spans="1:81" ht="13.2" hidden="1" x14ac:dyDescent="0.25">
      <c r="A898" s="89" t="s">
        <v>24572</v>
      </c>
      <c r="B898" s="89" t="e">
        <f>+#REF!</f>
        <v>#REF!</v>
      </c>
      <c r="C898" s="89"/>
      <c r="D898" s="91" t="s">
        <v>717</v>
      </c>
      <c r="E898" s="90" t="e">
        <v>#REF!</v>
      </c>
      <c r="F898" s="89"/>
      <c r="G898" s="89"/>
      <c r="H898" s="89" t="s">
        <v>10424</v>
      </c>
      <c r="I898" s="89" t="s">
        <v>24573</v>
      </c>
      <c r="J898" s="89" t="s">
        <v>646</v>
      </c>
      <c r="K898" s="89" t="s">
        <v>24575</v>
      </c>
      <c r="M898" s="89">
        <v>2018</v>
      </c>
      <c r="N898" s="89" t="s">
        <v>24574</v>
      </c>
      <c r="O898" s="89" t="s">
        <v>646</v>
      </c>
      <c r="P898" s="89" t="str">
        <f>HYPERLINK("http://dx.doi.org/10.3390/soc8030082","http://dx.doi.org/10.3390/soc8030082")</f>
        <v>http://dx.doi.org/10.3390/soc8030082</v>
      </c>
      <c r="S898" s="89" t="s">
        <v>646</v>
      </c>
      <c r="U898" s="89" t="s">
        <v>17462</v>
      </c>
      <c r="W898" s="89" t="s">
        <v>646</v>
      </c>
      <c r="X898" s="89" t="s">
        <v>646</v>
      </c>
      <c r="Y898" s="89" t="s">
        <v>646</v>
      </c>
      <c r="Z898" s="89" t="s">
        <v>646</v>
      </c>
      <c r="AA898" s="89" t="s">
        <v>646</v>
      </c>
      <c r="AB898" s="89" t="s">
        <v>646</v>
      </c>
      <c r="AC898" s="89" t="s">
        <v>646</v>
      </c>
      <c r="AD898" s="89" t="s">
        <v>646</v>
      </c>
      <c r="AE898" s="89" t="s">
        <v>646</v>
      </c>
      <c r="AF898" s="89" t="s">
        <v>24575</v>
      </c>
      <c r="AG898" s="89" t="s">
        <v>646</v>
      </c>
      <c r="AH898" s="89" t="s">
        <v>646</v>
      </c>
      <c r="AI898" s="89" t="s">
        <v>646</v>
      </c>
      <c r="AJ898" s="89" t="s">
        <v>646</v>
      </c>
      <c r="AK898" s="89" t="s">
        <v>646</v>
      </c>
      <c r="AL898" s="89" t="s">
        <v>24576</v>
      </c>
      <c r="AM898" s="89" t="s">
        <v>646</v>
      </c>
      <c r="AN898" s="89" t="s">
        <v>646</v>
      </c>
      <c r="AO898" s="89" t="s">
        <v>646</v>
      </c>
      <c r="AP898" s="89" t="s">
        <v>646</v>
      </c>
      <c r="AQ898" s="89" t="s">
        <v>646</v>
      </c>
      <c r="AR898" s="89" t="s">
        <v>646</v>
      </c>
      <c r="AS898" s="89" t="s">
        <v>646</v>
      </c>
      <c r="AT898" s="89" t="s">
        <v>646</v>
      </c>
      <c r="AU898" s="89" t="s">
        <v>646</v>
      </c>
      <c r="AV898" s="89" t="s">
        <v>646</v>
      </c>
      <c r="AW898" s="89" t="s">
        <v>646</v>
      </c>
      <c r="AX898" s="89" t="s">
        <v>646</v>
      </c>
      <c r="AY898" s="89" t="s">
        <v>646</v>
      </c>
      <c r="AZ898" s="89" t="s">
        <v>24577</v>
      </c>
      <c r="BA898" s="89" t="s">
        <v>646</v>
      </c>
      <c r="BB898" s="89" t="s">
        <v>646</v>
      </c>
      <c r="BC898" s="89" t="s">
        <v>646</v>
      </c>
      <c r="BD898" s="89" t="s">
        <v>17739</v>
      </c>
      <c r="BE898" s="89">
        <v>2018</v>
      </c>
      <c r="BF898" s="89">
        <v>8</v>
      </c>
      <c r="BG898" s="89">
        <v>3</v>
      </c>
      <c r="BH898" s="89" t="s">
        <v>646</v>
      </c>
      <c r="BI898" s="89" t="s">
        <v>646</v>
      </c>
      <c r="BJ898" s="89" t="s">
        <v>646</v>
      </c>
      <c r="BK898" s="89" t="s">
        <v>646</v>
      </c>
      <c r="BL898" s="89" t="s">
        <v>646</v>
      </c>
      <c r="BM898" s="89" t="s">
        <v>646</v>
      </c>
      <c r="BN898" s="89">
        <v>82</v>
      </c>
      <c r="BO898" s="89" t="str">
        <f>HYPERLINK("http://dx.doi.org/10.3390/soc8030082","http://dx.doi.org/10.3390/soc8030082")</f>
        <v>http://dx.doi.org/10.3390/soc8030082</v>
      </c>
      <c r="BP898" s="89" t="s">
        <v>646</v>
      </c>
      <c r="BQ898" s="89" t="s">
        <v>646</v>
      </c>
      <c r="BR898" s="89" t="s">
        <v>646</v>
      </c>
      <c r="BS898" s="89" t="s">
        <v>646</v>
      </c>
      <c r="BT898" s="89" t="s">
        <v>646</v>
      </c>
      <c r="BU898" s="89" t="s">
        <v>646</v>
      </c>
      <c r="BV898" s="89" t="s">
        <v>646</v>
      </c>
      <c r="BW898" s="89" t="s">
        <v>646</v>
      </c>
      <c r="BX898" s="89" t="s">
        <v>646</v>
      </c>
      <c r="BY898" s="89" t="s">
        <v>646</v>
      </c>
      <c r="BZ898" s="89" t="s">
        <v>646</v>
      </c>
      <c r="CA898" s="89" t="s">
        <v>646</v>
      </c>
      <c r="CB898" s="89" t="s">
        <v>24578</v>
      </c>
      <c r="CC898" s="89" t="str">
        <f>HYPERLINK("https%3A%2F%2Fwww.webofscience.com%2Fwos%2Fwoscc%2Ffull-record%2FWOS:000447944500038","View Full Record in Web of Science")</f>
        <v>View Full Record in Web of Science</v>
      </c>
    </row>
    <row r="899" spans="1:81" ht="13.2" hidden="1" x14ac:dyDescent="0.25">
      <c r="A899" s="89" t="s">
        <v>16605</v>
      </c>
      <c r="B899" s="89" t="e">
        <f>+#REF!</f>
        <v>#REF!</v>
      </c>
      <c r="C899" s="89"/>
      <c r="D899" s="91" t="s">
        <v>717</v>
      </c>
      <c r="E899" s="90" t="e">
        <v>#REF!</v>
      </c>
      <c r="F899" s="89"/>
      <c r="G899" s="89"/>
      <c r="H899" s="89" t="s">
        <v>16606</v>
      </c>
      <c r="I899" s="89" t="s">
        <v>24573</v>
      </c>
      <c r="J899" s="89" t="s">
        <v>646</v>
      </c>
      <c r="K899" s="89" t="s">
        <v>24579</v>
      </c>
      <c r="M899" s="89">
        <v>2019</v>
      </c>
      <c r="N899" s="89" t="s">
        <v>23331</v>
      </c>
      <c r="O899" s="89" t="s">
        <v>646</v>
      </c>
      <c r="P899" s="89" t="str">
        <f>HYPERLINK("http://dx.doi.org/10.3389/fsoc.2019.00018","http://dx.doi.org/10.3389/fsoc.2019.00018")</f>
        <v>http://dx.doi.org/10.3389/fsoc.2019.00018</v>
      </c>
      <c r="S899" s="89" t="s">
        <v>646</v>
      </c>
      <c r="U899" s="89" t="s">
        <v>17462</v>
      </c>
      <c r="W899" s="89" t="s">
        <v>646</v>
      </c>
      <c r="X899" s="89" t="s">
        <v>646</v>
      </c>
      <c r="Y899" s="89" t="s">
        <v>646</v>
      </c>
      <c r="Z899" s="89" t="s">
        <v>646</v>
      </c>
      <c r="AA899" s="89" t="s">
        <v>646</v>
      </c>
      <c r="AB899" s="89" t="s">
        <v>646</v>
      </c>
      <c r="AC899" s="89" t="s">
        <v>646</v>
      </c>
      <c r="AD899" s="89" t="s">
        <v>646</v>
      </c>
      <c r="AE899" s="89" t="s">
        <v>646</v>
      </c>
      <c r="AF899" s="89" t="s">
        <v>24579</v>
      </c>
      <c r="AG899" s="89" t="s">
        <v>646</v>
      </c>
      <c r="AH899" s="89" t="s">
        <v>646</v>
      </c>
      <c r="AI899" s="89" t="s">
        <v>646</v>
      </c>
      <c r="AJ899" s="89" t="s">
        <v>646</v>
      </c>
      <c r="AK899" s="89" t="s">
        <v>646</v>
      </c>
      <c r="AL899" s="89" t="s">
        <v>24580</v>
      </c>
      <c r="AM899" s="89" t="s">
        <v>646</v>
      </c>
      <c r="AN899" s="89" t="s">
        <v>646</v>
      </c>
      <c r="AO899" s="89" t="s">
        <v>646</v>
      </c>
      <c r="AP899" s="89" t="s">
        <v>646</v>
      </c>
      <c r="AQ899" s="89" t="s">
        <v>646</v>
      </c>
      <c r="AR899" s="89" t="s">
        <v>646</v>
      </c>
      <c r="AS899" s="89" t="s">
        <v>646</v>
      </c>
      <c r="AT899" s="89" t="s">
        <v>646</v>
      </c>
      <c r="AU899" s="89" t="s">
        <v>646</v>
      </c>
      <c r="AV899" s="89" t="s">
        <v>646</v>
      </c>
      <c r="AW899" s="89" t="s">
        <v>646</v>
      </c>
      <c r="AX899" s="89" t="s">
        <v>646</v>
      </c>
      <c r="AY899" s="89" t="s">
        <v>646</v>
      </c>
      <c r="AZ899" s="89" t="s">
        <v>23333</v>
      </c>
      <c r="BA899" s="89" t="s">
        <v>646</v>
      </c>
      <c r="BB899" s="89" t="s">
        <v>646</v>
      </c>
      <c r="BC899" s="89" t="s">
        <v>646</v>
      </c>
      <c r="BD899" s="89" t="s">
        <v>24581</v>
      </c>
      <c r="BE899" s="89">
        <v>2019</v>
      </c>
      <c r="BF899" s="89">
        <v>4</v>
      </c>
      <c r="BG899" s="89" t="s">
        <v>646</v>
      </c>
      <c r="BH899" s="89" t="s">
        <v>646</v>
      </c>
      <c r="BI899" s="89" t="s">
        <v>646</v>
      </c>
      <c r="BJ899" s="89" t="s">
        <v>646</v>
      </c>
      <c r="BK899" s="89" t="s">
        <v>646</v>
      </c>
      <c r="BL899" s="89" t="s">
        <v>646</v>
      </c>
      <c r="BM899" s="89" t="s">
        <v>646</v>
      </c>
      <c r="BN899" s="89">
        <v>18</v>
      </c>
      <c r="BO899" s="89" t="str">
        <f>HYPERLINK("http://dx.doi.org/10.3389/fsoc.2019.00018","http://dx.doi.org/10.3389/fsoc.2019.00018")</f>
        <v>http://dx.doi.org/10.3389/fsoc.2019.00018</v>
      </c>
      <c r="BP899" s="89" t="s">
        <v>646</v>
      </c>
      <c r="BQ899" s="89" t="s">
        <v>646</v>
      </c>
      <c r="BR899" s="89" t="s">
        <v>646</v>
      </c>
      <c r="BS899" s="89" t="s">
        <v>646</v>
      </c>
      <c r="BT899" s="89" t="s">
        <v>646</v>
      </c>
      <c r="BU899" s="89" t="s">
        <v>646</v>
      </c>
      <c r="BV899" s="89" t="s">
        <v>646</v>
      </c>
      <c r="BW899" s="89">
        <v>33869344</v>
      </c>
      <c r="BX899" s="89" t="s">
        <v>646</v>
      </c>
      <c r="BY899" s="89" t="s">
        <v>646</v>
      </c>
      <c r="BZ899" s="89" t="s">
        <v>646</v>
      </c>
      <c r="CA899" s="89" t="s">
        <v>646</v>
      </c>
      <c r="CB899" s="89" t="s">
        <v>24582</v>
      </c>
      <c r="CC899" s="89" t="str">
        <f>HYPERLINK("https%3A%2F%2Fwww.webofscience.com%2Fwos%2Fwoscc%2Ffull-record%2FWOS:000659101300001","View Full Record in Web of Science")</f>
        <v>View Full Record in Web of Science</v>
      </c>
    </row>
    <row r="900" spans="1:81" ht="13.2" hidden="1" x14ac:dyDescent="0.25">
      <c r="A900" s="89" t="s">
        <v>16298</v>
      </c>
      <c r="B900" s="89" t="e">
        <f>+#REF!</f>
        <v>#REF!</v>
      </c>
      <c r="C900" s="89"/>
      <c r="D900" s="91" t="s">
        <v>717</v>
      </c>
      <c r="E900" s="90" t="e">
        <v>#REF!</v>
      </c>
      <c r="F900" s="89"/>
      <c r="G900" s="89"/>
      <c r="H900" s="89" t="s">
        <v>16299</v>
      </c>
      <c r="I900" s="89" t="s">
        <v>24583</v>
      </c>
      <c r="J900" s="89" t="s">
        <v>24585</v>
      </c>
      <c r="K900" s="89" t="s">
        <v>24584</v>
      </c>
      <c r="M900" s="89">
        <v>2021</v>
      </c>
      <c r="N900" s="89" t="s">
        <v>22485</v>
      </c>
      <c r="O900" s="89" t="s">
        <v>646</v>
      </c>
      <c r="P900" s="89" t="str">
        <f>HYPERLINK("http://dx.doi.org/10.1080/09585192.2020.1867614","http://dx.doi.org/10.1080/09585192.2020.1867614")</f>
        <v>http://dx.doi.org/10.1080/09585192.2020.1867614</v>
      </c>
      <c r="S900" s="89" t="s">
        <v>646</v>
      </c>
      <c r="U900" s="89" t="s">
        <v>17462</v>
      </c>
      <c r="W900" s="89" t="s">
        <v>646</v>
      </c>
      <c r="X900" s="89" t="s">
        <v>646</v>
      </c>
      <c r="Y900" s="89" t="s">
        <v>646</v>
      </c>
      <c r="Z900" s="89" t="s">
        <v>646</v>
      </c>
      <c r="AA900" s="89" t="s">
        <v>646</v>
      </c>
      <c r="AB900" s="89" t="s">
        <v>646</v>
      </c>
      <c r="AC900" s="89" t="s">
        <v>646</v>
      </c>
      <c r="AD900" s="89" t="s">
        <v>646</v>
      </c>
      <c r="AE900" s="89" t="s">
        <v>646</v>
      </c>
      <c r="AF900" s="89" t="s">
        <v>24584</v>
      </c>
      <c r="AG900" s="89" t="s">
        <v>646</v>
      </c>
      <c r="AH900" s="89" t="s">
        <v>646</v>
      </c>
      <c r="AI900" s="89" t="s">
        <v>646</v>
      </c>
      <c r="AJ900" s="89" t="s">
        <v>646</v>
      </c>
      <c r="AK900" s="89" t="s">
        <v>24585</v>
      </c>
      <c r="AL900" s="89" t="s">
        <v>24586</v>
      </c>
      <c r="AM900" s="89" t="s">
        <v>646</v>
      </c>
      <c r="AN900" s="89" t="s">
        <v>646</v>
      </c>
      <c r="AO900" s="89" t="s">
        <v>646</v>
      </c>
      <c r="AP900" s="89" t="s">
        <v>646</v>
      </c>
      <c r="AQ900" s="89" t="s">
        <v>646</v>
      </c>
      <c r="AR900" s="89" t="s">
        <v>646</v>
      </c>
      <c r="AS900" s="89" t="s">
        <v>646</v>
      </c>
      <c r="AT900" s="89" t="s">
        <v>646</v>
      </c>
      <c r="AU900" s="89" t="s">
        <v>646</v>
      </c>
      <c r="AV900" s="89" t="s">
        <v>646</v>
      </c>
      <c r="AW900" s="89" t="s">
        <v>646</v>
      </c>
      <c r="AX900" s="89" t="s">
        <v>646</v>
      </c>
      <c r="AY900" s="89" t="s">
        <v>22486</v>
      </c>
      <c r="AZ900" s="89" t="s">
        <v>22487</v>
      </c>
      <c r="BA900" s="89" t="s">
        <v>646</v>
      </c>
      <c r="BB900" s="89" t="s">
        <v>646</v>
      </c>
      <c r="BC900" s="89" t="s">
        <v>646</v>
      </c>
      <c r="BD900" s="89" t="s">
        <v>23652</v>
      </c>
      <c r="BE900" s="89">
        <v>2021</v>
      </c>
      <c r="BF900" s="89">
        <v>32</v>
      </c>
      <c r="BG900" s="89">
        <v>19</v>
      </c>
      <c r="BH900" s="89" t="s">
        <v>646</v>
      </c>
      <c r="BI900" s="89" t="s">
        <v>646</v>
      </c>
      <c r="BJ900" s="89" t="s">
        <v>17555</v>
      </c>
      <c r="BK900" s="89" t="s">
        <v>646</v>
      </c>
      <c r="BL900" s="89">
        <v>4053</v>
      </c>
      <c r="BM900" s="89">
        <v>4077</v>
      </c>
      <c r="BN900" s="89" t="s">
        <v>646</v>
      </c>
      <c r="BO900" s="89" t="str">
        <f>HYPERLINK("http://dx.doi.org/10.1080/09585192.2020.1867614","http://dx.doi.org/10.1080/09585192.2020.1867614")</f>
        <v>http://dx.doi.org/10.1080/09585192.2020.1867614</v>
      </c>
      <c r="BP900" s="89" t="s">
        <v>646</v>
      </c>
      <c r="BQ900" s="89" t="s">
        <v>17556</v>
      </c>
      <c r="BR900" s="89" t="s">
        <v>646</v>
      </c>
      <c r="BS900" s="89" t="s">
        <v>646</v>
      </c>
      <c r="BT900" s="89" t="s">
        <v>646</v>
      </c>
      <c r="BU900" s="89" t="s">
        <v>646</v>
      </c>
      <c r="BV900" s="89" t="s">
        <v>646</v>
      </c>
      <c r="BW900" s="89" t="s">
        <v>646</v>
      </c>
      <c r="BX900" s="89" t="s">
        <v>646</v>
      </c>
      <c r="BY900" s="89" t="s">
        <v>646</v>
      </c>
      <c r="BZ900" s="89" t="s">
        <v>646</v>
      </c>
      <c r="CA900" s="89" t="s">
        <v>646</v>
      </c>
      <c r="CB900" s="89" t="s">
        <v>24587</v>
      </c>
      <c r="CC900" s="89" t="str">
        <f>HYPERLINK("https%3A%2F%2Fwww.webofscience.com%2Fwos%2Fwoscc%2Ffull-record%2FWOS:000607690600001","View Full Record in Web of Science")</f>
        <v>View Full Record in Web of Science</v>
      </c>
    </row>
    <row r="901" spans="1:81" ht="13.2" hidden="1" x14ac:dyDescent="0.25">
      <c r="A901" s="89" t="s">
        <v>15548</v>
      </c>
      <c r="B901" s="89" t="e">
        <f>+#REF!</f>
        <v>#REF!</v>
      </c>
      <c r="C901" s="89"/>
      <c r="D901" s="91" t="s">
        <v>717</v>
      </c>
      <c r="E901" s="90" t="e">
        <v>#REF!</v>
      </c>
      <c r="F901" s="89"/>
      <c r="G901" s="89"/>
      <c r="H901" s="89" t="s">
        <v>15549</v>
      </c>
      <c r="I901" s="89" t="s">
        <v>24588</v>
      </c>
      <c r="J901" s="89" t="s">
        <v>24591</v>
      </c>
      <c r="K901" s="89" t="s">
        <v>24590</v>
      </c>
      <c r="M901" s="89">
        <v>2016</v>
      </c>
      <c r="N901" s="89" t="s">
        <v>24589</v>
      </c>
      <c r="O901" s="89" t="s">
        <v>646</v>
      </c>
      <c r="P901" s="89" t="str">
        <f>HYPERLINK("http://dx.doi.org/10.1007/s00420-016-1158-y","http://dx.doi.org/10.1007/s00420-016-1158-y")</f>
        <v>http://dx.doi.org/10.1007/s00420-016-1158-y</v>
      </c>
      <c r="S901" s="89" t="s">
        <v>646</v>
      </c>
      <c r="U901" s="89" t="s">
        <v>17462</v>
      </c>
      <c r="W901" s="89" t="s">
        <v>646</v>
      </c>
      <c r="X901" s="89" t="s">
        <v>646</v>
      </c>
      <c r="Y901" s="89" t="s">
        <v>646</v>
      </c>
      <c r="Z901" s="89" t="s">
        <v>646</v>
      </c>
      <c r="AA901" s="89" t="s">
        <v>646</v>
      </c>
      <c r="AB901" s="89" t="s">
        <v>646</v>
      </c>
      <c r="AC901" s="89" t="s">
        <v>646</v>
      </c>
      <c r="AD901" s="89" t="s">
        <v>646</v>
      </c>
      <c r="AE901" s="89" t="s">
        <v>646</v>
      </c>
      <c r="AF901" s="89" t="s">
        <v>24590</v>
      </c>
      <c r="AG901" s="89" t="s">
        <v>646</v>
      </c>
      <c r="AH901" s="89" t="s">
        <v>646</v>
      </c>
      <c r="AI901" s="89" t="s">
        <v>646</v>
      </c>
      <c r="AJ901" s="89" t="s">
        <v>646</v>
      </c>
      <c r="AK901" s="89" t="s">
        <v>24591</v>
      </c>
      <c r="AL901" s="89" t="s">
        <v>24592</v>
      </c>
      <c r="AM901" s="89" t="s">
        <v>646</v>
      </c>
      <c r="AN901" s="89" t="s">
        <v>646</v>
      </c>
      <c r="AO901" s="89" t="s">
        <v>646</v>
      </c>
      <c r="AP901" s="89" t="s">
        <v>646</v>
      </c>
      <c r="AQ901" s="89" t="s">
        <v>646</v>
      </c>
      <c r="AR901" s="89" t="s">
        <v>646</v>
      </c>
      <c r="AS901" s="89" t="s">
        <v>646</v>
      </c>
      <c r="AT901" s="89" t="s">
        <v>646</v>
      </c>
      <c r="AU901" s="89" t="s">
        <v>646</v>
      </c>
      <c r="AV901" s="89" t="s">
        <v>646</v>
      </c>
      <c r="AW901" s="89" t="s">
        <v>646</v>
      </c>
      <c r="AX901" s="89" t="s">
        <v>646</v>
      </c>
      <c r="AY901" s="89" t="s">
        <v>24593</v>
      </c>
      <c r="AZ901" s="89" t="s">
        <v>24594</v>
      </c>
      <c r="BA901" s="89" t="s">
        <v>646</v>
      </c>
      <c r="BB901" s="89" t="s">
        <v>646</v>
      </c>
      <c r="BC901" s="89" t="s">
        <v>646</v>
      </c>
      <c r="BD901" s="89" t="s">
        <v>18292</v>
      </c>
      <c r="BE901" s="89">
        <v>2016</v>
      </c>
      <c r="BF901" s="89">
        <v>89</v>
      </c>
      <c r="BG901" s="89">
        <v>8</v>
      </c>
      <c r="BH901" s="89" t="s">
        <v>646</v>
      </c>
      <c r="BI901" s="89" t="s">
        <v>646</v>
      </c>
      <c r="BJ901" s="89" t="s">
        <v>646</v>
      </c>
      <c r="BK901" s="89" t="s">
        <v>646</v>
      </c>
      <c r="BL901" s="89">
        <v>1215</v>
      </c>
      <c r="BM901" s="89">
        <v>1228</v>
      </c>
      <c r="BN901" s="89" t="s">
        <v>646</v>
      </c>
      <c r="BO901" s="89" t="str">
        <f>HYPERLINK("http://dx.doi.org/10.1007/s00420-016-1158-y","http://dx.doi.org/10.1007/s00420-016-1158-y")</f>
        <v>http://dx.doi.org/10.1007/s00420-016-1158-y</v>
      </c>
      <c r="BP901" s="89" t="s">
        <v>646</v>
      </c>
      <c r="BQ901" s="89" t="s">
        <v>646</v>
      </c>
      <c r="BR901" s="89" t="s">
        <v>646</v>
      </c>
      <c r="BS901" s="89" t="s">
        <v>646</v>
      </c>
      <c r="BT901" s="89" t="s">
        <v>646</v>
      </c>
      <c r="BU901" s="89" t="s">
        <v>646</v>
      </c>
      <c r="BV901" s="89" t="s">
        <v>646</v>
      </c>
      <c r="BW901" s="89">
        <v>27430974</v>
      </c>
      <c r="BX901" s="89" t="s">
        <v>646</v>
      </c>
      <c r="BY901" s="89" t="s">
        <v>646</v>
      </c>
      <c r="BZ901" s="89" t="s">
        <v>646</v>
      </c>
      <c r="CA901" s="89" t="s">
        <v>646</v>
      </c>
      <c r="CB901" s="89" t="s">
        <v>24595</v>
      </c>
      <c r="CC901" s="89" t="str">
        <f>HYPERLINK("https%3A%2F%2Fwww.webofscience.com%2Fwos%2Fwoscc%2Ffull-record%2FWOS:000385249600006","View Full Record in Web of Science")</f>
        <v>View Full Record in Web of Science</v>
      </c>
    </row>
    <row r="902" spans="1:81" ht="13.2" hidden="1" x14ac:dyDescent="0.25">
      <c r="A902" s="89" t="s">
        <v>24596</v>
      </c>
      <c r="B902" s="89" t="e">
        <f>+#REF!</f>
        <v>#REF!</v>
      </c>
      <c r="C902" s="89"/>
      <c r="D902" s="91" t="s">
        <v>717</v>
      </c>
      <c r="E902" s="90" t="e">
        <v>#REF!</v>
      </c>
      <c r="F902" s="89"/>
      <c r="G902" s="89"/>
      <c r="H902" s="89" t="s">
        <v>15559</v>
      </c>
      <c r="I902" s="89" t="s">
        <v>24597</v>
      </c>
      <c r="J902" s="89" t="s">
        <v>646</v>
      </c>
      <c r="K902" s="89" t="s">
        <v>24598</v>
      </c>
      <c r="M902" s="89">
        <v>2018</v>
      </c>
      <c r="N902" s="89" t="s">
        <v>18108</v>
      </c>
      <c r="O902" s="89" t="s">
        <v>646</v>
      </c>
      <c r="P902" s="89" t="str">
        <f>HYPERLINK("http://dx.doi.org/10.1080/13683500.2016.1145197","http://dx.doi.org/10.1080/13683500.2016.1145197")</f>
        <v>http://dx.doi.org/10.1080/13683500.2016.1145197</v>
      </c>
      <c r="S902" s="89" t="s">
        <v>646</v>
      </c>
      <c r="U902" s="89" t="s">
        <v>17462</v>
      </c>
      <c r="W902" s="89" t="s">
        <v>646</v>
      </c>
      <c r="X902" s="89" t="s">
        <v>646</v>
      </c>
      <c r="Y902" s="89" t="s">
        <v>646</v>
      </c>
      <c r="Z902" s="89" t="s">
        <v>646</v>
      </c>
      <c r="AA902" s="89" t="s">
        <v>646</v>
      </c>
      <c r="AB902" s="89" t="s">
        <v>646</v>
      </c>
      <c r="AC902" s="89" t="s">
        <v>646</v>
      </c>
      <c r="AD902" s="89" t="s">
        <v>646</v>
      </c>
      <c r="AE902" s="89" t="s">
        <v>646</v>
      </c>
      <c r="AF902" s="89" t="s">
        <v>24598</v>
      </c>
      <c r="AG902" s="89" t="s">
        <v>646</v>
      </c>
      <c r="AH902" s="89" t="s">
        <v>646</v>
      </c>
      <c r="AI902" s="89" t="s">
        <v>646</v>
      </c>
      <c r="AJ902" s="89" t="s">
        <v>646</v>
      </c>
      <c r="AK902" s="89" t="s">
        <v>646</v>
      </c>
      <c r="AL902" s="89" t="s">
        <v>646</v>
      </c>
      <c r="AM902" s="89" t="s">
        <v>646</v>
      </c>
      <c r="AN902" s="89" t="s">
        <v>646</v>
      </c>
      <c r="AO902" s="89" t="s">
        <v>646</v>
      </c>
      <c r="AP902" s="89" t="s">
        <v>646</v>
      </c>
      <c r="AQ902" s="89" t="s">
        <v>646</v>
      </c>
      <c r="AR902" s="89" t="s">
        <v>646</v>
      </c>
      <c r="AS902" s="89" t="s">
        <v>646</v>
      </c>
      <c r="AT902" s="89" t="s">
        <v>646</v>
      </c>
      <c r="AU902" s="89" t="s">
        <v>646</v>
      </c>
      <c r="AV902" s="89" t="s">
        <v>646</v>
      </c>
      <c r="AW902" s="89" t="s">
        <v>646</v>
      </c>
      <c r="AX902" s="89" t="s">
        <v>646</v>
      </c>
      <c r="AY902" s="89" t="s">
        <v>18112</v>
      </c>
      <c r="AZ902" s="89" t="s">
        <v>18113</v>
      </c>
      <c r="BA902" s="89" t="s">
        <v>646</v>
      </c>
      <c r="BB902" s="89" t="s">
        <v>646</v>
      </c>
      <c r="BC902" s="89" t="s">
        <v>646</v>
      </c>
      <c r="BD902" s="89" t="s">
        <v>646</v>
      </c>
      <c r="BE902" s="89">
        <v>2018</v>
      </c>
      <c r="BF902" s="89">
        <v>21</v>
      </c>
      <c r="BG902" s="89">
        <v>13</v>
      </c>
      <c r="BH902" s="89" t="s">
        <v>646</v>
      </c>
      <c r="BI902" s="89" t="s">
        <v>646</v>
      </c>
      <c r="BJ902" s="89" t="s">
        <v>646</v>
      </c>
      <c r="BK902" s="89" t="s">
        <v>646</v>
      </c>
      <c r="BL902" s="89">
        <v>1521</v>
      </c>
      <c r="BM902" s="89">
        <v>1546</v>
      </c>
      <c r="BN902" s="89" t="s">
        <v>646</v>
      </c>
      <c r="BO902" s="89" t="str">
        <f>HYPERLINK("http://dx.doi.org/10.1080/13683500.2016.1145197","http://dx.doi.org/10.1080/13683500.2016.1145197")</f>
        <v>http://dx.doi.org/10.1080/13683500.2016.1145197</v>
      </c>
      <c r="BP902" s="89" t="s">
        <v>646</v>
      </c>
      <c r="BQ902" s="89" t="s">
        <v>646</v>
      </c>
      <c r="BR902" s="89" t="s">
        <v>646</v>
      </c>
      <c r="BS902" s="89" t="s">
        <v>646</v>
      </c>
      <c r="BT902" s="89" t="s">
        <v>646</v>
      </c>
      <c r="BU902" s="89" t="s">
        <v>646</v>
      </c>
      <c r="BV902" s="89" t="s">
        <v>646</v>
      </c>
      <c r="BW902" s="89" t="s">
        <v>646</v>
      </c>
      <c r="BX902" s="89" t="s">
        <v>646</v>
      </c>
      <c r="BY902" s="89" t="s">
        <v>646</v>
      </c>
      <c r="BZ902" s="89" t="s">
        <v>646</v>
      </c>
      <c r="CA902" s="89" t="s">
        <v>646</v>
      </c>
      <c r="CB902" s="89" t="s">
        <v>24599</v>
      </c>
      <c r="CC902" s="89" t="str">
        <f>HYPERLINK("https%3A%2F%2Fwww.webofscience.com%2Fwos%2Fwoscc%2Ffull-record%2FWOS:000437711400005","View Full Record in Web of Science")</f>
        <v>View Full Record in Web of Science</v>
      </c>
    </row>
    <row r="903" spans="1:81" ht="13.2" hidden="1" x14ac:dyDescent="0.25">
      <c r="A903" s="89" t="s">
        <v>10433</v>
      </c>
      <c r="B903" s="89" t="e">
        <f>+#REF!</f>
        <v>#REF!</v>
      </c>
      <c r="C903" s="89"/>
      <c r="D903" s="91" t="s">
        <v>717</v>
      </c>
      <c r="E903" s="90" t="e">
        <v>#REF!</v>
      </c>
      <c r="F903" s="89"/>
      <c r="G903" s="89"/>
      <c r="H903" s="89" t="s">
        <v>10434</v>
      </c>
      <c r="I903" s="89" t="s">
        <v>24600</v>
      </c>
      <c r="J903" s="89" t="s">
        <v>646</v>
      </c>
      <c r="K903" s="89" t="s">
        <v>24602</v>
      </c>
      <c r="M903" s="89">
        <v>2022</v>
      </c>
      <c r="N903" s="89" t="s">
        <v>24601</v>
      </c>
      <c r="O903" s="89" t="s">
        <v>646</v>
      </c>
      <c r="P903" s="89" t="str">
        <f>HYPERLINK("http://dx.doi.org/10.1002/hec.4521","http://dx.doi.org/10.1002/hec.4521")</f>
        <v>http://dx.doi.org/10.1002/hec.4521</v>
      </c>
      <c r="S903" s="89" t="s">
        <v>646</v>
      </c>
      <c r="U903" s="89" t="s">
        <v>17462</v>
      </c>
      <c r="W903" s="89" t="s">
        <v>646</v>
      </c>
      <c r="X903" s="89" t="s">
        <v>646</v>
      </c>
      <c r="Y903" s="89" t="s">
        <v>646</v>
      </c>
      <c r="Z903" s="89" t="s">
        <v>646</v>
      </c>
      <c r="AA903" s="89" t="s">
        <v>646</v>
      </c>
      <c r="AB903" s="89" t="s">
        <v>646</v>
      </c>
      <c r="AC903" s="89" t="s">
        <v>646</v>
      </c>
      <c r="AD903" s="89" t="s">
        <v>646</v>
      </c>
      <c r="AE903" s="89" t="s">
        <v>646</v>
      </c>
      <c r="AF903" s="89" t="s">
        <v>24602</v>
      </c>
      <c r="AG903" s="89" t="s">
        <v>646</v>
      </c>
      <c r="AH903" s="89" t="s">
        <v>646</v>
      </c>
      <c r="AI903" s="89" t="s">
        <v>646</v>
      </c>
      <c r="AJ903" s="89" t="s">
        <v>646</v>
      </c>
      <c r="AK903" s="89" t="s">
        <v>646</v>
      </c>
      <c r="AL903" s="89" t="s">
        <v>24603</v>
      </c>
      <c r="AM903" s="89" t="s">
        <v>646</v>
      </c>
      <c r="AN903" s="89" t="s">
        <v>646</v>
      </c>
      <c r="AO903" s="89" t="s">
        <v>646</v>
      </c>
      <c r="AP903" s="89" t="s">
        <v>646</v>
      </c>
      <c r="AQ903" s="89" t="s">
        <v>646</v>
      </c>
      <c r="AR903" s="89" t="s">
        <v>646</v>
      </c>
      <c r="AS903" s="89" t="s">
        <v>646</v>
      </c>
      <c r="AT903" s="89" t="s">
        <v>646</v>
      </c>
      <c r="AU903" s="89" t="s">
        <v>646</v>
      </c>
      <c r="AV903" s="89" t="s">
        <v>646</v>
      </c>
      <c r="AW903" s="89" t="s">
        <v>646</v>
      </c>
      <c r="AX903" s="89" t="s">
        <v>646</v>
      </c>
      <c r="AY903" s="89" t="s">
        <v>24604</v>
      </c>
      <c r="AZ903" s="89" t="s">
        <v>24605</v>
      </c>
      <c r="BA903" s="89" t="s">
        <v>646</v>
      </c>
      <c r="BB903" s="89" t="s">
        <v>646</v>
      </c>
      <c r="BC903" s="89" t="s">
        <v>646</v>
      </c>
      <c r="BD903" s="89" t="s">
        <v>17676</v>
      </c>
      <c r="BE903" s="89">
        <v>2022</v>
      </c>
      <c r="BF903" s="89">
        <v>31</v>
      </c>
      <c r="BG903" s="89">
        <v>7</v>
      </c>
      <c r="BH903" s="89" t="s">
        <v>646</v>
      </c>
      <c r="BI903" s="89" t="s">
        <v>646</v>
      </c>
      <c r="BJ903" s="89" t="s">
        <v>646</v>
      </c>
      <c r="BK903" s="89" t="s">
        <v>646</v>
      </c>
      <c r="BL903" s="89">
        <v>1468</v>
      </c>
      <c r="BM903" s="89">
        <v>1490</v>
      </c>
      <c r="BN903" s="89" t="s">
        <v>646</v>
      </c>
      <c r="BO903" s="89" t="str">
        <f>HYPERLINK("http://dx.doi.org/10.1002/hec.4521","http://dx.doi.org/10.1002/hec.4521")</f>
        <v>http://dx.doi.org/10.1002/hec.4521</v>
      </c>
      <c r="BP903" s="89" t="s">
        <v>646</v>
      </c>
      <c r="BQ903" s="89" t="s">
        <v>19609</v>
      </c>
      <c r="BR903" s="89" t="s">
        <v>646</v>
      </c>
      <c r="BS903" s="89" t="s">
        <v>646</v>
      </c>
      <c r="BT903" s="89" t="s">
        <v>646</v>
      </c>
      <c r="BU903" s="89" t="s">
        <v>646</v>
      </c>
      <c r="BV903" s="89" t="s">
        <v>646</v>
      </c>
      <c r="BW903" s="89">
        <v>35484730</v>
      </c>
      <c r="BX903" s="89" t="s">
        <v>646</v>
      </c>
      <c r="BY903" s="89" t="s">
        <v>646</v>
      </c>
      <c r="BZ903" s="89" t="s">
        <v>646</v>
      </c>
      <c r="CA903" s="89" t="s">
        <v>646</v>
      </c>
      <c r="CB903" s="89" t="s">
        <v>24606</v>
      </c>
      <c r="CC903" s="89" t="str">
        <f>HYPERLINK("https%3A%2F%2Fwww.webofscience.com%2Fwos%2Fwoscc%2Ffull-record%2FWOS:000788352400001","View Full Record in Web of Science")</f>
        <v>View Full Record in Web of Science</v>
      </c>
    </row>
    <row r="904" spans="1:81" ht="13.2" hidden="1" x14ac:dyDescent="0.25">
      <c r="A904" s="89" t="s">
        <v>24607</v>
      </c>
      <c r="B904" s="89" t="e">
        <f>+#REF!</f>
        <v>#REF!</v>
      </c>
      <c r="C904" s="89"/>
      <c r="D904" s="91" t="s">
        <v>717</v>
      </c>
      <c r="E904" s="90" t="e">
        <v>#REF!</v>
      </c>
      <c r="F904" s="89"/>
      <c r="G904" s="89"/>
      <c r="H904" s="89" t="s">
        <v>15569</v>
      </c>
      <c r="I904" s="89" t="s">
        <v>24608</v>
      </c>
      <c r="J904" s="89" t="s">
        <v>646</v>
      </c>
      <c r="K904" s="89" t="s">
        <v>24610</v>
      </c>
      <c r="M904" s="89">
        <v>2017</v>
      </c>
      <c r="N904" s="89" t="s">
        <v>24609</v>
      </c>
      <c r="O904" s="89" t="s">
        <v>646</v>
      </c>
      <c r="P904" s="89" t="str">
        <f>HYPERLINK("http://dx.doi.org/10.1093/iwc/iww042","http://dx.doi.org/10.1093/iwc/iww042")</f>
        <v>http://dx.doi.org/10.1093/iwc/iww042</v>
      </c>
      <c r="S904" s="89" t="s">
        <v>646</v>
      </c>
      <c r="U904" s="89" t="s">
        <v>17462</v>
      </c>
      <c r="W904" s="89" t="s">
        <v>646</v>
      </c>
      <c r="X904" s="89" t="s">
        <v>646</v>
      </c>
      <c r="Y904" s="89" t="s">
        <v>646</v>
      </c>
      <c r="Z904" s="89" t="s">
        <v>646</v>
      </c>
      <c r="AA904" s="89" t="s">
        <v>646</v>
      </c>
      <c r="AB904" s="89" t="s">
        <v>646</v>
      </c>
      <c r="AC904" s="89" t="s">
        <v>646</v>
      </c>
      <c r="AD904" s="89" t="s">
        <v>646</v>
      </c>
      <c r="AE904" s="89" t="s">
        <v>646</v>
      </c>
      <c r="AF904" s="89" t="s">
        <v>24610</v>
      </c>
      <c r="AG904" s="89" t="s">
        <v>646</v>
      </c>
      <c r="AH904" s="89" t="s">
        <v>646</v>
      </c>
      <c r="AI904" s="89" t="s">
        <v>646</v>
      </c>
      <c r="AJ904" s="89" t="s">
        <v>646</v>
      </c>
      <c r="AK904" s="89" t="s">
        <v>646</v>
      </c>
      <c r="AL904" s="89" t="s">
        <v>24611</v>
      </c>
      <c r="AM904" s="89" t="s">
        <v>646</v>
      </c>
      <c r="AN904" s="89" t="s">
        <v>646</v>
      </c>
      <c r="AO904" s="89" t="s">
        <v>646</v>
      </c>
      <c r="AP904" s="89" t="s">
        <v>646</v>
      </c>
      <c r="AQ904" s="89" t="s">
        <v>646</v>
      </c>
      <c r="AR904" s="89" t="s">
        <v>646</v>
      </c>
      <c r="AS904" s="89" t="s">
        <v>646</v>
      </c>
      <c r="AT904" s="89" t="s">
        <v>646</v>
      </c>
      <c r="AU904" s="89" t="s">
        <v>646</v>
      </c>
      <c r="AV904" s="89" t="s">
        <v>646</v>
      </c>
      <c r="AW904" s="89" t="s">
        <v>646</v>
      </c>
      <c r="AX904" s="89" t="s">
        <v>646</v>
      </c>
      <c r="AY904" s="89" t="s">
        <v>24612</v>
      </c>
      <c r="AZ904" s="89" t="s">
        <v>24613</v>
      </c>
      <c r="BA904" s="89" t="s">
        <v>646</v>
      </c>
      <c r="BB904" s="89" t="s">
        <v>646</v>
      </c>
      <c r="BC904" s="89" t="s">
        <v>646</v>
      </c>
      <c r="BD904" s="89" t="s">
        <v>17739</v>
      </c>
      <c r="BE904" s="89">
        <v>2017</v>
      </c>
      <c r="BF904" s="89">
        <v>29</v>
      </c>
      <c r="BG904" s="89">
        <v>5</v>
      </c>
      <c r="BH904" s="89" t="s">
        <v>646</v>
      </c>
      <c r="BI904" s="89" t="s">
        <v>646</v>
      </c>
      <c r="BJ904" s="89" t="s">
        <v>646</v>
      </c>
      <c r="BK904" s="89" t="s">
        <v>646</v>
      </c>
      <c r="BL904" s="89">
        <v>629</v>
      </c>
      <c r="BM904" s="89">
        <v>647</v>
      </c>
      <c r="BN904" s="89" t="s">
        <v>646</v>
      </c>
      <c r="BO904" s="89" t="str">
        <f>HYPERLINK("http://dx.doi.org/10.1093/iwc/iww042","http://dx.doi.org/10.1093/iwc/iww042")</f>
        <v>http://dx.doi.org/10.1093/iwc/iww042</v>
      </c>
      <c r="BP904" s="89" t="s">
        <v>646</v>
      </c>
      <c r="BQ904" s="89" t="s">
        <v>646</v>
      </c>
      <c r="BR904" s="89" t="s">
        <v>646</v>
      </c>
      <c r="BS904" s="89" t="s">
        <v>646</v>
      </c>
      <c r="BT904" s="89" t="s">
        <v>646</v>
      </c>
      <c r="BU904" s="89" t="s">
        <v>646</v>
      </c>
      <c r="BV904" s="89" t="s">
        <v>646</v>
      </c>
      <c r="BW904" s="89" t="s">
        <v>646</v>
      </c>
      <c r="BX904" s="89" t="s">
        <v>646</v>
      </c>
      <c r="BY904" s="89" t="s">
        <v>646</v>
      </c>
      <c r="BZ904" s="89" t="s">
        <v>646</v>
      </c>
      <c r="CA904" s="89" t="s">
        <v>646</v>
      </c>
      <c r="CB904" s="89" t="s">
        <v>24614</v>
      </c>
      <c r="CC904" s="89" t="str">
        <f>HYPERLINK("https%3A%2F%2Fwww.webofscience.com%2Fwos%2Fwoscc%2Ffull-record%2FWOS:000409181700001","View Full Record in Web of Science")</f>
        <v>View Full Record in Web of Science</v>
      </c>
    </row>
    <row r="905" spans="1:81" ht="13.2" hidden="1" x14ac:dyDescent="0.25">
      <c r="A905" s="89" t="s">
        <v>24615</v>
      </c>
      <c r="B905" s="89" t="e">
        <f>+#REF!</f>
        <v>#REF!</v>
      </c>
      <c r="C905" s="89"/>
      <c r="D905" s="91" t="s">
        <v>717</v>
      </c>
      <c r="E905" s="90" t="e">
        <v>#REF!</v>
      </c>
      <c r="F905" s="89"/>
      <c r="G905" s="89"/>
      <c r="H905" s="89" t="s">
        <v>15579</v>
      </c>
      <c r="I905" s="89" t="s">
        <v>24616</v>
      </c>
      <c r="J905" s="89" t="s">
        <v>24618</v>
      </c>
      <c r="K905" s="89" t="s">
        <v>24617</v>
      </c>
      <c r="M905" s="89">
        <v>2019</v>
      </c>
      <c r="N905" s="89" t="s">
        <v>20886</v>
      </c>
      <c r="O905" s="89" t="s">
        <v>646</v>
      </c>
      <c r="P905" s="89" t="str">
        <f>HYPERLINK("http://dx.doi.org/10.1177/1461444819849897","http://dx.doi.org/10.1177/1461444819849897")</f>
        <v>http://dx.doi.org/10.1177/1461444819849897</v>
      </c>
      <c r="S905" s="89" t="s">
        <v>646</v>
      </c>
      <c r="U905" s="89" t="s">
        <v>17462</v>
      </c>
      <c r="W905" s="89" t="s">
        <v>646</v>
      </c>
      <c r="X905" s="89" t="s">
        <v>646</v>
      </c>
      <c r="Y905" s="89" t="s">
        <v>646</v>
      </c>
      <c r="Z905" s="89" t="s">
        <v>646</v>
      </c>
      <c r="AA905" s="89" t="s">
        <v>646</v>
      </c>
      <c r="AB905" s="89" t="s">
        <v>646</v>
      </c>
      <c r="AC905" s="89" t="s">
        <v>646</v>
      </c>
      <c r="AD905" s="89" t="s">
        <v>646</v>
      </c>
      <c r="AE905" s="89" t="s">
        <v>646</v>
      </c>
      <c r="AF905" s="89" t="s">
        <v>24617</v>
      </c>
      <c r="AG905" s="89" t="s">
        <v>646</v>
      </c>
      <c r="AH905" s="89" t="s">
        <v>646</v>
      </c>
      <c r="AI905" s="89" t="s">
        <v>646</v>
      </c>
      <c r="AJ905" s="89" t="s">
        <v>646</v>
      </c>
      <c r="AK905" s="89" t="s">
        <v>24618</v>
      </c>
      <c r="AL905" s="89" t="s">
        <v>24619</v>
      </c>
      <c r="AM905" s="89" t="s">
        <v>646</v>
      </c>
      <c r="AN905" s="89" t="s">
        <v>646</v>
      </c>
      <c r="AO905" s="89" t="s">
        <v>646</v>
      </c>
      <c r="AP905" s="89" t="s">
        <v>646</v>
      </c>
      <c r="AQ905" s="89" t="s">
        <v>646</v>
      </c>
      <c r="AR905" s="89" t="s">
        <v>646</v>
      </c>
      <c r="AS905" s="89" t="s">
        <v>646</v>
      </c>
      <c r="AT905" s="89" t="s">
        <v>646</v>
      </c>
      <c r="AU905" s="89" t="s">
        <v>646</v>
      </c>
      <c r="AV905" s="89" t="s">
        <v>646</v>
      </c>
      <c r="AW905" s="89" t="s">
        <v>646</v>
      </c>
      <c r="AX905" s="89" t="s">
        <v>646</v>
      </c>
      <c r="AY905" s="89" t="s">
        <v>20889</v>
      </c>
      <c r="AZ905" s="89" t="s">
        <v>20890</v>
      </c>
      <c r="BA905" s="89" t="s">
        <v>646</v>
      </c>
      <c r="BB905" s="89" t="s">
        <v>646</v>
      </c>
      <c r="BC905" s="89" t="s">
        <v>646</v>
      </c>
      <c r="BD905" s="89" t="s">
        <v>18292</v>
      </c>
      <c r="BE905" s="89">
        <v>2019</v>
      </c>
      <c r="BF905" s="89">
        <v>21</v>
      </c>
      <c r="BG905" s="89" t="s">
        <v>19541</v>
      </c>
      <c r="BH905" s="89" t="s">
        <v>646</v>
      </c>
      <c r="BI905" s="89" t="s">
        <v>646</v>
      </c>
      <c r="BJ905" s="89" t="s">
        <v>646</v>
      </c>
      <c r="BK905" s="89" t="s">
        <v>646</v>
      </c>
      <c r="BL905" s="89">
        <v>2404</v>
      </c>
      <c r="BM905" s="89">
        <v>2421</v>
      </c>
      <c r="BN905" s="89" t="s">
        <v>646</v>
      </c>
      <c r="BO905" s="89" t="str">
        <f>HYPERLINK("http://dx.doi.org/10.1177/1461444819849897","http://dx.doi.org/10.1177/1461444819849897")</f>
        <v>http://dx.doi.org/10.1177/1461444819849897</v>
      </c>
      <c r="BP905" s="89" t="s">
        <v>646</v>
      </c>
      <c r="BQ905" s="89" t="s">
        <v>646</v>
      </c>
      <c r="BR905" s="89" t="s">
        <v>646</v>
      </c>
      <c r="BS905" s="89" t="s">
        <v>646</v>
      </c>
      <c r="BT905" s="89" t="s">
        <v>646</v>
      </c>
      <c r="BU905" s="89" t="s">
        <v>646</v>
      </c>
      <c r="BV905" s="89" t="s">
        <v>646</v>
      </c>
      <c r="BW905" s="89" t="s">
        <v>646</v>
      </c>
      <c r="BX905" s="89" t="s">
        <v>646</v>
      </c>
      <c r="BY905" s="89" t="s">
        <v>646</v>
      </c>
      <c r="BZ905" s="89" t="s">
        <v>646</v>
      </c>
      <c r="CA905" s="89" t="s">
        <v>646</v>
      </c>
      <c r="CB905" s="89" t="s">
        <v>24620</v>
      </c>
      <c r="CC905" s="89" t="str">
        <f>HYPERLINK("https%3A%2F%2Fwww.webofscience.com%2Fwos%2Fwoscc%2Ffull-record%2FWOS:000485297300005","View Full Record in Web of Science")</f>
        <v>View Full Record in Web of Science</v>
      </c>
    </row>
    <row r="906" spans="1:81" ht="13.2" hidden="1" x14ac:dyDescent="0.25">
      <c r="A906" s="89" t="s">
        <v>16612</v>
      </c>
      <c r="B906" s="89" t="e">
        <f>+#REF!</f>
        <v>#REF!</v>
      </c>
      <c r="C906" s="89"/>
      <c r="D906" s="91" t="s">
        <v>717</v>
      </c>
      <c r="E906" s="90" t="e">
        <v>#REF!</v>
      </c>
      <c r="F906" s="89"/>
      <c r="G906" s="89"/>
      <c r="H906" s="89" t="s">
        <v>16613</v>
      </c>
      <c r="I906" s="89" t="s">
        <v>24621</v>
      </c>
      <c r="J906" s="89" t="s">
        <v>646</v>
      </c>
      <c r="K906" s="89" t="s">
        <v>24623</v>
      </c>
      <c r="M906" s="89">
        <v>2022</v>
      </c>
      <c r="N906" s="89" t="s">
        <v>24622</v>
      </c>
      <c r="O906" s="89" t="s">
        <v>646</v>
      </c>
      <c r="P906" s="89" t="str">
        <f>HYPERLINK("http://dx.doi.org/10.1080/07317115.2020.1838982","http://dx.doi.org/10.1080/07317115.2020.1838982")</f>
        <v>http://dx.doi.org/10.1080/07317115.2020.1838982</v>
      </c>
      <c r="S906" s="89" t="s">
        <v>646</v>
      </c>
      <c r="U906" s="89" t="s">
        <v>17462</v>
      </c>
      <c r="W906" s="89" t="s">
        <v>646</v>
      </c>
      <c r="X906" s="89" t="s">
        <v>646</v>
      </c>
      <c r="Y906" s="89" t="s">
        <v>646</v>
      </c>
      <c r="Z906" s="89" t="s">
        <v>646</v>
      </c>
      <c r="AA906" s="89" t="s">
        <v>646</v>
      </c>
      <c r="AB906" s="89" t="s">
        <v>646</v>
      </c>
      <c r="AC906" s="89" t="s">
        <v>646</v>
      </c>
      <c r="AD906" s="89" t="s">
        <v>646</v>
      </c>
      <c r="AE906" s="89" t="s">
        <v>646</v>
      </c>
      <c r="AF906" s="89" t="s">
        <v>24623</v>
      </c>
      <c r="AG906" s="89" t="s">
        <v>646</v>
      </c>
      <c r="AH906" s="89" t="s">
        <v>646</v>
      </c>
      <c r="AI906" s="89" t="s">
        <v>646</v>
      </c>
      <c r="AJ906" s="89" t="s">
        <v>646</v>
      </c>
      <c r="AK906" s="89" t="s">
        <v>646</v>
      </c>
      <c r="AL906" s="89" t="s">
        <v>646</v>
      </c>
      <c r="AM906" s="89" t="s">
        <v>646</v>
      </c>
      <c r="AN906" s="89" t="s">
        <v>646</v>
      </c>
      <c r="AO906" s="89" t="s">
        <v>646</v>
      </c>
      <c r="AP906" s="89" t="s">
        <v>646</v>
      </c>
      <c r="AQ906" s="89" t="s">
        <v>646</v>
      </c>
      <c r="AR906" s="89" t="s">
        <v>646</v>
      </c>
      <c r="AS906" s="89" t="s">
        <v>646</v>
      </c>
      <c r="AT906" s="89" t="s">
        <v>646</v>
      </c>
      <c r="AU906" s="89" t="s">
        <v>646</v>
      </c>
      <c r="AV906" s="89" t="s">
        <v>646</v>
      </c>
      <c r="AW906" s="89" t="s">
        <v>646</v>
      </c>
      <c r="AX906" s="89" t="s">
        <v>646</v>
      </c>
      <c r="AY906" s="89" t="s">
        <v>24624</v>
      </c>
      <c r="AZ906" s="89" t="s">
        <v>24625</v>
      </c>
      <c r="BA906" s="89" t="s">
        <v>646</v>
      </c>
      <c r="BB906" s="89" t="s">
        <v>646</v>
      </c>
      <c r="BC906" s="89" t="s">
        <v>646</v>
      </c>
      <c r="BD906" s="89" t="s">
        <v>24626</v>
      </c>
      <c r="BE906" s="89">
        <v>2022</v>
      </c>
      <c r="BF906" s="89">
        <v>45</v>
      </c>
      <c r="BG906" s="89">
        <v>3</v>
      </c>
      <c r="BH906" s="89" t="s">
        <v>646</v>
      </c>
      <c r="BI906" s="89" t="s">
        <v>646</v>
      </c>
      <c r="BJ906" s="89" t="s">
        <v>646</v>
      </c>
      <c r="BK906" s="89" t="s">
        <v>646</v>
      </c>
      <c r="BL906" s="89">
        <v>696</v>
      </c>
      <c r="BM906" s="89">
        <v>707</v>
      </c>
      <c r="BN906" s="89" t="s">
        <v>646</v>
      </c>
      <c r="BO906" s="89" t="str">
        <f>HYPERLINK("http://dx.doi.org/10.1080/07317115.2020.1838982","http://dx.doi.org/10.1080/07317115.2020.1838982")</f>
        <v>http://dx.doi.org/10.1080/07317115.2020.1838982</v>
      </c>
      <c r="BP906" s="89" t="s">
        <v>646</v>
      </c>
      <c r="BQ906" s="89" t="s">
        <v>19180</v>
      </c>
      <c r="BR906" s="89" t="s">
        <v>646</v>
      </c>
      <c r="BS906" s="89" t="s">
        <v>646</v>
      </c>
      <c r="BT906" s="89" t="s">
        <v>646</v>
      </c>
      <c r="BU906" s="89" t="s">
        <v>646</v>
      </c>
      <c r="BV906" s="89" t="s">
        <v>646</v>
      </c>
      <c r="BW906" s="89">
        <v>33245252</v>
      </c>
      <c r="BX906" s="89" t="s">
        <v>646</v>
      </c>
      <c r="BY906" s="89" t="s">
        <v>646</v>
      </c>
      <c r="BZ906" s="89" t="s">
        <v>646</v>
      </c>
      <c r="CA906" s="89" t="s">
        <v>646</v>
      </c>
      <c r="CB906" s="89" t="s">
        <v>24627</v>
      </c>
      <c r="CC906" s="89" t="str">
        <f>HYPERLINK("https%3A%2F%2Fwww.webofscience.com%2Fwos%2Fwoscc%2Ffull-record%2FWOS:000593073200001","View Full Record in Web of Science")</f>
        <v>View Full Record in Web of Science</v>
      </c>
    </row>
    <row r="907" spans="1:81" ht="13.2" hidden="1" x14ac:dyDescent="0.25">
      <c r="A907" s="89" t="s">
        <v>24628</v>
      </c>
      <c r="B907" s="89" t="e">
        <f>+#REF!</f>
        <v>#REF!</v>
      </c>
      <c r="C907" s="89"/>
      <c r="D907" s="91" t="s">
        <v>717</v>
      </c>
      <c r="E907" s="90" t="e">
        <v>#REF!</v>
      </c>
      <c r="F907" s="89"/>
      <c r="G907" s="89"/>
      <c r="H907" s="89" t="s">
        <v>15430</v>
      </c>
      <c r="I907" s="89" t="s">
        <v>24629</v>
      </c>
      <c r="J907" s="89" t="s">
        <v>646</v>
      </c>
      <c r="K907" s="89" t="s">
        <v>24631</v>
      </c>
      <c r="M907" s="89">
        <v>2017</v>
      </c>
      <c r="N907" s="89" t="s">
        <v>24630</v>
      </c>
      <c r="O907" s="89" t="s">
        <v>646</v>
      </c>
      <c r="P907" s="89" t="str">
        <f>HYPERLINK("http://dx.doi.org/10.1177/1388262717745751","http://dx.doi.org/10.1177/1388262717745751")</f>
        <v>http://dx.doi.org/10.1177/1388262717745751</v>
      </c>
      <c r="S907" s="89" t="s">
        <v>646</v>
      </c>
      <c r="U907" s="89" t="s">
        <v>17462</v>
      </c>
      <c r="W907" s="89" t="s">
        <v>646</v>
      </c>
      <c r="X907" s="89" t="s">
        <v>646</v>
      </c>
      <c r="Y907" s="89" t="s">
        <v>646</v>
      </c>
      <c r="Z907" s="89" t="s">
        <v>646</v>
      </c>
      <c r="AA907" s="89" t="s">
        <v>646</v>
      </c>
      <c r="AB907" s="89" t="s">
        <v>646</v>
      </c>
      <c r="AC907" s="89" t="s">
        <v>646</v>
      </c>
      <c r="AD907" s="89" t="s">
        <v>646</v>
      </c>
      <c r="AE907" s="89" t="s">
        <v>646</v>
      </c>
      <c r="AF907" s="89" t="s">
        <v>24631</v>
      </c>
      <c r="AG907" s="89" t="s">
        <v>646</v>
      </c>
      <c r="AH907" s="89" t="s">
        <v>646</v>
      </c>
      <c r="AI907" s="89" t="s">
        <v>646</v>
      </c>
      <c r="AJ907" s="89" t="s">
        <v>646</v>
      </c>
      <c r="AK907" s="89" t="s">
        <v>646</v>
      </c>
      <c r="AL907" s="89" t="s">
        <v>646</v>
      </c>
      <c r="AM907" s="89" t="s">
        <v>646</v>
      </c>
      <c r="AN907" s="89" t="s">
        <v>646</v>
      </c>
      <c r="AO907" s="89" t="s">
        <v>646</v>
      </c>
      <c r="AP907" s="89" t="s">
        <v>646</v>
      </c>
      <c r="AQ907" s="89" t="s">
        <v>646</v>
      </c>
      <c r="AR907" s="89" t="s">
        <v>646</v>
      </c>
      <c r="AS907" s="89" t="s">
        <v>646</v>
      </c>
      <c r="AT907" s="89" t="s">
        <v>646</v>
      </c>
      <c r="AU907" s="89" t="s">
        <v>646</v>
      </c>
      <c r="AV907" s="89" t="s">
        <v>646</v>
      </c>
      <c r="AW907" s="89" t="s">
        <v>646</v>
      </c>
      <c r="AX907" s="89" t="s">
        <v>646</v>
      </c>
      <c r="AY907" s="89" t="s">
        <v>24632</v>
      </c>
      <c r="AZ907" s="89" t="s">
        <v>24633</v>
      </c>
      <c r="BA907" s="89" t="s">
        <v>646</v>
      </c>
      <c r="BB907" s="89" t="s">
        <v>646</v>
      </c>
      <c r="BC907" s="89" t="s">
        <v>646</v>
      </c>
      <c r="BD907" s="89" t="s">
        <v>17615</v>
      </c>
      <c r="BE907" s="89">
        <v>2017</v>
      </c>
      <c r="BF907" s="89">
        <v>19</v>
      </c>
      <c r="BG907" s="89">
        <v>4</v>
      </c>
      <c r="BH907" s="89" t="s">
        <v>646</v>
      </c>
      <c r="BI907" s="89" t="s">
        <v>646</v>
      </c>
      <c r="BJ907" s="89" t="s">
        <v>646</v>
      </c>
      <c r="BK907" s="89" t="s">
        <v>646</v>
      </c>
      <c r="BL907" s="89">
        <v>293</v>
      </c>
      <c r="BM907" s="89">
        <v>312</v>
      </c>
      <c r="BN907" s="89" t="s">
        <v>646</v>
      </c>
      <c r="BO907" s="89" t="str">
        <f>HYPERLINK("http://dx.doi.org/10.1177/1388262717745751","http://dx.doi.org/10.1177/1388262717745751")</f>
        <v>http://dx.doi.org/10.1177/1388262717745751</v>
      </c>
      <c r="BP907" s="89" t="s">
        <v>646</v>
      </c>
      <c r="BQ907" s="89" t="s">
        <v>646</v>
      </c>
      <c r="BR907" s="89" t="s">
        <v>646</v>
      </c>
      <c r="BS907" s="89" t="s">
        <v>646</v>
      </c>
      <c r="BT907" s="89" t="s">
        <v>646</v>
      </c>
      <c r="BU907" s="89" t="s">
        <v>646</v>
      </c>
      <c r="BV907" s="89" t="s">
        <v>646</v>
      </c>
      <c r="BW907" s="89" t="s">
        <v>646</v>
      </c>
      <c r="BX907" s="89" t="s">
        <v>646</v>
      </c>
      <c r="BY907" s="89" t="s">
        <v>646</v>
      </c>
      <c r="BZ907" s="89" t="s">
        <v>646</v>
      </c>
      <c r="CA907" s="89" t="s">
        <v>646</v>
      </c>
      <c r="CB907" s="89" t="s">
        <v>24634</v>
      </c>
      <c r="CC907" s="89" t="str">
        <f>HYPERLINK("https%3A%2F%2Fwww.webofscience.com%2Fwos%2Fwoscc%2Ffull-record%2FWOS:000442133600001","View Full Record in Web of Science")</f>
        <v>View Full Record in Web of Science</v>
      </c>
    </row>
    <row r="908" spans="1:81" ht="13.2" hidden="1" x14ac:dyDescent="0.25">
      <c r="A908" s="89" t="s">
        <v>10443</v>
      </c>
      <c r="B908" s="89" t="e">
        <f>+#REF!</f>
        <v>#REF!</v>
      </c>
      <c r="C908" s="89"/>
      <c r="D908" s="91" t="s">
        <v>717</v>
      </c>
      <c r="E908" s="90" t="e">
        <v>#REF!</v>
      </c>
      <c r="F908" s="89"/>
      <c r="G908" s="89"/>
      <c r="H908" s="89" t="s">
        <v>10444</v>
      </c>
      <c r="I908" s="89" t="s">
        <v>24635</v>
      </c>
      <c r="J908" s="89" t="s">
        <v>24637</v>
      </c>
      <c r="K908" s="89" t="s">
        <v>24636</v>
      </c>
      <c r="M908" s="89">
        <v>2019</v>
      </c>
      <c r="N908" s="89" t="s">
        <v>17630</v>
      </c>
      <c r="O908" s="89" t="s">
        <v>646</v>
      </c>
      <c r="P908" s="89" t="str">
        <f>HYPERLINK("http://dx.doi.org/10.1108/JGR-09-2018-0037","http://dx.doi.org/10.1108/JGR-09-2018-0037")</f>
        <v>http://dx.doi.org/10.1108/JGR-09-2018-0037</v>
      </c>
      <c r="S908" s="89" t="s">
        <v>646</v>
      </c>
      <c r="U908" s="89" t="s">
        <v>17462</v>
      </c>
      <c r="W908" s="89" t="s">
        <v>646</v>
      </c>
      <c r="X908" s="89" t="s">
        <v>646</v>
      </c>
      <c r="Y908" s="89" t="s">
        <v>646</v>
      </c>
      <c r="Z908" s="89" t="s">
        <v>646</v>
      </c>
      <c r="AA908" s="89" t="s">
        <v>646</v>
      </c>
      <c r="AB908" s="89" t="s">
        <v>646</v>
      </c>
      <c r="AC908" s="89" t="s">
        <v>646</v>
      </c>
      <c r="AD908" s="89" t="s">
        <v>646</v>
      </c>
      <c r="AE908" s="89" t="s">
        <v>646</v>
      </c>
      <c r="AF908" s="89" t="s">
        <v>24636</v>
      </c>
      <c r="AG908" s="89" t="s">
        <v>646</v>
      </c>
      <c r="AH908" s="89" t="s">
        <v>646</v>
      </c>
      <c r="AI908" s="89" t="s">
        <v>646</v>
      </c>
      <c r="AJ908" s="89" t="s">
        <v>646</v>
      </c>
      <c r="AK908" s="89" t="s">
        <v>24637</v>
      </c>
      <c r="AL908" s="89" t="s">
        <v>24638</v>
      </c>
      <c r="AM908" s="89" t="s">
        <v>646</v>
      </c>
      <c r="AN908" s="89" t="s">
        <v>646</v>
      </c>
      <c r="AO908" s="89" t="s">
        <v>646</v>
      </c>
      <c r="AP908" s="89" t="s">
        <v>646</v>
      </c>
      <c r="AQ908" s="89" t="s">
        <v>646</v>
      </c>
      <c r="AR908" s="89" t="s">
        <v>646</v>
      </c>
      <c r="AS908" s="89" t="s">
        <v>646</v>
      </c>
      <c r="AT908" s="89" t="s">
        <v>646</v>
      </c>
      <c r="AU908" s="89" t="s">
        <v>646</v>
      </c>
      <c r="AV908" s="89" t="s">
        <v>646</v>
      </c>
      <c r="AW908" s="89" t="s">
        <v>646</v>
      </c>
      <c r="AX908" s="89" t="s">
        <v>646</v>
      </c>
      <c r="AY908" s="89" t="s">
        <v>17634</v>
      </c>
      <c r="AZ908" s="89" t="s">
        <v>17635</v>
      </c>
      <c r="BA908" s="89" t="s">
        <v>646</v>
      </c>
      <c r="BB908" s="89" t="s">
        <v>646</v>
      </c>
      <c r="BC908" s="89" t="s">
        <v>646</v>
      </c>
      <c r="BD908" s="89" t="s">
        <v>24639</v>
      </c>
      <c r="BE908" s="89">
        <v>2019</v>
      </c>
      <c r="BF908" s="89">
        <v>10</v>
      </c>
      <c r="BG908" s="89">
        <v>3</v>
      </c>
      <c r="BH908" s="89" t="s">
        <v>646</v>
      </c>
      <c r="BI908" s="89" t="s">
        <v>646</v>
      </c>
      <c r="BJ908" s="89" t="s">
        <v>17555</v>
      </c>
      <c r="BK908" s="89" t="s">
        <v>646</v>
      </c>
      <c r="BL908" s="89">
        <v>197</v>
      </c>
      <c r="BM908" s="89">
        <v>210</v>
      </c>
      <c r="BN908" s="89" t="s">
        <v>646</v>
      </c>
      <c r="BO908" s="89" t="str">
        <f>HYPERLINK("http://dx.doi.org/10.1108/JGR-09-2018-0037","http://dx.doi.org/10.1108/JGR-09-2018-0037")</f>
        <v>http://dx.doi.org/10.1108/JGR-09-2018-0037</v>
      </c>
      <c r="BP908" s="89" t="s">
        <v>646</v>
      </c>
      <c r="BQ908" s="89" t="s">
        <v>646</v>
      </c>
      <c r="BR908" s="89" t="s">
        <v>646</v>
      </c>
      <c r="BS908" s="89" t="s">
        <v>646</v>
      </c>
      <c r="BT908" s="89" t="s">
        <v>646</v>
      </c>
      <c r="BU908" s="89" t="s">
        <v>646</v>
      </c>
      <c r="BV908" s="89" t="s">
        <v>646</v>
      </c>
      <c r="BW908" s="89" t="s">
        <v>646</v>
      </c>
      <c r="BX908" s="89" t="s">
        <v>646</v>
      </c>
      <c r="BY908" s="89" t="s">
        <v>646</v>
      </c>
      <c r="BZ908" s="89" t="s">
        <v>646</v>
      </c>
      <c r="CA908" s="89" t="s">
        <v>646</v>
      </c>
      <c r="CB908" s="89" t="s">
        <v>24640</v>
      </c>
      <c r="CC908" s="89" t="str">
        <f>HYPERLINK("https%3A%2F%2Fwww.webofscience.com%2Fwos%2Fwoscc%2Ffull-record%2FWOS:000482124300002","View Full Record in Web of Science")</f>
        <v>View Full Record in Web of Science</v>
      </c>
    </row>
    <row r="909" spans="1:81" ht="13.2" hidden="1" x14ac:dyDescent="0.25">
      <c r="A909" s="89" t="s">
        <v>24641</v>
      </c>
      <c r="B909" s="89" t="e">
        <f>+#REF!</f>
        <v>#REF!</v>
      </c>
      <c r="C909" s="89"/>
      <c r="D909" s="91" t="s">
        <v>717</v>
      </c>
      <c r="E909" s="90" t="e">
        <v>#REF!</v>
      </c>
      <c r="F909" s="89"/>
      <c r="G909" s="89"/>
      <c r="H909" s="89" t="s">
        <v>15421</v>
      </c>
      <c r="I909" s="89" t="s">
        <v>18701</v>
      </c>
      <c r="J909" s="89" t="s">
        <v>24643</v>
      </c>
      <c r="K909" s="89" t="s">
        <v>24642</v>
      </c>
      <c r="M909" s="89">
        <v>2017</v>
      </c>
      <c r="N909" s="89" t="s">
        <v>21963</v>
      </c>
      <c r="O909" s="89" t="s">
        <v>646</v>
      </c>
      <c r="P909" s="89" t="str">
        <f>HYPERLINK("http://dx.doi.org/10.1177/1024258917701381","http://dx.doi.org/10.1177/1024258917701381")</f>
        <v>http://dx.doi.org/10.1177/1024258917701381</v>
      </c>
      <c r="S909" s="89" t="s">
        <v>646</v>
      </c>
      <c r="U909" s="89" t="s">
        <v>17462</v>
      </c>
      <c r="W909" s="89" t="s">
        <v>646</v>
      </c>
      <c r="X909" s="89" t="s">
        <v>646</v>
      </c>
      <c r="Y909" s="89" t="s">
        <v>646</v>
      </c>
      <c r="Z909" s="89" t="s">
        <v>646</v>
      </c>
      <c r="AA909" s="89" t="s">
        <v>646</v>
      </c>
      <c r="AB909" s="89" t="s">
        <v>646</v>
      </c>
      <c r="AC909" s="89" t="s">
        <v>646</v>
      </c>
      <c r="AD909" s="89" t="s">
        <v>646</v>
      </c>
      <c r="AE909" s="89" t="s">
        <v>646</v>
      </c>
      <c r="AF909" s="89" t="s">
        <v>24642</v>
      </c>
      <c r="AG909" s="89" t="s">
        <v>646</v>
      </c>
      <c r="AH909" s="89" t="s">
        <v>646</v>
      </c>
      <c r="AI909" s="89" t="s">
        <v>646</v>
      </c>
      <c r="AJ909" s="89" t="s">
        <v>646</v>
      </c>
      <c r="AK909" s="89" t="s">
        <v>24643</v>
      </c>
      <c r="AL909" s="89" t="s">
        <v>24644</v>
      </c>
      <c r="AM909" s="89" t="s">
        <v>646</v>
      </c>
      <c r="AN909" s="89" t="s">
        <v>646</v>
      </c>
      <c r="AO909" s="89" t="s">
        <v>646</v>
      </c>
      <c r="AP909" s="89" t="s">
        <v>646</v>
      </c>
      <c r="AQ909" s="89" t="s">
        <v>646</v>
      </c>
      <c r="AR909" s="89" t="s">
        <v>646</v>
      </c>
      <c r="AS909" s="89" t="s">
        <v>646</v>
      </c>
      <c r="AT909" s="89" t="s">
        <v>646</v>
      </c>
      <c r="AU909" s="89" t="s">
        <v>646</v>
      </c>
      <c r="AV909" s="89" t="s">
        <v>646</v>
      </c>
      <c r="AW909" s="89" t="s">
        <v>646</v>
      </c>
      <c r="AX909" s="89" t="s">
        <v>646</v>
      </c>
      <c r="AY909" s="89" t="s">
        <v>21965</v>
      </c>
      <c r="AZ909" s="89" t="s">
        <v>21966</v>
      </c>
      <c r="BA909" s="89" t="s">
        <v>646</v>
      </c>
      <c r="BB909" s="89" t="s">
        <v>646</v>
      </c>
      <c r="BC909" s="89" t="s">
        <v>646</v>
      </c>
      <c r="BD909" s="89" t="s">
        <v>18436</v>
      </c>
      <c r="BE909" s="89">
        <v>2017</v>
      </c>
      <c r="BF909" s="89">
        <v>23</v>
      </c>
      <c r="BG909" s="89">
        <v>2</v>
      </c>
      <c r="BH909" s="89" t="s">
        <v>646</v>
      </c>
      <c r="BI909" s="89" t="s">
        <v>646</v>
      </c>
      <c r="BJ909" s="89" t="s">
        <v>646</v>
      </c>
      <c r="BK909" s="89" t="s">
        <v>646</v>
      </c>
      <c r="BL909" s="89">
        <v>193</v>
      </c>
      <c r="BM909" s="89">
        <v>205</v>
      </c>
      <c r="BN909" s="89" t="s">
        <v>646</v>
      </c>
      <c r="BO909" s="89" t="str">
        <f>HYPERLINK("http://dx.doi.org/10.1177/1024258917701381","http://dx.doi.org/10.1177/1024258917701381")</f>
        <v>http://dx.doi.org/10.1177/1024258917701381</v>
      </c>
      <c r="BP909" s="89" t="s">
        <v>646</v>
      </c>
      <c r="BQ909" s="89" t="s">
        <v>646</v>
      </c>
      <c r="BR909" s="89" t="s">
        <v>646</v>
      </c>
      <c r="BS909" s="89" t="s">
        <v>646</v>
      </c>
      <c r="BT909" s="89" t="s">
        <v>646</v>
      </c>
      <c r="BU909" s="89" t="s">
        <v>646</v>
      </c>
      <c r="BV909" s="89" t="s">
        <v>646</v>
      </c>
      <c r="BW909" s="89" t="s">
        <v>646</v>
      </c>
      <c r="BX909" s="89" t="s">
        <v>646</v>
      </c>
      <c r="BY909" s="89" t="s">
        <v>646</v>
      </c>
      <c r="BZ909" s="89" t="s">
        <v>646</v>
      </c>
      <c r="CA909" s="89" t="s">
        <v>646</v>
      </c>
      <c r="CB909" s="89" t="s">
        <v>24645</v>
      </c>
      <c r="CC909" s="89" t="str">
        <f>HYPERLINK("https%3A%2F%2Fwww.webofscience.com%2Fwos%2Fwoscc%2Ffull-record%2FWOS:000411970900006","View Full Record in Web of Science")</f>
        <v>View Full Record in Web of Science</v>
      </c>
    </row>
    <row r="910" spans="1:81" ht="13.2" hidden="1" x14ac:dyDescent="0.25">
      <c r="A910" s="89" t="s">
        <v>15587</v>
      </c>
      <c r="B910" s="89" t="e">
        <f>+#REF!</f>
        <v>#REF!</v>
      </c>
      <c r="C910" s="89"/>
      <c r="D910" s="91" t="s">
        <v>717</v>
      </c>
      <c r="E910" s="90" t="e">
        <v>#REF!</v>
      </c>
      <c r="F910" s="89"/>
      <c r="G910" s="89"/>
      <c r="H910" s="89" t="s">
        <v>15588</v>
      </c>
      <c r="I910" s="89" t="s">
        <v>24646</v>
      </c>
      <c r="J910" s="89" t="s">
        <v>646</v>
      </c>
      <c r="K910" s="89" t="s">
        <v>24647</v>
      </c>
      <c r="M910" s="89">
        <v>2018</v>
      </c>
      <c r="N910" s="89" t="s">
        <v>19680</v>
      </c>
      <c r="O910" s="89" t="s">
        <v>646</v>
      </c>
      <c r="P910" s="89" t="str">
        <f>HYPERLINK("http://dx.doi.org/10.1093/asj/sjx191","http://dx.doi.org/10.1093/asj/sjx191")</f>
        <v>http://dx.doi.org/10.1093/asj/sjx191</v>
      </c>
      <c r="S910" s="89" t="s">
        <v>646</v>
      </c>
      <c r="U910" s="89" t="s">
        <v>17462</v>
      </c>
      <c r="W910" s="89" t="s">
        <v>646</v>
      </c>
      <c r="X910" s="89" t="s">
        <v>646</v>
      </c>
      <c r="Y910" s="89" t="s">
        <v>646</v>
      </c>
      <c r="Z910" s="89" t="s">
        <v>646</v>
      </c>
      <c r="AA910" s="89" t="s">
        <v>646</v>
      </c>
      <c r="AB910" s="89" t="s">
        <v>646</v>
      </c>
      <c r="AC910" s="89" t="s">
        <v>646</v>
      </c>
      <c r="AD910" s="89" t="s">
        <v>646</v>
      </c>
      <c r="AE910" s="89" t="s">
        <v>646</v>
      </c>
      <c r="AF910" s="89" t="s">
        <v>24647</v>
      </c>
      <c r="AG910" s="89" t="s">
        <v>646</v>
      </c>
      <c r="AH910" s="89" t="s">
        <v>646</v>
      </c>
      <c r="AI910" s="89" t="s">
        <v>646</v>
      </c>
      <c r="AJ910" s="89" t="s">
        <v>646</v>
      </c>
      <c r="AK910" s="89" t="s">
        <v>646</v>
      </c>
      <c r="AL910" s="89" t="s">
        <v>646</v>
      </c>
      <c r="AM910" s="89" t="s">
        <v>646</v>
      </c>
      <c r="AN910" s="89" t="s">
        <v>646</v>
      </c>
      <c r="AO910" s="89" t="s">
        <v>646</v>
      </c>
      <c r="AP910" s="89" t="s">
        <v>646</v>
      </c>
      <c r="AQ910" s="89" t="s">
        <v>646</v>
      </c>
      <c r="AR910" s="89" t="s">
        <v>646</v>
      </c>
      <c r="AS910" s="89" t="s">
        <v>646</v>
      </c>
      <c r="AT910" s="89" t="s">
        <v>646</v>
      </c>
      <c r="AU910" s="89" t="s">
        <v>646</v>
      </c>
      <c r="AV910" s="89" t="s">
        <v>646</v>
      </c>
      <c r="AW910" s="89" t="s">
        <v>646</v>
      </c>
      <c r="AX910" s="89" t="s">
        <v>646</v>
      </c>
      <c r="AY910" s="89" t="s">
        <v>19684</v>
      </c>
      <c r="AZ910" s="89" t="s">
        <v>19685</v>
      </c>
      <c r="BA910" s="89" t="s">
        <v>646</v>
      </c>
      <c r="BB910" s="89" t="s">
        <v>646</v>
      </c>
      <c r="BC910" s="89" t="s">
        <v>646</v>
      </c>
      <c r="BD910" s="89" t="s">
        <v>18655</v>
      </c>
      <c r="BE910" s="89">
        <v>2018</v>
      </c>
      <c r="BF910" s="89">
        <v>38</v>
      </c>
      <c r="BG910" s="89">
        <v>8</v>
      </c>
      <c r="BH910" s="89" t="s">
        <v>646</v>
      </c>
      <c r="BI910" s="89" t="s">
        <v>646</v>
      </c>
      <c r="BJ910" s="89" t="s">
        <v>646</v>
      </c>
      <c r="BK910" s="89" t="s">
        <v>646</v>
      </c>
      <c r="BL910" s="89">
        <v>861</v>
      </c>
      <c r="BM910" s="89">
        <v>869</v>
      </c>
      <c r="BN910" s="89" t="s">
        <v>646</v>
      </c>
      <c r="BO910" s="89" t="str">
        <f>HYPERLINK("http://dx.doi.org/10.1093/asj/sjx191","http://dx.doi.org/10.1093/asj/sjx191")</f>
        <v>http://dx.doi.org/10.1093/asj/sjx191</v>
      </c>
      <c r="BP910" s="89" t="s">
        <v>646</v>
      </c>
      <c r="BQ910" s="89" t="s">
        <v>646</v>
      </c>
      <c r="BR910" s="89" t="s">
        <v>646</v>
      </c>
      <c r="BS910" s="89" t="s">
        <v>646</v>
      </c>
      <c r="BT910" s="89" t="s">
        <v>646</v>
      </c>
      <c r="BU910" s="89" t="s">
        <v>646</v>
      </c>
      <c r="BV910" s="89" t="s">
        <v>646</v>
      </c>
      <c r="BW910" s="89">
        <v>29365056</v>
      </c>
      <c r="BX910" s="89" t="s">
        <v>646</v>
      </c>
      <c r="BY910" s="89" t="s">
        <v>646</v>
      </c>
      <c r="BZ910" s="89" t="s">
        <v>646</v>
      </c>
      <c r="CA910" s="89" t="s">
        <v>646</v>
      </c>
      <c r="CB910" s="89" t="s">
        <v>24648</v>
      </c>
      <c r="CC910" s="89" t="str">
        <f>HYPERLINK("https%3A%2F%2Fwww.webofscience.com%2Fwos%2Fwoscc%2Ffull-record%2FWOS:000439054000016","View Full Record in Web of Science")</f>
        <v>View Full Record in Web of Science</v>
      </c>
    </row>
    <row r="911" spans="1:81" ht="13.2" hidden="1" x14ac:dyDescent="0.25">
      <c r="A911" s="89" t="s">
        <v>24649</v>
      </c>
      <c r="B911" s="89" t="e">
        <f>+#REF!</f>
        <v>#REF!</v>
      </c>
      <c r="C911" s="89"/>
      <c r="D911" s="91" t="s">
        <v>717</v>
      </c>
      <c r="E911" s="90" t="e">
        <v>#REF!</v>
      </c>
      <c r="F911" s="89"/>
      <c r="G911" s="89"/>
      <c r="H911" s="89" t="s">
        <v>16623</v>
      </c>
      <c r="I911" s="89" t="s">
        <v>24650</v>
      </c>
      <c r="J911" s="89" t="s">
        <v>24652</v>
      </c>
      <c r="K911" s="89" t="s">
        <v>24651</v>
      </c>
      <c r="M911" s="89">
        <v>2021</v>
      </c>
      <c r="N911" s="89" t="s">
        <v>19243</v>
      </c>
      <c r="O911" s="89" t="s">
        <v>646</v>
      </c>
      <c r="P911" s="89" t="str">
        <f>HYPERLINK("http://dx.doi.org/10.1002/jgc4.1345","http://dx.doi.org/10.1002/jgc4.1345")</f>
        <v>http://dx.doi.org/10.1002/jgc4.1345</v>
      </c>
      <c r="S911" s="89" t="s">
        <v>646</v>
      </c>
      <c r="U911" s="89" t="s">
        <v>17462</v>
      </c>
      <c r="W911" s="89" t="s">
        <v>646</v>
      </c>
      <c r="X911" s="89" t="s">
        <v>646</v>
      </c>
      <c r="Y911" s="89" t="s">
        <v>646</v>
      </c>
      <c r="Z911" s="89" t="s">
        <v>646</v>
      </c>
      <c r="AA911" s="89" t="s">
        <v>646</v>
      </c>
      <c r="AB911" s="89" t="s">
        <v>646</v>
      </c>
      <c r="AC911" s="89" t="s">
        <v>646</v>
      </c>
      <c r="AD911" s="89" t="s">
        <v>646</v>
      </c>
      <c r="AE911" s="89" t="s">
        <v>646</v>
      </c>
      <c r="AF911" s="89" t="s">
        <v>24651</v>
      </c>
      <c r="AG911" s="89" t="s">
        <v>646</v>
      </c>
      <c r="AH911" s="89" t="s">
        <v>646</v>
      </c>
      <c r="AI911" s="89" t="s">
        <v>646</v>
      </c>
      <c r="AJ911" s="89" t="s">
        <v>646</v>
      </c>
      <c r="AK911" s="89" t="s">
        <v>24652</v>
      </c>
      <c r="AL911" s="89" t="s">
        <v>24653</v>
      </c>
      <c r="AM911" s="89" t="s">
        <v>646</v>
      </c>
      <c r="AN911" s="89" t="s">
        <v>646</v>
      </c>
      <c r="AO911" s="89" t="s">
        <v>646</v>
      </c>
      <c r="AP911" s="89" t="s">
        <v>646</v>
      </c>
      <c r="AQ911" s="89" t="s">
        <v>646</v>
      </c>
      <c r="AR911" s="89" t="s">
        <v>646</v>
      </c>
      <c r="AS911" s="89" t="s">
        <v>646</v>
      </c>
      <c r="AT911" s="89" t="s">
        <v>646</v>
      </c>
      <c r="AU911" s="89" t="s">
        <v>646</v>
      </c>
      <c r="AV911" s="89" t="s">
        <v>646</v>
      </c>
      <c r="AW911" s="89" t="s">
        <v>646</v>
      </c>
      <c r="AX911" s="89" t="s">
        <v>646</v>
      </c>
      <c r="AY911" s="89" t="s">
        <v>19246</v>
      </c>
      <c r="AZ911" s="89" t="s">
        <v>19247</v>
      </c>
      <c r="BA911" s="89" t="s">
        <v>646</v>
      </c>
      <c r="BB911" s="89" t="s">
        <v>646</v>
      </c>
      <c r="BC911" s="89" t="s">
        <v>646</v>
      </c>
      <c r="BD911" s="89" t="s">
        <v>17772</v>
      </c>
      <c r="BE911" s="89">
        <v>2021</v>
      </c>
      <c r="BF911" s="89">
        <v>30</v>
      </c>
      <c r="BG911" s="89">
        <v>3</v>
      </c>
      <c r="BH911" s="89" t="s">
        <v>646</v>
      </c>
      <c r="BI911" s="89" t="s">
        <v>646</v>
      </c>
      <c r="BJ911" s="89" t="s">
        <v>646</v>
      </c>
      <c r="BK911" s="89" t="s">
        <v>646</v>
      </c>
      <c r="BL911" s="89">
        <v>656</v>
      </c>
      <c r="BM911" s="89">
        <v>664</v>
      </c>
      <c r="BN911" s="89" t="s">
        <v>646</v>
      </c>
      <c r="BO911" s="89" t="str">
        <f>HYPERLINK("http://dx.doi.org/10.1002/jgc4.1345","http://dx.doi.org/10.1002/jgc4.1345")</f>
        <v>http://dx.doi.org/10.1002/jgc4.1345</v>
      </c>
      <c r="BP911" s="89" t="s">
        <v>646</v>
      </c>
      <c r="BQ911" s="89" t="s">
        <v>19180</v>
      </c>
      <c r="BR911" s="89" t="s">
        <v>646</v>
      </c>
      <c r="BS911" s="89" t="s">
        <v>646</v>
      </c>
      <c r="BT911" s="89" t="s">
        <v>646</v>
      </c>
      <c r="BU911" s="89" t="s">
        <v>646</v>
      </c>
      <c r="BV911" s="89" t="s">
        <v>646</v>
      </c>
      <c r="BW911" s="89">
        <v>33142025</v>
      </c>
      <c r="BX911" s="89" t="s">
        <v>646</v>
      </c>
      <c r="BY911" s="89" t="s">
        <v>646</v>
      </c>
      <c r="BZ911" s="89" t="s">
        <v>646</v>
      </c>
      <c r="CA911" s="89" t="s">
        <v>646</v>
      </c>
      <c r="CB911" s="89" t="s">
        <v>24654</v>
      </c>
      <c r="CC911" s="89" t="str">
        <f>HYPERLINK("https%3A%2F%2Fwww.webofscience.com%2Fwos%2Fwoscc%2Ffull-record%2FWOS:000586287800001","View Full Record in Web of Science")</f>
        <v>View Full Record in Web of Science</v>
      </c>
    </row>
    <row r="912" spans="1:81" ht="13.2" hidden="1" x14ac:dyDescent="0.25">
      <c r="A912" s="89" t="s">
        <v>24655</v>
      </c>
      <c r="B912" s="89" t="e">
        <f>+#REF!</f>
        <v>#REF!</v>
      </c>
      <c r="C912" s="89"/>
      <c r="D912" s="91" t="s">
        <v>717</v>
      </c>
      <c r="E912" s="90" t="e">
        <v>#REF!</v>
      </c>
      <c r="F912" s="89"/>
      <c r="G912" s="89"/>
      <c r="H912" s="89" t="s">
        <v>646</v>
      </c>
      <c r="I912" s="89" t="s">
        <v>24657</v>
      </c>
      <c r="J912" s="89" t="s">
        <v>646</v>
      </c>
      <c r="K912" s="89" t="s">
        <v>24662</v>
      </c>
      <c r="M912" s="89">
        <v>2011</v>
      </c>
      <c r="N912" s="89" t="s">
        <v>24658</v>
      </c>
      <c r="O912" s="89" t="s">
        <v>646</v>
      </c>
      <c r="P912" s="89" t="s">
        <v>646</v>
      </c>
      <c r="S912" s="89" t="s">
        <v>24656</v>
      </c>
      <c r="U912" s="89" t="s">
        <v>17474</v>
      </c>
      <c r="W912" s="89" t="s">
        <v>646</v>
      </c>
      <c r="X912" s="89" t="s">
        <v>646</v>
      </c>
      <c r="Y912" s="89" t="s">
        <v>24659</v>
      </c>
      <c r="Z912" s="89" t="s">
        <v>24660</v>
      </c>
      <c r="AA912" s="89" t="s">
        <v>24661</v>
      </c>
      <c r="AB912" s="89" t="s">
        <v>24656</v>
      </c>
      <c r="AC912" s="89" t="s">
        <v>646</v>
      </c>
      <c r="AD912" s="89" t="s">
        <v>646</v>
      </c>
      <c r="AE912" s="89" t="s">
        <v>646</v>
      </c>
      <c r="AF912" s="89" t="s">
        <v>24662</v>
      </c>
      <c r="AG912" s="89" t="s">
        <v>646</v>
      </c>
      <c r="AH912" s="89" t="s">
        <v>646</v>
      </c>
      <c r="AI912" s="89" t="s">
        <v>646</v>
      </c>
      <c r="AJ912" s="89" t="s">
        <v>646</v>
      </c>
      <c r="AK912" s="89" t="s">
        <v>646</v>
      </c>
      <c r="AL912" s="89" t="s">
        <v>24663</v>
      </c>
      <c r="AM912" s="89" t="s">
        <v>646</v>
      </c>
      <c r="AN912" s="89" t="s">
        <v>646</v>
      </c>
      <c r="AO912" s="89" t="s">
        <v>646</v>
      </c>
      <c r="AP912" s="89" t="s">
        <v>646</v>
      </c>
      <c r="AQ912" s="89" t="s">
        <v>646</v>
      </c>
      <c r="AR912" s="89" t="s">
        <v>646</v>
      </c>
      <c r="AS912" s="89" t="s">
        <v>646</v>
      </c>
      <c r="AT912" s="89" t="s">
        <v>646</v>
      </c>
      <c r="AU912" s="89" t="s">
        <v>646</v>
      </c>
      <c r="AV912" s="89" t="s">
        <v>646</v>
      </c>
      <c r="AW912" s="89" t="s">
        <v>646</v>
      </c>
      <c r="AX912" s="89" t="s">
        <v>646</v>
      </c>
      <c r="AY912" s="89" t="s">
        <v>646</v>
      </c>
      <c r="AZ912" s="89" t="s">
        <v>646</v>
      </c>
      <c r="BA912" s="89" t="s">
        <v>24664</v>
      </c>
      <c r="BB912" s="89" t="s">
        <v>646</v>
      </c>
      <c r="BC912" s="89" t="s">
        <v>646</v>
      </c>
      <c r="BD912" s="89" t="s">
        <v>646</v>
      </c>
      <c r="BE912" s="89">
        <v>2011</v>
      </c>
      <c r="BF912" s="89" t="s">
        <v>646</v>
      </c>
      <c r="BG912" s="89" t="s">
        <v>646</v>
      </c>
      <c r="BH912" s="89" t="s">
        <v>646</v>
      </c>
      <c r="BI912" s="89" t="s">
        <v>646</v>
      </c>
      <c r="BJ912" s="89" t="s">
        <v>646</v>
      </c>
      <c r="BK912" s="89" t="s">
        <v>646</v>
      </c>
      <c r="BL912" s="89">
        <v>131</v>
      </c>
      <c r="BM912" s="89">
        <v>139</v>
      </c>
      <c r="BN912" s="89" t="s">
        <v>646</v>
      </c>
      <c r="BO912" s="89" t="s">
        <v>646</v>
      </c>
      <c r="BP912" s="89" t="s">
        <v>646</v>
      </c>
      <c r="BQ912" s="89" t="s">
        <v>646</v>
      </c>
      <c r="BR912" s="89" t="s">
        <v>646</v>
      </c>
      <c r="BS912" s="89" t="s">
        <v>646</v>
      </c>
      <c r="BT912" s="89" t="s">
        <v>646</v>
      </c>
      <c r="BU912" s="89" t="s">
        <v>646</v>
      </c>
      <c r="BV912" s="89" t="s">
        <v>646</v>
      </c>
      <c r="BW912" s="89" t="s">
        <v>646</v>
      </c>
      <c r="BX912" s="89" t="s">
        <v>646</v>
      </c>
      <c r="BY912" s="89" t="s">
        <v>646</v>
      </c>
      <c r="BZ912" s="89" t="s">
        <v>646</v>
      </c>
      <c r="CA912" s="89" t="s">
        <v>646</v>
      </c>
      <c r="CB912" s="89" t="s">
        <v>24665</v>
      </c>
      <c r="CC912" s="89" t="str">
        <f>HYPERLINK("https%3A%2F%2Fwww.webofscience.com%2Fwos%2Fwoscc%2Ffull-record%2FWOS:000291895300026","View Full Record in Web of Science")</f>
        <v>View Full Record in Web of Science</v>
      </c>
    </row>
    <row r="913" spans="1:81" ht="13.2" hidden="1" x14ac:dyDescent="0.25">
      <c r="A913" s="89" t="s">
        <v>10453</v>
      </c>
      <c r="B913" s="89" t="e">
        <f>+#REF!</f>
        <v>#REF!</v>
      </c>
      <c r="C913" s="89"/>
      <c r="D913" s="91" t="s">
        <v>717</v>
      </c>
      <c r="E913" s="90" t="e">
        <v>#REF!</v>
      </c>
      <c r="F913" s="89"/>
      <c r="G913" s="89"/>
      <c r="H913" s="89" t="s">
        <v>10454</v>
      </c>
      <c r="I913" s="89" t="s">
        <v>24666</v>
      </c>
      <c r="J913" s="89" t="s">
        <v>646</v>
      </c>
      <c r="K913" s="89" t="s">
        <v>24667</v>
      </c>
      <c r="M913" s="89">
        <v>2021</v>
      </c>
      <c r="N913" s="89" t="s">
        <v>22759</v>
      </c>
      <c r="O913" s="89" t="s">
        <v>646</v>
      </c>
      <c r="P913" s="89" t="str">
        <f>HYPERLINK("http://dx.doi.org/10.1007/s12671-021-01623-7","http://dx.doi.org/10.1007/s12671-021-01623-7")</f>
        <v>http://dx.doi.org/10.1007/s12671-021-01623-7</v>
      </c>
      <c r="S913" s="89" t="s">
        <v>646</v>
      </c>
      <c r="U913" s="89" t="s">
        <v>17462</v>
      </c>
      <c r="W913" s="89" t="s">
        <v>646</v>
      </c>
      <c r="X913" s="89" t="s">
        <v>646</v>
      </c>
      <c r="Y913" s="89" t="s">
        <v>646</v>
      </c>
      <c r="Z913" s="89" t="s">
        <v>646</v>
      </c>
      <c r="AA913" s="89" t="s">
        <v>646</v>
      </c>
      <c r="AB913" s="89" t="s">
        <v>646</v>
      </c>
      <c r="AC913" s="89" t="s">
        <v>646</v>
      </c>
      <c r="AD913" s="89" t="s">
        <v>646</v>
      </c>
      <c r="AE913" s="89" t="s">
        <v>646</v>
      </c>
      <c r="AF913" s="89" t="s">
        <v>24667</v>
      </c>
      <c r="AG913" s="89" t="s">
        <v>646</v>
      </c>
      <c r="AH913" s="89" t="s">
        <v>646</v>
      </c>
      <c r="AI913" s="89" t="s">
        <v>646</v>
      </c>
      <c r="AJ913" s="89" t="s">
        <v>646</v>
      </c>
      <c r="AK913" s="89" t="s">
        <v>646</v>
      </c>
      <c r="AL913" s="89" t="s">
        <v>646</v>
      </c>
      <c r="AM913" s="89" t="s">
        <v>646</v>
      </c>
      <c r="AN913" s="89" t="s">
        <v>646</v>
      </c>
      <c r="AO913" s="89" t="s">
        <v>646</v>
      </c>
      <c r="AP913" s="89" t="s">
        <v>646</v>
      </c>
      <c r="AQ913" s="89" t="s">
        <v>646</v>
      </c>
      <c r="AR913" s="89" t="s">
        <v>646</v>
      </c>
      <c r="AS913" s="89" t="s">
        <v>646</v>
      </c>
      <c r="AT913" s="89" t="s">
        <v>646</v>
      </c>
      <c r="AU913" s="89" t="s">
        <v>646</v>
      </c>
      <c r="AV913" s="89" t="s">
        <v>646</v>
      </c>
      <c r="AW913" s="89" t="s">
        <v>646</v>
      </c>
      <c r="AX913" s="89" t="s">
        <v>646</v>
      </c>
      <c r="AY913" s="89" t="s">
        <v>22762</v>
      </c>
      <c r="AZ913" s="89" t="s">
        <v>22763</v>
      </c>
      <c r="BA913" s="89" t="s">
        <v>646</v>
      </c>
      <c r="BB913" s="89" t="s">
        <v>646</v>
      </c>
      <c r="BC913" s="89" t="s">
        <v>646</v>
      </c>
      <c r="BD913" s="89" t="s">
        <v>17772</v>
      </c>
      <c r="BE913" s="89">
        <v>2021</v>
      </c>
      <c r="BF913" s="89">
        <v>12</v>
      </c>
      <c r="BG913" s="89">
        <v>6</v>
      </c>
      <c r="BH913" s="89" t="s">
        <v>646</v>
      </c>
      <c r="BI913" s="89" t="s">
        <v>646</v>
      </c>
      <c r="BJ913" s="89" t="s">
        <v>646</v>
      </c>
      <c r="BK913" s="89" t="s">
        <v>646</v>
      </c>
      <c r="BL913" s="89">
        <v>1542</v>
      </c>
      <c r="BM913" s="89">
        <v>1554</v>
      </c>
      <c r="BN913" s="89" t="s">
        <v>646</v>
      </c>
      <c r="BO913" s="89" t="str">
        <f>HYPERLINK("http://dx.doi.org/10.1007/s12671-021-01623-7","http://dx.doi.org/10.1007/s12671-021-01623-7")</f>
        <v>http://dx.doi.org/10.1007/s12671-021-01623-7</v>
      </c>
      <c r="BP913" s="89" t="s">
        <v>646</v>
      </c>
      <c r="BQ913" s="89" t="s">
        <v>20147</v>
      </c>
      <c r="BR913" s="89" t="s">
        <v>646</v>
      </c>
      <c r="BS913" s="89" t="s">
        <v>646</v>
      </c>
      <c r="BT913" s="89" t="s">
        <v>646</v>
      </c>
      <c r="BU913" s="89" t="s">
        <v>646</v>
      </c>
      <c r="BV913" s="89" t="s">
        <v>646</v>
      </c>
      <c r="BW913" s="89" t="s">
        <v>646</v>
      </c>
      <c r="BX913" s="89" t="s">
        <v>646</v>
      </c>
      <c r="BY913" s="89" t="s">
        <v>646</v>
      </c>
      <c r="BZ913" s="89" t="s">
        <v>646</v>
      </c>
      <c r="CA913" s="89" t="s">
        <v>646</v>
      </c>
      <c r="CB913" s="89" t="s">
        <v>24668</v>
      </c>
      <c r="CC913" s="89" t="str">
        <f>HYPERLINK("https%3A%2F%2Fwww.webofscience.com%2Fwos%2Fwoscc%2Ffull-record%2FWOS:000632732600001","View Full Record in Web of Science")</f>
        <v>View Full Record in Web of Science</v>
      </c>
    </row>
    <row r="914" spans="1:81" ht="13.2" hidden="1" x14ac:dyDescent="0.25">
      <c r="A914" s="89" t="s">
        <v>24669</v>
      </c>
      <c r="B914" s="89" t="e">
        <f>+#REF!</f>
        <v>#REF!</v>
      </c>
      <c r="C914" s="89"/>
      <c r="D914" s="91" t="s">
        <v>717</v>
      </c>
      <c r="E914" s="90" t="e">
        <v>#REF!</v>
      </c>
      <c r="F914" s="89"/>
      <c r="G914" s="89"/>
      <c r="H914" s="89" t="s">
        <v>10463</v>
      </c>
      <c r="I914" s="89" t="s">
        <v>24670</v>
      </c>
      <c r="J914" s="89" t="s">
        <v>24672</v>
      </c>
      <c r="K914" s="89" t="s">
        <v>24671</v>
      </c>
      <c r="M914" s="89">
        <v>2021</v>
      </c>
      <c r="N914" s="89" t="s">
        <v>21628</v>
      </c>
      <c r="O914" s="89" t="s">
        <v>646</v>
      </c>
      <c r="P914" s="89" t="str">
        <f>HYPERLINK("http://dx.doi.org/10.3390/jtaer16050085","http://dx.doi.org/10.3390/jtaer16050085")</f>
        <v>http://dx.doi.org/10.3390/jtaer16050085</v>
      </c>
      <c r="S914" s="89" t="s">
        <v>646</v>
      </c>
      <c r="U914" s="89" t="s">
        <v>17462</v>
      </c>
      <c r="W914" s="89" t="s">
        <v>646</v>
      </c>
      <c r="X914" s="89" t="s">
        <v>646</v>
      </c>
      <c r="Y914" s="89" t="s">
        <v>646</v>
      </c>
      <c r="Z914" s="89" t="s">
        <v>646</v>
      </c>
      <c r="AA914" s="89" t="s">
        <v>646</v>
      </c>
      <c r="AB914" s="89" t="s">
        <v>646</v>
      </c>
      <c r="AC914" s="89" t="s">
        <v>646</v>
      </c>
      <c r="AD914" s="89" t="s">
        <v>646</v>
      </c>
      <c r="AE914" s="89" t="s">
        <v>646</v>
      </c>
      <c r="AF914" s="89" t="s">
        <v>24671</v>
      </c>
      <c r="AG914" s="89" t="s">
        <v>646</v>
      </c>
      <c r="AH914" s="89" t="s">
        <v>646</v>
      </c>
      <c r="AI914" s="89" t="s">
        <v>646</v>
      </c>
      <c r="AJ914" s="89" t="s">
        <v>646</v>
      </c>
      <c r="AK914" s="89" t="s">
        <v>24672</v>
      </c>
      <c r="AL914" s="89" t="s">
        <v>24673</v>
      </c>
      <c r="AM914" s="89" t="s">
        <v>646</v>
      </c>
      <c r="AN914" s="89" t="s">
        <v>646</v>
      </c>
      <c r="AO914" s="89" t="s">
        <v>646</v>
      </c>
      <c r="AP914" s="89" t="s">
        <v>646</v>
      </c>
      <c r="AQ914" s="89" t="s">
        <v>646</v>
      </c>
      <c r="AR914" s="89" t="s">
        <v>646</v>
      </c>
      <c r="AS914" s="89" t="s">
        <v>646</v>
      </c>
      <c r="AT914" s="89" t="s">
        <v>646</v>
      </c>
      <c r="AU914" s="89" t="s">
        <v>646</v>
      </c>
      <c r="AV914" s="89" t="s">
        <v>646</v>
      </c>
      <c r="AW914" s="89" t="s">
        <v>646</v>
      </c>
      <c r="AX914" s="89" t="s">
        <v>646</v>
      </c>
      <c r="AY914" s="89" t="s">
        <v>21631</v>
      </c>
      <c r="AZ914" s="89" t="s">
        <v>646</v>
      </c>
      <c r="BA914" s="89" t="s">
        <v>646</v>
      </c>
      <c r="BB914" s="89" t="s">
        <v>646</v>
      </c>
      <c r="BC914" s="89" t="s">
        <v>646</v>
      </c>
      <c r="BD914" s="89" t="s">
        <v>18655</v>
      </c>
      <c r="BE914" s="89">
        <v>2021</v>
      </c>
      <c r="BF914" s="89">
        <v>16</v>
      </c>
      <c r="BG914" s="89">
        <v>5</v>
      </c>
      <c r="BH914" s="89" t="s">
        <v>646</v>
      </c>
      <c r="BI914" s="89" t="s">
        <v>646</v>
      </c>
      <c r="BJ914" s="89" t="s">
        <v>646</v>
      </c>
      <c r="BK914" s="89" t="s">
        <v>646</v>
      </c>
      <c r="BL914" s="89">
        <v>1517</v>
      </c>
      <c r="BM914" s="89">
        <v>1536</v>
      </c>
      <c r="BN914" s="89" t="s">
        <v>646</v>
      </c>
      <c r="BO914" s="89" t="str">
        <f>HYPERLINK("http://dx.doi.org/10.3390/jtaer16050085","http://dx.doi.org/10.3390/jtaer16050085")</f>
        <v>http://dx.doi.org/10.3390/jtaer16050085</v>
      </c>
      <c r="BP914" s="89" t="s">
        <v>646</v>
      </c>
      <c r="BQ914" s="89" t="s">
        <v>646</v>
      </c>
      <c r="BR914" s="89" t="s">
        <v>646</v>
      </c>
      <c r="BS914" s="89" t="s">
        <v>646</v>
      </c>
      <c r="BT914" s="89" t="s">
        <v>646</v>
      </c>
      <c r="BU914" s="89" t="s">
        <v>646</v>
      </c>
      <c r="BV914" s="89" t="s">
        <v>646</v>
      </c>
      <c r="BW914" s="89" t="s">
        <v>646</v>
      </c>
      <c r="BX914" s="89" t="s">
        <v>646</v>
      </c>
      <c r="BY914" s="89" t="s">
        <v>646</v>
      </c>
      <c r="BZ914" s="89" t="s">
        <v>646</v>
      </c>
      <c r="CA914" s="89" t="s">
        <v>646</v>
      </c>
      <c r="CB914" s="89" t="s">
        <v>24674</v>
      </c>
      <c r="CC914" s="89" t="str">
        <f>HYPERLINK("https%3A%2F%2Fwww.webofscience.com%2Fwos%2Fwoscc%2Ffull-record%2FWOS:000665268700001","View Full Record in Web of Science")</f>
        <v>View Full Record in Web of Science</v>
      </c>
    </row>
    <row r="915" spans="1:81" ht="13.2" hidden="1" x14ac:dyDescent="0.25">
      <c r="A915" s="89" t="s">
        <v>24675</v>
      </c>
      <c r="B915" s="89" t="e">
        <f>+#REF!</f>
        <v>#REF!</v>
      </c>
      <c r="C915" s="89"/>
      <c r="D915" s="91" t="s">
        <v>717</v>
      </c>
      <c r="E915" s="90" t="e">
        <v>#REF!</v>
      </c>
      <c r="F915" s="89"/>
      <c r="G915" s="89"/>
      <c r="H915" s="89" t="s">
        <v>10472</v>
      </c>
      <c r="I915" s="89" t="s">
        <v>24676</v>
      </c>
      <c r="J915" s="89" t="s">
        <v>646</v>
      </c>
      <c r="K915" s="89" t="s">
        <v>24677</v>
      </c>
      <c r="M915" s="89">
        <v>2021</v>
      </c>
      <c r="N915" s="89" t="s">
        <v>18180</v>
      </c>
      <c r="O915" s="89" t="s">
        <v>646</v>
      </c>
      <c r="P915" s="89" t="str">
        <f>HYPERLINK("http://dx.doi.org/10.1177/00018392211010118","http://dx.doi.org/10.1177/00018392211010118")</f>
        <v>http://dx.doi.org/10.1177/00018392211010118</v>
      </c>
      <c r="S915" s="89" t="s">
        <v>646</v>
      </c>
      <c r="U915" s="89" t="s">
        <v>17462</v>
      </c>
      <c r="W915" s="89" t="s">
        <v>646</v>
      </c>
      <c r="X915" s="89" t="s">
        <v>646</v>
      </c>
      <c r="Y915" s="89" t="s">
        <v>646</v>
      </c>
      <c r="Z915" s="89" t="s">
        <v>646</v>
      </c>
      <c r="AA915" s="89" t="s">
        <v>646</v>
      </c>
      <c r="AB915" s="89" t="s">
        <v>646</v>
      </c>
      <c r="AC915" s="89" t="s">
        <v>646</v>
      </c>
      <c r="AD915" s="89" t="s">
        <v>646</v>
      </c>
      <c r="AE915" s="89" t="s">
        <v>646</v>
      </c>
      <c r="AF915" s="89" t="s">
        <v>24677</v>
      </c>
      <c r="AG915" s="89" t="s">
        <v>646</v>
      </c>
      <c r="AH915" s="89" t="s">
        <v>646</v>
      </c>
      <c r="AI915" s="89" t="s">
        <v>646</v>
      </c>
      <c r="AJ915" s="89" t="s">
        <v>646</v>
      </c>
      <c r="AK915" s="89" t="s">
        <v>646</v>
      </c>
      <c r="AL915" s="89" t="s">
        <v>646</v>
      </c>
      <c r="AM915" s="89" t="s">
        <v>646</v>
      </c>
      <c r="AN915" s="89" t="s">
        <v>646</v>
      </c>
      <c r="AO915" s="89" t="s">
        <v>646</v>
      </c>
      <c r="AP915" s="89" t="s">
        <v>646</v>
      </c>
      <c r="AQ915" s="89" t="s">
        <v>646</v>
      </c>
      <c r="AR915" s="89" t="s">
        <v>646</v>
      </c>
      <c r="AS915" s="89" t="s">
        <v>646</v>
      </c>
      <c r="AT915" s="89" t="s">
        <v>646</v>
      </c>
      <c r="AU915" s="89" t="s">
        <v>646</v>
      </c>
      <c r="AV915" s="89" t="s">
        <v>646</v>
      </c>
      <c r="AW915" s="89" t="s">
        <v>646</v>
      </c>
      <c r="AX915" s="89" t="s">
        <v>646</v>
      </c>
      <c r="AY915" s="89" t="s">
        <v>18182</v>
      </c>
      <c r="AZ915" s="89" t="s">
        <v>24678</v>
      </c>
      <c r="BA915" s="89" t="s">
        <v>646</v>
      </c>
      <c r="BB915" s="89" t="s">
        <v>646</v>
      </c>
      <c r="BC915" s="89" t="s">
        <v>646</v>
      </c>
      <c r="BD915" s="89" t="s">
        <v>17615</v>
      </c>
      <c r="BE915" s="89">
        <v>2021</v>
      </c>
      <c r="BF915" s="89">
        <v>66</v>
      </c>
      <c r="BG915" s="89">
        <v>4</v>
      </c>
      <c r="BH915" s="89" t="s">
        <v>646</v>
      </c>
      <c r="BI915" s="89" t="s">
        <v>646</v>
      </c>
      <c r="BJ915" s="89" t="s">
        <v>646</v>
      </c>
      <c r="BK915" s="89" t="s">
        <v>646</v>
      </c>
      <c r="BL915" s="89">
        <v>945</v>
      </c>
      <c r="BM915" s="89">
        <v>988</v>
      </c>
      <c r="BN915" s="89">
        <v>18392211010118</v>
      </c>
      <c r="BO915" s="89" t="str">
        <f>HYPERLINK("http://dx.doi.org/10.1177/00018392211010118","http://dx.doi.org/10.1177/00018392211010118")</f>
        <v>http://dx.doi.org/10.1177/00018392211010118</v>
      </c>
      <c r="BP915" s="89" t="s">
        <v>646</v>
      </c>
      <c r="BQ915" s="89" t="s">
        <v>19283</v>
      </c>
      <c r="BR915" s="89" t="s">
        <v>646</v>
      </c>
      <c r="BS915" s="89" t="s">
        <v>646</v>
      </c>
      <c r="BT915" s="89" t="s">
        <v>646</v>
      </c>
      <c r="BU915" s="89" t="s">
        <v>646</v>
      </c>
      <c r="BV915" s="89" t="s">
        <v>646</v>
      </c>
      <c r="BW915" s="89" t="s">
        <v>646</v>
      </c>
      <c r="BX915" s="89" t="s">
        <v>646</v>
      </c>
      <c r="BY915" s="89" t="s">
        <v>646</v>
      </c>
      <c r="BZ915" s="89" t="s">
        <v>646</v>
      </c>
      <c r="CA915" s="89" t="s">
        <v>646</v>
      </c>
      <c r="CB915" s="89" t="s">
        <v>24679</v>
      </c>
      <c r="CC915" s="89" t="str">
        <f>HYPERLINK("https%3A%2F%2Fwww.webofscience.com%2Fwos%2Fwoscc%2Ffull-record%2FWOS:000644042000001","View Full Record in Web of Science")</f>
        <v>View Full Record in Web of Science</v>
      </c>
    </row>
    <row r="916" spans="1:81" ht="13.2" hidden="1" x14ac:dyDescent="0.25">
      <c r="A916" s="89" t="s">
        <v>10481</v>
      </c>
      <c r="B916" s="89" t="e">
        <f>+#REF!</f>
        <v>#REF!</v>
      </c>
      <c r="C916" s="89"/>
      <c r="D916" s="91" t="s">
        <v>717</v>
      </c>
      <c r="E916" s="90" t="e">
        <v>#REF!</v>
      </c>
      <c r="F916" s="89"/>
      <c r="G916" s="89"/>
      <c r="H916" s="89" t="s">
        <v>10482</v>
      </c>
      <c r="I916" s="89" t="s">
        <v>24680</v>
      </c>
      <c r="J916" s="89" t="s">
        <v>646</v>
      </c>
      <c r="K916" s="89" t="s">
        <v>24682</v>
      </c>
      <c r="M916" s="89">
        <v>2022</v>
      </c>
      <c r="N916" s="89" t="s">
        <v>24681</v>
      </c>
      <c r="O916" s="89" t="s">
        <v>646</v>
      </c>
      <c r="P916" s="89" t="str">
        <f>HYPERLINK("http://dx.doi.org/10.1111/1467-8462.12454","http://dx.doi.org/10.1111/1467-8462.12454")</f>
        <v>http://dx.doi.org/10.1111/1467-8462.12454</v>
      </c>
      <c r="S916" s="89" t="s">
        <v>646</v>
      </c>
      <c r="U916" s="89" t="s">
        <v>17462</v>
      </c>
      <c r="W916" s="89" t="s">
        <v>646</v>
      </c>
      <c r="X916" s="89" t="s">
        <v>646</v>
      </c>
      <c r="Y916" s="89" t="s">
        <v>646</v>
      </c>
      <c r="Z916" s="89" t="s">
        <v>646</v>
      </c>
      <c r="AA916" s="89" t="s">
        <v>646</v>
      </c>
      <c r="AB916" s="89" t="s">
        <v>646</v>
      </c>
      <c r="AC916" s="89" t="s">
        <v>646</v>
      </c>
      <c r="AD916" s="89" t="s">
        <v>646</v>
      </c>
      <c r="AE916" s="89" t="s">
        <v>646</v>
      </c>
      <c r="AF916" s="89" t="s">
        <v>24682</v>
      </c>
      <c r="AG916" s="89" t="s">
        <v>646</v>
      </c>
      <c r="AH916" s="89" t="s">
        <v>646</v>
      </c>
      <c r="AI916" s="89" t="s">
        <v>646</v>
      </c>
      <c r="AJ916" s="89" t="s">
        <v>646</v>
      </c>
      <c r="AK916" s="89" t="s">
        <v>646</v>
      </c>
      <c r="AL916" s="89" t="s">
        <v>646</v>
      </c>
      <c r="AM916" s="89" t="s">
        <v>646</v>
      </c>
      <c r="AN916" s="89" t="s">
        <v>646</v>
      </c>
      <c r="AO916" s="89" t="s">
        <v>646</v>
      </c>
      <c r="AP916" s="89" t="s">
        <v>646</v>
      </c>
      <c r="AQ916" s="89" t="s">
        <v>646</v>
      </c>
      <c r="AR916" s="89" t="s">
        <v>646</v>
      </c>
      <c r="AS916" s="89" t="s">
        <v>646</v>
      </c>
      <c r="AT916" s="89" t="s">
        <v>646</v>
      </c>
      <c r="AU916" s="89" t="s">
        <v>646</v>
      </c>
      <c r="AV916" s="89" t="s">
        <v>646</v>
      </c>
      <c r="AW916" s="89" t="s">
        <v>646</v>
      </c>
      <c r="AX916" s="89" t="s">
        <v>646</v>
      </c>
      <c r="AY916" s="89" t="s">
        <v>24683</v>
      </c>
      <c r="AZ916" s="89" t="s">
        <v>24684</v>
      </c>
      <c r="BA916" s="89" t="s">
        <v>646</v>
      </c>
      <c r="BB916" s="89" t="s">
        <v>646</v>
      </c>
      <c r="BC916" s="89" t="s">
        <v>646</v>
      </c>
      <c r="BD916" s="89" t="s">
        <v>17772</v>
      </c>
      <c r="BE916" s="89">
        <v>2022</v>
      </c>
      <c r="BF916" s="89">
        <v>55</v>
      </c>
      <c r="BG916" s="89">
        <v>2</v>
      </c>
      <c r="BH916" s="89" t="s">
        <v>646</v>
      </c>
      <c r="BI916" s="89" t="s">
        <v>646</v>
      </c>
      <c r="BJ916" s="89" t="s">
        <v>646</v>
      </c>
      <c r="BK916" s="89" t="s">
        <v>646</v>
      </c>
      <c r="BL916" s="89">
        <v>177</v>
      </c>
      <c r="BM916" s="89">
        <v>194</v>
      </c>
      <c r="BN916" s="89" t="s">
        <v>646</v>
      </c>
      <c r="BO916" s="89" t="str">
        <f>HYPERLINK("http://dx.doi.org/10.1111/1467-8462.12454","http://dx.doi.org/10.1111/1467-8462.12454")</f>
        <v>http://dx.doi.org/10.1111/1467-8462.12454</v>
      </c>
      <c r="BP916" s="89" t="s">
        <v>646</v>
      </c>
      <c r="BQ916" s="89" t="s">
        <v>20029</v>
      </c>
      <c r="BR916" s="89" t="s">
        <v>646</v>
      </c>
      <c r="BS916" s="89" t="s">
        <v>646</v>
      </c>
      <c r="BT916" s="89" t="s">
        <v>646</v>
      </c>
      <c r="BU916" s="89" t="s">
        <v>646</v>
      </c>
      <c r="BV916" s="89" t="s">
        <v>646</v>
      </c>
      <c r="BW916" s="89" t="s">
        <v>646</v>
      </c>
      <c r="BX916" s="89" t="s">
        <v>646</v>
      </c>
      <c r="BY916" s="89" t="s">
        <v>646</v>
      </c>
      <c r="BZ916" s="89" t="s">
        <v>646</v>
      </c>
      <c r="CA916" s="89" t="s">
        <v>646</v>
      </c>
      <c r="CB916" s="89" t="s">
        <v>24685</v>
      </c>
      <c r="CC916" s="89" t="str">
        <f>HYPERLINK("https%3A%2F%2Fwww.webofscience.com%2Fwos%2Fwoscc%2Ffull-record%2FWOS:000751888800001","View Full Record in Web of Science")</f>
        <v>View Full Record in Web of Science</v>
      </c>
    </row>
    <row r="917" spans="1:81" ht="13.2" hidden="1" x14ac:dyDescent="0.25">
      <c r="A917" s="89" t="s">
        <v>24686</v>
      </c>
      <c r="B917" s="89" t="e">
        <f>+#REF!</f>
        <v>#REF!</v>
      </c>
      <c r="C917" s="89"/>
      <c r="D917" s="91" t="s">
        <v>717</v>
      </c>
      <c r="E917" s="90" t="e">
        <v>#REF!</v>
      </c>
      <c r="F917" s="89"/>
      <c r="G917" s="89"/>
      <c r="H917" s="89" t="s">
        <v>10491</v>
      </c>
      <c r="I917" s="89" t="s">
        <v>24687</v>
      </c>
      <c r="J917" s="89" t="s">
        <v>646</v>
      </c>
      <c r="K917" s="89" t="s">
        <v>24689</v>
      </c>
      <c r="M917" s="89">
        <v>2020</v>
      </c>
      <c r="N917" s="89" t="s">
        <v>24688</v>
      </c>
      <c r="O917" s="89" t="s">
        <v>646</v>
      </c>
      <c r="P917" s="89" t="str">
        <f>HYPERLINK("http://dx.doi.org/10.1037/mot0000163","http://dx.doi.org/10.1037/mot0000163")</f>
        <v>http://dx.doi.org/10.1037/mot0000163</v>
      </c>
      <c r="S917" s="89" t="s">
        <v>646</v>
      </c>
      <c r="U917" s="89" t="s">
        <v>17462</v>
      </c>
      <c r="W917" s="89" t="s">
        <v>646</v>
      </c>
      <c r="X917" s="89" t="s">
        <v>646</v>
      </c>
      <c r="Y917" s="89" t="s">
        <v>646</v>
      </c>
      <c r="Z917" s="89" t="s">
        <v>646</v>
      </c>
      <c r="AA917" s="89" t="s">
        <v>646</v>
      </c>
      <c r="AB917" s="89" t="s">
        <v>646</v>
      </c>
      <c r="AC917" s="89" t="s">
        <v>646</v>
      </c>
      <c r="AD917" s="89" t="s">
        <v>646</v>
      </c>
      <c r="AE917" s="89" t="s">
        <v>646</v>
      </c>
      <c r="AF917" s="89" t="s">
        <v>24689</v>
      </c>
      <c r="AG917" s="89" t="s">
        <v>646</v>
      </c>
      <c r="AH917" s="89" t="s">
        <v>646</v>
      </c>
      <c r="AI917" s="89" t="s">
        <v>646</v>
      </c>
      <c r="AJ917" s="89" t="s">
        <v>646</v>
      </c>
      <c r="AK917" s="89" t="s">
        <v>646</v>
      </c>
      <c r="AL917" s="89" t="s">
        <v>646</v>
      </c>
      <c r="AM917" s="89" t="s">
        <v>646</v>
      </c>
      <c r="AN917" s="89" t="s">
        <v>646</v>
      </c>
      <c r="AO917" s="89" t="s">
        <v>646</v>
      </c>
      <c r="AP917" s="89" t="s">
        <v>646</v>
      </c>
      <c r="AQ917" s="89" t="s">
        <v>646</v>
      </c>
      <c r="AR917" s="89" t="s">
        <v>646</v>
      </c>
      <c r="AS917" s="89" t="s">
        <v>646</v>
      </c>
      <c r="AT917" s="89" t="s">
        <v>646</v>
      </c>
      <c r="AU917" s="89" t="s">
        <v>646</v>
      </c>
      <c r="AV917" s="89" t="s">
        <v>646</v>
      </c>
      <c r="AW917" s="89" t="s">
        <v>646</v>
      </c>
      <c r="AX917" s="89" t="s">
        <v>646</v>
      </c>
      <c r="AY917" s="89" t="s">
        <v>24690</v>
      </c>
      <c r="AZ917" s="89" t="s">
        <v>24691</v>
      </c>
      <c r="BA917" s="89" t="s">
        <v>646</v>
      </c>
      <c r="BB917" s="89" t="s">
        <v>646</v>
      </c>
      <c r="BC917" s="89" t="s">
        <v>646</v>
      </c>
      <c r="BD917" s="89" t="s">
        <v>17615</v>
      </c>
      <c r="BE917" s="89">
        <v>2020</v>
      </c>
      <c r="BF917" s="89">
        <v>6</v>
      </c>
      <c r="BG917" s="89">
        <v>4</v>
      </c>
      <c r="BH917" s="89" t="s">
        <v>646</v>
      </c>
      <c r="BI917" s="89" t="s">
        <v>646</v>
      </c>
      <c r="BJ917" s="89" t="s">
        <v>646</v>
      </c>
      <c r="BK917" s="89" t="s">
        <v>646</v>
      </c>
      <c r="BL917" s="89">
        <v>346</v>
      </c>
      <c r="BM917" s="89">
        <v>358</v>
      </c>
      <c r="BN917" s="89" t="s">
        <v>646</v>
      </c>
      <c r="BO917" s="89" t="str">
        <f>HYPERLINK("http://dx.doi.org/10.1037/mot0000163","http://dx.doi.org/10.1037/mot0000163")</f>
        <v>http://dx.doi.org/10.1037/mot0000163</v>
      </c>
      <c r="BP917" s="89" t="s">
        <v>646</v>
      </c>
      <c r="BQ917" s="89" t="s">
        <v>646</v>
      </c>
      <c r="BR917" s="89" t="s">
        <v>646</v>
      </c>
      <c r="BS917" s="89" t="s">
        <v>646</v>
      </c>
      <c r="BT917" s="89" t="s">
        <v>646</v>
      </c>
      <c r="BU917" s="89" t="s">
        <v>646</v>
      </c>
      <c r="BV917" s="89" t="s">
        <v>646</v>
      </c>
      <c r="BW917" s="89" t="s">
        <v>646</v>
      </c>
      <c r="BX917" s="89" t="s">
        <v>646</v>
      </c>
      <c r="BY917" s="89" t="s">
        <v>646</v>
      </c>
      <c r="BZ917" s="89" t="s">
        <v>646</v>
      </c>
      <c r="CA917" s="89" t="s">
        <v>646</v>
      </c>
      <c r="CB917" s="89" t="s">
        <v>24692</v>
      </c>
      <c r="CC917" s="89" t="str">
        <f>HYPERLINK("https%3A%2F%2Fwww.webofscience.com%2Fwos%2Fwoscc%2Ffull-record%2FWOS:000613790100004","View Full Record in Web of Science")</f>
        <v>View Full Record in Web of Science</v>
      </c>
    </row>
    <row r="918" spans="1:81" ht="13.2" hidden="1" x14ac:dyDescent="0.25">
      <c r="A918" s="89" t="s">
        <v>10500</v>
      </c>
      <c r="B918" s="89" t="e">
        <f>+#REF!</f>
        <v>#REF!</v>
      </c>
      <c r="C918" s="89"/>
      <c r="D918" s="91" t="s">
        <v>717</v>
      </c>
      <c r="E918" s="90" t="e">
        <v>#REF!</v>
      </c>
      <c r="F918" s="89"/>
      <c r="G918" s="89"/>
      <c r="H918" s="89" t="s">
        <v>10501</v>
      </c>
      <c r="I918" s="89" t="s">
        <v>24693</v>
      </c>
      <c r="J918" s="89" t="s">
        <v>24696</v>
      </c>
      <c r="K918" s="89" t="s">
        <v>24695</v>
      </c>
      <c r="M918" s="89">
        <v>2021</v>
      </c>
      <c r="N918" s="89" t="s">
        <v>24694</v>
      </c>
      <c r="O918" s="89" t="s">
        <v>646</v>
      </c>
      <c r="P918" s="89" t="str">
        <f>HYPERLINK("http://dx.doi.org/10.1080/15377857.2018.1457591","http://dx.doi.org/10.1080/15377857.2018.1457591")</f>
        <v>http://dx.doi.org/10.1080/15377857.2018.1457591</v>
      </c>
      <c r="S918" s="89" t="s">
        <v>646</v>
      </c>
      <c r="U918" s="89" t="s">
        <v>17462</v>
      </c>
      <c r="W918" s="89" t="s">
        <v>646</v>
      </c>
      <c r="X918" s="89" t="s">
        <v>646</v>
      </c>
      <c r="Y918" s="89" t="s">
        <v>646</v>
      </c>
      <c r="Z918" s="89" t="s">
        <v>646</v>
      </c>
      <c r="AA918" s="89" t="s">
        <v>646</v>
      </c>
      <c r="AB918" s="89" t="s">
        <v>646</v>
      </c>
      <c r="AC918" s="89" t="s">
        <v>646</v>
      </c>
      <c r="AD918" s="89" t="s">
        <v>646</v>
      </c>
      <c r="AE918" s="89" t="s">
        <v>646</v>
      </c>
      <c r="AF918" s="89" t="s">
        <v>24695</v>
      </c>
      <c r="AG918" s="89" t="s">
        <v>646</v>
      </c>
      <c r="AH918" s="89" t="s">
        <v>646</v>
      </c>
      <c r="AI918" s="89" t="s">
        <v>646</v>
      </c>
      <c r="AJ918" s="89" t="s">
        <v>646</v>
      </c>
      <c r="AK918" s="89" t="s">
        <v>24696</v>
      </c>
      <c r="AL918" s="89" t="s">
        <v>646</v>
      </c>
      <c r="AM918" s="89" t="s">
        <v>646</v>
      </c>
      <c r="AN918" s="89" t="s">
        <v>646</v>
      </c>
      <c r="AO918" s="89" t="s">
        <v>646</v>
      </c>
      <c r="AP918" s="89" t="s">
        <v>646</v>
      </c>
      <c r="AQ918" s="89" t="s">
        <v>646</v>
      </c>
      <c r="AR918" s="89" t="s">
        <v>646</v>
      </c>
      <c r="AS918" s="89" t="s">
        <v>646</v>
      </c>
      <c r="AT918" s="89" t="s">
        <v>646</v>
      </c>
      <c r="AU918" s="89" t="s">
        <v>646</v>
      </c>
      <c r="AV918" s="89" t="s">
        <v>646</v>
      </c>
      <c r="AW918" s="89" t="s">
        <v>646</v>
      </c>
      <c r="AX918" s="89" t="s">
        <v>646</v>
      </c>
      <c r="AY918" s="89" t="s">
        <v>24697</v>
      </c>
      <c r="AZ918" s="89" t="s">
        <v>24698</v>
      </c>
      <c r="BA918" s="89" t="s">
        <v>646</v>
      </c>
      <c r="BB918" s="89" t="s">
        <v>646</v>
      </c>
      <c r="BC918" s="89" t="s">
        <v>646</v>
      </c>
      <c r="BD918" s="89" t="s">
        <v>24699</v>
      </c>
      <c r="BE918" s="89">
        <v>2021</v>
      </c>
      <c r="BF918" s="89">
        <v>20</v>
      </c>
      <c r="BG918" s="89">
        <v>2</v>
      </c>
      <c r="BH918" s="89" t="s">
        <v>646</v>
      </c>
      <c r="BI918" s="89" t="s">
        <v>646</v>
      </c>
      <c r="BJ918" s="89" t="s">
        <v>646</v>
      </c>
      <c r="BK918" s="89" t="s">
        <v>646</v>
      </c>
      <c r="BL918" s="89">
        <v>93</v>
      </c>
      <c r="BM918" s="89">
        <v>120</v>
      </c>
      <c r="BN918" s="89" t="s">
        <v>646</v>
      </c>
      <c r="BO918" s="89" t="str">
        <f>HYPERLINK("http://dx.doi.org/10.1080/15377857.2018.1457591","http://dx.doi.org/10.1080/15377857.2018.1457591")</f>
        <v>http://dx.doi.org/10.1080/15377857.2018.1457591</v>
      </c>
      <c r="BP918" s="89" t="s">
        <v>646</v>
      </c>
      <c r="BQ918" s="89" t="s">
        <v>646</v>
      </c>
      <c r="BR918" s="89" t="s">
        <v>646</v>
      </c>
      <c r="BS918" s="89" t="s">
        <v>646</v>
      </c>
      <c r="BT918" s="89" t="s">
        <v>646</v>
      </c>
      <c r="BU918" s="89" t="s">
        <v>646</v>
      </c>
      <c r="BV918" s="89" t="s">
        <v>646</v>
      </c>
      <c r="BW918" s="89" t="s">
        <v>646</v>
      </c>
      <c r="BX918" s="89" t="s">
        <v>646</v>
      </c>
      <c r="BY918" s="89" t="s">
        <v>646</v>
      </c>
      <c r="BZ918" s="89" t="s">
        <v>646</v>
      </c>
      <c r="CA918" s="89" t="s">
        <v>646</v>
      </c>
      <c r="CB918" s="89" t="s">
        <v>24700</v>
      </c>
      <c r="CC918" s="89" t="str">
        <f>HYPERLINK("https%3A%2F%2Fwww.webofscience.com%2Fwos%2Fwoscc%2Ffull-record%2FWOS:000647663900002","View Full Record in Web of Science")</f>
        <v>View Full Record in Web of Science</v>
      </c>
    </row>
    <row r="919" spans="1:81" ht="13.2" hidden="1" x14ac:dyDescent="0.25">
      <c r="A919" s="89" t="s">
        <v>15604</v>
      </c>
      <c r="B919" s="89" t="e">
        <f>+#REF!</f>
        <v>#REF!</v>
      </c>
      <c r="C919" s="89"/>
      <c r="D919" s="91" t="s">
        <v>717</v>
      </c>
      <c r="E919" s="90" t="e">
        <v>#REF!</v>
      </c>
      <c r="F919" s="89"/>
      <c r="G919" s="89"/>
      <c r="H919" s="89" t="s">
        <v>15605</v>
      </c>
      <c r="I919" s="89" t="s">
        <v>24701</v>
      </c>
      <c r="J919" s="89" t="s">
        <v>646</v>
      </c>
      <c r="K919" s="89" t="s">
        <v>24703</v>
      </c>
      <c r="M919" s="89">
        <v>2019</v>
      </c>
      <c r="N919" s="89" t="s">
        <v>24702</v>
      </c>
      <c r="O919" s="89" t="s">
        <v>646</v>
      </c>
      <c r="P919" s="89" t="str">
        <f>HYPERLINK("http://dx.doi.org/10.1177/1440783319879244","http://dx.doi.org/10.1177/1440783319879244")</f>
        <v>http://dx.doi.org/10.1177/1440783319879244</v>
      </c>
      <c r="S919" s="89" t="s">
        <v>646</v>
      </c>
      <c r="U919" s="89" t="s">
        <v>17462</v>
      </c>
      <c r="W919" s="89" t="s">
        <v>646</v>
      </c>
      <c r="X919" s="89" t="s">
        <v>646</v>
      </c>
      <c r="Y919" s="89" t="s">
        <v>646</v>
      </c>
      <c r="Z919" s="89" t="s">
        <v>646</v>
      </c>
      <c r="AA919" s="89" t="s">
        <v>646</v>
      </c>
      <c r="AB919" s="89" t="s">
        <v>646</v>
      </c>
      <c r="AC919" s="89" t="s">
        <v>646</v>
      </c>
      <c r="AD919" s="89" t="s">
        <v>646</v>
      </c>
      <c r="AE919" s="89" t="s">
        <v>646</v>
      </c>
      <c r="AF919" s="89" t="s">
        <v>24703</v>
      </c>
      <c r="AG919" s="89" t="s">
        <v>646</v>
      </c>
      <c r="AH919" s="89" t="s">
        <v>646</v>
      </c>
      <c r="AI919" s="89" t="s">
        <v>646</v>
      </c>
      <c r="AJ919" s="89" t="s">
        <v>646</v>
      </c>
      <c r="AK919" s="89" t="s">
        <v>646</v>
      </c>
      <c r="AL919" s="89" t="s">
        <v>24704</v>
      </c>
      <c r="AM919" s="89" t="s">
        <v>646</v>
      </c>
      <c r="AN919" s="89" t="s">
        <v>646</v>
      </c>
      <c r="AO919" s="89" t="s">
        <v>646</v>
      </c>
      <c r="AP919" s="89" t="s">
        <v>646</v>
      </c>
      <c r="AQ919" s="89" t="s">
        <v>646</v>
      </c>
      <c r="AR919" s="89" t="s">
        <v>646</v>
      </c>
      <c r="AS919" s="89" t="s">
        <v>646</v>
      </c>
      <c r="AT919" s="89" t="s">
        <v>646</v>
      </c>
      <c r="AU919" s="89" t="s">
        <v>646</v>
      </c>
      <c r="AV919" s="89" t="s">
        <v>646</v>
      </c>
      <c r="AW919" s="89" t="s">
        <v>646</v>
      </c>
      <c r="AX919" s="89" t="s">
        <v>646</v>
      </c>
      <c r="AY919" s="89" t="s">
        <v>24705</v>
      </c>
      <c r="AZ919" s="89" t="s">
        <v>24706</v>
      </c>
      <c r="BA919" s="89" t="s">
        <v>646</v>
      </c>
      <c r="BB919" s="89" t="s">
        <v>646</v>
      </c>
      <c r="BC919" s="89" t="s">
        <v>646</v>
      </c>
      <c r="BD919" s="89" t="s">
        <v>17615</v>
      </c>
      <c r="BE919" s="89">
        <v>2019</v>
      </c>
      <c r="BF919" s="89">
        <v>55</v>
      </c>
      <c r="BG919" s="89">
        <v>4</v>
      </c>
      <c r="BH919" s="89" t="s">
        <v>646</v>
      </c>
      <c r="BI919" s="89" t="s">
        <v>646</v>
      </c>
      <c r="BJ919" s="89" t="s">
        <v>17555</v>
      </c>
      <c r="BK919" s="89" t="s">
        <v>646</v>
      </c>
      <c r="BL919" s="89">
        <v>762</v>
      </c>
      <c r="BM919" s="89">
        <v>777</v>
      </c>
      <c r="BN919" s="89">
        <v>1440783319879244</v>
      </c>
      <c r="BO919" s="89" t="str">
        <f>HYPERLINK("http://dx.doi.org/10.1177/1440783319879244","http://dx.doi.org/10.1177/1440783319879244")</f>
        <v>http://dx.doi.org/10.1177/1440783319879244</v>
      </c>
      <c r="BP919" s="89" t="s">
        <v>646</v>
      </c>
      <c r="BQ919" s="89" t="s">
        <v>24707</v>
      </c>
      <c r="BR919" s="89" t="s">
        <v>646</v>
      </c>
      <c r="BS919" s="89" t="s">
        <v>646</v>
      </c>
      <c r="BT919" s="89" t="s">
        <v>646</v>
      </c>
      <c r="BU919" s="89" t="s">
        <v>646</v>
      </c>
      <c r="BV919" s="89" t="s">
        <v>646</v>
      </c>
      <c r="BW919" s="89" t="s">
        <v>646</v>
      </c>
      <c r="BX919" s="89" t="s">
        <v>646</v>
      </c>
      <c r="BY919" s="89" t="s">
        <v>646</v>
      </c>
      <c r="BZ919" s="89" t="s">
        <v>646</v>
      </c>
      <c r="CA919" s="89" t="s">
        <v>646</v>
      </c>
      <c r="CB919" s="89" t="s">
        <v>24708</v>
      </c>
      <c r="CC919" s="89" t="str">
        <f>HYPERLINK("https%3A%2F%2Fwww.webofscience.com%2Fwos%2Fwoscc%2Ffull-record%2FWOS:000491526800001","View Full Record in Web of Science")</f>
        <v>View Full Record in Web of Science</v>
      </c>
    </row>
    <row r="920" spans="1:81" ht="13.2" hidden="1" x14ac:dyDescent="0.25">
      <c r="A920" s="89" t="s">
        <v>10510</v>
      </c>
      <c r="B920" s="89" t="e">
        <f>+#REF!</f>
        <v>#REF!</v>
      </c>
      <c r="C920" s="89"/>
      <c r="D920" s="91" t="s">
        <v>717</v>
      </c>
      <c r="E920" s="90" t="e">
        <v>#REF!</v>
      </c>
      <c r="F920" s="89"/>
      <c r="G920" s="89"/>
      <c r="H920" s="89" t="s">
        <v>646</v>
      </c>
      <c r="I920" s="89" t="s">
        <v>24709</v>
      </c>
      <c r="J920" s="89" t="s">
        <v>24712</v>
      </c>
      <c r="K920" s="89" t="s">
        <v>24711</v>
      </c>
      <c r="M920" s="89">
        <v>2021</v>
      </c>
      <c r="N920" s="89" t="s">
        <v>24710</v>
      </c>
      <c r="O920" s="89" t="s">
        <v>646</v>
      </c>
      <c r="P920" s="89" t="s">
        <v>646</v>
      </c>
      <c r="S920" s="89" t="s">
        <v>646</v>
      </c>
      <c r="U920" s="89" t="s">
        <v>17462</v>
      </c>
      <c r="W920" s="89" t="s">
        <v>646</v>
      </c>
      <c r="X920" s="89" t="s">
        <v>646</v>
      </c>
      <c r="Y920" s="89" t="s">
        <v>646</v>
      </c>
      <c r="Z920" s="89" t="s">
        <v>646</v>
      </c>
      <c r="AA920" s="89" t="s">
        <v>646</v>
      </c>
      <c r="AB920" s="89" t="s">
        <v>646</v>
      </c>
      <c r="AC920" s="89" t="s">
        <v>646</v>
      </c>
      <c r="AD920" s="89" t="s">
        <v>646</v>
      </c>
      <c r="AE920" s="89" t="s">
        <v>646</v>
      </c>
      <c r="AF920" s="89" t="s">
        <v>24711</v>
      </c>
      <c r="AG920" s="89" t="s">
        <v>646</v>
      </c>
      <c r="AH920" s="89" t="s">
        <v>646</v>
      </c>
      <c r="AI920" s="89" t="s">
        <v>646</v>
      </c>
      <c r="AJ920" s="89" t="s">
        <v>646</v>
      </c>
      <c r="AK920" s="89" t="s">
        <v>24712</v>
      </c>
      <c r="AL920" s="89" t="s">
        <v>24713</v>
      </c>
      <c r="AM920" s="89" t="s">
        <v>646</v>
      </c>
      <c r="AN920" s="89" t="s">
        <v>646</v>
      </c>
      <c r="AO920" s="89" t="s">
        <v>646</v>
      </c>
      <c r="AP920" s="89" t="s">
        <v>646</v>
      </c>
      <c r="AQ920" s="89" t="s">
        <v>646</v>
      </c>
      <c r="AR920" s="89" t="s">
        <v>646</v>
      </c>
      <c r="AS920" s="89" t="s">
        <v>646</v>
      </c>
      <c r="AT920" s="89" t="s">
        <v>646</v>
      </c>
      <c r="AU920" s="89" t="s">
        <v>646</v>
      </c>
      <c r="AV920" s="89" t="s">
        <v>646</v>
      </c>
      <c r="AW920" s="89" t="s">
        <v>646</v>
      </c>
      <c r="AX920" s="89" t="s">
        <v>646</v>
      </c>
      <c r="AY920" s="89" t="s">
        <v>24714</v>
      </c>
      <c r="AZ920" s="89" t="s">
        <v>24715</v>
      </c>
      <c r="BA920" s="89" t="s">
        <v>646</v>
      </c>
      <c r="BB920" s="89" t="s">
        <v>646</v>
      </c>
      <c r="BC920" s="89" t="s">
        <v>646</v>
      </c>
      <c r="BD920" s="89" t="s">
        <v>17513</v>
      </c>
      <c r="BE920" s="89">
        <v>2021</v>
      </c>
      <c r="BF920" s="89">
        <v>30</v>
      </c>
      <c r="BG920" s="89">
        <v>1</v>
      </c>
      <c r="BH920" s="89" t="s">
        <v>646</v>
      </c>
      <c r="BI920" s="89" t="s">
        <v>646</v>
      </c>
      <c r="BJ920" s="89" t="s">
        <v>646</v>
      </c>
      <c r="BK920" s="89" t="s">
        <v>646</v>
      </c>
      <c r="BL920" s="89">
        <v>31</v>
      </c>
      <c r="BM920" s="89">
        <v>38</v>
      </c>
      <c r="BN920" s="89" t="s">
        <v>646</v>
      </c>
      <c r="BO920" s="89" t="s">
        <v>646</v>
      </c>
      <c r="BP920" s="89" t="s">
        <v>646</v>
      </c>
      <c r="BQ920" s="89" t="s">
        <v>646</v>
      </c>
      <c r="BR920" s="89" t="s">
        <v>646</v>
      </c>
      <c r="BS920" s="89" t="s">
        <v>646</v>
      </c>
      <c r="BT920" s="89" t="s">
        <v>646</v>
      </c>
      <c r="BU920" s="89" t="s">
        <v>646</v>
      </c>
      <c r="BV920" s="89" t="s">
        <v>646</v>
      </c>
      <c r="BW920" s="89" t="s">
        <v>646</v>
      </c>
      <c r="BX920" s="89" t="s">
        <v>646</v>
      </c>
      <c r="BY920" s="89" t="s">
        <v>646</v>
      </c>
      <c r="BZ920" s="89" t="s">
        <v>646</v>
      </c>
      <c r="CA920" s="89" t="s">
        <v>646</v>
      </c>
      <c r="CB920" s="89" t="s">
        <v>24716</v>
      </c>
      <c r="CC920" s="89" t="str">
        <f>HYPERLINK("https%3A%2F%2Fwww.webofscience.com%2Fwos%2Fwoscc%2Ffull-record%2FWOS:000623570500004","View Full Record in Web of Science")</f>
        <v>View Full Record in Web of Science</v>
      </c>
    </row>
    <row r="921" spans="1:81" ht="13.2" hidden="1" x14ac:dyDescent="0.25">
      <c r="A921" s="89" t="s">
        <v>16631</v>
      </c>
      <c r="B921" s="89" t="e">
        <f>+#REF!</f>
        <v>#REF!</v>
      </c>
      <c r="C921" s="89"/>
      <c r="D921" s="91" t="s">
        <v>717</v>
      </c>
      <c r="E921" s="90" t="e">
        <v>#REF!</v>
      </c>
      <c r="F921" s="89"/>
      <c r="G921" s="89"/>
      <c r="H921" s="89" t="s">
        <v>16632</v>
      </c>
      <c r="I921" s="89" t="s">
        <v>24717</v>
      </c>
      <c r="J921" s="89" t="s">
        <v>646</v>
      </c>
      <c r="K921" s="89" t="s">
        <v>24719</v>
      </c>
      <c r="M921" s="89">
        <v>2020</v>
      </c>
      <c r="N921" s="89" t="s">
        <v>24718</v>
      </c>
      <c r="O921" s="89" t="s">
        <v>646</v>
      </c>
      <c r="P921" s="89" t="str">
        <f>HYPERLINK("http://dx.doi.org/10.1177/2056305120957290","http://dx.doi.org/10.1177/2056305120957290")</f>
        <v>http://dx.doi.org/10.1177/2056305120957290</v>
      </c>
      <c r="S921" s="89" t="s">
        <v>646</v>
      </c>
      <c r="U921" s="89" t="s">
        <v>17462</v>
      </c>
      <c r="W921" s="89" t="s">
        <v>646</v>
      </c>
      <c r="X921" s="89" t="s">
        <v>646</v>
      </c>
      <c r="Y921" s="89" t="s">
        <v>646</v>
      </c>
      <c r="Z921" s="89" t="s">
        <v>646</v>
      </c>
      <c r="AA921" s="89" t="s">
        <v>646</v>
      </c>
      <c r="AB921" s="89" t="s">
        <v>646</v>
      </c>
      <c r="AC921" s="89" t="s">
        <v>646</v>
      </c>
      <c r="AD921" s="89" t="s">
        <v>646</v>
      </c>
      <c r="AE921" s="89" t="s">
        <v>646</v>
      </c>
      <c r="AF921" s="89" t="s">
        <v>24719</v>
      </c>
      <c r="AG921" s="89" t="s">
        <v>646</v>
      </c>
      <c r="AH921" s="89" t="s">
        <v>646</v>
      </c>
      <c r="AI921" s="89" t="s">
        <v>646</v>
      </c>
      <c r="AJ921" s="89" t="s">
        <v>646</v>
      </c>
      <c r="AK921" s="89" t="s">
        <v>646</v>
      </c>
      <c r="AL921" s="89" t="s">
        <v>24720</v>
      </c>
      <c r="AM921" s="89" t="s">
        <v>646</v>
      </c>
      <c r="AN921" s="89" t="s">
        <v>646</v>
      </c>
      <c r="AO921" s="89" t="s">
        <v>646</v>
      </c>
      <c r="AP921" s="89" t="s">
        <v>646</v>
      </c>
      <c r="AQ921" s="89" t="s">
        <v>646</v>
      </c>
      <c r="AR921" s="89" t="s">
        <v>646</v>
      </c>
      <c r="AS921" s="89" t="s">
        <v>646</v>
      </c>
      <c r="AT921" s="89" t="s">
        <v>646</v>
      </c>
      <c r="AU921" s="89" t="s">
        <v>646</v>
      </c>
      <c r="AV921" s="89" t="s">
        <v>646</v>
      </c>
      <c r="AW921" s="89" t="s">
        <v>646</v>
      </c>
      <c r="AX921" s="89" t="s">
        <v>646</v>
      </c>
      <c r="AY921" s="89" t="s">
        <v>24721</v>
      </c>
      <c r="AZ921" s="89" t="s">
        <v>646</v>
      </c>
      <c r="BA921" s="89" t="s">
        <v>646</v>
      </c>
      <c r="BB921" s="89" t="s">
        <v>646</v>
      </c>
      <c r="BC921" s="89" t="s">
        <v>646</v>
      </c>
      <c r="BD921" s="89" t="s">
        <v>17676</v>
      </c>
      <c r="BE921" s="89">
        <v>2020</v>
      </c>
      <c r="BF921" s="89">
        <v>6</v>
      </c>
      <c r="BG921" s="89">
        <v>3</v>
      </c>
      <c r="BH921" s="89" t="s">
        <v>646</v>
      </c>
      <c r="BI921" s="89" t="s">
        <v>646</v>
      </c>
      <c r="BJ921" s="89" t="s">
        <v>646</v>
      </c>
      <c r="BK921" s="89" t="s">
        <v>646</v>
      </c>
      <c r="BL921" s="89" t="s">
        <v>646</v>
      </c>
      <c r="BM921" s="89" t="s">
        <v>646</v>
      </c>
      <c r="BN921" s="89">
        <v>2056305120957290</v>
      </c>
      <c r="BO921" s="89" t="str">
        <f>HYPERLINK("http://dx.doi.org/10.1177/2056305120957290","http://dx.doi.org/10.1177/2056305120957290")</f>
        <v>http://dx.doi.org/10.1177/2056305120957290</v>
      </c>
      <c r="BP921" s="89" t="s">
        <v>646</v>
      </c>
      <c r="BQ921" s="89" t="s">
        <v>646</v>
      </c>
      <c r="BR921" s="89" t="s">
        <v>646</v>
      </c>
      <c r="BS921" s="89" t="s">
        <v>646</v>
      </c>
      <c r="BT921" s="89" t="s">
        <v>646</v>
      </c>
      <c r="BU921" s="89" t="s">
        <v>646</v>
      </c>
      <c r="BV921" s="89" t="s">
        <v>646</v>
      </c>
      <c r="BW921" s="89" t="s">
        <v>646</v>
      </c>
      <c r="BX921" s="89" t="s">
        <v>646</v>
      </c>
      <c r="BY921" s="89" t="s">
        <v>646</v>
      </c>
      <c r="BZ921" s="89" t="s">
        <v>646</v>
      </c>
      <c r="CA921" s="89" t="s">
        <v>646</v>
      </c>
      <c r="CB921" s="89" t="s">
        <v>24722</v>
      </c>
      <c r="CC921" s="89" t="str">
        <f>HYPERLINK("https%3A%2F%2Fwww.webofscience.com%2Fwos%2Fwoscc%2Ffull-record%2FWOS:000576436800001","View Full Record in Web of Science")</f>
        <v>View Full Record in Web of Science</v>
      </c>
    </row>
    <row r="922" spans="1:81" ht="13.2" hidden="1" x14ac:dyDescent="0.25">
      <c r="A922" s="89" t="s">
        <v>16641</v>
      </c>
      <c r="B922" s="89" t="e">
        <f>+#REF!</f>
        <v>#REF!</v>
      </c>
      <c r="C922" s="89"/>
      <c r="D922" s="91" t="s">
        <v>717</v>
      </c>
      <c r="E922" s="90" t="e">
        <v>#REF!</v>
      </c>
      <c r="F922" s="89"/>
      <c r="G922" s="89"/>
      <c r="H922" s="89" t="s">
        <v>16642</v>
      </c>
      <c r="I922" s="89" t="s">
        <v>24723</v>
      </c>
      <c r="J922" s="89" t="s">
        <v>646</v>
      </c>
      <c r="K922" s="89" t="s">
        <v>24725</v>
      </c>
      <c r="M922" s="89">
        <v>2022</v>
      </c>
      <c r="N922" s="89" t="s">
        <v>24724</v>
      </c>
      <c r="O922" s="89" t="s">
        <v>646</v>
      </c>
      <c r="P922" s="89" t="str">
        <f>HYPERLINK("http://dx.doi.org/10.1177/0019793920972679","http://dx.doi.org/10.1177/0019793920972679")</f>
        <v>http://dx.doi.org/10.1177/0019793920972679</v>
      </c>
      <c r="S922" s="89" t="s">
        <v>646</v>
      </c>
      <c r="U922" s="89" t="s">
        <v>17462</v>
      </c>
      <c r="W922" s="89" t="s">
        <v>646</v>
      </c>
      <c r="X922" s="89" t="s">
        <v>646</v>
      </c>
      <c r="Y922" s="89" t="s">
        <v>646</v>
      </c>
      <c r="Z922" s="89" t="s">
        <v>646</v>
      </c>
      <c r="AA922" s="89" t="s">
        <v>646</v>
      </c>
      <c r="AB922" s="89" t="s">
        <v>646</v>
      </c>
      <c r="AC922" s="89" t="s">
        <v>646</v>
      </c>
      <c r="AD922" s="89" t="s">
        <v>646</v>
      </c>
      <c r="AE922" s="89" t="s">
        <v>646</v>
      </c>
      <c r="AF922" s="89" t="s">
        <v>24725</v>
      </c>
      <c r="AG922" s="89" t="s">
        <v>646</v>
      </c>
      <c r="AH922" s="89" t="s">
        <v>646</v>
      </c>
      <c r="AI922" s="89" t="s">
        <v>646</v>
      </c>
      <c r="AJ922" s="89" t="s">
        <v>646</v>
      </c>
      <c r="AK922" s="89" t="s">
        <v>646</v>
      </c>
      <c r="AL922" s="89" t="s">
        <v>646</v>
      </c>
      <c r="AM922" s="89" t="s">
        <v>646</v>
      </c>
      <c r="AN922" s="89" t="s">
        <v>646</v>
      </c>
      <c r="AO922" s="89" t="s">
        <v>646</v>
      </c>
      <c r="AP922" s="89" t="s">
        <v>646</v>
      </c>
      <c r="AQ922" s="89" t="s">
        <v>646</v>
      </c>
      <c r="AR922" s="89" t="s">
        <v>646</v>
      </c>
      <c r="AS922" s="89" t="s">
        <v>646</v>
      </c>
      <c r="AT922" s="89" t="s">
        <v>646</v>
      </c>
      <c r="AU922" s="89" t="s">
        <v>646</v>
      </c>
      <c r="AV922" s="89" t="s">
        <v>646</v>
      </c>
      <c r="AW922" s="89" t="s">
        <v>646</v>
      </c>
      <c r="AX922" s="89" t="s">
        <v>646</v>
      </c>
      <c r="AY922" s="89" t="s">
        <v>24726</v>
      </c>
      <c r="AZ922" s="89" t="s">
        <v>24727</v>
      </c>
      <c r="BA922" s="89" t="s">
        <v>646</v>
      </c>
      <c r="BB922" s="89" t="s">
        <v>646</v>
      </c>
      <c r="BC922" s="89" t="s">
        <v>646</v>
      </c>
      <c r="BD922" s="89" t="s">
        <v>17779</v>
      </c>
      <c r="BE922" s="89">
        <v>2022</v>
      </c>
      <c r="BF922" s="89">
        <v>75</v>
      </c>
      <c r="BG922" s="89">
        <v>2</v>
      </c>
      <c r="BH922" s="89" t="s">
        <v>646</v>
      </c>
      <c r="BI922" s="89" t="s">
        <v>646</v>
      </c>
      <c r="BJ922" s="89" t="s">
        <v>646</v>
      </c>
      <c r="BK922" s="89" t="s">
        <v>646</v>
      </c>
      <c r="BL922" s="89">
        <v>348</v>
      </c>
      <c r="BM922" s="89">
        <v>372</v>
      </c>
      <c r="BN922" s="89">
        <v>19793920972679</v>
      </c>
      <c r="BO922" s="89" t="str">
        <f>HYPERLINK("http://dx.doi.org/10.1177/0019793920972679","http://dx.doi.org/10.1177/0019793920972679")</f>
        <v>http://dx.doi.org/10.1177/0019793920972679</v>
      </c>
      <c r="BP922" s="89" t="s">
        <v>646</v>
      </c>
      <c r="BQ922" s="89" t="s">
        <v>17556</v>
      </c>
      <c r="BR922" s="89" t="s">
        <v>646</v>
      </c>
      <c r="BS922" s="89" t="s">
        <v>646</v>
      </c>
      <c r="BT922" s="89" t="s">
        <v>646</v>
      </c>
      <c r="BU922" s="89" t="s">
        <v>646</v>
      </c>
      <c r="BV922" s="89" t="s">
        <v>646</v>
      </c>
      <c r="BW922" s="89" t="s">
        <v>646</v>
      </c>
      <c r="BX922" s="89" t="s">
        <v>646</v>
      </c>
      <c r="BY922" s="89" t="s">
        <v>646</v>
      </c>
      <c r="BZ922" s="89" t="s">
        <v>646</v>
      </c>
      <c r="CA922" s="89" t="s">
        <v>646</v>
      </c>
      <c r="CB922" s="89" t="s">
        <v>24728</v>
      </c>
      <c r="CC922" s="89" t="str">
        <f>HYPERLINK("https%3A%2F%2Fwww.webofscience.com%2Fwos%2Fwoscc%2Ffull-record%2FWOS:000634008300001","View Full Record in Web of Science")</f>
        <v>View Full Record in Web of Science</v>
      </c>
    </row>
    <row r="923" spans="1:81" ht="13.2" hidden="1" x14ac:dyDescent="0.25">
      <c r="A923" s="89" t="s">
        <v>15614</v>
      </c>
      <c r="B923" s="89" t="e">
        <f>+#REF!</f>
        <v>#REF!</v>
      </c>
      <c r="C923" s="89"/>
      <c r="D923" s="91" t="s">
        <v>717</v>
      </c>
      <c r="E923" s="90" t="e">
        <v>#REF!</v>
      </c>
      <c r="F923" s="89"/>
      <c r="G923" s="89"/>
      <c r="H923" s="89" t="s">
        <v>15615</v>
      </c>
      <c r="I923" s="89" t="s">
        <v>24729</v>
      </c>
      <c r="J923" s="89" t="s">
        <v>646</v>
      </c>
      <c r="K923" s="89" t="s">
        <v>24731</v>
      </c>
      <c r="M923" s="89">
        <v>2020</v>
      </c>
      <c r="N923" s="89" t="s">
        <v>24730</v>
      </c>
      <c r="O923" s="89" t="s">
        <v>646</v>
      </c>
      <c r="P923" s="89" t="str">
        <f>HYPERLINK("http://dx.doi.org/10.1177/0309816819899410","http://dx.doi.org/10.1177/0309816819899410")</f>
        <v>http://dx.doi.org/10.1177/0309816819899410</v>
      </c>
      <c r="S923" s="89" t="s">
        <v>646</v>
      </c>
      <c r="U923" s="89" t="s">
        <v>17462</v>
      </c>
      <c r="W923" s="89" t="s">
        <v>646</v>
      </c>
      <c r="X923" s="89" t="s">
        <v>646</v>
      </c>
      <c r="Y923" s="89" t="s">
        <v>646</v>
      </c>
      <c r="Z923" s="89" t="s">
        <v>646</v>
      </c>
      <c r="AA923" s="89" t="s">
        <v>646</v>
      </c>
      <c r="AB923" s="89" t="s">
        <v>646</v>
      </c>
      <c r="AC923" s="89" t="s">
        <v>646</v>
      </c>
      <c r="AD923" s="89" t="s">
        <v>646</v>
      </c>
      <c r="AE923" s="89" t="s">
        <v>646</v>
      </c>
      <c r="AF923" s="89" t="s">
        <v>24731</v>
      </c>
      <c r="AG923" s="89" t="s">
        <v>646</v>
      </c>
      <c r="AH923" s="89" t="s">
        <v>646</v>
      </c>
      <c r="AI923" s="89" t="s">
        <v>646</v>
      </c>
      <c r="AJ923" s="89" t="s">
        <v>646</v>
      </c>
      <c r="AK923" s="89" t="s">
        <v>646</v>
      </c>
      <c r="AL923" s="89" t="s">
        <v>24732</v>
      </c>
      <c r="AM923" s="89" t="s">
        <v>646</v>
      </c>
      <c r="AN923" s="89" t="s">
        <v>646</v>
      </c>
      <c r="AO923" s="89" t="s">
        <v>646</v>
      </c>
      <c r="AP923" s="89" t="s">
        <v>646</v>
      </c>
      <c r="AQ923" s="89" t="s">
        <v>646</v>
      </c>
      <c r="AR923" s="89" t="s">
        <v>646</v>
      </c>
      <c r="AS923" s="89" t="s">
        <v>646</v>
      </c>
      <c r="AT923" s="89" t="s">
        <v>646</v>
      </c>
      <c r="AU923" s="89" t="s">
        <v>646</v>
      </c>
      <c r="AV923" s="89" t="s">
        <v>646</v>
      </c>
      <c r="AW923" s="89" t="s">
        <v>646</v>
      </c>
      <c r="AX923" s="89" t="s">
        <v>646</v>
      </c>
      <c r="AY923" s="89" t="s">
        <v>24733</v>
      </c>
      <c r="AZ923" s="89" t="s">
        <v>24734</v>
      </c>
      <c r="BA923" s="89" t="s">
        <v>646</v>
      </c>
      <c r="BB923" s="89" t="s">
        <v>646</v>
      </c>
      <c r="BC923" s="89" t="s">
        <v>646</v>
      </c>
      <c r="BD923" s="89" t="s">
        <v>17772</v>
      </c>
      <c r="BE923" s="89">
        <v>2020</v>
      </c>
      <c r="BF923" s="89">
        <v>44</v>
      </c>
      <c r="BG923" s="89">
        <v>2</v>
      </c>
      <c r="BH923" s="89" t="s">
        <v>646</v>
      </c>
      <c r="BI923" s="89" t="s">
        <v>646</v>
      </c>
      <c r="BJ923" s="89" t="s">
        <v>17555</v>
      </c>
      <c r="BK923" s="89" t="s">
        <v>646</v>
      </c>
      <c r="BL923" s="89">
        <v>145</v>
      </c>
      <c r="BM923" s="89">
        <v>158</v>
      </c>
      <c r="BN923" s="89">
        <v>309816819899410</v>
      </c>
      <c r="BO923" s="89" t="str">
        <f>HYPERLINK("http://dx.doi.org/10.1177/0309816819899410","http://dx.doi.org/10.1177/0309816819899410")</f>
        <v>http://dx.doi.org/10.1177/0309816819899410</v>
      </c>
      <c r="BP923" s="89" t="s">
        <v>646</v>
      </c>
      <c r="BQ923" s="89" t="s">
        <v>19233</v>
      </c>
      <c r="BR923" s="89" t="s">
        <v>646</v>
      </c>
      <c r="BS923" s="89" t="s">
        <v>646</v>
      </c>
      <c r="BT923" s="89" t="s">
        <v>646</v>
      </c>
      <c r="BU923" s="89" t="s">
        <v>646</v>
      </c>
      <c r="BV923" s="89" t="s">
        <v>646</v>
      </c>
      <c r="BW923" s="89" t="s">
        <v>646</v>
      </c>
      <c r="BX923" s="89" t="s">
        <v>646</v>
      </c>
      <c r="BY923" s="89" t="s">
        <v>646</v>
      </c>
      <c r="BZ923" s="89" t="s">
        <v>646</v>
      </c>
      <c r="CA923" s="89" t="s">
        <v>646</v>
      </c>
      <c r="CB923" s="89" t="s">
        <v>24735</v>
      </c>
      <c r="CC923" s="89" t="str">
        <f>HYPERLINK("https%3A%2F%2Fwww.webofscience.com%2Fwos%2Fwoscc%2Ffull-record%2FWOS:000509289300001","View Full Record in Web of Science")</f>
        <v>View Full Record in Web of Science</v>
      </c>
    </row>
    <row r="924" spans="1:81" ht="13.2" hidden="1" x14ac:dyDescent="0.25">
      <c r="A924" s="89" t="s">
        <v>24736</v>
      </c>
      <c r="B924" s="89" t="e">
        <f>+#REF!</f>
        <v>#REF!</v>
      </c>
      <c r="C924" s="89"/>
      <c r="D924" s="91" t="s">
        <v>717</v>
      </c>
      <c r="E924" s="90" t="e">
        <v>#REF!</v>
      </c>
      <c r="F924" s="89"/>
      <c r="G924" s="89"/>
      <c r="H924" s="89" t="s">
        <v>15623</v>
      </c>
      <c r="I924" s="89" t="s">
        <v>24737</v>
      </c>
      <c r="J924" s="89" t="s">
        <v>24740</v>
      </c>
      <c r="K924" s="89" t="s">
        <v>24739</v>
      </c>
      <c r="M924" s="89">
        <v>2019</v>
      </c>
      <c r="N924" s="89" t="s">
        <v>24738</v>
      </c>
      <c r="O924" s="89" t="s">
        <v>646</v>
      </c>
      <c r="P924" s="89" t="str">
        <f>HYPERLINK("http://dx.doi.org/10.1108/JEC-09-2019-0092","http://dx.doi.org/10.1108/JEC-09-2019-0092")</f>
        <v>http://dx.doi.org/10.1108/JEC-09-2019-0092</v>
      </c>
      <c r="S924" s="89" t="s">
        <v>646</v>
      </c>
      <c r="U924" s="89" t="s">
        <v>17462</v>
      </c>
      <c r="W924" s="89" t="s">
        <v>646</v>
      </c>
      <c r="X924" s="89" t="s">
        <v>646</v>
      </c>
      <c r="Y924" s="89" t="s">
        <v>646</v>
      </c>
      <c r="Z924" s="89" t="s">
        <v>646</v>
      </c>
      <c r="AA924" s="89" t="s">
        <v>646</v>
      </c>
      <c r="AB924" s="89" t="s">
        <v>646</v>
      </c>
      <c r="AC924" s="89" t="s">
        <v>646</v>
      </c>
      <c r="AD924" s="89" t="s">
        <v>646</v>
      </c>
      <c r="AE924" s="89" t="s">
        <v>646</v>
      </c>
      <c r="AF924" s="89" t="s">
        <v>24739</v>
      </c>
      <c r="AG924" s="89" t="s">
        <v>646</v>
      </c>
      <c r="AH924" s="89" t="s">
        <v>646</v>
      </c>
      <c r="AI924" s="89" t="s">
        <v>646</v>
      </c>
      <c r="AJ924" s="89" t="s">
        <v>646</v>
      </c>
      <c r="AK924" s="89" t="s">
        <v>24740</v>
      </c>
      <c r="AL924" s="89" t="s">
        <v>646</v>
      </c>
      <c r="AM924" s="89" t="s">
        <v>646</v>
      </c>
      <c r="AN924" s="89" t="s">
        <v>646</v>
      </c>
      <c r="AO924" s="89" t="s">
        <v>646</v>
      </c>
      <c r="AP924" s="89" t="s">
        <v>646</v>
      </c>
      <c r="AQ924" s="89" t="s">
        <v>646</v>
      </c>
      <c r="AR924" s="89" t="s">
        <v>646</v>
      </c>
      <c r="AS924" s="89" t="s">
        <v>646</v>
      </c>
      <c r="AT924" s="89" t="s">
        <v>646</v>
      </c>
      <c r="AU924" s="89" t="s">
        <v>646</v>
      </c>
      <c r="AV924" s="89" t="s">
        <v>646</v>
      </c>
      <c r="AW924" s="89" t="s">
        <v>646</v>
      </c>
      <c r="AX924" s="89" t="s">
        <v>646</v>
      </c>
      <c r="AY924" s="89" t="s">
        <v>24741</v>
      </c>
      <c r="AZ924" s="89" t="s">
        <v>24742</v>
      </c>
      <c r="BA924" s="89" t="s">
        <v>646</v>
      </c>
      <c r="BB924" s="89" t="s">
        <v>646</v>
      </c>
      <c r="BC924" s="89" t="s">
        <v>646</v>
      </c>
      <c r="BD924" s="89" t="s">
        <v>24743</v>
      </c>
      <c r="BE924" s="89">
        <v>2019</v>
      </c>
      <c r="BF924" s="89">
        <v>14</v>
      </c>
      <c r="BG924" s="89">
        <v>1</v>
      </c>
      <c r="BH924" s="89" t="s">
        <v>646</v>
      </c>
      <c r="BI924" s="89" t="s">
        <v>646</v>
      </c>
      <c r="BJ924" s="89" t="s">
        <v>17555</v>
      </c>
      <c r="BK924" s="89" t="s">
        <v>646</v>
      </c>
      <c r="BL924" s="89">
        <v>76</v>
      </c>
      <c r="BM924" s="89">
        <v>90</v>
      </c>
      <c r="BN924" s="89" t="s">
        <v>646</v>
      </c>
      <c r="BO924" s="89" t="str">
        <f>HYPERLINK("http://dx.doi.org/10.1108/JEC-09-2019-0092","http://dx.doi.org/10.1108/JEC-09-2019-0092")</f>
        <v>http://dx.doi.org/10.1108/JEC-09-2019-0092</v>
      </c>
      <c r="BP924" s="89" t="s">
        <v>646</v>
      </c>
      <c r="BQ924" s="89" t="s">
        <v>19670</v>
      </c>
      <c r="BR924" s="89" t="s">
        <v>646</v>
      </c>
      <c r="BS924" s="89" t="s">
        <v>646</v>
      </c>
      <c r="BT924" s="89" t="s">
        <v>646</v>
      </c>
      <c r="BU924" s="89" t="s">
        <v>646</v>
      </c>
      <c r="BV924" s="89" t="s">
        <v>646</v>
      </c>
      <c r="BW924" s="89" t="s">
        <v>646</v>
      </c>
      <c r="BX924" s="89" t="s">
        <v>646</v>
      </c>
      <c r="BY924" s="89" t="s">
        <v>646</v>
      </c>
      <c r="BZ924" s="89" t="s">
        <v>646</v>
      </c>
      <c r="CA924" s="89" t="s">
        <v>646</v>
      </c>
      <c r="CB924" s="89" t="s">
        <v>24744</v>
      </c>
      <c r="CC924" s="89" t="str">
        <f>HYPERLINK("https%3A%2F%2Fwww.webofscience.com%2Fwos%2Fwoscc%2Ffull-record%2FWOS:000512456000001","View Full Record in Web of Science")</f>
        <v>View Full Record in Web of Science</v>
      </c>
    </row>
    <row r="925" spans="1:81" ht="13.2" hidden="1" x14ac:dyDescent="0.25">
      <c r="A925" s="89" t="s">
        <v>24745</v>
      </c>
      <c r="B925" s="89" t="e">
        <f>+#REF!</f>
        <v>#REF!</v>
      </c>
      <c r="C925" s="89"/>
      <c r="D925" s="91" t="s">
        <v>717</v>
      </c>
      <c r="E925" s="90" t="e">
        <v>#REF!</v>
      </c>
      <c r="F925" s="89"/>
      <c r="G925" s="89"/>
      <c r="H925" s="89" t="s">
        <v>24746</v>
      </c>
      <c r="I925" s="89" t="s">
        <v>24747</v>
      </c>
      <c r="J925" s="89" t="s">
        <v>24275</v>
      </c>
      <c r="K925" s="89" t="s">
        <v>24748</v>
      </c>
      <c r="M925" s="89">
        <v>2017</v>
      </c>
      <c r="N925" s="89" t="s">
        <v>19023</v>
      </c>
      <c r="O925" s="89" t="s">
        <v>646</v>
      </c>
      <c r="P925" s="89" t="str">
        <f>HYPERLINK("http://dx.doi.org/10.2196/jmir.8821","http://dx.doi.org/10.2196/jmir.8821")</f>
        <v>http://dx.doi.org/10.2196/jmir.8821</v>
      </c>
      <c r="S925" s="89" t="s">
        <v>646</v>
      </c>
      <c r="U925" s="89" t="s">
        <v>17462</v>
      </c>
      <c r="W925" s="89" t="s">
        <v>646</v>
      </c>
      <c r="X925" s="89" t="s">
        <v>646</v>
      </c>
      <c r="Y925" s="89" t="s">
        <v>646</v>
      </c>
      <c r="Z925" s="89" t="s">
        <v>646</v>
      </c>
      <c r="AA925" s="89" t="s">
        <v>646</v>
      </c>
      <c r="AB925" s="89" t="s">
        <v>646</v>
      </c>
      <c r="AC925" s="89" t="s">
        <v>646</v>
      </c>
      <c r="AD925" s="89" t="s">
        <v>646</v>
      </c>
      <c r="AE925" s="89" t="s">
        <v>646</v>
      </c>
      <c r="AF925" s="89" t="s">
        <v>24748</v>
      </c>
      <c r="AG925" s="89" t="s">
        <v>646</v>
      </c>
      <c r="AH925" s="89" t="s">
        <v>646</v>
      </c>
      <c r="AI925" s="89" t="s">
        <v>646</v>
      </c>
      <c r="AJ925" s="89" t="s">
        <v>646</v>
      </c>
      <c r="AK925" s="89" t="s">
        <v>24275</v>
      </c>
      <c r="AL925" s="89" t="s">
        <v>24749</v>
      </c>
      <c r="AM925" s="89" t="s">
        <v>646</v>
      </c>
      <c r="AN925" s="89" t="s">
        <v>646</v>
      </c>
      <c r="AO925" s="89" t="s">
        <v>646</v>
      </c>
      <c r="AP925" s="89" t="s">
        <v>646</v>
      </c>
      <c r="AQ925" s="89" t="s">
        <v>646</v>
      </c>
      <c r="AR925" s="89" t="s">
        <v>646</v>
      </c>
      <c r="AS925" s="89" t="s">
        <v>646</v>
      </c>
      <c r="AT925" s="89" t="s">
        <v>646</v>
      </c>
      <c r="AU925" s="89" t="s">
        <v>646</v>
      </c>
      <c r="AV925" s="89" t="s">
        <v>646</v>
      </c>
      <c r="AW925" s="89" t="s">
        <v>646</v>
      </c>
      <c r="AX925" s="89" t="s">
        <v>646</v>
      </c>
      <c r="AY925" s="89" t="s">
        <v>19026</v>
      </c>
      <c r="AZ925" s="89" t="s">
        <v>646</v>
      </c>
      <c r="BA925" s="89" t="s">
        <v>646</v>
      </c>
      <c r="BB925" s="89" t="s">
        <v>646</v>
      </c>
      <c r="BC925" s="89" t="s">
        <v>646</v>
      </c>
      <c r="BD925" s="89" t="s">
        <v>17687</v>
      </c>
      <c r="BE925" s="89">
        <v>2017</v>
      </c>
      <c r="BF925" s="89">
        <v>19</v>
      </c>
      <c r="BG925" s="89">
        <v>10</v>
      </c>
      <c r="BH925" s="89" t="s">
        <v>646</v>
      </c>
      <c r="BI925" s="89" t="s">
        <v>646</v>
      </c>
      <c r="BJ925" s="89" t="s">
        <v>646</v>
      </c>
      <c r="BK925" s="89" t="s">
        <v>646</v>
      </c>
      <c r="BL925" s="89" t="s">
        <v>646</v>
      </c>
      <c r="BM925" s="89" t="s">
        <v>646</v>
      </c>
      <c r="BN925" s="89" t="s">
        <v>24750</v>
      </c>
      <c r="BO925" s="89" t="str">
        <f>HYPERLINK("http://dx.doi.org/10.2196/jmir.8821","http://dx.doi.org/10.2196/jmir.8821")</f>
        <v>http://dx.doi.org/10.2196/jmir.8821</v>
      </c>
      <c r="BP925" s="89" t="s">
        <v>646</v>
      </c>
      <c r="BQ925" s="89" t="s">
        <v>646</v>
      </c>
      <c r="BR925" s="89" t="s">
        <v>646</v>
      </c>
      <c r="BS925" s="89" t="s">
        <v>646</v>
      </c>
      <c r="BT925" s="89" t="s">
        <v>646</v>
      </c>
      <c r="BU925" s="89" t="s">
        <v>646</v>
      </c>
      <c r="BV925" s="89" t="s">
        <v>646</v>
      </c>
      <c r="BW925" s="89">
        <v>28986339</v>
      </c>
      <c r="BX925" s="89" t="s">
        <v>646</v>
      </c>
      <c r="BY925" s="89" t="s">
        <v>646</v>
      </c>
      <c r="BZ925" s="89" t="s">
        <v>646</v>
      </c>
      <c r="CA925" s="89" t="s">
        <v>646</v>
      </c>
      <c r="CB925" s="89" t="s">
        <v>24751</v>
      </c>
      <c r="CC925" s="89" t="str">
        <f>HYPERLINK("https%3A%2F%2Fwww.webofscience.com%2Fwos%2Fwoscc%2Ffull-record%2FWOS:000414185800011","View Full Record in Web of Science")</f>
        <v>View Full Record in Web of Science</v>
      </c>
    </row>
    <row r="926" spans="1:81" ht="13.2" hidden="1" x14ac:dyDescent="0.25">
      <c r="A926" s="89" t="s">
        <v>15641</v>
      </c>
      <c r="B926" s="89" t="e">
        <f>+#REF!</f>
        <v>#REF!</v>
      </c>
      <c r="C926" s="89"/>
      <c r="D926" s="91" t="s">
        <v>717</v>
      </c>
      <c r="E926" s="90" t="e">
        <v>#REF!</v>
      </c>
      <c r="F926" s="89"/>
      <c r="G926" s="89"/>
      <c r="H926" s="89" t="s">
        <v>15642</v>
      </c>
      <c r="I926" s="89" t="s">
        <v>24752</v>
      </c>
      <c r="J926" s="89" t="s">
        <v>24755</v>
      </c>
      <c r="K926" s="89" t="s">
        <v>24754</v>
      </c>
      <c r="M926" s="89">
        <v>2012</v>
      </c>
      <c r="N926" s="89" t="s">
        <v>24753</v>
      </c>
      <c r="O926" s="89" t="s">
        <v>646</v>
      </c>
      <c r="P926" s="89" t="str">
        <f>HYPERLINK("http://dx.doi.org/10.1016/j.jtbi.2011.03.004","http://dx.doi.org/10.1016/j.jtbi.2011.03.004")</f>
        <v>http://dx.doi.org/10.1016/j.jtbi.2011.03.004</v>
      </c>
      <c r="S926" s="89" t="s">
        <v>646</v>
      </c>
      <c r="U926" s="89" t="s">
        <v>17462</v>
      </c>
      <c r="W926" s="89" t="s">
        <v>646</v>
      </c>
      <c r="X926" s="89" t="s">
        <v>646</v>
      </c>
      <c r="Y926" s="89" t="s">
        <v>646</v>
      </c>
      <c r="Z926" s="89" t="s">
        <v>646</v>
      </c>
      <c r="AA926" s="89" t="s">
        <v>646</v>
      </c>
      <c r="AB926" s="89" t="s">
        <v>646</v>
      </c>
      <c r="AC926" s="89" t="s">
        <v>646</v>
      </c>
      <c r="AD926" s="89" t="s">
        <v>646</v>
      </c>
      <c r="AE926" s="89" t="s">
        <v>646</v>
      </c>
      <c r="AF926" s="89" t="s">
        <v>24754</v>
      </c>
      <c r="AG926" s="89" t="s">
        <v>646</v>
      </c>
      <c r="AH926" s="89" t="s">
        <v>646</v>
      </c>
      <c r="AI926" s="89" t="s">
        <v>646</v>
      </c>
      <c r="AJ926" s="89" t="s">
        <v>646</v>
      </c>
      <c r="AK926" s="89" t="s">
        <v>24755</v>
      </c>
      <c r="AL926" s="89" t="s">
        <v>24756</v>
      </c>
      <c r="AM926" s="89" t="s">
        <v>646</v>
      </c>
      <c r="AN926" s="89" t="s">
        <v>646</v>
      </c>
      <c r="AO926" s="89" t="s">
        <v>646</v>
      </c>
      <c r="AP926" s="89" t="s">
        <v>646</v>
      </c>
      <c r="AQ926" s="89" t="s">
        <v>646</v>
      </c>
      <c r="AR926" s="89" t="s">
        <v>646</v>
      </c>
      <c r="AS926" s="89" t="s">
        <v>646</v>
      </c>
      <c r="AT926" s="89" t="s">
        <v>646</v>
      </c>
      <c r="AU926" s="89" t="s">
        <v>646</v>
      </c>
      <c r="AV926" s="89" t="s">
        <v>646</v>
      </c>
      <c r="AW926" s="89" t="s">
        <v>646</v>
      </c>
      <c r="AX926" s="89" t="s">
        <v>646</v>
      </c>
      <c r="AY926" s="89" t="s">
        <v>24757</v>
      </c>
      <c r="AZ926" s="89" t="s">
        <v>24758</v>
      </c>
      <c r="BA926" s="89" t="s">
        <v>646</v>
      </c>
      <c r="BB926" s="89" t="s">
        <v>646</v>
      </c>
      <c r="BC926" s="89" t="s">
        <v>646</v>
      </c>
      <c r="BD926" s="89" t="s">
        <v>19599</v>
      </c>
      <c r="BE926" s="89">
        <v>2012</v>
      </c>
      <c r="BF926" s="89">
        <v>299</v>
      </c>
      <c r="BG926" s="89" t="s">
        <v>646</v>
      </c>
      <c r="BH926" s="89" t="s">
        <v>646</v>
      </c>
      <c r="BI926" s="89" t="s">
        <v>646</v>
      </c>
      <c r="BJ926" s="89" t="s">
        <v>17555</v>
      </c>
      <c r="BK926" s="89" t="s">
        <v>646</v>
      </c>
      <c r="BL926" s="89">
        <v>172</v>
      </c>
      <c r="BM926" s="89">
        <v>179</v>
      </c>
      <c r="BN926" s="89" t="s">
        <v>646</v>
      </c>
      <c r="BO926" s="89" t="str">
        <f>HYPERLINK("http://dx.doi.org/10.1016/j.jtbi.2011.03.004","http://dx.doi.org/10.1016/j.jtbi.2011.03.004")</f>
        <v>http://dx.doi.org/10.1016/j.jtbi.2011.03.004</v>
      </c>
      <c r="BP926" s="89" t="s">
        <v>646</v>
      </c>
      <c r="BQ926" s="89" t="s">
        <v>646</v>
      </c>
      <c r="BR926" s="89" t="s">
        <v>646</v>
      </c>
      <c r="BS926" s="89" t="s">
        <v>646</v>
      </c>
      <c r="BT926" s="89" t="s">
        <v>646</v>
      </c>
      <c r="BU926" s="89" t="s">
        <v>646</v>
      </c>
      <c r="BV926" s="89" t="s">
        <v>646</v>
      </c>
      <c r="BW926" s="89">
        <v>21402081</v>
      </c>
      <c r="BX926" s="89" t="s">
        <v>646</v>
      </c>
      <c r="BY926" s="89" t="s">
        <v>646</v>
      </c>
      <c r="BZ926" s="89" t="s">
        <v>646</v>
      </c>
      <c r="CA926" s="89" t="s">
        <v>646</v>
      </c>
      <c r="CB926" s="89" t="s">
        <v>24759</v>
      </c>
      <c r="CC926" s="89" t="str">
        <f>HYPERLINK("https%3A%2F%2Fwww.webofscience.com%2Fwos%2Fwoscc%2Ffull-record%2FWOS:000301755700020","View Full Record in Web of Science")</f>
        <v>View Full Record in Web of Science</v>
      </c>
    </row>
    <row r="927" spans="1:81" ht="13.2" hidden="1" x14ac:dyDescent="0.25">
      <c r="A927" s="89" t="s">
        <v>24760</v>
      </c>
      <c r="B927" s="89" t="e">
        <f>+#REF!</f>
        <v>#REF!</v>
      </c>
      <c r="C927" s="89"/>
      <c r="D927" s="91" t="s">
        <v>717</v>
      </c>
      <c r="E927" s="90" t="e">
        <v>#REF!</v>
      </c>
      <c r="F927" s="89"/>
      <c r="G927" s="89"/>
      <c r="H927" s="89" t="s">
        <v>10520</v>
      </c>
      <c r="I927" s="89" t="s">
        <v>24761</v>
      </c>
      <c r="J927" s="89" t="s">
        <v>646</v>
      </c>
      <c r="K927" s="89" t="s">
        <v>24762</v>
      </c>
      <c r="M927" s="89">
        <v>2021</v>
      </c>
      <c r="N927" s="89" t="s">
        <v>20000</v>
      </c>
      <c r="O927" s="89" t="s">
        <v>646</v>
      </c>
      <c r="P927" s="89" t="str">
        <f>HYPERLINK("http://dx.doi.org/10.2196/23872","http://dx.doi.org/10.2196/23872")</f>
        <v>http://dx.doi.org/10.2196/23872</v>
      </c>
      <c r="S927" s="89" t="s">
        <v>646</v>
      </c>
      <c r="U927" s="89" t="s">
        <v>17462</v>
      </c>
      <c r="W927" s="89" t="s">
        <v>646</v>
      </c>
      <c r="X927" s="89" t="s">
        <v>646</v>
      </c>
      <c r="Y927" s="89" t="s">
        <v>646</v>
      </c>
      <c r="Z927" s="89" t="s">
        <v>646</v>
      </c>
      <c r="AA927" s="89" t="s">
        <v>646</v>
      </c>
      <c r="AB927" s="89" t="s">
        <v>646</v>
      </c>
      <c r="AC927" s="89" t="s">
        <v>646</v>
      </c>
      <c r="AD927" s="89" t="s">
        <v>646</v>
      </c>
      <c r="AE927" s="89" t="s">
        <v>646</v>
      </c>
      <c r="AF927" s="89" t="s">
        <v>24762</v>
      </c>
      <c r="AG927" s="89" t="s">
        <v>646</v>
      </c>
      <c r="AH927" s="89" t="s">
        <v>646</v>
      </c>
      <c r="AI927" s="89" t="s">
        <v>646</v>
      </c>
      <c r="AJ927" s="89" t="s">
        <v>646</v>
      </c>
      <c r="AK927" s="89" t="s">
        <v>646</v>
      </c>
      <c r="AL927" s="89" t="s">
        <v>24763</v>
      </c>
      <c r="AM927" s="89" t="s">
        <v>646</v>
      </c>
      <c r="AN927" s="89" t="s">
        <v>646</v>
      </c>
      <c r="AO927" s="89" t="s">
        <v>646</v>
      </c>
      <c r="AP927" s="89" t="s">
        <v>646</v>
      </c>
      <c r="AQ927" s="89" t="s">
        <v>646</v>
      </c>
      <c r="AR927" s="89" t="s">
        <v>646</v>
      </c>
      <c r="AS927" s="89" t="s">
        <v>646</v>
      </c>
      <c r="AT927" s="89" t="s">
        <v>646</v>
      </c>
      <c r="AU927" s="89" t="s">
        <v>646</v>
      </c>
      <c r="AV927" s="89" t="s">
        <v>646</v>
      </c>
      <c r="AW927" s="89" t="s">
        <v>646</v>
      </c>
      <c r="AX927" s="89" t="s">
        <v>646</v>
      </c>
      <c r="AY927" s="89" t="s">
        <v>20003</v>
      </c>
      <c r="AZ927" s="89" t="s">
        <v>646</v>
      </c>
      <c r="BA927" s="89" t="s">
        <v>646</v>
      </c>
      <c r="BB927" s="89" t="s">
        <v>646</v>
      </c>
      <c r="BC927" s="89" t="s">
        <v>646</v>
      </c>
      <c r="BD927" s="89" t="s">
        <v>17823</v>
      </c>
      <c r="BE927" s="89">
        <v>2021</v>
      </c>
      <c r="BF927" s="89">
        <v>7</v>
      </c>
      <c r="BG927" s="89">
        <v>4</v>
      </c>
      <c r="BH927" s="89" t="s">
        <v>646</v>
      </c>
      <c r="BI927" s="89" t="s">
        <v>646</v>
      </c>
      <c r="BJ927" s="89" t="s">
        <v>646</v>
      </c>
      <c r="BK927" s="89" t="s">
        <v>646</v>
      </c>
      <c r="BL927" s="89" t="s">
        <v>646</v>
      </c>
      <c r="BM927" s="89" t="s">
        <v>646</v>
      </c>
      <c r="BN927" s="89" t="s">
        <v>24764</v>
      </c>
      <c r="BO927" s="89" t="str">
        <f>HYPERLINK("http://dx.doi.org/10.2196/23872","http://dx.doi.org/10.2196/23872")</f>
        <v>http://dx.doi.org/10.2196/23872</v>
      </c>
      <c r="BP927" s="89" t="s">
        <v>646</v>
      </c>
      <c r="BQ927" s="89" t="s">
        <v>646</v>
      </c>
      <c r="BR927" s="89" t="s">
        <v>646</v>
      </c>
      <c r="BS927" s="89" t="s">
        <v>646</v>
      </c>
      <c r="BT927" s="89" t="s">
        <v>646</v>
      </c>
      <c r="BU927" s="89" t="s">
        <v>646</v>
      </c>
      <c r="BV927" s="89" t="s">
        <v>646</v>
      </c>
      <c r="BW927" s="89">
        <v>33904828</v>
      </c>
      <c r="BX927" s="89" t="s">
        <v>646</v>
      </c>
      <c r="BY927" s="89" t="s">
        <v>646</v>
      </c>
      <c r="BZ927" s="89" t="s">
        <v>646</v>
      </c>
      <c r="CA927" s="89" t="s">
        <v>646</v>
      </c>
      <c r="CB927" s="89" t="s">
        <v>24765</v>
      </c>
      <c r="CC927" s="89" t="str">
        <f>HYPERLINK("https%3A%2F%2Fwww.webofscience.com%2Fwos%2Fwoscc%2Ffull-record%2FWOS:000647221500006","View Full Record in Web of Science")</f>
        <v>View Full Record in Web of Science</v>
      </c>
    </row>
    <row r="928" spans="1:81" ht="13.2" hidden="1" x14ac:dyDescent="0.25">
      <c r="A928" s="89" t="s">
        <v>15651</v>
      </c>
      <c r="B928" s="89" t="e">
        <f>+#REF!</f>
        <v>#REF!</v>
      </c>
      <c r="C928" s="89"/>
      <c r="D928" s="91" t="s">
        <v>717</v>
      </c>
      <c r="E928" s="90" t="e">
        <v>#REF!</v>
      </c>
      <c r="F928" s="89"/>
      <c r="G928" s="89"/>
      <c r="H928" s="89" t="s">
        <v>15652</v>
      </c>
      <c r="I928" s="89" t="s">
        <v>24766</v>
      </c>
      <c r="J928" s="89" t="s">
        <v>646</v>
      </c>
      <c r="K928" s="89" t="s">
        <v>24767</v>
      </c>
      <c r="M928" s="89">
        <v>2019</v>
      </c>
      <c r="N928" s="89" t="s">
        <v>19680</v>
      </c>
      <c r="O928" s="89" t="s">
        <v>646</v>
      </c>
      <c r="P928" s="89" t="str">
        <f>HYPERLINK("http://dx.doi.org/10.1093/asj/sjy281","http://dx.doi.org/10.1093/asj/sjy281")</f>
        <v>http://dx.doi.org/10.1093/asj/sjy281</v>
      </c>
      <c r="S928" s="89" t="s">
        <v>646</v>
      </c>
      <c r="U928" s="89" t="s">
        <v>17462</v>
      </c>
      <c r="W928" s="89" t="s">
        <v>646</v>
      </c>
      <c r="X928" s="89" t="s">
        <v>646</v>
      </c>
      <c r="Y928" s="89" t="s">
        <v>646</v>
      </c>
      <c r="Z928" s="89" t="s">
        <v>646</v>
      </c>
      <c r="AA928" s="89" t="s">
        <v>646</v>
      </c>
      <c r="AB928" s="89" t="s">
        <v>646</v>
      </c>
      <c r="AC928" s="89" t="s">
        <v>646</v>
      </c>
      <c r="AD928" s="89" t="s">
        <v>646</v>
      </c>
      <c r="AE928" s="89" t="s">
        <v>646</v>
      </c>
      <c r="AF928" s="89" t="s">
        <v>24767</v>
      </c>
      <c r="AG928" s="89" t="s">
        <v>646</v>
      </c>
      <c r="AH928" s="89" t="s">
        <v>646</v>
      </c>
      <c r="AI928" s="89" t="s">
        <v>646</v>
      </c>
      <c r="AJ928" s="89" t="s">
        <v>646</v>
      </c>
      <c r="AK928" s="89" t="s">
        <v>646</v>
      </c>
      <c r="AL928" s="89" t="s">
        <v>646</v>
      </c>
      <c r="AM928" s="89" t="s">
        <v>646</v>
      </c>
      <c r="AN928" s="89" t="s">
        <v>646</v>
      </c>
      <c r="AO928" s="89" t="s">
        <v>646</v>
      </c>
      <c r="AP928" s="89" t="s">
        <v>646</v>
      </c>
      <c r="AQ928" s="89" t="s">
        <v>646</v>
      </c>
      <c r="AR928" s="89" t="s">
        <v>646</v>
      </c>
      <c r="AS928" s="89" t="s">
        <v>646</v>
      </c>
      <c r="AT928" s="89" t="s">
        <v>646</v>
      </c>
      <c r="AU928" s="89" t="s">
        <v>646</v>
      </c>
      <c r="AV928" s="89" t="s">
        <v>646</v>
      </c>
      <c r="AW928" s="89" t="s">
        <v>646</v>
      </c>
      <c r="AX928" s="89" t="s">
        <v>646</v>
      </c>
      <c r="AY928" s="89" t="s">
        <v>19684</v>
      </c>
      <c r="AZ928" s="89" t="s">
        <v>19685</v>
      </c>
      <c r="BA928" s="89" t="s">
        <v>646</v>
      </c>
      <c r="BB928" s="89" t="s">
        <v>646</v>
      </c>
      <c r="BC928" s="89" t="s">
        <v>646</v>
      </c>
      <c r="BD928" s="89" t="s">
        <v>17739</v>
      </c>
      <c r="BE928" s="89">
        <v>2019</v>
      </c>
      <c r="BF928" s="89">
        <v>39</v>
      </c>
      <c r="BG928" s="89">
        <v>9</v>
      </c>
      <c r="BH928" s="89" t="s">
        <v>646</v>
      </c>
      <c r="BI928" s="89" t="s">
        <v>646</v>
      </c>
      <c r="BJ928" s="89" t="s">
        <v>646</v>
      </c>
      <c r="BK928" s="89" t="s">
        <v>646</v>
      </c>
      <c r="BL928" s="89" t="s">
        <v>24768</v>
      </c>
      <c r="BM928" s="89" t="s">
        <v>24769</v>
      </c>
      <c r="BN928" s="89" t="s">
        <v>646</v>
      </c>
      <c r="BO928" s="89" t="str">
        <f>HYPERLINK("http://dx.doi.org/10.1093/asj/sjy281","http://dx.doi.org/10.1093/asj/sjy281")</f>
        <v>http://dx.doi.org/10.1093/asj/sjy281</v>
      </c>
      <c r="BP928" s="89" t="s">
        <v>646</v>
      </c>
      <c r="BQ928" s="89" t="s">
        <v>646</v>
      </c>
      <c r="BR928" s="89" t="s">
        <v>646</v>
      </c>
      <c r="BS928" s="89" t="s">
        <v>646</v>
      </c>
      <c r="BT928" s="89" t="s">
        <v>646</v>
      </c>
      <c r="BU928" s="89" t="s">
        <v>646</v>
      </c>
      <c r="BV928" s="89" t="s">
        <v>646</v>
      </c>
      <c r="BW928" s="89">
        <v>30329011</v>
      </c>
      <c r="BX928" s="89" t="s">
        <v>646</v>
      </c>
      <c r="BY928" s="89" t="s">
        <v>646</v>
      </c>
      <c r="BZ928" s="89" t="s">
        <v>646</v>
      </c>
      <c r="CA928" s="89" t="s">
        <v>646</v>
      </c>
      <c r="CB928" s="89" t="s">
        <v>24770</v>
      </c>
      <c r="CC928" s="89" t="str">
        <f>HYPERLINK("https%3A%2F%2Fwww.webofscience.com%2Fwos%2Fwoscc%2Ffull-record%2FWOS:000491247600001","View Full Record in Web of Science")</f>
        <v>View Full Record in Web of Science</v>
      </c>
    </row>
    <row r="929" spans="1:81" ht="13.2" hidden="1" x14ac:dyDescent="0.25">
      <c r="A929" s="89" t="s">
        <v>24771</v>
      </c>
      <c r="B929" s="89" t="e">
        <f>+#REF!</f>
        <v>#REF!</v>
      </c>
      <c r="C929" s="89"/>
      <c r="D929" s="91" t="s">
        <v>717</v>
      </c>
      <c r="E929" s="90" t="e">
        <v>#REF!</v>
      </c>
      <c r="F929" s="89"/>
      <c r="G929" s="89"/>
      <c r="H929" s="89" t="s">
        <v>646</v>
      </c>
      <c r="I929" s="89" t="s">
        <v>24772</v>
      </c>
      <c r="J929" s="89" t="s">
        <v>646</v>
      </c>
      <c r="K929" s="89" t="s">
        <v>24773</v>
      </c>
      <c r="M929" s="89">
        <v>2017</v>
      </c>
      <c r="N929" s="89" t="s">
        <v>19631</v>
      </c>
      <c r="O929" s="89" t="s">
        <v>646</v>
      </c>
      <c r="P929" s="89" t="s">
        <v>646</v>
      </c>
      <c r="S929" s="89" t="s">
        <v>646</v>
      </c>
      <c r="U929" s="89" t="s">
        <v>17462</v>
      </c>
      <c r="W929" s="89" t="s">
        <v>646</v>
      </c>
      <c r="X929" s="89" t="s">
        <v>646</v>
      </c>
      <c r="Y929" s="89" t="s">
        <v>646</v>
      </c>
      <c r="Z929" s="89" t="s">
        <v>646</v>
      </c>
      <c r="AA929" s="89" t="s">
        <v>646</v>
      </c>
      <c r="AB929" s="89" t="s">
        <v>646</v>
      </c>
      <c r="AC929" s="89" t="s">
        <v>646</v>
      </c>
      <c r="AD929" s="89" t="s">
        <v>646</v>
      </c>
      <c r="AE929" s="89" t="s">
        <v>646</v>
      </c>
      <c r="AF929" s="89" t="s">
        <v>24773</v>
      </c>
      <c r="AG929" s="89" t="s">
        <v>646</v>
      </c>
      <c r="AH929" s="89" t="s">
        <v>646</v>
      </c>
      <c r="AI929" s="89" t="s">
        <v>646</v>
      </c>
      <c r="AJ929" s="89" t="s">
        <v>646</v>
      </c>
      <c r="AK929" s="89" t="s">
        <v>646</v>
      </c>
      <c r="AL929" s="89" t="s">
        <v>646</v>
      </c>
      <c r="AM929" s="89" t="s">
        <v>646</v>
      </c>
      <c r="AN929" s="89" t="s">
        <v>646</v>
      </c>
      <c r="AO929" s="89" t="s">
        <v>646</v>
      </c>
      <c r="AP929" s="89" t="s">
        <v>646</v>
      </c>
      <c r="AQ929" s="89" t="s">
        <v>646</v>
      </c>
      <c r="AR929" s="89" t="s">
        <v>646</v>
      </c>
      <c r="AS929" s="89" t="s">
        <v>646</v>
      </c>
      <c r="AT929" s="89" t="s">
        <v>646</v>
      </c>
      <c r="AU929" s="89" t="s">
        <v>646</v>
      </c>
      <c r="AV929" s="89" t="s">
        <v>646</v>
      </c>
      <c r="AW929" s="89" t="s">
        <v>646</v>
      </c>
      <c r="AX929" s="89" t="s">
        <v>646</v>
      </c>
      <c r="AY929" s="89" t="s">
        <v>19633</v>
      </c>
      <c r="AZ929" s="89" t="s">
        <v>19634</v>
      </c>
      <c r="BA929" s="89" t="s">
        <v>646</v>
      </c>
      <c r="BB929" s="89" t="s">
        <v>646</v>
      </c>
      <c r="BC929" s="89" t="s">
        <v>646</v>
      </c>
      <c r="BD929" s="89" t="s">
        <v>646</v>
      </c>
      <c r="BE929" s="89">
        <v>2017</v>
      </c>
      <c r="BF929" s="89">
        <v>33</v>
      </c>
      <c r="BG929" s="89">
        <v>2</v>
      </c>
      <c r="BH929" s="89" t="s">
        <v>646</v>
      </c>
      <c r="BI929" s="89" t="s">
        <v>646</v>
      </c>
      <c r="BJ929" s="89" t="s">
        <v>646</v>
      </c>
      <c r="BK929" s="89" t="s">
        <v>646</v>
      </c>
      <c r="BL929" s="89">
        <v>269</v>
      </c>
      <c r="BM929" s="89">
        <v>294</v>
      </c>
      <c r="BN929" s="89" t="s">
        <v>646</v>
      </c>
      <c r="BO929" s="89" t="s">
        <v>646</v>
      </c>
      <c r="BP929" s="89" t="s">
        <v>646</v>
      </c>
      <c r="BQ929" s="89" t="s">
        <v>646</v>
      </c>
      <c r="BR929" s="89" t="s">
        <v>646</v>
      </c>
      <c r="BS929" s="89" t="s">
        <v>646</v>
      </c>
      <c r="BT929" s="89" t="s">
        <v>646</v>
      </c>
      <c r="BU929" s="89" t="s">
        <v>646</v>
      </c>
      <c r="BV929" s="89" t="s">
        <v>646</v>
      </c>
      <c r="BW929" s="89" t="s">
        <v>646</v>
      </c>
      <c r="BX929" s="89" t="s">
        <v>646</v>
      </c>
      <c r="BY929" s="89" t="s">
        <v>646</v>
      </c>
      <c r="BZ929" s="89" t="s">
        <v>646</v>
      </c>
      <c r="CA929" s="89" t="s">
        <v>646</v>
      </c>
      <c r="CB929" s="89" t="s">
        <v>24774</v>
      </c>
      <c r="CC929" s="89" t="str">
        <f>HYPERLINK("https%3A%2F%2Fwww.webofscience.com%2Fwos%2Fwoscc%2Ffull-record%2FWOS:000426243500004","View Full Record in Web of Science")</f>
        <v>View Full Record in Web of Science</v>
      </c>
    </row>
    <row r="930" spans="1:81" ht="13.2" hidden="1" x14ac:dyDescent="0.25">
      <c r="A930" s="89" t="s">
        <v>24775</v>
      </c>
      <c r="B930" s="89" t="e">
        <f>+#REF!</f>
        <v>#REF!</v>
      </c>
      <c r="C930" s="89"/>
      <c r="D930" s="91" t="s">
        <v>717</v>
      </c>
      <c r="E930" s="90" t="e">
        <v>#REF!</v>
      </c>
      <c r="F930" s="89"/>
      <c r="G930" s="89"/>
      <c r="H930" s="89" t="s">
        <v>10529</v>
      </c>
      <c r="I930" s="89" t="s">
        <v>24776</v>
      </c>
      <c r="J930" s="89" t="s">
        <v>24779</v>
      </c>
      <c r="K930" s="89" t="s">
        <v>24778</v>
      </c>
      <c r="M930" s="89">
        <v>2021</v>
      </c>
      <c r="N930" s="89" t="s">
        <v>24777</v>
      </c>
      <c r="O930" s="89" t="s">
        <v>646</v>
      </c>
      <c r="P930" s="89" t="str">
        <f>HYPERLINK("http://dx.doi.org/10.1093/cje/beab007","http://dx.doi.org/10.1093/cje/beab007")</f>
        <v>http://dx.doi.org/10.1093/cje/beab007</v>
      </c>
      <c r="S930" s="89" t="s">
        <v>646</v>
      </c>
      <c r="U930" s="89" t="s">
        <v>17462</v>
      </c>
      <c r="W930" s="89" t="s">
        <v>646</v>
      </c>
      <c r="X930" s="89" t="s">
        <v>646</v>
      </c>
      <c r="Y930" s="89" t="s">
        <v>646</v>
      </c>
      <c r="Z930" s="89" t="s">
        <v>646</v>
      </c>
      <c r="AA930" s="89" t="s">
        <v>646</v>
      </c>
      <c r="AB930" s="89" t="s">
        <v>646</v>
      </c>
      <c r="AC930" s="89" t="s">
        <v>646</v>
      </c>
      <c r="AD930" s="89" t="s">
        <v>646</v>
      </c>
      <c r="AE930" s="89" t="s">
        <v>646</v>
      </c>
      <c r="AF930" s="89" t="s">
        <v>24778</v>
      </c>
      <c r="AG930" s="89" t="s">
        <v>646</v>
      </c>
      <c r="AH930" s="89" t="s">
        <v>646</v>
      </c>
      <c r="AI930" s="89" t="s">
        <v>646</v>
      </c>
      <c r="AJ930" s="89" t="s">
        <v>646</v>
      </c>
      <c r="AK930" s="89" t="s">
        <v>24779</v>
      </c>
      <c r="AL930" s="89" t="s">
        <v>24780</v>
      </c>
      <c r="AM930" s="89" t="s">
        <v>646</v>
      </c>
      <c r="AN930" s="89" t="s">
        <v>646</v>
      </c>
      <c r="AO930" s="89" t="s">
        <v>646</v>
      </c>
      <c r="AP930" s="89" t="s">
        <v>646</v>
      </c>
      <c r="AQ930" s="89" t="s">
        <v>646</v>
      </c>
      <c r="AR930" s="89" t="s">
        <v>646</v>
      </c>
      <c r="AS930" s="89" t="s">
        <v>646</v>
      </c>
      <c r="AT930" s="89" t="s">
        <v>646</v>
      </c>
      <c r="AU930" s="89" t="s">
        <v>646</v>
      </c>
      <c r="AV930" s="89" t="s">
        <v>646</v>
      </c>
      <c r="AW930" s="89" t="s">
        <v>646</v>
      </c>
      <c r="AX930" s="89" t="s">
        <v>646</v>
      </c>
      <c r="AY930" s="89" t="s">
        <v>24781</v>
      </c>
      <c r="AZ930" s="89" t="s">
        <v>24782</v>
      </c>
      <c r="BA930" s="89" t="s">
        <v>646</v>
      </c>
      <c r="BB930" s="89" t="s">
        <v>646</v>
      </c>
      <c r="BC930" s="89" t="s">
        <v>646</v>
      </c>
      <c r="BD930" s="89" t="s">
        <v>18436</v>
      </c>
      <c r="BE930" s="89">
        <v>2021</v>
      </c>
      <c r="BF930" s="89">
        <v>45</v>
      </c>
      <c r="BG930" s="89">
        <v>3</v>
      </c>
      <c r="BH930" s="89" t="s">
        <v>646</v>
      </c>
      <c r="BI930" s="89" t="s">
        <v>646</v>
      </c>
      <c r="BJ930" s="89" t="s">
        <v>646</v>
      </c>
      <c r="BK930" s="89" t="s">
        <v>646</v>
      </c>
      <c r="BL930" s="89">
        <v>457</v>
      </c>
      <c r="BM930" s="89">
        <v>486</v>
      </c>
      <c r="BN930" s="89" t="s">
        <v>646</v>
      </c>
      <c r="BO930" s="89" t="str">
        <f>HYPERLINK("http://dx.doi.org/10.1093/cje/beab007","http://dx.doi.org/10.1093/cje/beab007")</f>
        <v>http://dx.doi.org/10.1093/cje/beab007</v>
      </c>
      <c r="BP930" s="89" t="s">
        <v>646</v>
      </c>
      <c r="BQ930" s="89" t="s">
        <v>19283</v>
      </c>
      <c r="BR930" s="89" t="s">
        <v>646</v>
      </c>
      <c r="BS930" s="89" t="s">
        <v>646</v>
      </c>
      <c r="BT930" s="89" t="s">
        <v>646</v>
      </c>
      <c r="BU930" s="89" t="s">
        <v>646</v>
      </c>
      <c r="BV930" s="89" t="s">
        <v>646</v>
      </c>
      <c r="BW930" s="89" t="s">
        <v>646</v>
      </c>
      <c r="BX930" s="89" t="s">
        <v>646</v>
      </c>
      <c r="BY930" s="89" t="s">
        <v>646</v>
      </c>
      <c r="BZ930" s="89" t="s">
        <v>646</v>
      </c>
      <c r="CA930" s="89" t="s">
        <v>646</v>
      </c>
      <c r="CB930" s="89" t="s">
        <v>24783</v>
      </c>
      <c r="CC930" s="89" t="str">
        <f>HYPERLINK("https%3A%2F%2Fwww.webofscience.com%2Fwos%2Fwoscc%2Ffull-record%2FWOS:000667758400003","View Full Record in Web of Science")</f>
        <v>View Full Record in Web of Science</v>
      </c>
    </row>
    <row r="931" spans="1:81" ht="13.2" hidden="1" x14ac:dyDescent="0.25">
      <c r="A931" s="89" t="s">
        <v>1455</v>
      </c>
      <c r="B931" s="89" t="e">
        <f>+#REF!</f>
        <v>#REF!</v>
      </c>
      <c r="C931" s="89"/>
      <c r="D931" s="91" t="s">
        <v>717</v>
      </c>
      <c r="E931" s="90" t="e">
        <v>#REF!</v>
      </c>
      <c r="F931" s="89"/>
      <c r="G931" s="89"/>
      <c r="H931" s="89" t="s">
        <v>1457</v>
      </c>
      <c r="I931" s="89" t="s">
        <v>24784</v>
      </c>
      <c r="J931" s="89" t="s">
        <v>646</v>
      </c>
      <c r="K931" s="89" t="s">
        <v>24786</v>
      </c>
      <c r="M931" s="89">
        <v>2020</v>
      </c>
      <c r="N931" s="89" t="s">
        <v>24785</v>
      </c>
      <c r="O931" s="89" t="s">
        <v>646</v>
      </c>
      <c r="P931" s="89" t="str">
        <f>HYPERLINK("http://dx.doi.org/10.1007/s11187-019-00239-5","http://dx.doi.org/10.1007/s11187-019-00239-5")</f>
        <v>http://dx.doi.org/10.1007/s11187-019-00239-5</v>
      </c>
      <c r="S931" s="89" t="s">
        <v>646</v>
      </c>
      <c r="U931" s="89" t="s">
        <v>17462</v>
      </c>
      <c r="W931" s="89" t="s">
        <v>646</v>
      </c>
      <c r="X931" s="89" t="s">
        <v>646</v>
      </c>
      <c r="Y931" s="89" t="s">
        <v>646</v>
      </c>
      <c r="Z931" s="89" t="s">
        <v>646</v>
      </c>
      <c r="AA931" s="89" t="s">
        <v>646</v>
      </c>
      <c r="AB931" s="89" t="s">
        <v>646</v>
      </c>
      <c r="AC931" s="89" t="s">
        <v>646</v>
      </c>
      <c r="AD931" s="89" t="s">
        <v>646</v>
      </c>
      <c r="AE931" s="89" t="s">
        <v>646</v>
      </c>
      <c r="AF931" s="89" t="s">
        <v>24786</v>
      </c>
      <c r="AG931" s="89" t="s">
        <v>646</v>
      </c>
      <c r="AH931" s="89" t="s">
        <v>646</v>
      </c>
      <c r="AI931" s="89" t="s">
        <v>646</v>
      </c>
      <c r="AJ931" s="89" t="s">
        <v>646</v>
      </c>
      <c r="AK931" s="89" t="s">
        <v>646</v>
      </c>
      <c r="AL931" s="89" t="s">
        <v>646</v>
      </c>
      <c r="AM931" s="89" t="s">
        <v>646</v>
      </c>
      <c r="AN931" s="89" t="s">
        <v>646</v>
      </c>
      <c r="AO931" s="89" t="s">
        <v>646</v>
      </c>
      <c r="AP931" s="89" t="s">
        <v>646</v>
      </c>
      <c r="AQ931" s="89" t="s">
        <v>646</v>
      </c>
      <c r="AR931" s="89" t="s">
        <v>646</v>
      </c>
      <c r="AS931" s="89" t="s">
        <v>646</v>
      </c>
      <c r="AT931" s="89" t="s">
        <v>646</v>
      </c>
      <c r="AU931" s="89" t="s">
        <v>646</v>
      </c>
      <c r="AV931" s="89" t="s">
        <v>646</v>
      </c>
      <c r="AW931" s="89" t="s">
        <v>646</v>
      </c>
      <c r="AX931" s="89" t="s">
        <v>646</v>
      </c>
      <c r="AY931" s="89" t="s">
        <v>24787</v>
      </c>
      <c r="AZ931" s="89" t="s">
        <v>24788</v>
      </c>
      <c r="BA931" s="89" t="s">
        <v>646</v>
      </c>
      <c r="BB931" s="89" t="s">
        <v>646</v>
      </c>
      <c r="BC931" s="89" t="s">
        <v>646</v>
      </c>
      <c r="BD931" s="89" t="s">
        <v>18655</v>
      </c>
      <c r="BE931" s="89">
        <v>2020</v>
      </c>
      <c r="BF931" s="89">
        <v>55</v>
      </c>
      <c r="BG931" s="89">
        <v>2</v>
      </c>
      <c r="BH931" s="89" t="s">
        <v>646</v>
      </c>
      <c r="BI931" s="89" t="s">
        <v>646</v>
      </c>
      <c r="BJ931" s="89" t="s">
        <v>17555</v>
      </c>
      <c r="BK931" s="89" t="s">
        <v>646</v>
      </c>
      <c r="BL931" s="89">
        <v>389</v>
      </c>
      <c r="BM931" s="89">
        <v>392</v>
      </c>
      <c r="BN931" s="89" t="s">
        <v>646</v>
      </c>
      <c r="BO931" s="89" t="str">
        <f>HYPERLINK("http://dx.doi.org/10.1007/s11187-019-00239-5","http://dx.doi.org/10.1007/s11187-019-00239-5")</f>
        <v>http://dx.doi.org/10.1007/s11187-019-00239-5</v>
      </c>
      <c r="BP931" s="89" t="s">
        <v>646</v>
      </c>
      <c r="BQ931" s="89" t="s">
        <v>646</v>
      </c>
      <c r="BR931" s="89" t="s">
        <v>646</v>
      </c>
      <c r="BS931" s="89" t="s">
        <v>646</v>
      </c>
      <c r="BT931" s="89" t="s">
        <v>646</v>
      </c>
      <c r="BU931" s="89" t="s">
        <v>646</v>
      </c>
      <c r="BV931" s="89" t="s">
        <v>646</v>
      </c>
      <c r="BW931" s="89" t="s">
        <v>646</v>
      </c>
      <c r="BX931" s="89" t="s">
        <v>646</v>
      </c>
      <c r="BY931" s="89" t="s">
        <v>646</v>
      </c>
      <c r="BZ931" s="89" t="s">
        <v>646</v>
      </c>
      <c r="CA931" s="89" t="s">
        <v>646</v>
      </c>
      <c r="CB931" s="89" t="s">
        <v>24789</v>
      </c>
      <c r="CC931" s="89" t="str">
        <f>HYPERLINK("https%3A%2F%2Fwww.webofscience.com%2Fwos%2Fwoscc%2Ffull-record%2FWOS:000551939400006","View Full Record in Web of Science")</f>
        <v>View Full Record in Web of Science</v>
      </c>
    </row>
    <row r="932" spans="1:81" ht="13.2" hidden="1" x14ac:dyDescent="0.25">
      <c r="A932" s="89" t="s">
        <v>24790</v>
      </c>
      <c r="B932" s="89" t="e">
        <f>+#REF!</f>
        <v>#REF!</v>
      </c>
      <c r="C932" s="89"/>
      <c r="D932" s="91" t="s">
        <v>717</v>
      </c>
      <c r="E932" s="90" t="e">
        <v>#REF!</v>
      </c>
      <c r="F932" s="89"/>
      <c r="G932" s="89"/>
      <c r="H932" s="89" t="s">
        <v>15670</v>
      </c>
      <c r="I932" s="89" t="s">
        <v>24792</v>
      </c>
      <c r="J932" s="89" t="s">
        <v>646</v>
      </c>
      <c r="K932" s="89" t="s">
        <v>24797</v>
      </c>
      <c r="M932" s="89">
        <v>2012</v>
      </c>
      <c r="N932" s="89" t="s">
        <v>24793</v>
      </c>
      <c r="O932" s="89" t="s">
        <v>646</v>
      </c>
      <c r="P932" s="89" t="str">
        <f>HYPERLINK("http://dx.doi.org/10.4108/icst.collaboratecom.2012.250391","http://dx.doi.org/10.4108/icst.collaboratecom.2012.250391")</f>
        <v>http://dx.doi.org/10.4108/icst.collaboratecom.2012.250391</v>
      </c>
      <c r="S932" s="89" t="s">
        <v>24791</v>
      </c>
      <c r="U932" s="89" t="s">
        <v>17474</v>
      </c>
      <c r="W932" s="89" t="s">
        <v>646</v>
      </c>
      <c r="X932" s="89" t="s">
        <v>646</v>
      </c>
      <c r="Y932" s="89" t="s">
        <v>24794</v>
      </c>
      <c r="Z932" s="89" t="s">
        <v>24795</v>
      </c>
      <c r="AA932" s="89" t="s">
        <v>20627</v>
      </c>
      <c r="AB932" s="89" t="s">
        <v>24796</v>
      </c>
      <c r="AC932" s="89" t="s">
        <v>646</v>
      </c>
      <c r="AD932" s="89" t="s">
        <v>646</v>
      </c>
      <c r="AE932" s="89" t="s">
        <v>646</v>
      </c>
      <c r="AF932" s="89" t="s">
        <v>24797</v>
      </c>
      <c r="AG932" s="89" t="s">
        <v>646</v>
      </c>
      <c r="AH932" s="89" t="s">
        <v>646</v>
      </c>
      <c r="AI932" s="89" t="s">
        <v>646</v>
      </c>
      <c r="AJ932" s="89" t="s">
        <v>646</v>
      </c>
      <c r="AK932" s="89" t="s">
        <v>646</v>
      </c>
      <c r="AL932" s="89" t="s">
        <v>646</v>
      </c>
      <c r="AM932" s="89" t="s">
        <v>646</v>
      </c>
      <c r="AN932" s="89" t="s">
        <v>646</v>
      </c>
      <c r="AO932" s="89" t="s">
        <v>646</v>
      </c>
      <c r="AP932" s="89" t="s">
        <v>646</v>
      </c>
      <c r="AQ932" s="89" t="s">
        <v>646</v>
      </c>
      <c r="AR932" s="89" t="s">
        <v>646</v>
      </c>
      <c r="AS932" s="89" t="s">
        <v>646</v>
      </c>
      <c r="AT932" s="89" t="s">
        <v>646</v>
      </c>
      <c r="AU932" s="89" t="s">
        <v>646</v>
      </c>
      <c r="AV932" s="89" t="s">
        <v>646</v>
      </c>
      <c r="AW932" s="89" t="s">
        <v>646</v>
      </c>
      <c r="AX932" s="89" t="s">
        <v>646</v>
      </c>
      <c r="AY932" s="89" t="s">
        <v>24798</v>
      </c>
      <c r="AZ932" s="89" t="s">
        <v>646</v>
      </c>
      <c r="BA932" s="89" t="s">
        <v>24799</v>
      </c>
      <c r="BB932" s="89" t="s">
        <v>646</v>
      </c>
      <c r="BC932" s="89" t="s">
        <v>646</v>
      </c>
      <c r="BD932" s="89" t="s">
        <v>646</v>
      </c>
      <c r="BE932" s="89">
        <v>2012</v>
      </c>
      <c r="BF932" s="89" t="s">
        <v>646</v>
      </c>
      <c r="BG932" s="89" t="s">
        <v>646</v>
      </c>
      <c r="BH932" s="89" t="s">
        <v>646</v>
      </c>
      <c r="BI932" s="89" t="s">
        <v>646</v>
      </c>
      <c r="BJ932" s="89" t="s">
        <v>646</v>
      </c>
      <c r="BK932" s="89" t="s">
        <v>646</v>
      </c>
      <c r="BL932" s="89">
        <v>381</v>
      </c>
      <c r="BM932" s="89">
        <v>390</v>
      </c>
      <c r="BN932" s="89" t="s">
        <v>646</v>
      </c>
      <c r="BO932" s="89" t="str">
        <f>HYPERLINK("http://dx.doi.org/10.4108/icst.collaboratecom.2012.250391","http://dx.doi.org/10.4108/icst.collaboratecom.2012.250391")</f>
        <v>http://dx.doi.org/10.4108/icst.collaboratecom.2012.250391</v>
      </c>
      <c r="BP932" s="89" t="s">
        <v>646</v>
      </c>
      <c r="BQ932" s="89" t="s">
        <v>646</v>
      </c>
      <c r="BR932" s="89" t="s">
        <v>646</v>
      </c>
      <c r="BS932" s="89" t="s">
        <v>646</v>
      </c>
      <c r="BT932" s="89" t="s">
        <v>646</v>
      </c>
      <c r="BU932" s="89" t="s">
        <v>646</v>
      </c>
      <c r="BV932" s="89" t="s">
        <v>646</v>
      </c>
      <c r="BW932" s="89" t="s">
        <v>646</v>
      </c>
      <c r="BX932" s="89" t="s">
        <v>646</v>
      </c>
      <c r="BY932" s="89" t="s">
        <v>646</v>
      </c>
      <c r="BZ932" s="89" t="s">
        <v>646</v>
      </c>
      <c r="CA932" s="89" t="s">
        <v>646</v>
      </c>
      <c r="CB932" s="89" t="s">
        <v>24800</v>
      </c>
      <c r="CC932" s="89" t="str">
        <f>HYPERLINK("https%3A%2F%2Fwww.webofscience.com%2Fwos%2Fwoscc%2Ffull-record%2FWOS:000399722200042","View Full Record in Web of Science")</f>
        <v>View Full Record in Web of Science</v>
      </c>
    </row>
    <row r="933" spans="1:81" ht="13.2" hidden="1" x14ac:dyDescent="0.25">
      <c r="A933" s="89" t="s">
        <v>24801</v>
      </c>
      <c r="B933" s="89" t="e">
        <f>+#REF!</f>
        <v>#REF!</v>
      </c>
      <c r="C933" s="89"/>
      <c r="D933" s="91" t="s">
        <v>717</v>
      </c>
      <c r="E933" s="90" t="e">
        <v>#REF!</v>
      </c>
      <c r="F933" s="89"/>
      <c r="G933" s="89"/>
      <c r="H933" s="89" t="s">
        <v>15680</v>
      </c>
      <c r="I933" s="89" t="s">
        <v>24802</v>
      </c>
      <c r="J933" s="89" t="s">
        <v>646</v>
      </c>
      <c r="K933" s="89" t="s">
        <v>24804</v>
      </c>
      <c r="M933" s="89">
        <v>2020</v>
      </c>
      <c r="N933" s="89" t="s">
        <v>24803</v>
      </c>
      <c r="O933" s="89" t="s">
        <v>646</v>
      </c>
      <c r="P933" s="89" t="str">
        <f>HYPERLINK("http://dx.doi.org/10.1037/pro0000315","http://dx.doi.org/10.1037/pro0000315")</f>
        <v>http://dx.doi.org/10.1037/pro0000315</v>
      </c>
      <c r="S933" s="89" t="s">
        <v>646</v>
      </c>
      <c r="U933" s="89" t="s">
        <v>17462</v>
      </c>
      <c r="W933" s="89" t="s">
        <v>646</v>
      </c>
      <c r="X933" s="89" t="s">
        <v>646</v>
      </c>
      <c r="Y933" s="89" t="s">
        <v>646</v>
      </c>
      <c r="Z933" s="89" t="s">
        <v>646</v>
      </c>
      <c r="AA933" s="89" t="s">
        <v>646</v>
      </c>
      <c r="AB933" s="89" t="s">
        <v>646</v>
      </c>
      <c r="AC933" s="89" t="s">
        <v>646</v>
      </c>
      <c r="AD933" s="89" t="s">
        <v>646</v>
      </c>
      <c r="AE933" s="89" t="s">
        <v>646</v>
      </c>
      <c r="AF933" s="89" t="s">
        <v>24804</v>
      </c>
      <c r="AG933" s="89" t="s">
        <v>646</v>
      </c>
      <c r="AH933" s="89" t="s">
        <v>646</v>
      </c>
      <c r="AI933" s="89" t="s">
        <v>646</v>
      </c>
      <c r="AJ933" s="89" t="s">
        <v>646</v>
      </c>
      <c r="AK933" s="89" t="s">
        <v>646</v>
      </c>
      <c r="AL933" s="89" t="s">
        <v>21636</v>
      </c>
      <c r="AM933" s="89" t="s">
        <v>646</v>
      </c>
      <c r="AN933" s="89" t="s">
        <v>646</v>
      </c>
      <c r="AO933" s="89" t="s">
        <v>646</v>
      </c>
      <c r="AP933" s="89" t="s">
        <v>646</v>
      </c>
      <c r="AQ933" s="89" t="s">
        <v>646</v>
      </c>
      <c r="AR933" s="89" t="s">
        <v>646</v>
      </c>
      <c r="AS933" s="89" t="s">
        <v>646</v>
      </c>
      <c r="AT933" s="89" t="s">
        <v>646</v>
      </c>
      <c r="AU933" s="89" t="s">
        <v>646</v>
      </c>
      <c r="AV933" s="89" t="s">
        <v>646</v>
      </c>
      <c r="AW933" s="89" t="s">
        <v>646</v>
      </c>
      <c r="AX933" s="89" t="s">
        <v>646</v>
      </c>
      <c r="AY933" s="89" t="s">
        <v>24805</v>
      </c>
      <c r="AZ933" s="89" t="s">
        <v>24806</v>
      </c>
      <c r="BA933" s="89" t="s">
        <v>646</v>
      </c>
      <c r="BB933" s="89" t="s">
        <v>646</v>
      </c>
      <c r="BC933" s="89" t="s">
        <v>646</v>
      </c>
      <c r="BD933" s="89" t="s">
        <v>18655</v>
      </c>
      <c r="BE933" s="89">
        <v>2020</v>
      </c>
      <c r="BF933" s="89">
        <v>51</v>
      </c>
      <c r="BG933" s="89">
        <v>4</v>
      </c>
      <c r="BH933" s="89" t="s">
        <v>646</v>
      </c>
      <c r="BI933" s="89" t="s">
        <v>646</v>
      </c>
      <c r="BJ933" s="89" t="s">
        <v>646</v>
      </c>
      <c r="BK933" s="89" t="s">
        <v>646</v>
      </c>
      <c r="BL933" s="89">
        <v>317</v>
      </c>
      <c r="BM933" s="89">
        <v>324</v>
      </c>
      <c r="BN933" s="89" t="s">
        <v>646</v>
      </c>
      <c r="BO933" s="89" t="str">
        <f>HYPERLINK("http://dx.doi.org/10.1037/pro0000315","http://dx.doi.org/10.1037/pro0000315")</f>
        <v>http://dx.doi.org/10.1037/pro0000315</v>
      </c>
      <c r="BP933" s="89" t="s">
        <v>646</v>
      </c>
      <c r="BQ933" s="89" t="s">
        <v>646</v>
      </c>
      <c r="BR933" s="89" t="s">
        <v>646</v>
      </c>
      <c r="BS933" s="89" t="s">
        <v>646</v>
      </c>
      <c r="BT933" s="89" t="s">
        <v>646</v>
      </c>
      <c r="BU933" s="89" t="s">
        <v>646</v>
      </c>
      <c r="BV933" s="89" t="s">
        <v>646</v>
      </c>
      <c r="BW933" s="89" t="s">
        <v>646</v>
      </c>
      <c r="BX933" s="89" t="s">
        <v>646</v>
      </c>
      <c r="BY933" s="89" t="s">
        <v>646</v>
      </c>
      <c r="BZ933" s="89" t="s">
        <v>646</v>
      </c>
      <c r="CA933" s="89" t="s">
        <v>646</v>
      </c>
      <c r="CB933" s="89" t="s">
        <v>24807</v>
      </c>
      <c r="CC933" s="89" t="str">
        <f>HYPERLINK("https%3A%2F%2Fwww.webofscience.com%2Fwos%2Fwoscc%2Ffull-record%2FWOS:000558746000002","View Full Record in Web of Science")</f>
        <v>View Full Record in Web of Science</v>
      </c>
    </row>
    <row r="934" spans="1:81" ht="13.2" hidden="1" x14ac:dyDescent="0.25">
      <c r="A934" s="89" t="s">
        <v>24808</v>
      </c>
      <c r="B934" s="89" t="e">
        <f>+#REF!</f>
        <v>#REF!</v>
      </c>
      <c r="C934" s="89"/>
      <c r="D934" s="91" t="s">
        <v>717</v>
      </c>
      <c r="E934" s="90" t="e">
        <v>#REF!</v>
      </c>
      <c r="F934" s="89"/>
      <c r="G934" s="89"/>
      <c r="H934" s="89" t="s">
        <v>15690</v>
      </c>
      <c r="I934" s="89" t="s">
        <v>22484</v>
      </c>
      <c r="J934" s="89" t="s">
        <v>646</v>
      </c>
      <c r="K934" s="89" t="s">
        <v>24809</v>
      </c>
      <c r="M934" s="89">
        <v>2007</v>
      </c>
      <c r="N934" s="89" t="s">
        <v>18712</v>
      </c>
      <c r="O934" s="89" t="s">
        <v>646</v>
      </c>
      <c r="P934" s="89" t="str">
        <f>HYPERLINK("http://dx.doi.org/10.1111/j.1467-8543.2007.00629.x","http://dx.doi.org/10.1111/j.1467-8543.2007.00629.x")</f>
        <v>http://dx.doi.org/10.1111/j.1467-8543.2007.00629.x</v>
      </c>
      <c r="S934" s="89" t="s">
        <v>646</v>
      </c>
      <c r="U934" s="89" t="s">
        <v>17462</v>
      </c>
      <c r="W934" s="89" t="s">
        <v>646</v>
      </c>
      <c r="X934" s="89" t="s">
        <v>646</v>
      </c>
      <c r="Y934" s="89" t="s">
        <v>646</v>
      </c>
      <c r="Z934" s="89" t="s">
        <v>646</v>
      </c>
      <c r="AA934" s="89" t="s">
        <v>646</v>
      </c>
      <c r="AB934" s="89" t="s">
        <v>646</v>
      </c>
      <c r="AC934" s="89" t="s">
        <v>646</v>
      </c>
      <c r="AD934" s="89" t="s">
        <v>646</v>
      </c>
      <c r="AE934" s="89" t="s">
        <v>646</v>
      </c>
      <c r="AF934" s="89" t="s">
        <v>24809</v>
      </c>
      <c r="AG934" s="89" t="s">
        <v>646</v>
      </c>
      <c r="AH934" s="89" t="s">
        <v>646</v>
      </c>
      <c r="AI934" s="89" t="s">
        <v>646</v>
      </c>
      <c r="AJ934" s="89" t="s">
        <v>646</v>
      </c>
      <c r="AK934" s="89" t="s">
        <v>646</v>
      </c>
      <c r="AL934" s="89" t="s">
        <v>646</v>
      </c>
      <c r="AM934" s="89" t="s">
        <v>646</v>
      </c>
      <c r="AN934" s="89" t="s">
        <v>646</v>
      </c>
      <c r="AO934" s="89" t="s">
        <v>646</v>
      </c>
      <c r="AP934" s="89" t="s">
        <v>646</v>
      </c>
      <c r="AQ934" s="89" t="s">
        <v>646</v>
      </c>
      <c r="AR934" s="89" t="s">
        <v>646</v>
      </c>
      <c r="AS934" s="89" t="s">
        <v>646</v>
      </c>
      <c r="AT934" s="89" t="s">
        <v>646</v>
      </c>
      <c r="AU934" s="89" t="s">
        <v>646</v>
      </c>
      <c r="AV934" s="89" t="s">
        <v>646</v>
      </c>
      <c r="AW934" s="89" t="s">
        <v>646</v>
      </c>
      <c r="AX934" s="89" t="s">
        <v>646</v>
      </c>
      <c r="AY934" s="89" t="s">
        <v>18716</v>
      </c>
      <c r="AZ934" s="89" t="s">
        <v>18717</v>
      </c>
      <c r="BA934" s="89" t="s">
        <v>646</v>
      </c>
      <c r="BB934" s="89" t="s">
        <v>646</v>
      </c>
      <c r="BC934" s="89" t="s">
        <v>646</v>
      </c>
      <c r="BD934" s="89" t="s">
        <v>17739</v>
      </c>
      <c r="BE934" s="89">
        <v>2007</v>
      </c>
      <c r="BF934" s="89">
        <v>45</v>
      </c>
      <c r="BG934" s="89">
        <v>3</v>
      </c>
      <c r="BH934" s="89" t="s">
        <v>646</v>
      </c>
      <c r="BI934" s="89" t="s">
        <v>646</v>
      </c>
      <c r="BJ934" s="89" t="s">
        <v>646</v>
      </c>
      <c r="BK934" s="89" t="s">
        <v>646</v>
      </c>
      <c r="BL934" s="89">
        <v>581</v>
      </c>
      <c r="BM934" s="89">
        <v>606</v>
      </c>
      <c r="BN934" s="89" t="s">
        <v>646</v>
      </c>
      <c r="BO934" s="89" t="str">
        <f>HYPERLINK("http://dx.doi.org/10.1111/j.1467-8543.2007.00629.x","http://dx.doi.org/10.1111/j.1467-8543.2007.00629.x")</f>
        <v>http://dx.doi.org/10.1111/j.1467-8543.2007.00629.x</v>
      </c>
      <c r="BP934" s="89" t="s">
        <v>646</v>
      </c>
      <c r="BQ934" s="89" t="s">
        <v>646</v>
      </c>
      <c r="BR934" s="89" t="s">
        <v>646</v>
      </c>
      <c r="BS934" s="89" t="s">
        <v>646</v>
      </c>
      <c r="BT934" s="89" t="s">
        <v>646</v>
      </c>
      <c r="BU934" s="89" t="s">
        <v>646</v>
      </c>
      <c r="BV934" s="89" t="s">
        <v>646</v>
      </c>
      <c r="BW934" s="89" t="s">
        <v>646</v>
      </c>
      <c r="BX934" s="89" t="s">
        <v>646</v>
      </c>
      <c r="BY934" s="89" t="s">
        <v>646</v>
      </c>
      <c r="BZ934" s="89" t="s">
        <v>646</v>
      </c>
      <c r="CA934" s="89" t="s">
        <v>646</v>
      </c>
      <c r="CB934" s="89" t="s">
        <v>24810</v>
      </c>
      <c r="CC934" s="89" t="str">
        <f>HYPERLINK("https%3A%2F%2Fwww.webofscience.com%2Fwos%2Fwoscc%2Ffull-record%2FWOS:000248521100006","View Full Record in Web of Science")</f>
        <v>View Full Record in Web of Science</v>
      </c>
    </row>
    <row r="935" spans="1:81" ht="13.2" hidden="1" x14ac:dyDescent="0.25">
      <c r="A935" s="89" t="s">
        <v>15696</v>
      </c>
      <c r="B935" s="89" t="e">
        <f>+#REF!</f>
        <v>#REF!</v>
      </c>
      <c r="C935" s="89"/>
      <c r="D935" s="91" t="s">
        <v>717</v>
      </c>
      <c r="E935" s="90" t="e">
        <v>#REF!</v>
      </c>
      <c r="F935" s="89"/>
      <c r="G935" s="89"/>
      <c r="H935" s="89" t="s">
        <v>15697</v>
      </c>
      <c r="I935" s="89" t="s">
        <v>24811</v>
      </c>
      <c r="J935" s="89" t="s">
        <v>24814</v>
      </c>
      <c r="K935" s="89" t="s">
        <v>24813</v>
      </c>
      <c r="M935" s="89">
        <v>2016</v>
      </c>
      <c r="N935" s="89" t="s">
        <v>24812</v>
      </c>
      <c r="O935" s="89" t="s">
        <v>646</v>
      </c>
      <c r="P935" s="89" t="str">
        <f>HYPERLINK("http://dx.doi.org/10.1016/j.cose.2016.04.001","http://dx.doi.org/10.1016/j.cose.2016.04.001")</f>
        <v>http://dx.doi.org/10.1016/j.cose.2016.04.001</v>
      </c>
      <c r="S935" s="89" t="s">
        <v>646</v>
      </c>
      <c r="U935" s="89" t="s">
        <v>17462</v>
      </c>
      <c r="W935" s="89" t="s">
        <v>646</v>
      </c>
      <c r="X935" s="89" t="s">
        <v>646</v>
      </c>
      <c r="Y935" s="89" t="s">
        <v>646</v>
      </c>
      <c r="Z935" s="89" t="s">
        <v>646</v>
      </c>
      <c r="AA935" s="89" t="s">
        <v>646</v>
      </c>
      <c r="AB935" s="89" t="s">
        <v>646</v>
      </c>
      <c r="AC935" s="89" t="s">
        <v>646</v>
      </c>
      <c r="AD935" s="89" t="s">
        <v>646</v>
      </c>
      <c r="AE935" s="89" t="s">
        <v>646</v>
      </c>
      <c r="AF935" s="89" t="s">
        <v>24813</v>
      </c>
      <c r="AG935" s="89" t="s">
        <v>646</v>
      </c>
      <c r="AH935" s="89" t="s">
        <v>646</v>
      </c>
      <c r="AI935" s="89" t="s">
        <v>646</v>
      </c>
      <c r="AJ935" s="89" t="s">
        <v>646</v>
      </c>
      <c r="AK935" s="89" t="s">
        <v>24814</v>
      </c>
      <c r="AL935" s="89" t="s">
        <v>24815</v>
      </c>
      <c r="AM935" s="89" t="s">
        <v>646</v>
      </c>
      <c r="AN935" s="89" t="s">
        <v>646</v>
      </c>
      <c r="AO935" s="89" t="s">
        <v>646</v>
      </c>
      <c r="AP935" s="89" t="s">
        <v>646</v>
      </c>
      <c r="AQ935" s="89" t="s">
        <v>646</v>
      </c>
      <c r="AR935" s="89" t="s">
        <v>646</v>
      </c>
      <c r="AS935" s="89" t="s">
        <v>646</v>
      </c>
      <c r="AT935" s="89" t="s">
        <v>646</v>
      </c>
      <c r="AU935" s="89" t="s">
        <v>646</v>
      </c>
      <c r="AV935" s="89" t="s">
        <v>646</v>
      </c>
      <c r="AW935" s="89" t="s">
        <v>646</v>
      </c>
      <c r="AX935" s="89" t="s">
        <v>646</v>
      </c>
      <c r="AY935" s="89" t="s">
        <v>24816</v>
      </c>
      <c r="AZ935" s="89" t="s">
        <v>24817</v>
      </c>
      <c r="BA935" s="89" t="s">
        <v>646</v>
      </c>
      <c r="BB935" s="89" t="s">
        <v>646</v>
      </c>
      <c r="BC935" s="89" t="s">
        <v>646</v>
      </c>
      <c r="BD935" s="89" t="s">
        <v>17676</v>
      </c>
      <c r="BE935" s="89">
        <v>2016</v>
      </c>
      <c r="BF935" s="89">
        <v>60</v>
      </c>
      <c r="BG935" s="89" t="s">
        <v>646</v>
      </c>
      <c r="BH935" s="89" t="s">
        <v>646</v>
      </c>
      <c r="BI935" s="89" t="s">
        <v>646</v>
      </c>
      <c r="BJ935" s="89" t="s">
        <v>646</v>
      </c>
      <c r="BK935" s="89" t="s">
        <v>646</v>
      </c>
      <c r="BL935" s="89">
        <v>37</v>
      </c>
      <c r="BM935" s="89">
        <v>51</v>
      </c>
      <c r="BN935" s="89" t="s">
        <v>646</v>
      </c>
      <c r="BO935" s="89" t="str">
        <f>HYPERLINK("http://dx.doi.org/10.1016/j.cose.2016.04.001","http://dx.doi.org/10.1016/j.cose.2016.04.001")</f>
        <v>http://dx.doi.org/10.1016/j.cose.2016.04.001</v>
      </c>
      <c r="BP935" s="89" t="s">
        <v>646</v>
      </c>
      <c r="BQ935" s="89" t="s">
        <v>646</v>
      </c>
      <c r="BR935" s="89" t="s">
        <v>646</v>
      </c>
      <c r="BS935" s="89" t="s">
        <v>646</v>
      </c>
      <c r="BT935" s="89" t="s">
        <v>646</v>
      </c>
      <c r="BU935" s="89" t="s">
        <v>646</v>
      </c>
      <c r="BV935" s="89" t="s">
        <v>646</v>
      </c>
      <c r="BW935" s="89" t="s">
        <v>646</v>
      </c>
      <c r="BX935" s="89" t="s">
        <v>646</v>
      </c>
      <c r="BY935" s="89" t="s">
        <v>646</v>
      </c>
      <c r="BZ935" s="89" t="s">
        <v>646</v>
      </c>
      <c r="CA935" s="89" t="s">
        <v>646</v>
      </c>
      <c r="CB935" s="89" t="s">
        <v>24818</v>
      </c>
      <c r="CC935" s="89" t="str">
        <f>HYPERLINK("https%3A%2F%2Fwww.webofscience.com%2Fwos%2Fwoscc%2Ffull-record%2FWOS:000378438600003","View Full Record in Web of Science")</f>
        <v>View Full Record in Web of Science</v>
      </c>
    </row>
    <row r="936" spans="1:81" ht="13.2" hidden="1" x14ac:dyDescent="0.25">
      <c r="A936" s="89" t="s">
        <v>15706</v>
      </c>
      <c r="B936" s="89" t="e">
        <f>+#REF!</f>
        <v>#REF!</v>
      </c>
      <c r="C936" s="89"/>
      <c r="D936" s="91" t="s">
        <v>717</v>
      </c>
      <c r="E936" s="90" t="e">
        <v>#REF!</v>
      </c>
      <c r="F936" s="89"/>
      <c r="G936" s="89"/>
      <c r="H936" s="89" t="s">
        <v>15707</v>
      </c>
      <c r="I936" s="89" t="s">
        <v>24819</v>
      </c>
      <c r="J936" s="89" t="s">
        <v>646</v>
      </c>
      <c r="K936" s="89" t="s">
        <v>24820</v>
      </c>
      <c r="M936" s="89">
        <v>2017</v>
      </c>
      <c r="N936" s="89" t="s">
        <v>22619</v>
      </c>
      <c r="O936" s="89" t="s">
        <v>646</v>
      </c>
      <c r="P936" s="89" t="str">
        <f>HYPERLINK("http://dx.doi.org/10.1093/cjres/rsx001","http://dx.doi.org/10.1093/cjres/rsx001")</f>
        <v>http://dx.doi.org/10.1093/cjres/rsx001</v>
      </c>
      <c r="S936" s="89" t="s">
        <v>646</v>
      </c>
      <c r="U936" s="89" t="s">
        <v>17462</v>
      </c>
      <c r="W936" s="89" t="s">
        <v>646</v>
      </c>
      <c r="X936" s="89" t="s">
        <v>646</v>
      </c>
      <c r="Y936" s="89" t="s">
        <v>646</v>
      </c>
      <c r="Z936" s="89" t="s">
        <v>646</v>
      </c>
      <c r="AA936" s="89" t="s">
        <v>646</v>
      </c>
      <c r="AB936" s="89" t="s">
        <v>646</v>
      </c>
      <c r="AC936" s="89" t="s">
        <v>646</v>
      </c>
      <c r="AD936" s="89" t="s">
        <v>646</v>
      </c>
      <c r="AE936" s="89" t="s">
        <v>646</v>
      </c>
      <c r="AF936" s="89" t="s">
        <v>24820</v>
      </c>
      <c r="AG936" s="89" t="s">
        <v>646</v>
      </c>
      <c r="AH936" s="89" t="s">
        <v>646</v>
      </c>
      <c r="AI936" s="89" t="s">
        <v>646</v>
      </c>
      <c r="AJ936" s="89" t="s">
        <v>646</v>
      </c>
      <c r="AK936" s="89" t="s">
        <v>646</v>
      </c>
      <c r="AL936" s="89" t="s">
        <v>24821</v>
      </c>
      <c r="AM936" s="89" t="s">
        <v>646</v>
      </c>
      <c r="AN936" s="89" t="s">
        <v>646</v>
      </c>
      <c r="AO936" s="89" t="s">
        <v>646</v>
      </c>
      <c r="AP936" s="89" t="s">
        <v>646</v>
      </c>
      <c r="AQ936" s="89" t="s">
        <v>646</v>
      </c>
      <c r="AR936" s="89" t="s">
        <v>646</v>
      </c>
      <c r="AS936" s="89" t="s">
        <v>646</v>
      </c>
      <c r="AT936" s="89" t="s">
        <v>646</v>
      </c>
      <c r="AU936" s="89" t="s">
        <v>646</v>
      </c>
      <c r="AV936" s="89" t="s">
        <v>646</v>
      </c>
      <c r="AW936" s="89" t="s">
        <v>646</v>
      </c>
      <c r="AX936" s="89" t="s">
        <v>646</v>
      </c>
      <c r="AY936" s="89" t="s">
        <v>22621</v>
      </c>
      <c r="AZ936" s="89" t="s">
        <v>22622</v>
      </c>
      <c r="BA936" s="89" t="s">
        <v>646</v>
      </c>
      <c r="BB936" s="89" t="s">
        <v>646</v>
      </c>
      <c r="BC936" s="89" t="s">
        <v>646</v>
      </c>
      <c r="BD936" s="89" t="s">
        <v>17676</v>
      </c>
      <c r="BE936" s="89">
        <v>2017</v>
      </c>
      <c r="BF936" s="89">
        <v>10</v>
      </c>
      <c r="BG936" s="89">
        <v>2</v>
      </c>
      <c r="BH936" s="89" t="s">
        <v>646</v>
      </c>
      <c r="BI936" s="89" t="s">
        <v>646</v>
      </c>
      <c r="BJ936" s="89" t="s">
        <v>646</v>
      </c>
      <c r="BK936" s="89" t="s">
        <v>646</v>
      </c>
      <c r="BL936" s="89">
        <v>231</v>
      </c>
      <c r="BM936" s="89">
        <v>247</v>
      </c>
      <c r="BN936" s="89" t="s">
        <v>646</v>
      </c>
      <c r="BO936" s="89" t="str">
        <f>HYPERLINK("http://dx.doi.org/10.1093/cjres/rsx001","http://dx.doi.org/10.1093/cjres/rsx001")</f>
        <v>http://dx.doi.org/10.1093/cjres/rsx001</v>
      </c>
      <c r="BP936" s="89" t="s">
        <v>646</v>
      </c>
      <c r="BQ936" s="89" t="s">
        <v>646</v>
      </c>
      <c r="BR936" s="89" t="s">
        <v>646</v>
      </c>
      <c r="BS936" s="89" t="s">
        <v>646</v>
      </c>
      <c r="BT936" s="89" t="s">
        <v>646</v>
      </c>
      <c r="BU936" s="89" t="s">
        <v>646</v>
      </c>
      <c r="BV936" s="89" t="s">
        <v>646</v>
      </c>
      <c r="BW936" s="89" t="s">
        <v>646</v>
      </c>
      <c r="BX936" s="89" t="s">
        <v>646</v>
      </c>
      <c r="BY936" s="89" t="s">
        <v>646</v>
      </c>
      <c r="BZ936" s="89" t="s">
        <v>646</v>
      </c>
      <c r="CA936" s="89" t="s">
        <v>646</v>
      </c>
      <c r="CB936" s="89" t="s">
        <v>24822</v>
      </c>
      <c r="CC936" s="89" t="str">
        <f>HYPERLINK("https%3A%2F%2Fwww.webofscience.com%2Fwos%2Fwoscc%2Ffull-record%2FWOS:000404620800003","View Full Record in Web of Science")</f>
        <v>View Full Record in Web of Science</v>
      </c>
    </row>
    <row r="937" spans="1:81" ht="13.2" hidden="1" x14ac:dyDescent="0.25">
      <c r="A937" s="89" t="s">
        <v>24823</v>
      </c>
      <c r="B937" s="89" t="e">
        <f>+#REF!</f>
        <v>#REF!</v>
      </c>
      <c r="C937" s="89"/>
      <c r="D937" s="91" t="s">
        <v>717</v>
      </c>
      <c r="E937" s="90" t="e">
        <v>#REF!</v>
      </c>
      <c r="F937" s="89"/>
      <c r="G937" s="89"/>
      <c r="H937" s="89" t="s">
        <v>15715</v>
      </c>
      <c r="I937" s="89" t="s">
        <v>24824</v>
      </c>
      <c r="J937" s="89" t="s">
        <v>646</v>
      </c>
      <c r="K937" s="89" t="s">
        <v>24826</v>
      </c>
      <c r="M937" s="89">
        <v>2020</v>
      </c>
      <c r="N937" s="89" t="s">
        <v>24825</v>
      </c>
      <c r="O937" s="89" t="s">
        <v>646</v>
      </c>
      <c r="P937" s="89" t="str">
        <f>HYPERLINK("http://dx.doi.org/10.1080/09602011.2018.1459307","http://dx.doi.org/10.1080/09602011.2018.1459307")</f>
        <v>http://dx.doi.org/10.1080/09602011.2018.1459307</v>
      </c>
      <c r="S937" s="89" t="s">
        <v>646</v>
      </c>
      <c r="U937" s="89" t="s">
        <v>17462</v>
      </c>
      <c r="W937" s="89" t="s">
        <v>646</v>
      </c>
      <c r="X937" s="89" t="s">
        <v>646</v>
      </c>
      <c r="Y937" s="89" t="s">
        <v>646</v>
      </c>
      <c r="Z937" s="89" t="s">
        <v>646</v>
      </c>
      <c r="AA937" s="89" t="s">
        <v>646</v>
      </c>
      <c r="AB937" s="89" t="s">
        <v>646</v>
      </c>
      <c r="AC937" s="89" t="s">
        <v>646</v>
      </c>
      <c r="AD937" s="89" t="s">
        <v>646</v>
      </c>
      <c r="AE937" s="89" t="s">
        <v>646</v>
      </c>
      <c r="AF937" s="89" t="s">
        <v>24826</v>
      </c>
      <c r="AG937" s="89" t="s">
        <v>646</v>
      </c>
      <c r="AH937" s="89" t="s">
        <v>646</v>
      </c>
      <c r="AI937" s="89" t="s">
        <v>646</v>
      </c>
      <c r="AJ937" s="89" t="s">
        <v>646</v>
      </c>
      <c r="AK937" s="89" t="s">
        <v>646</v>
      </c>
      <c r="AL937" s="89" t="s">
        <v>24827</v>
      </c>
      <c r="AM937" s="89" t="s">
        <v>646</v>
      </c>
      <c r="AN937" s="89" t="s">
        <v>646</v>
      </c>
      <c r="AO937" s="89" t="s">
        <v>646</v>
      </c>
      <c r="AP937" s="89" t="s">
        <v>646</v>
      </c>
      <c r="AQ937" s="89" t="s">
        <v>646</v>
      </c>
      <c r="AR937" s="89" t="s">
        <v>646</v>
      </c>
      <c r="AS937" s="89" t="s">
        <v>646</v>
      </c>
      <c r="AT937" s="89" t="s">
        <v>646</v>
      </c>
      <c r="AU937" s="89" t="s">
        <v>646</v>
      </c>
      <c r="AV937" s="89" t="s">
        <v>646</v>
      </c>
      <c r="AW937" s="89" t="s">
        <v>646</v>
      </c>
      <c r="AX937" s="89" t="s">
        <v>646</v>
      </c>
      <c r="AY937" s="89" t="s">
        <v>24828</v>
      </c>
      <c r="AZ937" s="89" t="s">
        <v>24829</v>
      </c>
      <c r="BA937" s="89" t="s">
        <v>646</v>
      </c>
      <c r="BB937" s="89" t="s">
        <v>646</v>
      </c>
      <c r="BC937" s="89" t="s">
        <v>646</v>
      </c>
      <c r="BD937" s="89" t="s">
        <v>20847</v>
      </c>
      <c r="BE937" s="89">
        <v>2020</v>
      </c>
      <c r="BF937" s="89">
        <v>30</v>
      </c>
      <c r="BG937" s="89">
        <v>1</v>
      </c>
      <c r="BH937" s="89" t="s">
        <v>646</v>
      </c>
      <c r="BI937" s="89" t="s">
        <v>646</v>
      </c>
      <c r="BJ937" s="89" t="s">
        <v>646</v>
      </c>
      <c r="BK937" s="89" t="s">
        <v>646</v>
      </c>
      <c r="BL937" s="89">
        <v>101</v>
      </c>
      <c r="BM937" s="89">
        <v>115</v>
      </c>
      <c r="BN937" s="89" t="s">
        <v>646</v>
      </c>
      <c r="BO937" s="89" t="str">
        <f>HYPERLINK("http://dx.doi.org/10.1080/09602011.2018.1459307","http://dx.doi.org/10.1080/09602011.2018.1459307")</f>
        <v>http://dx.doi.org/10.1080/09602011.2018.1459307</v>
      </c>
      <c r="BP937" s="89" t="s">
        <v>646</v>
      </c>
      <c r="BQ937" s="89" t="s">
        <v>646</v>
      </c>
      <c r="BR937" s="89" t="s">
        <v>646</v>
      </c>
      <c r="BS937" s="89" t="s">
        <v>646</v>
      </c>
      <c r="BT937" s="89" t="s">
        <v>646</v>
      </c>
      <c r="BU937" s="89" t="s">
        <v>646</v>
      </c>
      <c r="BV937" s="89" t="s">
        <v>646</v>
      </c>
      <c r="BW937" s="89">
        <v>29661059</v>
      </c>
      <c r="BX937" s="89" t="s">
        <v>646</v>
      </c>
      <c r="BY937" s="89" t="s">
        <v>646</v>
      </c>
      <c r="BZ937" s="89" t="s">
        <v>646</v>
      </c>
      <c r="CA937" s="89" t="s">
        <v>646</v>
      </c>
      <c r="CB937" s="89" t="s">
        <v>24830</v>
      </c>
      <c r="CC937" s="89" t="str">
        <f>HYPERLINK("https%3A%2F%2Fwww.webofscience.com%2Fwos%2Fwoscc%2Ffull-record%2FWOS:000587755700007","View Full Record in Web of Science")</f>
        <v>View Full Record in Web of Science</v>
      </c>
    </row>
    <row r="938" spans="1:81" ht="13.2" hidden="1" x14ac:dyDescent="0.25">
      <c r="A938" s="89" t="s">
        <v>16650</v>
      </c>
      <c r="B938" s="89" t="e">
        <f>+#REF!</f>
        <v>#REF!</v>
      </c>
      <c r="C938" s="89"/>
      <c r="D938" s="91" t="s">
        <v>717</v>
      </c>
      <c r="E938" s="90" t="e">
        <v>#REF!</v>
      </c>
      <c r="F938" s="89"/>
      <c r="G938" s="89"/>
      <c r="H938" s="89" t="s">
        <v>16651</v>
      </c>
      <c r="I938" s="89" t="s">
        <v>24831</v>
      </c>
      <c r="J938" s="89" t="s">
        <v>24833</v>
      </c>
      <c r="K938" s="89" t="s">
        <v>24832</v>
      </c>
      <c r="M938" s="89">
        <v>2021</v>
      </c>
      <c r="N938" s="89" t="s">
        <v>24589</v>
      </c>
      <c r="O938" s="89" t="s">
        <v>646</v>
      </c>
      <c r="P938" s="89" t="str">
        <f>HYPERLINK("http://dx.doi.org/10.1007/s00420-020-01588-5","http://dx.doi.org/10.1007/s00420-020-01588-5")</f>
        <v>http://dx.doi.org/10.1007/s00420-020-01588-5</v>
      </c>
      <c r="S938" s="89" t="s">
        <v>646</v>
      </c>
      <c r="U938" s="89" t="s">
        <v>17462</v>
      </c>
      <c r="W938" s="89" t="s">
        <v>646</v>
      </c>
      <c r="X938" s="89" t="s">
        <v>646</v>
      </c>
      <c r="Y938" s="89" t="s">
        <v>646</v>
      </c>
      <c r="Z938" s="89" t="s">
        <v>646</v>
      </c>
      <c r="AA938" s="89" t="s">
        <v>646</v>
      </c>
      <c r="AB938" s="89" t="s">
        <v>646</v>
      </c>
      <c r="AC938" s="89" t="s">
        <v>646</v>
      </c>
      <c r="AD938" s="89" t="s">
        <v>646</v>
      </c>
      <c r="AE938" s="89" t="s">
        <v>646</v>
      </c>
      <c r="AF938" s="89" t="s">
        <v>24832</v>
      </c>
      <c r="AG938" s="89" t="s">
        <v>646</v>
      </c>
      <c r="AH938" s="89" t="s">
        <v>646</v>
      </c>
      <c r="AI938" s="89" t="s">
        <v>646</v>
      </c>
      <c r="AJ938" s="89" t="s">
        <v>646</v>
      </c>
      <c r="AK938" s="89" t="s">
        <v>24833</v>
      </c>
      <c r="AL938" s="89" t="s">
        <v>24834</v>
      </c>
      <c r="AM938" s="89" t="s">
        <v>646</v>
      </c>
      <c r="AN938" s="89" t="s">
        <v>646</v>
      </c>
      <c r="AO938" s="89" t="s">
        <v>646</v>
      </c>
      <c r="AP938" s="89" t="s">
        <v>646</v>
      </c>
      <c r="AQ938" s="89" t="s">
        <v>646</v>
      </c>
      <c r="AR938" s="89" t="s">
        <v>646</v>
      </c>
      <c r="AS938" s="89" t="s">
        <v>646</v>
      </c>
      <c r="AT938" s="89" t="s">
        <v>646</v>
      </c>
      <c r="AU938" s="89" t="s">
        <v>646</v>
      </c>
      <c r="AV938" s="89" t="s">
        <v>646</v>
      </c>
      <c r="AW938" s="89" t="s">
        <v>646</v>
      </c>
      <c r="AX938" s="89" t="s">
        <v>646</v>
      </c>
      <c r="AY938" s="89" t="s">
        <v>24593</v>
      </c>
      <c r="AZ938" s="89" t="s">
        <v>24594</v>
      </c>
      <c r="BA938" s="89" t="s">
        <v>646</v>
      </c>
      <c r="BB938" s="89" t="s">
        <v>646</v>
      </c>
      <c r="BC938" s="89" t="s">
        <v>646</v>
      </c>
      <c r="BD938" s="89" t="s">
        <v>17823</v>
      </c>
      <c r="BE938" s="89">
        <v>2021</v>
      </c>
      <c r="BF938" s="89">
        <v>94</v>
      </c>
      <c r="BG938" s="89">
        <v>3</v>
      </c>
      <c r="BH938" s="89" t="s">
        <v>646</v>
      </c>
      <c r="BI938" s="89" t="s">
        <v>646</v>
      </c>
      <c r="BJ938" s="89" t="s">
        <v>646</v>
      </c>
      <c r="BK938" s="89" t="s">
        <v>646</v>
      </c>
      <c r="BL938" s="89">
        <v>377</v>
      </c>
      <c r="BM938" s="89">
        <v>390</v>
      </c>
      <c r="BN938" s="89" t="s">
        <v>646</v>
      </c>
      <c r="BO938" s="89" t="str">
        <f>HYPERLINK("http://dx.doi.org/10.1007/s00420-020-01588-5","http://dx.doi.org/10.1007/s00420-020-01588-5")</f>
        <v>http://dx.doi.org/10.1007/s00420-020-01588-5</v>
      </c>
      <c r="BP938" s="89" t="s">
        <v>646</v>
      </c>
      <c r="BQ938" s="89" t="s">
        <v>23215</v>
      </c>
      <c r="BR938" s="89" t="s">
        <v>646</v>
      </c>
      <c r="BS938" s="89" t="s">
        <v>646</v>
      </c>
      <c r="BT938" s="89" t="s">
        <v>646</v>
      </c>
      <c r="BU938" s="89" t="s">
        <v>646</v>
      </c>
      <c r="BV938" s="89" t="s">
        <v>646</v>
      </c>
      <c r="BW938" s="89">
        <v>33084928</v>
      </c>
      <c r="BX938" s="89" t="s">
        <v>646</v>
      </c>
      <c r="BY938" s="89" t="s">
        <v>646</v>
      </c>
      <c r="BZ938" s="89" t="s">
        <v>646</v>
      </c>
      <c r="CA938" s="89" t="s">
        <v>646</v>
      </c>
      <c r="CB938" s="89" t="s">
        <v>24835</v>
      </c>
      <c r="CC938" s="89" t="str">
        <f>HYPERLINK("https%3A%2F%2Fwww.webofscience.com%2Fwos%2Fwoscc%2Ffull-record%2FWOS:000580889700002","View Full Record in Web of Science")</f>
        <v>View Full Record in Web of Science</v>
      </c>
    </row>
    <row r="939" spans="1:81" ht="13.2" hidden="1" x14ac:dyDescent="0.25">
      <c r="A939" s="89" t="s">
        <v>24836</v>
      </c>
      <c r="B939" s="89" t="e">
        <f>+#REF!</f>
        <v>#REF!</v>
      </c>
      <c r="C939" s="89"/>
      <c r="D939" s="91" t="s">
        <v>717</v>
      </c>
      <c r="E939" s="90" t="e">
        <v>#REF!</v>
      </c>
      <c r="F939" s="89"/>
      <c r="G939" s="89"/>
      <c r="H939" s="89" t="s">
        <v>10539</v>
      </c>
      <c r="I939" s="89" t="s">
        <v>24837</v>
      </c>
      <c r="J939" s="89" t="s">
        <v>646</v>
      </c>
      <c r="K939" s="89" t="s">
        <v>24839</v>
      </c>
      <c r="M939" s="89">
        <v>2021</v>
      </c>
      <c r="N939" s="89" t="s">
        <v>24838</v>
      </c>
      <c r="O939" s="89" t="s">
        <v>646</v>
      </c>
      <c r="P939" s="89" t="str">
        <f>HYPERLINK("http://dx.doi.org/10.17323/2500-2597.2021.1.19.29","http://dx.doi.org/10.17323/2500-2597.2021.1.19.29")</f>
        <v>http://dx.doi.org/10.17323/2500-2597.2021.1.19.29</v>
      </c>
      <c r="S939" s="89" t="s">
        <v>646</v>
      </c>
      <c r="U939" s="89" t="s">
        <v>17462</v>
      </c>
      <c r="W939" s="89" t="s">
        <v>646</v>
      </c>
      <c r="X939" s="89" t="s">
        <v>646</v>
      </c>
      <c r="Y939" s="89" t="s">
        <v>646</v>
      </c>
      <c r="Z939" s="89" t="s">
        <v>646</v>
      </c>
      <c r="AA939" s="89" t="s">
        <v>646</v>
      </c>
      <c r="AB939" s="89" t="s">
        <v>646</v>
      </c>
      <c r="AC939" s="89" t="s">
        <v>646</v>
      </c>
      <c r="AD939" s="89" t="s">
        <v>646</v>
      </c>
      <c r="AE939" s="89" t="s">
        <v>646</v>
      </c>
      <c r="AF939" s="89" t="s">
        <v>24839</v>
      </c>
      <c r="AG939" s="89" t="s">
        <v>646</v>
      </c>
      <c r="AH939" s="89" t="s">
        <v>646</v>
      </c>
      <c r="AI939" s="89" t="s">
        <v>646</v>
      </c>
      <c r="AJ939" s="89" t="s">
        <v>646</v>
      </c>
      <c r="AK939" s="89" t="s">
        <v>646</v>
      </c>
      <c r="AL939" s="89" t="s">
        <v>646</v>
      </c>
      <c r="AM939" s="89" t="s">
        <v>646</v>
      </c>
      <c r="AN939" s="89" t="s">
        <v>646</v>
      </c>
      <c r="AO939" s="89" t="s">
        <v>646</v>
      </c>
      <c r="AP939" s="89" t="s">
        <v>646</v>
      </c>
      <c r="AQ939" s="89" t="s">
        <v>646</v>
      </c>
      <c r="AR939" s="89" t="s">
        <v>646</v>
      </c>
      <c r="AS939" s="89" t="s">
        <v>646</v>
      </c>
      <c r="AT939" s="89" t="s">
        <v>646</v>
      </c>
      <c r="AU939" s="89" t="s">
        <v>646</v>
      </c>
      <c r="AV939" s="89" t="s">
        <v>646</v>
      </c>
      <c r="AW939" s="89" t="s">
        <v>646</v>
      </c>
      <c r="AX939" s="89" t="s">
        <v>646</v>
      </c>
      <c r="AY939" s="89" t="s">
        <v>24840</v>
      </c>
      <c r="AZ939" s="89" t="s">
        <v>24841</v>
      </c>
      <c r="BA939" s="89" t="s">
        <v>646</v>
      </c>
      <c r="BB939" s="89" t="s">
        <v>646</v>
      </c>
      <c r="BC939" s="89" t="s">
        <v>646</v>
      </c>
      <c r="BD939" s="89" t="s">
        <v>646</v>
      </c>
      <c r="BE939" s="89">
        <v>2021</v>
      </c>
      <c r="BF939" s="89">
        <v>15</v>
      </c>
      <c r="BG939" s="89">
        <v>1</v>
      </c>
      <c r="BH939" s="89" t="s">
        <v>646</v>
      </c>
      <c r="BI939" s="89" t="s">
        <v>646</v>
      </c>
      <c r="BJ939" s="89" t="s">
        <v>646</v>
      </c>
      <c r="BK939" s="89" t="s">
        <v>646</v>
      </c>
      <c r="BL939" s="89">
        <v>19</v>
      </c>
      <c r="BM939" s="89">
        <v>29</v>
      </c>
      <c r="BN939" s="89" t="s">
        <v>646</v>
      </c>
      <c r="BO939" s="89" t="str">
        <f>HYPERLINK("http://dx.doi.org/10.17323/2500-2597.2021.1.19.29","http://dx.doi.org/10.17323/2500-2597.2021.1.19.29")</f>
        <v>http://dx.doi.org/10.17323/2500-2597.2021.1.19.29</v>
      </c>
      <c r="BP939" s="89" t="s">
        <v>646</v>
      </c>
      <c r="BQ939" s="89" t="s">
        <v>646</v>
      </c>
      <c r="BR939" s="89" t="s">
        <v>646</v>
      </c>
      <c r="BS939" s="89" t="s">
        <v>646</v>
      </c>
      <c r="BT939" s="89" t="s">
        <v>646</v>
      </c>
      <c r="BU939" s="89" t="s">
        <v>646</v>
      </c>
      <c r="BV939" s="89" t="s">
        <v>646</v>
      </c>
      <c r="BW939" s="89" t="s">
        <v>646</v>
      </c>
      <c r="BX939" s="89" t="s">
        <v>646</v>
      </c>
      <c r="BY939" s="89" t="s">
        <v>646</v>
      </c>
      <c r="BZ939" s="89" t="s">
        <v>646</v>
      </c>
      <c r="CA939" s="89" t="s">
        <v>646</v>
      </c>
      <c r="CB939" s="89" t="s">
        <v>24842</v>
      </c>
      <c r="CC939" s="89" t="str">
        <f>HYPERLINK("https%3A%2F%2Fwww.webofscience.com%2Fwos%2Fwoscc%2Ffull-record%2FWOS:000645125600002","View Full Record in Web of Science")</f>
        <v>View Full Record in Web of Science</v>
      </c>
    </row>
    <row r="940" spans="1:81" ht="13.2" hidden="1" x14ac:dyDescent="0.25">
      <c r="A940" s="89" t="s">
        <v>24843</v>
      </c>
      <c r="B940" s="89" t="e">
        <f>+#REF!</f>
        <v>#REF!</v>
      </c>
      <c r="C940" s="89"/>
      <c r="D940" s="91" t="s">
        <v>717</v>
      </c>
      <c r="E940" s="90" t="e">
        <v>#REF!</v>
      </c>
      <c r="F940" s="89"/>
      <c r="G940" s="89"/>
      <c r="H940" s="89" t="s">
        <v>15725</v>
      </c>
      <c r="I940" s="89" t="s">
        <v>24844</v>
      </c>
      <c r="J940" s="89" t="s">
        <v>24847</v>
      </c>
      <c r="K940" s="89" t="s">
        <v>24846</v>
      </c>
      <c r="M940" s="89">
        <v>2020</v>
      </c>
      <c r="N940" s="89" t="s">
        <v>24845</v>
      </c>
      <c r="O940" s="89" t="s">
        <v>646</v>
      </c>
      <c r="P940" s="89" t="str">
        <f>HYPERLINK("http://dx.doi.org/10.1186/s12903-020-01145-z","http://dx.doi.org/10.1186/s12903-020-01145-z")</f>
        <v>http://dx.doi.org/10.1186/s12903-020-01145-z</v>
      </c>
      <c r="S940" s="89" t="s">
        <v>646</v>
      </c>
      <c r="U940" s="89" t="s">
        <v>17462</v>
      </c>
      <c r="W940" s="89" t="s">
        <v>646</v>
      </c>
      <c r="X940" s="89" t="s">
        <v>646</v>
      </c>
      <c r="Y940" s="89" t="s">
        <v>646</v>
      </c>
      <c r="Z940" s="89" t="s">
        <v>646</v>
      </c>
      <c r="AA940" s="89" t="s">
        <v>646</v>
      </c>
      <c r="AB940" s="89" t="s">
        <v>646</v>
      </c>
      <c r="AC940" s="89" t="s">
        <v>646</v>
      </c>
      <c r="AD940" s="89" t="s">
        <v>646</v>
      </c>
      <c r="AE940" s="89" t="s">
        <v>646</v>
      </c>
      <c r="AF940" s="89" t="s">
        <v>24846</v>
      </c>
      <c r="AG940" s="89" t="s">
        <v>646</v>
      </c>
      <c r="AH940" s="89" t="s">
        <v>646</v>
      </c>
      <c r="AI940" s="89" t="s">
        <v>646</v>
      </c>
      <c r="AJ940" s="89" t="s">
        <v>646</v>
      </c>
      <c r="AK940" s="89" t="s">
        <v>24847</v>
      </c>
      <c r="AL940" s="89" t="s">
        <v>24848</v>
      </c>
      <c r="AM940" s="89" t="s">
        <v>646</v>
      </c>
      <c r="AN940" s="89" t="s">
        <v>646</v>
      </c>
      <c r="AO940" s="89" t="s">
        <v>646</v>
      </c>
      <c r="AP940" s="89" t="s">
        <v>646</v>
      </c>
      <c r="AQ940" s="89" t="s">
        <v>646</v>
      </c>
      <c r="AR940" s="89" t="s">
        <v>646</v>
      </c>
      <c r="AS940" s="89" t="s">
        <v>646</v>
      </c>
      <c r="AT940" s="89" t="s">
        <v>646</v>
      </c>
      <c r="AU940" s="89" t="s">
        <v>646</v>
      </c>
      <c r="AV940" s="89" t="s">
        <v>646</v>
      </c>
      <c r="AW940" s="89" t="s">
        <v>646</v>
      </c>
      <c r="AX940" s="89" t="s">
        <v>646</v>
      </c>
      <c r="AY940" s="89" t="s">
        <v>24849</v>
      </c>
      <c r="AZ940" s="89" t="s">
        <v>646</v>
      </c>
      <c r="BA940" s="89" t="s">
        <v>646</v>
      </c>
      <c r="BB940" s="89" t="s">
        <v>646</v>
      </c>
      <c r="BC940" s="89" t="s">
        <v>646</v>
      </c>
      <c r="BD940" s="89" t="s">
        <v>24850</v>
      </c>
      <c r="BE940" s="89">
        <v>2020</v>
      </c>
      <c r="BF940" s="89">
        <v>20</v>
      </c>
      <c r="BG940" s="89">
        <v>1</v>
      </c>
      <c r="BH940" s="89" t="s">
        <v>646</v>
      </c>
      <c r="BI940" s="89" t="s">
        <v>646</v>
      </c>
      <c r="BJ940" s="89" t="s">
        <v>646</v>
      </c>
      <c r="BK940" s="89" t="s">
        <v>646</v>
      </c>
      <c r="BL940" s="89" t="s">
        <v>646</v>
      </c>
      <c r="BM940" s="89" t="s">
        <v>646</v>
      </c>
      <c r="BN940" s="89">
        <v>165</v>
      </c>
      <c r="BO940" s="89" t="str">
        <f>HYPERLINK("http://dx.doi.org/10.1186/s12903-020-01145-z","http://dx.doi.org/10.1186/s12903-020-01145-z")</f>
        <v>http://dx.doi.org/10.1186/s12903-020-01145-z</v>
      </c>
      <c r="BP940" s="89" t="s">
        <v>646</v>
      </c>
      <c r="BQ940" s="89" t="s">
        <v>646</v>
      </c>
      <c r="BR940" s="89" t="s">
        <v>646</v>
      </c>
      <c r="BS940" s="89" t="s">
        <v>646</v>
      </c>
      <c r="BT940" s="89" t="s">
        <v>646</v>
      </c>
      <c r="BU940" s="89" t="s">
        <v>646</v>
      </c>
      <c r="BV940" s="89" t="s">
        <v>646</v>
      </c>
      <c r="BW940" s="89">
        <v>32503567</v>
      </c>
      <c r="BX940" s="89" t="s">
        <v>646</v>
      </c>
      <c r="BY940" s="89" t="s">
        <v>646</v>
      </c>
      <c r="BZ940" s="89" t="s">
        <v>646</v>
      </c>
      <c r="CA940" s="89" t="s">
        <v>646</v>
      </c>
      <c r="CB940" s="89" t="s">
        <v>24851</v>
      </c>
      <c r="CC940" s="89" t="str">
        <f>HYPERLINK("https%3A%2F%2Fwww.webofscience.com%2Fwos%2Fwoscc%2Ffull-record%2FWOS:000540247000001","View Full Record in Web of Science")</f>
        <v>View Full Record in Web of Science</v>
      </c>
    </row>
    <row r="941" spans="1:81" ht="13.2" hidden="1" x14ac:dyDescent="0.25">
      <c r="A941" s="89" t="s">
        <v>10547</v>
      </c>
      <c r="B941" s="89" t="e">
        <f>+#REF!</f>
        <v>#REF!</v>
      </c>
      <c r="C941" s="89"/>
      <c r="D941" s="91" t="s">
        <v>717</v>
      </c>
      <c r="E941" s="90" t="e">
        <v>#REF!</v>
      </c>
      <c r="F941" s="89"/>
      <c r="G941" s="89"/>
      <c r="H941" s="89" t="s">
        <v>646</v>
      </c>
      <c r="I941" s="89" t="s">
        <v>24852</v>
      </c>
      <c r="J941" s="89" t="s">
        <v>646</v>
      </c>
      <c r="K941" s="89" t="s">
        <v>24854</v>
      </c>
      <c r="M941" s="89">
        <v>2021</v>
      </c>
      <c r="N941" s="89" t="s">
        <v>24853</v>
      </c>
      <c r="O941" s="89" t="s">
        <v>646</v>
      </c>
      <c r="P941" s="89" t="s">
        <v>646</v>
      </c>
      <c r="S941" s="89" t="s">
        <v>646</v>
      </c>
      <c r="U941" s="89" t="s">
        <v>17462</v>
      </c>
      <c r="W941" s="89" t="s">
        <v>646</v>
      </c>
      <c r="X941" s="89" t="s">
        <v>646</v>
      </c>
      <c r="Y941" s="89" t="s">
        <v>646</v>
      </c>
      <c r="Z941" s="89" t="s">
        <v>646</v>
      </c>
      <c r="AA941" s="89" t="s">
        <v>646</v>
      </c>
      <c r="AB941" s="89" t="s">
        <v>646</v>
      </c>
      <c r="AC941" s="89" t="s">
        <v>646</v>
      </c>
      <c r="AD941" s="89" t="s">
        <v>646</v>
      </c>
      <c r="AE941" s="89" t="s">
        <v>646</v>
      </c>
      <c r="AF941" s="89" t="s">
        <v>24854</v>
      </c>
      <c r="AG941" s="89" t="s">
        <v>646</v>
      </c>
      <c r="AH941" s="89" t="s">
        <v>646</v>
      </c>
      <c r="AI941" s="89" t="s">
        <v>646</v>
      </c>
      <c r="AJ941" s="89" t="s">
        <v>646</v>
      </c>
      <c r="AK941" s="89" t="s">
        <v>646</v>
      </c>
      <c r="AL941" s="89" t="s">
        <v>24855</v>
      </c>
      <c r="AM941" s="89" t="s">
        <v>646</v>
      </c>
      <c r="AN941" s="89" t="s">
        <v>646</v>
      </c>
      <c r="AO941" s="89" t="s">
        <v>646</v>
      </c>
      <c r="AP941" s="89" t="s">
        <v>646</v>
      </c>
      <c r="AQ941" s="89" t="s">
        <v>646</v>
      </c>
      <c r="AR941" s="89" t="s">
        <v>646</v>
      </c>
      <c r="AS941" s="89" t="s">
        <v>646</v>
      </c>
      <c r="AT941" s="89" t="s">
        <v>646</v>
      </c>
      <c r="AU941" s="89" t="s">
        <v>646</v>
      </c>
      <c r="AV941" s="89" t="s">
        <v>646</v>
      </c>
      <c r="AW941" s="89" t="s">
        <v>646</v>
      </c>
      <c r="AX941" s="89" t="s">
        <v>646</v>
      </c>
      <c r="AY941" s="89" t="s">
        <v>24856</v>
      </c>
      <c r="AZ941" s="89" t="s">
        <v>24857</v>
      </c>
      <c r="BA941" s="89" t="s">
        <v>646</v>
      </c>
      <c r="BB941" s="89" t="s">
        <v>646</v>
      </c>
      <c r="BC941" s="89" t="s">
        <v>646</v>
      </c>
      <c r="BD941" s="89" t="s">
        <v>18292</v>
      </c>
      <c r="BE941" s="89">
        <v>2021</v>
      </c>
      <c r="BF941" s="89">
        <v>46</v>
      </c>
      <c r="BG941" s="89">
        <v>6</v>
      </c>
      <c r="BH941" s="89" t="s">
        <v>646</v>
      </c>
      <c r="BI941" s="89" t="s">
        <v>646</v>
      </c>
      <c r="BJ941" s="89" t="s">
        <v>646</v>
      </c>
      <c r="BK941" s="89" t="s">
        <v>646</v>
      </c>
      <c r="BL941" s="89">
        <v>665</v>
      </c>
      <c r="BM941" s="89">
        <v>686</v>
      </c>
      <c r="BN941" s="89" t="s">
        <v>646</v>
      </c>
      <c r="BO941" s="89" t="s">
        <v>646</v>
      </c>
      <c r="BP941" s="89" t="s">
        <v>646</v>
      </c>
      <c r="BQ941" s="89" t="s">
        <v>646</v>
      </c>
      <c r="BR941" s="89" t="s">
        <v>646</v>
      </c>
      <c r="BS941" s="89" t="s">
        <v>646</v>
      </c>
      <c r="BT941" s="89" t="s">
        <v>646</v>
      </c>
      <c r="BU941" s="89" t="s">
        <v>646</v>
      </c>
      <c r="BV941" s="89" t="s">
        <v>646</v>
      </c>
      <c r="BW941" s="89" t="s">
        <v>646</v>
      </c>
      <c r="BX941" s="89" t="s">
        <v>646</v>
      </c>
      <c r="BY941" s="89" t="s">
        <v>646</v>
      </c>
      <c r="BZ941" s="89" t="s">
        <v>646</v>
      </c>
      <c r="CA941" s="89" t="s">
        <v>646</v>
      </c>
      <c r="CB941" s="89" t="s">
        <v>24858</v>
      </c>
      <c r="CC941" s="89" t="str">
        <f>HYPERLINK("https%3A%2F%2Fwww.webofscience.com%2Fwos%2Fwoscc%2Ffull-record%2FWOS:000746149400002","View Full Record in Web of Science")</f>
        <v>View Full Record in Web of Science</v>
      </c>
    </row>
    <row r="942" spans="1:81" ht="13.2" hidden="1" x14ac:dyDescent="0.25">
      <c r="A942" s="89" t="s">
        <v>24859</v>
      </c>
      <c r="B942" s="89" t="e">
        <f>+#REF!</f>
        <v>#REF!</v>
      </c>
      <c r="C942" s="89"/>
      <c r="D942" s="91" t="s">
        <v>717</v>
      </c>
      <c r="E942" s="90" t="e">
        <v>#REF!</v>
      </c>
      <c r="F942" s="89"/>
      <c r="G942" s="89"/>
      <c r="H942" s="89" t="s">
        <v>15735</v>
      </c>
      <c r="I942" s="89" t="s">
        <v>24860</v>
      </c>
      <c r="J942" s="89" t="s">
        <v>646</v>
      </c>
      <c r="K942" s="89" t="s">
        <v>24862</v>
      </c>
      <c r="M942" s="89">
        <v>2019</v>
      </c>
      <c r="N942" s="89" t="s">
        <v>24861</v>
      </c>
      <c r="O942" s="89" t="s">
        <v>646</v>
      </c>
      <c r="P942" s="89" t="str">
        <f>HYPERLINK("http://dx.doi.org/10.7238/idp.v0i28.3176","http://dx.doi.org/10.7238/idp.v0i28.3176")</f>
        <v>http://dx.doi.org/10.7238/idp.v0i28.3176</v>
      </c>
      <c r="S942" s="89" t="s">
        <v>646</v>
      </c>
      <c r="U942" s="89" t="s">
        <v>17462</v>
      </c>
      <c r="W942" s="89" t="s">
        <v>646</v>
      </c>
      <c r="X942" s="89" t="s">
        <v>646</v>
      </c>
      <c r="Y942" s="89" t="s">
        <v>646</v>
      </c>
      <c r="Z942" s="89" t="s">
        <v>646</v>
      </c>
      <c r="AA942" s="89" t="s">
        <v>646</v>
      </c>
      <c r="AB942" s="89" t="s">
        <v>646</v>
      </c>
      <c r="AC942" s="89" t="s">
        <v>646</v>
      </c>
      <c r="AD942" s="89" t="s">
        <v>646</v>
      </c>
      <c r="AE942" s="89" t="s">
        <v>646</v>
      </c>
      <c r="AF942" s="89" t="s">
        <v>24862</v>
      </c>
      <c r="AG942" s="89" t="s">
        <v>646</v>
      </c>
      <c r="AH942" s="89" t="s">
        <v>646</v>
      </c>
      <c r="AI942" s="89" t="s">
        <v>646</v>
      </c>
      <c r="AJ942" s="89" t="s">
        <v>646</v>
      </c>
      <c r="AK942" s="89" t="s">
        <v>646</v>
      </c>
      <c r="AL942" s="89" t="s">
        <v>646</v>
      </c>
      <c r="AM942" s="89" t="s">
        <v>646</v>
      </c>
      <c r="AN942" s="89" t="s">
        <v>646</v>
      </c>
      <c r="AO942" s="89" t="s">
        <v>646</v>
      </c>
      <c r="AP942" s="89" t="s">
        <v>646</v>
      </c>
      <c r="AQ942" s="89" t="s">
        <v>646</v>
      </c>
      <c r="AR942" s="89" t="s">
        <v>646</v>
      </c>
      <c r="AS942" s="89" t="s">
        <v>646</v>
      </c>
      <c r="AT942" s="89" t="s">
        <v>646</v>
      </c>
      <c r="AU942" s="89" t="s">
        <v>646</v>
      </c>
      <c r="AV942" s="89" t="s">
        <v>646</v>
      </c>
      <c r="AW942" s="89" t="s">
        <v>646</v>
      </c>
      <c r="AX942" s="89" t="s">
        <v>646</v>
      </c>
      <c r="AY942" s="89" t="s">
        <v>24863</v>
      </c>
      <c r="AZ942" s="89" t="s">
        <v>646</v>
      </c>
      <c r="BA942" s="89" t="s">
        <v>646</v>
      </c>
      <c r="BB942" s="89" t="s">
        <v>646</v>
      </c>
      <c r="BC942" s="89" t="s">
        <v>646</v>
      </c>
      <c r="BD942" s="89" t="s">
        <v>17658</v>
      </c>
      <c r="BE942" s="89">
        <v>2019</v>
      </c>
      <c r="BF942" s="89" t="s">
        <v>646</v>
      </c>
      <c r="BG942" s="89">
        <v>28</v>
      </c>
      <c r="BH942" s="89" t="s">
        <v>646</v>
      </c>
      <c r="BI942" s="89" t="s">
        <v>646</v>
      </c>
      <c r="BJ942" s="89" t="s">
        <v>646</v>
      </c>
      <c r="BK942" s="89" t="s">
        <v>646</v>
      </c>
      <c r="BL942" s="89">
        <v>29</v>
      </c>
      <c r="BM942" s="89">
        <v>43</v>
      </c>
      <c r="BN942" s="89" t="s">
        <v>646</v>
      </c>
      <c r="BO942" s="89" t="str">
        <f>HYPERLINK("http://dx.doi.org/10.7238/idp.v0i28.3176","http://dx.doi.org/10.7238/idp.v0i28.3176")</f>
        <v>http://dx.doi.org/10.7238/idp.v0i28.3176</v>
      </c>
      <c r="BP942" s="89" t="s">
        <v>646</v>
      </c>
      <c r="BQ942" s="89" t="s">
        <v>646</v>
      </c>
      <c r="BR942" s="89" t="s">
        <v>646</v>
      </c>
      <c r="BS942" s="89" t="s">
        <v>646</v>
      </c>
      <c r="BT942" s="89" t="s">
        <v>646</v>
      </c>
      <c r="BU942" s="89" t="s">
        <v>646</v>
      </c>
      <c r="BV942" s="89" t="s">
        <v>646</v>
      </c>
      <c r="BW942" s="89" t="s">
        <v>646</v>
      </c>
      <c r="BX942" s="89" t="s">
        <v>646</v>
      </c>
      <c r="BY942" s="89" t="s">
        <v>646</v>
      </c>
      <c r="BZ942" s="89" t="s">
        <v>646</v>
      </c>
      <c r="CA942" s="89" t="s">
        <v>646</v>
      </c>
      <c r="CB942" s="89" t="s">
        <v>24864</v>
      </c>
      <c r="CC942" s="89" t="str">
        <f>HYPERLINK("https%3A%2F%2Fwww.webofscience.com%2Fwos%2Fwoscc%2Ffull-record%2FWOS:000459851600004","View Full Record in Web of Science")</f>
        <v>View Full Record in Web of Science</v>
      </c>
    </row>
    <row r="943" spans="1:81" ht="13.2" hidden="1" x14ac:dyDescent="0.25">
      <c r="A943" s="89" t="s">
        <v>10556</v>
      </c>
      <c r="B943" s="89" t="e">
        <f>+#REF!</f>
        <v>#REF!</v>
      </c>
      <c r="C943" s="89"/>
      <c r="D943" s="91" t="s">
        <v>717</v>
      </c>
      <c r="E943" s="90" t="e">
        <v>#REF!</v>
      </c>
      <c r="F943" s="89"/>
      <c r="G943" s="89"/>
      <c r="H943" s="89" t="s">
        <v>10557</v>
      </c>
      <c r="I943" s="89" t="s">
        <v>24865</v>
      </c>
      <c r="J943" s="89" t="s">
        <v>24870</v>
      </c>
      <c r="K943" s="89" t="s">
        <v>24869</v>
      </c>
      <c r="M943" s="89">
        <v>2021</v>
      </c>
      <c r="N943" s="89" t="s">
        <v>17922</v>
      </c>
      <c r="O943" s="89" t="s">
        <v>646</v>
      </c>
      <c r="P943" s="89" t="str">
        <f>HYPERLINK("http://dx.doi.org/10.1097/PRS.0000000000007626","http://dx.doi.org/10.1097/PRS.0000000000007626")</f>
        <v>http://dx.doi.org/10.1097/PRS.0000000000007626</v>
      </c>
      <c r="S943" s="89" t="s">
        <v>646</v>
      </c>
      <c r="U943" s="89" t="s">
        <v>17462</v>
      </c>
      <c r="W943" s="89" t="s">
        <v>646</v>
      </c>
      <c r="X943" s="89" t="s">
        <v>646</v>
      </c>
      <c r="Y943" s="89" t="s">
        <v>24866</v>
      </c>
      <c r="Z943" s="89" t="s">
        <v>24867</v>
      </c>
      <c r="AA943" s="89" t="s">
        <v>19385</v>
      </c>
      <c r="AB943" s="89" t="s">
        <v>24868</v>
      </c>
      <c r="AC943" s="89" t="s">
        <v>646</v>
      </c>
      <c r="AD943" s="89" t="s">
        <v>646</v>
      </c>
      <c r="AE943" s="89" t="s">
        <v>646</v>
      </c>
      <c r="AF943" s="89" t="s">
        <v>24869</v>
      </c>
      <c r="AG943" s="89" t="s">
        <v>646</v>
      </c>
      <c r="AH943" s="89" t="s">
        <v>646</v>
      </c>
      <c r="AI943" s="89" t="s">
        <v>646</v>
      </c>
      <c r="AJ943" s="89" t="s">
        <v>646</v>
      </c>
      <c r="AK943" s="89" t="s">
        <v>24870</v>
      </c>
      <c r="AL943" s="89" t="s">
        <v>646</v>
      </c>
      <c r="AM943" s="89" t="s">
        <v>646</v>
      </c>
      <c r="AN943" s="89" t="s">
        <v>646</v>
      </c>
      <c r="AO943" s="89" t="s">
        <v>646</v>
      </c>
      <c r="AP943" s="89" t="s">
        <v>646</v>
      </c>
      <c r="AQ943" s="89" t="s">
        <v>646</v>
      </c>
      <c r="AR943" s="89" t="s">
        <v>646</v>
      </c>
      <c r="AS943" s="89" t="s">
        <v>646</v>
      </c>
      <c r="AT943" s="89" t="s">
        <v>646</v>
      </c>
      <c r="AU943" s="89" t="s">
        <v>646</v>
      </c>
      <c r="AV943" s="89" t="s">
        <v>646</v>
      </c>
      <c r="AW943" s="89" t="s">
        <v>646</v>
      </c>
      <c r="AX943" s="89" t="s">
        <v>646</v>
      </c>
      <c r="AY943" s="89" t="s">
        <v>17930</v>
      </c>
      <c r="AZ943" s="89" t="s">
        <v>17931</v>
      </c>
      <c r="BA943" s="89" t="s">
        <v>646</v>
      </c>
      <c r="BB943" s="89" t="s">
        <v>646</v>
      </c>
      <c r="BC943" s="89" t="s">
        <v>646</v>
      </c>
      <c r="BD943" s="89" t="s">
        <v>17779</v>
      </c>
      <c r="BE943" s="89">
        <v>2021</v>
      </c>
      <c r="BF943" s="89">
        <v>147</v>
      </c>
      <c r="BG943" s="89">
        <v>3</v>
      </c>
      <c r="BH943" s="89" t="s">
        <v>646</v>
      </c>
      <c r="BI943" s="89" t="s">
        <v>646</v>
      </c>
      <c r="BJ943" s="89" t="s">
        <v>646</v>
      </c>
      <c r="BK943" s="89" t="s">
        <v>646</v>
      </c>
      <c r="BL943" s="89">
        <v>593</v>
      </c>
      <c r="BM943" s="89">
        <v>603</v>
      </c>
      <c r="BN943" s="89" t="s">
        <v>646</v>
      </c>
      <c r="BO943" s="89" t="str">
        <f>HYPERLINK("http://dx.doi.org/10.1097/PRS.0000000000007626","http://dx.doi.org/10.1097/PRS.0000000000007626")</f>
        <v>http://dx.doi.org/10.1097/PRS.0000000000007626</v>
      </c>
      <c r="BP943" s="89" t="s">
        <v>646</v>
      </c>
      <c r="BQ943" s="89" t="s">
        <v>646</v>
      </c>
      <c r="BR943" s="89" t="s">
        <v>646</v>
      </c>
      <c r="BS943" s="89" t="s">
        <v>646</v>
      </c>
      <c r="BT943" s="89" t="s">
        <v>646</v>
      </c>
      <c r="BU943" s="89" t="s">
        <v>646</v>
      </c>
      <c r="BV943" s="89" t="s">
        <v>646</v>
      </c>
      <c r="BW943" s="89">
        <v>33620927</v>
      </c>
      <c r="BX943" s="89" t="s">
        <v>646</v>
      </c>
      <c r="BY943" s="89" t="s">
        <v>646</v>
      </c>
      <c r="BZ943" s="89" t="s">
        <v>646</v>
      </c>
      <c r="CA943" s="89" t="s">
        <v>646</v>
      </c>
      <c r="CB943" s="89" t="s">
        <v>24871</v>
      </c>
      <c r="CC943" s="89" t="str">
        <f>HYPERLINK("https%3A%2F%2Fwww.webofscience.com%2Fwos%2Fwoscc%2Ffull-record%2FWOS:000639317100024","View Full Record in Web of Science")</f>
        <v>View Full Record in Web of Science</v>
      </c>
    </row>
    <row r="944" spans="1:81" ht="13.2" hidden="1" x14ac:dyDescent="0.25">
      <c r="A944" s="89" t="s">
        <v>24872</v>
      </c>
      <c r="B944" s="89" t="e">
        <f>+#REF!</f>
        <v>#REF!</v>
      </c>
      <c r="C944" s="89"/>
      <c r="D944" s="91" t="s">
        <v>717</v>
      </c>
      <c r="E944" s="90" t="e">
        <v>#REF!</v>
      </c>
      <c r="F944" s="89"/>
      <c r="G944" s="89"/>
      <c r="H944" s="89" t="s">
        <v>15745</v>
      </c>
      <c r="I944" s="89" t="s">
        <v>24873</v>
      </c>
      <c r="J944" s="89" t="s">
        <v>18816</v>
      </c>
      <c r="K944" s="89" t="s">
        <v>24874</v>
      </c>
      <c r="M944" s="89">
        <v>2017</v>
      </c>
      <c r="N944" s="89" t="s">
        <v>21181</v>
      </c>
      <c r="O944" s="89" t="s">
        <v>646</v>
      </c>
      <c r="P944" s="89" t="str">
        <f>HYPERLINK("http://dx.doi.org/10.1037/pha0000110","http://dx.doi.org/10.1037/pha0000110")</f>
        <v>http://dx.doi.org/10.1037/pha0000110</v>
      </c>
      <c r="S944" s="89" t="s">
        <v>646</v>
      </c>
      <c r="U944" s="89" t="s">
        <v>17462</v>
      </c>
      <c r="W944" s="89" t="s">
        <v>646</v>
      </c>
      <c r="X944" s="89" t="s">
        <v>646</v>
      </c>
      <c r="Y944" s="89" t="s">
        <v>646</v>
      </c>
      <c r="Z944" s="89" t="s">
        <v>646</v>
      </c>
      <c r="AA944" s="89" t="s">
        <v>646</v>
      </c>
      <c r="AB944" s="89" t="s">
        <v>646</v>
      </c>
      <c r="AC944" s="89" t="s">
        <v>646</v>
      </c>
      <c r="AD944" s="89" t="s">
        <v>646</v>
      </c>
      <c r="AE944" s="89" t="s">
        <v>646</v>
      </c>
      <c r="AF944" s="89" t="s">
        <v>24874</v>
      </c>
      <c r="AG944" s="89" t="s">
        <v>646</v>
      </c>
      <c r="AH944" s="89" t="s">
        <v>646</v>
      </c>
      <c r="AI944" s="89" t="s">
        <v>646</v>
      </c>
      <c r="AJ944" s="89" t="s">
        <v>646</v>
      </c>
      <c r="AK944" s="89" t="s">
        <v>18816</v>
      </c>
      <c r="AL944" s="89" t="s">
        <v>24875</v>
      </c>
      <c r="AM944" s="89" t="s">
        <v>646</v>
      </c>
      <c r="AN944" s="89" t="s">
        <v>646</v>
      </c>
      <c r="AO944" s="89" t="s">
        <v>646</v>
      </c>
      <c r="AP944" s="89" t="s">
        <v>646</v>
      </c>
      <c r="AQ944" s="89" t="s">
        <v>646</v>
      </c>
      <c r="AR944" s="89" t="s">
        <v>646</v>
      </c>
      <c r="AS944" s="89" t="s">
        <v>646</v>
      </c>
      <c r="AT944" s="89" t="s">
        <v>646</v>
      </c>
      <c r="AU944" s="89" t="s">
        <v>646</v>
      </c>
      <c r="AV944" s="89" t="s">
        <v>646</v>
      </c>
      <c r="AW944" s="89" t="s">
        <v>646</v>
      </c>
      <c r="AX944" s="89" t="s">
        <v>646</v>
      </c>
      <c r="AY944" s="89" t="s">
        <v>21183</v>
      </c>
      <c r="AZ944" s="89" t="s">
        <v>21184</v>
      </c>
      <c r="BA944" s="89" t="s">
        <v>646</v>
      </c>
      <c r="BB944" s="89" t="s">
        <v>646</v>
      </c>
      <c r="BC944" s="89" t="s">
        <v>646</v>
      </c>
      <c r="BD944" s="89" t="s">
        <v>17772</v>
      </c>
      <c r="BE944" s="89">
        <v>2017</v>
      </c>
      <c r="BF944" s="89">
        <v>25</v>
      </c>
      <c r="BG944" s="89">
        <v>3</v>
      </c>
      <c r="BH944" s="89" t="s">
        <v>646</v>
      </c>
      <c r="BI944" s="89" t="s">
        <v>646</v>
      </c>
      <c r="BJ944" s="89" t="s">
        <v>646</v>
      </c>
      <c r="BK944" s="89" t="s">
        <v>646</v>
      </c>
      <c r="BL944" s="89">
        <v>186</v>
      </c>
      <c r="BM944" s="89">
        <v>197</v>
      </c>
      <c r="BN944" s="89" t="s">
        <v>646</v>
      </c>
      <c r="BO944" s="89" t="str">
        <f>HYPERLINK("http://dx.doi.org/10.1037/pha0000110","http://dx.doi.org/10.1037/pha0000110")</f>
        <v>http://dx.doi.org/10.1037/pha0000110</v>
      </c>
      <c r="BP944" s="89" t="s">
        <v>646</v>
      </c>
      <c r="BQ944" s="89" t="s">
        <v>646</v>
      </c>
      <c r="BR944" s="89" t="s">
        <v>646</v>
      </c>
      <c r="BS944" s="89" t="s">
        <v>646</v>
      </c>
      <c r="BT944" s="89" t="s">
        <v>646</v>
      </c>
      <c r="BU944" s="89" t="s">
        <v>646</v>
      </c>
      <c r="BV944" s="89" t="s">
        <v>646</v>
      </c>
      <c r="BW944" s="89">
        <v>28240924</v>
      </c>
      <c r="BX944" s="89" t="s">
        <v>646</v>
      </c>
      <c r="BY944" s="89" t="s">
        <v>646</v>
      </c>
      <c r="BZ944" s="89" t="s">
        <v>646</v>
      </c>
      <c r="CA944" s="89" t="s">
        <v>646</v>
      </c>
      <c r="CB944" s="89" t="s">
        <v>24876</v>
      </c>
      <c r="CC944" s="89" t="str">
        <f>HYPERLINK("https%3A%2F%2Fwww.webofscience.com%2Fwos%2Fwoscc%2Ffull-record%2FWOS:000401088100006","View Full Record in Web of Science")</f>
        <v>View Full Record in Web of Science</v>
      </c>
    </row>
    <row r="945" spans="1:81" ht="13.2" hidden="1" x14ac:dyDescent="0.25">
      <c r="A945" s="89" t="s">
        <v>15753</v>
      </c>
      <c r="B945" s="89" t="e">
        <f>+#REF!</f>
        <v>#REF!</v>
      </c>
      <c r="C945" s="89"/>
      <c r="D945" s="91" t="s">
        <v>717</v>
      </c>
      <c r="E945" s="90" t="e">
        <v>#REF!</v>
      </c>
      <c r="F945" s="89"/>
      <c r="G945" s="89"/>
      <c r="H945" s="89" t="s">
        <v>15754</v>
      </c>
      <c r="I945" s="89" t="s">
        <v>24877</v>
      </c>
      <c r="J945" s="89" t="s">
        <v>24880</v>
      </c>
      <c r="K945" s="89" t="s">
        <v>24879</v>
      </c>
      <c r="M945" s="89">
        <v>2018</v>
      </c>
      <c r="N945" s="89" t="s">
        <v>24878</v>
      </c>
      <c r="O945" s="89" t="s">
        <v>646</v>
      </c>
      <c r="P945" s="89" t="str">
        <f>HYPERLINK("http://dx.doi.org/10.1111/add.13922","http://dx.doi.org/10.1111/add.13922")</f>
        <v>http://dx.doi.org/10.1111/add.13922</v>
      </c>
      <c r="S945" s="89" t="s">
        <v>646</v>
      </c>
      <c r="U945" s="89" t="s">
        <v>17462</v>
      </c>
      <c r="W945" s="89" t="s">
        <v>646</v>
      </c>
      <c r="X945" s="89" t="s">
        <v>646</v>
      </c>
      <c r="Y945" s="89" t="s">
        <v>646</v>
      </c>
      <c r="Z945" s="89" t="s">
        <v>646</v>
      </c>
      <c r="AA945" s="89" t="s">
        <v>646</v>
      </c>
      <c r="AB945" s="89" t="s">
        <v>646</v>
      </c>
      <c r="AC945" s="89" t="s">
        <v>646</v>
      </c>
      <c r="AD945" s="89" t="s">
        <v>646</v>
      </c>
      <c r="AE945" s="89" t="s">
        <v>646</v>
      </c>
      <c r="AF945" s="89" t="s">
        <v>24879</v>
      </c>
      <c r="AG945" s="89" t="s">
        <v>646</v>
      </c>
      <c r="AH945" s="89" t="s">
        <v>646</v>
      </c>
      <c r="AI945" s="89" t="s">
        <v>646</v>
      </c>
      <c r="AJ945" s="89" t="s">
        <v>646</v>
      </c>
      <c r="AK945" s="89" t="s">
        <v>24880</v>
      </c>
      <c r="AL945" s="89" t="s">
        <v>24881</v>
      </c>
      <c r="AM945" s="89" t="s">
        <v>646</v>
      </c>
      <c r="AN945" s="89" t="s">
        <v>646</v>
      </c>
      <c r="AO945" s="89" t="s">
        <v>646</v>
      </c>
      <c r="AP945" s="89" t="s">
        <v>646</v>
      </c>
      <c r="AQ945" s="89" t="s">
        <v>646</v>
      </c>
      <c r="AR945" s="89" t="s">
        <v>646</v>
      </c>
      <c r="AS945" s="89" t="s">
        <v>646</v>
      </c>
      <c r="AT945" s="89" t="s">
        <v>646</v>
      </c>
      <c r="AU945" s="89" t="s">
        <v>646</v>
      </c>
      <c r="AV945" s="89" t="s">
        <v>646</v>
      </c>
      <c r="AW945" s="89" t="s">
        <v>646</v>
      </c>
      <c r="AX945" s="89" t="s">
        <v>646</v>
      </c>
      <c r="AY945" s="89" t="s">
        <v>24882</v>
      </c>
      <c r="AZ945" s="89" t="s">
        <v>24883</v>
      </c>
      <c r="BA945" s="89" t="s">
        <v>646</v>
      </c>
      <c r="BB945" s="89" t="s">
        <v>646</v>
      </c>
      <c r="BC945" s="89" t="s">
        <v>646</v>
      </c>
      <c r="BD945" s="89" t="s">
        <v>17513</v>
      </c>
      <c r="BE945" s="89">
        <v>2018</v>
      </c>
      <c r="BF945" s="89">
        <v>113</v>
      </c>
      <c r="BG945" s="89">
        <v>1</v>
      </c>
      <c r="BH945" s="89" t="s">
        <v>646</v>
      </c>
      <c r="BI945" s="89" t="s">
        <v>646</v>
      </c>
      <c r="BJ945" s="89" t="s">
        <v>646</v>
      </c>
      <c r="BK945" s="89" t="s">
        <v>646</v>
      </c>
      <c r="BL945" s="89">
        <v>67</v>
      </c>
      <c r="BM945" s="89">
        <v>79</v>
      </c>
      <c r="BN945" s="89" t="s">
        <v>646</v>
      </c>
      <c r="BO945" s="89" t="str">
        <f>HYPERLINK("http://dx.doi.org/10.1111/add.13922","http://dx.doi.org/10.1111/add.13922")</f>
        <v>http://dx.doi.org/10.1111/add.13922</v>
      </c>
      <c r="BP945" s="89" t="s">
        <v>646</v>
      </c>
      <c r="BQ945" s="89" t="s">
        <v>646</v>
      </c>
      <c r="BR945" s="89" t="s">
        <v>646</v>
      </c>
      <c r="BS945" s="89" t="s">
        <v>646</v>
      </c>
      <c r="BT945" s="89" t="s">
        <v>646</v>
      </c>
      <c r="BU945" s="89" t="s">
        <v>646</v>
      </c>
      <c r="BV945" s="89" t="s">
        <v>646</v>
      </c>
      <c r="BW945" s="89">
        <v>28645137</v>
      </c>
      <c r="BX945" s="89" t="s">
        <v>646</v>
      </c>
      <c r="BY945" s="89" t="s">
        <v>646</v>
      </c>
      <c r="BZ945" s="89" t="s">
        <v>646</v>
      </c>
      <c r="CA945" s="89" t="s">
        <v>646</v>
      </c>
      <c r="CB945" s="89" t="s">
        <v>24884</v>
      </c>
      <c r="CC945" s="89" t="str">
        <f>HYPERLINK("https%3A%2F%2Fwww.webofscience.com%2Fwos%2Fwoscc%2Ffull-record%2FWOS:000417646800010","View Full Record in Web of Science")</f>
        <v>View Full Record in Web of Science</v>
      </c>
    </row>
    <row r="946" spans="1:81" ht="13.2" hidden="1" x14ac:dyDescent="0.25">
      <c r="A946" s="89" t="s">
        <v>24885</v>
      </c>
      <c r="B946" s="89" t="e">
        <f>+#REF!</f>
        <v>#REF!</v>
      </c>
      <c r="C946" s="89"/>
      <c r="D946" s="91" t="s">
        <v>717</v>
      </c>
      <c r="E946" s="90" t="e">
        <v>#REF!</v>
      </c>
      <c r="F946" s="89"/>
      <c r="G946" s="89"/>
      <c r="H946" s="89" t="s">
        <v>15763</v>
      </c>
      <c r="I946" s="89" t="s">
        <v>24886</v>
      </c>
      <c r="J946" s="89" t="s">
        <v>24889</v>
      </c>
      <c r="K946" s="89" t="s">
        <v>24888</v>
      </c>
      <c r="M946" s="89">
        <v>2014</v>
      </c>
      <c r="N946" s="89" t="s">
        <v>24887</v>
      </c>
      <c r="O946" s="89" t="s">
        <v>646</v>
      </c>
      <c r="P946" s="89" t="str">
        <f>HYPERLINK("http://dx.doi.org/10.1097/NMD.0000000000000121","http://dx.doi.org/10.1097/NMD.0000000000000121")</f>
        <v>http://dx.doi.org/10.1097/NMD.0000000000000121</v>
      </c>
      <c r="S946" s="89" t="s">
        <v>646</v>
      </c>
      <c r="U946" s="89" t="s">
        <v>17462</v>
      </c>
      <c r="W946" s="89" t="s">
        <v>646</v>
      </c>
      <c r="X946" s="89" t="s">
        <v>646</v>
      </c>
      <c r="Y946" s="89" t="s">
        <v>646</v>
      </c>
      <c r="Z946" s="89" t="s">
        <v>646</v>
      </c>
      <c r="AA946" s="89" t="s">
        <v>646</v>
      </c>
      <c r="AB946" s="89" t="s">
        <v>646</v>
      </c>
      <c r="AC946" s="89" t="s">
        <v>646</v>
      </c>
      <c r="AD946" s="89" t="s">
        <v>646</v>
      </c>
      <c r="AE946" s="89" t="s">
        <v>646</v>
      </c>
      <c r="AF946" s="89" t="s">
        <v>24888</v>
      </c>
      <c r="AG946" s="89" t="s">
        <v>646</v>
      </c>
      <c r="AH946" s="89" t="s">
        <v>646</v>
      </c>
      <c r="AI946" s="89" t="s">
        <v>646</v>
      </c>
      <c r="AJ946" s="89" t="s">
        <v>646</v>
      </c>
      <c r="AK946" s="89" t="s">
        <v>24889</v>
      </c>
      <c r="AL946" s="89" t="s">
        <v>24890</v>
      </c>
      <c r="AM946" s="89" t="s">
        <v>646</v>
      </c>
      <c r="AN946" s="89" t="s">
        <v>646</v>
      </c>
      <c r="AO946" s="89" t="s">
        <v>646</v>
      </c>
      <c r="AP946" s="89" t="s">
        <v>646</v>
      </c>
      <c r="AQ946" s="89" t="s">
        <v>646</v>
      </c>
      <c r="AR946" s="89" t="s">
        <v>646</v>
      </c>
      <c r="AS946" s="89" t="s">
        <v>646</v>
      </c>
      <c r="AT946" s="89" t="s">
        <v>646</v>
      </c>
      <c r="AU946" s="89" t="s">
        <v>646</v>
      </c>
      <c r="AV946" s="89" t="s">
        <v>646</v>
      </c>
      <c r="AW946" s="89" t="s">
        <v>646</v>
      </c>
      <c r="AX946" s="89" t="s">
        <v>646</v>
      </c>
      <c r="AY946" s="89" t="s">
        <v>24891</v>
      </c>
      <c r="AZ946" s="89" t="s">
        <v>24892</v>
      </c>
      <c r="BA946" s="89" t="s">
        <v>646</v>
      </c>
      <c r="BB946" s="89" t="s">
        <v>646</v>
      </c>
      <c r="BC946" s="89" t="s">
        <v>646</v>
      </c>
      <c r="BD946" s="89" t="s">
        <v>17823</v>
      </c>
      <c r="BE946" s="89">
        <v>2014</v>
      </c>
      <c r="BF946" s="89">
        <v>202</v>
      </c>
      <c r="BG946" s="89">
        <v>4</v>
      </c>
      <c r="BH946" s="89" t="s">
        <v>646</v>
      </c>
      <c r="BI946" s="89" t="s">
        <v>646</v>
      </c>
      <c r="BJ946" s="89" t="s">
        <v>646</v>
      </c>
      <c r="BK946" s="89" t="s">
        <v>646</v>
      </c>
      <c r="BL946" s="89">
        <v>292</v>
      </c>
      <c r="BM946" s="89">
        <v>299</v>
      </c>
      <c r="BN946" s="89" t="s">
        <v>646</v>
      </c>
      <c r="BO946" s="89" t="str">
        <f>HYPERLINK("http://dx.doi.org/10.1097/NMD.0000000000000121","http://dx.doi.org/10.1097/NMD.0000000000000121")</f>
        <v>http://dx.doi.org/10.1097/NMD.0000000000000121</v>
      </c>
      <c r="BP946" s="89" t="s">
        <v>646</v>
      </c>
      <c r="BQ946" s="89" t="s">
        <v>646</v>
      </c>
      <c r="BR946" s="89" t="s">
        <v>646</v>
      </c>
      <c r="BS946" s="89" t="s">
        <v>646</v>
      </c>
      <c r="BT946" s="89" t="s">
        <v>646</v>
      </c>
      <c r="BU946" s="89" t="s">
        <v>646</v>
      </c>
      <c r="BV946" s="89" t="s">
        <v>646</v>
      </c>
      <c r="BW946" s="89">
        <v>24647215</v>
      </c>
      <c r="BX946" s="89" t="s">
        <v>646</v>
      </c>
      <c r="BY946" s="89" t="s">
        <v>646</v>
      </c>
      <c r="BZ946" s="89" t="s">
        <v>646</v>
      </c>
      <c r="CA946" s="89" t="s">
        <v>646</v>
      </c>
      <c r="CB946" s="89" t="s">
        <v>24893</v>
      </c>
      <c r="CC946" s="89" t="str">
        <f>HYPERLINK("https%3A%2F%2Fwww.webofscience.com%2Fwos%2Fwoscc%2Ffull-record%2FWOS:000334185600007","View Full Record in Web of Science")</f>
        <v>View Full Record in Web of Science</v>
      </c>
    </row>
    <row r="947" spans="1:81" ht="13.2" hidden="1" x14ac:dyDescent="0.25">
      <c r="A947" s="89" t="s">
        <v>1044</v>
      </c>
      <c r="B947" s="89" t="e">
        <f>+#REF!</f>
        <v>#REF!</v>
      </c>
      <c r="C947" s="89"/>
      <c r="D947" s="91" t="s">
        <v>717</v>
      </c>
      <c r="E947" s="90" t="e">
        <v>#REF!</v>
      </c>
      <c r="F947" s="89"/>
      <c r="G947" s="89"/>
      <c r="H947" s="89" t="s">
        <v>1046</v>
      </c>
      <c r="I947" s="89" t="s">
        <v>24894</v>
      </c>
      <c r="J947" s="89" t="s">
        <v>24896</v>
      </c>
      <c r="K947" s="89" t="s">
        <v>24895</v>
      </c>
      <c r="M947" s="89">
        <v>2011</v>
      </c>
      <c r="N947" s="89" t="s">
        <v>19507</v>
      </c>
      <c r="O947" s="89" t="s">
        <v>646</v>
      </c>
      <c r="P947" s="89" t="str">
        <f>HYPERLINK("http://dx.doi.org/10.1049/iet-sen.2009.0097","http://dx.doi.org/10.1049/iet-sen.2009.0097")</f>
        <v>http://dx.doi.org/10.1049/iet-sen.2009.0097</v>
      </c>
      <c r="S947" s="89" t="s">
        <v>646</v>
      </c>
      <c r="U947" s="89" t="s">
        <v>17462</v>
      </c>
      <c r="W947" s="89" t="s">
        <v>646</v>
      </c>
      <c r="X947" s="89" t="s">
        <v>646</v>
      </c>
      <c r="Y947" s="89" t="s">
        <v>646</v>
      </c>
      <c r="Z947" s="89" t="s">
        <v>646</v>
      </c>
      <c r="AA947" s="89" t="s">
        <v>646</v>
      </c>
      <c r="AB947" s="89" t="s">
        <v>646</v>
      </c>
      <c r="AC947" s="89" t="s">
        <v>646</v>
      </c>
      <c r="AD947" s="89" t="s">
        <v>646</v>
      </c>
      <c r="AE947" s="89" t="s">
        <v>646</v>
      </c>
      <c r="AF947" s="89" t="s">
        <v>24895</v>
      </c>
      <c r="AG947" s="89" t="s">
        <v>646</v>
      </c>
      <c r="AH947" s="89" t="s">
        <v>646</v>
      </c>
      <c r="AI947" s="89" t="s">
        <v>646</v>
      </c>
      <c r="AJ947" s="89" t="s">
        <v>646</v>
      </c>
      <c r="AK947" s="89" t="s">
        <v>24896</v>
      </c>
      <c r="AL947" s="89" t="s">
        <v>24897</v>
      </c>
      <c r="AM947" s="89" t="s">
        <v>646</v>
      </c>
      <c r="AN947" s="89" t="s">
        <v>646</v>
      </c>
      <c r="AO947" s="89" t="s">
        <v>646</v>
      </c>
      <c r="AP947" s="89" t="s">
        <v>646</v>
      </c>
      <c r="AQ947" s="89" t="s">
        <v>646</v>
      </c>
      <c r="AR947" s="89" t="s">
        <v>646</v>
      </c>
      <c r="AS947" s="89" t="s">
        <v>646</v>
      </c>
      <c r="AT947" s="89" t="s">
        <v>646</v>
      </c>
      <c r="AU947" s="89" t="s">
        <v>646</v>
      </c>
      <c r="AV947" s="89" t="s">
        <v>646</v>
      </c>
      <c r="AW947" s="89" t="s">
        <v>646</v>
      </c>
      <c r="AX947" s="89" t="s">
        <v>646</v>
      </c>
      <c r="AY947" s="89" t="s">
        <v>19511</v>
      </c>
      <c r="AZ947" s="89" t="s">
        <v>19512</v>
      </c>
      <c r="BA947" s="89" t="s">
        <v>646</v>
      </c>
      <c r="BB947" s="89" t="s">
        <v>646</v>
      </c>
      <c r="BC947" s="89" t="s">
        <v>646</v>
      </c>
      <c r="BD947" s="89" t="s">
        <v>17823</v>
      </c>
      <c r="BE947" s="89">
        <v>2011</v>
      </c>
      <c r="BF947" s="89">
        <v>5</v>
      </c>
      <c r="BG947" s="89">
        <v>2</v>
      </c>
      <c r="BH947" s="89" t="s">
        <v>646</v>
      </c>
      <c r="BI947" s="89" t="s">
        <v>646</v>
      </c>
      <c r="BJ947" s="89" t="s">
        <v>646</v>
      </c>
      <c r="BK947" s="89" t="s">
        <v>646</v>
      </c>
      <c r="BL947" s="89">
        <v>157</v>
      </c>
      <c r="BM947" s="89">
        <v>171</v>
      </c>
      <c r="BN947" s="89" t="s">
        <v>646</v>
      </c>
      <c r="BO947" s="89" t="str">
        <f>HYPERLINK("http://dx.doi.org/10.1049/iet-sen.2009.0097","http://dx.doi.org/10.1049/iet-sen.2009.0097")</f>
        <v>http://dx.doi.org/10.1049/iet-sen.2009.0097</v>
      </c>
      <c r="BP947" s="89" t="s">
        <v>646</v>
      </c>
      <c r="BQ947" s="89" t="s">
        <v>646</v>
      </c>
      <c r="BR947" s="89" t="s">
        <v>646</v>
      </c>
      <c r="BS947" s="89" t="s">
        <v>646</v>
      </c>
      <c r="BT947" s="89" t="s">
        <v>646</v>
      </c>
      <c r="BU947" s="89" t="s">
        <v>646</v>
      </c>
      <c r="BV947" s="89" t="s">
        <v>646</v>
      </c>
      <c r="BW947" s="89" t="s">
        <v>646</v>
      </c>
      <c r="BX947" s="89" t="s">
        <v>646</v>
      </c>
      <c r="BY947" s="89" t="s">
        <v>646</v>
      </c>
      <c r="BZ947" s="89" t="s">
        <v>646</v>
      </c>
      <c r="CA947" s="89" t="s">
        <v>646</v>
      </c>
      <c r="CB947" s="89" t="s">
        <v>24898</v>
      </c>
      <c r="CC947" s="89" t="str">
        <f>HYPERLINK("https%3A%2F%2Fwww.webofscience.com%2Fwos%2Fwoscc%2Ffull-record%2FWOS:000289459800006","View Full Record in Web of Science")</f>
        <v>View Full Record in Web of Science</v>
      </c>
    </row>
    <row r="948" spans="1:81" ht="13.2" hidden="1" x14ac:dyDescent="0.25">
      <c r="A948" s="89" t="s">
        <v>24899</v>
      </c>
      <c r="B948" s="89" t="e">
        <f>+#REF!</f>
        <v>#REF!</v>
      </c>
      <c r="C948" s="89"/>
      <c r="D948" s="91" t="s">
        <v>717</v>
      </c>
      <c r="E948" s="90" t="e">
        <v>#REF!</v>
      </c>
      <c r="F948" s="89"/>
      <c r="G948" s="89"/>
      <c r="H948" s="89" t="s">
        <v>646</v>
      </c>
      <c r="I948" s="89" t="s">
        <v>24900</v>
      </c>
      <c r="J948" s="89" t="s">
        <v>646</v>
      </c>
      <c r="K948" s="89" t="s">
        <v>24904</v>
      </c>
      <c r="M948" s="89">
        <v>2013</v>
      </c>
      <c r="N948" s="89" t="s">
        <v>24901</v>
      </c>
      <c r="O948" s="89" t="s">
        <v>646</v>
      </c>
      <c r="P948" s="89" t="s">
        <v>646</v>
      </c>
      <c r="S948" s="89" t="s">
        <v>17475</v>
      </c>
      <c r="U948" s="89" t="s">
        <v>17474</v>
      </c>
      <c r="W948" s="89" t="s">
        <v>646</v>
      </c>
      <c r="X948" s="89" t="s">
        <v>646</v>
      </c>
      <c r="Y948" s="89" t="s">
        <v>24902</v>
      </c>
      <c r="Z948" s="89" t="s">
        <v>24903</v>
      </c>
      <c r="AA948" s="89" t="s">
        <v>19723</v>
      </c>
      <c r="AB948" s="89" t="s">
        <v>646</v>
      </c>
      <c r="AC948" s="89" t="s">
        <v>646</v>
      </c>
      <c r="AD948" s="89" t="s">
        <v>646</v>
      </c>
      <c r="AE948" s="89" t="s">
        <v>646</v>
      </c>
      <c r="AF948" s="89" t="s">
        <v>24904</v>
      </c>
      <c r="AG948" s="89" t="s">
        <v>646</v>
      </c>
      <c r="AH948" s="89" t="s">
        <v>646</v>
      </c>
      <c r="AI948" s="89" t="s">
        <v>646</v>
      </c>
      <c r="AJ948" s="89" t="s">
        <v>646</v>
      </c>
      <c r="AK948" s="89" t="s">
        <v>646</v>
      </c>
      <c r="AL948" s="89" t="s">
        <v>646</v>
      </c>
      <c r="AM948" s="89" t="s">
        <v>646</v>
      </c>
      <c r="AN948" s="89" t="s">
        <v>646</v>
      </c>
      <c r="AO948" s="89" t="s">
        <v>646</v>
      </c>
      <c r="AP948" s="89" t="s">
        <v>646</v>
      </c>
      <c r="AQ948" s="89" t="s">
        <v>646</v>
      </c>
      <c r="AR948" s="89" t="s">
        <v>646</v>
      </c>
      <c r="AS948" s="89" t="s">
        <v>646</v>
      </c>
      <c r="AT948" s="89" t="s">
        <v>646</v>
      </c>
      <c r="AU948" s="89" t="s">
        <v>646</v>
      </c>
      <c r="AV948" s="89" t="s">
        <v>646</v>
      </c>
      <c r="AW948" s="89" t="s">
        <v>646</v>
      </c>
      <c r="AX948" s="89" t="s">
        <v>646</v>
      </c>
      <c r="AY948" s="89" t="s">
        <v>646</v>
      </c>
      <c r="AZ948" s="89" t="s">
        <v>646</v>
      </c>
      <c r="BA948" s="89" t="s">
        <v>24905</v>
      </c>
      <c r="BB948" s="89" t="s">
        <v>646</v>
      </c>
      <c r="BC948" s="89" t="s">
        <v>646</v>
      </c>
      <c r="BD948" s="89" t="s">
        <v>646</v>
      </c>
      <c r="BE948" s="89">
        <v>2013</v>
      </c>
      <c r="BF948" s="89" t="s">
        <v>646</v>
      </c>
      <c r="BG948" s="89" t="s">
        <v>646</v>
      </c>
      <c r="BH948" s="89" t="s">
        <v>646</v>
      </c>
      <c r="BI948" s="89" t="s">
        <v>646</v>
      </c>
      <c r="BJ948" s="89" t="s">
        <v>646</v>
      </c>
      <c r="BK948" s="89" t="s">
        <v>646</v>
      </c>
      <c r="BL948" s="89">
        <v>15</v>
      </c>
      <c r="BM948" s="89">
        <v>19</v>
      </c>
      <c r="BN948" s="89" t="s">
        <v>646</v>
      </c>
      <c r="BO948" s="89" t="s">
        <v>646</v>
      </c>
      <c r="BP948" s="89" t="s">
        <v>646</v>
      </c>
      <c r="BQ948" s="89" t="s">
        <v>646</v>
      </c>
      <c r="BR948" s="89" t="s">
        <v>646</v>
      </c>
      <c r="BS948" s="89" t="s">
        <v>646</v>
      </c>
      <c r="BT948" s="89" t="s">
        <v>646</v>
      </c>
      <c r="BU948" s="89" t="s">
        <v>646</v>
      </c>
      <c r="BV948" s="89" t="s">
        <v>646</v>
      </c>
      <c r="BW948" s="89" t="s">
        <v>646</v>
      </c>
      <c r="BX948" s="89" t="s">
        <v>646</v>
      </c>
      <c r="BY948" s="89" t="s">
        <v>646</v>
      </c>
      <c r="BZ948" s="89" t="s">
        <v>646</v>
      </c>
      <c r="CA948" s="89" t="s">
        <v>646</v>
      </c>
      <c r="CB948" s="89" t="s">
        <v>24906</v>
      </c>
      <c r="CC948" s="89" t="str">
        <f>HYPERLINK("https%3A%2F%2Fwww.webofscience.com%2Fwos%2Fwoscc%2Ffull-record%2FWOS:000337292700004","View Full Record in Web of Science")</f>
        <v>View Full Record in Web of Science</v>
      </c>
    </row>
    <row r="949" spans="1:81" ht="13.2" hidden="1" x14ac:dyDescent="0.25">
      <c r="A949" s="89" t="s">
        <v>781</v>
      </c>
      <c r="B949" s="89" t="e">
        <f>+#REF!</f>
        <v>#REF!</v>
      </c>
      <c r="C949" s="89"/>
      <c r="D949" s="91" t="s">
        <v>717</v>
      </c>
      <c r="E949" s="90" t="e">
        <v>#REF!</v>
      </c>
      <c r="F949" s="89"/>
      <c r="G949" s="89"/>
      <c r="H949" s="89" t="s">
        <v>783</v>
      </c>
      <c r="I949" s="89" t="s">
        <v>24907</v>
      </c>
      <c r="J949" s="89" t="s">
        <v>19560</v>
      </c>
      <c r="K949" s="89" t="s">
        <v>24908</v>
      </c>
      <c r="M949" s="89">
        <v>2012</v>
      </c>
      <c r="N949" s="89" t="s">
        <v>18779</v>
      </c>
      <c r="O949" s="89" t="s">
        <v>646</v>
      </c>
      <c r="P949" s="89" t="str">
        <f>HYPERLINK("http://dx.doi.org/10.1016/j.infsof.2012.02.006","http://dx.doi.org/10.1016/j.infsof.2012.02.006")</f>
        <v>http://dx.doi.org/10.1016/j.infsof.2012.02.006</v>
      </c>
      <c r="S949" s="89" t="s">
        <v>646</v>
      </c>
      <c r="U949" s="89" t="s">
        <v>17462</v>
      </c>
      <c r="W949" s="89" t="s">
        <v>646</v>
      </c>
      <c r="X949" s="89" t="s">
        <v>646</v>
      </c>
      <c r="Y949" s="89" t="s">
        <v>646</v>
      </c>
      <c r="Z949" s="89" t="s">
        <v>646</v>
      </c>
      <c r="AA949" s="89" t="s">
        <v>646</v>
      </c>
      <c r="AB949" s="89" t="s">
        <v>646</v>
      </c>
      <c r="AC949" s="89" t="s">
        <v>646</v>
      </c>
      <c r="AD949" s="89" t="s">
        <v>646</v>
      </c>
      <c r="AE949" s="89" t="s">
        <v>646</v>
      </c>
      <c r="AF949" s="89" t="s">
        <v>24908</v>
      </c>
      <c r="AG949" s="89" t="s">
        <v>646</v>
      </c>
      <c r="AH949" s="89" t="s">
        <v>646</v>
      </c>
      <c r="AI949" s="89" t="s">
        <v>646</v>
      </c>
      <c r="AJ949" s="89" t="s">
        <v>646</v>
      </c>
      <c r="AK949" s="89" t="s">
        <v>19560</v>
      </c>
      <c r="AL949" s="89" t="s">
        <v>20652</v>
      </c>
      <c r="AM949" s="89" t="s">
        <v>646</v>
      </c>
      <c r="AN949" s="89" t="s">
        <v>646</v>
      </c>
      <c r="AO949" s="89" t="s">
        <v>646</v>
      </c>
      <c r="AP949" s="89" t="s">
        <v>646</v>
      </c>
      <c r="AQ949" s="89" t="s">
        <v>646</v>
      </c>
      <c r="AR949" s="89" t="s">
        <v>646</v>
      </c>
      <c r="AS949" s="89" t="s">
        <v>646</v>
      </c>
      <c r="AT949" s="89" t="s">
        <v>646</v>
      </c>
      <c r="AU949" s="89" t="s">
        <v>646</v>
      </c>
      <c r="AV949" s="89" t="s">
        <v>646</v>
      </c>
      <c r="AW949" s="89" t="s">
        <v>646</v>
      </c>
      <c r="AX949" s="89" t="s">
        <v>646</v>
      </c>
      <c r="AY949" s="89" t="s">
        <v>18782</v>
      </c>
      <c r="AZ949" s="89" t="s">
        <v>18783</v>
      </c>
      <c r="BA949" s="89" t="s">
        <v>646</v>
      </c>
      <c r="BB949" s="89" t="s">
        <v>646</v>
      </c>
      <c r="BC949" s="89" t="s">
        <v>646</v>
      </c>
      <c r="BD949" s="89" t="s">
        <v>17676</v>
      </c>
      <c r="BE949" s="89">
        <v>2012</v>
      </c>
      <c r="BF949" s="89">
        <v>54</v>
      </c>
      <c r="BG949" s="89">
        <v>7</v>
      </c>
      <c r="BH949" s="89" t="s">
        <v>646</v>
      </c>
      <c r="BI949" s="89" t="s">
        <v>646</v>
      </c>
      <c r="BJ949" s="89" t="s">
        <v>646</v>
      </c>
      <c r="BK949" s="89" t="s">
        <v>646</v>
      </c>
      <c r="BL949" s="89">
        <v>663</v>
      </c>
      <c r="BM949" s="89">
        <v>685</v>
      </c>
      <c r="BN949" s="89" t="s">
        <v>646</v>
      </c>
      <c r="BO949" s="89" t="str">
        <f>HYPERLINK("http://dx.doi.org/10.1016/j.infsof.2012.02.006","http://dx.doi.org/10.1016/j.infsof.2012.02.006")</f>
        <v>http://dx.doi.org/10.1016/j.infsof.2012.02.006</v>
      </c>
      <c r="BP949" s="89" t="s">
        <v>646</v>
      </c>
      <c r="BQ949" s="89" t="s">
        <v>646</v>
      </c>
      <c r="BR949" s="89" t="s">
        <v>646</v>
      </c>
      <c r="BS949" s="89" t="s">
        <v>646</v>
      </c>
      <c r="BT949" s="89" t="s">
        <v>646</v>
      </c>
      <c r="BU949" s="89" t="s">
        <v>646</v>
      </c>
      <c r="BV949" s="89" t="s">
        <v>646</v>
      </c>
      <c r="BW949" s="89" t="s">
        <v>646</v>
      </c>
      <c r="BX949" s="89" t="s">
        <v>646</v>
      </c>
      <c r="BY949" s="89" t="s">
        <v>646</v>
      </c>
      <c r="BZ949" s="89" t="s">
        <v>646</v>
      </c>
      <c r="CA949" s="89" t="s">
        <v>646</v>
      </c>
      <c r="CB949" s="89" t="s">
        <v>24909</v>
      </c>
      <c r="CC949" s="89" t="str">
        <f>HYPERLINK("https%3A%2F%2Fwww.webofscience.com%2Fwos%2Fwoscc%2Ffull-record%2FWOS:000304387600002","View Full Record in Web of Science")</f>
        <v>View Full Record in Web of Science</v>
      </c>
    </row>
    <row r="950" spans="1:81" ht="13.2" hidden="1" x14ac:dyDescent="0.25">
      <c r="A950" s="89" t="s">
        <v>24910</v>
      </c>
      <c r="B950" s="89" t="e">
        <f>+#REF!</f>
        <v>#REF!</v>
      </c>
      <c r="C950" s="89"/>
      <c r="D950" s="91" t="s">
        <v>717</v>
      </c>
      <c r="E950" s="90" t="e">
        <v>#REF!</v>
      </c>
      <c r="F950" s="89"/>
      <c r="G950" s="89"/>
      <c r="H950" s="89" t="s">
        <v>646</v>
      </c>
      <c r="I950" s="89" t="s">
        <v>24912</v>
      </c>
      <c r="J950" s="89" t="s">
        <v>646</v>
      </c>
      <c r="K950" s="89" t="s">
        <v>24915</v>
      </c>
      <c r="M950" s="89">
        <v>2018</v>
      </c>
      <c r="N950" s="89" t="s">
        <v>24913</v>
      </c>
      <c r="O950" s="89" t="s">
        <v>24911</v>
      </c>
      <c r="P950" s="89" t="s">
        <v>646</v>
      </c>
      <c r="S950" s="89" t="s">
        <v>646</v>
      </c>
      <c r="U950" s="89" t="s">
        <v>17474</v>
      </c>
      <c r="W950" s="89" t="s">
        <v>646</v>
      </c>
      <c r="X950" s="89" t="s">
        <v>646</v>
      </c>
      <c r="Y950" s="89" t="s">
        <v>24914</v>
      </c>
      <c r="Z950" s="89" t="s">
        <v>24559</v>
      </c>
      <c r="AA950" s="89" t="s">
        <v>24560</v>
      </c>
      <c r="AB950" s="89" t="s">
        <v>24561</v>
      </c>
      <c r="AC950" s="89" t="s">
        <v>646</v>
      </c>
      <c r="AD950" s="89" t="s">
        <v>646</v>
      </c>
      <c r="AE950" s="89" t="s">
        <v>646</v>
      </c>
      <c r="AF950" s="89" t="s">
        <v>24915</v>
      </c>
      <c r="AG950" s="89" t="s">
        <v>646</v>
      </c>
      <c r="AH950" s="89" t="s">
        <v>646</v>
      </c>
      <c r="AI950" s="89" t="s">
        <v>646</v>
      </c>
      <c r="AJ950" s="89" t="s">
        <v>646</v>
      </c>
      <c r="AK950" s="89" t="s">
        <v>646</v>
      </c>
      <c r="AL950" s="89" t="s">
        <v>646</v>
      </c>
      <c r="AM950" s="89" t="s">
        <v>646</v>
      </c>
      <c r="AN950" s="89" t="s">
        <v>646</v>
      </c>
      <c r="AO950" s="89" t="s">
        <v>646</v>
      </c>
      <c r="AP950" s="89" t="s">
        <v>646</v>
      </c>
      <c r="AQ950" s="89" t="s">
        <v>646</v>
      </c>
      <c r="AR950" s="89" t="s">
        <v>646</v>
      </c>
      <c r="AS950" s="89" t="s">
        <v>646</v>
      </c>
      <c r="AT950" s="89" t="s">
        <v>646</v>
      </c>
      <c r="AU950" s="89" t="s">
        <v>646</v>
      </c>
      <c r="AV950" s="89" t="s">
        <v>646</v>
      </c>
      <c r="AW950" s="89" t="s">
        <v>646</v>
      </c>
      <c r="AX950" s="89" t="s">
        <v>646</v>
      </c>
      <c r="AY950" s="89" t="s">
        <v>646</v>
      </c>
      <c r="AZ950" s="89" t="s">
        <v>646</v>
      </c>
      <c r="BA950" s="89" t="s">
        <v>24916</v>
      </c>
      <c r="BB950" s="89" t="s">
        <v>646</v>
      </c>
      <c r="BC950" s="89" t="s">
        <v>646</v>
      </c>
      <c r="BD950" s="89" t="s">
        <v>646</v>
      </c>
      <c r="BE950" s="89">
        <v>2018</v>
      </c>
      <c r="BF950" s="89" t="s">
        <v>646</v>
      </c>
      <c r="BG950" s="89" t="s">
        <v>646</v>
      </c>
      <c r="BH950" s="89" t="s">
        <v>646</v>
      </c>
      <c r="BI950" s="89" t="s">
        <v>646</v>
      </c>
      <c r="BJ950" s="89" t="s">
        <v>646</v>
      </c>
      <c r="BK950" s="89" t="s">
        <v>646</v>
      </c>
      <c r="BL950" s="89">
        <v>26</v>
      </c>
      <c r="BM950" s="89">
        <v>31</v>
      </c>
      <c r="BN950" s="89" t="s">
        <v>646</v>
      </c>
      <c r="BO950" s="89" t="s">
        <v>646</v>
      </c>
      <c r="BP950" s="89" t="s">
        <v>646</v>
      </c>
      <c r="BQ950" s="89" t="s">
        <v>646</v>
      </c>
      <c r="BR950" s="89" t="s">
        <v>646</v>
      </c>
      <c r="BS950" s="89" t="s">
        <v>646</v>
      </c>
      <c r="BT950" s="89" t="s">
        <v>646</v>
      </c>
      <c r="BU950" s="89" t="s">
        <v>646</v>
      </c>
      <c r="BV950" s="89" t="s">
        <v>646</v>
      </c>
      <c r="BW950" s="89" t="s">
        <v>646</v>
      </c>
      <c r="BX950" s="89" t="s">
        <v>646</v>
      </c>
      <c r="BY950" s="89" t="s">
        <v>646</v>
      </c>
      <c r="BZ950" s="89" t="s">
        <v>646</v>
      </c>
      <c r="CA950" s="89" t="s">
        <v>646</v>
      </c>
      <c r="CB950" s="89" t="s">
        <v>24917</v>
      </c>
      <c r="CC950" s="89" t="str">
        <f>HYPERLINK("https%3A%2F%2Fwww.webofscience.com%2Fwos%2Fwoscc%2Ffull-record%2FWOS:000662636200006","View Full Record in Web of Science")</f>
        <v>View Full Record in Web of Science</v>
      </c>
    </row>
    <row r="951" spans="1:81" ht="13.2" hidden="1" x14ac:dyDescent="0.25">
      <c r="A951" s="89" t="s">
        <v>15784</v>
      </c>
      <c r="B951" s="89" t="e">
        <f>+#REF!</f>
        <v>#REF!</v>
      </c>
      <c r="C951" s="89"/>
      <c r="D951" s="91" t="s">
        <v>717</v>
      </c>
      <c r="E951" s="90" t="e">
        <v>#REF!</v>
      </c>
      <c r="F951" s="89"/>
      <c r="G951" s="89"/>
      <c r="H951" s="89" t="s">
        <v>15785</v>
      </c>
      <c r="I951" s="89" t="s">
        <v>24918</v>
      </c>
      <c r="J951" s="89" t="s">
        <v>24921</v>
      </c>
      <c r="K951" s="89" t="s">
        <v>24920</v>
      </c>
      <c r="M951" s="89">
        <v>2016</v>
      </c>
      <c r="N951" s="89" t="s">
        <v>24919</v>
      </c>
      <c r="O951" s="89" t="s">
        <v>646</v>
      </c>
      <c r="P951" s="89" t="str">
        <f>HYPERLINK("http://dx.doi.org/10.1155/2016/8198039","http://dx.doi.org/10.1155/2016/8198039")</f>
        <v>http://dx.doi.org/10.1155/2016/8198039</v>
      </c>
      <c r="S951" s="89" t="s">
        <v>646</v>
      </c>
      <c r="U951" s="89" t="s">
        <v>17462</v>
      </c>
      <c r="W951" s="89" t="s">
        <v>646</v>
      </c>
      <c r="X951" s="89" t="s">
        <v>646</v>
      </c>
      <c r="Y951" s="89" t="s">
        <v>646</v>
      </c>
      <c r="Z951" s="89" t="s">
        <v>646</v>
      </c>
      <c r="AA951" s="89" t="s">
        <v>646</v>
      </c>
      <c r="AB951" s="89" t="s">
        <v>646</v>
      </c>
      <c r="AC951" s="89" t="s">
        <v>646</v>
      </c>
      <c r="AD951" s="89" t="s">
        <v>646</v>
      </c>
      <c r="AE951" s="89" t="s">
        <v>646</v>
      </c>
      <c r="AF951" s="89" t="s">
        <v>24920</v>
      </c>
      <c r="AG951" s="89" t="s">
        <v>646</v>
      </c>
      <c r="AH951" s="89" t="s">
        <v>646</v>
      </c>
      <c r="AI951" s="89" t="s">
        <v>646</v>
      </c>
      <c r="AJ951" s="89" t="s">
        <v>646</v>
      </c>
      <c r="AK951" s="89" t="s">
        <v>24921</v>
      </c>
      <c r="AL951" s="89" t="s">
        <v>24922</v>
      </c>
      <c r="AM951" s="89" t="s">
        <v>646</v>
      </c>
      <c r="AN951" s="89" t="s">
        <v>646</v>
      </c>
      <c r="AO951" s="89" t="s">
        <v>646</v>
      </c>
      <c r="AP951" s="89" t="s">
        <v>646</v>
      </c>
      <c r="AQ951" s="89" t="s">
        <v>646</v>
      </c>
      <c r="AR951" s="89" t="s">
        <v>646</v>
      </c>
      <c r="AS951" s="89" t="s">
        <v>646</v>
      </c>
      <c r="AT951" s="89" t="s">
        <v>646</v>
      </c>
      <c r="AU951" s="89" t="s">
        <v>646</v>
      </c>
      <c r="AV951" s="89" t="s">
        <v>646</v>
      </c>
      <c r="AW951" s="89" t="s">
        <v>646</v>
      </c>
      <c r="AX951" s="89" t="s">
        <v>646</v>
      </c>
      <c r="AY951" s="89" t="s">
        <v>24923</v>
      </c>
      <c r="AZ951" s="89" t="s">
        <v>24924</v>
      </c>
      <c r="BA951" s="89" t="s">
        <v>646</v>
      </c>
      <c r="BB951" s="89" t="s">
        <v>646</v>
      </c>
      <c r="BC951" s="89" t="s">
        <v>646</v>
      </c>
      <c r="BD951" s="89" t="s">
        <v>646</v>
      </c>
      <c r="BE951" s="89">
        <v>2016</v>
      </c>
      <c r="BF951" s="89">
        <v>2016</v>
      </c>
      <c r="BG951" s="89" t="s">
        <v>646</v>
      </c>
      <c r="BH951" s="89" t="s">
        <v>646</v>
      </c>
      <c r="BI951" s="89" t="s">
        <v>646</v>
      </c>
      <c r="BJ951" s="89" t="s">
        <v>646</v>
      </c>
      <c r="BK951" s="89" t="s">
        <v>646</v>
      </c>
      <c r="BL951" s="89" t="s">
        <v>646</v>
      </c>
      <c r="BM951" s="89" t="s">
        <v>646</v>
      </c>
      <c r="BN951" s="89">
        <v>8198039</v>
      </c>
      <c r="BO951" s="89" t="str">
        <f>HYPERLINK("http://dx.doi.org/10.1155/2016/8198039","http://dx.doi.org/10.1155/2016/8198039")</f>
        <v>http://dx.doi.org/10.1155/2016/8198039</v>
      </c>
      <c r="BP951" s="89" t="s">
        <v>646</v>
      </c>
      <c r="BQ951" s="89" t="s">
        <v>646</v>
      </c>
      <c r="BR951" s="89" t="s">
        <v>646</v>
      </c>
      <c r="BS951" s="89" t="s">
        <v>646</v>
      </c>
      <c r="BT951" s="89" t="s">
        <v>646</v>
      </c>
      <c r="BU951" s="89" t="s">
        <v>646</v>
      </c>
      <c r="BV951" s="89" t="s">
        <v>646</v>
      </c>
      <c r="BW951" s="89" t="s">
        <v>646</v>
      </c>
      <c r="BX951" s="89" t="s">
        <v>646</v>
      </c>
      <c r="BY951" s="89" t="s">
        <v>646</v>
      </c>
      <c r="BZ951" s="89" t="s">
        <v>646</v>
      </c>
      <c r="CA951" s="89" t="s">
        <v>646</v>
      </c>
      <c r="CB951" s="89" t="s">
        <v>24925</v>
      </c>
      <c r="CC951" s="89" t="str">
        <f>HYPERLINK("https%3A%2F%2Fwww.webofscience.com%2Fwos%2Fwoscc%2Ffull-record%2FWOS:000382645600001","View Full Record in Web of Science")</f>
        <v>View Full Record in Web of Science</v>
      </c>
    </row>
    <row r="952" spans="1:81" ht="13.2" hidden="1" x14ac:dyDescent="0.25">
      <c r="A952" s="89" t="s">
        <v>15793</v>
      </c>
      <c r="B952" s="89" t="e">
        <f>+#REF!</f>
        <v>#REF!</v>
      </c>
      <c r="C952" s="89"/>
      <c r="D952" s="91" t="s">
        <v>717</v>
      </c>
      <c r="E952" s="90" t="e">
        <v>#REF!</v>
      </c>
      <c r="F952" s="89"/>
      <c r="G952" s="89"/>
      <c r="H952" s="89" t="s">
        <v>15794</v>
      </c>
      <c r="I952" s="89" t="s">
        <v>24926</v>
      </c>
      <c r="J952" s="89" t="s">
        <v>646</v>
      </c>
      <c r="K952" s="89" t="s">
        <v>24928</v>
      </c>
      <c r="M952" s="89">
        <v>2010</v>
      </c>
      <c r="N952" s="89" t="s">
        <v>24927</v>
      </c>
      <c r="O952" s="89" t="s">
        <v>646</v>
      </c>
      <c r="P952" s="89" t="str">
        <f>HYPERLINK("http://dx.doi.org/10.1007/s10956-010-9218-7","http://dx.doi.org/10.1007/s10956-010-9218-7")</f>
        <v>http://dx.doi.org/10.1007/s10956-010-9218-7</v>
      </c>
      <c r="S952" s="89" t="s">
        <v>646</v>
      </c>
      <c r="U952" s="89" t="s">
        <v>17462</v>
      </c>
      <c r="W952" s="89" t="s">
        <v>646</v>
      </c>
      <c r="X952" s="89" t="s">
        <v>646</v>
      </c>
      <c r="Y952" s="89" t="s">
        <v>646</v>
      </c>
      <c r="Z952" s="89" t="s">
        <v>646</v>
      </c>
      <c r="AA952" s="89" t="s">
        <v>646</v>
      </c>
      <c r="AB952" s="89" t="s">
        <v>646</v>
      </c>
      <c r="AC952" s="89" t="s">
        <v>646</v>
      </c>
      <c r="AD952" s="89" t="s">
        <v>646</v>
      </c>
      <c r="AE952" s="89" t="s">
        <v>646</v>
      </c>
      <c r="AF952" s="89" t="s">
        <v>24928</v>
      </c>
      <c r="AG952" s="89" t="s">
        <v>646</v>
      </c>
      <c r="AH952" s="89" t="s">
        <v>646</v>
      </c>
      <c r="AI952" s="89" t="s">
        <v>646</v>
      </c>
      <c r="AJ952" s="89" t="s">
        <v>646</v>
      </c>
      <c r="AK952" s="89" t="s">
        <v>646</v>
      </c>
      <c r="AL952" s="89" t="s">
        <v>646</v>
      </c>
      <c r="AM952" s="89" t="s">
        <v>646</v>
      </c>
      <c r="AN952" s="89" t="s">
        <v>646</v>
      </c>
      <c r="AO952" s="89" t="s">
        <v>646</v>
      </c>
      <c r="AP952" s="89" t="s">
        <v>646</v>
      </c>
      <c r="AQ952" s="89" t="s">
        <v>646</v>
      </c>
      <c r="AR952" s="89" t="s">
        <v>646</v>
      </c>
      <c r="AS952" s="89" t="s">
        <v>646</v>
      </c>
      <c r="AT952" s="89" t="s">
        <v>646</v>
      </c>
      <c r="AU952" s="89" t="s">
        <v>646</v>
      </c>
      <c r="AV952" s="89" t="s">
        <v>646</v>
      </c>
      <c r="AW952" s="89" t="s">
        <v>646</v>
      </c>
      <c r="AX952" s="89" t="s">
        <v>646</v>
      </c>
      <c r="AY952" s="89" t="s">
        <v>24929</v>
      </c>
      <c r="AZ952" s="89" t="s">
        <v>24930</v>
      </c>
      <c r="BA952" s="89" t="s">
        <v>646</v>
      </c>
      <c r="BB952" s="89" t="s">
        <v>646</v>
      </c>
      <c r="BC952" s="89" t="s">
        <v>646</v>
      </c>
      <c r="BD952" s="89" t="s">
        <v>17615</v>
      </c>
      <c r="BE952" s="89">
        <v>2010</v>
      </c>
      <c r="BF952" s="89">
        <v>19</v>
      </c>
      <c r="BG952" s="89">
        <v>6</v>
      </c>
      <c r="BH952" s="89" t="s">
        <v>646</v>
      </c>
      <c r="BI952" s="89" t="s">
        <v>646</v>
      </c>
      <c r="BJ952" s="89" t="s">
        <v>646</v>
      </c>
      <c r="BK952" s="89" t="s">
        <v>646</v>
      </c>
      <c r="BL952" s="89">
        <v>515</v>
      </c>
      <c r="BM952" s="89">
        <v>531</v>
      </c>
      <c r="BN952" s="89" t="s">
        <v>646</v>
      </c>
      <c r="BO952" s="89" t="str">
        <f>HYPERLINK("http://dx.doi.org/10.1007/s10956-010-9218-7","http://dx.doi.org/10.1007/s10956-010-9218-7")</f>
        <v>http://dx.doi.org/10.1007/s10956-010-9218-7</v>
      </c>
      <c r="BP952" s="89" t="s">
        <v>646</v>
      </c>
      <c r="BQ952" s="89" t="s">
        <v>646</v>
      </c>
      <c r="BR952" s="89" t="s">
        <v>646</v>
      </c>
      <c r="BS952" s="89" t="s">
        <v>646</v>
      </c>
      <c r="BT952" s="89" t="s">
        <v>646</v>
      </c>
      <c r="BU952" s="89" t="s">
        <v>646</v>
      </c>
      <c r="BV952" s="89" t="s">
        <v>646</v>
      </c>
      <c r="BW952" s="89" t="s">
        <v>646</v>
      </c>
      <c r="BX952" s="89" t="s">
        <v>646</v>
      </c>
      <c r="BY952" s="89" t="s">
        <v>646</v>
      </c>
      <c r="BZ952" s="89" t="s">
        <v>646</v>
      </c>
      <c r="CA952" s="89" t="s">
        <v>646</v>
      </c>
      <c r="CB952" s="89" t="s">
        <v>24931</v>
      </c>
      <c r="CC952" s="89" t="str">
        <f>HYPERLINK("https%3A%2F%2Fwww.webofscience.com%2Fwos%2Fwoscc%2Ffull-record%2FWOS:000284275000002","View Full Record in Web of Science")</f>
        <v>View Full Record in Web of Science</v>
      </c>
    </row>
    <row r="953" spans="1:81" ht="13.2" hidden="1" x14ac:dyDescent="0.25">
      <c r="A953" s="89" t="s">
        <v>24932</v>
      </c>
      <c r="B953" s="89" t="e">
        <f>+#REF!</f>
        <v>#REF!</v>
      </c>
      <c r="C953" s="89"/>
      <c r="D953" s="91" t="s">
        <v>717</v>
      </c>
      <c r="E953" s="90" t="e">
        <v>#REF!</v>
      </c>
      <c r="F953" s="89"/>
      <c r="G953" s="89"/>
      <c r="H953" s="89" t="s">
        <v>1135</v>
      </c>
      <c r="I953" s="89" t="s">
        <v>24933</v>
      </c>
      <c r="J953" s="89" t="s">
        <v>24935</v>
      </c>
      <c r="K953" s="89" t="s">
        <v>24934</v>
      </c>
      <c r="M953" s="89">
        <v>2020</v>
      </c>
      <c r="N953" s="89" t="s">
        <v>19507</v>
      </c>
      <c r="O953" s="89" t="s">
        <v>646</v>
      </c>
      <c r="P953" s="89" t="str">
        <f>HYPERLINK("http://dx.doi.org/10.1049/iet-sen.2019.0128","http://dx.doi.org/10.1049/iet-sen.2019.0128")</f>
        <v>http://dx.doi.org/10.1049/iet-sen.2019.0128</v>
      </c>
      <c r="S953" s="89" t="s">
        <v>646</v>
      </c>
      <c r="U953" s="89" t="s">
        <v>17462</v>
      </c>
      <c r="W953" s="89" t="s">
        <v>646</v>
      </c>
      <c r="X953" s="89" t="s">
        <v>646</v>
      </c>
      <c r="Y953" s="89" t="s">
        <v>646</v>
      </c>
      <c r="Z953" s="89" t="s">
        <v>646</v>
      </c>
      <c r="AA953" s="89" t="s">
        <v>646</v>
      </c>
      <c r="AB953" s="89" t="s">
        <v>646</v>
      </c>
      <c r="AC953" s="89" t="s">
        <v>646</v>
      </c>
      <c r="AD953" s="89" t="s">
        <v>646</v>
      </c>
      <c r="AE953" s="89" t="s">
        <v>646</v>
      </c>
      <c r="AF953" s="89" t="s">
        <v>24934</v>
      </c>
      <c r="AG953" s="89" t="s">
        <v>646</v>
      </c>
      <c r="AH953" s="89" t="s">
        <v>646</v>
      </c>
      <c r="AI953" s="89" t="s">
        <v>646</v>
      </c>
      <c r="AJ953" s="89" t="s">
        <v>646</v>
      </c>
      <c r="AK953" s="89" t="s">
        <v>24935</v>
      </c>
      <c r="AL953" s="89" t="s">
        <v>24936</v>
      </c>
      <c r="AM953" s="89" t="s">
        <v>646</v>
      </c>
      <c r="AN953" s="89" t="s">
        <v>646</v>
      </c>
      <c r="AO953" s="89" t="s">
        <v>646</v>
      </c>
      <c r="AP953" s="89" t="s">
        <v>646</v>
      </c>
      <c r="AQ953" s="89" t="s">
        <v>646</v>
      </c>
      <c r="AR953" s="89" t="s">
        <v>646</v>
      </c>
      <c r="AS953" s="89" t="s">
        <v>646</v>
      </c>
      <c r="AT953" s="89" t="s">
        <v>646</v>
      </c>
      <c r="AU953" s="89" t="s">
        <v>646</v>
      </c>
      <c r="AV953" s="89" t="s">
        <v>646</v>
      </c>
      <c r="AW953" s="89" t="s">
        <v>646</v>
      </c>
      <c r="AX953" s="89" t="s">
        <v>646</v>
      </c>
      <c r="AY953" s="89" t="s">
        <v>19511</v>
      </c>
      <c r="AZ953" s="89" t="s">
        <v>19512</v>
      </c>
      <c r="BA953" s="89" t="s">
        <v>646</v>
      </c>
      <c r="BB953" s="89" t="s">
        <v>646</v>
      </c>
      <c r="BC953" s="89" t="s">
        <v>646</v>
      </c>
      <c r="BD953" s="89" t="s">
        <v>17772</v>
      </c>
      <c r="BE953" s="89">
        <v>2020</v>
      </c>
      <c r="BF953" s="89">
        <v>14</v>
      </c>
      <c r="BG953" s="89">
        <v>3</v>
      </c>
      <c r="BH953" s="89" t="s">
        <v>646</v>
      </c>
      <c r="BI953" s="89" t="s">
        <v>646</v>
      </c>
      <c r="BJ953" s="89" t="s">
        <v>646</v>
      </c>
      <c r="BK953" s="89" t="s">
        <v>646</v>
      </c>
      <c r="BL953" s="89">
        <v>265</v>
      </c>
      <c r="BM953" s="89">
        <v>274</v>
      </c>
      <c r="BN953" s="89" t="s">
        <v>646</v>
      </c>
      <c r="BO953" s="89" t="str">
        <f>HYPERLINK("http://dx.doi.org/10.1049/iet-sen.2019.0128","http://dx.doi.org/10.1049/iet-sen.2019.0128")</f>
        <v>http://dx.doi.org/10.1049/iet-sen.2019.0128</v>
      </c>
      <c r="BP953" s="89" t="s">
        <v>646</v>
      </c>
      <c r="BQ953" s="89" t="s">
        <v>646</v>
      </c>
      <c r="BR953" s="89" t="s">
        <v>646</v>
      </c>
      <c r="BS953" s="89" t="s">
        <v>646</v>
      </c>
      <c r="BT953" s="89" t="s">
        <v>646</v>
      </c>
      <c r="BU953" s="89" t="s">
        <v>646</v>
      </c>
      <c r="BV953" s="89" t="s">
        <v>646</v>
      </c>
      <c r="BW953" s="89" t="s">
        <v>646</v>
      </c>
      <c r="BX953" s="89" t="s">
        <v>646</v>
      </c>
      <c r="BY953" s="89" t="s">
        <v>646</v>
      </c>
      <c r="BZ953" s="89" t="s">
        <v>646</v>
      </c>
      <c r="CA953" s="89" t="s">
        <v>646</v>
      </c>
      <c r="CB953" s="89" t="s">
        <v>24937</v>
      </c>
      <c r="CC953" s="89" t="str">
        <f>HYPERLINK("https%3A%2F%2Fwww.webofscience.com%2Fwos%2Fwoscc%2Ffull-record%2FWOS:000585778800009","View Full Record in Web of Science")</f>
        <v>View Full Record in Web of Science</v>
      </c>
    </row>
    <row r="954" spans="1:81" ht="13.2" hidden="1" x14ac:dyDescent="0.25">
      <c r="A954" s="89" t="s">
        <v>24938</v>
      </c>
      <c r="B954" s="89" t="e">
        <f>+#REF!</f>
        <v>#REF!</v>
      </c>
      <c r="C954" s="89"/>
      <c r="D954" s="91" t="s">
        <v>717</v>
      </c>
      <c r="E954" s="90" t="e">
        <v>#REF!</v>
      </c>
      <c r="F954" s="89"/>
      <c r="G954" s="89"/>
      <c r="H954" s="89" t="s">
        <v>15804</v>
      </c>
      <c r="I954" s="89" t="s">
        <v>24939</v>
      </c>
      <c r="J954" s="89" t="s">
        <v>19018</v>
      </c>
      <c r="K954" s="89" t="s">
        <v>24944</v>
      </c>
      <c r="M954" s="89">
        <v>2008</v>
      </c>
      <c r="N954" s="89" t="s">
        <v>24940</v>
      </c>
      <c r="O954" s="89" t="s">
        <v>646</v>
      </c>
      <c r="P954" s="89" t="str">
        <f>HYPERLINK("http://dx.doi.org/10.1109/ICGSE.2008.15","http://dx.doi.org/10.1109/ICGSE.2008.15")</f>
        <v>http://dx.doi.org/10.1109/ICGSE.2008.15</v>
      </c>
      <c r="S954" s="89" t="s">
        <v>19006</v>
      </c>
      <c r="U954" s="89" t="s">
        <v>17474</v>
      </c>
      <c r="W954" s="89" t="s">
        <v>646</v>
      </c>
      <c r="X954" s="89" t="s">
        <v>646</v>
      </c>
      <c r="Y954" s="89" t="s">
        <v>24941</v>
      </c>
      <c r="Z954" s="89" t="s">
        <v>24942</v>
      </c>
      <c r="AA954" s="89" t="s">
        <v>22647</v>
      </c>
      <c r="AB954" s="89" t="s">
        <v>24943</v>
      </c>
      <c r="AC954" s="89" t="s">
        <v>646</v>
      </c>
      <c r="AD954" s="89" t="s">
        <v>646</v>
      </c>
      <c r="AE954" s="89" t="s">
        <v>646</v>
      </c>
      <c r="AF954" s="89" t="s">
        <v>24944</v>
      </c>
      <c r="AG954" s="89" t="s">
        <v>646</v>
      </c>
      <c r="AH954" s="89" t="s">
        <v>646</v>
      </c>
      <c r="AI954" s="89" t="s">
        <v>646</v>
      </c>
      <c r="AJ954" s="89" t="s">
        <v>646</v>
      </c>
      <c r="AK954" s="89" t="s">
        <v>19018</v>
      </c>
      <c r="AL954" s="89" t="s">
        <v>19019</v>
      </c>
      <c r="AM954" s="89" t="s">
        <v>646</v>
      </c>
      <c r="AN954" s="89" t="s">
        <v>646</v>
      </c>
      <c r="AO954" s="89" t="s">
        <v>646</v>
      </c>
      <c r="AP954" s="89" t="s">
        <v>646</v>
      </c>
      <c r="AQ954" s="89" t="s">
        <v>646</v>
      </c>
      <c r="AR954" s="89" t="s">
        <v>646</v>
      </c>
      <c r="AS954" s="89" t="s">
        <v>646</v>
      </c>
      <c r="AT954" s="89" t="s">
        <v>646</v>
      </c>
      <c r="AU954" s="89" t="s">
        <v>646</v>
      </c>
      <c r="AV954" s="89" t="s">
        <v>646</v>
      </c>
      <c r="AW954" s="89" t="s">
        <v>646</v>
      </c>
      <c r="AX954" s="89" t="s">
        <v>646</v>
      </c>
      <c r="AY954" s="89" t="s">
        <v>646</v>
      </c>
      <c r="AZ954" s="89" t="s">
        <v>646</v>
      </c>
      <c r="BA954" s="89" t="s">
        <v>24945</v>
      </c>
      <c r="BB954" s="89" t="s">
        <v>646</v>
      </c>
      <c r="BC954" s="89" t="s">
        <v>646</v>
      </c>
      <c r="BD954" s="89" t="s">
        <v>646</v>
      </c>
      <c r="BE954" s="89">
        <v>2008</v>
      </c>
      <c r="BF954" s="89" t="s">
        <v>646</v>
      </c>
      <c r="BG954" s="89" t="s">
        <v>646</v>
      </c>
      <c r="BH954" s="89" t="s">
        <v>646</v>
      </c>
      <c r="BI954" s="89" t="s">
        <v>646</v>
      </c>
      <c r="BJ954" s="89" t="s">
        <v>646</v>
      </c>
      <c r="BK954" s="89" t="s">
        <v>646</v>
      </c>
      <c r="BL954" s="89">
        <v>109</v>
      </c>
      <c r="BM954" s="89" t="s">
        <v>18405</v>
      </c>
      <c r="BN954" s="89" t="s">
        <v>646</v>
      </c>
      <c r="BO954" s="89" t="str">
        <f>HYPERLINK("http://dx.doi.org/10.1109/ICGSE.2008.15","http://dx.doi.org/10.1109/ICGSE.2008.15")</f>
        <v>http://dx.doi.org/10.1109/ICGSE.2008.15</v>
      </c>
      <c r="BP954" s="89" t="s">
        <v>646</v>
      </c>
      <c r="BQ954" s="89" t="s">
        <v>646</v>
      </c>
      <c r="BR954" s="89" t="s">
        <v>646</v>
      </c>
      <c r="BS954" s="89" t="s">
        <v>646</v>
      </c>
      <c r="BT954" s="89" t="s">
        <v>646</v>
      </c>
      <c r="BU954" s="89" t="s">
        <v>646</v>
      </c>
      <c r="BV954" s="89" t="s">
        <v>646</v>
      </c>
      <c r="BW954" s="89" t="s">
        <v>646</v>
      </c>
      <c r="BX954" s="89" t="s">
        <v>646</v>
      </c>
      <c r="BY954" s="89" t="s">
        <v>646</v>
      </c>
      <c r="BZ954" s="89" t="s">
        <v>646</v>
      </c>
      <c r="CA954" s="89" t="s">
        <v>646</v>
      </c>
      <c r="CB954" s="89" t="s">
        <v>24946</v>
      </c>
      <c r="CC954" s="89" t="str">
        <f>HYPERLINK("https%3A%2F%2Fwww.webofscience.com%2Fwos%2Fwoscc%2Ffull-record%2FWOS:000260490900011","View Full Record in Web of Science")</f>
        <v>View Full Record in Web of Science</v>
      </c>
    </row>
    <row r="955" spans="1:81" ht="13.2" hidden="1" x14ac:dyDescent="0.25">
      <c r="A955" s="89" t="s">
        <v>24947</v>
      </c>
      <c r="B955" s="89" t="e">
        <f>+#REF!</f>
        <v>#REF!</v>
      </c>
      <c r="C955" s="89"/>
      <c r="D955" s="91" t="s">
        <v>717</v>
      </c>
      <c r="E955" s="90" t="e">
        <v>#REF!</v>
      </c>
      <c r="F955" s="89"/>
      <c r="G955" s="89"/>
      <c r="H955" s="89" t="s">
        <v>15812</v>
      </c>
      <c r="I955" s="89" t="s">
        <v>24949</v>
      </c>
      <c r="J955" s="89" t="s">
        <v>646</v>
      </c>
      <c r="K955" s="89" t="s">
        <v>24954</v>
      </c>
      <c r="M955" s="89">
        <v>2015</v>
      </c>
      <c r="N955" s="89" t="s">
        <v>24950</v>
      </c>
      <c r="O955" s="89" t="s">
        <v>24948</v>
      </c>
      <c r="P955" s="89" t="str">
        <f>HYPERLINK("http://dx.doi.org/10.1007/978-3-319-20267-9_14","http://dx.doi.org/10.1007/978-3-319-20267-9_14")</f>
        <v>http://dx.doi.org/10.1007/978-3-319-20267-9_14</v>
      </c>
      <c r="S955" s="89" t="s">
        <v>646</v>
      </c>
      <c r="U955" s="89" t="s">
        <v>17474</v>
      </c>
      <c r="W955" s="89" t="s">
        <v>646</v>
      </c>
      <c r="X955" s="89" t="s">
        <v>646</v>
      </c>
      <c r="Y955" s="89" t="s">
        <v>24951</v>
      </c>
      <c r="Z955" s="89" t="s">
        <v>24952</v>
      </c>
      <c r="AA955" s="89" t="s">
        <v>21944</v>
      </c>
      <c r="AB955" s="89" t="s">
        <v>24953</v>
      </c>
      <c r="AC955" s="89" t="s">
        <v>646</v>
      </c>
      <c r="AD955" s="89" t="s">
        <v>646</v>
      </c>
      <c r="AE955" s="89" t="s">
        <v>646</v>
      </c>
      <c r="AF955" s="89" t="s">
        <v>24954</v>
      </c>
      <c r="AG955" s="89" t="s">
        <v>646</v>
      </c>
      <c r="AH955" s="89" t="s">
        <v>646</v>
      </c>
      <c r="AI955" s="89" t="s">
        <v>646</v>
      </c>
      <c r="AJ955" s="89" t="s">
        <v>646</v>
      </c>
      <c r="AK955" s="89" t="s">
        <v>646</v>
      </c>
      <c r="AL955" s="89" t="s">
        <v>24955</v>
      </c>
      <c r="AM955" s="89" t="s">
        <v>646</v>
      </c>
      <c r="AN955" s="89" t="s">
        <v>646</v>
      </c>
      <c r="AO955" s="89" t="s">
        <v>646</v>
      </c>
      <c r="AP955" s="89" t="s">
        <v>646</v>
      </c>
      <c r="AQ955" s="89" t="s">
        <v>646</v>
      </c>
      <c r="AR955" s="89" t="s">
        <v>646</v>
      </c>
      <c r="AS955" s="89" t="s">
        <v>646</v>
      </c>
      <c r="AT955" s="89" t="s">
        <v>646</v>
      </c>
      <c r="AU955" s="89" t="s">
        <v>646</v>
      </c>
      <c r="AV955" s="89" t="s">
        <v>646</v>
      </c>
      <c r="AW955" s="89" t="s">
        <v>646</v>
      </c>
      <c r="AX955" s="89" t="s">
        <v>646</v>
      </c>
      <c r="AY955" s="89" t="s">
        <v>18367</v>
      </c>
      <c r="AZ955" s="89" t="s">
        <v>18884</v>
      </c>
      <c r="BA955" s="89" t="s">
        <v>24956</v>
      </c>
      <c r="BB955" s="89" t="s">
        <v>646</v>
      </c>
      <c r="BC955" s="89" t="s">
        <v>646</v>
      </c>
      <c r="BD955" s="89" t="s">
        <v>646</v>
      </c>
      <c r="BE955" s="89">
        <v>2015</v>
      </c>
      <c r="BF955" s="89">
        <v>9146</v>
      </c>
      <c r="BG955" s="89" t="s">
        <v>646</v>
      </c>
      <c r="BH955" s="89" t="s">
        <v>646</v>
      </c>
      <c r="BI955" s="89" t="s">
        <v>646</v>
      </c>
      <c r="BJ955" s="89" t="s">
        <v>646</v>
      </c>
      <c r="BK955" s="89" t="s">
        <v>646</v>
      </c>
      <c r="BL955" s="89">
        <v>169</v>
      </c>
      <c r="BM955" s="89">
        <v>182</v>
      </c>
      <c r="BN955" s="89" t="s">
        <v>646</v>
      </c>
      <c r="BO955" s="89" t="str">
        <f>HYPERLINK("http://dx.doi.org/10.1007/978-3-319-20267-9_14","http://dx.doi.org/10.1007/978-3-319-20267-9_14")</f>
        <v>http://dx.doi.org/10.1007/978-3-319-20267-9_14</v>
      </c>
      <c r="BP955" s="89" t="s">
        <v>646</v>
      </c>
      <c r="BQ955" s="89" t="s">
        <v>646</v>
      </c>
      <c r="BR955" s="89" t="s">
        <v>646</v>
      </c>
      <c r="BS955" s="89" t="s">
        <v>646</v>
      </c>
      <c r="BT955" s="89" t="s">
        <v>646</v>
      </c>
      <c r="BU955" s="89" t="s">
        <v>646</v>
      </c>
      <c r="BV955" s="89" t="s">
        <v>646</v>
      </c>
      <c r="BW955" s="89" t="s">
        <v>646</v>
      </c>
      <c r="BX955" s="89" t="s">
        <v>646</v>
      </c>
      <c r="BY955" s="89" t="s">
        <v>646</v>
      </c>
      <c r="BZ955" s="89" t="s">
        <v>646</v>
      </c>
      <c r="CA955" s="89" t="s">
        <v>646</v>
      </c>
      <c r="CB955" s="89" t="s">
        <v>24957</v>
      </c>
      <c r="CC955" s="89" t="str">
        <f>HYPERLINK("https%3A%2F%2Fwww.webofscience.com%2Fwos%2Fwoscc%2Ffull-record%2FWOS:000364104400014","View Full Record in Web of Science")</f>
        <v>View Full Record in Web of Science</v>
      </c>
    </row>
    <row r="956" spans="1:81" ht="13.2" hidden="1" x14ac:dyDescent="0.25">
      <c r="A956" s="89" t="s">
        <v>15820</v>
      </c>
      <c r="B956" s="89" t="e">
        <f>+#REF!</f>
        <v>#REF!</v>
      </c>
      <c r="C956" s="89"/>
      <c r="D956" s="91" t="s">
        <v>717</v>
      </c>
      <c r="E956" s="90" t="e">
        <v>#REF!</v>
      </c>
      <c r="F956" s="89"/>
      <c r="G956" s="89"/>
      <c r="H956" s="89" t="s">
        <v>15821</v>
      </c>
      <c r="I956" s="89" t="s">
        <v>24958</v>
      </c>
      <c r="J956" s="89" t="s">
        <v>24960</v>
      </c>
      <c r="K956" s="89" t="s">
        <v>24959</v>
      </c>
      <c r="M956" s="89">
        <v>2019</v>
      </c>
      <c r="N956" s="89" t="s">
        <v>18779</v>
      </c>
      <c r="O956" s="89" t="s">
        <v>646</v>
      </c>
      <c r="P956" s="89" t="str">
        <f>HYPERLINK("http://dx.doi.org/10.1016/j.infsof.2019.04.008","http://dx.doi.org/10.1016/j.infsof.2019.04.008")</f>
        <v>http://dx.doi.org/10.1016/j.infsof.2019.04.008</v>
      </c>
      <c r="S956" s="89" t="s">
        <v>646</v>
      </c>
      <c r="U956" s="89" t="s">
        <v>17462</v>
      </c>
      <c r="W956" s="89" t="s">
        <v>646</v>
      </c>
      <c r="X956" s="89" t="s">
        <v>646</v>
      </c>
      <c r="Y956" s="89" t="s">
        <v>646</v>
      </c>
      <c r="Z956" s="89" t="s">
        <v>646</v>
      </c>
      <c r="AA956" s="89" t="s">
        <v>646</v>
      </c>
      <c r="AB956" s="89" t="s">
        <v>646</v>
      </c>
      <c r="AC956" s="89" t="s">
        <v>646</v>
      </c>
      <c r="AD956" s="89" t="s">
        <v>646</v>
      </c>
      <c r="AE956" s="89" t="s">
        <v>646</v>
      </c>
      <c r="AF956" s="89" t="s">
        <v>24959</v>
      </c>
      <c r="AG956" s="89" t="s">
        <v>646</v>
      </c>
      <c r="AH956" s="89" t="s">
        <v>646</v>
      </c>
      <c r="AI956" s="89" t="s">
        <v>646</v>
      </c>
      <c r="AJ956" s="89" t="s">
        <v>646</v>
      </c>
      <c r="AK956" s="89" t="s">
        <v>24960</v>
      </c>
      <c r="AL956" s="89" t="s">
        <v>24961</v>
      </c>
      <c r="AM956" s="89" t="s">
        <v>646</v>
      </c>
      <c r="AN956" s="89" t="s">
        <v>646</v>
      </c>
      <c r="AO956" s="89" t="s">
        <v>646</v>
      </c>
      <c r="AP956" s="89" t="s">
        <v>646</v>
      </c>
      <c r="AQ956" s="89" t="s">
        <v>646</v>
      </c>
      <c r="AR956" s="89" t="s">
        <v>646</v>
      </c>
      <c r="AS956" s="89" t="s">
        <v>646</v>
      </c>
      <c r="AT956" s="89" t="s">
        <v>646</v>
      </c>
      <c r="AU956" s="89" t="s">
        <v>646</v>
      </c>
      <c r="AV956" s="89" t="s">
        <v>646</v>
      </c>
      <c r="AW956" s="89" t="s">
        <v>646</v>
      </c>
      <c r="AX956" s="89" t="s">
        <v>646</v>
      </c>
      <c r="AY956" s="89" t="s">
        <v>18782</v>
      </c>
      <c r="AZ956" s="89" t="s">
        <v>18783</v>
      </c>
      <c r="BA956" s="89" t="s">
        <v>646</v>
      </c>
      <c r="BB956" s="89" t="s">
        <v>646</v>
      </c>
      <c r="BC956" s="89" t="s">
        <v>646</v>
      </c>
      <c r="BD956" s="89" t="s">
        <v>18655</v>
      </c>
      <c r="BE956" s="89">
        <v>2019</v>
      </c>
      <c r="BF956" s="89">
        <v>112</v>
      </c>
      <c r="BG956" s="89" t="s">
        <v>646</v>
      </c>
      <c r="BH956" s="89" t="s">
        <v>646</v>
      </c>
      <c r="BI956" s="89" t="s">
        <v>646</v>
      </c>
      <c r="BJ956" s="89" t="s">
        <v>646</v>
      </c>
      <c r="BK956" s="89" t="s">
        <v>646</v>
      </c>
      <c r="BL956" s="89">
        <v>68</v>
      </c>
      <c r="BM956" s="89">
        <v>82</v>
      </c>
      <c r="BN956" s="89" t="s">
        <v>646</v>
      </c>
      <c r="BO956" s="89" t="str">
        <f>HYPERLINK("http://dx.doi.org/10.1016/j.infsof.2019.04.008","http://dx.doi.org/10.1016/j.infsof.2019.04.008")</f>
        <v>http://dx.doi.org/10.1016/j.infsof.2019.04.008</v>
      </c>
      <c r="BP956" s="89" t="s">
        <v>646</v>
      </c>
      <c r="BQ956" s="89" t="s">
        <v>646</v>
      </c>
      <c r="BR956" s="89" t="s">
        <v>646</v>
      </c>
      <c r="BS956" s="89" t="s">
        <v>646</v>
      </c>
      <c r="BT956" s="89" t="s">
        <v>646</v>
      </c>
      <c r="BU956" s="89" t="s">
        <v>646</v>
      </c>
      <c r="BV956" s="89" t="s">
        <v>646</v>
      </c>
      <c r="BW956" s="89" t="s">
        <v>646</v>
      </c>
      <c r="BX956" s="89" t="s">
        <v>646</v>
      </c>
      <c r="BY956" s="89" t="s">
        <v>646</v>
      </c>
      <c r="BZ956" s="89" t="s">
        <v>646</v>
      </c>
      <c r="CA956" s="89" t="s">
        <v>646</v>
      </c>
      <c r="CB956" s="89" t="s">
        <v>24962</v>
      </c>
      <c r="CC956" s="89" t="str">
        <f>HYPERLINK("https%3A%2F%2Fwww.webofscience.com%2Fwos%2Fwoscc%2Ffull-record%2FWOS:000469899100006","View Full Record in Web of Science")</f>
        <v>View Full Record in Web of Science</v>
      </c>
    </row>
    <row r="957" spans="1:81" ht="13.2" hidden="1" x14ac:dyDescent="0.25">
      <c r="A957" s="89" t="s">
        <v>1711</v>
      </c>
      <c r="B957" s="89" t="e">
        <f>+#REF!</f>
        <v>#REF!</v>
      </c>
      <c r="C957" s="89"/>
      <c r="D957" s="91" t="s">
        <v>717</v>
      </c>
      <c r="E957" s="90" t="e">
        <v>#REF!</v>
      </c>
      <c r="F957" s="89"/>
      <c r="G957" s="89"/>
      <c r="H957" s="89" t="s">
        <v>646</v>
      </c>
      <c r="I957" s="89" t="s">
        <v>24963</v>
      </c>
      <c r="J957" s="89" t="s">
        <v>24966</v>
      </c>
      <c r="K957" s="89" t="s">
        <v>24965</v>
      </c>
      <c r="M957" s="89">
        <v>2020</v>
      </c>
      <c r="N957" s="89" t="s">
        <v>24964</v>
      </c>
      <c r="O957" s="89" t="s">
        <v>646</v>
      </c>
      <c r="P957" s="89" t="s">
        <v>646</v>
      </c>
      <c r="S957" s="89" t="s">
        <v>646</v>
      </c>
      <c r="U957" s="89" t="s">
        <v>17462</v>
      </c>
      <c r="W957" s="89" t="s">
        <v>646</v>
      </c>
      <c r="X957" s="89" t="s">
        <v>646</v>
      </c>
      <c r="Y957" s="89" t="s">
        <v>646</v>
      </c>
      <c r="Z957" s="89" t="s">
        <v>646</v>
      </c>
      <c r="AA957" s="89" t="s">
        <v>646</v>
      </c>
      <c r="AB957" s="89" t="s">
        <v>646</v>
      </c>
      <c r="AC957" s="89" t="s">
        <v>646</v>
      </c>
      <c r="AD957" s="89" t="s">
        <v>646</v>
      </c>
      <c r="AE957" s="89" t="s">
        <v>646</v>
      </c>
      <c r="AF957" s="89" t="s">
        <v>24965</v>
      </c>
      <c r="AG957" s="89" t="s">
        <v>646</v>
      </c>
      <c r="AH957" s="89" t="s">
        <v>646</v>
      </c>
      <c r="AI957" s="89" t="s">
        <v>646</v>
      </c>
      <c r="AJ957" s="89" t="s">
        <v>646</v>
      </c>
      <c r="AK957" s="89" t="s">
        <v>24966</v>
      </c>
      <c r="AL957" s="89" t="s">
        <v>24967</v>
      </c>
      <c r="AM957" s="89" t="s">
        <v>646</v>
      </c>
      <c r="AN957" s="89" t="s">
        <v>646</v>
      </c>
      <c r="AO957" s="89" t="s">
        <v>646</v>
      </c>
      <c r="AP957" s="89" t="s">
        <v>646</v>
      </c>
      <c r="AQ957" s="89" t="s">
        <v>646</v>
      </c>
      <c r="AR957" s="89" t="s">
        <v>646</v>
      </c>
      <c r="AS957" s="89" t="s">
        <v>646</v>
      </c>
      <c r="AT957" s="89" t="s">
        <v>646</v>
      </c>
      <c r="AU957" s="89" t="s">
        <v>646</v>
      </c>
      <c r="AV957" s="89" t="s">
        <v>646</v>
      </c>
      <c r="AW957" s="89" t="s">
        <v>646</v>
      </c>
      <c r="AX957" s="89" t="s">
        <v>646</v>
      </c>
      <c r="AY957" s="89" t="s">
        <v>24968</v>
      </c>
      <c r="AZ957" s="89" t="s">
        <v>24969</v>
      </c>
      <c r="BA957" s="89" t="s">
        <v>646</v>
      </c>
      <c r="BB957" s="89" t="s">
        <v>646</v>
      </c>
      <c r="BC957" s="89" t="s">
        <v>646</v>
      </c>
      <c r="BD957" s="89" t="s">
        <v>646</v>
      </c>
      <c r="BE957" s="89">
        <v>2020</v>
      </c>
      <c r="BF957" s="89">
        <v>11</v>
      </c>
      <c r="BG957" s="89">
        <v>6</v>
      </c>
      <c r="BH957" s="89" t="s">
        <v>646</v>
      </c>
      <c r="BI957" s="89" t="s">
        <v>646</v>
      </c>
      <c r="BJ957" s="89" t="s">
        <v>17555</v>
      </c>
      <c r="BK957" s="89" t="s">
        <v>646</v>
      </c>
      <c r="BL957" s="89">
        <v>780</v>
      </c>
      <c r="BM957" s="89">
        <v>791</v>
      </c>
      <c r="BN957" s="89" t="s">
        <v>646</v>
      </c>
      <c r="BO957" s="89" t="s">
        <v>646</v>
      </c>
      <c r="BP957" s="89" t="s">
        <v>646</v>
      </c>
      <c r="BQ957" s="89" t="s">
        <v>646</v>
      </c>
      <c r="BR957" s="89" t="s">
        <v>646</v>
      </c>
      <c r="BS957" s="89" t="s">
        <v>646</v>
      </c>
      <c r="BT957" s="89" t="s">
        <v>646</v>
      </c>
      <c r="BU957" s="89" t="s">
        <v>646</v>
      </c>
      <c r="BV957" s="89" t="s">
        <v>646</v>
      </c>
      <c r="BW957" s="89" t="s">
        <v>646</v>
      </c>
      <c r="BX957" s="89" t="s">
        <v>646</v>
      </c>
      <c r="BY957" s="89" t="s">
        <v>646</v>
      </c>
      <c r="BZ957" s="89" t="s">
        <v>646</v>
      </c>
      <c r="CA957" s="89" t="s">
        <v>646</v>
      </c>
      <c r="CB957" s="89" t="s">
        <v>24970</v>
      </c>
      <c r="CC957" s="89" t="str">
        <f>HYPERLINK("https%3A%2F%2Fwww.webofscience.com%2Fwos%2Fwoscc%2Ffull-record%2FWOS:000588372300005","View Full Record in Web of Science")</f>
        <v>View Full Record in Web of Science</v>
      </c>
    </row>
    <row r="958" spans="1:81" ht="13.2" hidden="1" x14ac:dyDescent="0.25">
      <c r="A958" s="89" t="s">
        <v>24971</v>
      </c>
      <c r="B958" s="89" t="e">
        <f>+#REF!</f>
        <v>#REF!</v>
      </c>
      <c r="C958" s="89"/>
      <c r="D958" s="91" t="s">
        <v>717</v>
      </c>
      <c r="E958" s="90" t="e">
        <v>#REF!</v>
      </c>
      <c r="F958" s="89"/>
      <c r="G958" s="89"/>
      <c r="H958" s="89" t="s">
        <v>646</v>
      </c>
      <c r="I958" s="89" t="s">
        <v>24972</v>
      </c>
      <c r="J958" s="89" t="s">
        <v>646</v>
      </c>
      <c r="K958" s="89" t="s">
        <v>24973</v>
      </c>
      <c r="M958" s="89">
        <v>2018</v>
      </c>
      <c r="N958" s="89" t="s">
        <v>20432</v>
      </c>
      <c r="O958" s="89" t="s">
        <v>646</v>
      </c>
      <c r="P958" s="89" t="s">
        <v>646</v>
      </c>
      <c r="S958" s="89" t="s">
        <v>19206</v>
      </c>
      <c r="U958" s="89" t="s">
        <v>17474</v>
      </c>
      <c r="W958" s="89" t="s">
        <v>646</v>
      </c>
      <c r="X958" s="89" t="s">
        <v>646</v>
      </c>
      <c r="Y958" s="89" t="s">
        <v>20433</v>
      </c>
      <c r="Z958" s="89" t="s">
        <v>20434</v>
      </c>
      <c r="AA958" s="89" t="s">
        <v>20435</v>
      </c>
      <c r="AB958" s="89" t="s">
        <v>20436</v>
      </c>
      <c r="AC958" s="89" t="s">
        <v>646</v>
      </c>
      <c r="AD958" s="89" t="s">
        <v>646</v>
      </c>
      <c r="AE958" s="89" t="s">
        <v>646</v>
      </c>
      <c r="AF958" s="89" t="s">
        <v>24973</v>
      </c>
      <c r="AG958" s="89" t="s">
        <v>646</v>
      </c>
      <c r="AH958" s="89" t="s">
        <v>646</v>
      </c>
      <c r="AI958" s="89" t="s">
        <v>646</v>
      </c>
      <c r="AJ958" s="89" t="s">
        <v>646</v>
      </c>
      <c r="AK958" s="89" t="s">
        <v>646</v>
      </c>
      <c r="AL958" s="89" t="s">
        <v>646</v>
      </c>
      <c r="AM958" s="89" t="s">
        <v>646</v>
      </c>
      <c r="AN958" s="89" t="s">
        <v>646</v>
      </c>
      <c r="AO958" s="89" t="s">
        <v>646</v>
      </c>
      <c r="AP958" s="89" t="s">
        <v>646</v>
      </c>
      <c r="AQ958" s="89" t="s">
        <v>646</v>
      </c>
      <c r="AR958" s="89" t="s">
        <v>646</v>
      </c>
      <c r="AS958" s="89" t="s">
        <v>646</v>
      </c>
      <c r="AT958" s="89" t="s">
        <v>646</v>
      </c>
      <c r="AU958" s="89" t="s">
        <v>646</v>
      </c>
      <c r="AV958" s="89" t="s">
        <v>646</v>
      </c>
      <c r="AW958" s="89" t="s">
        <v>646</v>
      </c>
      <c r="AX958" s="89" t="s">
        <v>646</v>
      </c>
      <c r="AY958" s="89" t="s">
        <v>646</v>
      </c>
      <c r="AZ958" s="89" t="s">
        <v>646</v>
      </c>
      <c r="BA958" s="89" t="s">
        <v>20438</v>
      </c>
      <c r="BB958" s="89" t="s">
        <v>646</v>
      </c>
      <c r="BC958" s="89" t="s">
        <v>646</v>
      </c>
      <c r="BD958" s="89" t="s">
        <v>646</v>
      </c>
      <c r="BE958" s="89">
        <v>2018</v>
      </c>
      <c r="BF958" s="89" t="s">
        <v>646</v>
      </c>
      <c r="BG958" s="89" t="s">
        <v>646</v>
      </c>
      <c r="BH958" s="89" t="s">
        <v>646</v>
      </c>
      <c r="BI958" s="89" t="s">
        <v>646</v>
      </c>
      <c r="BJ958" s="89" t="s">
        <v>646</v>
      </c>
      <c r="BK958" s="89" t="s">
        <v>646</v>
      </c>
      <c r="BL958" s="89">
        <v>2242</v>
      </c>
      <c r="BM958" s="89">
        <v>2244</v>
      </c>
      <c r="BN958" s="89" t="s">
        <v>646</v>
      </c>
      <c r="BO958" s="89" t="s">
        <v>646</v>
      </c>
      <c r="BP958" s="89" t="s">
        <v>646</v>
      </c>
      <c r="BQ958" s="89" t="s">
        <v>646</v>
      </c>
      <c r="BR958" s="89" t="s">
        <v>646</v>
      </c>
      <c r="BS958" s="89" t="s">
        <v>646</v>
      </c>
      <c r="BT958" s="89" t="s">
        <v>646</v>
      </c>
      <c r="BU958" s="89" t="s">
        <v>646</v>
      </c>
      <c r="BV958" s="89" t="s">
        <v>646</v>
      </c>
      <c r="BW958" s="89" t="s">
        <v>646</v>
      </c>
      <c r="BX958" s="89" t="s">
        <v>646</v>
      </c>
      <c r="BY958" s="89" t="s">
        <v>646</v>
      </c>
      <c r="BZ958" s="89" t="s">
        <v>646</v>
      </c>
      <c r="CA958" s="89" t="s">
        <v>646</v>
      </c>
      <c r="CB958" s="89" t="s">
        <v>24974</v>
      </c>
      <c r="CC958" s="89" t="str">
        <f>HYPERLINK("https%3A%2F%2Fwww.webofscience.com%2Fwos%2Fwoscc%2Ffull-record%2FWOS:000468231300381","View Full Record in Web of Science")</f>
        <v>View Full Record in Web of Science</v>
      </c>
    </row>
    <row r="959" spans="1:81" ht="13.2" hidden="1" x14ac:dyDescent="0.25">
      <c r="A959" s="89" t="s">
        <v>15836</v>
      </c>
      <c r="B959" s="89" t="e">
        <f>+#REF!</f>
        <v>#REF!</v>
      </c>
      <c r="C959" s="89"/>
      <c r="D959" s="91" t="s">
        <v>717</v>
      </c>
      <c r="E959" s="90" t="e">
        <v>#REF!</v>
      </c>
      <c r="F959" s="89"/>
      <c r="G959" s="89"/>
      <c r="H959" s="89" t="s">
        <v>646</v>
      </c>
      <c r="I959" s="89" t="s">
        <v>24975</v>
      </c>
      <c r="J959" s="89" t="s">
        <v>646</v>
      </c>
      <c r="K959" s="89" t="s">
        <v>24980</v>
      </c>
      <c r="M959" s="89">
        <v>2018</v>
      </c>
      <c r="N959" s="89" t="s">
        <v>24976</v>
      </c>
      <c r="O959" s="89" t="s">
        <v>646</v>
      </c>
      <c r="P959" s="89" t="s">
        <v>646</v>
      </c>
      <c r="S959" s="89" t="s">
        <v>17475</v>
      </c>
      <c r="U959" s="89" t="s">
        <v>17474</v>
      </c>
      <c r="W959" s="89" t="s">
        <v>646</v>
      </c>
      <c r="X959" s="89" t="s">
        <v>646</v>
      </c>
      <c r="Y959" s="89" t="s">
        <v>24977</v>
      </c>
      <c r="Z959" s="89" t="s">
        <v>24978</v>
      </c>
      <c r="AA959" s="89" t="s">
        <v>24979</v>
      </c>
      <c r="AB959" s="89" t="s">
        <v>17475</v>
      </c>
      <c r="AC959" s="89" t="s">
        <v>646</v>
      </c>
      <c r="AD959" s="89" t="s">
        <v>646</v>
      </c>
      <c r="AE959" s="89" t="s">
        <v>646</v>
      </c>
      <c r="AF959" s="89" t="s">
        <v>24980</v>
      </c>
      <c r="AG959" s="89" t="s">
        <v>646</v>
      </c>
      <c r="AH959" s="89" t="s">
        <v>646</v>
      </c>
      <c r="AI959" s="89" t="s">
        <v>646</v>
      </c>
      <c r="AJ959" s="89" t="s">
        <v>646</v>
      </c>
      <c r="AK959" s="89" t="s">
        <v>646</v>
      </c>
      <c r="AL959" s="89" t="s">
        <v>646</v>
      </c>
      <c r="AM959" s="89" t="s">
        <v>646</v>
      </c>
      <c r="AN959" s="89" t="s">
        <v>646</v>
      </c>
      <c r="AO959" s="89" t="s">
        <v>646</v>
      </c>
      <c r="AP959" s="89" t="s">
        <v>646</v>
      </c>
      <c r="AQ959" s="89" t="s">
        <v>646</v>
      </c>
      <c r="AR959" s="89" t="s">
        <v>646</v>
      </c>
      <c r="AS959" s="89" t="s">
        <v>646</v>
      </c>
      <c r="AT959" s="89" t="s">
        <v>646</v>
      </c>
      <c r="AU959" s="89" t="s">
        <v>646</v>
      </c>
      <c r="AV959" s="89" t="s">
        <v>646</v>
      </c>
      <c r="AW959" s="89" t="s">
        <v>646</v>
      </c>
      <c r="AX959" s="89" t="s">
        <v>646</v>
      </c>
      <c r="AY959" s="89" t="s">
        <v>24981</v>
      </c>
      <c r="AZ959" s="89" t="s">
        <v>646</v>
      </c>
      <c r="BA959" s="89" t="s">
        <v>24982</v>
      </c>
      <c r="BB959" s="89" t="s">
        <v>646</v>
      </c>
      <c r="BC959" s="89" t="s">
        <v>646</v>
      </c>
      <c r="BD959" s="89" t="s">
        <v>646</v>
      </c>
      <c r="BE959" s="89">
        <v>2018</v>
      </c>
      <c r="BF959" s="89" t="s">
        <v>646</v>
      </c>
      <c r="BG959" s="89" t="s">
        <v>646</v>
      </c>
      <c r="BH959" s="89" t="s">
        <v>646</v>
      </c>
      <c r="BI959" s="89" t="s">
        <v>646</v>
      </c>
      <c r="BJ959" s="89" t="s">
        <v>646</v>
      </c>
      <c r="BK959" s="89" t="s">
        <v>646</v>
      </c>
      <c r="BL959" s="89" t="s">
        <v>646</v>
      </c>
      <c r="BM959" s="89" t="s">
        <v>646</v>
      </c>
      <c r="BN959" s="89" t="s">
        <v>646</v>
      </c>
      <c r="BO959" s="89" t="s">
        <v>646</v>
      </c>
      <c r="BP959" s="89" t="s">
        <v>646</v>
      </c>
      <c r="BQ959" s="89" t="s">
        <v>646</v>
      </c>
      <c r="BR959" s="89" t="s">
        <v>646</v>
      </c>
      <c r="BS959" s="89" t="s">
        <v>646</v>
      </c>
      <c r="BT959" s="89" t="s">
        <v>646</v>
      </c>
      <c r="BU959" s="89" t="s">
        <v>646</v>
      </c>
      <c r="BV959" s="89" t="s">
        <v>646</v>
      </c>
      <c r="BW959" s="89" t="s">
        <v>646</v>
      </c>
      <c r="BX959" s="89" t="s">
        <v>646</v>
      </c>
      <c r="BY959" s="89" t="s">
        <v>646</v>
      </c>
      <c r="BZ959" s="89" t="s">
        <v>646</v>
      </c>
      <c r="CA959" s="89" t="s">
        <v>646</v>
      </c>
      <c r="CB959" s="89" t="s">
        <v>24983</v>
      </c>
      <c r="CC959" s="89" t="str">
        <f>HYPERLINK("https%3A%2F%2Fwww.webofscience.com%2Fwos%2Fwoscc%2Ffull-record%2FWOS:000541062400100","View Full Record in Web of Science")</f>
        <v>View Full Record in Web of Science</v>
      </c>
    </row>
    <row r="960" spans="1:81" ht="13.2" hidden="1" x14ac:dyDescent="0.25">
      <c r="A960" s="89" t="s">
        <v>15845</v>
      </c>
      <c r="B960" s="89" t="e">
        <f>+#REF!</f>
        <v>#REF!</v>
      </c>
      <c r="C960" s="89"/>
      <c r="D960" s="91" t="s">
        <v>717</v>
      </c>
      <c r="E960" s="90" t="e">
        <v>#REF!</v>
      </c>
      <c r="F960" s="89"/>
      <c r="G960" s="89"/>
      <c r="H960" s="89" t="s">
        <v>15846</v>
      </c>
      <c r="I960" s="89" t="s">
        <v>19768</v>
      </c>
      <c r="J960" s="89" t="s">
        <v>646</v>
      </c>
      <c r="K960" s="89" t="s">
        <v>24984</v>
      </c>
      <c r="M960" s="89">
        <v>2019</v>
      </c>
      <c r="N960" s="89" t="s">
        <v>21869</v>
      </c>
      <c r="O960" s="89" t="s">
        <v>646</v>
      </c>
      <c r="P960" s="89" t="str">
        <f>HYPERLINK("http://dx.doi.org/10.1109/TPAMI.2018.2824816","http://dx.doi.org/10.1109/TPAMI.2018.2824816")</f>
        <v>http://dx.doi.org/10.1109/TPAMI.2018.2824816</v>
      </c>
      <c r="S960" s="89" t="s">
        <v>646</v>
      </c>
      <c r="U960" s="89" t="s">
        <v>17462</v>
      </c>
      <c r="W960" s="89" t="s">
        <v>646</v>
      </c>
      <c r="X960" s="89" t="s">
        <v>646</v>
      </c>
      <c r="Y960" s="89" t="s">
        <v>646</v>
      </c>
      <c r="Z960" s="89" t="s">
        <v>646</v>
      </c>
      <c r="AA960" s="89" t="s">
        <v>646</v>
      </c>
      <c r="AB960" s="89" t="s">
        <v>646</v>
      </c>
      <c r="AC960" s="89" t="s">
        <v>646</v>
      </c>
      <c r="AD960" s="89" t="s">
        <v>646</v>
      </c>
      <c r="AE960" s="89" t="s">
        <v>646</v>
      </c>
      <c r="AF960" s="89" t="s">
        <v>24984</v>
      </c>
      <c r="AG960" s="89" t="s">
        <v>646</v>
      </c>
      <c r="AH960" s="89" t="s">
        <v>646</v>
      </c>
      <c r="AI960" s="89" t="s">
        <v>646</v>
      </c>
      <c r="AJ960" s="89" t="s">
        <v>646</v>
      </c>
      <c r="AK960" s="89" t="s">
        <v>646</v>
      </c>
      <c r="AL960" s="89" t="s">
        <v>646</v>
      </c>
      <c r="AM960" s="89" t="s">
        <v>646</v>
      </c>
      <c r="AN960" s="89" t="s">
        <v>646</v>
      </c>
      <c r="AO960" s="89" t="s">
        <v>646</v>
      </c>
      <c r="AP960" s="89" t="s">
        <v>646</v>
      </c>
      <c r="AQ960" s="89" t="s">
        <v>646</v>
      </c>
      <c r="AR960" s="89" t="s">
        <v>646</v>
      </c>
      <c r="AS960" s="89" t="s">
        <v>646</v>
      </c>
      <c r="AT960" s="89" t="s">
        <v>646</v>
      </c>
      <c r="AU960" s="89" t="s">
        <v>646</v>
      </c>
      <c r="AV960" s="89" t="s">
        <v>646</v>
      </c>
      <c r="AW960" s="89" t="s">
        <v>646</v>
      </c>
      <c r="AX960" s="89" t="s">
        <v>646</v>
      </c>
      <c r="AY960" s="89" t="s">
        <v>21873</v>
      </c>
      <c r="AZ960" s="89" t="s">
        <v>21874</v>
      </c>
      <c r="BA960" s="89" t="s">
        <v>646</v>
      </c>
      <c r="BB960" s="89" t="s">
        <v>646</v>
      </c>
      <c r="BC960" s="89" t="s">
        <v>646</v>
      </c>
      <c r="BD960" s="89" t="s">
        <v>17823</v>
      </c>
      <c r="BE960" s="89">
        <v>2019</v>
      </c>
      <c r="BF960" s="89">
        <v>41</v>
      </c>
      <c r="BG960" s="89">
        <v>4</v>
      </c>
      <c r="BH960" s="89" t="s">
        <v>646</v>
      </c>
      <c r="BI960" s="89" t="s">
        <v>646</v>
      </c>
      <c r="BJ960" s="89" t="s">
        <v>646</v>
      </c>
      <c r="BK960" s="89" t="s">
        <v>646</v>
      </c>
      <c r="BL960" s="89">
        <v>999</v>
      </c>
      <c r="BM960" s="89">
        <v>1012</v>
      </c>
      <c r="BN960" s="89" t="s">
        <v>646</v>
      </c>
      <c r="BO960" s="89" t="str">
        <f>HYPERLINK("http://dx.doi.org/10.1109/TPAMI.2018.2824816","http://dx.doi.org/10.1109/TPAMI.2018.2824816")</f>
        <v>http://dx.doi.org/10.1109/TPAMI.2018.2824816</v>
      </c>
      <c r="BP960" s="89" t="s">
        <v>646</v>
      </c>
      <c r="BQ960" s="89" t="s">
        <v>646</v>
      </c>
      <c r="BR960" s="89" t="s">
        <v>646</v>
      </c>
      <c r="BS960" s="89" t="s">
        <v>646</v>
      </c>
      <c r="BT960" s="89" t="s">
        <v>646</v>
      </c>
      <c r="BU960" s="89" t="s">
        <v>646</v>
      </c>
      <c r="BV960" s="89" t="s">
        <v>646</v>
      </c>
      <c r="BW960" s="89">
        <v>29993735</v>
      </c>
      <c r="BX960" s="89" t="s">
        <v>646</v>
      </c>
      <c r="BY960" s="89" t="s">
        <v>646</v>
      </c>
      <c r="BZ960" s="89" t="s">
        <v>646</v>
      </c>
      <c r="CA960" s="89" t="s">
        <v>646</v>
      </c>
      <c r="CB960" s="89" t="s">
        <v>24985</v>
      </c>
      <c r="CC960" s="89" t="str">
        <f>HYPERLINK("https%3A%2F%2Fwww.webofscience.com%2Fwos%2Fwoscc%2Ffull-record%2FWOS:000460583500016","View Full Record in Web of Science")</f>
        <v>View Full Record in Web of Science</v>
      </c>
    </row>
    <row r="961" spans="1:81" ht="13.2" hidden="1" x14ac:dyDescent="0.25">
      <c r="A961" s="89" t="s">
        <v>10565</v>
      </c>
      <c r="B961" s="89" t="e">
        <f>+#REF!</f>
        <v>#REF!</v>
      </c>
      <c r="C961" s="89"/>
      <c r="D961" s="91" t="s">
        <v>717</v>
      </c>
      <c r="E961" s="90" t="e">
        <v>#REF!</v>
      </c>
      <c r="F961" s="89"/>
      <c r="G961" s="89"/>
      <c r="H961" s="89" t="s">
        <v>10566</v>
      </c>
      <c r="I961" s="89" t="s">
        <v>24986</v>
      </c>
      <c r="J961" s="89" t="s">
        <v>646</v>
      </c>
      <c r="K961" s="89" t="s">
        <v>24988</v>
      </c>
      <c r="M961" s="89">
        <v>2022</v>
      </c>
      <c r="N961" s="89" t="s">
        <v>24987</v>
      </c>
      <c r="O961" s="89" t="s">
        <v>646</v>
      </c>
      <c r="P961" s="89" t="str">
        <f>HYPERLINK("http://dx.doi.org/10.1016/j.respol.2022.104492","http://dx.doi.org/10.1016/j.respol.2022.104492")</f>
        <v>http://dx.doi.org/10.1016/j.respol.2022.104492</v>
      </c>
      <c r="S961" s="89" t="s">
        <v>646</v>
      </c>
      <c r="U961" s="89" t="s">
        <v>17462</v>
      </c>
      <c r="W961" s="89" t="s">
        <v>646</v>
      </c>
      <c r="X961" s="89" t="s">
        <v>646</v>
      </c>
      <c r="Y961" s="89" t="s">
        <v>646</v>
      </c>
      <c r="Z961" s="89" t="s">
        <v>646</v>
      </c>
      <c r="AA961" s="89" t="s">
        <v>646</v>
      </c>
      <c r="AB961" s="89" t="s">
        <v>646</v>
      </c>
      <c r="AC961" s="89" t="s">
        <v>646</v>
      </c>
      <c r="AD961" s="89" t="s">
        <v>646</v>
      </c>
      <c r="AE961" s="89" t="s">
        <v>646</v>
      </c>
      <c r="AF961" s="89" t="s">
        <v>24988</v>
      </c>
      <c r="AG961" s="89" t="s">
        <v>646</v>
      </c>
      <c r="AH961" s="89" t="s">
        <v>646</v>
      </c>
      <c r="AI961" s="89" t="s">
        <v>646</v>
      </c>
      <c r="AJ961" s="89" t="s">
        <v>646</v>
      </c>
      <c r="AK961" s="89" t="s">
        <v>646</v>
      </c>
      <c r="AL961" s="89" t="s">
        <v>646</v>
      </c>
      <c r="AM961" s="89" t="s">
        <v>646</v>
      </c>
      <c r="AN961" s="89" t="s">
        <v>646</v>
      </c>
      <c r="AO961" s="89" t="s">
        <v>646</v>
      </c>
      <c r="AP961" s="89" t="s">
        <v>646</v>
      </c>
      <c r="AQ961" s="89" t="s">
        <v>646</v>
      </c>
      <c r="AR961" s="89" t="s">
        <v>646</v>
      </c>
      <c r="AS961" s="89" t="s">
        <v>646</v>
      </c>
      <c r="AT961" s="89" t="s">
        <v>646</v>
      </c>
      <c r="AU961" s="89" t="s">
        <v>646</v>
      </c>
      <c r="AV961" s="89" t="s">
        <v>646</v>
      </c>
      <c r="AW961" s="89" t="s">
        <v>646</v>
      </c>
      <c r="AX961" s="89" t="s">
        <v>646</v>
      </c>
      <c r="AY961" s="89" t="s">
        <v>24989</v>
      </c>
      <c r="AZ961" s="89" t="s">
        <v>24990</v>
      </c>
      <c r="BA961" s="89" t="s">
        <v>646</v>
      </c>
      <c r="BB961" s="89" t="s">
        <v>646</v>
      </c>
      <c r="BC961" s="89" t="s">
        <v>646</v>
      </c>
      <c r="BD961" s="89" t="s">
        <v>17772</v>
      </c>
      <c r="BE961" s="89">
        <v>2022</v>
      </c>
      <c r="BF961" s="89">
        <v>51</v>
      </c>
      <c r="BG961" s="89">
        <v>5</v>
      </c>
      <c r="BH961" s="89" t="s">
        <v>646</v>
      </c>
      <c r="BI961" s="89" t="s">
        <v>646</v>
      </c>
      <c r="BJ961" s="89" t="s">
        <v>646</v>
      </c>
      <c r="BK961" s="89" t="s">
        <v>646</v>
      </c>
      <c r="BL961" s="89" t="s">
        <v>646</v>
      </c>
      <c r="BM961" s="89" t="s">
        <v>646</v>
      </c>
      <c r="BN961" s="89">
        <v>104492</v>
      </c>
      <c r="BO961" s="89" t="str">
        <f>HYPERLINK("http://dx.doi.org/10.1016/j.respol.2022.104492","http://dx.doi.org/10.1016/j.respol.2022.104492")</f>
        <v>http://dx.doi.org/10.1016/j.respol.2022.104492</v>
      </c>
      <c r="BP961" s="89" t="s">
        <v>646</v>
      </c>
      <c r="BQ961" s="89" t="s">
        <v>646</v>
      </c>
      <c r="BR961" s="89" t="s">
        <v>646</v>
      </c>
      <c r="BS961" s="89" t="s">
        <v>646</v>
      </c>
      <c r="BT961" s="89" t="s">
        <v>646</v>
      </c>
      <c r="BU961" s="89" t="s">
        <v>646</v>
      </c>
      <c r="BV961" s="89" t="s">
        <v>646</v>
      </c>
      <c r="BW961" s="89" t="s">
        <v>646</v>
      </c>
      <c r="BX961" s="89" t="s">
        <v>646</v>
      </c>
      <c r="BY961" s="89" t="s">
        <v>646</v>
      </c>
      <c r="BZ961" s="89" t="s">
        <v>646</v>
      </c>
      <c r="CA961" s="89" t="s">
        <v>646</v>
      </c>
      <c r="CB961" s="89" t="s">
        <v>24991</v>
      </c>
      <c r="CC961" s="89" t="str">
        <f>HYPERLINK("https%3A%2F%2Fwww.webofscience.com%2Fwos%2Fwoscc%2Ffull-record%2FWOS:000779264300007","View Full Record in Web of Science")</f>
        <v>View Full Record in Web of Science</v>
      </c>
    </row>
    <row r="962" spans="1:81" ht="13.2" hidden="1" x14ac:dyDescent="0.25">
      <c r="A962" s="89" t="s">
        <v>24992</v>
      </c>
      <c r="B962" s="89" t="e">
        <f>+#REF!</f>
        <v>#REF!</v>
      </c>
      <c r="C962" s="89"/>
      <c r="D962" s="91" t="s">
        <v>717</v>
      </c>
      <c r="E962" s="90" t="e">
        <v>#REF!</v>
      </c>
      <c r="F962" s="89"/>
      <c r="G962" s="89"/>
      <c r="H962" s="89" t="s">
        <v>16338</v>
      </c>
      <c r="I962" s="89" t="s">
        <v>24993</v>
      </c>
      <c r="J962" s="89" t="s">
        <v>646</v>
      </c>
      <c r="K962" s="89" t="s">
        <v>24994</v>
      </c>
      <c r="M962" s="89">
        <v>2021</v>
      </c>
      <c r="N962" s="89" t="s">
        <v>20254</v>
      </c>
      <c r="O962" s="89" t="s">
        <v>646</v>
      </c>
      <c r="P962" s="89" t="str">
        <f>HYPERLINK("http://dx.doi.org/10.1108/EJM-11-2018-0818","http://dx.doi.org/10.1108/EJM-11-2018-0818")</f>
        <v>http://dx.doi.org/10.1108/EJM-11-2018-0818</v>
      </c>
      <c r="S962" s="89" t="s">
        <v>646</v>
      </c>
      <c r="U962" s="89" t="s">
        <v>17462</v>
      </c>
      <c r="W962" s="89" t="s">
        <v>646</v>
      </c>
      <c r="X962" s="89" t="s">
        <v>646</v>
      </c>
      <c r="Y962" s="89" t="s">
        <v>646</v>
      </c>
      <c r="Z962" s="89" t="s">
        <v>646</v>
      </c>
      <c r="AA962" s="89" t="s">
        <v>646</v>
      </c>
      <c r="AB962" s="89" t="s">
        <v>646</v>
      </c>
      <c r="AC962" s="89" t="s">
        <v>646</v>
      </c>
      <c r="AD962" s="89" t="s">
        <v>646</v>
      </c>
      <c r="AE962" s="89" t="s">
        <v>646</v>
      </c>
      <c r="AF962" s="89" t="s">
        <v>24994</v>
      </c>
      <c r="AG962" s="89" t="s">
        <v>646</v>
      </c>
      <c r="AH962" s="89" t="s">
        <v>646</v>
      </c>
      <c r="AI962" s="89" t="s">
        <v>646</v>
      </c>
      <c r="AJ962" s="89" t="s">
        <v>646</v>
      </c>
      <c r="AK962" s="89" t="s">
        <v>646</v>
      </c>
      <c r="AL962" s="89" t="s">
        <v>646</v>
      </c>
      <c r="AM962" s="89" t="s">
        <v>646</v>
      </c>
      <c r="AN962" s="89" t="s">
        <v>646</v>
      </c>
      <c r="AO962" s="89" t="s">
        <v>646</v>
      </c>
      <c r="AP962" s="89" t="s">
        <v>646</v>
      </c>
      <c r="AQ962" s="89" t="s">
        <v>646</v>
      </c>
      <c r="AR962" s="89" t="s">
        <v>646</v>
      </c>
      <c r="AS962" s="89" t="s">
        <v>646</v>
      </c>
      <c r="AT962" s="89" t="s">
        <v>646</v>
      </c>
      <c r="AU962" s="89" t="s">
        <v>646</v>
      </c>
      <c r="AV962" s="89" t="s">
        <v>646</v>
      </c>
      <c r="AW962" s="89" t="s">
        <v>646</v>
      </c>
      <c r="AX962" s="89" t="s">
        <v>646</v>
      </c>
      <c r="AY962" s="89" t="s">
        <v>20256</v>
      </c>
      <c r="AZ962" s="89" t="s">
        <v>20257</v>
      </c>
      <c r="BA962" s="89" t="s">
        <v>646</v>
      </c>
      <c r="BB962" s="89" t="s">
        <v>646</v>
      </c>
      <c r="BC962" s="89" t="s">
        <v>646</v>
      </c>
      <c r="BD962" s="89" t="s">
        <v>18804</v>
      </c>
      <c r="BE962" s="89">
        <v>2021</v>
      </c>
      <c r="BF962" s="89">
        <v>55</v>
      </c>
      <c r="BG962" s="89">
        <v>3</v>
      </c>
      <c r="BH962" s="89" t="s">
        <v>646</v>
      </c>
      <c r="BI962" s="89" t="s">
        <v>646</v>
      </c>
      <c r="BJ962" s="89" t="s">
        <v>646</v>
      </c>
      <c r="BK962" s="89" t="s">
        <v>646</v>
      </c>
      <c r="BL962" s="89">
        <v>925</v>
      </c>
      <c r="BM962" s="89">
        <v>943</v>
      </c>
      <c r="BN962" s="89" t="s">
        <v>646</v>
      </c>
      <c r="BO962" s="89" t="str">
        <f>HYPERLINK("http://dx.doi.org/10.1108/EJM-11-2018-0818","http://dx.doi.org/10.1108/EJM-11-2018-0818")</f>
        <v>http://dx.doi.org/10.1108/EJM-11-2018-0818</v>
      </c>
      <c r="BP962" s="89" t="s">
        <v>646</v>
      </c>
      <c r="BQ962" s="89" t="s">
        <v>23215</v>
      </c>
      <c r="BR962" s="89" t="s">
        <v>646</v>
      </c>
      <c r="BS962" s="89" t="s">
        <v>646</v>
      </c>
      <c r="BT962" s="89" t="s">
        <v>646</v>
      </c>
      <c r="BU962" s="89" t="s">
        <v>646</v>
      </c>
      <c r="BV962" s="89" t="s">
        <v>646</v>
      </c>
      <c r="BW962" s="89" t="s">
        <v>646</v>
      </c>
      <c r="BX962" s="89" t="s">
        <v>646</v>
      </c>
      <c r="BY962" s="89" t="s">
        <v>646</v>
      </c>
      <c r="BZ962" s="89" t="s">
        <v>646</v>
      </c>
      <c r="CA962" s="89" t="s">
        <v>646</v>
      </c>
      <c r="CB962" s="89" t="s">
        <v>24995</v>
      </c>
      <c r="CC962" s="89" t="str">
        <f>HYPERLINK("https%3A%2F%2Fwww.webofscience.com%2Fwos%2Fwoscc%2Ffull-record%2FWOS:000590768300001","View Full Record in Web of Science")</f>
        <v>View Full Record in Web of Science</v>
      </c>
    </row>
    <row r="963" spans="1:81" ht="13.2" hidden="1" x14ac:dyDescent="0.25">
      <c r="A963" s="89" t="s">
        <v>15853</v>
      </c>
      <c r="B963" s="89" t="e">
        <f>+#REF!</f>
        <v>#REF!</v>
      </c>
      <c r="C963" s="89"/>
      <c r="D963" s="91" t="s">
        <v>717</v>
      </c>
      <c r="E963" s="90" t="e">
        <v>#REF!</v>
      </c>
      <c r="F963" s="89"/>
      <c r="G963" s="89"/>
      <c r="H963" s="89" t="s">
        <v>15854</v>
      </c>
      <c r="I963" s="89" t="s">
        <v>24996</v>
      </c>
      <c r="J963" s="89" t="s">
        <v>646</v>
      </c>
      <c r="K963" s="89" t="s">
        <v>24998</v>
      </c>
      <c r="M963" s="89">
        <v>2020</v>
      </c>
      <c r="N963" s="89" t="s">
        <v>24997</v>
      </c>
      <c r="O963" s="89" t="s">
        <v>646</v>
      </c>
      <c r="P963" s="89" t="str">
        <f>HYPERLINK("http://dx.doi.org/10.1002/hpm.2903","http://dx.doi.org/10.1002/hpm.2903")</f>
        <v>http://dx.doi.org/10.1002/hpm.2903</v>
      </c>
      <c r="S963" s="89" t="s">
        <v>646</v>
      </c>
      <c r="U963" s="89" t="s">
        <v>17462</v>
      </c>
      <c r="W963" s="89" t="s">
        <v>646</v>
      </c>
      <c r="X963" s="89" t="s">
        <v>646</v>
      </c>
      <c r="Y963" s="89" t="s">
        <v>646</v>
      </c>
      <c r="Z963" s="89" t="s">
        <v>646</v>
      </c>
      <c r="AA963" s="89" t="s">
        <v>646</v>
      </c>
      <c r="AB963" s="89" t="s">
        <v>646</v>
      </c>
      <c r="AC963" s="89" t="s">
        <v>646</v>
      </c>
      <c r="AD963" s="89" t="s">
        <v>646</v>
      </c>
      <c r="AE963" s="89" t="s">
        <v>646</v>
      </c>
      <c r="AF963" s="89" t="s">
        <v>24998</v>
      </c>
      <c r="AG963" s="89" t="s">
        <v>646</v>
      </c>
      <c r="AH963" s="89" t="s">
        <v>646</v>
      </c>
      <c r="AI963" s="89" t="s">
        <v>646</v>
      </c>
      <c r="AJ963" s="89" t="s">
        <v>646</v>
      </c>
      <c r="AK963" s="89" t="s">
        <v>646</v>
      </c>
      <c r="AL963" s="89" t="s">
        <v>646</v>
      </c>
      <c r="AM963" s="89" t="s">
        <v>646</v>
      </c>
      <c r="AN963" s="89" t="s">
        <v>646</v>
      </c>
      <c r="AO963" s="89" t="s">
        <v>646</v>
      </c>
      <c r="AP963" s="89" t="s">
        <v>646</v>
      </c>
      <c r="AQ963" s="89" t="s">
        <v>646</v>
      </c>
      <c r="AR963" s="89" t="s">
        <v>646</v>
      </c>
      <c r="AS963" s="89" t="s">
        <v>646</v>
      </c>
      <c r="AT963" s="89" t="s">
        <v>646</v>
      </c>
      <c r="AU963" s="89" t="s">
        <v>646</v>
      </c>
      <c r="AV963" s="89" t="s">
        <v>646</v>
      </c>
      <c r="AW963" s="89" t="s">
        <v>646</v>
      </c>
      <c r="AX963" s="89" t="s">
        <v>646</v>
      </c>
      <c r="AY963" s="89" t="s">
        <v>24999</v>
      </c>
      <c r="AZ963" s="89" t="s">
        <v>25000</v>
      </c>
      <c r="BA963" s="89" t="s">
        <v>646</v>
      </c>
      <c r="BB963" s="89" t="s">
        <v>646</v>
      </c>
      <c r="BC963" s="89" t="s">
        <v>646</v>
      </c>
      <c r="BD963" s="89" t="s">
        <v>17513</v>
      </c>
      <c r="BE963" s="89">
        <v>2020</v>
      </c>
      <c r="BF963" s="89">
        <v>35</v>
      </c>
      <c r="BG963" s="89">
        <v>1</v>
      </c>
      <c r="BH963" s="89" t="s">
        <v>646</v>
      </c>
      <c r="BI963" s="89" t="s">
        <v>646</v>
      </c>
      <c r="BJ963" s="89" t="s">
        <v>646</v>
      </c>
      <c r="BK963" s="89" t="s">
        <v>646</v>
      </c>
      <c r="BL963" s="89">
        <v>262</v>
      </c>
      <c r="BM963" s="89">
        <v>279</v>
      </c>
      <c r="BN963" s="89" t="s">
        <v>646</v>
      </c>
      <c r="BO963" s="89" t="str">
        <f>HYPERLINK("http://dx.doi.org/10.1002/hpm.2903","http://dx.doi.org/10.1002/hpm.2903")</f>
        <v>http://dx.doi.org/10.1002/hpm.2903</v>
      </c>
      <c r="BP963" s="89" t="s">
        <v>646</v>
      </c>
      <c r="BQ963" s="89" t="s">
        <v>646</v>
      </c>
      <c r="BR963" s="89" t="s">
        <v>646</v>
      </c>
      <c r="BS963" s="89" t="s">
        <v>646</v>
      </c>
      <c r="BT963" s="89" t="s">
        <v>646</v>
      </c>
      <c r="BU963" s="89" t="s">
        <v>646</v>
      </c>
      <c r="BV963" s="89" t="s">
        <v>646</v>
      </c>
      <c r="BW963" s="89">
        <v>31670417</v>
      </c>
      <c r="BX963" s="89" t="s">
        <v>646</v>
      </c>
      <c r="BY963" s="89" t="s">
        <v>646</v>
      </c>
      <c r="BZ963" s="89" t="s">
        <v>646</v>
      </c>
      <c r="CA963" s="89" t="s">
        <v>646</v>
      </c>
      <c r="CB963" s="89" t="s">
        <v>25001</v>
      </c>
      <c r="CC963" s="89" t="str">
        <f>HYPERLINK("https%3A%2F%2Fwww.webofscience.com%2Fwos%2Fwoscc%2Ffull-record%2FWOS:000509625100036","View Full Record in Web of Science")</f>
        <v>View Full Record in Web of Science</v>
      </c>
    </row>
    <row r="964" spans="1:81" ht="13.2" hidden="1" x14ac:dyDescent="0.25">
      <c r="A964" s="89" t="s">
        <v>1104</v>
      </c>
      <c r="B964" s="89" t="e">
        <f>+#REF!</f>
        <v>#REF!</v>
      </c>
      <c r="C964" s="89"/>
      <c r="D964" s="91" t="s">
        <v>717</v>
      </c>
      <c r="E964" s="90" t="e">
        <v>#REF!</v>
      </c>
      <c r="F964" s="89"/>
      <c r="G964" s="89"/>
      <c r="H964" s="89" t="s">
        <v>1106</v>
      </c>
      <c r="I964" s="89" t="s">
        <v>25002</v>
      </c>
      <c r="J964" s="89" t="s">
        <v>25005</v>
      </c>
      <c r="K964" s="89" t="s">
        <v>25004</v>
      </c>
      <c r="M964" s="89">
        <v>2015</v>
      </c>
      <c r="N964" s="89" t="s">
        <v>25003</v>
      </c>
      <c r="O964" s="89" t="s">
        <v>646</v>
      </c>
      <c r="P964" s="89" t="str">
        <f>HYPERLINK("http://dx.doi.org/10.1080/1359432X.2013.849246","http://dx.doi.org/10.1080/1359432X.2013.849246")</f>
        <v>http://dx.doi.org/10.1080/1359432X.2013.849246</v>
      </c>
      <c r="S964" s="89" t="s">
        <v>646</v>
      </c>
      <c r="U964" s="89" t="s">
        <v>17462</v>
      </c>
      <c r="W964" s="89" t="s">
        <v>646</v>
      </c>
      <c r="X964" s="89" t="s">
        <v>646</v>
      </c>
      <c r="Y964" s="89" t="s">
        <v>646</v>
      </c>
      <c r="Z964" s="89" t="s">
        <v>646</v>
      </c>
      <c r="AA964" s="89" t="s">
        <v>646</v>
      </c>
      <c r="AB964" s="89" t="s">
        <v>646</v>
      </c>
      <c r="AC964" s="89" t="s">
        <v>646</v>
      </c>
      <c r="AD964" s="89" t="s">
        <v>646</v>
      </c>
      <c r="AE964" s="89" t="s">
        <v>646</v>
      </c>
      <c r="AF964" s="89" t="s">
        <v>25004</v>
      </c>
      <c r="AG964" s="89" t="s">
        <v>646</v>
      </c>
      <c r="AH964" s="89" t="s">
        <v>646</v>
      </c>
      <c r="AI964" s="89" t="s">
        <v>646</v>
      </c>
      <c r="AJ964" s="89" t="s">
        <v>646</v>
      </c>
      <c r="AK964" s="89" t="s">
        <v>25005</v>
      </c>
      <c r="AL964" s="89" t="s">
        <v>25006</v>
      </c>
      <c r="AM964" s="89" t="s">
        <v>646</v>
      </c>
      <c r="AN964" s="89" t="s">
        <v>646</v>
      </c>
      <c r="AO964" s="89" t="s">
        <v>646</v>
      </c>
      <c r="AP964" s="89" t="s">
        <v>646</v>
      </c>
      <c r="AQ964" s="89" t="s">
        <v>646</v>
      </c>
      <c r="AR964" s="89" t="s">
        <v>646</v>
      </c>
      <c r="AS964" s="89" t="s">
        <v>646</v>
      </c>
      <c r="AT964" s="89" t="s">
        <v>646</v>
      </c>
      <c r="AU964" s="89" t="s">
        <v>646</v>
      </c>
      <c r="AV964" s="89" t="s">
        <v>646</v>
      </c>
      <c r="AW964" s="89" t="s">
        <v>646</v>
      </c>
      <c r="AX964" s="89" t="s">
        <v>646</v>
      </c>
      <c r="AY964" s="89" t="s">
        <v>25007</v>
      </c>
      <c r="AZ964" s="89" t="s">
        <v>25008</v>
      </c>
      <c r="BA964" s="89" t="s">
        <v>646</v>
      </c>
      <c r="BB964" s="89" t="s">
        <v>646</v>
      </c>
      <c r="BC964" s="89" t="s">
        <v>646</v>
      </c>
      <c r="BD964" s="89" t="s">
        <v>20847</v>
      </c>
      <c r="BE964" s="89">
        <v>2015</v>
      </c>
      <c r="BF964" s="89">
        <v>24</v>
      </c>
      <c r="BG964" s="89">
        <v>1</v>
      </c>
      <c r="BH964" s="89" t="s">
        <v>646</v>
      </c>
      <c r="BI964" s="89" t="s">
        <v>646</v>
      </c>
      <c r="BJ964" s="89" t="s">
        <v>646</v>
      </c>
      <c r="BK964" s="89" t="s">
        <v>646</v>
      </c>
      <c r="BL964" s="89">
        <v>15</v>
      </c>
      <c r="BM964" s="89">
        <v>30</v>
      </c>
      <c r="BN964" s="89" t="s">
        <v>646</v>
      </c>
      <c r="BO964" s="89" t="str">
        <f>HYPERLINK("http://dx.doi.org/10.1080/1359432X.2013.849246","http://dx.doi.org/10.1080/1359432X.2013.849246")</f>
        <v>http://dx.doi.org/10.1080/1359432X.2013.849246</v>
      </c>
      <c r="BP964" s="89" t="s">
        <v>646</v>
      </c>
      <c r="BQ964" s="89" t="s">
        <v>646</v>
      </c>
      <c r="BR964" s="89" t="s">
        <v>646</v>
      </c>
      <c r="BS964" s="89" t="s">
        <v>646</v>
      </c>
      <c r="BT964" s="89" t="s">
        <v>646</v>
      </c>
      <c r="BU964" s="89" t="s">
        <v>646</v>
      </c>
      <c r="BV964" s="89" t="s">
        <v>646</v>
      </c>
      <c r="BW964" s="89" t="s">
        <v>646</v>
      </c>
      <c r="BX964" s="89" t="s">
        <v>646</v>
      </c>
      <c r="BY964" s="89" t="s">
        <v>646</v>
      </c>
      <c r="BZ964" s="89" t="s">
        <v>646</v>
      </c>
      <c r="CA964" s="89" t="s">
        <v>646</v>
      </c>
      <c r="CB964" s="89" t="s">
        <v>25009</v>
      </c>
      <c r="CC964" s="89" t="str">
        <f>HYPERLINK("https%3A%2F%2Fwww.webofscience.com%2Fwos%2Fwoscc%2Ffull-record%2FWOS:000350966900002","View Full Record in Web of Science")</f>
        <v>View Full Record in Web of Science</v>
      </c>
    </row>
    <row r="965" spans="1:81" ht="13.2" hidden="1" x14ac:dyDescent="0.25">
      <c r="A965" s="89" t="s">
        <v>15863</v>
      </c>
      <c r="B965" s="89" t="e">
        <f>+#REF!</f>
        <v>#REF!</v>
      </c>
      <c r="C965" s="89"/>
      <c r="D965" s="91" t="s">
        <v>717</v>
      </c>
      <c r="E965" s="90" t="e">
        <v>#REF!</v>
      </c>
      <c r="F965" s="89"/>
      <c r="G965" s="89"/>
      <c r="H965" s="89" t="s">
        <v>15864</v>
      </c>
      <c r="I965" s="89" t="s">
        <v>25010</v>
      </c>
      <c r="J965" s="89" t="s">
        <v>646</v>
      </c>
      <c r="K965" s="89" t="s">
        <v>25011</v>
      </c>
      <c r="M965" s="89">
        <v>2020</v>
      </c>
      <c r="N965" s="89" t="s">
        <v>18595</v>
      </c>
      <c r="O965" s="89" t="s">
        <v>646</v>
      </c>
      <c r="P965" s="89" t="str">
        <f>HYPERLINK("http://dx.doi.org/10.1371/journal.pone.0227686","http://dx.doi.org/10.1371/journal.pone.0227686")</f>
        <v>http://dx.doi.org/10.1371/journal.pone.0227686</v>
      </c>
      <c r="S965" s="89" t="s">
        <v>646</v>
      </c>
      <c r="U965" s="89" t="s">
        <v>17462</v>
      </c>
      <c r="W965" s="89" t="s">
        <v>646</v>
      </c>
      <c r="X965" s="89" t="s">
        <v>646</v>
      </c>
      <c r="Y965" s="89" t="s">
        <v>646</v>
      </c>
      <c r="Z965" s="89" t="s">
        <v>646</v>
      </c>
      <c r="AA965" s="89" t="s">
        <v>646</v>
      </c>
      <c r="AB965" s="89" t="s">
        <v>646</v>
      </c>
      <c r="AC965" s="89" t="s">
        <v>646</v>
      </c>
      <c r="AD965" s="89" t="s">
        <v>646</v>
      </c>
      <c r="AE965" s="89" t="s">
        <v>646</v>
      </c>
      <c r="AF965" s="89" t="s">
        <v>25011</v>
      </c>
      <c r="AG965" s="89" t="s">
        <v>646</v>
      </c>
      <c r="AH965" s="89" t="s">
        <v>646</v>
      </c>
      <c r="AI965" s="89" t="s">
        <v>646</v>
      </c>
      <c r="AJ965" s="89" t="s">
        <v>646</v>
      </c>
      <c r="AK965" s="89" t="s">
        <v>646</v>
      </c>
      <c r="AL965" s="89" t="s">
        <v>25012</v>
      </c>
      <c r="AM965" s="89" t="s">
        <v>646</v>
      </c>
      <c r="AN965" s="89" t="s">
        <v>646</v>
      </c>
      <c r="AO965" s="89" t="s">
        <v>646</v>
      </c>
      <c r="AP965" s="89" t="s">
        <v>646</v>
      </c>
      <c r="AQ965" s="89" t="s">
        <v>646</v>
      </c>
      <c r="AR965" s="89" t="s">
        <v>646</v>
      </c>
      <c r="AS965" s="89" t="s">
        <v>646</v>
      </c>
      <c r="AT965" s="89" t="s">
        <v>646</v>
      </c>
      <c r="AU965" s="89" t="s">
        <v>646</v>
      </c>
      <c r="AV965" s="89" t="s">
        <v>646</v>
      </c>
      <c r="AW965" s="89" t="s">
        <v>646</v>
      </c>
      <c r="AX965" s="89" t="s">
        <v>646</v>
      </c>
      <c r="AY965" s="89" t="s">
        <v>18599</v>
      </c>
      <c r="AZ965" s="89" t="s">
        <v>646</v>
      </c>
      <c r="BA965" s="89" t="s">
        <v>646</v>
      </c>
      <c r="BB965" s="89" t="s">
        <v>646</v>
      </c>
      <c r="BC965" s="89" t="s">
        <v>646</v>
      </c>
      <c r="BD965" s="89" t="s">
        <v>25013</v>
      </c>
      <c r="BE965" s="89">
        <v>2020</v>
      </c>
      <c r="BF965" s="89">
        <v>15</v>
      </c>
      <c r="BG965" s="89">
        <v>1</v>
      </c>
      <c r="BH965" s="89" t="s">
        <v>646</v>
      </c>
      <c r="BI965" s="89" t="s">
        <v>646</v>
      </c>
      <c r="BJ965" s="89" t="s">
        <v>646</v>
      </c>
      <c r="BK965" s="89" t="s">
        <v>646</v>
      </c>
      <c r="BL965" s="89" t="s">
        <v>646</v>
      </c>
      <c r="BM965" s="89" t="s">
        <v>646</v>
      </c>
      <c r="BN965" s="89" t="s">
        <v>25014</v>
      </c>
      <c r="BO965" s="89" t="str">
        <f>HYPERLINK("http://dx.doi.org/10.1371/journal.pone.0227686","http://dx.doi.org/10.1371/journal.pone.0227686")</f>
        <v>http://dx.doi.org/10.1371/journal.pone.0227686</v>
      </c>
      <c r="BP965" s="89" t="s">
        <v>646</v>
      </c>
      <c r="BQ965" s="89" t="s">
        <v>646</v>
      </c>
      <c r="BR965" s="89" t="s">
        <v>646</v>
      </c>
      <c r="BS965" s="89" t="s">
        <v>646</v>
      </c>
      <c r="BT965" s="89" t="s">
        <v>646</v>
      </c>
      <c r="BU965" s="89" t="s">
        <v>646</v>
      </c>
      <c r="BV965" s="89" t="s">
        <v>646</v>
      </c>
      <c r="BW965" s="89">
        <v>31917818</v>
      </c>
      <c r="BX965" s="89" t="s">
        <v>646</v>
      </c>
      <c r="BY965" s="89" t="s">
        <v>646</v>
      </c>
      <c r="BZ965" s="89" t="s">
        <v>646</v>
      </c>
      <c r="CA965" s="89" t="s">
        <v>646</v>
      </c>
      <c r="CB965" s="89" t="s">
        <v>25015</v>
      </c>
      <c r="CC965" s="89" t="str">
        <f>HYPERLINK("https%3A%2F%2Fwww.webofscience.com%2Fwos%2Fwoscc%2Ffull-record%2FWOS:000534341100033","View Full Record in Web of Science")</f>
        <v>View Full Record in Web of Science</v>
      </c>
    </row>
    <row r="966" spans="1:81" ht="13.2" hidden="1" x14ac:dyDescent="0.25">
      <c r="A966" s="89" t="s">
        <v>25016</v>
      </c>
      <c r="B966" s="89" t="e">
        <f>+#REF!</f>
        <v>#REF!</v>
      </c>
      <c r="C966" s="89"/>
      <c r="D966" s="91" t="s">
        <v>717</v>
      </c>
      <c r="E966" s="90" t="e">
        <v>#REF!</v>
      </c>
      <c r="F966" s="89"/>
      <c r="G966" s="89"/>
      <c r="H966" s="89" t="s">
        <v>15872</v>
      </c>
      <c r="I966" s="89" t="s">
        <v>25017</v>
      </c>
      <c r="J966" s="89" t="s">
        <v>646</v>
      </c>
      <c r="K966" s="89" t="s">
        <v>25018</v>
      </c>
      <c r="M966" s="89">
        <v>2017</v>
      </c>
      <c r="N966" s="89" t="s">
        <v>20024</v>
      </c>
      <c r="O966" s="89" t="s">
        <v>646</v>
      </c>
      <c r="P966" s="89" t="str">
        <f>HYPERLINK("http://dx.doi.org/10.1111/ntwe.12080","http://dx.doi.org/10.1111/ntwe.12080")</f>
        <v>http://dx.doi.org/10.1111/ntwe.12080</v>
      </c>
      <c r="S966" s="89" t="s">
        <v>646</v>
      </c>
      <c r="U966" s="89" t="s">
        <v>17462</v>
      </c>
      <c r="W966" s="89" t="s">
        <v>646</v>
      </c>
      <c r="X966" s="89" t="s">
        <v>646</v>
      </c>
      <c r="Y966" s="89" t="s">
        <v>646</v>
      </c>
      <c r="Z966" s="89" t="s">
        <v>646</v>
      </c>
      <c r="AA966" s="89" t="s">
        <v>646</v>
      </c>
      <c r="AB966" s="89" t="s">
        <v>646</v>
      </c>
      <c r="AC966" s="89" t="s">
        <v>646</v>
      </c>
      <c r="AD966" s="89" t="s">
        <v>646</v>
      </c>
      <c r="AE966" s="89" t="s">
        <v>646</v>
      </c>
      <c r="AF966" s="89" t="s">
        <v>25018</v>
      </c>
      <c r="AG966" s="89" t="s">
        <v>646</v>
      </c>
      <c r="AH966" s="89" t="s">
        <v>646</v>
      </c>
      <c r="AI966" s="89" t="s">
        <v>646</v>
      </c>
      <c r="AJ966" s="89" t="s">
        <v>646</v>
      </c>
      <c r="AK966" s="89" t="s">
        <v>646</v>
      </c>
      <c r="AL966" s="89" t="s">
        <v>646</v>
      </c>
      <c r="AM966" s="89" t="s">
        <v>646</v>
      </c>
      <c r="AN966" s="89" t="s">
        <v>646</v>
      </c>
      <c r="AO966" s="89" t="s">
        <v>646</v>
      </c>
      <c r="AP966" s="89" t="s">
        <v>646</v>
      </c>
      <c r="AQ966" s="89" t="s">
        <v>646</v>
      </c>
      <c r="AR966" s="89" t="s">
        <v>646</v>
      </c>
      <c r="AS966" s="89" t="s">
        <v>646</v>
      </c>
      <c r="AT966" s="89" t="s">
        <v>646</v>
      </c>
      <c r="AU966" s="89" t="s">
        <v>646</v>
      </c>
      <c r="AV966" s="89" t="s">
        <v>646</v>
      </c>
      <c r="AW966" s="89" t="s">
        <v>646</v>
      </c>
      <c r="AX966" s="89" t="s">
        <v>646</v>
      </c>
      <c r="AY966" s="89" t="s">
        <v>20027</v>
      </c>
      <c r="AZ966" s="89" t="s">
        <v>20028</v>
      </c>
      <c r="BA966" s="89" t="s">
        <v>646</v>
      </c>
      <c r="BB966" s="89" t="s">
        <v>646</v>
      </c>
      <c r="BC966" s="89" t="s">
        <v>646</v>
      </c>
      <c r="BD966" s="89" t="s">
        <v>17779</v>
      </c>
      <c r="BE966" s="89">
        <v>2017</v>
      </c>
      <c r="BF966" s="89">
        <v>32</v>
      </c>
      <c r="BG966" s="89">
        <v>1</v>
      </c>
      <c r="BH966" s="89" t="s">
        <v>646</v>
      </c>
      <c r="BI966" s="89" t="s">
        <v>646</v>
      </c>
      <c r="BJ966" s="89" t="s">
        <v>646</v>
      </c>
      <c r="BK966" s="89" t="s">
        <v>646</v>
      </c>
      <c r="BL966" s="89">
        <v>43</v>
      </c>
      <c r="BM966" s="89">
        <v>58</v>
      </c>
      <c r="BN966" s="89" t="s">
        <v>646</v>
      </c>
      <c r="BO966" s="89" t="str">
        <f>HYPERLINK("http://dx.doi.org/10.1111/ntwe.12080","http://dx.doi.org/10.1111/ntwe.12080")</f>
        <v>http://dx.doi.org/10.1111/ntwe.12080</v>
      </c>
      <c r="BP966" s="89" t="s">
        <v>646</v>
      </c>
      <c r="BQ966" s="89" t="s">
        <v>646</v>
      </c>
      <c r="BR966" s="89" t="s">
        <v>646</v>
      </c>
      <c r="BS966" s="89" t="s">
        <v>646</v>
      </c>
      <c r="BT966" s="89" t="s">
        <v>646</v>
      </c>
      <c r="BU966" s="89" t="s">
        <v>646</v>
      </c>
      <c r="BV966" s="89" t="s">
        <v>646</v>
      </c>
      <c r="BW966" s="89" t="s">
        <v>646</v>
      </c>
      <c r="BX966" s="89" t="s">
        <v>646</v>
      </c>
      <c r="BY966" s="89" t="s">
        <v>646</v>
      </c>
      <c r="BZ966" s="89" t="s">
        <v>646</v>
      </c>
      <c r="CA966" s="89" t="s">
        <v>646</v>
      </c>
      <c r="CB966" s="89" t="s">
        <v>25019</v>
      </c>
      <c r="CC966" s="89" t="str">
        <f>HYPERLINK("https%3A%2F%2Fwww.webofscience.com%2Fwos%2Fwoscc%2Ffull-record%2FWOS:000395716500004","View Full Record in Web of Science")</f>
        <v>View Full Record in Web of Science</v>
      </c>
    </row>
    <row r="967" spans="1:81" ht="13.2" hidden="1" x14ac:dyDescent="0.25">
      <c r="A967" s="89" t="s">
        <v>15878</v>
      </c>
      <c r="B967" s="89" t="e">
        <f>+#REF!</f>
        <v>#REF!</v>
      </c>
      <c r="C967" s="89"/>
      <c r="D967" s="91" t="s">
        <v>717</v>
      </c>
      <c r="E967" s="90" t="e">
        <v>#REF!</v>
      </c>
      <c r="F967" s="89"/>
      <c r="G967" s="89"/>
      <c r="H967" s="89" t="s">
        <v>15879</v>
      </c>
      <c r="I967" s="89" t="s">
        <v>25020</v>
      </c>
      <c r="J967" s="89" t="s">
        <v>22682</v>
      </c>
      <c r="K967" s="89" t="s">
        <v>25021</v>
      </c>
      <c r="M967" s="89">
        <v>2009</v>
      </c>
      <c r="N967" s="89" t="s">
        <v>22485</v>
      </c>
      <c r="O967" s="89" t="s">
        <v>646</v>
      </c>
      <c r="P967" s="89" t="str">
        <f>HYPERLINK("http://dx.doi.org/10.1080/09585190902985228","http://dx.doi.org/10.1080/09585190902985228")</f>
        <v>http://dx.doi.org/10.1080/09585190902985228</v>
      </c>
      <c r="S967" s="89" t="s">
        <v>646</v>
      </c>
      <c r="U967" s="89" t="s">
        <v>17462</v>
      </c>
      <c r="W967" s="89" t="s">
        <v>646</v>
      </c>
      <c r="X967" s="89" t="s">
        <v>646</v>
      </c>
      <c r="Y967" s="89" t="s">
        <v>646</v>
      </c>
      <c r="Z967" s="89" t="s">
        <v>646</v>
      </c>
      <c r="AA967" s="89" t="s">
        <v>646</v>
      </c>
      <c r="AB967" s="89" t="s">
        <v>646</v>
      </c>
      <c r="AC967" s="89" t="s">
        <v>646</v>
      </c>
      <c r="AD967" s="89" t="s">
        <v>646</v>
      </c>
      <c r="AE967" s="89" t="s">
        <v>646</v>
      </c>
      <c r="AF967" s="89" t="s">
        <v>25021</v>
      </c>
      <c r="AG967" s="89" t="s">
        <v>646</v>
      </c>
      <c r="AH967" s="89" t="s">
        <v>646</v>
      </c>
      <c r="AI967" s="89" t="s">
        <v>646</v>
      </c>
      <c r="AJ967" s="89" t="s">
        <v>646</v>
      </c>
      <c r="AK967" s="89" t="s">
        <v>22682</v>
      </c>
      <c r="AL967" s="89" t="s">
        <v>25022</v>
      </c>
      <c r="AM967" s="89" t="s">
        <v>646</v>
      </c>
      <c r="AN967" s="89" t="s">
        <v>646</v>
      </c>
      <c r="AO967" s="89" t="s">
        <v>646</v>
      </c>
      <c r="AP967" s="89" t="s">
        <v>646</v>
      </c>
      <c r="AQ967" s="89" t="s">
        <v>646</v>
      </c>
      <c r="AR967" s="89" t="s">
        <v>646</v>
      </c>
      <c r="AS967" s="89" t="s">
        <v>646</v>
      </c>
      <c r="AT967" s="89" t="s">
        <v>646</v>
      </c>
      <c r="AU967" s="89" t="s">
        <v>646</v>
      </c>
      <c r="AV967" s="89" t="s">
        <v>646</v>
      </c>
      <c r="AW967" s="89" t="s">
        <v>646</v>
      </c>
      <c r="AX967" s="89" t="s">
        <v>646</v>
      </c>
      <c r="AY967" s="89" t="s">
        <v>22486</v>
      </c>
      <c r="AZ967" s="89" t="s">
        <v>646</v>
      </c>
      <c r="BA967" s="89" t="s">
        <v>646</v>
      </c>
      <c r="BB967" s="89" t="s">
        <v>646</v>
      </c>
      <c r="BC967" s="89" t="s">
        <v>646</v>
      </c>
      <c r="BD967" s="89" t="s">
        <v>646</v>
      </c>
      <c r="BE967" s="89">
        <v>2009</v>
      </c>
      <c r="BF967" s="89">
        <v>20</v>
      </c>
      <c r="BG967" s="89">
        <v>7</v>
      </c>
      <c r="BH967" s="89" t="s">
        <v>646</v>
      </c>
      <c r="BI967" s="89" t="s">
        <v>646</v>
      </c>
      <c r="BJ967" s="89" t="s">
        <v>646</v>
      </c>
      <c r="BK967" s="89" t="s">
        <v>646</v>
      </c>
      <c r="BL967" s="89">
        <v>1599</v>
      </c>
      <c r="BM967" s="89">
        <v>1617</v>
      </c>
      <c r="BN967" s="89" t="s">
        <v>646</v>
      </c>
      <c r="BO967" s="89" t="str">
        <f>HYPERLINK("http://dx.doi.org/10.1080/09585190902985228","http://dx.doi.org/10.1080/09585190902985228")</f>
        <v>http://dx.doi.org/10.1080/09585190902985228</v>
      </c>
      <c r="BP967" s="89" t="s">
        <v>646</v>
      </c>
      <c r="BQ967" s="89" t="s">
        <v>646</v>
      </c>
      <c r="BR967" s="89" t="s">
        <v>646</v>
      </c>
      <c r="BS967" s="89" t="s">
        <v>646</v>
      </c>
      <c r="BT967" s="89" t="s">
        <v>646</v>
      </c>
      <c r="BU967" s="89" t="s">
        <v>646</v>
      </c>
      <c r="BV967" s="89" t="s">
        <v>646</v>
      </c>
      <c r="BW967" s="89" t="s">
        <v>646</v>
      </c>
      <c r="BX967" s="89" t="s">
        <v>646</v>
      </c>
      <c r="BY967" s="89" t="s">
        <v>646</v>
      </c>
      <c r="BZ967" s="89" t="s">
        <v>646</v>
      </c>
      <c r="CA967" s="89" t="s">
        <v>646</v>
      </c>
      <c r="CB967" s="89" t="s">
        <v>25023</v>
      </c>
      <c r="CC967" s="89" t="str">
        <f>HYPERLINK("https%3A%2F%2Fwww.webofscience.com%2Fwos%2Fwoscc%2Ffull-record%2FWOS:000268729500009","View Full Record in Web of Science")</f>
        <v>View Full Record in Web of Science</v>
      </c>
    </row>
    <row r="968" spans="1:81" ht="13.2" hidden="1" x14ac:dyDescent="0.25">
      <c r="A968" s="89" t="s">
        <v>25024</v>
      </c>
      <c r="B968" s="89" t="e">
        <f>+#REF!</f>
        <v>#REF!</v>
      </c>
      <c r="C968" s="89"/>
      <c r="D968" s="91" t="s">
        <v>717</v>
      </c>
      <c r="E968" s="90" t="e">
        <v>#REF!</v>
      </c>
      <c r="F968" s="89"/>
      <c r="G968" s="89"/>
      <c r="H968" s="89" t="s">
        <v>15888</v>
      </c>
      <c r="I968" s="89" t="s">
        <v>25025</v>
      </c>
      <c r="J968" s="89" t="s">
        <v>25028</v>
      </c>
      <c r="K968" s="89" t="s">
        <v>25027</v>
      </c>
      <c r="M968" s="89">
        <v>2020</v>
      </c>
      <c r="N968" s="89" t="s">
        <v>25026</v>
      </c>
      <c r="O968" s="89" t="s">
        <v>646</v>
      </c>
      <c r="P968" s="89" t="str">
        <f>HYPERLINK("http://dx.doi.org/10.3390/rs12010108","http://dx.doi.org/10.3390/rs12010108")</f>
        <v>http://dx.doi.org/10.3390/rs12010108</v>
      </c>
      <c r="S968" s="89" t="s">
        <v>646</v>
      </c>
      <c r="U968" s="89" t="s">
        <v>17462</v>
      </c>
      <c r="W968" s="89" t="s">
        <v>646</v>
      </c>
      <c r="X968" s="89" t="s">
        <v>646</v>
      </c>
      <c r="Y968" s="89" t="s">
        <v>646</v>
      </c>
      <c r="Z968" s="89" t="s">
        <v>646</v>
      </c>
      <c r="AA968" s="89" t="s">
        <v>646</v>
      </c>
      <c r="AB968" s="89" t="s">
        <v>646</v>
      </c>
      <c r="AC968" s="89" t="s">
        <v>646</v>
      </c>
      <c r="AD968" s="89" t="s">
        <v>646</v>
      </c>
      <c r="AE968" s="89" t="s">
        <v>646</v>
      </c>
      <c r="AF968" s="89" t="s">
        <v>25027</v>
      </c>
      <c r="AG968" s="89" t="s">
        <v>646</v>
      </c>
      <c r="AH968" s="89" t="s">
        <v>646</v>
      </c>
      <c r="AI968" s="89" t="s">
        <v>646</v>
      </c>
      <c r="AJ968" s="89" t="s">
        <v>646</v>
      </c>
      <c r="AK968" s="89" t="s">
        <v>25028</v>
      </c>
      <c r="AL968" s="89" t="s">
        <v>25029</v>
      </c>
      <c r="AM968" s="89" t="s">
        <v>646</v>
      </c>
      <c r="AN968" s="89" t="s">
        <v>646</v>
      </c>
      <c r="AO968" s="89" t="s">
        <v>646</v>
      </c>
      <c r="AP968" s="89" t="s">
        <v>646</v>
      </c>
      <c r="AQ968" s="89" t="s">
        <v>646</v>
      </c>
      <c r="AR968" s="89" t="s">
        <v>646</v>
      </c>
      <c r="AS968" s="89" t="s">
        <v>646</v>
      </c>
      <c r="AT968" s="89" t="s">
        <v>646</v>
      </c>
      <c r="AU968" s="89" t="s">
        <v>646</v>
      </c>
      <c r="AV968" s="89" t="s">
        <v>646</v>
      </c>
      <c r="AW968" s="89" t="s">
        <v>646</v>
      </c>
      <c r="AX968" s="89" t="s">
        <v>646</v>
      </c>
      <c r="AY968" s="89" t="s">
        <v>646</v>
      </c>
      <c r="AZ968" s="89" t="s">
        <v>25030</v>
      </c>
      <c r="BA968" s="89" t="s">
        <v>646</v>
      </c>
      <c r="BB968" s="89" t="s">
        <v>646</v>
      </c>
      <c r="BC968" s="89" t="s">
        <v>646</v>
      </c>
      <c r="BD968" s="89" t="s">
        <v>17513</v>
      </c>
      <c r="BE968" s="89">
        <v>2020</v>
      </c>
      <c r="BF968" s="89">
        <v>12</v>
      </c>
      <c r="BG968" s="89">
        <v>1</v>
      </c>
      <c r="BH968" s="89" t="s">
        <v>646</v>
      </c>
      <c r="BI968" s="89" t="s">
        <v>646</v>
      </c>
      <c r="BJ968" s="89" t="s">
        <v>646</v>
      </c>
      <c r="BK968" s="89" t="s">
        <v>646</v>
      </c>
      <c r="BL968" s="89" t="s">
        <v>646</v>
      </c>
      <c r="BM968" s="89" t="s">
        <v>646</v>
      </c>
      <c r="BN968" s="89">
        <v>108</v>
      </c>
      <c r="BO968" s="89" t="str">
        <f>HYPERLINK("http://dx.doi.org/10.3390/rs12010108","http://dx.doi.org/10.3390/rs12010108")</f>
        <v>http://dx.doi.org/10.3390/rs12010108</v>
      </c>
      <c r="BP968" s="89" t="s">
        <v>646</v>
      </c>
      <c r="BQ968" s="89" t="s">
        <v>646</v>
      </c>
      <c r="BR968" s="89" t="s">
        <v>646</v>
      </c>
      <c r="BS968" s="89" t="s">
        <v>646</v>
      </c>
      <c r="BT968" s="89" t="s">
        <v>646</v>
      </c>
      <c r="BU968" s="89" t="s">
        <v>646</v>
      </c>
      <c r="BV968" s="89" t="s">
        <v>646</v>
      </c>
      <c r="BW968" s="89" t="s">
        <v>646</v>
      </c>
      <c r="BX968" s="89" t="s">
        <v>646</v>
      </c>
      <c r="BY968" s="89" t="s">
        <v>646</v>
      </c>
      <c r="BZ968" s="89" t="s">
        <v>646</v>
      </c>
      <c r="CA968" s="89" t="s">
        <v>646</v>
      </c>
      <c r="CB968" s="89" t="s">
        <v>25031</v>
      </c>
      <c r="CC968" s="89" t="str">
        <f>HYPERLINK("https%3A%2F%2Fwww.webofscience.com%2Fwos%2Fwoscc%2Ffull-record%2FWOS:000515391700108","View Full Record in Web of Science")</f>
        <v>View Full Record in Web of Science</v>
      </c>
    </row>
    <row r="969" spans="1:81" ht="13.2" hidden="1" x14ac:dyDescent="0.25">
      <c r="A969" s="89" t="s">
        <v>25032</v>
      </c>
      <c r="B969" s="89" t="e">
        <f>+#REF!</f>
        <v>#REF!</v>
      </c>
      <c r="C969" s="89"/>
      <c r="D969" s="91" t="s">
        <v>717</v>
      </c>
      <c r="E969" s="90" t="e">
        <v>#REF!</v>
      </c>
      <c r="F969" s="89"/>
      <c r="G969" s="89"/>
      <c r="H969" s="89" t="s">
        <v>646</v>
      </c>
      <c r="I969" s="89" t="s">
        <v>25033</v>
      </c>
      <c r="J969" s="89" t="s">
        <v>646</v>
      </c>
      <c r="K969" s="89" t="s">
        <v>25038</v>
      </c>
      <c r="M969" s="89">
        <v>2012</v>
      </c>
      <c r="N969" s="89" t="s">
        <v>25034</v>
      </c>
      <c r="O969" s="89" t="s">
        <v>646</v>
      </c>
      <c r="P969" s="89" t="s">
        <v>646</v>
      </c>
      <c r="S969" s="89" t="s">
        <v>17475</v>
      </c>
      <c r="U969" s="89" t="s">
        <v>17474</v>
      </c>
      <c r="W969" s="89" t="s">
        <v>646</v>
      </c>
      <c r="X969" s="89" t="s">
        <v>646</v>
      </c>
      <c r="Y969" s="89" t="s">
        <v>25035</v>
      </c>
      <c r="Z969" s="89" t="s">
        <v>25036</v>
      </c>
      <c r="AA969" s="89" t="s">
        <v>25037</v>
      </c>
      <c r="AB969" s="89" t="s">
        <v>646</v>
      </c>
      <c r="AC969" s="89" t="s">
        <v>646</v>
      </c>
      <c r="AD969" s="89" t="s">
        <v>646</v>
      </c>
      <c r="AE969" s="89" t="s">
        <v>646</v>
      </c>
      <c r="AF969" s="89" t="s">
        <v>25038</v>
      </c>
      <c r="AG969" s="89" t="s">
        <v>646</v>
      </c>
      <c r="AH969" s="89" t="s">
        <v>646</v>
      </c>
      <c r="AI969" s="89" t="s">
        <v>646</v>
      </c>
      <c r="AJ969" s="89" t="s">
        <v>646</v>
      </c>
      <c r="AK969" s="89" t="s">
        <v>646</v>
      </c>
      <c r="AL969" s="89" t="s">
        <v>646</v>
      </c>
      <c r="AM969" s="89" t="s">
        <v>646</v>
      </c>
      <c r="AN969" s="89" t="s">
        <v>646</v>
      </c>
      <c r="AO969" s="89" t="s">
        <v>646</v>
      </c>
      <c r="AP969" s="89" t="s">
        <v>646</v>
      </c>
      <c r="AQ969" s="89" t="s">
        <v>646</v>
      </c>
      <c r="AR969" s="89" t="s">
        <v>646</v>
      </c>
      <c r="AS969" s="89" t="s">
        <v>646</v>
      </c>
      <c r="AT969" s="89" t="s">
        <v>646</v>
      </c>
      <c r="AU969" s="89" t="s">
        <v>646</v>
      </c>
      <c r="AV969" s="89" t="s">
        <v>646</v>
      </c>
      <c r="AW969" s="89" t="s">
        <v>646</v>
      </c>
      <c r="AX969" s="89" t="s">
        <v>646</v>
      </c>
      <c r="AY969" s="89" t="s">
        <v>25039</v>
      </c>
      <c r="AZ969" s="89" t="s">
        <v>646</v>
      </c>
      <c r="BA969" s="89" t="s">
        <v>25040</v>
      </c>
      <c r="BB969" s="89" t="s">
        <v>646</v>
      </c>
      <c r="BC969" s="89" t="s">
        <v>646</v>
      </c>
      <c r="BD969" s="89" t="s">
        <v>646</v>
      </c>
      <c r="BE969" s="89">
        <v>2012</v>
      </c>
      <c r="BF969" s="89" t="s">
        <v>646</v>
      </c>
      <c r="BG969" s="89" t="s">
        <v>646</v>
      </c>
      <c r="BH969" s="89" t="s">
        <v>646</v>
      </c>
      <c r="BI969" s="89" t="s">
        <v>646</v>
      </c>
      <c r="BJ969" s="89" t="s">
        <v>646</v>
      </c>
      <c r="BK969" s="89" t="s">
        <v>646</v>
      </c>
      <c r="BL969" s="89">
        <v>160</v>
      </c>
      <c r="BM969" s="89">
        <v>166</v>
      </c>
      <c r="BN969" s="89" t="s">
        <v>646</v>
      </c>
      <c r="BO969" s="89" t="s">
        <v>646</v>
      </c>
      <c r="BP969" s="89" t="s">
        <v>646</v>
      </c>
      <c r="BQ969" s="89" t="s">
        <v>646</v>
      </c>
      <c r="BR969" s="89" t="s">
        <v>646</v>
      </c>
      <c r="BS969" s="89" t="s">
        <v>646</v>
      </c>
      <c r="BT969" s="89" t="s">
        <v>646</v>
      </c>
      <c r="BU969" s="89" t="s">
        <v>646</v>
      </c>
      <c r="BV969" s="89" t="s">
        <v>646</v>
      </c>
      <c r="BW969" s="89" t="s">
        <v>646</v>
      </c>
      <c r="BX969" s="89" t="s">
        <v>646</v>
      </c>
      <c r="BY969" s="89" t="s">
        <v>646</v>
      </c>
      <c r="BZ969" s="89" t="s">
        <v>646</v>
      </c>
      <c r="CA969" s="89" t="s">
        <v>646</v>
      </c>
      <c r="CB969" s="89" t="s">
        <v>25041</v>
      </c>
      <c r="CC969" s="89" t="str">
        <f>HYPERLINK("https%3A%2F%2Fwww.webofscience.com%2Fwos%2Fwoscc%2Ffull-record%2FWOS:000312599600027","View Full Record in Web of Science")</f>
        <v>View Full Record in Web of Science</v>
      </c>
    </row>
    <row r="970" spans="1:81" ht="13.2" hidden="1" x14ac:dyDescent="0.25">
      <c r="A970" s="89" t="s">
        <v>25042</v>
      </c>
      <c r="B970" s="89" t="e">
        <f>+#REF!</f>
        <v>#REF!</v>
      </c>
      <c r="C970" s="89"/>
      <c r="D970" s="91" t="s">
        <v>717</v>
      </c>
      <c r="E970" s="90" t="e">
        <v>#REF!</v>
      </c>
      <c r="F970" s="89"/>
      <c r="G970" s="89"/>
      <c r="H970" s="89" t="s">
        <v>10576</v>
      </c>
      <c r="I970" s="89" t="s">
        <v>25043</v>
      </c>
      <c r="J970" s="89" t="s">
        <v>646</v>
      </c>
      <c r="K970" s="89" t="s">
        <v>25045</v>
      </c>
      <c r="M970" s="89">
        <v>2021</v>
      </c>
      <c r="N970" s="89" t="s">
        <v>25044</v>
      </c>
      <c r="O970" s="89" t="s">
        <v>646</v>
      </c>
      <c r="P970" s="89" t="str">
        <f>HYPERLINK("http://dx.doi.org/10.1002/cb.1968","http://dx.doi.org/10.1002/cb.1968")</f>
        <v>http://dx.doi.org/10.1002/cb.1968</v>
      </c>
      <c r="S970" s="89" t="s">
        <v>646</v>
      </c>
      <c r="U970" s="89" t="s">
        <v>17462</v>
      </c>
      <c r="W970" s="89" t="s">
        <v>646</v>
      </c>
      <c r="X970" s="89" t="s">
        <v>646</v>
      </c>
      <c r="Y970" s="89" t="s">
        <v>646</v>
      </c>
      <c r="Z970" s="89" t="s">
        <v>646</v>
      </c>
      <c r="AA970" s="89" t="s">
        <v>646</v>
      </c>
      <c r="AB970" s="89" t="s">
        <v>646</v>
      </c>
      <c r="AC970" s="89" t="s">
        <v>646</v>
      </c>
      <c r="AD970" s="89" t="s">
        <v>646</v>
      </c>
      <c r="AE970" s="89" t="s">
        <v>646</v>
      </c>
      <c r="AF970" s="89" t="s">
        <v>25045</v>
      </c>
      <c r="AG970" s="89" t="s">
        <v>646</v>
      </c>
      <c r="AH970" s="89" t="s">
        <v>646</v>
      </c>
      <c r="AI970" s="89" t="s">
        <v>646</v>
      </c>
      <c r="AJ970" s="89" t="s">
        <v>646</v>
      </c>
      <c r="AK970" s="89" t="s">
        <v>646</v>
      </c>
      <c r="AL970" s="89" t="s">
        <v>25046</v>
      </c>
      <c r="AM970" s="89" t="s">
        <v>646</v>
      </c>
      <c r="AN970" s="89" t="s">
        <v>646</v>
      </c>
      <c r="AO970" s="89" t="s">
        <v>646</v>
      </c>
      <c r="AP970" s="89" t="s">
        <v>646</v>
      </c>
      <c r="AQ970" s="89" t="s">
        <v>646</v>
      </c>
      <c r="AR970" s="89" t="s">
        <v>646</v>
      </c>
      <c r="AS970" s="89" t="s">
        <v>646</v>
      </c>
      <c r="AT970" s="89" t="s">
        <v>646</v>
      </c>
      <c r="AU970" s="89" t="s">
        <v>646</v>
      </c>
      <c r="AV970" s="89" t="s">
        <v>646</v>
      </c>
      <c r="AW970" s="89" t="s">
        <v>646</v>
      </c>
      <c r="AX970" s="89" t="s">
        <v>646</v>
      </c>
      <c r="AY970" s="89" t="s">
        <v>25047</v>
      </c>
      <c r="AZ970" s="89" t="s">
        <v>25048</v>
      </c>
      <c r="BA970" s="89" t="s">
        <v>646</v>
      </c>
      <c r="BB970" s="89" t="s">
        <v>646</v>
      </c>
      <c r="BC970" s="89" t="s">
        <v>646</v>
      </c>
      <c r="BD970" s="89" t="s">
        <v>18292</v>
      </c>
      <c r="BE970" s="89">
        <v>2021</v>
      </c>
      <c r="BF970" s="89">
        <v>20</v>
      </c>
      <c r="BG970" s="89">
        <v>6</v>
      </c>
      <c r="BH970" s="89" t="s">
        <v>646</v>
      </c>
      <c r="BI970" s="89" t="s">
        <v>646</v>
      </c>
      <c r="BJ970" s="89" t="s">
        <v>646</v>
      </c>
      <c r="BK970" s="89" t="s">
        <v>646</v>
      </c>
      <c r="BL970" s="89">
        <v>1575</v>
      </c>
      <c r="BM970" s="89">
        <v>1590</v>
      </c>
      <c r="BN970" s="89" t="s">
        <v>646</v>
      </c>
      <c r="BO970" s="89" t="str">
        <f>HYPERLINK("http://dx.doi.org/10.1002/cb.1968","http://dx.doi.org/10.1002/cb.1968")</f>
        <v>http://dx.doi.org/10.1002/cb.1968</v>
      </c>
      <c r="BP970" s="89" t="s">
        <v>646</v>
      </c>
      <c r="BQ970" s="89" t="s">
        <v>17688</v>
      </c>
      <c r="BR970" s="89" t="s">
        <v>646</v>
      </c>
      <c r="BS970" s="89" t="s">
        <v>646</v>
      </c>
      <c r="BT970" s="89" t="s">
        <v>646</v>
      </c>
      <c r="BU970" s="89" t="s">
        <v>646</v>
      </c>
      <c r="BV970" s="89" t="s">
        <v>646</v>
      </c>
      <c r="BW970" s="89" t="s">
        <v>646</v>
      </c>
      <c r="BX970" s="89" t="s">
        <v>646</v>
      </c>
      <c r="BY970" s="89" t="s">
        <v>646</v>
      </c>
      <c r="BZ970" s="89" t="s">
        <v>646</v>
      </c>
      <c r="CA970" s="89" t="s">
        <v>646</v>
      </c>
      <c r="CB970" s="89" t="s">
        <v>25049</v>
      </c>
      <c r="CC970" s="89" t="str">
        <f>HYPERLINK("https%3A%2F%2Fwww.webofscience.com%2Fwos%2Fwoscc%2Ffull-record%2FWOS:000707606600001","View Full Record in Web of Science")</f>
        <v>View Full Record in Web of Science</v>
      </c>
    </row>
    <row r="971" spans="1:81" ht="13.2" hidden="1" x14ac:dyDescent="0.25">
      <c r="A971" s="89" t="s">
        <v>1466</v>
      </c>
      <c r="B971" s="89" t="e">
        <f>+#REF!</f>
        <v>#REF!</v>
      </c>
      <c r="C971" s="89"/>
      <c r="D971" s="91" t="s">
        <v>717</v>
      </c>
      <c r="E971" s="90" t="e">
        <v>#REF!</v>
      </c>
      <c r="F971" s="89"/>
      <c r="G971" s="89"/>
      <c r="H971" s="89" t="s">
        <v>1468</v>
      </c>
      <c r="I971" s="89" t="s">
        <v>25050</v>
      </c>
      <c r="J971" s="89" t="s">
        <v>646</v>
      </c>
      <c r="K971" s="89" t="s">
        <v>25051</v>
      </c>
      <c r="M971" s="89">
        <v>2020</v>
      </c>
      <c r="N971" s="89" t="s">
        <v>22122</v>
      </c>
      <c r="O971" s="89" t="s">
        <v>646</v>
      </c>
      <c r="P971" s="89" t="str">
        <f>HYPERLINK("http://dx.doi.org/10.1111/ijcs.12561","http://dx.doi.org/10.1111/ijcs.12561")</f>
        <v>http://dx.doi.org/10.1111/ijcs.12561</v>
      </c>
      <c r="S971" s="89" t="s">
        <v>646</v>
      </c>
      <c r="U971" s="89" t="s">
        <v>17462</v>
      </c>
      <c r="W971" s="89" t="s">
        <v>646</v>
      </c>
      <c r="X971" s="89" t="s">
        <v>646</v>
      </c>
      <c r="Y971" s="89" t="s">
        <v>646</v>
      </c>
      <c r="Z971" s="89" t="s">
        <v>646</v>
      </c>
      <c r="AA971" s="89" t="s">
        <v>646</v>
      </c>
      <c r="AB971" s="89" t="s">
        <v>646</v>
      </c>
      <c r="AC971" s="89" t="s">
        <v>646</v>
      </c>
      <c r="AD971" s="89" t="s">
        <v>646</v>
      </c>
      <c r="AE971" s="89" t="s">
        <v>646</v>
      </c>
      <c r="AF971" s="89" t="s">
        <v>25051</v>
      </c>
      <c r="AG971" s="89" t="s">
        <v>646</v>
      </c>
      <c r="AH971" s="89" t="s">
        <v>646</v>
      </c>
      <c r="AI971" s="89" t="s">
        <v>646</v>
      </c>
      <c r="AJ971" s="89" t="s">
        <v>646</v>
      </c>
      <c r="AK971" s="89" t="s">
        <v>646</v>
      </c>
      <c r="AL971" s="89" t="s">
        <v>646</v>
      </c>
      <c r="AM971" s="89" t="s">
        <v>646</v>
      </c>
      <c r="AN971" s="89" t="s">
        <v>646</v>
      </c>
      <c r="AO971" s="89" t="s">
        <v>646</v>
      </c>
      <c r="AP971" s="89" t="s">
        <v>646</v>
      </c>
      <c r="AQ971" s="89" t="s">
        <v>646</v>
      </c>
      <c r="AR971" s="89" t="s">
        <v>646</v>
      </c>
      <c r="AS971" s="89" t="s">
        <v>646</v>
      </c>
      <c r="AT971" s="89" t="s">
        <v>646</v>
      </c>
      <c r="AU971" s="89" t="s">
        <v>646</v>
      </c>
      <c r="AV971" s="89" t="s">
        <v>646</v>
      </c>
      <c r="AW971" s="89" t="s">
        <v>646</v>
      </c>
      <c r="AX971" s="89" t="s">
        <v>646</v>
      </c>
      <c r="AY971" s="89" t="s">
        <v>22126</v>
      </c>
      <c r="AZ971" s="89" t="s">
        <v>22127</v>
      </c>
      <c r="BA971" s="89" t="s">
        <v>646</v>
      </c>
      <c r="BB971" s="89" t="s">
        <v>646</v>
      </c>
      <c r="BC971" s="89" t="s">
        <v>646</v>
      </c>
      <c r="BD971" s="89" t="s">
        <v>18436</v>
      </c>
      <c r="BE971" s="89">
        <v>2020</v>
      </c>
      <c r="BF971" s="89">
        <v>44</v>
      </c>
      <c r="BG971" s="89">
        <v>3</v>
      </c>
      <c r="BH971" s="89" t="s">
        <v>646</v>
      </c>
      <c r="BI971" s="89" t="s">
        <v>646</v>
      </c>
      <c r="BJ971" s="89" t="s">
        <v>646</v>
      </c>
      <c r="BK971" s="89" t="s">
        <v>646</v>
      </c>
      <c r="BL971" s="89">
        <v>220</v>
      </c>
      <c r="BM971" s="89">
        <v>231</v>
      </c>
      <c r="BN971" s="89" t="s">
        <v>646</v>
      </c>
      <c r="BO971" s="89" t="str">
        <f>HYPERLINK("http://dx.doi.org/10.1111/ijcs.12561","http://dx.doi.org/10.1111/ijcs.12561")</f>
        <v>http://dx.doi.org/10.1111/ijcs.12561</v>
      </c>
      <c r="BP971" s="89" t="s">
        <v>646</v>
      </c>
      <c r="BQ971" s="89" t="s">
        <v>19233</v>
      </c>
      <c r="BR971" s="89" t="s">
        <v>646</v>
      </c>
      <c r="BS971" s="89" t="s">
        <v>646</v>
      </c>
      <c r="BT971" s="89" t="s">
        <v>646</v>
      </c>
      <c r="BU971" s="89" t="s">
        <v>646</v>
      </c>
      <c r="BV971" s="89" t="s">
        <v>646</v>
      </c>
      <c r="BW971" s="89" t="s">
        <v>646</v>
      </c>
      <c r="BX971" s="89" t="s">
        <v>646</v>
      </c>
      <c r="BY971" s="89" t="s">
        <v>646</v>
      </c>
      <c r="BZ971" s="89" t="s">
        <v>646</v>
      </c>
      <c r="CA971" s="89" t="s">
        <v>646</v>
      </c>
      <c r="CB971" s="89" t="s">
        <v>25052</v>
      </c>
      <c r="CC971" s="89" t="str">
        <f>HYPERLINK("https%3A%2F%2Fwww.webofscience.com%2Fwos%2Fwoscc%2Ffull-record%2FWOS:000506907200001","View Full Record in Web of Science")</f>
        <v>View Full Record in Web of Science</v>
      </c>
    </row>
    <row r="972" spans="1:81" ht="13.2" hidden="1" x14ac:dyDescent="0.25">
      <c r="A972" s="89" t="s">
        <v>25053</v>
      </c>
      <c r="B972" s="89" t="e">
        <f>+#REF!</f>
        <v>#REF!</v>
      </c>
      <c r="C972" s="89"/>
      <c r="D972" s="91" t="s">
        <v>717</v>
      </c>
      <c r="E972" s="90" t="e">
        <v>#REF!</v>
      </c>
      <c r="F972" s="89"/>
      <c r="G972" s="89"/>
      <c r="H972" s="89" t="s">
        <v>15909</v>
      </c>
      <c r="I972" s="89" t="s">
        <v>25054</v>
      </c>
      <c r="J972" s="89" t="s">
        <v>646</v>
      </c>
      <c r="K972" s="89" t="s">
        <v>25055</v>
      </c>
      <c r="M972" s="89">
        <v>2018</v>
      </c>
      <c r="N972" s="89" t="s">
        <v>20886</v>
      </c>
      <c r="O972" s="89" t="s">
        <v>646</v>
      </c>
      <c r="P972" s="89" t="str">
        <f>HYPERLINK("http://dx.doi.org/10.1177/1461444818773727","http://dx.doi.org/10.1177/1461444818773727")</f>
        <v>http://dx.doi.org/10.1177/1461444818773727</v>
      </c>
      <c r="S972" s="89" t="s">
        <v>646</v>
      </c>
      <c r="U972" s="89" t="s">
        <v>17462</v>
      </c>
      <c r="W972" s="89" t="s">
        <v>646</v>
      </c>
      <c r="X972" s="89" t="s">
        <v>646</v>
      </c>
      <c r="Y972" s="89" t="s">
        <v>646</v>
      </c>
      <c r="Z972" s="89" t="s">
        <v>646</v>
      </c>
      <c r="AA972" s="89" t="s">
        <v>646</v>
      </c>
      <c r="AB972" s="89" t="s">
        <v>646</v>
      </c>
      <c r="AC972" s="89" t="s">
        <v>646</v>
      </c>
      <c r="AD972" s="89" t="s">
        <v>646</v>
      </c>
      <c r="AE972" s="89" t="s">
        <v>646</v>
      </c>
      <c r="AF972" s="89" t="s">
        <v>25055</v>
      </c>
      <c r="AG972" s="89" t="s">
        <v>646</v>
      </c>
      <c r="AH972" s="89" t="s">
        <v>646</v>
      </c>
      <c r="AI972" s="89" t="s">
        <v>646</v>
      </c>
      <c r="AJ972" s="89" t="s">
        <v>646</v>
      </c>
      <c r="AK972" s="89" t="s">
        <v>646</v>
      </c>
      <c r="AL972" s="89" t="s">
        <v>646</v>
      </c>
      <c r="AM972" s="89" t="s">
        <v>646</v>
      </c>
      <c r="AN972" s="89" t="s">
        <v>646</v>
      </c>
      <c r="AO972" s="89" t="s">
        <v>646</v>
      </c>
      <c r="AP972" s="89" t="s">
        <v>646</v>
      </c>
      <c r="AQ972" s="89" t="s">
        <v>646</v>
      </c>
      <c r="AR972" s="89" t="s">
        <v>646</v>
      </c>
      <c r="AS972" s="89" t="s">
        <v>646</v>
      </c>
      <c r="AT972" s="89" t="s">
        <v>646</v>
      </c>
      <c r="AU972" s="89" t="s">
        <v>646</v>
      </c>
      <c r="AV972" s="89" t="s">
        <v>646</v>
      </c>
      <c r="AW972" s="89" t="s">
        <v>646</v>
      </c>
      <c r="AX972" s="89" t="s">
        <v>646</v>
      </c>
      <c r="AY972" s="89" t="s">
        <v>20889</v>
      </c>
      <c r="AZ972" s="89" t="s">
        <v>20890</v>
      </c>
      <c r="BA972" s="89" t="s">
        <v>646</v>
      </c>
      <c r="BB972" s="89" t="s">
        <v>646</v>
      </c>
      <c r="BC972" s="89" t="s">
        <v>646</v>
      </c>
      <c r="BD972" s="89" t="s">
        <v>18292</v>
      </c>
      <c r="BE972" s="89">
        <v>2018</v>
      </c>
      <c r="BF972" s="89">
        <v>20</v>
      </c>
      <c r="BG972" s="89">
        <v>11</v>
      </c>
      <c r="BH972" s="89" t="s">
        <v>646</v>
      </c>
      <c r="BI972" s="89" t="s">
        <v>646</v>
      </c>
      <c r="BJ972" s="89" t="s">
        <v>646</v>
      </c>
      <c r="BK972" s="89" t="s">
        <v>646</v>
      </c>
      <c r="BL972" s="89">
        <v>4384</v>
      </c>
      <c r="BM972" s="89">
        <v>4404</v>
      </c>
      <c r="BN972" s="89" t="s">
        <v>646</v>
      </c>
      <c r="BO972" s="89" t="str">
        <f>HYPERLINK("http://dx.doi.org/10.1177/1461444818773727","http://dx.doi.org/10.1177/1461444818773727")</f>
        <v>http://dx.doi.org/10.1177/1461444818773727</v>
      </c>
      <c r="BP972" s="89" t="s">
        <v>646</v>
      </c>
      <c r="BQ972" s="89" t="s">
        <v>646</v>
      </c>
      <c r="BR972" s="89" t="s">
        <v>646</v>
      </c>
      <c r="BS972" s="89" t="s">
        <v>646</v>
      </c>
      <c r="BT972" s="89" t="s">
        <v>646</v>
      </c>
      <c r="BU972" s="89" t="s">
        <v>646</v>
      </c>
      <c r="BV972" s="89" t="s">
        <v>646</v>
      </c>
      <c r="BW972" s="89" t="s">
        <v>646</v>
      </c>
      <c r="BX972" s="89" t="s">
        <v>646</v>
      </c>
      <c r="BY972" s="89" t="s">
        <v>646</v>
      </c>
      <c r="BZ972" s="89" t="s">
        <v>646</v>
      </c>
      <c r="CA972" s="89" t="s">
        <v>646</v>
      </c>
      <c r="CB972" s="89" t="s">
        <v>25056</v>
      </c>
      <c r="CC972" s="89" t="str">
        <f>HYPERLINK("https%3A%2F%2Fwww.webofscience.com%2Fwos%2Fwoscc%2Ffull-record%2FWOS:000449285600023","View Full Record in Web of Science")</f>
        <v>View Full Record in Web of Science</v>
      </c>
    </row>
    <row r="973" spans="1:81" ht="13.2" hidden="1" x14ac:dyDescent="0.25">
      <c r="A973" s="89" t="s">
        <v>25057</v>
      </c>
      <c r="B973" s="89" t="e">
        <f>+#REF!</f>
        <v>#REF!</v>
      </c>
      <c r="C973" s="89"/>
      <c r="D973" s="91" t="s">
        <v>717</v>
      </c>
      <c r="E973" s="90" t="e">
        <v>#REF!</v>
      </c>
      <c r="F973" s="89"/>
      <c r="G973" s="89"/>
      <c r="H973" s="89" t="s">
        <v>15918</v>
      </c>
      <c r="I973" s="89" t="s">
        <v>25058</v>
      </c>
      <c r="J973" s="89" t="s">
        <v>646</v>
      </c>
      <c r="K973" s="89" t="s">
        <v>25063</v>
      </c>
      <c r="M973" s="89">
        <v>2017</v>
      </c>
      <c r="N973" s="89" t="s">
        <v>25059</v>
      </c>
      <c r="O973" s="89" t="s">
        <v>646</v>
      </c>
      <c r="P973" s="89" t="str">
        <f>HYPERLINK("http://dx.doi.org/10.1109/ICDE.2017.148","http://dx.doi.org/10.1109/ICDE.2017.148")</f>
        <v>http://dx.doi.org/10.1109/ICDE.2017.148</v>
      </c>
      <c r="S973" s="89" t="s">
        <v>17475</v>
      </c>
      <c r="U973" s="89" t="s">
        <v>17474</v>
      </c>
      <c r="W973" s="89" t="s">
        <v>646</v>
      </c>
      <c r="X973" s="89" t="s">
        <v>646</v>
      </c>
      <c r="Y973" s="89" t="s">
        <v>25060</v>
      </c>
      <c r="Z973" s="89" t="s">
        <v>25061</v>
      </c>
      <c r="AA973" s="89" t="s">
        <v>19641</v>
      </c>
      <c r="AB973" s="89" t="s">
        <v>25062</v>
      </c>
      <c r="AC973" s="89" t="s">
        <v>646</v>
      </c>
      <c r="AD973" s="89" t="s">
        <v>646</v>
      </c>
      <c r="AE973" s="89" t="s">
        <v>646</v>
      </c>
      <c r="AF973" s="89" t="s">
        <v>25063</v>
      </c>
      <c r="AG973" s="89" t="s">
        <v>646</v>
      </c>
      <c r="AH973" s="89" t="s">
        <v>646</v>
      </c>
      <c r="AI973" s="89" t="s">
        <v>646</v>
      </c>
      <c r="AJ973" s="89" t="s">
        <v>646</v>
      </c>
      <c r="AK973" s="89" t="s">
        <v>646</v>
      </c>
      <c r="AL973" s="89" t="s">
        <v>646</v>
      </c>
      <c r="AM973" s="89" t="s">
        <v>646</v>
      </c>
      <c r="AN973" s="89" t="s">
        <v>646</v>
      </c>
      <c r="AO973" s="89" t="s">
        <v>646</v>
      </c>
      <c r="AP973" s="89" t="s">
        <v>646</v>
      </c>
      <c r="AQ973" s="89" t="s">
        <v>646</v>
      </c>
      <c r="AR973" s="89" t="s">
        <v>646</v>
      </c>
      <c r="AS973" s="89" t="s">
        <v>646</v>
      </c>
      <c r="AT973" s="89" t="s">
        <v>646</v>
      </c>
      <c r="AU973" s="89" t="s">
        <v>646</v>
      </c>
      <c r="AV973" s="89" t="s">
        <v>646</v>
      </c>
      <c r="AW973" s="89" t="s">
        <v>646</v>
      </c>
      <c r="AX973" s="89" t="s">
        <v>646</v>
      </c>
      <c r="AY973" s="89" t="s">
        <v>20527</v>
      </c>
      <c r="AZ973" s="89" t="s">
        <v>646</v>
      </c>
      <c r="BA973" s="89" t="s">
        <v>25064</v>
      </c>
      <c r="BB973" s="89" t="s">
        <v>646</v>
      </c>
      <c r="BC973" s="89" t="s">
        <v>646</v>
      </c>
      <c r="BD973" s="89" t="s">
        <v>646</v>
      </c>
      <c r="BE973" s="89">
        <v>2017</v>
      </c>
      <c r="BF973" s="89" t="s">
        <v>646</v>
      </c>
      <c r="BG973" s="89" t="s">
        <v>646</v>
      </c>
      <c r="BH973" s="89" t="s">
        <v>646</v>
      </c>
      <c r="BI973" s="89" t="s">
        <v>646</v>
      </c>
      <c r="BJ973" s="89" t="s">
        <v>646</v>
      </c>
      <c r="BK973" s="89" t="s">
        <v>646</v>
      </c>
      <c r="BL973" s="89">
        <v>1021</v>
      </c>
      <c r="BM973" s="89">
        <v>1032</v>
      </c>
      <c r="BN973" s="89" t="s">
        <v>646</v>
      </c>
      <c r="BO973" s="89" t="str">
        <f>HYPERLINK("http://dx.doi.org/10.1109/ICDE.2017.148","http://dx.doi.org/10.1109/ICDE.2017.148")</f>
        <v>http://dx.doi.org/10.1109/ICDE.2017.148</v>
      </c>
      <c r="BP973" s="89" t="s">
        <v>646</v>
      </c>
      <c r="BQ973" s="89" t="s">
        <v>646</v>
      </c>
      <c r="BR973" s="89" t="s">
        <v>646</v>
      </c>
      <c r="BS973" s="89" t="s">
        <v>646</v>
      </c>
      <c r="BT973" s="89" t="s">
        <v>646</v>
      </c>
      <c r="BU973" s="89" t="s">
        <v>646</v>
      </c>
      <c r="BV973" s="89" t="s">
        <v>646</v>
      </c>
      <c r="BW973" s="89" t="s">
        <v>646</v>
      </c>
      <c r="BX973" s="89" t="s">
        <v>646</v>
      </c>
      <c r="BY973" s="89" t="s">
        <v>646</v>
      </c>
      <c r="BZ973" s="89" t="s">
        <v>646</v>
      </c>
      <c r="CA973" s="89" t="s">
        <v>646</v>
      </c>
      <c r="CB973" s="89" t="s">
        <v>25065</v>
      </c>
      <c r="CC973" s="89" t="str">
        <f>HYPERLINK("https%3A%2F%2Fwww.webofscience.com%2Fwos%2Fwoscc%2Ffull-record%2FWOS:000403398200141","View Full Record in Web of Science")</f>
        <v>View Full Record in Web of Science</v>
      </c>
    </row>
    <row r="974" spans="1:81" ht="13.2" hidden="1" x14ac:dyDescent="0.25">
      <c r="A974" s="89" t="s">
        <v>15925</v>
      </c>
      <c r="B974" s="89" t="e">
        <f>+#REF!</f>
        <v>#REF!</v>
      </c>
      <c r="C974" s="89"/>
      <c r="D974" s="91" t="s">
        <v>717</v>
      </c>
      <c r="E974" s="90" t="e">
        <v>#REF!</v>
      </c>
      <c r="F974" s="89"/>
      <c r="G974" s="89"/>
      <c r="H974" s="89" t="s">
        <v>15926</v>
      </c>
      <c r="I974" s="89" t="s">
        <v>25066</v>
      </c>
      <c r="J974" s="89" t="s">
        <v>646</v>
      </c>
      <c r="K974" s="89" t="s">
        <v>25067</v>
      </c>
      <c r="M974" s="89">
        <v>2016</v>
      </c>
      <c r="N974" s="89" t="s">
        <v>19296</v>
      </c>
      <c r="O974" s="89" t="s">
        <v>646</v>
      </c>
      <c r="P974" s="89" t="str">
        <f>HYPERLINK("http://dx.doi.org/10.1007/s10606-015-9241-6","http://dx.doi.org/10.1007/s10606-015-9241-6")</f>
        <v>http://dx.doi.org/10.1007/s10606-015-9241-6</v>
      </c>
      <c r="S974" s="89" t="s">
        <v>646</v>
      </c>
      <c r="U974" s="89" t="s">
        <v>17462</v>
      </c>
      <c r="W974" s="89" t="s">
        <v>646</v>
      </c>
      <c r="X974" s="89" t="s">
        <v>646</v>
      </c>
      <c r="Y974" s="89" t="s">
        <v>646</v>
      </c>
      <c r="Z974" s="89" t="s">
        <v>646</v>
      </c>
      <c r="AA974" s="89" t="s">
        <v>646</v>
      </c>
      <c r="AB974" s="89" t="s">
        <v>646</v>
      </c>
      <c r="AC974" s="89" t="s">
        <v>646</v>
      </c>
      <c r="AD974" s="89" t="s">
        <v>646</v>
      </c>
      <c r="AE974" s="89" t="s">
        <v>646</v>
      </c>
      <c r="AF974" s="89" t="s">
        <v>25067</v>
      </c>
      <c r="AG974" s="89" t="s">
        <v>646</v>
      </c>
      <c r="AH974" s="89" t="s">
        <v>646</v>
      </c>
      <c r="AI974" s="89" t="s">
        <v>646</v>
      </c>
      <c r="AJ974" s="89" t="s">
        <v>646</v>
      </c>
      <c r="AK974" s="89" t="s">
        <v>646</v>
      </c>
      <c r="AL974" s="89" t="s">
        <v>646</v>
      </c>
      <c r="AM974" s="89" t="s">
        <v>646</v>
      </c>
      <c r="AN974" s="89" t="s">
        <v>646</v>
      </c>
      <c r="AO974" s="89" t="s">
        <v>646</v>
      </c>
      <c r="AP974" s="89" t="s">
        <v>646</v>
      </c>
      <c r="AQ974" s="89" t="s">
        <v>646</v>
      </c>
      <c r="AR974" s="89" t="s">
        <v>646</v>
      </c>
      <c r="AS974" s="89" t="s">
        <v>646</v>
      </c>
      <c r="AT974" s="89" t="s">
        <v>646</v>
      </c>
      <c r="AU974" s="89" t="s">
        <v>646</v>
      </c>
      <c r="AV974" s="89" t="s">
        <v>646</v>
      </c>
      <c r="AW974" s="89" t="s">
        <v>646</v>
      </c>
      <c r="AX974" s="89" t="s">
        <v>646</v>
      </c>
      <c r="AY974" s="89" t="s">
        <v>19303</v>
      </c>
      <c r="AZ974" s="89" t="s">
        <v>19304</v>
      </c>
      <c r="BA974" s="89" t="s">
        <v>646</v>
      </c>
      <c r="BB974" s="89" t="s">
        <v>646</v>
      </c>
      <c r="BC974" s="89" t="s">
        <v>646</v>
      </c>
      <c r="BD974" s="89" t="s">
        <v>17658</v>
      </c>
      <c r="BE974" s="89">
        <v>2016</v>
      </c>
      <c r="BF974" s="89">
        <v>25</v>
      </c>
      <c r="BG974" s="89">
        <v>1</v>
      </c>
      <c r="BH974" s="89" t="s">
        <v>646</v>
      </c>
      <c r="BI974" s="89" t="s">
        <v>646</v>
      </c>
      <c r="BJ974" s="89" t="s">
        <v>646</v>
      </c>
      <c r="BK974" s="89" t="s">
        <v>646</v>
      </c>
      <c r="BL974" s="89">
        <v>39</v>
      </c>
      <c r="BM974" s="89">
        <v>77</v>
      </c>
      <c r="BN974" s="89" t="s">
        <v>646</v>
      </c>
      <c r="BO974" s="89" t="str">
        <f>HYPERLINK("http://dx.doi.org/10.1007/s10606-015-9241-6","http://dx.doi.org/10.1007/s10606-015-9241-6")</f>
        <v>http://dx.doi.org/10.1007/s10606-015-9241-6</v>
      </c>
      <c r="BP974" s="89" t="s">
        <v>646</v>
      </c>
      <c r="BQ974" s="89" t="s">
        <v>646</v>
      </c>
      <c r="BR974" s="89" t="s">
        <v>646</v>
      </c>
      <c r="BS974" s="89" t="s">
        <v>646</v>
      </c>
      <c r="BT974" s="89" t="s">
        <v>646</v>
      </c>
      <c r="BU974" s="89" t="s">
        <v>646</v>
      </c>
      <c r="BV974" s="89" t="s">
        <v>646</v>
      </c>
      <c r="BW974" s="89" t="s">
        <v>646</v>
      </c>
      <c r="BX974" s="89" t="s">
        <v>646</v>
      </c>
      <c r="BY974" s="89" t="s">
        <v>646</v>
      </c>
      <c r="BZ974" s="89" t="s">
        <v>646</v>
      </c>
      <c r="CA974" s="89" t="s">
        <v>646</v>
      </c>
      <c r="CB974" s="89" t="s">
        <v>25068</v>
      </c>
      <c r="CC974" s="89" t="str">
        <f>HYPERLINK("https%3A%2F%2Fwww.webofscience.com%2Fwos%2Fwoscc%2Ffull-record%2FWOS:000374661400002","View Full Record in Web of Science")</f>
        <v>View Full Record in Web of Science</v>
      </c>
    </row>
    <row r="975" spans="1:81" ht="13.2" hidden="1" x14ac:dyDescent="0.25">
      <c r="A975" s="89" t="s">
        <v>25069</v>
      </c>
      <c r="B975" s="89" t="e">
        <f>+#REF!</f>
        <v>#REF!</v>
      </c>
      <c r="C975" s="89"/>
      <c r="D975" s="91" t="s">
        <v>717</v>
      </c>
      <c r="E975" s="90" t="e">
        <v>#REF!</v>
      </c>
      <c r="F975" s="89"/>
      <c r="G975" s="89"/>
      <c r="H975" s="89" t="s">
        <v>10585</v>
      </c>
      <c r="I975" s="89" t="s">
        <v>25070</v>
      </c>
      <c r="J975" s="89" t="s">
        <v>646</v>
      </c>
      <c r="K975" s="89" t="s">
        <v>25072</v>
      </c>
      <c r="M975" s="89">
        <v>2021</v>
      </c>
      <c r="N975" s="89" t="s">
        <v>25071</v>
      </c>
      <c r="O975" s="89" t="s">
        <v>646</v>
      </c>
      <c r="P975" s="89" t="str">
        <f>HYPERLINK("http://dx.doi.org/10.1177/07308884211024711","http://dx.doi.org/10.1177/07308884211024711")</f>
        <v>http://dx.doi.org/10.1177/07308884211024711</v>
      </c>
      <c r="S975" s="89" t="s">
        <v>646</v>
      </c>
      <c r="U975" s="89" t="s">
        <v>17462</v>
      </c>
      <c r="W975" s="89" t="s">
        <v>646</v>
      </c>
      <c r="X975" s="89" t="s">
        <v>646</v>
      </c>
      <c r="Y975" s="89" t="s">
        <v>646</v>
      </c>
      <c r="Z975" s="89" t="s">
        <v>646</v>
      </c>
      <c r="AA975" s="89" t="s">
        <v>646</v>
      </c>
      <c r="AB975" s="89" t="s">
        <v>646</v>
      </c>
      <c r="AC975" s="89" t="s">
        <v>646</v>
      </c>
      <c r="AD975" s="89" t="s">
        <v>646</v>
      </c>
      <c r="AE975" s="89" t="s">
        <v>646</v>
      </c>
      <c r="AF975" s="89" t="s">
        <v>25072</v>
      </c>
      <c r="AG975" s="89" t="s">
        <v>646</v>
      </c>
      <c r="AH975" s="89" t="s">
        <v>646</v>
      </c>
      <c r="AI975" s="89" t="s">
        <v>646</v>
      </c>
      <c r="AJ975" s="89" t="s">
        <v>646</v>
      </c>
      <c r="AK975" s="89" t="s">
        <v>646</v>
      </c>
      <c r="AL975" s="89" t="s">
        <v>25073</v>
      </c>
      <c r="AM975" s="89" t="s">
        <v>646</v>
      </c>
      <c r="AN975" s="89" t="s">
        <v>646</v>
      </c>
      <c r="AO975" s="89" t="s">
        <v>646</v>
      </c>
      <c r="AP975" s="89" t="s">
        <v>646</v>
      </c>
      <c r="AQ975" s="89" t="s">
        <v>646</v>
      </c>
      <c r="AR975" s="89" t="s">
        <v>646</v>
      </c>
      <c r="AS975" s="89" t="s">
        <v>646</v>
      </c>
      <c r="AT975" s="89" t="s">
        <v>646</v>
      </c>
      <c r="AU975" s="89" t="s">
        <v>646</v>
      </c>
      <c r="AV975" s="89" t="s">
        <v>646</v>
      </c>
      <c r="AW975" s="89" t="s">
        <v>646</v>
      </c>
      <c r="AX975" s="89" t="s">
        <v>646</v>
      </c>
      <c r="AY975" s="89" t="s">
        <v>25074</v>
      </c>
      <c r="AZ975" s="89" t="s">
        <v>25075</v>
      </c>
      <c r="BA975" s="89" t="s">
        <v>646</v>
      </c>
      <c r="BB975" s="89" t="s">
        <v>646</v>
      </c>
      <c r="BC975" s="89" t="s">
        <v>646</v>
      </c>
      <c r="BD975" s="89" t="s">
        <v>18292</v>
      </c>
      <c r="BE975" s="89">
        <v>2021</v>
      </c>
      <c r="BF975" s="89">
        <v>48</v>
      </c>
      <c r="BG975" s="89">
        <v>4</v>
      </c>
      <c r="BH975" s="89" t="s">
        <v>646</v>
      </c>
      <c r="BI975" s="89" t="s">
        <v>646</v>
      </c>
      <c r="BJ975" s="89" t="s">
        <v>646</v>
      </c>
      <c r="BK975" s="89" t="s">
        <v>646</v>
      </c>
      <c r="BL975" s="89">
        <v>399</v>
      </c>
      <c r="BM975" s="89">
        <v>431</v>
      </c>
      <c r="BN975" s="89">
        <v>7308884211024711</v>
      </c>
      <c r="BO975" s="89" t="str">
        <f>HYPERLINK("http://dx.doi.org/10.1177/07308884211024711","http://dx.doi.org/10.1177/07308884211024711")</f>
        <v>http://dx.doi.org/10.1177/07308884211024711</v>
      </c>
      <c r="BP975" s="89" t="s">
        <v>646</v>
      </c>
      <c r="BQ975" s="89" t="s">
        <v>17514</v>
      </c>
      <c r="BR975" s="89" t="s">
        <v>646</v>
      </c>
      <c r="BS975" s="89" t="s">
        <v>646</v>
      </c>
      <c r="BT975" s="89" t="s">
        <v>646</v>
      </c>
      <c r="BU975" s="89" t="s">
        <v>646</v>
      </c>
      <c r="BV975" s="89" t="s">
        <v>646</v>
      </c>
      <c r="BW975" s="89" t="s">
        <v>646</v>
      </c>
      <c r="BX975" s="89" t="s">
        <v>646</v>
      </c>
      <c r="BY975" s="89" t="s">
        <v>646</v>
      </c>
      <c r="BZ975" s="89" t="s">
        <v>646</v>
      </c>
      <c r="CA975" s="89" t="s">
        <v>646</v>
      </c>
      <c r="CB975" s="89" t="s">
        <v>25076</v>
      </c>
      <c r="CC975" s="89" t="str">
        <f>HYPERLINK("https%3A%2F%2Fwww.webofscience.com%2Fwos%2Fwoscc%2Ffull-record%2FWOS:000665246700001","View Full Record in Web of Science")</f>
        <v>View Full Record in Web of Science</v>
      </c>
    </row>
    <row r="976" spans="1:81" ht="13.2" hidden="1" x14ac:dyDescent="0.25">
      <c r="A976" s="89" t="s">
        <v>10594</v>
      </c>
      <c r="B976" s="89" t="e">
        <f>+#REF!</f>
        <v>#REF!</v>
      </c>
      <c r="C976" s="89"/>
      <c r="D976" s="91" t="s">
        <v>717</v>
      </c>
      <c r="E976" s="90" t="e">
        <v>#REF!</v>
      </c>
      <c r="F976" s="89"/>
      <c r="G976" s="89"/>
      <c r="H976" s="89" t="s">
        <v>10595</v>
      </c>
      <c r="I976" s="89" t="s">
        <v>25077</v>
      </c>
      <c r="J976" s="89" t="s">
        <v>646</v>
      </c>
      <c r="K976" s="89" t="s">
        <v>25079</v>
      </c>
      <c r="M976" s="89">
        <v>2021</v>
      </c>
      <c r="N976" s="89" t="s">
        <v>25078</v>
      </c>
      <c r="O976" s="89" t="s">
        <v>646</v>
      </c>
      <c r="P976" s="89" t="str">
        <f>HYPERLINK("http://dx.doi.org/10.1111/awr.12215","http://dx.doi.org/10.1111/awr.12215")</f>
        <v>http://dx.doi.org/10.1111/awr.12215</v>
      </c>
      <c r="S976" s="89" t="s">
        <v>646</v>
      </c>
      <c r="U976" s="89" t="s">
        <v>17462</v>
      </c>
      <c r="W976" s="89" t="s">
        <v>646</v>
      </c>
      <c r="X976" s="89" t="s">
        <v>646</v>
      </c>
      <c r="Y976" s="89" t="s">
        <v>646</v>
      </c>
      <c r="Z976" s="89" t="s">
        <v>646</v>
      </c>
      <c r="AA976" s="89" t="s">
        <v>646</v>
      </c>
      <c r="AB976" s="89" t="s">
        <v>646</v>
      </c>
      <c r="AC976" s="89" t="s">
        <v>646</v>
      </c>
      <c r="AD976" s="89" t="s">
        <v>646</v>
      </c>
      <c r="AE976" s="89" t="s">
        <v>646</v>
      </c>
      <c r="AF976" s="89" t="s">
        <v>25079</v>
      </c>
      <c r="AG976" s="89" t="s">
        <v>646</v>
      </c>
      <c r="AH976" s="89" t="s">
        <v>646</v>
      </c>
      <c r="AI976" s="89" t="s">
        <v>646</v>
      </c>
      <c r="AJ976" s="89" t="s">
        <v>646</v>
      </c>
      <c r="AK976" s="89" t="s">
        <v>646</v>
      </c>
      <c r="AL976" s="89" t="s">
        <v>25080</v>
      </c>
      <c r="AM976" s="89" t="s">
        <v>646</v>
      </c>
      <c r="AN976" s="89" t="s">
        <v>646</v>
      </c>
      <c r="AO976" s="89" t="s">
        <v>646</v>
      </c>
      <c r="AP976" s="89" t="s">
        <v>646</v>
      </c>
      <c r="AQ976" s="89" t="s">
        <v>646</v>
      </c>
      <c r="AR976" s="89" t="s">
        <v>646</v>
      </c>
      <c r="AS976" s="89" t="s">
        <v>646</v>
      </c>
      <c r="AT976" s="89" t="s">
        <v>646</v>
      </c>
      <c r="AU976" s="89" t="s">
        <v>646</v>
      </c>
      <c r="AV976" s="89" t="s">
        <v>646</v>
      </c>
      <c r="AW976" s="89" t="s">
        <v>646</v>
      </c>
      <c r="AX976" s="89" t="s">
        <v>646</v>
      </c>
      <c r="AY976" s="89" t="s">
        <v>25081</v>
      </c>
      <c r="AZ976" s="89" t="s">
        <v>25082</v>
      </c>
      <c r="BA976" s="89" t="s">
        <v>646</v>
      </c>
      <c r="BB976" s="89" t="s">
        <v>646</v>
      </c>
      <c r="BC976" s="89" t="s">
        <v>646</v>
      </c>
      <c r="BD976" s="89" t="s">
        <v>17676</v>
      </c>
      <c r="BE976" s="89">
        <v>2021</v>
      </c>
      <c r="BF976" s="89">
        <v>42</v>
      </c>
      <c r="BG976" s="89">
        <v>1</v>
      </c>
      <c r="BH976" s="89" t="s">
        <v>646</v>
      </c>
      <c r="BI976" s="89" t="s">
        <v>646</v>
      </c>
      <c r="BJ976" s="89" t="s">
        <v>646</v>
      </c>
      <c r="BK976" s="89" t="s">
        <v>646</v>
      </c>
      <c r="BL976" s="89">
        <v>24</v>
      </c>
      <c r="BM976" s="89">
        <v>34</v>
      </c>
      <c r="BN976" s="89" t="s">
        <v>646</v>
      </c>
      <c r="BO976" s="89" t="str">
        <f>HYPERLINK("http://dx.doi.org/10.1111/awr.12215","http://dx.doi.org/10.1111/awr.12215")</f>
        <v>http://dx.doi.org/10.1111/awr.12215</v>
      </c>
      <c r="BP976" s="89" t="s">
        <v>646</v>
      </c>
      <c r="BQ976" s="89" t="s">
        <v>646</v>
      </c>
      <c r="BR976" s="89" t="s">
        <v>646</v>
      </c>
      <c r="BS976" s="89" t="s">
        <v>646</v>
      </c>
      <c r="BT976" s="89" t="s">
        <v>646</v>
      </c>
      <c r="BU976" s="89" t="s">
        <v>646</v>
      </c>
      <c r="BV976" s="89" t="s">
        <v>646</v>
      </c>
      <c r="BW976" s="89" t="s">
        <v>646</v>
      </c>
      <c r="BX976" s="89" t="s">
        <v>646</v>
      </c>
      <c r="BY976" s="89" t="s">
        <v>646</v>
      </c>
      <c r="BZ976" s="89" t="s">
        <v>646</v>
      </c>
      <c r="CA976" s="89" t="s">
        <v>646</v>
      </c>
      <c r="CB976" s="89" t="s">
        <v>25083</v>
      </c>
      <c r="CC976" s="89" t="str">
        <f>HYPERLINK("https%3A%2F%2Fwww.webofscience.com%2Fwos%2Fwoscc%2Ffull-record%2FWOS:000679662000004","View Full Record in Web of Science")</f>
        <v>View Full Record in Web of Science</v>
      </c>
    </row>
    <row r="977" spans="1:81" ht="13.2" hidden="1" x14ac:dyDescent="0.25">
      <c r="A977" s="89" t="s">
        <v>15934</v>
      </c>
      <c r="B977" s="89" t="e">
        <f>+#REF!</f>
        <v>#REF!</v>
      </c>
      <c r="C977" s="89"/>
      <c r="D977" s="91" t="s">
        <v>717</v>
      </c>
      <c r="E977" s="90" t="e">
        <v>#REF!</v>
      </c>
      <c r="F977" s="89"/>
      <c r="G977" s="89"/>
      <c r="H977" s="89" t="s">
        <v>15935</v>
      </c>
      <c r="I977" s="89" t="s">
        <v>25084</v>
      </c>
      <c r="J977" s="89" t="s">
        <v>646</v>
      </c>
      <c r="K977" s="89" t="s">
        <v>25086</v>
      </c>
      <c r="M977" s="89">
        <v>2017</v>
      </c>
      <c r="N977" s="89" t="s">
        <v>25085</v>
      </c>
      <c r="O977" s="89" t="s">
        <v>646</v>
      </c>
      <c r="P977" s="89" t="str">
        <f>HYPERLINK("http://dx.doi.org/10.1186/s12859-016-1442-6","http://dx.doi.org/10.1186/s12859-016-1442-6")</f>
        <v>http://dx.doi.org/10.1186/s12859-016-1442-6</v>
      </c>
      <c r="S977" s="89" t="s">
        <v>646</v>
      </c>
      <c r="U977" s="89" t="s">
        <v>17462</v>
      </c>
      <c r="W977" s="89" t="s">
        <v>646</v>
      </c>
      <c r="X977" s="89" t="s">
        <v>646</v>
      </c>
      <c r="Y977" s="89" t="s">
        <v>646</v>
      </c>
      <c r="Z977" s="89" t="s">
        <v>646</v>
      </c>
      <c r="AA977" s="89" t="s">
        <v>646</v>
      </c>
      <c r="AB977" s="89" t="s">
        <v>646</v>
      </c>
      <c r="AC977" s="89" t="s">
        <v>646</v>
      </c>
      <c r="AD977" s="89" t="s">
        <v>646</v>
      </c>
      <c r="AE977" s="89" t="s">
        <v>646</v>
      </c>
      <c r="AF977" s="89" t="s">
        <v>25086</v>
      </c>
      <c r="AG977" s="89" t="s">
        <v>646</v>
      </c>
      <c r="AH977" s="89" t="s">
        <v>646</v>
      </c>
      <c r="AI977" s="89" t="s">
        <v>646</v>
      </c>
      <c r="AJ977" s="89" t="s">
        <v>646</v>
      </c>
      <c r="AK977" s="89" t="s">
        <v>646</v>
      </c>
      <c r="AL977" s="89" t="s">
        <v>25087</v>
      </c>
      <c r="AM977" s="89" t="s">
        <v>646</v>
      </c>
      <c r="AN977" s="89" t="s">
        <v>646</v>
      </c>
      <c r="AO977" s="89" t="s">
        <v>646</v>
      </c>
      <c r="AP977" s="89" t="s">
        <v>646</v>
      </c>
      <c r="AQ977" s="89" t="s">
        <v>646</v>
      </c>
      <c r="AR977" s="89" t="s">
        <v>646</v>
      </c>
      <c r="AS977" s="89" t="s">
        <v>646</v>
      </c>
      <c r="AT977" s="89" t="s">
        <v>646</v>
      </c>
      <c r="AU977" s="89" t="s">
        <v>646</v>
      </c>
      <c r="AV977" s="89" t="s">
        <v>646</v>
      </c>
      <c r="AW977" s="89" t="s">
        <v>646</v>
      </c>
      <c r="AX977" s="89" t="s">
        <v>646</v>
      </c>
      <c r="AY977" s="89" t="s">
        <v>25088</v>
      </c>
      <c r="AZ977" s="89" t="s">
        <v>646</v>
      </c>
      <c r="BA977" s="89" t="s">
        <v>646</v>
      </c>
      <c r="BB977" s="89" t="s">
        <v>646</v>
      </c>
      <c r="BC977" s="89" t="s">
        <v>646</v>
      </c>
      <c r="BD977" s="89" t="s">
        <v>25089</v>
      </c>
      <c r="BE977" s="89">
        <v>2017</v>
      </c>
      <c r="BF977" s="89">
        <v>18</v>
      </c>
      <c r="BG977" s="89" t="s">
        <v>646</v>
      </c>
      <c r="BH977" s="89" t="s">
        <v>646</v>
      </c>
      <c r="BI977" s="89">
        <v>2</v>
      </c>
      <c r="BJ977" s="89" t="s">
        <v>646</v>
      </c>
      <c r="BK977" s="89" t="s">
        <v>646</v>
      </c>
      <c r="BL977" s="89" t="s">
        <v>646</v>
      </c>
      <c r="BM977" s="89" t="s">
        <v>646</v>
      </c>
      <c r="BN977" s="89">
        <v>63</v>
      </c>
      <c r="BO977" s="89" t="str">
        <f>HYPERLINK("http://dx.doi.org/10.1186/s12859-016-1442-6","http://dx.doi.org/10.1186/s12859-016-1442-6")</f>
        <v>http://dx.doi.org/10.1186/s12859-016-1442-6</v>
      </c>
      <c r="BP977" s="89" t="s">
        <v>646</v>
      </c>
      <c r="BQ977" s="89" t="s">
        <v>646</v>
      </c>
      <c r="BR977" s="89" t="s">
        <v>646</v>
      </c>
      <c r="BS977" s="89" t="s">
        <v>646</v>
      </c>
      <c r="BT977" s="89" t="s">
        <v>646</v>
      </c>
      <c r="BU977" s="89" t="s">
        <v>646</v>
      </c>
      <c r="BV977" s="89" t="s">
        <v>646</v>
      </c>
      <c r="BW977" s="89">
        <v>28251868</v>
      </c>
      <c r="BX977" s="89" t="s">
        <v>646</v>
      </c>
      <c r="BY977" s="89" t="s">
        <v>646</v>
      </c>
      <c r="BZ977" s="89" t="s">
        <v>646</v>
      </c>
      <c r="CA977" s="89" t="s">
        <v>646</v>
      </c>
      <c r="CB977" s="89" t="s">
        <v>25090</v>
      </c>
      <c r="CC977" s="89" t="str">
        <f>HYPERLINK("https%3A%2F%2Fwww.webofscience.com%2Fwos%2Fwoscc%2Ffull-record%2FWOS:000397487600002","View Full Record in Web of Science")</f>
        <v>View Full Record in Web of Science</v>
      </c>
    </row>
    <row r="978" spans="1:81" ht="13.2" hidden="1" x14ac:dyDescent="0.25">
      <c r="A978" s="89" t="s">
        <v>25091</v>
      </c>
      <c r="B978" s="89" t="e">
        <f>+#REF!</f>
        <v>#REF!</v>
      </c>
      <c r="C978" s="89"/>
      <c r="D978" s="91" t="s">
        <v>717</v>
      </c>
      <c r="E978" s="90" t="e">
        <v>#REF!</v>
      </c>
      <c r="F978" s="89"/>
      <c r="G978" s="89"/>
      <c r="H978" s="89" t="s">
        <v>646</v>
      </c>
      <c r="I978" s="89" t="s">
        <v>25092</v>
      </c>
      <c r="J978" s="89" t="s">
        <v>646</v>
      </c>
      <c r="K978" s="89" t="s">
        <v>25098</v>
      </c>
      <c r="M978" s="89">
        <v>2014</v>
      </c>
      <c r="N978" s="89" t="s">
        <v>25093</v>
      </c>
      <c r="O978" s="89" t="s">
        <v>646</v>
      </c>
      <c r="P978" s="89" t="s">
        <v>646</v>
      </c>
      <c r="S978" s="89" t="s">
        <v>17475</v>
      </c>
      <c r="U978" s="89" t="s">
        <v>17474</v>
      </c>
      <c r="W978" s="89" t="s">
        <v>646</v>
      </c>
      <c r="X978" s="89" t="s">
        <v>646</v>
      </c>
      <c r="Y978" s="89" t="s">
        <v>25094</v>
      </c>
      <c r="Z978" s="89" t="s">
        <v>25095</v>
      </c>
      <c r="AA978" s="89" t="s">
        <v>25096</v>
      </c>
      <c r="AB978" s="89" t="s">
        <v>25097</v>
      </c>
      <c r="AC978" s="89" t="s">
        <v>646</v>
      </c>
      <c r="AD978" s="89" t="s">
        <v>646</v>
      </c>
      <c r="AE978" s="89" t="s">
        <v>646</v>
      </c>
      <c r="AF978" s="89" t="s">
        <v>25098</v>
      </c>
      <c r="AG978" s="89" t="s">
        <v>646</v>
      </c>
      <c r="AH978" s="89" t="s">
        <v>646</v>
      </c>
      <c r="AI978" s="89" t="s">
        <v>646</v>
      </c>
      <c r="AJ978" s="89" t="s">
        <v>646</v>
      </c>
      <c r="AK978" s="89" t="s">
        <v>646</v>
      </c>
      <c r="AL978" s="89" t="s">
        <v>646</v>
      </c>
      <c r="AM978" s="89" t="s">
        <v>646</v>
      </c>
      <c r="AN978" s="89" t="s">
        <v>646</v>
      </c>
      <c r="AO978" s="89" t="s">
        <v>646</v>
      </c>
      <c r="AP978" s="89" t="s">
        <v>646</v>
      </c>
      <c r="AQ978" s="89" t="s">
        <v>646</v>
      </c>
      <c r="AR978" s="89" t="s">
        <v>646</v>
      </c>
      <c r="AS978" s="89" t="s">
        <v>646</v>
      </c>
      <c r="AT978" s="89" t="s">
        <v>646</v>
      </c>
      <c r="AU978" s="89" t="s">
        <v>646</v>
      </c>
      <c r="AV978" s="89" t="s">
        <v>646</v>
      </c>
      <c r="AW978" s="89" t="s">
        <v>646</v>
      </c>
      <c r="AX978" s="89" t="s">
        <v>646</v>
      </c>
      <c r="AY978" s="89" t="s">
        <v>646</v>
      </c>
      <c r="AZ978" s="89" t="s">
        <v>646</v>
      </c>
      <c r="BA978" s="89" t="s">
        <v>25099</v>
      </c>
      <c r="BB978" s="89" t="s">
        <v>646</v>
      </c>
      <c r="BC978" s="89" t="s">
        <v>646</v>
      </c>
      <c r="BD978" s="89" t="s">
        <v>646</v>
      </c>
      <c r="BE978" s="89">
        <v>2014</v>
      </c>
      <c r="BF978" s="89" t="s">
        <v>646</v>
      </c>
      <c r="BG978" s="89" t="s">
        <v>646</v>
      </c>
      <c r="BH978" s="89" t="s">
        <v>646</v>
      </c>
      <c r="BI978" s="89" t="s">
        <v>646</v>
      </c>
      <c r="BJ978" s="89" t="s">
        <v>646</v>
      </c>
      <c r="BK978" s="89" t="s">
        <v>646</v>
      </c>
      <c r="BL978" s="89" t="s">
        <v>646</v>
      </c>
      <c r="BM978" s="89" t="s">
        <v>646</v>
      </c>
      <c r="BN978" s="89" t="s">
        <v>646</v>
      </c>
      <c r="BO978" s="89" t="s">
        <v>646</v>
      </c>
      <c r="BP978" s="89" t="s">
        <v>646</v>
      </c>
      <c r="BQ978" s="89" t="s">
        <v>646</v>
      </c>
      <c r="BR978" s="89" t="s">
        <v>646</v>
      </c>
      <c r="BS978" s="89" t="s">
        <v>646</v>
      </c>
      <c r="BT978" s="89" t="s">
        <v>646</v>
      </c>
      <c r="BU978" s="89" t="s">
        <v>646</v>
      </c>
      <c r="BV978" s="89" t="s">
        <v>646</v>
      </c>
      <c r="BW978" s="89" t="s">
        <v>646</v>
      </c>
      <c r="BX978" s="89" t="s">
        <v>646</v>
      </c>
      <c r="BY978" s="89" t="s">
        <v>646</v>
      </c>
      <c r="BZ978" s="89" t="s">
        <v>646</v>
      </c>
      <c r="CA978" s="89" t="s">
        <v>646</v>
      </c>
      <c r="CB978" s="89" t="s">
        <v>25100</v>
      </c>
      <c r="CC978" s="89" t="str">
        <f>HYPERLINK("https%3A%2F%2Fwww.webofscience.com%2Fwos%2Fwoscc%2Ffull-record%2FWOS:000723659900075","View Full Record in Web of Science")</f>
        <v>View Full Record in Web of Science</v>
      </c>
    </row>
    <row r="979" spans="1:81" ht="13.2" hidden="1" x14ac:dyDescent="0.25">
      <c r="A979" s="89" t="s">
        <v>10604</v>
      </c>
      <c r="B979" s="89" t="e">
        <f>+#REF!</f>
        <v>#REF!</v>
      </c>
      <c r="C979" s="89"/>
      <c r="D979" s="91" t="s">
        <v>717</v>
      </c>
      <c r="E979" s="90" t="e">
        <v>#REF!</v>
      </c>
      <c r="F979" s="89"/>
      <c r="G979" s="89"/>
      <c r="H979" s="89" t="s">
        <v>10605</v>
      </c>
      <c r="I979" s="89" t="s">
        <v>25101</v>
      </c>
      <c r="J979" s="89" t="s">
        <v>646</v>
      </c>
      <c r="K979" s="89" t="s">
        <v>25103</v>
      </c>
      <c r="M979" s="89">
        <v>2022</v>
      </c>
      <c r="N979" s="89" t="s">
        <v>25102</v>
      </c>
      <c r="O979" s="89" t="s">
        <v>646</v>
      </c>
      <c r="P979" s="89" t="str">
        <f>HYPERLINK("http://dx.doi.org/10.17705/1pais.14302","http://dx.doi.org/10.17705/1pais.14302")</f>
        <v>http://dx.doi.org/10.17705/1pais.14302</v>
      </c>
      <c r="S979" s="89" t="s">
        <v>646</v>
      </c>
      <c r="U979" s="89" t="s">
        <v>17462</v>
      </c>
      <c r="W979" s="89" t="s">
        <v>646</v>
      </c>
      <c r="X979" s="89" t="s">
        <v>646</v>
      </c>
      <c r="Y979" s="89" t="s">
        <v>646</v>
      </c>
      <c r="Z979" s="89" t="s">
        <v>646</v>
      </c>
      <c r="AA979" s="89" t="s">
        <v>646</v>
      </c>
      <c r="AB979" s="89" t="s">
        <v>646</v>
      </c>
      <c r="AC979" s="89" t="s">
        <v>646</v>
      </c>
      <c r="AD979" s="89" t="s">
        <v>646</v>
      </c>
      <c r="AE979" s="89" t="s">
        <v>646</v>
      </c>
      <c r="AF979" s="89" t="s">
        <v>25103</v>
      </c>
      <c r="AG979" s="89" t="s">
        <v>646</v>
      </c>
      <c r="AH979" s="89" t="s">
        <v>646</v>
      </c>
      <c r="AI979" s="89" t="s">
        <v>646</v>
      </c>
      <c r="AJ979" s="89" t="s">
        <v>646</v>
      </c>
      <c r="AK979" s="89" t="s">
        <v>646</v>
      </c>
      <c r="AL979" s="89" t="s">
        <v>646</v>
      </c>
      <c r="AM979" s="89" t="s">
        <v>646</v>
      </c>
      <c r="AN979" s="89" t="s">
        <v>646</v>
      </c>
      <c r="AO979" s="89" t="s">
        <v>646</v>
      </c>
      <c r="AP979" s="89" t="s">
        <v>646</v>
      </c>
      <c r="AQ979" s="89" t="s">
        <v>646</v>
      </c>
      <c r="AR979" s="89" t="s">
        <v>646</v>
      </c>
      <c r="AS979" s="89" t="s">
        <v>646</v>
      </c>
      <c r="AT979" s="89" t="s">
        <v>646</v>
      </c>
      <c r="AU979" s="89" t="s">
        <v>646</v>
      </c>
      <c r="AV979" s="89" t="s">
        <v>646</v>
      </c>
      <c r="AW979" s="89" t="s">
        <v>646</v>
      </c>
      <c r="AX979" s="89" t="s">
        <v>646</v>
      </c>
      <c r="AY979" s="89" t="s">
        <v>25104</v>
      </c>
      <c r="AZ979" s="89" t="s">
        <v>25105</v>
      </c>
      <c r="BA979" s="89" t="s">
        <v>646</v>
      </c>
      <c r="BB979" s="89" t="s">
        <v>646</v>
      </c>
      <c r="BC979" s="89" t="s">
        <v>646</v>
      </c>
      <c r="BD979" s="89" t="s">
        <v>17739</v>
      </c>
      <c r="BE979" s="89">
        <v>2022</v>
      </c>
      <c r="BF979" s="89">
        <v>14</v>
      </c>
      <c r="BG979" s="89">
        <v>3</v>
      </c>
      <c r="BH979" s="89" t="s">
        <v>646</v>
      </c>
      <c r="BI979" s="89" t="s">
        <v>646</v>
      </c>
      <c r="BJ979" s="89" t="s">
        <v>646</v>
      </c>
      <c r="BK979" s="89" t="s">
        <v>646</v>
      </c>
      <c r="BL979" s="89">
        <v>29</v>
      </c>
      <c r="BM979" s="89">
        <v>51</v>
      </c>
      <c r="BN979" s="89" t="s">
        <v>646</v>
      </c>
      <c r="BO979" s="89" t="str">
        <f>HYPERLINK("http://dx.doi.org/10.17705/1pais.14302","http://dx.doi.org/10.17705/1pais.14302")</f>
        <v>http://dx.doi.org/10.17705/1pais.14302</v>
      </c>
      <c r="BP979" s="89" t="s">
        <v>646</v>
      </c>
      <c r="BQ979" s="89" t="s">
        <v>646</v>
      </c>
      <c r="BR979" s="89" t="s">
        <v>646</v>
      </c>
      <c r="BS979" s="89" t="s">
        <v>646</v>
      </c>
      <c r="BT979" s="89" t="s">
        <v>646</v>
      </c>
      <c r="BU979" s="89" t="s">
        <v>646</v>
      </c>
      <c r="BV979" s="89" t="s">
        <v>646</v>
      </c>
      <c r="BW979" s="89" t="s">
        <v>646</v>
      </c>
      <c r="BX979" s="89" t="s">
        <v>646</v>
      </c>
      <c r="BY979" s="89" t="s">
        <v>646</v>
      </c>
      <c r="BZ979" s="89" t="s">
        <v>646</v>
      </c>
      <c r="CA979" s="89" t="s">
        <v>646</v>
      </c>
      <c r="CB979" s="89" t="s">
        <v>25106</v>
      </c>
      <c r="CC979" s="89" t="str">
        <f>HYPERLINK("https%3A%2F%2Fwww.webofscience.com%2Fwos%2Fwoscc%2Ffull-record%2FWOS:000789480700002","View Full Record in Web of Science")</f>
        <v>View Full Record in Web of Science</v>
      </c>
    </row>
    <row r="980" spans="1:81" ht="13.2" hidden="1" x14ac:dyDescent="0.25">
      <c r="A980" s="89" t="s">
        <v>10614</v>
      </c>
      <c r="B980" s="89" t="e">
        <f>+#REF!</f>
        <v>#REF!</v>
      </c>
      <c r="C980" s="89"/>
      <c r="D980" s="91" t="s">
        <v>717</v>
      </c>
      <c r="E980" s="90" t="e">
        <v>#REF!</v>
      </c>
      <c r="F980" s="89"/>
      <c r="G980" s="89"/>
      <c r="H980" s="89" t="s">
        <v>10615</v>
      </c>
      <c r="I980" s="89" t="s">
        <v>25107</v>
      </c>
      <c r="J980" s="89" t="s">
        <v>646</v>
      </c>
      <c r="K980" s="89" t="s">
        <v>25108</v>
      </c>
      <c r="M980" s="89">
        <v>2022</v>
      </c>
      <c r="N980" s="89" t="s">
        <v>19236</v>
      </c>
      <c r="O980" s="89" t="s">
        <v>646</v>
      </c>
      <c r="P980" s="89" t="str">
        <f>HYPERLINK("http://dx.doi.org/10.1007/s11199-021-01257-y","http://dx.doi.org/10.1007/s11199-021-01257-y")</f>
        <v>http://dx.doi.org/10.1007/s11199-021-01257-y</v>
      </c>
      <c r="S980" s="89" t="s">
        <v>646</v>
      </c>
      <c r="U980" s="89" t="s">
        <v>17462</v>
      </c>
      <c r="W980" s="89" t="s">
        <v>646</v>
      </c>
      <c r="X980" s="89" t="s">
        <v>646</v>
      </c>
      <c r="Y980" s="89" t="s">
        <v>646</v>
      </c>
      <c r="Z980" s="89" t="s">
        <v>646</v>
      </c>
      <c r="AA980" s="89" t="s">
        <v>646</v>
      </c>
      <c r="AB980" s="89" t="s">
        <v>646</v>
      </c>
      <c r="AC980" s="89" t="s">
        <v>646</v>
      </c>
      <c r="AD980" s="89" t="s">
        <v>646</v>
      </c>
      <c r="AE980" s="89" t="s">
        <v>646</v>
      </c>
      <c r="AF980" s="89" t="s">
        <v>25108</v>
      </c>
      <c r="AG980" s="89" t="s">
        <v>646</v>
      </c>
      <c r="AH980" s="89" t="s">
        <v>646</v>
      </c>
      <c r="AI980" s="89" t="s">
        <v>646</v>
      </c>
      <c r="AJ980" s="89" t="s">
        <v>646</v>
      </c>
      <c r="AK980" s="89" t="s">
        <v>646</v>
      </c>
      <c r="AL980" s="89" t="s">
        <v>646</v>
      </c>
      <c r="AM980" s="89" t="s">
        <v>646</v>
      </c>
      <c r="AN980" s="89" t="s">
        <v>646</v>
      </c>
      <c r="AO980" s="89" t="s">
        <v>646</v>
      </c>
      <c r="AP980" s="89" t="s">
        <v>646</v>
      </c>
      <c r="AQ980" s="89" t="s">
        <v>646</v>
      </c>
      <c r="AR980" s="89" t="s">
        <v>646</v>
      </c>
      <c r="AS980" s="89" t="s">
        <v>646</v>
      </c>
      <c r="AT980" s="89" t="s">
        <v>646</v>
      </c>
      <c r="AU980" s="89" t="s">
        <v>646</v>
      </c>
      <c r="AV980" s="89" t="s">
        <v>646</v>
      </c>
      <c r="AW980" s="89" t="s">
        <v>646</v>
      </c>
      <c r="AX980" s="89" t="s">
        <v>646</v>
      </c>
      <c r="AY980" s="89" t="s">
        <v>19238</v>
      </c>
      <c r="AZ980" s="89" t="s">
        <v>19239</v>
      </c>
      <c r="BA980" s="89" t="s">
        <v>646</v>
      </c>
      <c r="BB980" s="89" t="s">
        <v>646</v>
      </c>
      <c r="BC980" s="89" t="s">
        <v>646</v>
      </c>
      <c r="BD980" s="89" t="s">
        <v>17658</v>
      </c>
      <c r="BE980" s="89">
        <v>2022</v>
      </c>
      <c r="BF980" s="89">
        <v>86</v>
      </c>
      <c r="BG980" s="89" t="s">
        <v>19273</v>
      </c>
      <c r="BH980" s="89" t="s">
        <v>646</v>
      </c>
      <c r="BI980" s="89" t="s">
        <v>646</v>
      </c>
      <c r="BJ980" s="89" t="s">
        <v>646</v>
      </c>
      <c r="BK980" s="89" t="s">
        <v>646</v>
      </c>
      <c r="BL980" s="89">
        <v>143</v>
      </c>
      <c r="BM980" s="89">
        <v>158</v>
      </c>
      <c r="BN980" s="89" t="s">
        <v>646</v>
      </c>
      <c r="BO980" s="89" t="str">
        <f>HYPERLINK("http://dx.doi.org/10.1007/s11199-021-01257-y","http://dx.doi.org/10.1007/s11199-021-01257-y")</f>
        <v>http://dx.doi.org/10.1007/s11199-021-01257-y</v>
      </c>
      <c r="BP980" s="89" t="s">
        <v>646</v>
      </c>
      <c r="BQ980" s="89" t="s">
        <v>17616</v>
      </c>
      <c r="BR980" s="89" t="s">
        <v>646</v>
      </c>
      <c r="BS980" s="89" t="s">
        <v>646</v>
      </c>
      <c r="BT980" s="89" t="s">
        <v>646</v>
      </c>
      <c r="BU980" s="89" t="s">
        <v>646</v>
      </c>
      <c r="BV980" s="89" t="s">
        <v>646</v>
      </c>
      <c r="BW980" s="89" t="s">
        <v>646</v>
      </c>
      <c r="BX980" s="89" t="s">
        <v>646</v>
      </c>
      <c r="BY980" s="89" t="s">
        <v>646</v>
      </c>
      <c r="BZ980" s="89" t="s">
        <v>646</v>
      </c>
      <c r="CA980" s="89" t="s">
        <v>646</v>
      </c>
      <c r="CB980" s="89" t="s">
        <v>25109</v>
      </c>
      <c r="CC980" s="89" t="str">
        <f>HYPERLINK("https%3A%2F%2Fwww.webofscience.com%2Fwos%2Fwoscc%2Ffull-record%2FWOS:000714306000001","View Full Record in Web of Science")</f>
        <v>View Full Record in Web of Science</v>
      </c>
    </row>
    <row r="981" spans="1:81" ht="13.2" hidden="1" x14ac:dyDescent="0.25">
      <c r="A981" s="89" t="s">
        <v>15954</v>
      </c>
      <c r="B981" s="89" t="e">
        <f>+#REF!</f>
        <v>#REF!</v>
      </c>
      <c r="C981" s="89"/>
      <c r="D981" s="91" t="s">
        <v>717</v>
      </c>
      <c r="E981" s="90" t="e">
        <v>#REF!</v>
      </c>
      <c r="F981" s="89"/>
      <c r="G981" s="89"/>
      <c r="H981" s="89" t="s">
        <v>15955</v>
      </c>
      <c r="I981" s="89" t="s">
        <v>25110</v>
      </c>
      <c r="J981" s="89" t="s">
        <v>646</v>
      </c>
      <c r="K981" s="89" t="s">
        <v>25112</v>
      </c>
      <c r="M981" s="89">
        <v>2020</v>
      </c>
      <c r="N981" s="89" t="s">
        <v>25111</v>
      </c>
      <c r="O981" s="89" t="s">
        <v>646</v>
      </c>
      <c r="P981" s="89" t="str">
        <f>HYPERLINK("http://dx.doi.org/10.1016/j.soscij.2019.01.003","http://dx.doi.org/10.1016/j.soscij.2019.01.003")</f>
        <v>http://dx.doi.org/10.1016/j.soscij.2019.01.003</v>
      </c>
      <c r="S981" s="89" t="s">
        <v>646</v>
      </c>
      <c r="U981" s="89" t="s">
        <v>17462</v>
      </c>
      <c r="W981" s="89" t="s">
        <v>646</v>
      </c>
      <c r="X981" s="89" t="s">
        <v>646</v>
      </c>
      <c r="Y981" s="89" t="s">
        <v>646</v>
      </c>
      <c r="Z981" s="89" t="s">
        <v>646</v>
      </c>
      <c r="AA981" s="89" t="s">
        <v>646</v>
      </c>
      <c r="AB981" s="89" t="s">
        <v>646</v>
      </c>
      <c r="AC981" s="89" t="s">
        <v>646</v>
      </c>
      <c r="AD981" s="89" t="s">
        <v>646</v>
      </c>
      <c r="AE981" s="89" t="s">
        <v>646</v>
      </c>
      <c r="AF981" s="89" t="s">
        <v>25112</v>
      </c>
      <c r="AG981" s="89" t="s">
        <v>646</v>
      </c>
      <c r="AH981" s="89" t="s">
        <v>646</v>
      </c>
      <c r="AI981" s="89" t="s">
        <v>646</v>
      </c>
      <c r="AJ981" s="89" t="s">
        <v>646</v>
      </c>
      <c r="AK981" s="89" t="s">
        <v>646</v>
      </c>
      <c r="AL981" s="89" t="s">
        <v>646</v>
      </c>
      <c r="AM981" s="89" t="s">
        <v>646</v>
      </c>
      <c r="AN981" s="89" t="s">
        <v>646</v>
      </c>
      <c r="AO981" s="89" t="s">
        <v>646</v>
      </c>
      <c r="AP981" s="89" t="s">
        <v>646</v>
      </c>
      <c r="AQ981" s="89" t="s">
        <v>646</v>
      </c>
      <c r="AR981" s="89" t="s">
        <v>646</v>
      </c>
      <c r="AS981" s="89" t="s">
        <v>646</v>
      </c>
      <c r="AT981" s="89" t="s">
        <v>646</v>
      </c>
      <c r="AU981" s="89" t="s">
        <v>646</v>
      </c>
      <c r="AV981" s="89" t="s">
        <v>646</v>
      </c>
      <c r="AW981" s="89" t="s">
        <v>646</v>
      </c>
      <c r="AX981" s="89" t="s">
        <v>646</v>
      </c>
      <c r="AY981" s="89" t="s">
        <v>25113</v>
      </c>
      <c r="AZ981" s="89" t="s">
        <v>25114</v>
      </c>
      <c r="BA981" s="89" t="s">
        <v>646</v>
      </c>
      <c r="BB981" s="89" t="s">
        <v>646</v>
      </c>
      <c r="BC981" s="89" t="s">
        <v>646</v>
      </c>
      <c r="BD981" s="89" t="s">
        <v>23474</v>
      </c>
      <c r="BE981" s="89">
        <v>2020</v>
      </c>
      <c r="BF981" s="89">
        <v>57</v>
      </c>
      <c r="BG981" s="89">
        <v>3</v>
      </c>
      <c r="BH981" s="89" t="s">
        <v>646</v>
      </c>
      <c r="BI981" s="89" t="s">
        <v>646</v>
      </c>
      <c r="BJ981" s="89" t="s">
        <v>646</v>
      </c>
      <c r="BK981" s="89" t="s">
        <v>646</v>
      </c>
      <c r="BL981" s="89">
        <v>281</v>
      </c>
      <c r="BM981" s="89">
        <v>287</v>
      </c>
      <c r="BN981" s="89" t="s">
        <v>646</v>
      </c>
      <c r="BO981" s="89" t="str">
        <f>HYPERLINK("http://dx.doi.org/10.1016/j.soscij.2019.01.003","http://dx.doi.org/10.1016/j.soscij.2019.01.003")</f>
        <v>http://dx.doi.org/10.1016/j.soscij.2019.01.003</v>
      </c>
      <c r="BP981" s="89" t="s">
        <v>646</v>
      </c>
      <c r="BQ981" s="89" t="s">
        <v>646</v>
      </c>
      <c r="BR981" s="89" t="s">
        <v>646</v>
      </c>
      <c r="BS981" s="89" t="s">
        <v>646</v>
      </c>
      <c r="BT981" s="89" t="s">
        <v>646</v>
      </c>
      <c r="BU981" s="89" t="s">
        <v>646</v>
      </c>
      <c r="BV981" s="89" t="s">
        <v>646</v>
      </c>
      <c r="BW981" s="89" t="s">
        <v>646</v>
      </c>
      <c r="BX981" s="89" t="s">
        <v>646</v>
      </c>
      <c r="BY981" s="89" t="s">
        <v>646</v>
      </c>
      <c r="BZ981" s="89" t="s">
        <v>646</v>
      </c>
      <c r="CA981" s="89" t="s">
        <v>646</v>
      </c>
      <c r="CB981" s="89" t="s">
        <v>25115</v>
      </c>
      <c r="CC981" s="89" t="str">
        <f>HYPERLINK("https%3A%2F%2Fwww.webofscience.com%2Fwos%2Fwoscc%2Ffull-record%2FWOS:000598486300002","View Full Record in Web of Science")</f>
        <v>View Full Record in Web of Science</v>
      </c>
    </row>
    <row r="982" spans="1:81" ht="13.2" hidden="1" x14ac:dyDescent="0.25">
      <c r="A982" s="89" t="s">
        <v>10624</v>
      </c>
      <c r="B982" s="89" t="e">
        <f>+#REF!</f>
        <v>#REF!</v>
      </c>
      <c r="C982" s="89"/>
      <c r="D982" s="91" t="s">
        <v>717</v>
      </c>
      <c r="E982" s="90" t="e">
        <v>#REF!</v>
      </c>
      <c r="F982" s="89"/>
      <c r="G982" s="89"/>
      <c r="H982" s="89" t="s">
        <v>10625</v>
      </c>
      <c r="I982" s="89" t="s">
        <v>25116</v>
      </c>
      <c r="J982" s="89" t="s">
        <v>646</v>
      </c>
      <c r="K982" s="89" t="s">
        <v>25118</v>
      </c>
      <c r="M982" s="89">
        <v>2022</v>
      </c>
      <c r="N982" s="89" t="s">
        <v>25117</v>
      </c>
      <c r="O982" s="89" t="s">
        <v>646</v>
      </c>
      <c r="P982" s="89" t="str">
        <f>HYPERLINK("http://dx.doi.org/10.4018/IJCWT.297860","http://dx.doi.org/10.4018/IJCWT.297860")</f>
        <v>http://dx.doi.org/10.4018/IJCWT.297860</v>
      </c>
      <c r="S982" s="89" t="s">
        <v>646</v>
      </c>
      <c r="U982" s="89" t="s">
        <v>17462</v>
      </c>
      <c r="W982" s="89" t="s">
        <v>646</v>
      </c>
      <c r="X982" s="89" t="s">
        <v>646</v>
      </c>
      <c r="Y982" s="89" t="s">
        <v>646</v>
      </c>
      <c r="Z982" s="89" t="s">
        <v>646</v>
      </c>
      <c r="AA982" s="89" t="s">
        <v>646</v>
      </c>
      <c r="AB982" s="89" t="s">
        <v>646</v>
      </c>
      <c r="AC982" s="89" t="s">
        <v>646</v>
      </c>
      <c r="AD982" s="89" t="s">
        <v>646</v>
      </c>
      <c r="AE982" s="89" t="s">
        <v>646</v>
      </c>
      <c r="AF982" s="89" t="s">
        <v>25118</v>
      </c>
      <c r="AG982" s="89" t="s">
        <v>646</v>
      </c>
      <c r="AH982" s="89" t="s">
        <v>646</v>
      </c>
      <c r="AI982" s="89" t="s">
        <v>646</v>
      </c>
      <c r="AJ982" s="89" t="s">
        <v>646</v>
      </c>
      <c r="AK982" s="89" t="s">
        <v>646</v>
      </c>
      <c r="AL982" s="89" t="s">
        <v>646</v>
      </c>
      <c r="AM982" s="89" t="s">
        <v>646</v>
      </c>
      <c r="AN982" s="89" t="s">
        <v>646</v>
      </c>
      <c r="AO982" s="89" t="s">
        <v>646</v>
      </c>
      <c r="AP982" s="89" t="s">
        <v>646</v>
      </c>
      <c r="AQ982" s="89" t="s">
        <v>646</v>
      </c>
      <c r="AR982" s="89" t="s">
        <v>646</v>
      </c>
      <c r="AS982" s="89" t="s">
        <v>646</v>
      </c>
      <c r="AT982" s="89" t="s">
        <v>646</v>
      </c>
      <c r="AU982" s="89" t="s">
        <v>646</v>
      </c>
      <c r="AV982" s="89" t="s">
        <v>646</v>
      </c>
      <c r="AW982" s="89" t="s">
        <v>646</v>
      </c>
      <c r="AX982" s="89" t="s">
        <v>646</v>
      </c>
      <c r="AY982" s="89" t="s">
        <v>25119</v>
      </c>
      <c r="AZ982" s="89" t="s">
        <v>25120</v>
      </c>
      <c r="BA982" s="89" t="s">
        <v>646</v>
      </c>
      <c r="BB982" s="89" t="s">
        <v>646</v>
      </c>
      <c r="BC982" s="89" t="s">
        <v>646</v>
      </c>
      <c r="BD982" s="89" t="s">
        <v>646</v>
      </c>
      <c r="BE982" s="89">
        <v>2022</v>
      </c>
      <c r="BF982" s="89">
        <v>12</v>
      </c>
      <c r="BG982" s="89">
        <v>1</v>
      </c>
      <c r="BH982" s="89" t="s">
        <v>646</v>
      </c>
      <c r="BI982" s="89" t="s">
        <v>646</v>
      </c>
      <c r="BJ982" s="89" t="s">
        <v>646</v>
      </c>
      <c r="BK982" s="89" t="s">
        <v>646</v>
      </c>
      <c r="BL982" s="89" t="s">
        <v>646</v>
      </c>
      <c r="BM982" s="89" t="s">
        <v>646</v>
      </c>
      <c r="BN982" s="89" t="s">
        <v>646</v>
      </c>
      <c r="BO982" s="89" t="str">
        <f>HYPERLINK("http://dx.doi.org/10.4018/IJCWT.297860","http://dx.doi.org/10.4018/IJCWT.297860")</f>
        <v>http://dx.doi.org/10.4018/IJCWT.297860</v>
      </c>
      <c r="BP982" s="89" t="s">
        <v>646</v>
      </c>
      <c r="BQ982" s="89" t="s">
        <v>646</v>
      </c>
      <c r="BR982" s="89" t="s">
        <v>646</v>
      </c>
      <c r="BS982" s="89" t="s">
        <v>646</v>
      </c>
      <c r="BT982" s="89" t="s">
        <v>646</v>
      </c>
      <c r="BU982" s="89" t="s">
        <v>646</v>
      </c>
      <c r="BV982" s="89" t="s">
        <v>646</v>
      </c>
      <c r="BW982" s="89" t="s">
        <v>646</v>
      </c>
      <c r="BX982" s="89" t="s">
        <v>646</v>
      </c>
      <c r="BY982" s="89" t="s">
        <v>646</v>
      </c>
      <c r="BZ982" s="89" t="s">
        <v>646</v>
      </c>
      <c r="CA982" s="89" t="s">
        <v>646</v>
      </c>
      <c r="CB982" s="89" t="s">
        <v>25121</v>
      </c>
      <c r="CC982" s="89" t="str">
        <f>HYPERLINK("https%3A%2F%2Fwww.webofscience.com%2Fwos%2Fwoscc%2Ffull-record%2FWOS:000811798700008","View Full Record in Web of Science")</f>
        <v>View Full Record in Web of Science</v>
      </c>
    </row>
    <row r="983" spans="1:81" ht="13.2" hidden="1" x14ac:dyDescent="0.25">
      <c r="A983" s="89" t="s">
        <v>15963</v>
      </c>
      <c r="B983" s="89" t="e">
        <f>+#REF!</f>
        <v>#REF!</v>
      </c>
      <c r="C983" s="89"/>
      <c r="D983" s="91" t="s">
        <v>717</v>
      </c>
      <c r="E983" s="90" t="e">
        <v>#REF!</v>
      </c>
      <c r="F983" s="89"/>
      <c r="G983" s="89"/>
      <c r="H983" s="89" t="s">
        <v>15964</v>
      </c>
      <c r="I983" s="89" t="s">
        <v>25122</v>
      </c>
      <c r="J983" s="89" t="s">
        <v>25125</v>
      </c>
      <c r="K983" s="89" t="s">
        <v>25124</v>
      </c>
      <c r="M983" s="89">
        <v>2011</v>
      </c>
      <c r="N983" s="89" t="s">
        <v>25123</v>
      </c>
      <c r="O983" s="89" t="s">
        <v>646</v>
      </c>
      <c r="P983" s="89" t="str">
        <f>HYPERLINK("http://dx.doi.org/10.1111/j.1365-2575.2010.00364.x","http://dx.doi.org/10.1111/j.1365-2575.2010.00364.x")</f>
        <v>http://dx.doi.org/10.1111/j.1365-2575.2010.00364.x</v>
      </c>
      <c r="S983" s="89" t="s">
        <v>646</v>
      </c>
      <c r="U983" s="89" t="s">
        <v>17462</v>
      </c>
      <c r="W983" s="89" t="s">
        <v>646</v>
      </c>
      <c r="X983" s="89" t="s">
        <v>646</v>
      </c>
      <c r="Y983" s="89" t="s">
        <v>646</v>
      </c>
      <c r="Z983" s="89" t="s">
        <v>646</v>
      </c>
      <c r="AA983" s="89" t="s">
        <v>646</v>
      </c>
      <c r="AB983" s="89" t="s">
        <v>646</v>
      </c>
      <c r="AC983" s="89" t="s">
        <v>646</v>
      </c>
      <c r="AD983" s="89" t="s">
        <v>646</v>
      </c>
      <c r="AE983" s="89" t="s">
        <v>646</v>
      </c>
      <c r="AF983" s="89" t="s">
        <v>25124</v>
      </c>
      <c r="AG983" s="89" t="s">
        <v>646</v>
      </c>
      <c r="AH983" s="89" t="s">
        <v>646</v>
      </c>
      <c r="AI983" s="89" t="s">
        <v>646</v>
      </c>
      <c r="AJ983" s="89" t="s">
        <v>646</v>
      </c>
      <c r="AK983" s="89" t="s">
        <v>25125</v>
      </c>
      <c r="AL983" s="89" t="s">
        <v>25126</v>
      </c>
      <c r="AM983" s="89" t="s">
        <v>646</v>
      </c>
      <c r="AN983" s="89" t="s">
        <v>646</v>
      </c>
      <c r="AO983" s="89" t="s">
        <v>646</v>
      </c>
      <c r="AP983" s="89" t="s">
        <v>646</v>
      </c>
      <c r="AQ983" s="89" t="s">
        <v>646</v>
      </c>
      <c r="AR983" s="89" t="s">
        <v>646</v>
      </c>
      <c r="AS983" s="89" t="s">
        <v>646</v>
      </c>
      <c r="AT983" s="89" t="s">
        <v>646</v>
      </c>
      <c r="AU983" s="89" t="s">
        <v>646</v>
      </c>
      <c r="AV983" s="89" t="s">
        <v>646</v>
      </c>
      <c r="AW983" s="89" t="s">
        <v>646</v>
      </c>
      <c r="AX983" s="89" t="s">
        <v>646</v>
      </c>
      <c r="AY983" s="89" t="s">
        <v>25127</v>
      </c>
      <c r="AZ983" s="89" t="s">
        <v>25128</v>
      </c>
      <c r="BA983" s="89" t="s">
        <v>646</v>
      </c>
      <c r="BB983" s="89" t="s">
        <v>646</v>
      </c>
      <c r="BC983" s="89" t="s">
        <v>646</v>
      </c>
      <c r="BD983" s="89" t="s">
        <v>17779</v>
      </c>
      <c r="BE983" s="89">
        <v>2011</v>
      </c>
      <c r="BF983" s="89">
        <v>21</v>
      </c>
      <c r="BG983" s="89">
        <v>2</v>
      </c>
      <c r="BH983" s="89" t="s">
        <v>646</v>
      </c>
      <c r="BI983" s="89" t="s">
        <v>646</v>
      </c>
      <c r="BJ983" s="89" t="s">
        <v>646</v>
      </c>
      <c r="BK983" s="89" t="s">
        <v>646</v>
      </c>
      <c r="BL983" s="89">
        <v>175</v>
      </c>
      <c r="BM983" s="89">
        <v>194</v>
      </c>
      <c r="BN983" s="89" t="s">
        <v>646</v>
      </c>
      <c r="BO983" s="89" t="str">
        <f>HYPERLINK("http://dx.doi.org/10.1111/j.1365-2575.2010.00364.x","http://dx.doi.org/10.1111/j.1365-2575.2010.00364.x")</f>
        <v>http://dx.doi.org/10.1111/j.1365-2575.2010.00364.x</v>
      </c>
      <c r="BP983" s="89" t="s">
        <v>646</v>
      </c>
      <c r="BQ983" s="89" t="s">
        <v>646</v>
      </c>
      <c r="BR983" s="89" t="s">
        <v>646</v>
      </c>
      <c r="BS983" s="89" t="s">
        <v>646</v>
      </c>
      <c r="BT983" s="89" t="s">
        <v>646</v>
      </c>
      <c r="BU983" s="89" t="s">
        <v>646</v>
      </c>
      <c r="BV983" s="89" t="s">
        <v>646</v>
      </c>
      <c r="BW983" s="89" t="s">
        <v>646</v>
      </c>
      <c r="BX983" s="89" t="s">
        <v>646</v>
      </c>
      <c r="BY983" s="89" t="s">
        <v>646</v>
      </c>
      <c r="BZ983" s="89" t="s">
        <v>646</v>
      </c>
      <c r="CA983" s="89" t="s">
        <v>646</v>
      </c>
      <c r="CB983" s="89" t="s">
        <v>25129</v>
      </c>
      <c r="CC983" s="89" t="str">
        <f>HYPERLINK("https%3A%2F%2Fwww.webofscience.com%2Fwos%2Fwoscc%2Ffull-record%2FWOS:000286840400004","View Full Record in Web of Science")</f>
        <v>View Full Record in Web of Science</v>
      </c>
    </row>
    <row r="984" spans="1:81" ht="13.2" hidden="1" x14ac:dyDescent="0.25">
      <c r="A984" s="89" t="s">
        <v>15972</v>
      </c>
      <c r="B984" s="89" t="e">
        <f>+#REF!</f>
        <v>#REF!</v>
      </c>
      <c r="C984" s="89"/>
      <c r="D984" s="91" t="s">
        <v>717</v>
      </c>
      <c r="E984" s="90" t="e">
        <v>#REF!</v>
      </c>
      <c r="F984" s="89"/>
      <c r="G984" s="89"/>
      <c r="H984" s="89" t="s">
        <v>646</v>
      </c>
      <c r="I984" s="89" t="s">
        <v>25130</v>
      </c>
      <c r="J984" s="89" t="s">
        <v>25135</v>
      </c>
      <c r="K984" s="89" t="s">
        <v>25134</v>
      </c>
      <c r="M984" s="89">
        <v>2019</v>
      </c>
      <c r="N984" s="89" t="s">
        <v>25131</v>
      </c>
      <c r="O984" s="89" t="s">
        <v>646</v>
      </c>
      <c r="P984" s="89" t="s">
        <v>646</v>
      </c>
      <c r="S984" s="89" t="s">
        <v>17475</v>
      </c>
      <c r="U984" s="89" t="s">
        <v>17474</v>
      </c>
      <c r="W984" s="89" t="s">
        <v>646</v>
      </c>
      <c r="X984" s="89" t="s">
        <v>646</v>
      </c>
      <c r="Y984" s="89" t="s">
        <v>25132</v>
      </c>
      <c r="Z984" s="89" t="s">
        <v>25133</v>
      </c>
      <c r="AA984" s="89" t="s">
        <v>22647</v>
      </c>
      <c r="AB984" s="89" t="s">
        <v>646</v>
      </c>
      <c r="AC984" s="89" t="s">
        <v>646</v>
      </c>
      <c r="AD984" s="89" t="s">
        <v>646</v>
      </c>
      <c r="AE984" s="89" t="s">
        <v>646</v>
      </c>
      <c r="AF984" s="89" t="s">
        <v>25134</v>
      </c>
      <c r="AG984" s="89" t="s">
        <v>646</v>
      </c>
      <c r="AH984" s="89" t="s">
        <v>646</v>
      </c>
      <c r="AI984" s="89" t="s">
        <v>646</v>
      </c>
      <c r="AJ984" s="89" t="s">
        <v>646</v>
      </c>
      <c r="AK984" s="89" t="s">
        <v>25135</v>
      </c>
      <c r="AL984" s="89" t="s">
        <v>646</v>
      </c>
      <c r="AM984" s="89" t="s">
        <v>646</v>
      </c>
      <c r="AN984" s="89" t="s">
        <v>646</v>
      </c>
      <c r="AO984" s="89" t="s">
        <v>646</v>
      </c>
      <c r="AP984" s="89" t="s">
        <v>646</v>
      </c>
      <c r="AQ984" s="89" t="s">
        <v>646</v>
      </c>
      <c r="AR984" s="89" t="s">
        <v>646</v>
      </c>
      <c r="AS984" s="89" t="s">
        <v>646</v>
      </c>
      <c r="AT984" s="89" t="s">
        <v>646</v>
      </c>
      <c r="AU984" s="89" t="s">
        <v>646</v>
      </c>
      <c r="AV984" s="89" t="s">
        <v>646</v>
      </c>
      <c r="AW984" s="89" t="s">
        <v>646</v>
      </c>
      <c r="AX984" s="89" t="s">
        <v>646</v>
      </c>
      <c r="AY984" s="89" t="s">
        <v>22649</v>
      </c>
      <c r="AZ984" s="89" t="s">
        <v>646</v>
      </c>
      <c r="BA984" s="89" t="s">
        <v>25136</v>
      </c>
      <c r="BB984" s="89" t="s">
        <v>646</v>
      </c>
      <c r="BC984" s="89" t="s">
        <v>646</v>
      </c>
      <c r="BD984" s="89" t="s">
        <v>646</v>
      </c>
      <c r="BE984" s="89">
        <v>2019</v>
      </c>
      <c r="BF984" s="89" t="s">
        <v>646</v>
      </c>
      <c r="BG984" s="89" t="s">
        <v>646</v>
      </c>
      <c r="BH984" s="89" t="s">
        <v>646</v>
      </c>
      <c r="BI984" s="89" t="s">
        <v>646</v>
      </c>
      <c r="BJ984" s="89" t="s">
        <v>646</v>
      </c>
      <c r="BK984" s="89" t="s">
        <v>646</v>
      </c>
      <c r="BL984" s="89">
        <v>434</v>
      </c>
      <c r="BM984" s="89">
        <v>437</v>
      </c>
      <c r="BN984" s="89" t="s">
        <v>646</v>
      </c>
      <c r="BO984" s="89" t="s">
        <v>646</v>
      </c>
      <c r="BP984" s="89" t="s">
        <v>646</v>
      </c>
      <c r="BQ984" s="89" t="s">
        <v>646</v>
      </c>
      <c r="BR984" s="89" t="s">
        <v>646</v>
      </c>
      <c r="BS984" s="89" t="s">
        <v>646</v>
      </c>
      <c r="BT984" s="89" t="s">
        <v>646</v>
      </c>
      <c r="BU984" s="89" t="s">
        <v>646</v>
      </c>
      <c r="BV984" s="89" t="s">
        <v>646</v>
      </c>
      <c r="BW984" s="89" t="s">
        <v>646</v>
      </c>
      <c r="BX984" s="89" t="s">
        <v>646</v>
      </c>
      <c r="BY984" s="89" t="s">
        <v>646</v>
      </c>
      <c r="BZ984" s="89" t="s">
        <v>646</v>
      </c>
      <c r="CA984" s="89" t="s">
        <v>646</v>
      </c>
      <c r="CB984" s="89" t="s">
        <v>25137</v>
      </c>
      <c r="CC984" s="89" t="str">
        <f>HYPERLINK("https%3A%2F%2Fwww.webofscience.com%2Fwos%2Fwoscc%2Ffull-record%2FWOS:000470001000060","View Full Record in Web of Science")</f>
        <v>View Full Record in Web of Science</v>
      </c>
    </row>
    <row r="985" spans="1:81" ht="13.2" hidden="1" x14ac:dyDescent="0.25">
      <c r="A985" s="89" t="s">
        <v>15981</v>
      </c>
      <c r="B985" s="89" t="e">
        <f>+#REF!</f>
        <v>#REF!</v>
      </c>
      <c r="C985" s="89"/>
      <c r="D985" s="91" t="s">
        <v>717</v>
      </c>
      <c r="E985" s="90" t="e">
        <v>#REF!</v>
      </c>
      <c r="F985" s="89"/>
      <c r="G985" s="89"/>
      <c r="H985" s="89" t="s">
        <v>15982</v>
      </c>
      <c r="I985" s="89" t="s">
        <v>25138</v>
      </c>
      <c r="J985" s="89" t="s">
        <v>25140</v>
      </c>
      <c r="K985" s="89" t="s">
        <v>25139</v>
      </c>
      <c r="M985" s="89">
        <v>2018</v>
      </c>
      <c r="N985" s="89" t="s">
        <v>17959</v>
      </c>
      <c r="O985" s="89" t="s">
        <v>646</v>
      </c>
      <c r="P985" s="89" t="str">
        <f>HYPERLINK("http://dx.doi.org/10.1016/j.jclepro.2017.11.110","http://dx.doi.org/10.1016/j.jclepro.2017.11.110")</f>
        <v>http://dx.doi.org/10.1016/j.jclepro.2017.11.110</v>
      </c>
      <c r="S985" s="89" t="s">
        <v>646</v>
      </c>
      <c r="U985" s="89" t="s">
        <v>17462</v>
      </c>
      <c r="W985" s="89" t="s">
        <v>646</v>
      </c>
      <c r="X985" s="89" t="s">
        <v>646</v>
      </c>
      <c r="Y985" s="89" t="s">
        <v>646</v>
      </c>
      <c r="Z985" s="89" t="s">
        <v>646</v>
      </c>
      <c r="AA985" s="89" t="s">
        <v>646</v>
      </c>
      <c r="AB985" s="89" t="s">
        <v>646</v>
      </c>
      <c r="AC985" s="89" t="s">
        <v>646</v>
      </c>
      <c r="AD985" s="89" t="s">
        <v>646</v>
      </c>
      <c r="AE985" s="89" t="s">
        <v>646</v>
      </c>
      <c r="AF985" s="89" t="s">
        <v>25139</v>
      </c>
      <c r="AG985" s="89" t="s">
        <v>646</v>
      </c>
      <c r="AH985" s="89" t="s">
        <v>646</v>
      </c>
      <c r="AI985" s="89" t="s">
        <v>646</v>
      </c>
      <c r="AJ985" s="89" t="s">
        <v>646</v>
      </c>
      <c r="AK985" s="89" t="s">
        <v>25140</v>
      </c>
      <c r="AL985" s="89" t="s">
        <v>25141</v>
      </c>
      <c r="AM985" s="89" t="s">
        <v>646</v>
      </c>
      <c r="AN985" s="89" t="s">
        <v>646</v>
      </c>
      <c r="AO985" s="89" t="s">
        <v>646</v>
      </c>
      <c r="AP985" s="89" t="s">
        <v>646</v>
      </c>
      <c r="AQ985" s="89" t="s">
        <v>646</v>
      </c>
      <c r="AR985" s="89" t="s">
        <v>646</v>
      </c>
      <c r="AS985" s="89" t="s">
        <v>646</v>
      </c>
      <c r="AT985" s="89" t="s">
        <v>646</v>
      </c>
      <c r="AU985" s="89" t="s">
        <v>646</v>
      </c>
      <c r="AV985" s="89" t="s">
        <v>646</v>
      </c>
      <c r="AW985" s="89" t="s">
        <v>646</v>
      </c>
      <c r="AX985" s="89" t="s">
        <v>646</v>
      </c>
      <c r="AY985" s="89" t="s">
        <v>17963</v>
      </c>
      <c r="AZ985" s="89" t="s">
        <v>17964</v>
      </c>
      <c r="BA985" s="89" t="s">
        <v>646</v>
      </c>
      <c r="BB985" s="89" t="s">
        <v>646</v>
      </c>
      <c r="BC985" s="89" t="s">
        <v>646</v>
      </c>
      <c r="BD985" s="89" t="s">
        <v>17965</v>
      </c>
      <c r="BE985" s="89">
        <v>2018</v>
      </c>
      <c r="BF985" s="89">
        <v>172</v>
      </c>
      <c r="BG985" s="89" t="s">
        <v>646</v>
      </c>
      <c r="BH985" s="89" t="s">
        <v>646</v>
      </c>
      <c r="BI985" s="89" t="s">
        <v>646</v>
      </c>
      <c r="BJ985" s="89" t="s">
        <v>646</v>
      </c>
      <c r="BK985" s="89" t="s">
        <v>646</v>
      </c>
      <c r="BL985" s="89">
        <v>4467</v>
      </c>
      <c r="BM985" s="89">
        <v>4477</v>
      </c>
      <c r="BN985" s="89" t="s">
        <v>646</v>
      </c>
      <c r="BO985" s="89" t="str">
        <f>HYPERLINK("http://dx.doi.org/10.1016/j.jclepro.2017.11.110","http://dx.doi.org/10.1016/j.jclepro.2017.11.110")</f>
        <v>http://dx.doi.org/10.1016/j.jclepro.2017.11.110</v>
      </c>
      <c r="BP985" s="89" t="s">
        <v>646</v>
      </c>
      <c r="BQ985" s="89" t="s">
        <v>646</v>
      </c>
      <c r="BR985" s="89" t="s">
        <v>646</v>
      </c>
      <c r="BS985" s="89" t="s">
        <v>646</v>
      </c>
      <c r="BT985" s="89" t="s">
        <v>646</v>
      </c>
      <c r="BU985" s="89" t="s">
        <v>646</v>
      </c>
      <c r="BV985" s="89" t="s">
        <v>646</v>
      </c>
      <c r="BW985" s="89" t="s">
        <v>646</v>
      </c>
      <c r="BX985" s="89" t="s">
        <v>646</v>
      </c>
      <c r="BY985" s="89" t="s">
        <v>646</v>
      </c>
      <c r="BZ985" s="89" t="s">
        <v>646</v>
      </c>
      <c r="CA985" s="89" t="s">
        <v>646</v>
      </c>
      <c r="CB985" s="89" t="s">
        <v>25142</v>
      </c>
      <c r="CC985" s="89" t="str">
        <f>HYPERLINK("https%3A%2F%2Fwww.webofscience.com%2Fwos%2Fwoscc%2Ffull-record%2FWOS:000423002500127","View Full Record in Web of Science")</f>
        <v>View Full Record in Web of Science</v>
      </c>
    </row>
    <row r="986" spans="1:81" ht="13.2" hidden="1" x14ac:dyDescent="0.25">
      <c r="A986" s="89" t="s">
        <v>25143</v>
      </c>
      <c r="B986" s="89" t="e">
        <f>+#REF!</f>
        <v>#REF!</v>
      </c>
      <c r="C986" s="89"/>
      <c r="D986" s="91" t="s">
        <v>717</v>
      </c>
      <c r="E986" s="90" t="e">
        <v>#REF!</v>
      </c>
      <c r="F986" s="89"/>
      <c r="G986" s="89"/>
      <c r="H986" s="89" t="s">
        <v>646</v>
      </c>
      <c r="I986" s="89" t="s">
        <v>24331</v>
      </c>
      <c r="J986" s="89" t="s">
        <v>24337</v>
      </c>
      <c r="K986" s="89" t="s">
        <v>25144</v>
      </c>
      <c r="M986" s="89">
        <v>2009</v>
      </c>
      <c r="N986" s="89" t="s">
        <v>19050</v>
      </c>
      <c r="O986" s="89" t="s">
        <v>646</v>
      </c>
      <c r="P986" s="89" t="s">
        <v>646</v>
      </c>
      <c r="S986" s="89" t="s">
        <v>646</v>
      </c>
      <c r="U986" s="89" t="s">
        <v>17462</v>
      </c>
      <c r="W986" s="89" t="s">
        <v>646</v>
      </c>
      <c r="X986" s="89" t="s">
        <v>646</v>
      </c>
      <c r="Y986" s="89" t="s">
        <v>646</v>
      </c>
      <c r="Z986" s="89" t="s">
        <v>646</v>
      </c>
      <c r="AA986" s="89" t="s">
        <v>646</v>
      </c>
      <c r="AB986" s="89" t="s">
        <v>646</v>
      </c>
      <c r="AC986" s="89" t="s">
        <v>646</v>
      </c>
      <c r="AD986" s="89" t="s">
        <v>646</v>
      </c>
      <c r="AE986" s="89" t="s">
        <v>646</v>
      </c>
      <c r="AF986" s="89" t="s">
        <v>25144</v>
      </c>
      <c r="AG986" s="89" t="s">
        <v>646</v>
      </c>
      <c r="AH986" s="89" t="s">
        <v>646</v>
      </c>
      <c r="AI986" s="89" t="s">
        <v>646</v>
      </c>
      <c r="AJ986" s="89" t="s">
        <v>646</v>
      </c>
      <c r="AK986" s="89" t="s">
        <v>24337</v>
      </c>
      <c r="AL986" s="89" t="s">
        <v>24338</v>
      </c>
      <c r="AM986" s="89" t="s">
        <v>646</v>
      </c>
      <c r="AN986" s="89" t="s">
        <v>646</v>
      </c>
      <c r="AO986" s="89" t="s">
        <v>646</v>
      </c>
      <c r="AP986" s="89" t="s">
        <v>646</v>
      </c>
      <c r="AQ986" s="89" t="s">
        <v>646</v>
      </c>
      <c r="AR986" s="89" t="s">
        <v>646</v>
      </c>
      <c r="AS986" s="89" t="s">
        <v>646</v>
      </c>
      <c r="AT986" s="89" t="s">
        <v>646</v>
      </c>
      <c r="AU986" s="89" t="s">
        <v>646</v>
      </c>
      <c r="AV986" s="89" t="s">
        <v>646</v>
      </c>
      <c r="AW986" s="89" t="s">
        <v>646</v>
      </c>
      <c r="AX986" s="89" t="s">
        <v>646</v>
      </c>
      <c r="AY986" s="89" t="s">
        <v>19054</v>
      </c>
      <c r="AZ986" s="89" t="s">
        <v>646</v>
      </c>
      <c r="BA986" s="89" t="s">
        <v>646</v>
      </c>
      <c r="BB986" s="89" t="s">
        <v>646</v>
      </c>
      <c r="BC986" s="89" t="s">
        <v>646</v>
      </c>
      <c r="BD986" s="89" t="s">
        <v>646</v>
      </c>
      <c r="BE986" s="89">
        <v>2009</v>
      </c>
      <c r="BF986" s="89">
        <v>15</v>
      </c>
      <c r="BG986" s="89">
        <v>16</v>
      </c>
      <c r="BH986" s="89" t="s">
        <v>646</v>
      </c>
      <c r="BI986" s="89" t="s">
        <v>646</v>
      </c>
      <c r="BJ986" s="89" t="s">
        <v>646</v>
      </c>
      <c r="BK986" s="89" t="s">
        <v>646</v>
      </c>
      <c r="BL986" s="89">
        <v>3101</v>
      </c>
      <c r="BM986" s="89">
        <v>3125</v>
      </c>
      <c r="BN986" s="89" t="s">
        <v>646</v>
      </c>
      <c r="BO986" s="89" t="s">
        <v>646</v>
      </c>
      <c r="BP986" s="89" t="s">
        <v>646</v>
      </c>
      <c r="BQ986" s="89" t="s">
        <v>646</v>
      </c>
      <c r="BR986" s="89" t="s">
        <v>646</v>
      </c>
      <c r="BS986" s="89" t="s">
        <v>646</v>
      </c>
      <c r="BT986" s="89" t="s">
        <v>646</v>
      </c>
      <c r="BU986" s="89" t="s">
        <v>646</v>
      </c>
      <c r="BV986" s="89" t="s">
        <v>646</v>
      </c>
      <c r="BW986" s="89" t="s">
        <v>646</v>
      </c>
      <c r="BX986" s="89" t="s">
        <v>646</v>
      </c>
      <c r="BY986" s="89" t="s">
        <v>646</v>
      </c>
      <c r="BZ986" s="89" t="s">
        <v>646</v>
      </c>
      <c r="CA986" s="89" t="s">
        <v>646</v>
      </c>
      <c r="CB986" s="89" t="s">
        <v>25145</v>
      </c>
      <c r="CC986" s="89" t="str">
        <f>HYPERLINK("https%3A%2F%2Fwww.webofscience.com%2Fwos%2Fwoscc%2Ffull-record%2FWOS:000273457500003","View Full Record in Web of Science")</f>
        <v>View Full Record in Web of Science</v>
      </c>
    </row>
    <row r="987" spans="1:81" ht="13.2" hidden="1" x14ac:dyDescent="0.25">
      <c r="A987" s="89" t="s">
        <v>15996</v>
      </c>
      <c r="B987" s="89" t="e">
        <f>+#REF!</f>
        <v>#REF!</v>
      </c>
      <c r="C987" s="89"/>
      <c r="D987" s="91" t="s">
        <v>717</v>
      </c>
      <c r="E987" s="90" t="e">
        <v>#REF!</v>
      </c>
      <c r="F987" s="89"/>
      <c r="G987" s="89"/>
      <c r="H987" s="89" t="s">
        <v>15997</v>
      </c>
      <c r="I987" s="89" t="s">
        <v>25146</v>
      </c>
      <c r="J987" s="89" t="s">
        <v>25148</v>
      </c>
      <c r="K987" s="89" t="s">
        <v>25147</v>
      </c>
      <c r="M987" s="89">
        <v>2019</v>
      </c>
      <c r="N987" s="89" t="s">
        <v>18676</v>
      </c>
      <c r="O987" s="89" t="s">
        <v>646</v>
      </c>
      <c r="P987" s="89" t="str">
        <f>HYPERLINK("http://dx.doi.org/10.1007/s10551-017-3607-2","http://dx.doi.org/10.1007/s10551-017-3607-2")</f>
        <v>http://dx.doi.org/10.1007/s10551-017-3607-2</v>
      </c>
      <c r="S987" s="89" t="s">
        <v>646</v>
      </c>
      <c r="U987" s="89" t="s">
        <v>17462</v>
      </c>
      <c r="W987" s="89" t="s">
        <v>646</v>
      </c>
      <c r="X987" s="89" t="s">
        <v>646</v>
      </c>
      <c r="Y987" s="89" t="s">
        <v>646</v>
      </c>
      <c r="Z987" s="89" t="s">
        <v>646</v>
      </c>
      <c r="AA987" s="89" t="s">
        <v>646</v>
      </c>
      <c r="AB987" s="89" t="s">
        <v>646</v>
      </c>
      <c r="AC987" s="89" t="s">
        <v>646</v>
      </c>
      <c r="AD987" s="89" t="s">
        <v>646</v>
      </c>
      <c r="AE987" s="89" t="s">
        <v>646</v>
      </c>
      <c r="AF987" s="89" t="s">
        <v>25147</v>
      </c>
      <c r="AG987" s="89" t="s">
        <v>646</v>
      </c>
      <c r="AH987" s="89" t="s">
        <v>646</v>
      </c>
      <c r="AI987" s="89" t="s">
        <v>646</v>
      </c>
      <c r="AJ987" s="89" t="s">
        <v>646</v>
      </c>
      <c r="AK987" s="89" t="s">
        <v>25148</v>
      </c>
      <c r="AL987" s="89" t="s">
        <v>25149</v>
      </c>
      <c r="AM987" s="89" t="s">
        <v>646</v>
      </c>
      <c r="AN987" s="89" t="s">
        <v>646</v>
      </c>
      <c r="AO987" s="89" t="s">
        <v>646</v>
      </c>
      <c r="AP987" s="89" t="s">
        <v>646</v>
      </c>
      <c r="AQ987" s="89" t="s">
        <v>646</v>
      </c>
      <c r="AR987" s="89" t="s">
        <v>646</v>
      </c>
      <c r="AS987" s="89" t="s">
        <v>646</v>
      </c>
      <c r="AT987" s="89" t="s">
        <v>646</v>
      </c>
      <c r="AU987" s="89" t="s">
        <v>646</v>
      </c>
      <c r="AV987" s="89" t="s">
        <v>646</v>
      </c>
      <c r="AW987" s="89" t="s">
        <v>646</v>
      </c>
      <c r="AX987" s="89" t="s">
        <v>646</v>
      </c>
      <c r="AY987" s="89" t="s">
        <v>18679</v>
      </c>
      <c r="AZ987" s="89" t="s">
        <v>18680</v>
      </c>
      <c r="BA987" s="89" t="s">
        <v>646</v>
      </c>
      <c r="BB987" s="89" t="s">
        <v>646</v>
      </c>
      <c r="BC987" s="89" t="s">
        <v>646</v>
      </c>
      <c r="BD987" s="89" t="s">
        <v>17772</v>
      </c>
      <c r="BE987" s="89">
        <v>2019</v>
      </c>
      <c r="BF987" s="89">
        <v>156</v>
      </c>
      <c r="BG987" s="89">
        <v>4</v>
      </c>
      <c r="BH987" s="89" t="s">
        <v>646</v>
      </c>
      <c r="BI987" s="89" t="s">
        <v>646</v>
      </c>
      <c r="BJ987" s="89" t="s">
        <v>646</v>
      </c>
      <c r="BK987" s="89" t="s">
        <v>646</v>
      </c>
      <c r="BL987" s="89">
        <v>987</v>
      </c>
      <c r="BM987" s="89">
        <v>1005</v>
      </c>
      <c r="BN987" s="89" t="s">
        <v>646</v>
      </c>
      <c r="BO987" s="89" t="str">
        <f>HYPERLINK("http://dx.doi.org/10.1007/s10551-017-3607-2","http://dx.doi.org/10.1007/s10551-017-3607-2")</f>
        <v>http://dx.doi.org/10.1007/s10551-017-3607-2</v>
      </c>
      <c r="BP987" s="89" t="s">
        <v>646</v>
      </c>
      <c r="BQ987" s="89" t="s">
        <v>646</v>
      </c>
      <c r="BR987" s="89" t="s">
        <v>646</v>
      </c>
      <c r="BS987" s="89" t="s">
        <v>646</v>
      </c>
      <c r="BT987" s="89" t="s">
        <v>646</v>
      </c>
      <c r="BU987" s="89" t="s">
        <v>646</v>
      </c>
      <c r="BV987" s="89" t="s">
        <v>646</v>
      </c>
      <c r="BW987" s="89" t="s">
        <v>646</v>
      </c>
      <c r="BX987" s="89" t="s">
        <v>646</v>
      </c>
      <c r="BY987" s="89" t="s">
        <v>646</v>
      </c>
      <c r="BZ987" s="89" t="s">
        <v>646</v>
      </c>
      <c r="CA987" s="89" t="s">
        <v>646</v>
      </c>
      <c r="CB987" s="89" t="s">
        <v>25150</v>
      </c>
      <c r="CC987" s="89" t="str">
        <f>HYPERLINK("https%3A%2F%2Fwww.webofscience.com%2Fwos%2Fwoscc%2Ffull-record%2FWOS:000468179200007","View Full Record in Web of Science")</f>
        <v>View Full Record in Web of Science</v>
      </c>
    </row>
    <row r="988" spans="1:81" ht="13.2" hidden="1" x14ac:dyDescent="0.25">
      <c r="A988" s="89" t="s">
        <v>16006</v>
      </c>
      <c r="B988" s="89" t="e">
        <f>+#REF!</f>
        <v>#REF!</v>
      </c>
      <c r="C988" s="89"/>
      <c r="D988" s="91" t="s">
        <v>717</v>
      </c>
      <c r="E988" s="90" t="e">
        <v>#REF!</v>
      </c>
      <c r="F988" s="89"/>
      <c r="G988" s="89"/>
      <c r="H988" s="89" t="s">
        <v>16007</v>
      </c>
      <c r="I988" s="89" t="s">
        <v>21885</v>
      </c>
      <c r="J988" s="89" t="s">
        <v>21887</v>
      </c>
      <c r="K988" s="89" t="s">
        <v>25151</v>
      </c>
      <c r="M988" s="89">
        <v>2018</v>
      </c>
      <c r="N988" s="89" t="s">
        <v>22485</v>
      </c>
      <c r="O988" s="89" t="s">
        <v>646</v>
      </c>
      <c r="P988" s="89" t="str">
        <f>HYPERLINK("http://dx.doi.org/10.1080/09585192.2017.1384395","http://dx.doi.org/10.1080/09585192.2017.1384395")</f>
        <v>http://dx.doi.org/10.1080/09585192.2017.1384395</v>
      </c>
      <c r="S988" s="89" t="s">
        <v>646</v>
      </c>
      <c r="U988" s="89" t="s">
        <v>17462</v>
      </c>
      <c r="W988" s="89" t="s">
        <v>646</v>
      </c>
      <c r="X988" s="89" t="s">
        <v>646</v>
      </c>
      <c r="Y988" s="89" t="s">
        <v>646</v>
      </c>
      <c r="Z988" s="89" t="s">
        <v>646</v>
      </c>
      <c r="AA988" s="89" t="s">
        <v>646</v>
      </c>
      <c r="AB988" s="89" t="s">
        <v>646</v>
      </c>
      <c r="AC988" s="89" t="s">
        <v>646</v>
      </c>
      <c r="AD988" s="89" t="s">
        <v>646</v>
      </c>
      <c r="AE988" s="89" t="s">
        <v>646</v>
      </c>
      <c r="AF988" s="89" t="s">
        <v>25151</v>
      </c>
      <c r="AG988" s="89" t="s">
        <v>646</v>
      </c>
      <c r="AH988" s="89" t="s">
        <v>646</v>
      </c>
      <c r="AI988" s="89" t="s">
        <v>646</v>
      </c>
      <c r="AJ988" s="89" t="s">
        <v>646</v>
      </c>
      <c r="AK988" s="89" t="s">
        <v>21887</v>
      </c>
      <c r="AL988" s="89" t="s">
        <v>21888</v>
      </c>
      <c r="AM988" s="89" t="s">
        <v>646</v>
      </c>
      <c r="AN988" s="89" t="s">
        <v>646</v>
      </c>
      <c r="AO988" s="89" t="s">
        <v>646</v>
      </c>
      <c r="AP988" s="89" t="s">
        <v>646</v>
      </c>
      <c r="AQ988" s="89" t="s">
        <v>646</v>
      </c>
      <c r="AR988" s="89" t="s">
        <v>646</v>
      </c>
      <c r="AS988" s="89" t="s">
        <v>646</v>
      </c>
      <c r="AT988" s="89" t="s">
        <v>646</v>
      </c>
      <c r="AU988" s="89" t="s">
        <v>646</v>
      </c>
      <c r="AV988" s="89" t="s">
        <v>646</v>
      </c>
      <c r="AW988" s="89" t="s">
        <v>646</v>
      </c>
      <c r="AX988" s="89" t="s">
        <v>646</v>
      </c>
      <c r="AY988" s="89" t="s">
        <v>22486</v>
      </c>
      <c r="AZ988" s="89" t="s">
        <v>22487</v>
      </c>
      <c r="BA988" s="89" t="s">
        <v>646</v>
      </c>
      <c r="BB988" s="89" t="s">
        <v>646</v>
      </c>
      <c r="BC988" s="89" t="s">
        <v>646</v>
      </c>
      <c r="BD988" s="89" t="s">
        <v>646</v>
      </c>
      <c r="BE988" s="89">
        <v>2018</v>
      </c>
      <c r="BF988" s="89">
        <v>29</v>
      </c>
      <c r="BG988" s="89">
        <v>1</v>
      </c>
      <c r="BH988" s="89" t="s">
        <v>646</v>
      </c>
      <c r="BI988" s="89" t="s">
        <v>646</v>
      </c>
      <c r="BJ988" s="89" t="s">
        <v>646</v>
      </c>
      <c r="BK988" s="89" t="s">
        <v>646</v>
      </c>
      <c r="BL988" s="89">
        <v>127</v>
      </c>
      <c r="BM988" s="89">
        <v>164</v>
      </c>
      <c r="BN988" s="89" t="s">
        <v>646</v>
      </c>
      <c r="BO988" s="89" t="str">
        <f>HYPERLINK("http://dx.doi.org/10.1080/09585192.2017.1384395","http://dx.doi.org/10.1080/09585192.2017.1384395")</f>
        <v>http://dx.doi.org/10.1080/09585192.2017.1384395</v>
      </c>
      <c r="BP988" s="89" t="s">
        <v>646</v>
      </c>
      <c r="BQ988" s="89" t="s">
        <v>646</v>
      </c>
      <c r="BR988" s="89" t="s">
        <v>646</v>
      </c>
      <c r="BS988" s="89" t="s">
        <v>646</v>
      </c>
      <c r="BT988" s="89" t="s">
        <v>646</v>
      </c>
      <c r="BU988" s="89" t="s">
        <v>646</v>
      </c>
      <c r="BV988" s="89" t="s">
        <v>646</v>
      </c>
      <c r="BW988" s="89" t="s">
        <v>646</v>
      </c>
      <c r="BX988" s="89" t="s">
        <v>646</v>
      </c>
      <c r="BY988" s="89" t="s">
        <v>646</v>
      </c>
      <c r="BZ988" s="89" t="s">
        <v>646</v>
      </c>
      <c r="CA988" s="89" t="s">
        <v>646</v>
      </c>
      <c r="CB988" s="89" t="s">
        <v>25152</v>
      </c>
      <c r="CC988" s="89" t="str">
        <f>HYPERLINK("https%3A%2F%2Fwww.webofscience.com%2Fwos%2Fwoscc%2Ffull-record%2FWOS:000427758700007","View Full Record in Web of Science")</f>
        <v>View Full Record in Web of Science</v>
      </c>
    </row>
    <row r="989" spans="1:81" ht="13.2" hidden="1" x14ac:dyDescent="0.25">
      <c r="A989" s="89" t="s">
        <v>10634</v>
      </c>
      <c r="B989" s="89" t="e">
        <f>+#REF!</f>
        <v>#REF!</v>
      </c>
      <c r="C989" s="89"/>
      <c r="D989" s="91" t="s">
        <v>717</v>
      </c>
      <c r="E989" s="90" t="e">
        <v>#REF!</v>
      </c>
      <c r="F989" s="89"/>
      <c r="G989" s="89"/>
      <c r="H989" s="89" t="s">
        <v>25153</v>
      </c>
      <c r="I989" s="89" t="s">
        <v>25154</v>
      </c>
      <c r="J989" s="89" t="s">
        <v>25157</v>
      </c>
      <c r="K989" s="89" t="s">
        <v>25156</v>
      </c>
      <c r="M989" s="89">
        <v>2021</v>
      </c>
      <c r="N989" s="89" t="s">
        <v>25155</v>
      </c>
      <c r="O989" s="89" t="s">
        <v>646</v>
      </c>
      <c r="P989" s="89" t="str">
        <f>HYPERLINK("http://dx.doi.org/10.1016/j.infoorg.2021.100337","http://dx.doi.org/10.1016/j.infoorg.2021.100337")</f>
        <v>http://dx.doi.org/10.1016/j.infoorg.2021.100337</v>
      </c>
      <c r="S989" s="89" t="s">
        <v>646</v>
      </c>
      <c r="U989" s="89" t="s">
        <v>17462</v>
      </c>
      <c r="W989" s="89" t="s">
        <v>646</v>
      </c>
      <c r="X989" s="89" t="s">
        <v>646</v>
      </c>
      <c r="Y989" s="89" t="s">
        <v>646</v>
      </c>
      <c r="Z989" s="89" t="s">
        <v>646</v>
      </c>
      <c r="AA989" s="89" t="s">
        <v>646</v>
      </c>
      <c r="AB989" s="89" t="s">
        <v>646</v>
      </c>
      <c r="AC989" s="89" t="s">
        <v>646</v>
      </c>
      <c r="AD989" s="89" t="s">
        <v>646</v>
      </c>
      <c r="AE989" s="89" t="s">
        <v>646</v>
      </c>
      <c r="AF989" s="89" t="s">
        <v>25156</v>
      </c>
      <c r="AG989" s="89" t="s">
        <v>646</v>
      </c>
      <c r="AH989" s="89" t="s">
        <v>646</v>
      </c>
      <c r="AI989" s="89" t="s">
        <v>646</v>
      </c>
      <c r="AJ989" s="89" t="s">
        <v>646</v>
      </c>
      <c r="AK989" s="89" t="s">
        <v>25157</v>
      </c>
      <c r="AL989" s="89" t="s">
        <v>25158</v>
      </c>
      <c r="AM989" s="89" t="s">
        <v>646</v>
      </c>
      <c r="AN989" s="89" t="s">
        <v>646</v>
      </c>
      <c r="AO989" s="89" t="s">
        <v>646</v>
      </c>
      <c r="AP989" s="89" t="s">
        <v>646</v>
      </c>
      <c r="AQ989" s="89" t="s">
        <v>646</v>
      </c>
      <c r="AR989" s="89" t="s">
        <v>646</v>
      </c>
      <c r="AS989" s="89" t="s">
        <v>646</v>
      </c>
      <c r="AT989" s="89" t="s">
        <v>646</v>
      </c>
      <c r="AU989" s="89" t="s">
        <v>646</v>
      </c>
      <c r="AV989" s="89" t="s">
        <v>646</v>
      </c>
      <c r="AW989" s="89" t="s">
        <v>646</v>
      </c>
      <c r="AX989" s="89" t="s">
        <v>646</v>
      </c>
      <c r="AY989" s="89" t="s">
        <v>25159</v>
      </c>
      <c r="AZ989" s="89" t="s">
        <v>25160</v>
      </c>
      <c r="BA989" s="89" t="s">
        <v>646</v>
      </c>
      <c r="BB989" s="89" t="s">
        <v>646</v>
      </c>
      <c r="BC989" s="89" t="s">
        <v>646</v>
      </c>
      <c r="BD989" s="89" t="s">
        <v>17779</v>
      </c>
      <c r="BE989" s="89">
        <v>2021</v>
      </c>
      <c r="BF989" s="89">
        <v>31</v>
      </c>
      <c r="BG989" s="89">
        <v>1</v>
      </c>
      <c r="BH989" s="89" t="s">
        <v>646</v>
      </c>
      <c r="BI989" s="89" t="s">
        <v>646</v>
      </c>
      <c r="BJ989" s="89" t="s">
        <v>646</v>
      </c>
      <c r="BK989" s="89" t="s">
        <v>646</v>
      </c>
      <c r="BL989" s="89" t="s">
        <v>646</v>
      </c>
      <c r="BM989" s="89" t="s">
        <v>646</v>
      </c>
      <c r="BN989" s="89">
        <v>100337</v>
      </c>
      <c r="BO989" s="89" t="str">
        <f>HYPERLINK("http://dx.doi.org/10.1016/j.infoorg.2021.100337","http://dx.doi.org/10.1016/j.infoorg.2021.100337")</f>
        <v>http://dx.doi.org/10.1016/j.infoorg.2021.100337</v>
      </c>
      <c r="BP989" s="89" t="s">
        <v>646</v>
      </c>
      <c r="BQ989" s="89" t="s">
        <v>646</v>
      </c>
      <c r="BR989" s="89" t="s">
        <v>646</v>
      </c>
      <c r="BS989" s="89" t="s">
        <v>646</v>
      </c>
      <c r="BT989" s="89" t="s">
        <v>646</v>
      </c>
      <c r="BU989" s="89" t="s">
        <v>646</v>
      </c>
      <c r="BV989" s="89" t="s">
        <v>646</v>
      </c>
      <c r="BW989" s="89" t="s">
        <v>646</v>
      </c>
      <c r="BX989" s="89" t="s">
        <v>646</v>
      </c>
      <c r="BY989" s="89" t="s">
        <v>646</v>
      </c>
      <c r="BZ989" s="89" t="s">
        <v>646</v>
      </c>
      <c r="CA989" s="89" t="s">
        <v>646</v>
      </c>
      <c r="CB989" s="89" t="s">
        <v>25161</v>
      </c>
      <c r="CC989" s="89" t="str">
        <f>HYPERLINK("https%3A%2F%2Fwww.webofscience.com%2Fwos%2Fwoscc%2Ffull-record%2FWOS:000636427200001","View Full Record in Web of Science")</f>
        <v>View Full Record in Web of Science</v>
      </c>
    </row>
    <row r="990" spans="1:81" ht="13.2" hidden="1" x14ac:dyDescent="0.25">
      <c r="A990" s="89" t="s">
        <v>10644</v>
      </c>
      <c r="B990" s="89" t="e">
        <f>+#REF!</f>
        <v>#REF!</v>
      </c>
      <c r="C990" s="89"/>
      <c r="D990" s="91" t="s">
        <v>717</v>
      </c>
      <c r="E990" s="90" t="e">
        <v>#REF!</v>
      </c>
      <c r="F990" s="89"/>
      <c r="G990" s="89"/>
      <c r="H990" s="89" t="s">
        <v>10645</v>
      </c>
      <c r="I990" s="89" t="s">
        <v>25162</v>
      </c>
      <c r="J990" s="89" t="s">
        <v>25164</v>
      </c>
      <c r="K990" s="89" t="s">
        <v>25163</v>
      </c>
      <c r="M990" s="89">
        <v>2022</v>
      </c>
      <c r="N990" s="89" t="s">
        <v>19106</v>
      </c>
      <c r="O990" s="89" t="s">
        <v>646</v>
      </c>
      <c r="P990" s="89" t="str">
        <f>HYPERLINK("http://dx.doi.org/10.1016/j.csi.2021.103587","http://dx.doi.org/10.1016/j.csi.2021.103587")</f>
        <v>http://dx.doi.org/10.1016/j.csi.2021.103587</v>
      </c>
      <c r="S990" s="89" t="s">
        <v>646</v>
      </c>
      <c r="U990" s="89" t="s">
        <v>17462</v>
      </c>
      <c r="W990" s="89" t="s">
        <v>646</v>
      </c>
      <c r="X990" s="89" t="s">
        <v>646</v>
      </c>
      <c r="Y990" s="89" t="s">
        <v>646</v>
      </c>
      <c r="Z990" s="89" t="s">
        <v>646</v>
      </c>
      <c r="AA990" s="89" t="s">
        <v>646</v>
      </c>
      <c r="AB990" s="89" t="s">
        <v>646</v>
      </c>
      <c r="AC990" s="89" t="s">
        <v>646</v>
      </c>
      <c r="AD990" s="89" t="s">
        <v>646</v>
      </c>
      <c r="AE990" s="89" t="s">
        <v>646</v>
      </c>
      <c r="AF990" s="89" t="s">
        <v>25163</v>
      </c>
      <c r="AG990" s="89" t="s">
        <v>646</v>
      </c>
      <c r="AH990" s="89" t="s">
        <v>646</v>
      </c>
      <c r="AI990" s="89" t="s">
        <v>646</v>
      </c>
      <c r="AJ990" s="89" t="s">
        <v>646</v>
      </c>
      <c r="AK990" s="89" t="s">
        <v>25164</v>
      </c>
      <c r="AL990" s="89" t="s">
        <v>25165</v>
      </c>
      <c r="AM990" s="89" t="s">
        <v>646</v>
      </c>
      <c r="AN990" s="89" t="s">
        <v>646</v>
      </c>
      <c r="AO990" s="89" t="s">
        <v>646</v>
      </c>
      <c r="AP990" s="89" t="s">
        <v>646</v>
      </c>
      <c r="AQ990" s="89" t="s">
        <v>646</v>
      </c>
      <c r="AR990" s="89" t="s">
        <v>646</v>
      </c>
      <c r="AS990" s="89" t="s">
        <v>646</v>
      </c>
      <c r="AT990" s="89" t="s">
        <v>646</v>
      </c>
      <c r="AU990" s="89" t="s">
        <v>646</v>
      </c>
      <c r="AV990" s="89" t="s">
        <v>646</v>
      </c>
      <c r="AW990" s="89" t="s">
        <v>646</v>
      </c>
      <c r="AX990" s="89" t="s">
        <v>646</v>
      </c>
      <c r="AY990" s="89" t="s">
        <v>19110</v>
      </c>
      <c r="AZ990" s="89" t="s">
        <v>19111</v>
      </c>
      <c r="BA990" s="89" t="s">
        <v>646</v>
      </c>
      <c r="BB990" s="89" t="s">
        <v>646</v>
      </c>
      <c r="BC990" s="89" t="s">
        <v>646</v>
      </c>
      <c r="BD990" s="89" t="s">
        <v>17823</v>
      </c>
      <c r="BE990" s="89">
        <v>2022</v>
      </c>
      <c r="BF990" s="89">
        <v>81</v>
      </c>
      <c r="BG990" s="89" t="s">
        <v>646</v>
      </c>
      <c r="BH990" s="89" t="s">
        <v>646</v>
      </c>
      <c r="BI990" s="89" t="s">
        <v>646</v>
      </c>
      <c r="BJ990" s="89" t="s">
        <v>646</v>
      </c>
      <c r="BK990" s="89" t="s">
        <v>646</v>
      </c>
      <c r="BL990" s="89" t="s">
        <v>646</v>
      </c>
      <c r="BM990" s="89" t="s">
        <v>646</v>
      </c>
      <c r="BN990" s="89">
        <v>103587</v>
      </c>
      <c r="BO990" s="89" t="str">
        <f>HYPERLINK("http://dx.doi.org/10.1016/j.csi.2021.103587","http://dx.doi.org/10.1016/j.csi.2021.103587")</f>
        <v>http://dx.doi.org/10.1016/j.csi.2021.103587</v>
      </c>
      <c r="BP990" s="89" t="s">
        <v>646</v>
      </c>
      <c r="BQ990" s="89" t="s">
        <v>19920</v>
      </c>
      <c r="BR990" s="89" t="s">
        <v>646</v>
      </c>
      <c r="BS990" s="89" t="s">
        <v>646</v>
      </c>
      <c r="BT990" s="89" t="s">
        <v>646</v>
      </c>
      <c r="BU990" s="89" t="s">
        <v>646</v>
      </c>
      <c r="BV990" s="89" t="s">
        <v>646</v>
      </c>
      <c r="BW990" s="89" t="s">
        <v>646</v>
      </c>
      <c r="BX990" s="89" t="s">
        <v>646</v>
      </c>
      <c r="BY990" s="89" t="s">
        <v>646</v>
      </c>
      <c r="BZ990" s="89" t="s">
        <v>646</v>
      </c>
      <c r="CA990" s="89" t="s">
        <v>646</v>
      </c>
      <c r="CB990" s="89" t="s">
        <v>25166</v>
      </c>
      <c r="CC990" s="89" t="str">
        <f>HYPERLINK("https%3A%2F%2Fwww.webofscience.com%2Fwos%2Fwoscc%2Ffull-record%2FWOS:000740102300003","View Full Record in Web of Science")</f>
        <v>View Full Record in Web of Science</v>
      </c>
    </row>
    <row r="991" spans="1:81" ht="13.2" hidden="1" x14ac:dyDescent="0.25">
      <c r="A991" s="89" t="s">
        <v>25167</v>
      </c>
      <c r="B991" s="89" t="e">
        <f>+#REF!</f>
        <v>#REF!</v>
      </c>
      <c r="C991" s="89"/>
      <c r="D991" s="91" t="s">
        <v>717</v>
      </c>
      <c r="E991" s="90" t="e">
        <v>#REF!</v>
      </c>
      <c r="F991" s="89"/>
      <c r="G991" s="89"/>
      <c r="H991" s="89" t="s">
        <v>16014</v>
      </c>
      <c r="I991" s="89" t="s">
        <v>25168</v>
      </c>
      <c r="J991" s="89" t="s">
        <v>646</v>
      </c>
      <c r="K991" s="89" t="s">
        <v>25169</v>
      </c>
      <c r="M991" s="89">
        <v>2018</v>
      </c>
      <c r="N991" s="89" t="s">
        <v>20105</v>
      </c>
      <c r="O991" s="89" t="s">
        <v>646</v>
      </c>
      <c r="P991" s="89" t="str">
        <f>HYPERLINK("http://dx.doi.org/10.3389/fpsyg.2018.02327","http://dx.doi.org/10.3389/fpsyg.2018.02327")</f>
        <v>http://dx.doi.org/10.3389/fpsyg.2018.02327</v>
      </c>
      <c r="S991" s="89" t="s">
        <v>646</v>
      </c>
      <c r="U991" s="89" t="s">
        <v>17462</v>
      </c>
      <c r="W991" s="89" t="s">
        <v>646</v>
      </c>
      <c r="X991" s="89" t="s">
        <v>646</v>
      </c>
      <c r="Y991" s="89" t="s">
        <v>646</v>
      </c>
      <c r="Z991" s="89" t="s">
        <v>646</v>
      </c>
      <c r="AA991" s="89" t="s">
        <v>646</v>
      </c>
      <c r="AB991" s="89" t="s">
        <v>646</v>
      </c>
      <c r="AC991" s="89" t="s">
        <v>646</v>
      </c>
      <c r="AD991" s="89" t="s">
        <v>646</v>
      </c>
      <c r="AE991" s="89" t="s">
        <v>646</v>
      </c>
      <c r="AF991" s="89" t="s">
        <v>25169</v>
      </c>
      <c r="AG991" s="89" t="s">
        <v>646</v>
      </c>
      <c r="AH991" s="89" t="s">
        <v>646</v>
      </c>
      <c r="AI991" s="89" t="s">
        <v>646</v>
      </c>
      <c r="AJ991" s="89" t="s">
        <v>646</v>
      </c>
      <c r="AK991" s="89" t="s">
        <v>646</v>
      </c>
      <c r="AL991" s="89" t="s">
        <v>25170</v>
      </c>
      <c r="AM991" s="89" t="s">
        <v>646</v>
      </c>
      <c r="AN991" s="89" t="s">
        <v>646</v>
      </c>
      <c r="AO991" s="89" t="s">
        <v>646</v>
      </c>
      <c r="AP991" s="89" t="s">
        <v>646</v>
      </c>
      <c r="AQ991" s="89" t="s">
        <v>646</v>
      </c>
      <c r="AR991" s="89" t="s">
        <v>646</v>
      </c>
      <c r="AS991" s="89" t="s">
        <v>646</v>
      </c>
      <c r="AT991" s="89" t="s">
        <v>646</v>
      </c>
      <c r="AU991" s="89" t="s">
        <v>646</v>
      </c>
      <c r="AV991" s="89" t="s">
        <v>646</v>
      </c>
      <c r="AW991" s="89" t="s">
        <v>646</v>
      </c>
      <c r="AX991" s="89" t="s">
        <v>646</v>
      </c>
      <c r="AY991" s="89" t="s">
        <v>20108</v>
      </c>
      <c r="AZ991" s="89" t="s">
        <v>646</v>
      </c>
      <c r="BA991" s="89" t="s">
        <v>646</v>
      </c>
      <c r="BB991" s="89" t="s">
        <v>646</v>
      </c>
      <c r="BC991" s="89" t="s">
        <v>646</v>
      </c>
      <c r="BD991" s="89" t="s">
        <v>21912</v>
      </c>
      <c r="BE991" s="89">
        <v>2018</v>
      </c>
      <c r="BF991" s="89">
        <v>9</v>
      </c>
      <c r="BG991" s="89" t="s">
        <v>646</v>
      </c>
      <c r="BH991" s="89" t="s">
        <v>646</v>
      </c>
      <c r="BI991" s="89" t="s">
        <v>646</v>
      </c>
      <c r="BJ991" s="89" t="s">
        <v>646</v>
      </c>
      <c r="BK991" s="89" t="s">
        <v>646</v>
      </c>
      <c r="BL991" s="89" t="s">
        <v>646</v>
      </c>
      <c r="BM991" s="89" t="s">
        <v>646</v>
      </c>
      <c r="BN991" s="89">
        <v>2327</v>
      </c>
      <c r="BO991" s="89" t="str">
        <f>HYPERLINK("http://dx.doi.org/10.3389/fpsyg.2018.02327","http://dx.doi.org/10.3389/fpsyg.2018.02327")</f>
        <v>http://dx.doi.org/10.3389/fpsyg.2018.02327</v>
      </c>
      <c r="BP991" s="89" t="s">
        <v>646</v>
      </c>
      <c r="BQ991" s="89" t="s">
        <v>646</v>
      </c>
      <c r="BR991" s="89" t="s">
        <v>646</v>
      </c>
      <c r="BS991" s="89" t="s">
        <v>646</v>
      </c>
      <c r="BT991" s="89" t="s">
        <v>646</v>
      </c>
      <c r="BU991" s="89" t="s">
        <v>646</v>
      </c>
      <c r="BV991" s="89" t="s">
        <v>646</v>
      </c>
      <c r="BW991" s="89">
        <v>30542311</v>
      </c>
      <c r="BX991" s="89" t="s">
        <v>646</v>
      </c>
      <c r="BY991" s="89" t="s">
        <v>646</v>
      </c>
      <c r="BZ991" s="89" t="s">
        <v>646</v>
      </c>
      <c r="CA991" s="89" t="s">
        <v>646</v>
      </c>
      <c r="CB991" s="89" t="s">
        <v>25171</v>
      </c>
      <c r="CC991" s="89" t="str">
        <f>HYPERLINK("https%3A%2F%2Fwww.webofscience.com%2Fwos%2Fwoscc%2Ffull-record%2FWOS:000451487200001","View Full Record in Web of Science")</f>
        <v>View Full Record in Web of Science</v>
      </c>
    </row>
    <row r="992" spans="1:81" ht="13.2" hidden="1" x14ac:dyDescent="0.25">
      <c r="A992" s="89" t="s">
        <v>25172</v>
      </c>
      <c r="B992" s="89" t="e">
        <f>+#REF!</f>
        <v>#REF!</v>
      </c>
      <c r="C992" s="89"/>
      <c r="D992" s="91" t="s">
        <v>717</v>
      </c>
      <c r="E992" s="90" t="e">
        <v>#REF!</v>
      </c>
      <c r="F992" s="89"/>
      <c r="G992" s="89"/>
      <c r="H992" s="89" t="s">
        <v>16023</v>
      </c>
      <c r="I992" s="89" t="s">
        <v>25173</v>
      </c>
      <c r="J992" s="89" t="s">
        <v>25179</v>
      </c>
      <c r="K992" s="89" t="s">
        <v>25178</v>
      </c>
      <c r="M992" s="89">
        <v>2014</v>
      </c>
      <c r="N992" s="89" t="s">
        <v>25174</v>
      </c>
      <c r="O992" s="89" t="s">
        <v>646</v>
      </c>
      <c r="P992" s="89" t="str">
        <f>HYPERLINK("http://dx.doi.org/10.1145/2623330.2623610","http://dx.doi.org/10.1145/2623330.2623610")</f>
        <v>http://dx.doi.org/10.1145/2623330.2623610</v>
      </c>
      <c r="S992" s="89" t="s">
        <v>19206</v>
      </c>
      <c r="U992" s="89" t="s">
        <v>17474</v>
      </c>
      <c r="W992" s="89" t="s">
        <v>646</v>
      </c>
      <c r="X992" s="89" t="s">
        <v>646</v>
      </c>
      <c r="Y992" s="89" t="s">
        <v>25175</v>
      </c>
      <c r="Z992" s="89" t="s">
        <v>25176</v>
      </c>
      <c r="AA992" s="89" t="s">
        <v>20991</v>
      </c>
      <c r="AB992" s="89" t="s">
        <v>25177</v>
      </c>
      <c r="AC992" s="89" t="s">
        <v>646</v>
      </c>
      <c r="AD992" s="89" t="s">
        <v>646</v>
      </c>
      <c r="AE992" s="89" t="s">
        <v>646</v>
      </c>
      <c r="AF992" s="89" t="s">
        <v>25178</v>
      </c>
      <c r="AG992" s="89" t="s">
        <v>646</v>
      </c>
      <c r="AH992" s="89" t="s">
        <v>646</v>
      </c>
      <c r="AI992" s="89" t="s">
        <v>646</v>
      </c>
      <c r="AJ992" s="89" t="s">
        <v>646</v>
      </c>
      <c r="AK992" s="89" t="s">
        <v>25179</v>
      </c>
      <c r="AL992" s="89" t="s">
        <v>25180</v>
      </c>
      <c r="AM992" s="89" t="s">
        <v>646</v>
      </c>
      <c r="AN992" s="89" t="s">
        <v>646</v>
      </c>
      <c r="AO992" s="89" t="s">
        <v>646</v>
      </c>
      <c r="AP992" s="89" t="s">
        <v>646</v>
      </c>
      <c r="AQ992" s="89" t="s">
        <v>646</v>
      </c>
      <c r="AR992" s="89" t="s">
        <v>646</v>
      </c>
      <c r="AS992" s="89" t="s">
        <v>646</v>
      </c>
      <c r="AT992" s="89" t="s">
        <v>646</v>
      </c>
      <c r="AU992" s="89" t="s">
        <v>646</v>
      </c>
      <c r="AV992" s="89" t="s">
        <v>646</v>
      </c>
      <c r="AW992" s="89" t="s">
        <v>646</v>
      </c>
      <c r="AX992" s="89" t="s">
        <v>646</v>
      </c>
      <c r="AY992" s="89" t="s">
        <v>646</v>
      </c>
      <c r="AZ992" s="89" t="s">
        <v>646</v>
      </c>
      <c r="BA992" s="89" t="s">
        <v>25181</v>
      </c>
      <c r="BB992" s="89" t="s">
        <v>646</v>
      </c>
      <c r="BC992" s="89" t="s">
        <v>646</v>
      </c>
      <c r="BD992" s="89" t="s">
        <v>646</v>
      </c>
      <c r="BE992" s="89">
        <v>2014</v>
      </c>
      <c r="BF992" s="89" t="s">
        <v>646</v>
      </c>
      <c r="BG992" s="89" t="s">
        <v>646</v>
      </c>
      <c r="BH992" s="89" t="s">
        <v>646</v>
      </c>
      <c r="BI992" s="89" t="s">
        <v>646</v>
      </c>
      <c r="BJ992" s="89" t="s">
        <v>646</v>
      </c>
      <c r="BK992" s="89" t="s">
        <v>646</v>
      </c>
      <c r="BL992" s="89">
        <v>203</v>
      </c>
      <c r="BM992" s="89">
        <v>212</v>
      </c>
      <c r="BN992" s="89" t="s">
        <v>646</v>
      </c>
      <c r="BO992" s="89" t="str">
        <f>HYPERLINK("http://dx.doi.org/10.1145/2623330.2623610","http://dx.doi.org/10.1145/2623330.2623610")</f>
        <v>http://dx.doi.org/10.1145/2623330.2623610</v>
      </c>
      <c r="BP992" s="89" t="s">
        <v>646</v>
      </c>
      <c r="BQ992" s="89" t="s">
        <v>646</v>
      </c>
      <c r="BR992" s="89" t="s">
        <v>646</v>
      </c>
      <c r="BS992" s="89" t="s">
        <v>646</v>
      </c>
      <c r="BT992" s="89" t="s">
        <v>646</v>
      </c>
      <c r="BU992" s="89" t="s">
        <v>646</v>
      </c>
      <c r="BV992" s="89" t="s">
        <v>646</v>
      </c>
      <c r="BW992" s="89" t="s">
        <v>646</v>
      </c>
      <c r="BX992" s="89" t="s">
        <v>646</v>
      </c>
      <c r="BY992" s="89" t="s">
        <v>646</v>
      </c>
      <c r="BZ992" s="89" t="s">
        <v>646</v>
      </c>
      <c r="CA992" s="89" t="s">
        <v>646</v>
      </c>
      <c r="CB992" s="89" t="s">
        <v>25182</v>
      </c>
      <c r="CC992" s="89" t="str">
        <f>HYPERLINK("https%3A%2F%2Fwww.webofscience.com%2Fwos%2Fwoscc%2Ffull-record%2FWOS:000668155900025","View Full Record in Web of Science")</f>
        <v>View Full Record in Web of Science</v>
      </c>
    </row>
    <row r="993" spans="1:81" ht="13.2" hidden="1" x14ac:dyDescent="0.25">
      <c r="A993" s="89" t="s">
        <v>16659</v>
      </c>
      <c r="B993" s="89" t="e">
        <f>+#REF!</f>
        <v>#REF!</v>
      </c>
      <c r="C993" s="89"/>
      <c r="D993" s="91" t="s">
        <v>717</v>
      </c>
      <c r="E993" s="90" t="e">
        <v>#REF!</v>
      </c>
      <c r="F993" s="89"/>
      <c r="G993" s="89"/>
      <c r="H993" s="89" t="s">
        <v>16660</v>
      </c>
      <c r="I993" s="89" t="s">
        <v>25183</v>
      </c>
      <c r="J993" s="89" t="s">
        <v>646</v>
      </c>
      <c r="K993" s="89" t="s">
        <v>25184</v>
      </c>
      <c r="M993" s="89">
        <v>2020</v>
      </c>
      <c r="N993" s="89" t="s">
        <v>20097</v>
      </c>
      <c r="O993" s="89" t="s">
        <v>646</v>
      </c>
      <c r="P993" s="89" t="str">
        <f>HYPERLINK("http://dx.doi.org/10.1016/j.jbi.2020.103571","http://dx.doi.org/10.1016/j.jbi.2020.103571")</f>
        <v>http://dx.doi.org/10.1016/j.jbi.2020.103571</v>
      </c>
      <c r="S993" s="89" t="s">
        <v>646</v>
      </c>
      <c r="U993" s="89" t="s">
        <v>17462</v>
      </c>
      <c r="W993" s="89" t="s">
        <v>646</v>
      </c>
      <c r="X993" s="89" t="s">
        <v>646</v>
      </c>
      <c r="Y993" s="89" t="s">
        <v>646</v>
      </c>
      <c r="Z993" s="89" t="s">
        <v>646</v>
      </c>
      <c r="AA993" s="89" t="s">
        <v>646</v>
      </c>
      <c r="AB993" s="89" t="s">
        <v>646</v>
      </c>
      <c r="AC993" s="89" t="s">
        <v>646</v>
      </c>
      <c r="AD993" s="89" t="s">
        <v>646</v>
      </c>
      <c r="AE993" s="89" t="s">
        <v>646</v>
      </c>
      <c r="AF993" s="89" t="s">
        <v>25184</v>
      </c>
      <c r="AG993" s="89" t="s">
        <v>646</v>
      </c>
      <c r="AH993" s="89" t="s">
        <v>646</v>
      </c>
      <c r="AI993" s="89" t="s">
        <v>646</v>
      </c>
      <c r="AJ993" s="89" t="s">
        <v>646</v>
      </c>
      <c r="AK993" s="89" t="s">
        <v>646</v>
      </c>
      <c r="AL993" s="89" t="s">
        <v>25185</v>
      </c>
      <c r="AM993" s="89" t="s">
        <v>646</v>
      </c>
      <c r="AN993" s="89" t="s">
        <v>646</v>
      </c>
      <c r="AO993" s="89" t="s">
        <v>646</v>
      </c>
      <c r="AP993" s="89" t="s">
        <v>646</v>
      </c>
      <c r="AQ993" s="89" t="s">
        <v>646</v>
      </c>
      <c r="AR993" s="89" t="s">
        <v>646</v>
      </c>
      <c r="AS993" s="89" t="s">
        <v>646</v>
      </c>
      <c r="AT993" s="89" t="s">
        <v>646</v>
      </c>
      <c r="AU993" s="89" t="s">
        <v>646</v>
      </c>
      <c r="AV993" s="89" t="s">
        <v>646</v>
      </c>
      <c r="AW993" s="89" t="s">
        <v>646</v>
      </c>
      <c r="AX993" s="89" t="s">
        <v>646</v>
      </c>
      <c r="AY993" s="89" t="s">
        <v>20100</v>
      </c>
      <c r="AZ993" s="89" t="s">
        <v>20101</v>
      </c>
      <c r="BA993" s="89" t="s">
        <v>646</v>
      </c>
      <c r="BB993" s="89" t="s">
        <v>646</v>
      </c>
      <c r="BC993" s="89" t="s">
        <v>646</v>
      </c>
      <c r="BD993" s="89" t="s">
        <v>17687</v>
      </c>
      <c r="BE993" s="89">
        <v>2020</v>
      </c>
      <c r="BF993" s="89">
        <v>110</v>
      </c>
      <c r="BG993" s="89" t="s">
        <v>646</v>
      </c>
      <c r="BH993" s="89" t="s">
        <v>646</v>
      </c>
      <c r="BI993" s="89" t="s">
        <v>646</v>
      </c>
      <c r="BJ993" s="89" t="s">
        <v>646</v>
      </c>
      <c r="BK993" s="89" t="s">
        <v>646</v>
      </c>
      <c r="BL993" s="89" t="s">
        <v>646</v>
      </c>
      <c r="BM993" s="89" t="s">
        <v>646</v>
      </c>
      <c r="BN993" s="89">
        <v>103571</v>
      </c>
      <c r="BO993" s="89" t="str">
        <f>HYPERLINK("http://dx.doi.org/10.1016/j.jbi.2020.103571","http://dx.doi.org/10.1016/j.jbi.2020.103571")</f>
        <v>http://dx.doi.org/10.1016/j.jbi.2020.103571</v>
      </c>
      <c r="BP993" s="89" t="s">
        <v>646</v>
      </c>
      <c r="BQ993" s="89" t="s">
        <v>646</v>
      </c>
      <c r="BR993" s="89" t="s">
        <v>646</v>
      </c>
      <c r="BS993" s="89" t="s">
        <v>646</v>
      </c>
      <c r="BT993" s="89" t="s">
        <v>646</v>
      </c>
      <c r="BU993" s="89" t="s">
        <v>646</v>
      </c>
      <c r="BV993" s="89" t="s">
        <v>646</v>
      </c>
      <c r="BW993" s="89">
        <v>32961307</v>
      </c>
      <c r="BX993" s="89" t="s">
        <v>646</v>
      </c>
      <c r="BY993" s="89" t="s">
        <v>646</v>
      </c>
      <c r="BZ993" s="89" t="s">
        <v>646</v>
      </c>
      <c r="CA993" s="89" t="s">
        <v>646</v>
      </c>
      <c r="CB993" s="89" t="s">
        <v>25186</v>
      </c>
      <c r="CC993" s="89" t="str">
        <f>HYPERLINK("https%3A%2F%2Fwww.webofscience.com%2Fwos%2Fwoscc%2Ffull-record%2FWOS:000579807600024","View Full Record in Web of Science")</f>
        <v>View Full Record in Web of Science</v>
      </c>
    </row>
    <row r="994" spans="1:81" ht="13.2" hidden="1" x14ac:dyDescent="0.25">
      <c r="A994" s="89" t="s">
        <v>10653</v>
      </c>
      <c r="B994" s="89" t="e">
        <f>+#REF!</f>
        <v>#REF!</v>
      </c>
      <c r="C994" s="89"/>
      <c r="D994" s="91" t="s">
        <v>717</v>
      </c>
      <c r="E994" s="90" t="e">
        <v>#REF!</v>
      </c>
      <c r="F994" s="89"/>
      <c r="G994" s="89"/>
      <c r="H994" s="89" t="s">
        <v>10654</v>
      </c>
      <c r="I994" s="89" t="s">
        <v>20577</v>
      </c>
      <c r="J994" s="89" t="s">
        <v>25189</v>
      </c>
      <c r="K994" s="89" t="s">
        <v>25188</v>
      </c>
      <c r="M994" s="89">
        <v>2021</v>
      </c>
      <c r="N994" s="89" t="s">
        <v>25187</v>
      </c>
      <c r="O994" s="89" t="s">
        <v>646</v>
      </c>
      <c r="P994" s="89" t="str">
        <f>HYPERLINK("http://dx.doi.org/10.1016/j.ijhcs.2021.102641","http://dx.doi.org/10.1016/j.ijhcs.2021.102641")</f>
        <v>http://dx.doi.org/10.1016/j.ijhcs.2021.102641</v>
      </c>
      <c r="S994" s="89" t="s">
        <v>646</v>
      </c>
      <c r="U994" s="89" t="s">
        <v>17462</v>
      </c>
      <c r="W994" s="89" t="s">
        <v>646</v>
      </c>
      <c r="X994" s="89" t="s">
        <v>646</v>
      </c>
      <c r="Y994" s="89" t="s">
        <v>646</v>
      </c>
      <c r="Z994" s="89" t="s">
        <v>646</v>
      </c>
      <c r="AA994" s="89" t="s">
        <v>646</v>
      </c>
      <c r="AB994" s="89" t="s">
        <v>646</v>
      </c>
      <c r="AC994" s="89" t="s">
        <v>646</v>
      </c>
      <c r="AD994" s="89" t="s">
        <v>646</v>
      </c>
      <c r="AE994" s="89" t="s">
        <v>646</v>
      </c>
      <c r="AF994" s="89" t="s">
        <v>25188</v>
      </c>
      <c r="AG994" s="89" t="s">
        <v>646</v>
      </c>
      <c r="AH994" s="89" t="s">
        <v>646</v>
      </c>
      <c r="AI994" s="89" t="s">
        <v>646</v>
      </c>
      <c r="AJ994" s="89" t="s">
        <v>646</v>
      </c>
      <c r="AK994" s="89" t="s">
        <v>25189</v>
      </c>
      <c r="AL994" s="89" t="s">
        <v>646</v>
      </c>
      <c r="AM994" s="89" t="s">
        <v>646</v>
      </c>
      <c r="AN994" s="89" t="s">
        <v>646</v>
      </c>
      <c r="AO994" s="89" t="s">
        <v>646</v>
      </c>
      <c r="AP994" s="89" t="s">
        <v>646</v>
      </c>
      <c r="AQ994" s="89" t="s">
        <v>646</v>
      </c>
      <c r="AR994" s="89" t="s">
        <v>646</v>
      </c>
      <c r="AS994" s="89" t="s">
        <v>646</v>
      </c>
      <c r="AT994" s="89" t="s">
        <v>646</v>
      </c>
      <c r="AU994" s="89" t="s">
        <v>646</v>
      </c>
      <c r="AV994" s="89" t="s">
        <v>646</v>
      </c>
      <c r="AW994" s="89" t="s">
        <v>646</v>
      </c>
      <c r="AX994" s="89" t="s">
        <v>646</v>
      </c>
      <c r="AY994" s="89" t="s">
        <v>25190</v>
      </c>
      <c r="AZ994" s="89" t="s">
        <v>25191</v>
      </c>
      <c r="BA994" s="89" t="s">
        <v>646</v>
      </c>
      <c r="BB994" s="89" t="s">
        <v>646</v>
      </c>
      <c r="BC994" s="89" t="s">
        <v>646</v>
      </c>
      <c r="BD994" s="89" t="s">
        <v>17687</v>
      </c>
      <c r="BE994" s="89">
        <v>2021</v>
      </c>
      <c r="BF994" s="89">
        <v>154</v>
      </c>
      <c r="BG994" s="89" t="s">
        <v>646</v>
      </c>
      <c r="BH994" s="89" t="s">
        <v>646</v>
      </c>
      <c r="BI994" s="89" t="s">
        <v>646</v>
      </c>
      <c r="BJ994" s="89" t="s">
        <v>646</v>
      </c>
      <c r="BK994" s="89" t="s">
        <v>646</v>
      </c>
      <c r="BL994" s="89" t="s">
        <v>646</v>
      </c>
      <c r="BM994" s="89" t="s">
        <v>646</v>
      </c>
      <c r="BN994" s="89">
        <v>102641</v>
      </c>
      <c r="BO994" s="89" t="str">
        <f>HYPERLINK("http://dx.doi.org/10.1016/j.ijhcs.2021.102641","http://dx.doi.org/10.1016/j.ijhcs.2021.102641")</f>
        <v>http://dx.doi.org/10.1016/j.ijhcs.2021.102641</v>
      </c>
      <c r="BP994" s="89" t="s">
        <v>646</v>
      </c>
      <c r="BQ994" s="89" t="s">
        <v>17906</v>
      </c>
      <c r="BR994" s="89" t="s">
        <v>646</v>
      </c>
      <c r="BS994" s="89" t="s">
        <v>646</v>
      </c>
      <c r="BT994" s="89" t="s">
        <v>646</v>
      </c>
      <c r="BU994" s="89" t="s">
        <v>646</v>
      </c>
      <c r="BV994" s="89" t="s">
        <v>646</v>
      </c>
      <c r="BW994" s="89" t="s">
        <v>646</v>
      </c>
      <c r="BX994" s="89" t="s">
        <v>646</v>
      </c>
      <c r="BY994" s="89" t="s">
        <v>646</v>
      </c>
      <c r="BZ994" s="89" t="s">
        <v>646</v>
      </c>
      <c r="CA994" s="89" t="s">
        <v>646</v>
      </c>
      <c r="CB994" s="89" t="s">
        <v>25192</v>
      </c>
      <c r="CC994" s="89" t="str">
        <f>HYPERLINK("https%3A%2F%2Fwww.webofscience.com%2Fwos%2Fwoscc%2Ffull-record%2FWOS:000682983600004","View Full Record in Web of Science")</f>
        <v>View Full Record in Web of Science</v>
      </c>
    </row>
    <row r="995" spans="1:81" ht="13.2" hidden="1" x14ac:dyDescent="0.25">
      <c r="A995" s="89" t="s">
        <v>16030</v>
      </c>
      <c r="B995" s="89" t="e">
        <f>+#REF!</f>
        <v>#REF!</v>
      </c>
      <c r="C995" s="89"/>
      <c r="D995" s="91" t="s">
        <v>717</v>
      </c>
      <c r="E995" s="90" t="e">
        <v>#REF!</v>
      </c>
      <c r="F995" s="89"/>
      <c r="G995" s="89"/>
      <c r="H995" s="89" t="s">
        <v>16031</v>
      </c>
      <c r="I995" s="89" t="s">
        <v>23706</v>
      </c>
      <c r="J995" s="89" t="s">
        <v>646</v>
      </c>
      <c r="K995" s="89" t="s">
        <v>25194</v>
      </c>
      <c r="M995" s="89">
        <v>2012</v>
      </c>
      <c r="N995" s="89" t="s">
        <v>25193</v>
      </c>
      <c r="O995" s="89" t="s">
        <v>646</v>
      </c>
      <c r="P995" s="89" t="str">
        <f>HYPERLINK("http://dx.doi.org/10.1016/j.ipm.2012.01.004","http://dx.doi.org/10.1016/j.ipm.2012.01.004")</f>
        <v>http://dx.doi.org/10.1016/j.ipm.2012.01.004</v>
      </c>
      <c r="S995" s="89" t="s">
        <v>646</v>
      </c>
      <c r="U995" s="89" t="s">
        <v>17462</v>
      </c>
      <c r="W995" s="89" t="s">
        <v>646</v>
      </c>
      <c r="X995" s="89" t="s">
        <v>646</v>
      </c>
      <c r="Y995" s="89" t="s">
        <v>646</v>
      </c>
      <c r="Z995" s="89" t="s">
        <v>646</v>
      </c>
      <c r="AA995" s="89" t="s">
        <v>646</v>
      </c>
      <c r="AB995" s="89" t="s">
        <v>646</v>
      </c>
      <c r="AC995" s="89" t="s">
        <v>646</v>
      </c>
      <c r="AD995" s="89" t="s">
        <v>646</v>
      </c>
      <c r="AE995" s="89" t="s">
        <v>646</v>
      </c>
      <c r="AF995" s="89" t="s">
        <v>25194</v>
      </c>
      <c r="AG995" s="89" t="s">
        <v>646</v>
      </c>
      <c r="AH995" s="89" t="s">
        <v>646</v>
      </c>
      <c r="AI995" s="89" t="s">
        <v>646</v>
      </c>
      <c r="AJ995" s="89" t="s">
        <v>646</v>
      </c>
      <c r="AK995" s="89" t="s">
        <v>646</v>
      </c>
      <c r="AL995" s="89" t="s">
        <v>23711</v>
      </c>
      <c r="AM995" s="89" t="s">
        <v>646</v>
      </c>
      <c r="AN995" s="89" t="s">
        <v>646</v>
      </c>
      <c r="AO995" s="89" t="s">
        <v>646</v>
      </c>
      <c r="AP995" s="89" t="s">
        <v>646</v>
      </c>
      <c r="AQ995" s="89" t="s">
        <v>646</v>
      </c>
      <c r="AR995" s="89" t="s">
        <v>646</v>
      </c>
      <c r="AS995" s="89" t="s">
        <v>646</v>
      </c>
      <c r="AT995" s="89" t="s">
        <v>646</v>
      </c>
      <c r="AU995" s="89" t="s">
        <v>646</v>
      </c>
      <c r="AV995" s="89" t="s">
        <v>646</v>
      </c>
      <c r="AW995" s="89" t="s">
        <v>646</v>
      </c>
      <c r="AX995" s="89" t="s">
        <v>646</v>
      </c>
      <c r="AY995" s="89" t="s">
        <v>25195</v>
      </c>
      <c r="AZ995" s="89" t="s">
        <v>25196</v>
      </c>
      <c r="BA995" s="89" t="s">
        <v>646</v>
      </c>
      <c r="BB995" s="89" t="s">
        <v>646</v>
      </c>
      <c r="BC995" s="89" t="s">
        <v>646</v>
      </c>
      <c r="BD995" s="89" t="s">
        <v>18292</v>
      </c>
      <c r="BE995" s="89">
        <v>2012</v>
      </c>
      <c r="BF995" s="89">
        <v>48</v>
      </c>
      <c r="BG995" s="89">
        <v>6</v>
      </c>
      <c r="BH995" s="89" t="s">
        <v>646</v>
      </c>
      <c r="BI995" s="89" t="s">
        <v>646</v>
      </c>
      <c r="BJ995" s="89" t="s">
        <v>646</v>
      </c>
      <c r="BK995" s="89" t="s">
        <v>646</v>
      </c>
      <c r="BL995" s="89">
        <v>1053</v>
      </c>
      <c r="BM995" s="89">
        <v>1066</v>
      </c>
      <c r="BN995" s="89" t="s">
        <v>646</v>
      </c>
      <c r="BO995" s="89" t="str">
        <f>HYPERLINK("http://dx.doi.org/10.1016/j.ipm.2012.01.004","http://dx.doi.org/10.1016/j.ipm.2012.01.004")</f>
        <v>http://dx.doi.org/10.1016/j.ipm.2012.01.004</v>
      </c>
      <c r="BP995" s="89" t="s">
        <v>646</v>
      </c>
      <c r="BQ995" s="89" t="s">
        <v>646</v>
      </c>
      <c r="BR995" s="89" t="s">
        <v>646</v>
      </c>
      <c r="BS995" s="89" t="s">
        <v>646</v>
      </c>
      <c r="BT995" s="89" t="s">
        <v>646</v>
      </c>
      <c r="BU995" s="89" t="s">
        <v>646</v>
      </c>
      <c r="BV995" s="89" t="s">
        <v>646</v>
      </c>
      <c r="BW995" s="89" t="s">
        <v>646</v>
      </c>
      <c r="BX995" s="89" t="s">
        <v>646</v>
      </c>
      <c r="BY995" s="89" t="s">
        <v>646</v>
      </c>
      <c r="BZ995" s="89" t="s">
        <v>646</v>
      </c>
      <c r="CA995" s="89" t="s">
        <v>646</v>
      </c>
      <c r="CB995" s="89" t="s">
        <v>25197</v>
      </c>
      <c r="CC995" s="89" t="str">
        <f>HYPERLINK("https%3A%2F%2Fwww.webofscience.com%2Fwos%2Fwoscc%2Ffull-record%2FWOS:000309794000003","View Full Record in Web of Science")</f>
        <v>View Full Record in Web of Science</v>
      </c>
    </row>
    <row r="996" spans="1:81" ht="13.2" hidden="1" x14ac:dyDescent="0.25">
      <c r="A996" s="89" t="s">
        <v>25198</v>
      </c>
      <c r="B996" s="89" t="e">
        <f>+#REF!</f>
        <v>#REF!</v>
      </c>
      <c r="C996" s="89"/>
      <c r="D996" s="91" t="s">
        <v>717</v>
      </c>
      <c r="E996" s="90" t="e">
        <v>#REF!</v>
      </c>
      <c r="F996" s="89"/>
      <c r="G996" s="89"/>
      <c r="H996" s="89" t="s">
        <v>646</v>
      </c>
      <c r="I996" s="89" t="s">
        <v>25199</v>
      </c>
      <c r="J996" s="89" t="s">
        <v>25204</v>
      </c>
      <c r="K996" s="89" t="s">
        <v>25203</v>
      </c>
      <c r="M996" s="89">
        <v>2013</v>
      </c>
      <c r="N996" s="89" t="s">
        <v>25200</v>
      </c>
      <c r="O996" s="89" t="s">
        <v>646</v>
      </c>
      <c r="P996" s="89" t="s">
        <v>646</v>
      </c>
      <c r="S996" s="89" t="s">
        <v>17475</v>
      </c>
      <c r="U996" s="89" t="s">
        <v>17474</v>
      </c>
      <c r="W996" s="89" t="s">
        <v>646</v>
      </c>
      <c r="X996" s="89" t="s">
        <v>646</v>
      </c>
      <c r="Y996" s="89" t="s">
        <v>25201</v>
      </c>
      <c r="Z996" s="89" t="s">
        <v>25202</v>
      </c>
      <c r="AA996" s="89" t="s">
        <v>24240</v>
      </c>
      <c r="AB996" s="89" t="s">
        <v>17475</v>
      </c>
      <c r="AC996" s="89" t="s">
        <v>646</v>
      </c>
      <c r="AD996" s="89" t="s">
        <v>646</v>
      </c>
      <c r="AE996" s="89" t="s">
        <v>646</v>
      </c>
      <c r="AF996" s="89" t="s">
        <v>25203</v>
      </c>
      <c r="AG996" s="89" t="s">
        <v>646</v>
      </c>
      <c r="AH996" s="89" t="s">
        <v>646</v>
      </c>
      <c r="AI996" s="89" t="s">
        <v>646</v>
      </c>
      <c r="AJ996" s="89" t="s">
        <v>646</v>
      </c>
      <c r="AK996" s="89" t="s">
        <v>25204</v>
      </c>
      <c r="AL996" s="89" t="s">
        <v>25205</v>
      </c>
      <c r="AM996" s="89" t="s">
        <v>646</v>
      </c>
      <c r="AN996" s="89" t="s">
        <v>646</v>
      </c>
      <c r="AO996" s="89" t="s">
        <v>646</v>
      </c>
      <c r="AP996" s="89" t="s">
        <v>646</v>
      </c>
      <c r="AQ996" s="89" t="s">
        <v>646</v>
      </c>
      <c r="AR996" s="89" t="s">
        <v>646</v>
      </c>
      <c r="AS996" s="89" t="s">
        <v>646</v>
      </c>
      <c r="AT996" s="89" t="s">
        <v>646</v>
      </c>
      <c r="AU996" s="89" t="s">
        <v>646</v>
      </c>
      <c r="AV996" s="89" t="s">
        <v>646</v>
      </c>
      <c r="AW996" s="89" t="s">
        <v>646</v>
      </c>
      <c r="AX996" s="89" t="s">
        <v>646</v>
      </c>
      <c r="AY996" s="89" t="s">
        <v>25206</v>
      </c>
      <c r="AZ996" s="89" t="s">
        <v>646</v>
      </c>
      <c r="BA996" s="89" t="s">
        <v>25207</v>
      </c>
      <c r="BB996" s="89" t="s">
        <v>646</v>
      </c>
      <c r="BC996" s="89" t="s">
        <v>646</v>
      </c>
      <c r="BD996" s="89" t="s">
        <v>646</v>
      </c>
      <c r="BE996" s="89">
        <v>2013</v>
      </c>
      <c r="BF996" s="89" t="s">
        <v>646</v>
      </c>
      <c r="BG996" s="89" t="s">
        <v>646</v>
      </c>
      <c r="BH996" s="89" t="s">
        <v>646</v>
      </c>
      <c r="BI996" s="89" t="s">
        <v>646</v>
      </c>
      <c r="BJ996" s="89" t="s">
        <v>646</v>
      </c>
      <c r="BK996" s="89" t="s">
        <v>646</v>
      </c>
      <c r="BL996" s="89" t="s">
        <v>646</v>
      </c>
      <c r="BM996" s="89" t="s">
        <v>646</v>
      </c>
      <c r="BN996" s="89" t="s">
        <v>646</v>
      </c>
      <c r="BO996" s="89" t="s">
        <v>646</v>
      </c>
      <c r="BP996" s="89" t="s">
        <v>646</v>
      </c>
      <c r="BQ996" s="89" t="s">
        <v>646</v>
      </c>
      <c r="BR996" s="89" t="s">
        <v>646</v>
      </c>
      <c r="BS996" s="89" t="s">
        <v>646</v>
      </c>
      <c r="BT996" s="89" t="s">
        <v>646</v>
      </c>
      <c r="BU996" s="89" t="s">
        <v>646</v>
      </c>
      <c r="BV996" s="89" t="s">
        <v>646</v>
      </c>
      <c r="BW996" s="89" t="s">
        <v>646</v>
      </c>
      <c r="BX996" s="89" t="s">
        <v>646</v>
      </c>
      <c r="BY996" s="89" t="s">
        <v>646</v>
      </c>
      <c r="BZ996" s="89" t="s">
        <v>646</v>
      </c>
      <c r="CA996" s="89" t="s">
        <v>646</v>
      </c>
      <c r="CB996" s="89" t="s">
        <v>25208</v>
      </c>
      <c r="CC996" s="89" t="str">
        <f>HYPERLINK("https%3A%2F%2Fwww.webofscience.com%2Fwos%2Fwoscc%2Ffull-record%2FWOS:000346507500116","View Full Record in Web of Science")</f>
        <v>View Full Record in Web of Science</v>
      </c>
    </row>
    <row r="997" spans="1:81" ht="13.2" hidden="1" x14ac:dyDescent="0.25">
      <c r="A997" s="89" t="s">
        <v>25209</v>
      </c>
      <c r="B997" s="89" t="e">
        <f>+#REF!</f>
        <v>#REF!</v>
      </c>
      <c r="C997" s="89"/>
      <c r="D997" s="91" t="s">
        <v>717</v>
      </c>
      <c r="E997" s="90" t="e">
        <v>#REF!</v>
      </c>
      <c r="F997" s="89"/>
      <c r="G997" s="89"/>
      <c r="H997" s="89" t="s">
        <v>646</v>
      </c>
      <c r="I997" s="89" t="s">
        <v>25210</v>
      </c>
      <c r="J997" s="89" t="s">
        <v>646</v>
      </c>
      <c r="K997" s="89" t="s">
        <v>25216</v>
      </c>
      <c r="M997" s="89">
        <v>2015</v>
      </c>
      <c r="N997" s="89" t="s">
        <v>25211</v>
      </c>
      <c r="O997" s="89" t="s">
        <v>646</v>
      </c>
      <c r="P997" s="89" t="s">
        <v>646</v>
      </c>
      <c r="S997" s="89" t="s">
        <v>17475</v>
      </c>
      <c r="U997" s="89" t="s">
        <v>17474</v>
      </c>
      <c r="W997" s="89" t="s">
        <v>646</v>
      </c>
      <c r="X997" s="89" t="s">
        <v>646</v>
      </c>
      <c r="Y997" s="89" t="s">
        <v>25212</v>
      </c>
      <c r="Z997" s="89" t="s">
        <v>25213</v>
      </c>
      <c r="AA997" s="89" t="s">
        <v>25214</v>
      </c>
      <c r="AB997" s="89" t="s">
        <v>25215</v>
      </c>
      <c r="AC997" s="89" t="s">
        <v>646</v>
      </c>
      <c r="AD997" s="89" t="s">
        <v>646</v>
      </c>
      <c r="AE997" s="89" t="s">
        <v>646</v>
      </c>
      <c r="AF997" s="89" t="s">
        <v>25216</v>
      </c>
      <c r="AG997" s="89" t="s">
        <v>646</v>
      </c>
      <c r="AH997" s="89" t="s">
        <v>646</v>
      </c>
      <c r="AI997" s="89" t="s">
        <v>646</v>
      </c>
      <c r="AJ997" s="89" t="s">
        <v>646</v>
      </c>
      <c r="AK997" s="89" t="s">
        <v>646</v>
      </c>
      <c r="AL997" s="89" t="s">
        <v>646</v>
      </c>
      <c r="AM997" s="89" t="s">
        <v>646</v>
      </c>
      <c r="AN997" s="89" t="s">
        <v>646</v>
      </c>
      <c r="AO997" s="89" t="s">
        <v>646</v>
      </c>
      <c r="AP997" s="89" t="s">
        <v>646</v>
      </c>
      <c r="AQ997" s="89" t="s">
        <v>646</v>
      </c>
      <c r="AR997" s="89" t="s">
        <v>646</v>
      </c>
      <c r="AS997" s="89" t="s">
        <v>646</v>
      </c>
      <c r="AT997" s="89" t="s">
        <v>646</v>
      </c>
      <c r="AU997" s="89" t="s">
        <v>646</v>
      </c>
      <c r="AV997" s="89" t="s">
        <v>646</v>
      </c>
      <c r="AW997" s="89" t="s">
        <v>646</v>
      </c>
      <c r="AX997" s="89" t="s">
        <v>646</v>
      </c>
      <c r="AY997" s="89" t="s">
        <v>21336</v>
      </c>
      <c r="AZ997" s="89" t="s">
        <v>646</v>
      </c>
      <c r="BA997" s="89" t="s">
        <v>25217</v>
      </c>
      <c r="BB997" s="89" t="s">
        <v>646</v>
      </c>
      <c r="BC997" s="89" t="s">
        <v>646</v>
      </c>
      <c r="BD997" s="89" t="s">
        <v>646</v>
      </c>
      <c r="BE997" s="89">
        <v>2015</v>
      </c>
      <c r="BF997" s="89" t="s">
        <v>646</v>
      </c>
      <c r="BG997" s="89" t="s">
        <v>646</v>
      </c>
      <c r="BH997" s="89" t="s">
        <v>646</v>
      </c>
      <c r="BI997" s="89" t="s">
        <v>646</v>
      </c>
      <c r="BJ997" s="89" t="s">
        <v>646</v>
      </c>
      <c r="BK997" s="89" t="s">
        <v>646</v>
      </c>
      <c r="BL997" s="89">
        <v>556</v>
      </c>
      <c r="BM997" s="89">
        <v>564</v>
      </c>
      <c r="BN997" s="89" t="s">
        <v>646</v>
      </c>
      <c r="BO997" s="89" t="s">
        <v>646</v>
      </c>
      <c r="BP997" s="89" t="s">
        <v>646</v>
      </c>
      <c r="BQ997" s="89" t="s">
        <v>646</v>
      </c>
      <c r="BR997" s="89" t="s">
        <v>646</v>
      </c>
      <c r="BS997" s="89" t="s">
        <v>646</v>
      </c>
      <c r="BT997" s="89" t="s">
        <v>646</v>
      </c>
      <c r="BU997" s="89" t="s">
        <v>646</v>
      </c>
      <c r="BV997" s="89" t="s">
        <v>646</v>
      </c>
      <c r="BW997" s="89" t="s">
        <v>646</v>
      </c>
      <c r="BX997" s="89" t="s">
        <v>646</v>
      </c>
      <c r="BY997" s="89" t="s">
        <v>646</v>
      </c>
      <c r="BZ997" s="89" t="s">
        <v>646</v>
      </c>
      <c r="CA997" s="89" t="s">
        <v>646</v>
      </c>
      <c r="CB997" s="89" t="s">
        <v>25218</v>
      </c>
      <c r="CC997" s="89" t="str">
        <f>HYPERLINK("https%3A%2F%2Fwww.webofscience.com%2Fwos%2Fwoscc%2Ffull-record%2FWOS:000371705200095","View Full Record in Web of Science")</f>
        <v>View Full Record in Web of Science</v>
      </c>
    </row>
    <row r="998" spans="1:81" ht="13.2" hidden="1" x14ac:dyDescent="0.25">
      <c r="A998" s="89" t="s">
        <v>25219</v>
      </c>
      <c r="B998" s="89" t="e">
        <f>+#REF!</f>
        <v>#REF!</v>
      </c>
      <c r="C998" s="89"/>
      <c r="D998" s="91" t="s">
        <v>717</v>
      </c>
      <c r="E998" s="90" t="e">
        <v>#REF!</v>
      </c>
      <c r="F998" s="89"/>
      <c r="G998" s="89"/>
      <c r="H998" s="89" t="s">
        <v>16057</v>
      </c>
      <c r="I998" s="89" t="s">
        <v>25220</v>
      </c>
      <c r="J998" s="89" t="s">
        <v>646</v>
      </c>
      <c r="K998" s="89" t="s">
        <v>25222</v>
      </c>
      <c r="M998" s="89">
        <v>2018</v>
      </c>
      <c r="N998" s="89" t="s">
        <v>25221</v>
      </c>
      <c r="O998" s="89" t="s">
        <v>646</v>
      </c>
      <c r="P998" s="89" t="str">
        <f>HYPERLINK("http://dx.doi.org/10.1145/3173574.3173657","http://dx.doi.org/10.1145/3173574.3173657")</f>
        <v>http://dx.doi.org/10.1145/3173574.3173657</v>
      </c>
      <c r="S998" s="89" t="s">
        <v>19206</v>
      </c>
      <c r="U998" s="89" t="s">
        <v>17474</v>
      </c>
      <c r="W998" s="89" t="s">
        <v>646</v>
      </c>
      <c r="X998" s="89" t="s">
        <v>646</v>
      </c>
      <c r="Y998" s="89" t="s">
        <v>19438</v>
      </c>
      <c r="Z998" s="89" t="s">
        <v>19439</v>
      </c>
      <c r="AA998" s="89" t="s">
        <v>18300</v>
      </c>
      <c r="AB998" s="89" t="s">
        <v>19440</v>
      </c>
      <c r="AC998" s="89" t="s">
        <v>646</v>
      </c>
      <c r="AD998" s="89" t="s">
        <v>646</v>
      </c>
      <c r="AE998" s="89" t="s">
        <v>646</v>
      </c>
      <c r="AF998" s="89" t="s">
        <v>25222</v>
      </c>
      <c r="AG998" s="89" t="s">
        <v>646</v>
      </c>
      <c r="AH998" s="89" t="s">
        <v>646</v>
      </c>
      <c r="AI998" s="89" t="s">
        <v>646</v>
      </c>
      <c r="AJ998" s="89" t="s">
        <v>646</v>
      </c>
      <c r="AK998" s="89" t="s">
        <v>646</v>
      </c>
      <c r="AL998" s="89" t="s">
        <v>25223</v>
      </c>
      <c r="AM998" s="89" t="s">
        <v>646</v>
      </c>
      <c r="AN998" s="89" t="s">
        <v>646</v>
      </c>
      <c r="AO998" s="89" t="s">
        <v>646</v>
      </c>
      <c r="AP998" s="89" t="s">
        <v>646</v>
      </c>
      <c r="AQ998" s="89" t="s">
        <v>646</v>
      </c>
      <c r="AR998" s="89" t="s">
        <v>646</v>
      </c>
      <c r="AS998" s="89" t="s">
        <v>646</v>
      </c>
      <c r="AT998" s="89" t="s">
        <v>646</v>
      </c>
      <c r="AU998" s="89" t="s">
        <v>646</v>
      </c>
      <c r="AV998" s="89" t="s">
        <v>646</v>
      </c>
      <c r="AW998" s="89" t="s">
        <v>646</v>
      </c>
      <c r="AX998" s="89" t="s">
        <v>646</v>
      </c>
      <c r="AY998" s="89" t="s">
        <v>646</v>
      </c>
      <c r="AZ998" s="89" t="s">
        <v>646</v>
      </c>
      <c r="BA998" s="89" t="s">
        <v>25224</v>
      </c>
      <c r="BB998" s="89" t="s">
        <v>646</v>
      </c>
      <c r="BC998" s="89" t="s">
        <v>646</v>
      </c>
      <c r="BD998" s="89" t="s">
        <v>646</v>
      </c>
      <c r="BE998" s="89">
        <v>2018</v>
      </c>
      <c r="BF998" s="89" t="s">
        <v>646</v>
      </c>
      <c r="BG998" s="89" t="s">
        <v>646</v>
      </c>
      <c r="BH998" s="89" t="s">
        <v>646</v>
      </c>
      <c r="BI998" s="89" t="s">
        <v>646</v>
      </c>
      <c r="BJ998" s="89" t="s">
        <v>646</v>
      </c>
      <c r="BK998" s="89" t="s">
        <v>646</v>
      </c>
      <c r="BL998" s="89" t="s">
        <v>646</v>
      </c>
      <c r="BM998" s="89" t="s">
        <v>646</v>
      </c>
      <c r="BN998" s="89" t="s">
        <v>646</v>
      </c>
      <c r="BO998" s="89" t="str">
        <f>HYPERLINK("http://dx.doi.org/10.1145/3173574.3173657","http://dx.doi.org/10.1145/3173574.3173657")</f>
        <v>http://dx.doi.org/10.1145/3173574.3173657</v>
      </c>
      <c r="BP998" s="89" t="s">
        <v>646</v>
      </c>
      <c r="BQ998" s="89" t="s">
        <v>646</v>
      </c>
      <c r="BR998" s="89" t="s">
        <v>646</v>
      </c>
      <c r="BS998" s="89" t="s">
        <v>646</v>
      </c>
      <c r="BT998" s="89" t="s">
        <v>646</v>
      </c>
      <c r="BU998" s="89" t="s">
        <v>646</v>
      </c>
      <c r="BV998" s="89" t="s">
        <v>646</v>
      </c>
      <c r="BW998" s="89" t="s">
        <v>646</v>
      </c>
      <c r="BX998" s="89" t="s">
        <v>646</v>
      </c>
      <c r="BY998" s="89" t="s">
        <v>646</v>
      </c>
      <c r="BZ998" s="89" t="s">
        <v>646</v>
      </c>
      <c r="CA998" s="89" t="s">
        <v>646</v>
      </c>
      <c r="CB998" s="89" t="s">
        <v>25225</v>
      </c>
      <c r="CC998" s="89" t="str">
        <f>HYPERLINK("https%3A%2F%2Fwww.webofscience.com%2Fwos%2Fwoscc%2Ffull-record%2FWOS:000509673101008","View Full Record in Web of Science")</f>
        <v>View Full Record in Web of Science</v>
      </c>
    </row>
    <row r="999" spans="1:81" ht="13.2" hidden="1" x14ac:dyDescent="0.25">
      <c r="A999" s="89" t="s">
        <v>16064</v>
      </c>
      <c r="B999" s="89" t="e">
        <f>+#REF!</f>
        <v>#REF!</v>
      </c>
      <c r="C999" s="89"/>
      <c r="D999" s="91" t="s">
        <v>717</v>
      </c>
      <c r="E999" s="90" t="e">
        <v>#REF!</v>
      </c>
      <c r="F999" s="89"/>
      <c r="G999" s="89"/>
      <c r="H999" s="89" t="s">
        <v>16065</v>
      </c>
      <c r="I999" s="89" t="s">
        <v>25226</v>
      </c>
      <c r="J999" s="89" t="s">
        <v>25229</v>
      </c>
      <c r="K999" s="89" t="s">
        <v>25228</v>
      </c>
      <c r="M999" s="89">
        <v>2020</v>
      </c>
      <c r="N999" s="89" t="s">
        <v>25227</v>
      </c>
      <c r="O999" s="89" t="s">
        <v>646</v>
      </c>
      <c r="P999" s="89" t="str">
        <f>HYPERLINK("http://dx.doi.org/10.1136/injuryprev-2018-043061","http://dx.doi.org/10.1136/injuryprev-2018-043061")</f>
        <v>http://dx.doi.org/10.1136/injuryprev-2018-043061</v>
      </c>
      <c r="S999" s="89" t="s">
        <v>646</v>
      </c>
      <c r="U999" s="89" t="s">
        <v>17462</v>
      </c>
      <c r="W999" s="89" t="s">
        <v>646</v>
      </c>
      <c r="X999" s="89" t="s">
        <v>646</v>
      </c>
      <c r="Y999" s="89" t="s">
        <v>646</v>
      </c>
      <c r="Z999" s="89" t="s">
        <v>646</v>
      </c>
      <c r="AA999" s="89" t="s">
        <v>646</v>
      </c>
      <c r="AB999" s="89" t="s">
        <v>646</v>
      </c>
      <c r="AC999" s="89" t="s">
        <v>646</v>
      </c>
      <c r="AD999" s="89" t="s">
        <v>646</v>
      </c>
      <c r="AE999" s="89" t="s">
        <v>646</v>
      </c>
      <c r="AF999" s="89" t="s">
        <v>25228</v>
      </c>
      <c r="AG999" s="89" t="s">
        <v>646</v>
      </c>
      <c r="AH999" s="89" t="s">
        <v>646</v>
      </c>
      <c r="AI999" s="89" t="s">
        <v>646</v>
      </c>
      <c r="AJ999" s="89" t="s">
        <v>646</v>
      </c>
      <c r="AK999" s="89" t="s">
        <v>25229</v>
      </c>
      <c r="AL999" s="89" t="s">
        <v>25230</v>
      </c>
      <c r="AM999" s="89" t="s">
        <v>646</v>
      </c>
      <c r="AN999" s="89" t="s">
        <v>646</v>
      </c>
      <c r="AO999" s="89" t="s">
        <v>646</v>
      </c>
      <c r="AP999" s="89" t="s">
        <v>646</v>
      </c>
      <c r="AQ999" s="89" t="s">
        <v>646</v>
      </c>
      <c r="AR999" s="89" t="s">
        <v>646</v>
      </c>
      <c r="AS999" s="89" t="s">
        <v>646</v>
      </c>
      <c r="AT999" s="89" t="s">
        <v>646</v>
      </c>
      <c r="AU999" s="89" t="s">
        <v>646</v>
      </c>
      <c r="AV999" s="89" t="s">
        <v>646</v>
      </c>
      <c r="AW999" s="89" t="s">
        <v>646</v>
      </c>
      <c r="AX999" s="89" t="s">
        <v>646</v>
      </c>
      <c r="AY999" s="89" t="s">
        <v>25231</v>
      </c>
      <c r="AZ999" s="89" t="s">
        <v>25232</v>
      </c>
      <c r="BA999" s="89" t="s">
        <v>646</v>
      </c>
      <c r="BB999" s="89" t="s">
        <v>646</v>
      </c>
      <c r="BC999" s="89" t="s">
        <v>646</v>
      </c>
      <c r="BD999" s="89" t="s">
        <v>17823</v>
      </c>
      <c r="BE999" s="89">
        <v>2020</v>
      </c>
      <c r="BF999" s="89">
        <v>26</v>
      </c>
      <c r="BG999" s="89">
        <v>2</v>
      </c>
      <c r="BH999" s="89" t="s">
        <v>646</v>
      </c>
      <c r="BI999" s="89" t="s">
        <v>646</v>
      </c>
      <c r="BJ999" s="89" t="s">
        <v>646</v>
      </c>
      <c r="BK999" s="89" t="s">
        <v>646</v>
      </c>
      <c r="BL999" s="89">
        <v>103</v>
      </c>
      <c r="BM999" s="89">
        <v>108</v>
      </c>
      <c r="BN999" s="89" t="s">
        <v>646</v>
      </c>
      <c r="BO999" s="89" t="str">
        <f>HYPERLINK("http://dx.doi.org/10.1136/injuryprev-2018-043061","http://dx.doi.org/10.1136/injuryprev-2018-043061")</f>
        <v>http://dx.doi.org/10.1136/injuryprev-2018-043061</v>
      </c>
      <c r="BP999" s="89" t="s">
        <v>646</v>
      </c>
      <c r="BQ999" s="89" t="s">
        <v>646</v>
      </c>
      <c r="BR999" s="89" t="s">
        <v>646</v>
      </c>
      <c r="BS999" s="89" t="s">
        <v>646</v>
      </c>
      <c r="BT999" s="89" t="s">
        <v>646</v>
      </c>
      <c r="BU999" s="89" t="s">
        <v>646</v>
      </c>
      <c r="BV999" s="89" t="s">
        <v>646</v>
      </c>
      <c r="BW999" s="89">
        <v>30833286</v>
      </c>
      <c r="BX999" s="89" t="s">
        <v>646</v>
      </c>
      <c r="BY999" s="89" t="s">
        <v>646</v>
      </c>
      <c r="BZ999" s="89" t="s">
        <v>646</v>
      </c>
      <c r="CA999" s="89" t="s">
        <v>646</v>
      </c>
      <c r="CB999" s="89" t="s">
        <v>25233</v>
      </c>
      <c r="CC999" s="89" t="str">
        <f>HYPERLINK("https%3A%2F%2Fwww.webofscience.com%2Fwos%2Fwoscc%2Ffull-record%2FWOS:000523453000003","View Full Record in Web of Science")</f>
        <v>View Full Record in Web of Science</v>
      </c>
    </row>
    <row r="1000" spans="1:81" ht="13.2" hidden="1" x14ac:dyDescent="0.25">
      <c r="A1000" s="89" t="s">
        <v>16073</v>
      </c>
      <c r="B1000" s="89" t="e">
        <f>+#REF!</f>
        <v>#REF!</v>
      </c>
      <c r="C1000" s="89"/>
      <c r="D1000" s="91" t="s">
        <v>717</v>
      </c>
      <c r="E1000" s="90" t="e">
        <v>#REF!</v>
      </c>
      <c r="F1000" s="89"/>
      <c r="G1000" s="89"/>
      <c r="H1000" s="89" t="s">
        <v>16074</v>
      </c>
      <c r="I1000" s="89" t="s">
        <v>25234</v>
      </c>
      <c r="J1000" s="89" t="s">
        <v>25236</v>
      </c>
      <c r="K1000" s="89" t="s">
        <v>25235</v>
      </c>
      <c r="M1000" s="89">
        <v>2018</v>
      </c>
      <c r="N1000" s="89" t="s">
        <v>20684</v>
      </c>
      <c r="O1000" s="89" t="s">
        <v>646</v>
      </c>
      <c r="P1000" s="89" t="str">
        <f>HYPERLINK("http://dx.doi.org/10.1016/j.paid.2018.06.056","http://dx.doi.org/10.1016/j.paid.2018.06.056")</f>
        <v>http://dx.doi.org/10.1016/j.paid.2018.06.056</v>
      </c>
      <c r="S1000" s="89" t="s">
        <v>646</v>
      </c>
      <c r="U1000" s="89" t="s">
        <v>17462</v>
      </c>
      <c r="W1000" s="89" t="s">
        <v>646</v>
      </c>
      <c r="X1000" s="89" t="s">
        <v>646</v>
      </c>
      <c r="Y1000" s="89" t="s">
        <v>646</v>
      </c>
      <c r="Z1000" s="89" t="s">
        <v>646</v>
      </c>
      <c r="AA1000" s="89" t="s">
        <v>646</v>
      </c>
      <c r="AB1000" s="89" t="s">
        <v>646</v>
      </c>
      <c r="AC1000" s="89" t="s">
        <v>646</v>
      </c>
      <c r="AD1000" s="89" t="s">
        <v>646</v>
      </c>
      <c r="AE1000" s="89" t="s">
        <v>646</v>
      </c>
      <c r="AF1000" s="89" t="s">
        <v>25235</v>
      </c>
      <c r="AG1000" s="89" t="s">
        <v>646</v>
      </c>
      <c r="AH1000" s="89" t="s">
        <v>646</v>
      </c>
      <c r="AI1000" s="89" t="s">
        <v>646</v>
      </c>
      <c r="AJ1000" s="89" t="s">
        <v>646</v>
      </c>
      <c r="AK1000" s="89" t="s">
        <v>25236</v>
      </c>
      <c r="AL1000" s="89" t="s">
        <v>25237</v>
      </c>
      <c r="AM1000" s="89" t="s">
        <v>646</v>
      </c>
      <c r="AN1000" s="89" t="s">
        <v>646</v>
      </c>
      <c r="AO1000" s="89" t="s">
        <v>646</v>
      </c>
      <c r="AP1000" s="89" t="s">
        <v>646</v>
      </c>
      <c r="AQ1000" s="89" t="s">
        <v>646</v>
      </c>
      <c r="AR1000" s="89" t="s">
        <v>646</v>
      </c>
      <c r="AS1000" s="89" t="s">
        <v>646</v>
      </c>
      <c r="AT1000" s="89" t="s">
        <v>646</v>
      </c>
      <c r="AU1000" s="89" t="s">
        <v>646</v>
      </c>
      <c r="AV1000" s="89" t="s">
        <v>646</v>
      </c>
      <c r="AW1000" s="89" t="s">
        <v>646</v>
      </c>
      <c r="AX1000" s="89" t="s">
        <v>646</v>
      </c>
      <c r="AY1000" s="89" t="s">
        <v>20686</v>
      </c>
      <c r="AZ1000" s="89" t="s">
        <v>646</v>
      </c>
      <c r="BA1000" s="89" t="s">
        <v>646</v>
      </c>
      <c r="BB1000" s="89" t="s">
        <v>646</v>
      </c>
      <c r="BC1000" s="89" t="s">
        <v>646</v>
      </c>
      <c r="BD1000" s="89" t="s">
        <v>25238</v>
      </c>
      <c r="BE1000" s="89">
        <v>2018</v>
      </c>
      <c r="BF1000" s="89">
        <v>135</v>
      </c>
      <c r="BG1000" s="89" t="s">
        <v>646</v>
      </c>
      <c r="BH1000" s="89" t="s">
        <v>646</v>
      </c>
      <c r="BI1000" s="89" t="s">
        <v>646</v>
      </c>
      <c r="BJ1000" s="89" t="s">
        <v>646</v>
      </c>
      <c r="BK1000" s="89" t="s">
        <v>646</v>
      </c>
      <c r="BL1000" s="89">
        <v>113</v>
      </c>
      <c r="BM1000" s="89">
        <v>120</v>
      </c>
      <c r="BN1000" s="89" t="s">
        <v>646</v>
      </c>
      <c r="BO1000" s="89" t="str">
        <f>HYPERLINK("http://dx.doi.org/10.1016/j.paid.2018.06.056","http://dx.doi.org/10.1016/j.paid.2018.06.056")</f>
        <v>http://dx.doi.org/10.1016/j.paid.2018.06.056</v>
      </c>
      <c r="BP1000" s="89" t="s">
        <v>646</v>
      </c>
      <c r="BQ1000" s="89" t="s">
        <v>646</v>
      </c>
      <c r="BR1000" s="89" t="s">
        <v>646</v>
      </c>
      <c r="BS1000" s="89" t="s">
        <v>646</v>
      </c>
      <c r="BT1000" s="89" t="s">
        <v>646</v>
      </c>
      <c r="BU1000" s="89" t="s">
        <v>646</v>
      </c>
      <c r="BV1000" s="89" t="s">
        <v>646</v>
      </c>
      <c r="BW1000" s="89" t="s">
        <v>646</v>
      </c>
      <c r="BX1000" s="89" t="s">
        <v>646</v>
      </c>
      <c r="BY1000" s="89" t="s">
        <v>646</v>
      </c>
      <c r="BZ1000" s="89" t="s">
        <v>646</v>
      </c>
      <c r="CA1000" s="89" t="s">
        <v>646</v>
      </c>
      <c r="CB1000" s="89" t="s">
        <v>25239</v>
      </c>
      <c r="CC1000" s="89" t="str">
        <f>HYPERLINK("https%3A%2F%2Fwww.webofscience.com%2Fwos%2Fwoscc%2Ffull-record%2FWOS:000446144900017","View Full Record in Web of Science")</f>
        <v>View Full Record in Web of Science</v>
      </c>
    </row>
    <row r="1001" spans="1:81" ht="13.2" hidden="1" x14ac:dyDescent="0.25">
      <c r="A1001" s="89" t="s">
        <v>10662</v>
      </c>
      <c r="B1001" s="89" t="e">
        <f>+#REF!</f>
        <v>#REF!</v>
      </c>
      <c r="C1001" s="89"/>
      <c r="D1001" s="91" t="s">
        <v>717</v>
      </c>
      <c r="E1001" s="90" t="e">
        <v>#REF!</v>
      </c>
      <c r="F1001" s="89"/>
      <c r="G1001" s="89"/>
      <c r="H1001" s="89" t="s">
        <v>10663</v>
      </c>
      <c r="I1001" s="89" t="s">
        <v>25240</v>
      </c>
      <c r="J1001" s="89" t="s">
        <v>25242</v>
      </c>
      <c r="K1001" s="89" t="s">
        <v>25241</v>
      </c>
      <c r="M1001" s="89">
        <v>2021</v>
      </c>
      <c r="N1001" s="89" t="s">
        <v>24919</v>
      </c>
      <c r="O1001" s="89" t="s">
        <v>646</v>
      </c>
      <c r="P1001" s="89" t="str">
        <f>HYPERLINK("http://dx.doi.org/10.1155/2021/2259594","http://dx.doi.org/10.1155/2021/2259594")</f>
        <v>http://dx.doi.org/10.1155/2021/2259594</v>
      </c>
      <c r="S1001" s="89" t="s">
        <v>646</v>
      </c>
      <c r="U1001" s="89" t="s">
        <v>17462</v>
      </c>
      <c r="W1001" s="89" t="s">
        <v>646</v>
      </c>
      <c r="X1001" s="89" t="s">
        <v>646</v>
      </c>
      <c r="Y1001" s="89" t="s">
        <v>646</v>
      </c>
      <c r="Z1001" s="89" t="s">
        <v>646</v>
      </c>
      <c r="AA1001" s="89" t="s">
        <v>646</v>
      </c>
      <c r="AB1001" s="89" t="s">
        <v>646</v>
      </c>
      <c r="AC1001" s="89" t="s">
        <v>646</v>
      </c>
      <c r="AD1001" s="89" t="s">
        <v>646</v>
      </c>
      <c r="AE1001" s="89" t="s">
        <v>646</v>
      </c>
      <c r="AF1001" s="89" t="s">
        <v>25241</v>
      </c>
      <c r="AG1001" s="89" t="s">
        <v>646</v>
      </c>
      <c r="AH1001" s="89" t="s">
        <v>646</v>
      </c>
      <c r="AI1001" s="89" t="s">
        <v>646</v>
      </c>
      <c r="AJ1001" s="89" t="s">
        <v>646</v>
      </c>
      <c r="AK1001" s="89" t="s">
        <v>25242</v>
      </c>
      <c r="AL1001" s="89" t="s">
        <v>25243</v>
      </c>
      <c r="AM1001" s="89" t="s">
        <v>646</v>
      </c>
      <c r="AN1001" s="89" t="s">
        <v>646</v>
      </c>
      <c r="AO1001" s="89" t="s">
        <v>646</v>
      </c>
      <c r="AP1001" s="89" t="s">
        <v>646</v>
      </c>
      <c r="AQ1001" s="89" t="s">
        <v>646</v>
      </c>
      <c r="AR1001" s="89" t="s">
        <v>646</v>
      </c>
      <c r="AS1001" s="89" t="s">
        <v>646</v>
      </c>
      <c r="AT1001" s="89" t="s">
        <v>646</v>
      </c>
      <c r="AU1001" s="89" t="s">
        <v>646</v>
      </c>
      <c r="AV1001" s="89" t="s">
        <v>646</v>
      </c>
      <c r="AW1001" s="89" t="s">
        <v>646</v>
      </c>
      <c r="AX1001" s="89" t="s">
        <v>646</v>
      </c>
      <c r="AY1001" s="89" t="s">
        <v>24923</v>
      </c>
      <c r="AZ1001" s="89" t="s">
        <v>24924</v>
      </c>
      <c r="BA1001" s="89" t="s">
        <v>646</v>
      </c>
      <c r="BB1001" s="89" t="s">
        <v>646</v>
      </c>
      <c r="BC1001" s="89" t="s">
        <v>646</v>
      </c>
      <c r="BD1001" s="89" t="s">
        <v>25244</v>
      </c>
      <c r="BE1001" s="89">
        <v>2021</v>
      </c>
      <c r="BF1001" s="89">
        <v>2021</v>
      </c>
      <c r="BG1001" s="89" t="s">
        <v>646</v>
      </c>
      <c r="BH1001" s="89" t="s">
        <v>646</v>
      </c>
      <c r="BI1001" s="89" t="s">
        <v>646</v>
      </c>
      <c r="BJ1001" s="89" t="s">
        <v>646</v>
      </c>
      <c r="BK1001" s="89" t="s">
        <v>646</v>
      </c>
      <c r="BL1001" s="89" t="s">
        <v>646</v>
      </c>
      <c r="BM1001" s="89" t="s">
        <v>646</v>
      </c>
      <c r="BN1001" s="89">
        <v>2259594</v>
      </c>
      <c r="BO1001" s="89" t="str">
        <f>HYPERLINK("http://dx.doi.org/10.1155/2021/2259594","http://dx.doi.org/10.1155/2021/2259594")</f>
        <v>http://dx.doi.org/10.1155/2021/2259594</v>
      </c>
      <c r="BP1001" s="89" t="s">
        <v>646</v>
      </c>
      <c r="BQ1001" s="89" t="s">
        <v>646</v>
      </c>
      <c r="BR1001" s="89" t="s">
        <v>646</v>
      </c>
      <c r="BS1001" s="89" t="s">
        <v>646</v>
      </c>
      <c r="BT1001" s="89" t="s">
        <v>646</v>
      </c>
      <c r="BU1001" s="89" t="s">
        <v>646</v>
      </c>
      <c r="BV1001" s="89" t="s">
        <v>646</v>
      </c>
      <c r="BW1001" s="89" t="s">
        <v>646</v>
      </c>
      <c r="BX1001" s="89" t="s">
        <v>646</v>
      </c>
      <c r="BY1001" s="89" t="s">
        <v>646</v>
      </c>
      <c r="BZ1001" s="89" t="s">
        <v>646</v>
      </c>
      <c r="CA1001" s="89" t="s">
        <v>646</v>
      </c>
      <c r="CB1001" s="89" t="s">
        <v>25245</v>
      </c>
      <c r="CC1001" s="89" t="str">
        <f>HYPERLINK("https%3A%2F%2Fwww.webofscience.com%2Fwos%2Fwoscc%2Ffull-record%2FWOS:000680530900003","View Full Record in Web of Science")</f>
        <v>View Full Record in Web of Science</v>
      </c>
    </row>
    <row r="1002" spans="1:81" ht="13.2" hidden="1" x14ac:dyDescent="0.25">
      <c r="A1002" s="89" t="s">
        <v>16082</v>
      </c>
      <c r="B1002" s="89" t="e">
        <f>+#REF!</f>
        <v>#REF!</v>
      </c>
      <c r="C1002" s="89"/>
      <c r="D1002" s="91" t="s">
        <v>717</v>
      </c>
      <c r="E1002" s="90" t="e">
        <v>#REF!</v>
      </c>
      <c r="F1002" s="89"/>
      <c r="G1002" s="89"/>
      <c r="H1002" s="89" t="s">
        <v>16083</v>
      </c>
      <c r="I1002" s="89" t="s">
        <v>25246</v>
      </c>
      <c r="J1002" s="89" t="s">
        <v>18816</v>
      </c>
      <c r="K1002" s="89" t="s">
        <v>25248</v>
      </c>
      <c r="M1002" s="89">
        <v>2016</v>
      </c>
      <c r="N1002" s="89" t="s">
        <v>25247</v>
      </c>
      <c r="O1002" s="89" t="s">
        <v>646</v>
      </c>
      <c r="P1002" s="89" t="str">
        <f>HYPERLINK("http://dx.doi.org/10.1007/s40732-016-0167-2","http://dx.doi.org/10.1007/s40732-016-0167-2")</f>
        <v>http://dx.doi.org/10.1007/s40732-016-0167-2</v>
      </c>
      <c r="S1002" s="89" t="s">
        <v>646</v>
      </c>
      <c r="U1002" s="89" t="s">
        <v>17462</v>
      </c>
      <c r="W1002" s="89" t="s">
        <v>646</v>
      </c>
      <c r="X1002" s="89" t="s">
        <v>646</v>
      </c>
      <c r="Y1002" s="89" t="s">
        <v>646</v>
      </c>
      <c r="Z1002" s="89" t="s">
        <v>646</v>
      </c>
      <c r="AA1002" s="89" t="s">
        <v>646</v>
      </c>
      <c r="AB1002" s="89" t="s">
        <v>646</v>
      </c>
      <c r="AC1002" s="89" t="s">
        <v>646</v>
      </c>
      <c r="AD1002" s="89" t="s">
        <v>646</v>
      </c>
      <c r="AE1002" s="89" t="s">
        <v>646</v>
      </c>
      <c r="AF1002" s="89" t="s">
        <v>25248</v>
      </c>
      <c r="AG1002" s="89" t="s">
        <v>646</v>
      </c>
      <c r="AH1002" s="89" t="s">
        <v>646</v>
      </c>
      <c r="AI1002" s="89" t="s">
        <v>646</v>
      </c>
      <c r="AJ1002" s="89" t="s">
        <v>646</v>
      </c>
      <c r="AK1002" s="89" t="s">
        <v>18816</v>
      </c>
      <c r="AL1002" s="89" t="s">
        <v>25249</v>
      </c>
      <c r="AM1002" s="89" t="s">
        <v>646</v>
      </c>
      <c r="AN1002" s="89" t="s">
        <v>646</v>
      </c>
      <c r="AO1002" s="89" t="s">
        <v>646</v>
      </c>
      <c r="AP1002" s="89" t="s">
        <v>646</v>
      </c>
      <c r="AQ1002" s="89" t="s">
        <v>646</v>
      </c>
      <c r="AR1002" s="89" t="s">
        <v>646</v>
      </c>
      <c r="AS1002" s="89" t="s">
        <v>646</v>
      </c>
      <c r="AT1002" s="89" t="s">
        <v>646</v>
      </c>
      <c r="AU1002" s="89" t="s">
        <v>646</v>
      </c>
      <c r="AV1002" s="89" t="s">
        <v>646</v>
      </c>
      <c r="AW1002" s="89" t="s">
        <v>646</v>
      </c>
      <c r="AX1002" s="89" t="s">
        <v>646</v>
      </c>
      <c r="AY1002" s="89" t="s">
        <v>25250</v>
      </c>
      <c r="AZ1002" s="89" t="s">
        <v>25251</v>
      </c>
      <c r="BA1002" s="89" t="s">
        <v>646</v>
      </c>
      <c r="BB1002" s="89" t="s">
        <v>646</v>
      </c>
      <c r="BC1002" s="89" t="s">
        <v>646</v>
      </c>
      <c r="BD1002" s="89" t="s">
        <v>17772</v>
      </c>
      <c r="BE1002" s="89">
        <v>2016</v>
      </c>
      <c r="BF1002" s="89">
        <v>66</v>
      </c>
      <c r="BG1002" s="89">
        <v>2</v>
      </c>
      <c r="BH1002" s="89" t="s">
        <v>646</v>
      </c>
      <c r="BI1002" s="89" t="s">
        <v>646</v>
      </c>
      <c r="BJ1002" s="89" t="s">
        <v>646</v>
      </c>
      <c r="BK1002" s="89" t="s">
        <v>646</v>
      </c>
      <c r="BL1002" s="89">
        <v>253</v>
      </c>
      <c r="BM1002" s="89">
        <v>261</v>
      </c>
      <c r="BN1002" s="89" t="s">
        <v>646</v>
      </c>
      <c r="BO1002" s="89" t="str">
        <f>HYPERLINK("http://dx.doi.org/10.1007/s40732-016-0167-2","http://dx.doi.org/10.1007/s40732-016-0167-2")</f>
        <v>http://dx.doi.org/10.1007/s40732-016-0167-2</v>
      </c>
      <c r="BP1002" s="89" t="s">
        <v>646</v>
      </c>
      <c r="BQ1002" s="89" t="s">
        <v>646</v>
      </c>
      <c r="BR1002" s="89" t="s">
        <v>646</v>
      </c>
      <c r="BS1002" s="89" t="s">
        <v>646</v>
      </c>
      <c r="BT1002" s="89" t="s">
        <v>646</v>
      </c>
      <c r="BU1002" s="89" t="s">
        <v>646</v>
      </c>
      <c r="BV1002" s="89" t="s">
        <v>646</v>
      </c>
      <c r="BW1002" s="89" t="s">
        <v>646</v>
      </c>
      <c r="BX1002" s="89" t="s">
        <v>646</v>
      </c>
      <c r="BY1002" s="89" t="s">
        <v>646</v>
      </c>
      <c r="BZ1002" s="89" t="s">
        <v>646</v>
      </c>
      <c r="CA1002" s="89" t="s">
        <v>646</v>
      </c>
      <c r="CB1002" s="89" t="s">
        <v>25252</v>
      </c>
      <c r="CC1002" s="89" t="str">
        <f>HYPERLINK("https%3A%2F%2Fwww.webofscience.com%2Fwos%2Fwoscc%2Ffull-record%2FWOS:000374336600006","View Full Record in Web of Science")</f>
        <v>View Full Record in Web of Science</v>
      </c>
    </row>
    <row r="1003" spans="1:81" ht="13.2" hidden="1" x14ac:dyDescent="0.25">
      <c r="A1003" s="89" t="s">
        <v>25253</v>
      </c>
      <c r="B1003" s="89" t="e">
        <f>+#REF!</f>
        <v>#REF!</v>
      </c>
      <c r="C1003" s="89"/>
      <c r="D1003" s="91" t="s">
        <v>717</v>
      </c>
      <c r="E1003" s="90" t="e">
        <v>#REF!</v>
      </c>
      <c r="F1003" s="89"/>
      <c r="G1003" s="89"/>
      <c r="H1003" s="89" t="s">
        <v>16092</v>
      </c>
      <c r="I1003" s="89" t="s">
        <v>25254</v>
      </c>
      <c r="J1003" s="89" t="s">
        <v>25256</v>
      </c>
      <c r="K1003" s="89" t="s">
        <v>25255</v>
      </c>
      <c r="M1003" s="89">
        <v>2016</v>
      </c>
      <c r="N1003" s="89" t="s">
        <v>21751</v>
      </c>
      <c r="O1003" s="89" t="s">
        <v>646</v>
      </c>
      <c r="P1003" s="89" t="str">
        <f>HYPERLINK("http://dx.doi.org/10.1145/2818048.2819991","http://dx.doi.org/10.1145/2818048.2819991")</f>
        <v>http://dx.doi.org/10.1145/2818048.2819991</v>
      </c>
      <c r="S1003" s="89" t="s">
        <v>19206</v>
      </c>
      <c r="U1003" s="89" t="s">
        <v>17474</v>
      </c>
      <c r="W1003" s="89" t="s">
        <v>646</v>
      </c>
      <c r="X1003" s="89" t="s">
        <v>646</v>
      </c>
      <c r="Y1003" s="89" t="s">
        <v>21752</v>
      </c>
      <c r="Z1003" s="89" t="s">
        <v>21753</v>
      </c>
      <c r="AA1003" s="89" t="s">
        <v>19723</v>
      </c>
      <c r="AB1003" s="89" t="s">
        <v>21754</v>
      </c>
      <c r="AC1003" s="89" t="s">
        <v>646</v>
      </c>
      <c r="AD1003" s="89" t="s">
        <v>646</v>
      </c>
      <c r="AE1003" s="89" t="s">
        <v>646</v>
      </c>
      <c r="AF1003" s="89" t="s">
        <v>25255</v>
      </c>
      <c r="AG1003" s="89" t="s">
        <v>646</v>
      </c>
      <c r="AH1003" s="89" t="s">
        <v>646</v>
      </c>
      <c r="AI1003" s="89" t="s">
        <v>646</v>
      </c>
      <c r="AJ1003" s="89" t="s">
        <v>646</v>
      </c>
      <c r="AK1003" s="89" t="s">
        <v>25256</v>
      </c>
      <c r="AL1003" s="89" t="s">
        <v>25257</v>
      </c>
      <c r="AM1003" s="89" t="s">
        <v>646</v>
      </c>
      <c r="AN1003" s="89" t="s">
        <v>646</v>
      </c>
      <c r="AO1003" s="89" t="s">
        <v>646</v>
      </c>
      <c r="AP1003" s="89" t="s">
        <v>646</v>
      </c>
      <c r="AQ1003" s="89" t="s">
        <v>646</v>
      </c>
      <c r="AR1003" s="89" t="s">
        <v>646</v>
      </c>
      <c r="AS1003" s="89" t="s">
        <v>646</v>
      </c>
      <c r="AT1003" s="89" t="s">
        <v>646</v>
      </c>
      <c r="AU1003" s="89" t="s">
        <v>646</v>
      </c>
      <c r="AV1003" s="89" t="s">
        <v>646</v>
      </c>
      <c r="AW1003" s="89" t="s">
        <v>646</v>
      </c>
      <c r="AX1003" s="89" t="s">
        <v>646</v>
      </c>
      <c r="AY1003" s="89" t="s">
        <v>646</v>
      </c>
      <c r="AZ1003" s="89" t="s">
        <v>646</v>
      </c>
      <c r="BA1003" s="89" t="s">
        <v>21758</v>
      </c>
      <c r="BB1003" s="89" t="s">
        <v>646</v>
      </c>
      <c r="BC1003" s="89" t="s">
        <v>646</v>
      </c>
      <c r="BD1003" s="89" t="s">
        <v>646</v>
      </c>
      <c r="BE1003" s="89">
        <v>2016</v>
      </c>
      <c r="BF1003" s="89" t="s">
        <v>646</v>
      </c>
      <c r="BG1003" s="89" t="s">
        <v>646</v>
      </c>
      <c r="BH1003" s="89" t="s">
        <v>646</v>
      </c>
      <c r="BI1003" s="89" t="s">
        <v>646</v>
      </c>
      <c r="BJ1003" s="89" t="s">
        <v>646</v>
      </c>
      <c r="BK1003" s="89" t="s">
        <v>646</v>
      </c>
      <c r="BL1003" s="89">
        <v>319</v>
      </c>
      <c r="BM1003" s="89">
        <v>334</v>
      </c>
      <c r="BN1003" s="89" t="s">
        <v>646</v>
      </c>
      <c r="BO1003" s="89" t="str">
        <f>HYPERLINK("http://dx.doi.org/10.1145/2818048.2819991","http://dx.doi.org/10.1145/2818048.2819991")</f>
        <v>http://dx.doi.org/10.1145/2818048.2819991</v>
      </c>
      <c r="BP1003" s="89" t="s">
        <v>646</v>
      </c>
      <c r="BQ1003" s="89" t="s">
        <v>646</v>
      </c>
      <c r="BR1003" s="89" t="s">
        <v>646</v>
      </c>
      <c r="BS1003" s="89" t="s">
        <v>646</v>
      </c>
      <c r="BT1003" s="89" t="s">
        <v>646</v>
      </c>
      <c r="BU1003" s="89" t="s">
        <v>646</v>
      </c>
      <c r="BV1003" s="89" t="s">
        <v>646</v>
      </c>
      <c r="BW1003" s="89" t="s">
        <v>646</v>
      </c>
      <c r="BX1003" s="89" t="s">
        <v>646</v>
      </c>
      <c r="BY1003" s="89" t="s">
        <v>646</v>
      </c>
      <c r="BZ1003" s="89" t="s">
        <v>646</v>
      </c>
      <c r="CA1003" s="89" t="s">
        <v>646</v>
      </c>
      <c r="CB1003" s="89" t="s">
        <v>25258</v>
      </c>
      <c r="CC1003" s="89" t="str">
        <f>HYPERLINK("https%3A%2F%2Fwww.webofscience.com%2Fwos%2Fwoscc%2Ffull-record%2FWOS:000389809500026","View Full Record in Web of Science")</f>
        <v>View Full Record in Web of Science</v>
      </c>
    </row>
    <row r="1004" spans="1:81" ht="13.2" hidden="1" x14ac:dyDescent="0.25">
      <c r="A1004" s="89" t="s">
        <v>16099</v>
      </c>
      <c r="B1004" s="89" t="e">
        <f>+#REF!</f>
        <v>#REF!</v>
      </c>
      <c r="C1004" s="89"/>
      <c r="D1004" s="91" t="s">
        <v>717</v>
      </c>
      <c r="E1004" s="90" t="e">
        <v>#REF!</v>
      </c>
      <c r="F1004" s="89"/>
      <c r="G1004" s="89"/>
      <c r="H1004" s="89" t="s">
        <v>16100</v>
      </c>
      <c r="I1004" s="89" t="s">
        <v>25259</v>
      </c>
      <c r="J1004" s="89" t="s">
        <v>646</v>
      </c>
      <c r="K1004" s="89" t="s">
        <v>25264</v>
      </c>
      <c r="M1004" s="89">
        <v>2018</v>
      </c>
      <c r="N1004" s="89" t="s">
        <v>25260</v>
      </c>
      <c r="O1004" s="89" t="s">
        <v>646</v>
      </c>
      <c r="P1004" s="89" t="str">
        <f>HYPERLINK("http://dx.doi.org/10.1016/j.jsurg.2017.09.030","http://dx.doi.org/10.1016/j.jsurg.2017.09.030")</f>
        <v>http://dx.doi.org/10.1016/j.jsurg.2017.09.030</v>
      </c>
      <c r="S1004" s="89" t="s">
        <v>646</v>
      </c>
      <c r="U1004" s="89" t="s">
        <v>17462</v>
      </c>
      <c r="W1004" s="89" t="s">
        <v>646</v>
      </c>
      <c r="X1004" s="89" t="s">
        <v>646</v>
      </c>
      <c r="Y1004" s="89" t="s">
        <v>25261</v>
      </c>
      <c r="Z1004" s="89" t="s">
        <v>25262</v>
      </c>
      <c r="AA1004" s="89" t="s">
        <v>22629</v>
      </c>
      <c r="AB1004" s="89" t="s">
        <v>25263</v>
      </c>
      <c r="AC1004" s="89" t="s">
        <v>646</v>
      </c>
      <c r="AD1004" s="89" t="s">
        <v>646</v>
      </c>
      <c r="AE1004" s="89" t="s">
        <v>646</v>
      </c>
      <c r="AF1004" s="89" t="s">
        <v>25264</v>
      </c>
      <c r="AG1004" s="89" t="s">
        <v>646</v>
      </c>
      <c r="AH1004" s="89" t="s">
        <v>646</v>
      </c>
      <c r="AI1004" s="89" t="s">
        <v>646</v>
      </c>
      <c r="AJ1004" s="89" t="s">
        <v>646</v>
      </c>
      <c r="AK1004" s="89" t="s">
        <v>646</v>
      </c>
      <c r="AL1004" s="89" t="s">
        <v>25265</v>
      </c>
      <c r="AM1004" s="89" t="s">
        <v>646</v>
      </c>
      <c r="AN1004" s="89" t="s">
        <v>646</v>
      </c>
      <c r="AO1004" s="89" t="s">
        <v>646</v>
      </c>
      <c r="AP1004" s="89" t="s">
        <v>646</v>
      </c>
      <c r="AQ1004" s="89" t="s">
        <v>646</v>
      </c>
      <c r="AR1004" s="89" t="s">
        <v>646</v>
      </c>
      <c r="AS1004" s="89" t="s">
        <v>646</v>
      </c>
      <c r="AT1004" s="89" t="s">
        <v>646</v>
      </c>
      <c r="AU1004" s="89" t="s">
        <v>646</v>
      </c>
      <c r="AV1004" s="89" t="s">
        <v>646</v>
      </c>
      <c r="AW1004" s="89" t="s">
        <v>646</v>
      </c>
      <c r="AX1004" s="89" t="s">
        <v>646</v>
      </c>
      <c r="AY1004" s="89" t="s">
        <v>25266</v>
      </c>
      <c r="AZ1004" s="89" t="s">
        <v>25267</v>
      </c>
      <c r="BA1004" s="89" t="s">
        <v>646</v>
      </c>
      <c r="BB1004" s="89" t="s">
        <v>646</v>
      </c>
      <c r="BC1004" s="89" t="s">
        <v>646</v>
      </c>
      <c r="BD1004" s="89" t="s">
        <v>18608</v>
      </c>
      <c r="BE1004" s="89">
        <v>2018</v>
      </c>
      <c r="BF1004" s="89">
        <v>75</v>
      </c>
      <c r="BG1004" s="89">
        <v>3</v>
      </c>
      <c r="BH1004" s="89" t="s">
        <v>646</v>
      </c>
      <c r="BI1004" s="89" t="s">
        <v>646</v>
      </c>
      <c r="BJ1004" s="89" t="s">
        <v>646</v>
      </c>
      <c r="BK1004" s="89" t="s">
        <v>646</v>
      </c>
      <c r="BL1004" s="89">
        <v>664</v>
      </c>
      <c r="BM1004" s="89">
        <v>670</v>
      </c>
      <c r="BN1004" s="89" t="s">
        <v>646</v>
      </c>
      <c r="BO1004" s="89" t="str">
        <f>HYPERLINK("http://dx.doi.org/10.1016/j.jsurg.2017.09.030","http://dx.doi.org/10.1016/j.jsurg.2017.09.030")</f>
        <v>http://dx.doi.org/10.1016/j.jsurg.2017.09.030</v>
      </c>
      <c r="BP1004" s="89" t="s">
        <v>646</v>
      </c>
      <c r="BQ1004" s="89" t="s">
        <v>646</v>
      </c>
      <c r="BR1004" s="89" t="s">
        <v>646</v>
      </c>
      <c r="BS1004" s="89" t="s">
        <v>646</v>
      </c>
      <c r="BT1004" s="89" t="s">
        <v>646</v>
      </c>
      <c r="BU1004" s="89" t="s">
        <v>646</v>
      </c>
      <c r="BV1004" s="89" t="s">
        <v>646</v>
      </c>
      <c r="BW1004" s="89">
        <v>29249640</v>
      </c>
      <c r="BX1004" s="89" t="s">
        <v>646</v>
      </c>
      <c r="BY1004" s="89" t="s">
        <v>646</v>
      </c>
      <c r="BZ1004" s="89" t="s">
        <v>646</v>
      </c>
      <c r="CA1004" s="89" t="s">
        <v>646</v>
      </c>
      <c r="CB1004" s="89" t="s">
        <v>25268</v>
      </c>
      <c r="CC1004" s="89" t="str">
        <f>HYPERLINK("https%3A%2F%2Fwww.webofscience.com%2Fwos%2Fwoscc%2Ffull-record%2FWOS:000434907100019","View Full Record in Web of Science")</f>
        <v>View Full Record in Web of Science</v>
      </c>
    </row>
    <row r="1005" spans="1:81" ht="13.2" hidden="1" x14ac:dyDescent="0.25">
      <c r="A1005" s="89" t="s">
        <v>10673</v>
      </c>
      <c r="B1005" s="89" t="e">
        <f>+#REF!</f>
        <v>#REF!</v>
      </c>
      <c r="C1005" s="89"/>
      <c r="D1005" s="91" t="s">
        <v>717</v>
      </c>
      <c r="E1005" s="90" t="e">
        <v>#REF!</v>
      </c>
      <c r="F1005" s="89"/>
      <c r="G1005" s="89"/>
      <c r="H1005" s="89" t="s">
        <v>10674</v>
      </c>
      <c r="I1005" s="89" t="s">
        <v>25269</v>
      </c>
      <c r="J1005" s="89" t="s">
        <v>25271</v>
      </c>
      <c r="K1005" s="89" t="s">
        <v>25270</v>
      </c>
      <c r="M1005" s="89">
        <v>2021</v>
      </c>
      <c r="N1005" s="89" t="s">
        <v>20105</v>
      </c>
      <c r="O1005" s="89" t="s">
        <v>646</v>
      </c>
      <c r="P1005" s="89" t="str">
        <f>HYPERLINK("http://dx.doi.org/10.3389/fpsyg.2021.624637","http://dx.doi.org/10.3389/fpsyg.2021.624637")</f>
        <v>http://dx.doi.org/10.3389/fpsyg.2021.624637</v>
      </c>
      <c r="S1005" s="89" t="s">
        <v>646</v>
      </c>
      <c r="U1005" s="89" t="s">
        <v>17462</v>
      </c>
      <c r="W1005" s="89" t="s">
        <v>646</v>
      </c>
      <c r="X1005" s="89" t="s">
        <v>646</v>
      </c>
      <c r="Y1005" s="89" t="s">
        <v>646</v>
      </c>
      <c r="Z1005" s="89" t="s">
        <v>646</v>
      </c>
      <c r="AA1005" s="89" t="s">
        <v>646</v>
      </c>
      <c r="AB1005" s="89" t="s">
        <v>646</v>
      </c>
      <c r="AC1005" s="89" t="s">
        <v>646</v>
      </c>
      <c r="AD1005" s="89" t="s">
        <v>646</v>
      </c>
      <c r="AE1005" s="89" t="s">
        <v>646</v>
      </c>
      <c r="AF1005" s="89" t="s">
        <v>25270</v>
      </c>
      <c r="AG1005" s="89" t="s">
        <v>646</v>
      </c>
      <c r="AH1005" s="89" t="s">
        <v>646</v>
      </c>
      <c r="AI1005" s="89" t="s">
        <v>646</v>
      </c>
      <c r="AJ1005" s="89" t="s">
        <v>646</v>
      </c>
      <c r="AK1005" s="89" t="s">
        <v>25271</v>
      </c>
      <c r="AL1005" s="89" t="s">
        <v>25272</v>
      </c>
      <c r="AM1005" s="89" t="s">
        <v>646</v>
      </c>
      <c r="AN1005" s="89" t="s">
        <v>646</v>
      </c>
      <c r="AO1005" s="89" t="s">
        <v>646</v>
      </c>
      <c r="AP1005" s="89" t="s">
        <v>646</v>
      </c>
      <c r="AQ1005" s="89" t="s">
        <v>646</v>
      </c>
      <c r="AR1005" s="89" t="s">
        <v>646</v>
      </c>
      <c r="AS1005" s="89" t="s">
        <v>646</v>
      </c>
      <c r="AT1005" s="89" t="s">
        <v>646</v>
      </c>
      <c r="AU1005" s="89" t="s">
        <v>646</v>
      </c>
      <c r="AV1005" s="89" t="s">
        <v>646</v>
      </c>
      <c r="AW1005" s="89" t="s">
        <v>646</v>
      </c>
      <c r="AX1005" s="89" t="s">
        <v>646</v>
      </c>
      <c r="AY1005" s="89" t="s">
        <v>20108</v>
      </c>
      <c r="AZ1005" s="89" t="s">
        <v>646</v>
      </c>
      <c r="BA1005" s="89" t="s">
        <v>646</v>
      </c>
      <c r="BB1005" s="89" t="s">
        <v>646</v>
      </c>
      <c r="BC1005" s="89" t="s">
        <v>646</v>
      </c>
      <c r="BD1005" s="89" t="s">
        <v>25273</v>
      </c>
      <c r="BE1005" s="89">
        <v>2021</v>
      </c>
      <c r="BF1005" s="89">
        <v>12</v>
      </c>
      <c r="BG1005" s="89" t="s">
        <v>646</v>
      </c>
      <c r="BH1005" s="89" t="s">
        <v>646</v>
      </c>
      <c r="BI1005" s="89" t="s">
        <v>646</v>
      </c>
      <c r="BJ1005" s="89" t="s">
        <v>646</v>
      </c>
      <c r="BK1005" s="89" t="s">
        <v>646</v>
      </c>
      <c r="BL1005" s="89" t="s">
        <v>646</v>
      </c>
      <c r="BM1005" s="89" t="s">
        <v>646</v>
      </c>
      <c r="BN1005" s="89">
        <v>624637</v>
      </c>
      <c r="BO1005" s="89" t="str">
        <f>HYPERLINK("http://dx.doi.org/10.3389/fpsyg.2021.624637","http://dx.doi.org/10.3389/fpsyg.2021.624637")</f>
        <v>http://dx.doi.org/10.3389/fpsyg.2021.624637</v>
      </c>
      <c r="BP1005" s="89" t="s">
        <v>646</v>
      </c>
      <c r="BQ1005" s="89" t="s">
        <v>646</v>
      </c>
      <c r="BR1005" s="89" t="s">
        <v>646</v>
      </c>
      <c r="BS1005" s="89" t="s">
        <v>646</v>
      </c>
      <c r="BT1005" s="89" t="s">
        <v>646</v>
      </c>
      <c r="BU1005" s="89" t="s">
        <v>646</v>
      </c>
      <c r="BV1005" s="89" t="s">
        <v>646</v>
      </c>
      <c r="BW1005" s="89">
        <v>33679543</v>
      </c>
      <c r="BX1005" s="89" t="s">
        <v>646</v>
      </c>
      <c r="BY1005" s="89" t="s">
        <v>646</v>
      </c>
      <c r="BZ1005" s="89" t="s">
        <v>646</v>
      </c>
      <c r="CA1005" s="89" t="s">
        <v>646</v>
      </c>
      <c r="CB1005" s="89" t="s">
        <v>25274</v>
      </c>
      <c r="CC1005" s="89" t="str">
        <f>HYPERLINK("https%3A%2F%2Fwww.webofscience.com%2Fwos%2Fwoscc%2Ffull-record%2FWOS:000624501600001","View Full Record in Web of Science")</f>
        <v>View Full Record in Web of Science</v>
      </c>
    </row>
    <row r="1006" spans="1:81" ht="13.2" hidden="1" x14ac:dyDescent="0.25">
      <c r="A1006" s="89" t="s">
        <v>25275</v>
      </c>
      <c r="B1006" s="89" t="e">
        <f>+#REF!</f>
        <v>#REF!</v>
      </c>
      <c r="C1006" s="89"/>
      <c r="D1006" s="91" t="s">
        <v>717</v>
      </c>
      <c r="E1006" s="90" t="e">
        <v>#REF!</v>
      </c>
      <c r="F1006" s="89"/>
      <c r="G1006" s="89"/>
      <c r="H1006" s="89" t="s">
        <v>16109</v>
      </c>
      <c r="I1006" s="89" t="s">
        <v>25276</v>
      </c>
      <c r="J1006" s="89" t="s">
        <v>25279</v>
      </c>
      <c r="K1006" s="89" t="s">
        <v>25278</v>
      </c>
      <c r="M1006" s="89">
        <v>2018</v>
      </c>
      <c r="N1006" s="89" t="s">
        <v>25277</v>
      </c>
      <c r="O1006" s="89" t="s">
        <v>646</v>
      </c>
      <c r="P1006" s="89" t="str">
        <f>HYPERLINK("http://dx.doi.org/10.1186/s12911-018-0634-6","http://dx.doi.org/10.1186/s12911-018-0634-6")</f>
        <v>http://dx.doi.org/10.1186/s12911-018-0634-6</v>
      </c>
      <c r="S1006" s="89" t="s">
        <v>646</v>
      </c>
      <c r="U1006" s="89" t="s">
        <v>17462</v>
      </c>
      <c r="W1006" s="89" t="s">
        <v>646</v>
      </c>
      <c r="X1006" s="89" t="s">
        <v>646</v>
      </c>
      <c r="Y1006" s="89" t="s">
        <v>646</v>
      </c>
      <c r="Z1006" s="89" t="s">
        <v>646</v>
      </c>
      <c r="AA1006" s="89" t="s">
        <v>646</v>
      </c>
      <c r="AB1006" s="89" t="s">
        <v>646</v>
      </c>
      <c r="AC1006" s="89" t="s">
        <v>646</v>
      </c>
      <c r="AD1006" s="89" t="s">
        <v>646</v>
      </c>
      <c r="AE1006" s="89" t="s">
        <v>646</v>
      </c>
      <c r="AF1006" s="89" t="s">
        <v>25278</v>
      </c>
      <c r="AG1006" s="89" t="s">
        <v>646</v>
      </c>
      <c r="AH1006" s="89" t="s">
        <v>646</v>
      </c>
      <c r="AI1006" s="89" t="s">
        <v>646</v>
      </c>
      <c r="AJ1006" s="89" t="s">
        <v>646</v>
      </c>
      <c r="AK1006" s="89" t="s">
        <v>25279</v>
      </c>
      <c r="AL1006" s="89" t="s">
        <v>25280</v>
      </c>
      <c r="AM1006" s="89" t="s">
        <v>646</v>
      </c>
      <c r="AN1006" s="89" t="s">
        <v>646</v>
      </c>
      <c r="AO1006" s="89" t="s">
        <v>646</v>
      </c>
      <c r="AP1006" s="89" t="s">
        <v>646</v>
      </c>
      <c r="AQ1006" s="89" t="s">
        <v>646</v>
      </c>
      <c r="AR1006" s="89" t="s">
        <v>646</v>
      </c>
      <c r="AS1006" s="89" t="s">
        <v>646</v>
      </c>
      <c r="AT1006" s="89" t="s">
        <v>646</v>
      </c>
      <c r="AU1006" s="89" t="s">
        <v>646</v>
      </c>
      <c r="AV1006" s="89" t="s">
        <v>646</v>
      </c>
      <c r="AW1006" s="89" t="s">
        <v>646</v>
      </c>
      <c r="AX1006" s="89" t="s">
        <v>646</v>
      </c>
      <c r="AY1006" s="89" t="s">
        <v>25281</v>
      </c>
      <c r="AZ1006" s="89" t="s">
        <v>646</v>
      </c>
      <c r="BA1006" s="89" t="s">
        <v>646</v>
      </c>
      <c r="BB1006" s="89" t="s">
        <v>646</v>
      </c>
      <c r="BC1006" s="89" t="s">
        <v>646</v>
      </c>
      <c r="BD1006" s="89" t="s">
        <v>25282</v>
      </c>
      <c r="BE1006" s="89">
        <v>2018</v>
      </c>
      <c r="BF1006" s="89">
        <v>18</v>
      </c>
      <c r="BG1006" s="89" t="s">
        <v>646</v>
      </c>
      <c r="BH1006" s="89" t="s">
        <v>646</v>
      </c>
      <c r="BI1006" s="89">
        <v>2</v>
      </c>
      <c r="BJ1006" s="89" t="s">
        <v>646</v>
      </c>
      <c r="BK1006" s="89" t="s">
        <v>646</v>
      </c>
      <c r="BL1006" s="89" t="s">
        <v>646</v>
      </c>
      <c r="BM1006" s="89" t="s">
        <v>646</v>
      </c>
      <c r="BN1006" s="89">
        <v>64</v>
      </c>
      <c r="BO1006" s="89" t="str">
        <f>HYPERLINK("http://dx.doi.org/10.1186/s12911-018-0634-6","http://dx.doi.org/10.1186/s12911-018-0634-6")</f>
        <v>http://dx.doi.org/10.1186/s12911-018-0634-6</v>
      </c>
      <c r="BP1006" s="89" t="s">
        <v>646</v>
      </c>
      <c r="BQ1006" s="89" t="s">
        <v>646</v>
      </c>
      <c r="BR1006" s="89" t="s">
        <v>646</v>
      </c>
      <c r="BS1006" s="89" t="s">
        <v>646</v>
      </c>
      <c r="BT1006" s="89" t="s">
        <v>646</v>
      </c>
      <c r="BU1006" s="89" t="s">
        <v>646</v>
      </c>
      <c r="BV1006" s="89" t="s">
        <v>646</v>
      </c>
      <c r="BW1006" s="89">
        <v>30066654</v>
      </c>
      <c r="BX1006" s="89" t="s">
        <v>646</v>
      </c>
      <c r="BY1006" s="89" t="s">
        <v>646</v>
      </c>
      <c r="BZ1006" s="89" t="s">
        <v>646</v>
      </c>
      <c r="CA1006" s="89" t="s">
        <v>646</v>
      </c>
      <c r="CB1006" s="89" t="s">
        <v>25283</v>
      </c>
      <c r="CC1006" s="89" t="str">
        <f>HYPERLINK("https%3A%2F%2Fwww.webofscience.com%2Fwos%2Fwoscc%2Ffull-record%2FWOS:000439486300011","View Full Record in Web of Science")</f>
        <v>View Full Record in Web of Science</v>
      </c>
    </row>
    <row r="1007" spans="1:81" ht="13.2" hidden="1" x14ac:dyDescent="0.25">
      <c r="A1007" s="89" t="s">
        <v>25284</v>
      </c>
      <c r="B1007" s="89" t="e">
        <f>+#REF!</f>
        <v>#REF!</v>
      </c>
      <c r="C1007" s="89"/>
      <c r="D1007" s="91" t="s">
        <v>717</v>
      </c>
      <c r="E1007" s="90" t="e">
        <v>#REF!</v>
      </c>
      <c r="F1007" s="89"/>
      <c r="G1007" s="89"/>
      <c r="H1007" s="89" t="s">
        <v>16119</v>
      </c>
      <c r="I1007" s="89" t="s">
        <v>25285</v>
      </c>
      <c r="J1007" s="89" t="s">
        <v>646</v>
      </c>
      <c r="K1007" s="89" t="s">
        <v>25286</v>
      </c>
      <c r="M1007" s="89">
        <v>2018</v>
      </c>
      <c r="N1007" s="89" t="s">
        <v>17530</v>
      </c>
      <c r="O1007" s="89" t="s">
        <v>646</v>
      </c>
      <c r="P1007" s="89" t="str">
        <f>HYPERLINK("http://dx.doi.org/10.1093/indlaw/dwx028","http://dx.doi.org/10.1093/indlaw/dwx028")</f>
        <v>http://dx.doi.org/10.1093/indlaw/dwx028</v>
      </c>
      <c r="S1007" s="89" t="s">
        <v>646</v>
      </c>
      <c r="U1007" s="89" t="s">
        <v>17462</v>
      </c>
      <c r="W1007" s="89" t="s">
        <v>646</v>
      </c>
      <c r="X1007" s="89" t="s">
        <v>646</v>
      </c>
      <c r="Y1007" s="89" t="s">
        <v>646</v>
      </c>
      <c r="Z1007" s="89" t="s">
        <v>646</v>
      </c>
      <c r="AA1007" s="89" t="s">
        <v>646</v>
      </c>
      <c r="AB1007" s="89" t="s">
        <v>646</v>
      </c>
      <c r="AC1007" s="89" t="s">
        <v>646</v>
      </c>
      <c r="AD1007" s="89" t="s">
        <v>646</v>
      </c>
      <c r="AE1007" s="89" t="s">
        <v>646</v>
      </c>
      <c r="AF1007" s="89" t="s">
        <v>25286</v>
      </c>
      <c r="AG1007" s="89" t="s">
        <v>646</v>
      </c>
      <c r="AH1007" s="89" t="s">
        <v>646</v>
      </c>
      <c r="AI1007" s="89" t="s">
        <v>646</v>
      </c>
      <c r="AJ1007" s="89" t="s">
        <v>646</v>
      </c>
      <c r="AK1007" s="89" t="s">
        <v>646</v>
      </c>
      <c r="AL1007" s="89" t="s">
        <v>21911</v>
      </c>
      <c r="AM1007" s="89" t="s">
        <v>646</v>
      </c>
      <c r="AN1007" s="89" t="s">
        <v>646</v>
      </c>
      <c r="AO1007" s="89" t="s">
        <v>646</v>
      </c>
      <c r="AP1007" s="89" t="s">
        <v>646</v>
      </c>
      <c r="AQ1007" s="89" t="s">
        <v>646</v>
      </c>
      <c r="AR1007" s="89" t="s">
        <v>646</v>
      </c>
      <c r="AS1007" s="89" t="s">
        <v>646</v>
      </c>
      <c r="AT1007" s="89" t="s">
        <v>646</v>
      </c>
      <c r="AU1007" s="89" t="s">
        <v>646</v>
      </c>
      <c r="AV1007" s="89" t="s">
        <v>646</v>
      </c>
      <c r="AW1007" s="89" t="s">
        <v>646</v>
      </c>
      <c r="AX1007" s="89" t="s">
        <v>646</v>
      </c>
      <c r="AY1007" s="89" t="s">
        <v>17532</v>
      </c>
      <c r="AZ1007" s="89" t="s">
        <v>17533</v>
      </c>
      <c r="BA1007" s="89" t="s">
        <v>646</v>
      </c>
      <c r="BB1007" s="89" t="s">
        <v>646</v>
      </c>
      <c r="BC1007" s="89" t="s">
        <v>646</v>
      </c>
      <c r="BD1007" s="89" t="s">
        <v>17779</v>
      </c>
      <c r="BE1007" s="89">
        <v>2018</v>
      </c>
      <c r="BF1007" s="89">
        <v>47</v>
      </c>
      <c r="BG1007" s="89">
        <v>1</v>
      </c>
      <c r="BH1007" s="89" t="s">
        <v>646</v>
      </c>
      <c r="BI1007" s="89" t="s">
        <v>646</v>
      </c>
      <c r="BJ1007" s="89" t="s">
        <v>646</v>
      </c>
      <c r="BK1007" s="89" t="s">
        <v>646</v>
      </c>
      <c r="BL1007" s="89">
        <v>46</v>
      </c>
      <c r="BM1007" s="89">
        <v>75</v>
      </c>
      <c r="BN1007" s="89" t="s">
        <v>646</v>
      </c>
      <c r="BO1007" s="89" t="str">
        <f>HYPERLINK("http://dx.doi.org/10.1093/indlaw/dwx028","http://dx.doi.org/10.1093/indlaw/dwx028")</f>
        <v>http://dx.doi.org/10.1093/indlaw/dwx028</v>
      </c>
      <c r="BP1007" s="89" t="s">
        <v>646</v>
      </c>
      <c r="BQ1007" s="89" t="s">
        <v>646</v>
      </c>
      <c r="BR1007" s="89" t="s">
        <v>646</v>
      </c>
      <c r="BS1007" s="89" t="s">
        <v>646</v>
      </c>
      <c r="BT1007" s="89" t="s">
        <v>646</v>
      </c>
      <c r="BU1007" s="89" t="s">
        <v>646</v>
      </c>
      <c r="BV1007" s="89" t="s">
        <v>646</v>
      </c>
      <c r="BW1007" s="89" t="s">
        <v>646</v>
      </c>
      <c r="BX1007" s="89" t="s">
        <v>646</v>
      </c>
      <c r="BY1007" s="89" t="s">
        <v>646</v>
      </c>
      <c r="BZ1007" s="89" t="s">
        <v>646</v>
      </c>
      <c r="CA1007" s="89" t="s">
        <v>646</v>
      </c>
      <c r="CB1007" s="89" t="s">
        <v>25287</v>
      </c>
      <c r="CC1007" s="89" t="str">
        <f>HYPERLINK("https%3A%2F%2Fwww.webofscience.com%2Fwos%2Fwoscc%2Ffull-record%2FWOS:000427931700002","View Full Record in Web of Science")</f>
        <v>View Full Record in Web of Science</v>
      </c>
    </row>
    <row r="1008" spans="1:81" ht="13.2" hidden="1" x14ac:dyDescent="0.25">
      <c r="A1008" s="89" t="s">
        <v>25288</v>
      </c>
      <c r="B1008" s="89" t="e">
        <f>+#REF!</f>
        <v>#REF!</v>
      </c>
      <c r="C1008" s="89"/>
      <c r="D1008" s="91" t="s">
        <v>717</v>
      </c>
      <c r="E1008" s="90" t="e">
        <v>#REF!</v>
      </c>
      <c r="F1008" s="89"/>
      <c r="G1008" s="89"/>
      <c r="H1008" s="89" t="s">
        <v>16309</v>
      </c>
      <c r="I1008" s="89" t="s">
        <v>24208</v>
      </c>
      <c r="J1008" s="89" t="s">
        <v>25290</v>
      </c>
      <c r="K1008" s="89" t="s">
        <v>25289</v>
      </c>
      <c r="M1008" s="89">
        <v>2020</v>
      </c>
      <c r="N1008" s="89" t="s">
        <v>21555</v>
      </c>
      <c r="O1008" s="89" t="s">
        <v>646</v>
      </c>
      <c r="P1008" s="89" t="str">
        <f>HYPERLINK("http://dx.doi.org/10.1177/0143831X17738041","http://dx.doi.org/10.1177/0143831X17738041")</f>
        <v>http://dx.doi.org/10.1177/0143831X17738041</v>
      </c>
      <c r="S1008" s="89" t="s">
        <v>646</v>
      </c>
      <c r="U1008" s="89" t="s">
        <v>17462</v>
      </c>
      <c r="W1008" s="89" t="s">
        <v>646</v>
      </c>
      <c r="X1008" s="89" t="s">
        <v>646</v>
      </c>
      <c r="Y1008" s="89" t="s">
        <v>646</v>
      </c>
      <c r="Z1008" s="89" t="s">
        <v>646</v>
      </c>
      <c r="AA1008" s="89" t="s">
        <v>646</v>
      </c>
      <c r="AB1008" s="89" t="s">
        <v>646</v>
      </c>
      <c r="AC1008" s="89" t="s">
        <v>646</v>
      </c>
      <c r="AD1008" s="89" t="s">
        <v>646</v>
      </c>
      <c r="AE1008" s="89" t="s">
        <v>646</v>
      </c>
      <c r="AF1008" s="89" t="s">
        <v>25289</v>
      </c>
      <c r="AG1008" s="89" t="s">
        <v>646</v>
      </c>
      <c r="AH1008" s="89" t="s">
        <v>646</v>
      </c>
      <c r="AI1008" s="89" t="s">
        <v>646</v>
      </c>
      <c r="AJ1008" s="89" t="s">
        <v>646</v>
      </c>
      <c r="AK1008" s="89" t="s">
        <v>25290</v>
      </c>
      <c r="AL1008" s="89" t="s">
        <v>24211</v>
      </c>
      <c r="AM1008" s="89" t="s">
        <v>646</v>
      </c>
      <c r="AN1008" s="89" t="s">
        <v>646</v>
      </c>
      <c r="AO1008" s="89" t="s">
        <v>646</v>
      </c>
      <c r="AP1008" s="89" t="s">
        <v>646</v>
      </c>
      <c r="AQ1008" s="89" t="s">
        <v>646</v>
      </c>
      <c r="AR1008" s="89" t="s">
        <v>646</v>
      </c>
      <c r="AS1008" s="89" t="s">
        <v>646</v>
      </c>
      <c r="AT1008" s="89" t="s">
        <v>646</v>
      </c>
      <c r="AU1008" s="89" t="s">
        <v>646</v>
      </c>
      <c r="AV1008" s="89" t="s">
        <v>646</v>
      </c>
      <c r="AW1008" s="89" t="s">
        <v>646</v>
      </c>
      <c r="AX1008" s="89" t="s">
        <v>646</v>
      </c>
      <c r="AY1008" s="89" t="s">
        <v>21557</v>
      </c>
      <c r="AZ1008" s="89" t="s">
        <v>21558</v>
      </c>
      <c r="BA1008" s="89" t="s">
        <v>646</v>
      </c>
      <c r="BB1008" s="89" t="s">
        <v>646</v>
      </c>
      <c r="BC1008" s="89" t="s">
        <v>646</v>
      </c>
      <c r="BD1008" s="89" t="s">
        <v>18292</v>
      </c>
      <c r="BE1008" s="89">
        <v>2020</v>
      </c>
      <c r="BF1008" s="89">
        <v>41</v>
      </c>
      <c r="BG1008" s="89">
        <v>4</v>
      </c>
      <c r="BH1008" s="89" t="s">
        <v>646</v>
      </c>
      <c r="BI1008" s="89" t="s">
        <v>646</v>
      </c>
      <c r="BJ1008" s="89" t="s">
        <v>646</v>
      </c>
      <c r="BK1008" s="89" t="s">
        <v>646</v>
      </c>
      <c r="BL1008" s="89">
        <v>839</v>
      </c>
      <c r="BM1008" s="89">
        <v>859</v>
      </c>
      <c r="BN1008" s="89" t="s">
        <v>646</v>
      </c>
      <c r="BO1008" s="89" t="str">
        <f>HYPERLINK("http://dx.doi.org/10.1177/0143831X17738041","http://dx.doi.org/10.1177/0143831X17738041")</f>
        <v>http://dx.doi.org/10.1177/0143831X17738041</v>
      </c>
      <c r="BP1008" s="89" t="s">
        <v>646</v>
      </c>
      <c r="BQ1008" s="89" t="s">
        <v>646</v>
      </c>
      <c r="BR1008" s="89" t="s">
        <v>646</v>
      </c>
      <c r="BS1008" s="89" t="s">
        <v>646</v>
      </c>
      <c r="BT1008" s="89" t="s">
        <v>646</v>
      </c>
      <c r="BU1008" s="89" t="s">
        <v>646</v>
      </c>
      <c r="BV1008" s="89" t="s">
        <v>646</v>
      </c>
      <c r="BW1008" s="89" t="s">
        <v>646</v>
      </c>
      <c r="BX1008" s="89" t="s">
        <v>646</v>
      </c>
      <c r="BY1008" s="89" t="s">
        <v>646</v>
      </c>
      <c r="BZ1008" s="89" t="s">
        <v>646</v>
      </c>
      <c r="CA1008" s="89" t="s">
        <v>646</v>
      </c>
      <c r="CB1008" s="89" t="s">
        <v>25291</v>
      </c>
      <c r="CC1008" s="89" t="str">
        <f>HYPERLINK("https%3A%2F%2Fwww.webofscience.com%2Fwos%2Fwoscc%2Ffull-record%2FWOS:000595098200005","View Full Record in Web of Science")</f>
        <v>View Full Record in Web of Science</v>
      </c>
    </row>
    <row r="1009" spans="1:81" ht="13.2" hidden="1" x14ac:dyDescent="0.25">
      <c r="A1009" s="89" t="s">
        <v>10682</v>
      </c>
      <c r="B1009" s="89" t="e">
        <f>+#REF!</f>
        <v>#REF!</v>
      </c>
      <c r="C1009" s="89"/>
      <c r="D1009" s="91" t="s">
        <v>717</v>
      </c>
      <c r="E1009" s="90" t="e">
        <v>#REF!</v>
      </c>
      <c r="F1009" s="89"/>
      <c r="G1009" s="89"/>
      <c r="H1009" s="89" t="s">
        <v>10683</v>
      </c>
      <c r="I1009" s="89" t="s">
        <v>25292</v>
      </c>
      <c r="J1009" s="89" t="s">
        <v>646</v>
      </c>
      <c r="K1009" s="89" t="s">
        <v>25294</v>
      </c>
      <c r="M1009" s="89">
        <v>2021</v>
      </c>
      <c r="N1009" s="89" t="s">
        <v>25293</v>
      </c>
      <c r="O1009" s="89" t="s">
        <v>646</v>
      </c>
      <c r="P1009" s="89" t="str">
        <f>HYPERLINK("http://dx.doi.org/10.1111/ssqu.13068","http://dx.doi.org/10.1111/ssqu.13068")</f>
        <v>http://dx.doi.org/10.1111/ssqu.13068</v>
      </c>
      <c r="S1009" s="89" t="s">
        <v>646</v>
      </c>
      <c r="U1009" s="89" t="s">
        <v>17462</v>
      </c>
      <c r="W1009" s="89" t="s">
        <v>646</v>
      </c>
      <c r="X1009" s="89" t="s">
        <v>646</v>
      </c>
      <c r="Y1009" s="89" t="s">
        <v>646</v>
      </c>
      <c r="Z1009" s="89" t="s">
        <v>646</v>
      </c>
      <c r="AA1009" s="89" t="s">
        <v>646</v>
      </c>
      <c r="AB1009" s="89" t="s">
        <v>646</v>
      </c>
      <c r="AC1009" s="89" t="s">
        <v>646</v>
      </c>
      <c r="AD1009" s="89" t="s">
        <v>646</v>
      </c>
      <c r="AE1009" s="89" t="s">
        <v>646</v>
      </c>
      <c r="AF1009" s="89" t="s">
        <v>25294</v>
      </c>
      <c r="AG1009" s="89" t="s">
        <v>646</v>
      </c>
      <c r="AH1009" s="89" t="s">
        <v>646</v>
      </c>
      <c r="AI1009" s="89" t="s">
        <v>646</v>
      </c>
      <c r="AJ1009" s="89" t="s">
        <v>646</v>
      </c>
      <c r="AK1009" s="89" t="s">
        <v>646</v>
      </c>
      <c r="AL1009" s="89" t="s">
        <v>646</v>
      </c>
      <c r="AM1009" s="89" t="s">
        <v>646</v>
      </c>
      <c r="AN1009" s="89" t="s">
        <v>646</v>
      </c>
      <c r="AO1009" s="89" t="s">
        <v>646</v>
      </c>
      <c r="AP1009" s="89" t="s">
        <v>646</v>
      </c>
      <c r="AQ1009" s="89" t="s">
        <v>646</v>
      </c>
      <c r="AR1009" s="89" t="s">
        <v>646</v>
      </c>
      <c r="AS1009" s="89" t="s">
        <v>646</v>
      </c>
      <c r="AT1009" s="89" t="s">
        <v>646</v>
      </c>
      <c r="AU1009" s="89" t="s">
        <v>646</v>
      </c>
      <c r="AV1009" s="89" t="s">
        <v>646</v>
      </c>
      <c r="AW1009" s="89" t="s">
        <v>646</v>
      </c>
      <c r="AX1009" s="89" t="s">
        <v>646</v>
      </c>
      <c r="AY1009" s="89" t="s">
        <v>25295</v>
      </c>
      <c r="AZ1009" s="89" t="s">
        <v>25296</v>
      </c>
      <c r="BA1009" s="89" t="s">
        <v>646</v>
      </c>
      <c r="BB1009" s="89" t="s">
        <v>646</v>
      </c>
      <c r="BC1009" s="89" t="s">
        <v>646</v>
      </c>
      <c r="BD1009" s="89" t="s">
        <v>18292</v>
      </c>
      <c r="BE1009" s="89">
        <v>2021</v>
      </c>
      <c r="BF1009" s="89">
        <v>102</v>
      </c>
      <c r="BG1009" s="89">
        <v>6</v>
      </c>
      <c r="BH1009" s="89" t="s">
        <v>646</v>
      </c>
      <c r="BI1009" s="89" t="s">
        <v>646</v>
      </c>
      <c r="BJ1009" s="89" t="s">
        <v>646</v>
      </c>
      <c r="BK1009" s="89" t="s">
        <v>646</v>
      </c>
      <c r="BL1009" s="89">
        <v>2955</v>
      </c>
      <c r="BM1009" s="89">
        <v>2971</v>
      </c>
      <c r="BN1009" s="89" t="s">
        <v>646</v>
      </c>
      <c r="BO1009" s="89" t="str">
        <f>HYPERLINK("http://dx.doi.org/10.1111/ssqu.13068","http://dx.doi.org/10.1111/ssqu.13068")</f>
        <v>http://dx.doi.org/10.1111/ssqu.13068</v>
      </c>
      <c r="BP1009" s="89" t="s">
        <v>646</v>
      </c>
      <c r="BQ1009" s="89" t="s">
        <v>17598</v>
      </c>
      <c r="BR1009" s="89" t="s">
        <v>646</v>
      </c>
      <c r="BS1009" s="89" t="s">
        <v>646</v>
      </c>
      <c r="BT1009" s="89" t="s">
        <v>646</v>
      </c>
      <c r="BU1009" s="89" t="s">
        <v>646</v>
      </c>
      <c r="BV1009" s="89" t="s">
        <v>646</v>
      </c>
      <c r="BW1009" s="89" t="s">
        <v>646</v>
      </c>
      <c r="BX1009" s="89" t="s">
        <v>646</v>
      </c>
      <c r="BY1009" s="89" t="s">
        <v>646</v>
      </c>
      <c r="BZ1009" s="89" t="s">
        <v>646</v>
      </c>
      <c r="CA1009" s="89" t="s">
        <v>646</v>
      </c>
      <c r="CB1009" s="89" t="s">
        <v>25297</v>
      </c>
      <c r="CC1009" s="89" t="str">
        <f>HYPERLINK("https%3A%2F%2Fwww.webofscience.com%2Fwos%2Fwoscc%2Ffull-record%2FWOS:000695922100001","View Full Record in Web of Science")</f>
        <v>View Full Record in Web of Science</v>
      </c>
    </row>
    <row r="1010" spans="1:81" ht="13.2" hidden="1" x14ac:dyDescent="0.25">
      <c r="A1010" s="89" t="s">
        <v>25298</v>
      </c>
      <c r="B1010" s="89" t="e">
        <f>+#REF!</f>
        <v>#REF!</v>
      </c>
      <c r="C1010" s="89"/>
      <c r="D1010" s="91" t="s">
        <v>717</v>
      </c>
      <c r="E1010" s="90" t="e">
        <v>#REF!</v>
      </c>
      <c r="F1010" s="89"/>
      <c r="G1010" s="89"/>
      <c r="H1010" s="89" t="s">
        <v>16126</v>
      </c>
      <c r="I1010" s="89" t="s">
        <v>25299</v>
      </c>
      <c r="J1010" s="89" t="s">
        <v>646</v>
      </c>
      <c r="K1010" s="89" t="s">
        <v>25304</v>
      </c>
      <c r="M1010" s="89">
        <v>2020</v>
      </c>
      <c r="N1010" s="89" t="s">
        <v>25300</v>
      </c>
      <c r="O1010" s="89" t="s">
        <v>646</v>
      </c>
      <c r="P1010" s="89" t="str">
        <f>HYPERLINK("http://dx.doi.org/10.1145/3343413.3377963","http://dx.doi.org/10.1145/3343413.3377963")</f>
        <v>http://dx.doi.org/10.1145/3343413.3377963</v>
      </c>
      <c r="S1010" s="89" t="s">
        <v>17804</v>
      </c>
      <c r="U1010" s="89" t="s">
        <v>17474</v>
      </c>
      <c r="W1010" s="89" t="s">
        <v>646</v>
      </c>
      <c r="X1010" s="89" t="s">
        <v>646</v>
      </c>
      <c r="Y1010" s="89" t="s">
        <v>25301</v>
      </c>
      <c r="Z1010" s="89" t="s">
        <v>25302</v>
      </c>
      <c r="AA1010" s="89" t="s">
        <v>17494</v>
      </c>
      <c r="AB1010" s="89" t="s">
        <v>25303</v>
      </c>
      <c r="AC1010" s="89" t="s">
        <v>646</v>
      </c>
      <c r="AD1010" s="89" t="s">
        <v>646</v>
      </c>
      <c r="AE1010" s="89" t="s">
        <v>646</v>
      </c>
      <c r="AF1010" s="89" t="s">
        <v>25304</v>
      </c>
      <c r="AG1010" s="89" t="s">
        <v>646</v>
      </c>
      <c r="AH1010" s="89" t="s">
        <v>646</v>
      </c>
      <c r="AI1010" s="89" t="s">
        <v>646</v>
      </c>
      <c r="AJ1010" s="89" t="s">
        <v>646</v>
      </c>
      <c r="AK1010" s="89" t="s">
        <v>646</v>
      </c>
      <c r="AL1010" s="89" t="s">
        <v>646</v>
      </c>
      <c r="AM1010" s="89" t="s">
        <v>646</v>
      </c>
      <c r="AN1010" s="89" t="s">
        <v>646</v>
      </c>
      <c r="AO1010" s="89" t="s">
        <v>646</v>
      </c>
      <c r="AP1010" s="89" t="s">
        <v>646</v>
      </c>
      <c r="AQ1010" s="89" t="s">
        <v>646</v>
      </c>
      <c r="AR1010" s="89" t="s">
        <v>646</v>
      </c>
      <c r="AS1010" s="89" t="s">
        <v>646</v>
      </c>
      <c r="AT1010" s="89" t="s">
        <v>646</v>
      </c>
      <c r="AU1010" s="89" t="s">
        <v>646</v>
      </c>
      <c r="AV1010" s="89" t="s">
        <v>646</v>
      </c>
      <c r="AW1010" s="89" t="s">
        <v>646</v>
      </c>
      <c r="AX1010" s="89" t="s">
        <v>646</v>
      </c>
      <c r="AY1010" s="89" t="s">
        <v>646</v>
      </c>
      <c r="AZ1010" s="89" t="s">
        <v>646</v>
      </c>
      <c r="BA1010" s="89" t="s">
        <v>25305</v>
      </c>
      <c r="BB1010" s="89" t="s">
        <v>646</v>
      </c>
      <c r="BC1010" s="89" t="s">
        <v>646</v>
      </c>
      <c r="BD1010" s="89" t="s">
        <v>646</v>
      </c>
      <c r="BE1010" s="89">
        <v>2020</v>
      </c>
      <c r="BF1010" s="89" t="s">
        <v>646</v>
      </c>
      <c r="BG1010" s="89" t="s">
        <v>646</v>
      </c>
      <c r="BH1010" s="89" t="s">
        <v>646</v>
      </c>
      <c r="BI1010" s="89" t="s">
        <v>646</v>
      </c>
      <c r="BJ1010" s="89" t="s">
        <v>646</v>
      </c>
      <c r="BK1010" s="89" t="s">
        <v>646</v>
      </c>
      <c r="BL1010" s="89">
        <v>23</v>
      </c>
      <c r="BM1010" s="89">
        <v>32</v>
      </c>
      <c r="BN1010" s="89" t="s">
        <v>646</v>
      </c>
      <c r="BO1010" s="89" t="str">
        <f>HYPERLINK("http://dx.doi.org/10.1145/3343413.3377963","http://dx.doi.org/10.1145/3343413.3377963")</f>
        <v>http://dx.doi.org/10.1145/3343413.3377963</v>
      </c>
      <c r="BP1010" s="89" t="s">
        <v>646</v>
      </c>
      <c r="BQ1010" s="89" t="s">
        <v>646</v>
      </c>
      <c r="BR1010" s="89" t="s">
        <v>646</v>
      </c>
      <c r="BS1010" s="89" t="s">
        <v>646</v>
      </c>
      <c r="BT1010" s="89" t="s">
        <v>646</v>
      </c>
      <c r="BU1010" s="89" t="s">
        <v>646</v>
      </c>
      <c r="BV1010" s="89" t="s">
        <v>646</v>
      </c>
      <c r="BW1010" s="89" t="s">
        <v>646</v>
      </c>
      <c r="BX1010" s="89" t="s">
        <v>646</v>
      </c>
      <c r="BY1010" s="89" t="s">
        <v>646</v>
      </c>
      <c r="BZ1010" s="89" t="s">
        <v>646</v>
      </c>
      <c r="CA1010" s="89" t="s">
        <v>646</v>
      </c>
      <c r="CB1010" s="89" t="s">
        <v>25306</v>
      </c>
      <c r="CC1010" s="89" t="str">
        <f>HYPERLINK("https%3A%2F%2Fwww.webofscience.com%2Fwos%2Fwoscc%2Ffull-record%2FWOS:000614660700005","View Full Record in Web of Science")</f>
        <v>View Full Record in Web of Science</v>
      </c>
    </row>
    <row r="1011" spans="1:81" ht="13.2" hidden="1" x14ac:dyDescent="0.25">
      <c r="A1011" s="89" t="s">
        <v>25307</v>
      </c>
      <c r="B1011" s="89" t="e">
        <f>+#REF!</f>
        <v>#REF!</v>
      </c>
      <c r="C1011" s="89"/>
      <c r="D1011" s="91" t="s">
        <v>717</v>
      </c>
      <c r="E1011" s="90" t="e">
        <v>#REF!</v>
      </c>
      <c r="F1011" s="89"/>
      <c r="G1011" s="89"/>
      <c r="H1011" s="89" t="s">
        <v>16136</v>
      </c>
      <c r="I1011" s="89" t="s">
        <v>25308</v>
      </c>
      <c r="J1011" s="89" t="s">
        <v>646</v>
      </c>
      <c r="K1011" s="89" t="s">
        <v>25310</v>
      </c>
      <c r="M1011" s="89">
        <v>2017</v>
      </c>
      <c r="N1011" s="89" t="s">
        <v>25309</v>
      </c>
      <c r="O1011" s="89" t="s">
        <v>646</v>
      </c>
      <c r="P1011" s="89" t="str">
        <f>HYPERLINK("http://dx.doi.org/10.15779/Z38M84X","http://dx.doi.org/10.15779/Z38M84X")</f>
        <v>http://dx.doi.org/10.15779/Z38M84X</v>
      </c>
      <c r="S1011" s="89" t="s">
        <v>646</v>
      </c>
      <c r="U1011" s="89" t="s">
        <v>17462</v>
      </c>
      <c r="W1011" s="89" t="s">
        <v>646</v>
      </c>
      <c r="X1011" s="89" t="s">
        <v>646</v>
      </c>
      <c r="Y1011" s="89" t="s">
        <v>646</v>
      </c>
      <c r="Z1011" s="89" t="s">
        <v>646</v>
      </c>
      <c r="AA1011" s="89" t="s">
        <v>646</v>
      </c>
      <c r="AB1011" s="89" t="s">
        <v>646</v>
      </c>
      <c r="AC1011" s="89" t="s">
        <v>646</v>
      </c>
      <c r="AD1011" s="89" t="s">
        <v>646</v>
      </c>
      <c r="AE1011" s="89" t="s">
        <v>646</v>
      </c>
      <c r="AF1011" s="89" t="s">
        <v>25310</v>
      </c>
      <c r="AG1011" s="89" t="s">
        <v>646</v>
      </c>
      <c r="AH1011" s="89" t="s">
        <v>646</v>
      </c>
      <c r="AI1011" s="89" t="s">
        <v>646</v>
      </c>
      <c r="AJ1011" s="89" t="s">
        <v>646</v>
      </c>
      <c r="AK1011" s="89" t="s">
        <v>646</v>
      </c>
      <c r="AL1011" s="89" t="s">
        <v>646</v>
      </c>
      <c r="AM1011" s="89" t="s">
        <v>646</v>
      </c>
      <c r="AN1011" s="89" t="s">
        <v>646</v>
      </c>
      <c r="AO1011" s="89" t="s">
        <v>646</v>
      </c>
      <c r="AP1011" s="89" t="s">
        <v>646</v>
      </c>
      <c r="AQ1011" s="89" t="s">
        <v>646</v>
      </c>
      <c r="AR1011" s="89" t="s">
        <v>646</v>
      </c>
      <c r="AS1011" s="89" t="s">
        <v>646</v>
      </c>
      <c r="AT1011" s="89" t="s">
        <v>646</v>
      </c>
      <c r="AU1011" s="89" t="s">
        <v>646</v>
      </c>
      <c r="AV1011" s="89" t="s">
        <v>646</v>
      </c>
      <c r="AW1011" s="89" t="s">
        <v>646</v>
      </c>
      <c r="AX1011" s="89" t="s">
        <v>646</v>
      </c>
      <c r="AY1011" s="89" t="s">
        <v>25311</v>
      </c>
      <c r="AZ1011" s="89" t="s">
        <v>25312</v>
      </c>
      <c r="BA1011" s="89" t="s">
        <v>646</v>
      </c>
      <c r="BB1011" s="89" t="s">
        <v>646</v>
      </c>
      <c r="BC1011" s="89" t="s">
        <v>646</v>
      </c>
      <c r="BD1011" s="89" t="s">
        <v>17513</v>
      </c>
      <c r="BE1011" s="89">
        <v>2017</v>
      </c>
      <c r="BF1011" s="89">
        <v>105</v>
      </c>
      <c r="BG1011" s="89">
        <v>1</v>
      </c>
      <c r="BH1011" s="89" t="s">
        <v>646</v>
      </c>
      <c r="BI1011" s="89" t="s">
        <v>646</v>
      </c>
      <c r="BJ1011" s="89" t="s">
        <v>646</v>
      </c>
      <c r="BK1011" s="89" t="s">
        <v>646</v>
      </c>
      <c r="BL1011" s="89">
        <v>65</v>
      </c>
      <c r="BM1011" s="89">
        <v>123</v>
      </c>
      <c r="BN1011" s="89" t="s">
        <v>646</v>
      </c>
      <c r="BO1011" s="89" t="str">
        <f>HYPERLINK("http://dx.doi.org/10.15779/Z38M84X","http://dx.doi.org/10.15779/Z38M84X")</f>
        <v>http://dx.doi.org/10.15779/Z38M84X</v>
      </c>
      <c r="BP1011" s="89" t="s">
        <v>646</v>
      </c>
      <c r="BQ1011" s="89" t="s">
        <v>646</v>
      </c>
      <c r="BR1011" s="89" t="s">
        <v>646</v>
      </c>
      <c r="BS1011" s="89" t="s">
        <v>646</v>
      </c>
      <c r="BT1011" s="89" t="s">
        <v>646</v>
      </c>
      <c r="BU1011" s="89" t="s">
        <v>646</v>
      </c>
      <c r="BV1011" s="89" t="s">
        <v>646</v>
      </c>
      <c r="BW1011" s="89" t="s">
        <v>646</v>
      </c>
      <c r="BX1011" s="89" t="s">
        <v>646</v>
      </c>
      <c r="BY1011" s="89" t="s">
        <v>646</v>
      </c>
      <c r="BZ1011" s="89" t="s">
        <v>646</v>
      </c>
      <c r="CA1011" s="89" t="s">
        <v>646</v>
      </c>
      <c r="CB1011" s="89" t="s">
        <v>25313</v>
      </c>
      <c r="CC1011" s="89" t="str">
        <f>HYPERLINK("https%3A%2F%2Fwww.webofscience.com%2Fwos%2Fwoscc%2Ffull-record%2FWOS:000396634200002","View Full Record in Web of Science")</f>
        <v>View Full Record in Web of Science</v>
      </c>
    </row>
    <row r="1012" spans="1:81" ht="13.2" hidden="1" x14ac:dyDescent="0.25">
      <c r="A1012" s="89" t="s">
        <v>10692</v>
      </c>
      <c r="B1012" s="89" t="e">
        <f>+#REF!</f>
        <v>#REF!</v>
      </c>
      <c r="C1012" s="89"/>
      <c r="D1012" s="91" t="s">
        <v>717</v>
      </c>
      <c r="E1012" s="90" t="e">
        <v>#REF!</v>
      </c>
      <c r="F1012" s="89"/>
      <c r="G1012" s="89"/>
      <c r="H1012" s="89" t="s">
        <v>10693</v>
      </c>
      <c r="I1012" s="89" t="s">
        <v>25314</v>
      </c>
      <c r="J1012" s="89" t="s">
        <v>25317</v>
      </c>
      <c r="K1012" s="89" t="s">
        <v>25316</v>
      </c>
      <c r="M1012" s="89">
        <v>2016</v>
      </c>
      <c r="N1012" s="89" t="s">
        <v>25315</v>
      </c>
      <c r="O1012" s="89" t="s">
        <v>646</v>
      </c>
      <c r="P1012" s="89" t="str">
        <f>HYPERLINK("http://dx.doi.org/10.3389/fpubh.2016.00097","http://dx.doi.org/10.3389/fpubh.2016.00097")</f>
        <v>http://dx.doi.org/10.3389/fpubh.2016.00097</v>
      </c>
      <c r="S1012" s="89" t="s">
        <v>646</v>
      </c>
      <c r="U1012" s="89" t="s">
        <v>17462</v>
      </c>
      <c r="W1012" s="89" t="s">
        <v>646</v>
      </c>
      <c r="X1012" s="89" t="s">
        <v>646</v>
      </c>
      <c r="Y1012" s="89" t="s">
        <v>646</v>
      </c>
      <c r="Z1012" s="89" t="s">
        <v>646</v>
      </c>
      <c r="AA1012" s="89" t="s">
        <v>646</v>
      </c>
      <c r="AB1012" s="89" t="s">
        <v>646</v>
      </c>
      <c r="AC1012" s="89" t="s">
        <v>646</v>
      </c>
      <c r="AD1012" s="89" t="s">
        <v>646</v>
      </c>
      <c r="AE1012" s="89" t="s">
        <v>646</v>
      </c>
      <c r="AF1012" s="89" t="s">
        <v>25316</v>
      </c>
      <c r="AG1012" s="89" t="s">
        <v>646</v>
      </c>
      <c r="AH1012" s="89" t="s">
        <v>646</v>
      </c>
      <c r="AI1012" s="89" t="s">
        <v>646</v>
      </c>
      <c r="AJ1012" s="89" t="s">
        <v>646</v>
      </c>
      <c r="AK1012" s="89" t="s">
        <v>25317</v>
      </c>
      <c r="AL1012" s="89" t="s">
        <v>25318</v>
      </c>
      <c r="AM1012" s="89" t="s">
        <v>646</v>
      </c>
      <c r="AN1012" s="89" t="s">
        <v>646</v>
      </c>
      <c r="AO1012" s="89" t="s">
        <v>646</v>
      </c>
      <c r="AP1012" s="89" t="s">
        <v>646</v>
      </c>
      <c r="AQ1012" s="89" t="s">
        <v>646</v>
      </c>
      <c r="AR1012" s="89" t="s">
        <v>646</v>
      </c>
      <c r="AS1012" s="89" t="s">
        <v>646</v>
      </c>
      <c r="AT1012" s="89" t="s">
        <v>646</v>
      </c>
      <c r="AU1012" s="89" t="s">
        <v>646</v>
      </c>
      <c r="AV1012" s="89" t="s">
        <v>646</v>
      </c>
      <c r="AW1012" s="89" t="s">
        <v>646</v>
      </c>
      <c r="AX1012" s="89" t="s">
        <v>646</v>
      </c>
      <c r="AY1012" s="89" t="s">
        <v>646</v>
      </c>
      <c r="AZ1012" s="89" t="s">
        <v>25319</v>
      </c>
      <c r="BA1012" s="89" t="s">
        <v>646</v>
      </c>
      <c r="BB1012" s="89" t="s">
        <v>646</v>
      </c>
      <c r="BC1012" s="89" t="s">
        <v>646</v>
      </c>
      <c r="BD1012" s="89" t="s">
        <v>25320</v>
      </c>
      <c r="BE1012" s="89">
        <v>2016</v>
      </c>
      <c r="BF1012" s="89">
        <v>4</v>
      </c>
      <c r="BG1012" s="89" t="s">
        <v>646</v>
      </c>
      <c r="BH1012" s="89" t="s">
        <v>646</v>
      </c>
      <c r="BI1012" s="89" t="s">
        <v>646</v>
      </c>
      <c r="BJ1012" s="89" t="s">
        <v>646</v>
      </c>
      <c r="BK1012" s="89" t="s">
        <v>646</v>
      </c>
      <c r="BL1012" s="89" t="s">
        <v>646</v>
      </c>
      <c r="BM1012" s="89" t="s">
        <v>646</v>
      </c>
      <c r="BN1012" s="89">
        <v>97</v>
      </c>
      <c r="BO1012" s="89" t="str">
        <f>HYPERLINK("http://dx.doi.org/10.3389/fpubh.2016.00097","http://dx.doi.org/10.3389/fpubh.2016.00097")</f>
        <v>http://dx.doi.org/10.3389/fpubh.2016.00097</v>
      </c>
      <c r="BP1012" s="89" t="s">
        <v>646</v>
      </c>
      <c r="BQ1012" s="89" t="s">
        <v>646</v>
      </c>
      <c r="BR1012" s="89" t="s">
        <v>646</v>
      </c>
      <c r="BS1012" s="89" t="s">
        <v>646</v>
      </c>
      <c r="BT1012" s="89" t="s">
        <v>646</v>
      </c>
      <c r="BU1012" s="89" t="s">
        <v>646</v>
      </c>
      <c r="BV1012" s="89" t="s">
        <v>646</v>
      </c>
      <c r="BW1012" s="89">
        <v>27242989</v>
      </c>
      <c r="BX1012" s="89" t="s">
        <v>646</v>
      </c>
      <c r="BY1012" s="89" t="s">
        <v>646</v>
      </c>
      <c r="BZ1012" s="89" t="s">
        <v>646</v>
      </c>
      <c r="CA1012" s="89" t="s">
        <v>646</v>
      </c>
      <c r="CB1012" s="89" t="s">
        <v>25321</v>
      </c>
      <c r="CC1012" s="89" t="str">
        <f>HYPERLINK("https%3A%2F%2Fwww.webofscience.com%2Fwos%2Fwoscc%2Ffull-record%2FWOS:000408278400001","View Full Record in Web of Science")</f>
        <v>View Full Record in Web of Science</v>
      </c>
    </row>
    <row r="1013" spans="1:81" ht="13.2" hidden="1" x14ac:dyDescent="0.25">
      <c r="A1013" s="89" t="s">
        <v>10702</v>
      </c>
      <c r="B1013" s="89" t="e">
        <f>+#REF!</f>
        <v>#REF!</v>
      </c>
      <c r="C1013" s="89"/>
      <c r="D1013" s="91" t="s">
        <v>717</v>
      </c>
      <c r="E1013" s="90" t="e">
        <v>#REF!</v>
      </c>
      <c r="F1013" s="89"/>
      <c r="G1013" s="89"/>
      <c r="H1013" s="89" t="s">
        <v>10703</v>
      </c>
      <c r="I1013" s="89" t="s">
        <v>25322</v>
      </c>
      <c r="J1013" s="89" t="s">
        <v>25325</v>
      </c>
      <c r="K1013" s="89" t="s">
        <v>25324</v>
      </c>
      <c r="M1013" s="89">
        <v>2022</v>
      </c>
      <c r="N1013" s="89" t="s">
        <v>25323</v>
      </c>
      <c r="O1013" s="89" t="s">
        <v>646</v>
      </c>
      <c r="P1013" s="89" t="str">
        <f>HYPERLINK("http://dx.doi.org/10.1016/j.wneu.2021.10.185","http://dx.doi.org/10.1016/j.wneu.2021.10.185")</f>
        <v>http://dx.doi.org/10.1016/j.wneu.2021.10.185</v>
      </c>
      <c r="S1013" s="89" t="s">
        <v>646</v>
      </c>
      <c r="U1013" s="89" t="s">
        <v>17462</v>
      </c>
      <c r="W1013" s="89" t="s">
        <v>646</v>
      </c>
      <c r="X1013" s="89" t="s">
        <v>646</v>
      </c>
      <c r="Y1013" s="89" t="s">
        <v>646</v>
      </c>
      <c r="Z1013" s="89" t="s">
        <v>646</v>
      </c>
      <c r="AA1013" s="89" t="s">
        <v>646</v>
      </c>
      <c r="AB1013" s="89" t="s">
        <v>646</v>
      </c>
      <c r="AC1013" s="89" t="s">
        <v>646</v>
      </c>
      <c r="AD1013" s="89" t="s">
        <v>646</v>
      </c>
      <c r="AE1013" s="89" t="s">
        <v>646</v>
      </c>
      <c r="AF1013" s="89" t="s">
        <v>25324</v>
      </c>
      <c r="AG1013" s="89" t="s">
        <v>646</v>
      </c>
      <c r="AH1013" s="89" t="s">
        <v>646</v>
      </c>
      <c r="AI1013" s="89" t="s">
        <v>646</v>
      </c>
      <c r="AJ1013" s="89" t="s">
        <v>646</v>
      </c>
      <c r="AK1013" s="89" t="s">
        <v>25325</v>
      </c>
      <c r="AL1013" s="89" t="s">
        <v>25326</v>
      </c>
      <c r="AM1013" s="89" t="s">
        <v>646</v>
      </c>
      <c r="AN1013" s="89" t="s">
        <v>646</v>
      </c>
      <c r="AO1013" s="89" t="s">
        <v>646</v>
      </c>
      <c r="AP1013" s="89" t="s">
        <v>646</v>
      </c>
      <c r="AQ1013" s="89" t="s">
        <v>646</v>
      </c>
      <c r="AR1013" s="89" t="s">
        <v>646</v>
      </c>
      <c r="AS1013" s="89" t="s">
        <v>646</v>
      </c>
      <c r="AT1013" s="89" t="s">
        <v>646</v>
      </c>
      <c r="AU1013" s="89" t="s">
        <v>646</v>
      </c>
      <c r="AV1013" s="89" t="s">
        <v>646</v>
      </c>
      <c r="AW1013" s="89" t="s">
        <v>646</v>
      </c>
      <c r="AX1013" s="89" t="s">
        <v>646</v>
      </c>
      <c r="AY1013" s="89" t="s">
        <v>25327</v>
      </c>
      <c r="AZ1013" s="89" t="s">
        <v>25328</v>
      </c>
      <c r="BA1013" s="89" t="s">
        <v>646</v>
      </c>
      <c r="BB1013" s="89" t="s">
        <v>646</v>
      </c>
      <c r="BC1013" s="89" t="s">
        <v>646</v>
      </c>
      <c r="BD1013" s="89" t="s">
        <v>17658</v>
      </c>
      <c r="BE1013" s="89">
        <v>2022</v>
      </c>
      <c r="BF1013" s="89">
        <v>158</v>
      </c>
      <c r="BG1013" s="89" t="s">
        <v>646</v>
      </c>
      <c r="BH1013" s="89" t="s">
        <v>646</v>
      </c>
      <c r="BI1013" s="89" t="s">
        <v>646</v>
      </c>
      <c r="BJ1013" s="89" t="s">
        <v>646</v>
      </c>
      <c r="BK1013" s="89" t="s">
        <v>646</v>
      </c>
      <c r="BL1013" s="89" t="s">
        <v>25329</v>
      </c>
      <c r="BM1013" s="89" t="s">
        <v>25330</v>
      </c>
      <c r="BN1013" s="89" t="s">
        <v>646</v>
      </c>
      <c r="BO1013" s="89" t="str">
        <f>HYPERLINK("http://dx.doi.org/10.1016/j.wneu.2021.10.185","http://dx.doi.org/10.1016/j.wneu.2021.10.185")</f>
        <v>http://dx.doi.org/10.1016/j.wneu.2021.10.185</v>
      </c>
      <c r="BP1013" s="89" t="s">
        <v>646</v>
      </c>
      <c r="BQ1013" s="89" t="s">
        <v>646</v>
      </c>
      <c r="BR1013" s="89" t="s">
        <v>646</v>
      </c>
      <c r="BS1013" s="89" t="s">
        <v>646</v>
      </c>
      <c r="BT1013" s="89" t="s">
        <v>646</v>
      </c>
      <c r="BU1013" s="89" t="s">
        <v>646</v>
      </c>
      <c r="BV1013" s="89" t="s">
        <v>646</v>
      </c>
      <c r="BW1013" s="89">
        <v>34763107</v>
      </c>
      <c r="BX1013" s="89" t="s">
        <v>646</v>
      </c>
      <c r="BY1013" s="89" t="s">
        <v>646</v>
      </c>
      <c r="BZ1013" s="89" t="s">
        <v>646</v>
      </c>
      <c r="CA1013" s="89" t="s">
        <v>646</v>
      </c>
      <c r="CB1013" s="89" t="s">
        <v>25331</v>
      </c>
      <c r="CC1013" s="89" t="str">
        <f>HYPERLINK("https%3A%2F%2Fwww.webofscience.com%2Fwos%2Fwoscc%2Ffull-record%2FWOS:000774367300041","View Full Record in Web of Science")</f>
        <v>View Full Record in Web of Science</v>
      </c>
    </row>
    <row r="1014" spans="1:81" ht="13.2" hidden="1" x14ac:dyDescent="0.25">
      <c r="A1014" s="89" t="s">
        <v>25332</v>
      </c>
      <c r="B1014" s="89" t="e">
        <f>+#REF!</f>
        <v>#REF!</v>
      </c>
      <c r="C1014" s="89"/>
      <c r="D1014" s="91" t="s">
        <v>717</v>
      </c>
      <c r="E1014" s="90" t="e">
        <v>#REF!</v>
      </c>
      <c r="F1014" s="89"/>
      <c r="G1014" s="89"/>
      <c r="H1014" s="89" t="s">
        <v>16146</v>
      </c>
      <c r="I1014" s="89" t="s">
        <v>25333</v>
      </c>
      <c r="J1014" s="89" t="s">
        <v>25335</v>
      </c>
      <c r="K1014" s="89" t="s">
        <v>25334</v>
      </c>
      <c r="M1014" s="89">
        <v>2016</v>
      </c>
      <c r="N1014" s="89" t="s">
        <v>21001</v>
      </c>
      <c r="O1014" s="89" t="s">
        <v>646</v>
      </c>
      <c r="P1014" s="89" t="str">
        <f>HYPERLINK("http://dx.doi.org/10.1177/1474704916678217","http://dx.doi.org/10.1177/1474704916678217")</f>
        <v>http://dx.doi.org/10.1177/1474704916678217</v>
      </c>
      <c r="S1014" s="89" t="s">
        <v>646</v>
      </c>
      <c r="U1014" s="89" t="s">
        <v>17462</v>
      </c>
      <c r="W1014" s="89" t="s">
        <v>646</v>
      </c>
      <c r="X1014" s="89" t="s">
        <v>646</v>
      </c>
      <c r="Y1014" s="89" t="s">
        <v>646</v>
      </c>
      <c r="Z1014" s="89" t="s">
        <v>646</v>
      </c>
      <c r="AA1014" s="89" t="s">
        <v>646</v>
      </c>
      <c r="AB1014" s="89" t="s">
        <v>646</v>
      </c>
      <c r="AC1014" s="89" t="s">
        <v>646</v>
      </c>
      <c r="AD1014" s="89" t="s">
        <v>646</v>
      </c>
      <c r="AE1014" s="89" t="s">
        <v>646</v>
      </c>
      <c r="AF1014" s="89" t="s">
        <v>25334</v>
      </c>
      <c r="AG1014" s="89" t="s">
        <v>646</v>
      </c>
      <c r="AH1014" s="89" t="s">
        <v>646</v>
      </c>
      <c r="AI1014" s="89" t="s">
        <v>646</v>
      </c>
      <c r="AJ1014" s="89" t="s">
        <v>646</v>
      </c>
      <c r="AK1014" s="89" t="s">
        <v>25335</v>
      </c>
      <c r="AL1014" s="89" t="s">
        <v>25336</v>
      </c>
      <c r="AM1014" s="89" t="s">
        <v>646</v>
      </c>
      <c r="AN1014" s="89" t="s">
        <v>646</v>
      </c>
      <c r="AO1014" s="89" t="s">
        <v>646</v>
      </c>
      <c r="AP1014" s="89" t="s">
        <v>646</v>
      </c>
      <c r="AQ1014" s="89" t="s">
        <v>646</v>
      </c>
      <c r="AR1014" s="89" t="s">
        <v>646</v>
      </c>
      <c r="AS1014" s="89" t="s">
        <v>646</v>
      </c>
      <c r="AT1014" s="89" t="s">
        <v>646</v>
      </c>
      <c r="AU1014" s="89" t="s">
        <v>646</v>
      </c>
      <c r="AV1014" s="89" t="s">
        <v>646</v>
      </c>
      <c r="AW1014" s="89" t="s">
        <v>646</v>
      </c>
      <c r="AX1014" s="89" t="s">
        <v>646</v>
      </c>
      <c r="AY1014" s="89" t="s">
        <v>21004</v>
      </c>
      <c r="AZ1014" s="89" t="s">
        <v>646</v>
      </c>
      <c r="BA1014" s="89" t="s">
        <v>646</v>
      </c>
      <c r="BB1014" s="89" t="s">
        <v>646</v>
      </c>
      <c r="BC1014" s="89" t="s">
        <v>646</v>
      </c>
      <c r="BD1014" s="89" t="s">
        <v>22577</v>
      </c>
      <c r="BE1014" s="89">
        <v>2016</v>
      </c>
      <c r="BF1014" s="89">
        <v>14</v>
      </c>
      <c r="BG1014" s="89">
        <v>4</v>
      </c>
      <c r="BH1014" s="89" t="s">
        <v>646</v>
      </c>
      <c r="BI1014" s="89" t="s">
        <v>646</v>
      </c>
      <c r="BJ1014" s="89" t="s">
        <v>646</v>
      </c>
      <c r="BK1014" s="89" t="s">
        <v>646</v>
      </c>
      <c r="BL1014" s="89" t="s">
        <v>646</v>
      </c>
      <c r="BM1014" s="89" t="s">
        <v>646</v>
      </c>
      <c r="BN1014" s="89" t="s">
        <v>646</v>
      </c>
      <c r="BO1014" s="89" t="str">
        <f>HYPERLINK("http://dx.doi.org/10.1177/1474704916678217","http://dx.doi.org/10.1177/1474704916678217")</f>
        <v>http://dx.doi.org/10.1177/1474704916678217</v>
      </c>
      <c r="BP1014" s="89" t="s">
        <v>646</v>
      </c>
      <c r="BQ1014" s="89" t="s">
        <v>646</v>
      </c>
      <c r="BR1014" s="89" t="s">
        <v>646</v>
      </c>
      <c r="BS1014" s="89" t="s">
        <v>646</v>
      </c>
      <c r="BT1014" s="89" t="s">
        <v>646</v>
      </c>
      <c r="BU1014" s="89" t="s">
        <v>646</v>
      </c>
      <c r="BV1014" s="89" t="s">
        <v>646</v>
      </c>
      <c r="BW1014" s="89" t="s">
        <v>646</v>
      </c>
      <c r="BX1014" s="89" t="s">
        <v>646</v>
      </c>
      <c r="BY1014" s="89" t="s">
        <v>646</v>
      </c>
      <c r="BZ1014" s="89" t="s">
        <v>646</v>
      </c>
      <c r="CA1014" s="89" t="s">
        <v>646</v>
      </c>
      <c r="CB1014" s="89" t="s">
        <v>25337</v>
      </c>
      <c r="CC1014" s="89" t="str">
        <f>HYPERLINK("https%3A%2F%2Fwww.webofscience.com%2Fwos%2Fwoscc%2Ffull-record%2FWOS:000391101300009","View Full Record in Web of Science")</f>
        <v>View Full Record in Web of Science</v>
      </c>
    </row>
    <row r="1015" spans="1:81" ht="13.2" hidden="1" x14ac:dyDescent="0.25">
      <c r="A1015" s="89" t="s">
        <v>16668</v>
      </c>
      <c r="B1015" s="89" t="e">
        <f>+#REF!</f>
        <v>#REF!</v>
      </c>
      <c r="C1015" s="89"/>
      <c r="D1015" s="91" t="s">
        <v>717</v>
      </c>
      <c r="E1015" s="90" t="e">
        <v>#REF!</v>
      </c>
      <c r="F1015" s="89"/>
      <c r="G1015" s="89"/>
      <c r="H1015" s="89" t="s">
        <v>16669</v>
      </c>
      <c r="I1015" s="89" t="s">
        <v>25338</v>
      </c>
      <c r="J1015" s="89" t="s">
        <v>25340</v>
      </c>
      <c r="K1015" s="89" t="s">
        <v>25339</v>
      </c>
      <c r="M1015" s="89">
        <v>2020</v>
      </c>
      <c r="N1015" s="89" t="s">
        <v>21404</v>
      </c>
      <c r="O1015" s="89" t="s">
        <v>646</v>
      </c>
      <c r="P1015" s="89" t="str">
        <f>HYPERLINK("http://dx.doi.org/10.1145/3313831.3376168","http://dx.doi.org/10.1145/3313831.3376168")</f>
        <v>http://dx.doi.org/10.1145/3313831.3376168</v>
      </c>
      <c r="S1015" s="89" t="s">
        <v>19206</v>
      </c>
      <c r="U1015" s="89" t="s">
        <v>17474</v>
      </c>
      <c r="W1015" s="89" t="s">
        <v>646</v>
      </c>
      <c r="X1015" s="89" t="s">
        <v>646</v>
      </c>
      <c r="Y1015" s="89" t="s">
        <v>19438</v>
      </c>
      <c r="Z1015" s="89" t="s">
        <v>21405</v>
      </c>
      <c r="AA1015" s="89" t="s">
        <v>17494</v>
      </c>
      <c r="AB1015" s="89" t="s">
        <v>19440</v>
      </c>
      <c r="AC1015" s="89" t="s">
        <v>646</v>
      </c>
      <c r="AD1015" s="89" t="s">
        <v>646</v>
      </c>
      <c r="AE1015" s="89" t="s">
        <v>646</v>
      </c>
      <c r="AF1015" s="89" t="s">
        <v>25339</v>
      </c>
      <c r="AG1015" s="89" t="s">
        <v>646</v>
      </c>
      <c r="AH1015" s="89" t="s">
        <v>646</v>
      </c>
      <c r="AI1015" s="89" t="s">
        <v>646</v>
      </c>
      <c r="AJ1015" s="89" t="s">
        <v>646</v>
      </c>
      <c r="AK1015" s="89" t="s">
        <v>25340</v>
      </c>
      <c r="AL1015" s="89" t="s">
        <v>25341</v>
      </c>
      <c r="AM1015" s="89" t="s">
        <v>646</v>
      </c>
      <c r="AN1015" s="89" t="s">
        <v>646</v>
      </c>
      <c r="AO1015" s="89" t="s">
        <v>646</v>
      </c>
      <c r="AP1015" s="89" t="s">
        <v>646</v>
      </c>
      <c r="AQ1015" s="89" t="s">
        <v>646</v>
      </c>
      <c r="AR1015" s="89" t="s">
        <v>646</v>
      </c>
      <c r="AS1015" s="89" t="s">
        <v>646</v>
      </c>
      <c r="AT1015" s="89" t="s">
        <v>646</v>
      </c>
      <c r="AU1015" s="89" t="s">
        <v>646</v>
      </c>
      <c r="AV1015" s="89" t="s">
        <v>646</v>
      </c>
      <c r="AW1015" s="89" t="s">
        <v>646</v>
      </c>
      <c r="AX1015" s="89" t="s">
        <v>646</v>
      </c>
      <c r="AY1015" s="89" t="s">
        <v>646</v>
      </c>
      <c r="AZ1015" s="89" t="s">
        <v>646</v>
      </c>
      <c r="BA1015" s="89" t="s">
        <v>21408</v>
      </c>
      <c r="BB1015" s="89" t="s">
        <v>646</v>
      </c>
      <c r="BC1015" s="89" t="s">
        <v>646</v>
      </c>
      <c r="BD1015" s="89" t="s">
        <v>646</v>
      </c>
      <c r="BE1015" s="89">
        <v>2020</v>
      </c>
      <c r="BF1015" s="89" t="s">
        <v>646</v>
      </c>
      <c r="BG1015" s="89" t="s">
        <v>646</v>
      </c>
      <c r="BH1015" s="89" t="s">
        <v>646</v>
      </c>
      <c r="BI1015" s="89" t="s">
        <v>646</v>
      </c>
      <c r="BJ1015" s="89" t="s">
        <v>646</v>
      </c>
      <c r="BK1015" s="89" t="s">
        <v>646</v>
      </c>
      <c r="BL1015" s="89" t="s">
        <v>646</v>
      </c>
      <c r="BM1015" s="89" t="s">
        <v>646</v>
      </c>
      <c r="BN1015" s="89" t="s">
        <v>646</v>
      </c>
      <c r="BO1015" s="89" t="str">
        <f>HYPERLINK("http://dx.doi.org/10.1145/3313831.3376168","http://dx.doi.org/10.1145/3313831.3376168")</f>
        <v>http://dx.doi.org/10.1145/3313831.3376168</v>
      </c>
      <c r="BP1015" s="89" t="s">
        <v>646</v>
      </c>
      <c r="BQ1015" s="89" t="s">
        <v>646</v>
      </c>
      <c r="BR1015" s="89" t="s">
        <v>646</v>
      </c>
      <c r="BS1015" s="89" t="s">
        <v>646</v>
      </c>
      <c r="BT1015" s="89" t="s">
        <v>646</v>
      </c>
      <c r="BU1015" s="89" t="s">
        <v>646</v>
      </c>
      <c r="BV1015" s="89" t="s">
        <v>646</v>
      </c>
      <c r="BW1015" s="89" t="s">
        <v>646</v>
      </c>
      <c r="BX1015" s="89" t="s">
        <v>646</v>
      </c>
      <c r="BY1015" s="89" t="s">
        <v>646</v>
      </c>
      <c r="BZ1015" s="89" t="s">
        <v>646</v>
      </c>
      <c r="CA1015" s="89" t="s">
        <v>646</v>
      </c>
      <c r="CB1015" s="89" t="s">
        <v>25342</v>
      </c>
      <c r="CC1015" s="89" t="str">
        <f>HYPERLINK("https%3A%2F%2Fwww.webofscience.com%2Fwos%2Fwoscc%2Ffull-record%2FWOS:000695432500041","View Full Record in Web of Science")</f>
        <v>View Full Record in Web of Science</v>
      </c>
    </row>
    <row r="1016" spans="1:81" ht="13.2" hidden="1" x14ac:dyDescent="0.25">
      <c r="A1016" s="89" t="s">
        <v>10712</v>
      </c>
      <c r="B1016" s="89" t="e">
        <f>+#REF!</f>
        <v>#REF!</v>
      </c>
      <c r="C1016" s="89"/>
      <c r="D1016" s="91" t="s">
        <v>717</v>
      </c>
      <c r="E1016" s="90" t="e">
        <v>#REF!</v>
      </c>
      <c r="F1016" s="89"/>
      <c r="G1016" s="89"/>
      <c r="H1016" s="89" t="s">
        <v>10713</v>
      </c>
      <c r="I1016" s="89" t="s">
        <v>25343</v>
      </c>
      <c r="J1016" s="89" t="s">
        <v>18380</v>
      </c>
      <c r="K1016" s="89" t="s">
        <v>25345</v>
      </c>
      <c r="M1016" s="89">
        <v>2021</v>
      </c>
      <c r="N1016" s="89" t="s">
        <v>25344</v>
      </c>
      <c r="O1016" s="89" t="s">
        <v>646</v>
      </c>
      <c r="P1016" s="89" t="str">
        <f>HYPERLINK("http://dx.doi.org/10.1017/jmo.2018.53","http://dx.doi.org/10.1017/jmo.2018.53")</f>
        <v>http://dx.doi.org/10.1017/jmo.2018.53</v>
      </c>
      <c r="S1016" s="89" t="s">
        <v>646</v>
      </c>
      <c r="U1016" s="89" t="s">
        <v>17462</v>
      </c>
      <c r="W1016" s="89" t="s">
        <v>646</v>
      </c>
      <c r="X1016" s="89" t="s">
        <v>646</v>
      </c>
      <c r="Y1016" s="89" t="s">
        <v>646</v>
      </c>
      <c r="Z1016" s="89" t="s">
        <v>646</v>
      </c>
      <c r="AA1016" s="89" t="s">
        <v>646</v>
      </c>
      <c r="AB1016" s="89" t="s">
        <v>646</v>
      </c>
      <c r="AC1016" s="89" t="s">
        <v>646</v>
      </c>
      <c r="AD1016" s="89" t="s">
        <v>646</v>
      </c>
      <c r="AE1016" s="89" t="s">
        <v>646</v>
      </c>
      <c r="AF1016" s="89" t="s">
        <v>25345</v>
      </c>
      <c r="AG1016" s="89" t="s">
        <v>646</v>
      </c>
      <c r="AH1016" s="89" t="s">
        <v>646</v>
      </c>
      <c r="AI1016" s="89" t="s">
        <v>646</v>
      </c>
      <c r="AJ1016" s="89" t="s">
        <v>646</v>
      </c>
      <c r="AK1016" s="89" t="s">
        <v>18380</v>
      </c>
      <c r="AL1016" s="89" t="s">
        <v>25346</v>
      </c>
      <c r="AM1016" s="89" t="s">
        <v>646</v>
      </c>
      <c r="AN1016" s="89" t="s">
        <v>646</v>
      </c>
      <c r="AO1016" s="89" t="s">
        <v>646</v>
      </c>
      <c r="AP1016" s="89" t="s">
        <v>646</v>
      </c>
      <c r="AQ1016" s="89" t="s">
        <v>646</v>
      </c>
      <c r="AR1016" s="89" t="s">
        <v>646</v>
      </c>
      <c r="AS1016" s="89" t="s">
        <v>646</v>
      </c>
      <c r="AT1016" s="89" t="s">
        <v>646</v>
      </c>
      <c r="AU1016" s="89" t="s">
        <v>646</v>
      </c>
      <c r="AV1016" s="89" t="s">
        <v>646</v>
      </c>
      <c r="AW1016" s="89" t="s">
        <v>646</v>
      </c>
      <c r="AX1016" s="89" t="s">
        <v>646</v>
      </c>
      <c r="AY1016" s="89" t="s">
        <v>25347</v>
      </c>
      <c r="AZ1016" s="89" t="s">
        <v>25348</v>
      </c>
      <c r="BA1016" s="89" t="s">
        <v>646</v>
      </c>
      <c r="BB1016" s="89" t="s">
        <v>646</v>
      </c>
      <c r="BC1016" s="89" t="s">
        <v>646</v>
      </c>
      <c r="BD1016" s="89" t="s">
        <v>17739</v>
      </c>
      <c r="BE1016" s="89">
        <v>2021</v>
      </c>
      <c r="BF1016" s="89">
        <v>27</v>
      </c>
      <c r="BG1016" s="89">
        <v>5</v>
      </c>
      <c r="BH1016" s="89" t="s">
        <v>646</v>
      </c>
      <c r="BI1016" s="89" t="s">
        <v>646</v>
      </c>
      <c r="BJ1016" s="89" t="s">
        <v>646</v>
      </c>
      <c r="BK1016" s="89" t="s">
        <v>646</v>
      </c>
      <c r="BL1016" s="89">
        <v>850</v>
      </c>
      <c r="BM1016" s="89">
        <v>866</v>
      </c>
      <c r="BN1016" s="89" t="s">
        <v>25349</v>
      </c>
      <c r="BO1016" s="89" t="str">
        <f>HYPERLINK("http://dx.doi.org/10.1017/jmo.2018.53","http://dx.doi.org/10.1017/jmo.2018.53")</f>
        <v>http://dx.doi.org/10.1017/jmo.2018.53</v>
      </c>
      <c r="BP1016" s="89" t="s">
        <v>646</v>
      </c>
      <c r="BQ1016" s="89" t="s">
        <v>646</v>
      </c>
      <c r="BR1016" s="89" t="s">
        <v>646</v>
      </c>
      <c r="BS1016" s="89" t="s">
        <v>646</v>
      </c>
      <c r="BT1016" s="89" t="s">
        <v>646</v>
      </c>
      <c r="BU1016" s="89" t="s">
        <v>646</v>
      </c>
      <c r="BV1016" s="89" t="s">
        <v>646</v>
      </c>
      <c r="BW1016" s="89" t="s">
        <v>646</v>
      </c>
      <c r="BX1016" s="89" t="s">
        <v>646</v>
      </c>
      <c r="BY1016" s="89" t="s">
        <v>646</v>
      </c>
      <c r="BZ1016" s="89" t="s">
        <v>646</v>
      </c>
      <c r="CA1016" s="89" t="s">
        <v>646</v>
      </c>
      <c r="CB1016" s="89" t="s">
        <v>25350</v>
      </c>
      <c r="CC1016" s="89" t="str">
        <f>HYPERLINK("https%3A%2F%2Fwww.webofscience.com%2Fwos%2Fwoscc%2Ffull-record%2FWOS:000724347200003","View Full Record in Web of Science")</f>
        <v>View Full Record in Web of Science</v>
      </c>
    </row>
    <row r="1017" spans="1:81" ht="13.2" hidden="1" x14ac:dyDescent="0.25">
      <c r="A1017" s="89" t="s">
        <v>10722</v>
      </c>
      <c r="B1017" s="89" t="e">
        <f>+#REF!</f>
        <v>#REF!</v>
      </c>
      <c r="C1017" s="89"/>
      <c r="D1017" s="91" t="s">
        <v>717</v>
      </c>
      <c r="E1017" s="90" t="e">
        <v>#REF!</v>
      </c>
      <c r="F1017" s="89"/>
      <c r="G1017" s="89"/>
      <c r="H1017" s="89" t="s">
        <v>10723</v>
      </c>
      <c r="I1017" s="89" t="s">
        <v>25352</v>
      </c>
      <c r="J1017" s="89" t="s">
        <v>646</v>
      </c>
      <c r="K1017" s="89" t="s">
        <v>25357</v>
      </c>
      <c r="M1017" s="89">
        <v>2020</v>
      </c>
      <c r="N1017" s="89" t="s">
        <v>25353</v>
      </c>
      <c r="O1017" s="89" t="s">
        <v>25351</v>
      </c>
      <c r="P1017" s="89" t="str">
        <f>HYPERLINK("http://dx.doi.org/10.1109/ICSITech49800.2020.9392060","http://dx.doi.org/10.1109/ICSITech49800.2020.9392060")</f>
        <v>http://dx.doi.org/10.1109/ICSITech49800.2020.9392060</v>
      </c>
      <c r="S1017" s="89" t="s">
        <v>646</v>
      </c>
      <c r="U1017" s="89" t="s">
        <v>17474</v>
      </c>
      <c r="W1017" s="89" t="s">
        <v>646</v>
      </c>
      <c r="X1017" s="89" t="s">
        <v>646</v>
      </c>
      <c r="Y1017" s="89" t="s">
        <v>25354</v>
      </c>
      <c r="Z1017" s="89" t="s">
        <v>25355</v>
      </c>
      <c r="AA1017" s="89" t="s">
        <v>25356</v>
      </c>
      <c r="AB1017" s="89" t="s">
        <v>646</v>
      </c>
      <c r="AC1017" s="89" t="s">
        <v>646</v>
      </c>
      <c r="AD1017" s="89" t="s">
        <v>646</v>
      </c>
      <c r="AE1017" s="89" t="s">
        <v>646</v>
      </c>
      <c r="AF1017" s="89" t="s">
        <v>25357</v>
      </c>
      <c r="AG1017" s="89" t="s">
        <v>646</v>
      </c>
      <c r="AH1017" s="89" t="s">
        <v>646</v>
      </c>
      <c r="AI1017" s="89" t="s">
        <v>646</v>
      </c>
      <c r="AJ1017" s="89" t="s">
        <v>646</v>
      </c>
      <c r="AK1017" s="89" t="s">
        <v>646</v>
      </c>
      <c r="AL1017" s="89" t="s">
        <v>646</v>
      </c>
      <c r="AM1017" s="89" t="s">
        <v>646</v>
      </c>
      <c r="AN1017" s="89" t="s">
        <v>646</v>
      </c>
      <c r="AO1017" s="89" t="s">
        <v>646</v>
      </c>
      <c r="AP1017" s="89" t="s">
        <v>646</v>
      </c>
      <c r="AQ1017" s="89" t="s">
        <v>646</v>
      </c>
      <c r="AR1017" s="89" t="s">
        <v>646</v>
      </c>
      <c r="AS1017" s="89" t="s">
        <v>646</v>
      </c>
      <c r="AT1017" s="89" t="s">
        <v>646</v>
      </c>
      <c r="AU1017" s="89" t="s">
        <v>646</v>
      </c>
      <c r="AV1017" s="89" t="s">
        <v>646</v>
      </c>
      <c r="AW1017" s="89" t="s">
        <v>646</v>
      </c>
      <c r="AX1017" s="89" t="s">
        <v>646</v>
      </c>
      <c r="AY1017" s="89" t="s">
        <v>646</v>
      </c>
      <c r="AZ1017" s="89" t="s">
        <v>646</v>
      </c>
      <c r="BA1017" s="89" t="s">
        <v>25358</v>
      </c>
      <c r="BB1017" s="89" t="s">
        <v>646</v>
      </c>
      <c r="BC1017" s="89" t="s">
        <v>646</v>
      </c>
      <c r="BD1017" s="89" t="s">
        <v>646</v>
      </c>
      <c r="BE1017" s="89">
        <v>2020</v>
      </c>
      <c r="BF1017" s="89" t="s">
        <v>646</v>
      </c>
      <c r="BG1017" s="89" t="s">
        <v>646</v>
      </c>
      <c r="BH1017" s="89" t="s">
        <v>646</v>
      </c>
      <c r="BI1017" s="89" t="s">
        <v>646</v>
      </c>
      <c r="BJ1017" s="89" t="s">
        <v>646</v>
      </c>
      <c r="BK1017" s="89" t="s">
        <v>646</v>
      </c>
      <c r="BL1017" s="89">
        <v>68</v>
      </c>
      <c r="BM1017" s="89">
        <v>73</v>
      </c>
      <c r="BN1017" s="89" t="s">
        <v>646</v>
      </c>
      <c r="BO1017" s="89" t="str">
        <f>HYPERLINK("http://dx.doi.org/10.1109/ICSITech49800.2020.9392060","http://dx.doi.org/10.1109/ICSITech49800.2020.9392060")</f>
        <v>http://dx.doi.org/10.1109/ICSITech49800.2020.9392060</v>
      </c>
      <c r="BP1017" s="89" t="s">
        <v>646</v>
      </c>
      <c r="BQ1017" s="89" t="s">
        <v>646</v>
      </c>
      <c r="BR1017" s="89" t="s">
        <v>646</v>
      </c>
      <c r="BS1017" s="89" t="s">
        <v>646</v>
      </c>
      <c r="BT1017" s="89" t="s">
        <v>646</v>
      </c>
      <c r="BU1017" s="89" t="s">
        <v>646</v>
      </c>
      <c r="BV1017" s="89" t="s">
        <v>646</v>
      </c>
      <c r="BW1017" s="89" t="s">
        <v>646</v>
      </c>
      <c r="BX1017" s="89" t="s">
        <v>646</v>
      </c>
      <c r="BY1017" s="89" t="s">
        <v>646</v>
      </c>
      <c r="BZ1017" s="89" t="s">
        <v>646</v>
      </c>
      <c r="CA1017" s="89" t="s">
        <v>646</v>
      </c>
      <c r="CB1017" s="89" t="s">
        <v>25359</v>
      </c>
      <c r="CC1017" s="89" t="str">
        <f>HYPERLINK("https%3A%2F%2Fwww.webofscience.com%2Fwos%2Fwoscc%2Ffull-record%2FWOS:000675840500013","View Full Record in Web of Science")</f>
        <v>View Full Record in Web of Science</v>
      </c>
    </row>
    <row r="1018" spans="1:81" ht="13.2" hidden="1" x14ac:dyDescent="0.25">
      <c r="A1018" s="89" t="s">
        <v>16676</v>
      </c>
      <c r="B1018" s="89" t="e">
        <f>+#REF!</f>
        <v>#REF!</v>
      </c>
      <c r="C1018" s="89"/>
      <c r="D1018" s="91" t="s">
        <v>717</v>
      </c>
      <c r="E1018" s="90" t="e">
        <v>#REF!</v>
      </c>
      <c r="F1018" s="89"/>
      <c r="G1018" s="89"/>
      <c r="H1018" s="89" t="s">
        <v>16677</v>
      </c>
      <c r="I1018" s="89" t="s">
        <v>25360</v>
      </c>
      <c r="J1018" s="89" t="s">
        <v>646</v>
      </c>
      <c r="K1018" s="89" t="s">
        <v>25361</v>
      </c>
      <c r="M1018" s="89">
        <v>2020</v>
      </c>
      <c r="N1018" s="89" t="s">
        <v>20024</v>
      </c>
      <c r="O1018" s="89" t="s">
        <v>646</v>
      </c>
      <c r="P1018" s="89" t="str">
        <f>HYPERLINK("http://dx.doi.org/10.1111/ntwe.12177","http://dx.doi.org/10.1111/ntwe.12177")</f>
        <v>http://dx.doi.org/10.1111/ntwe.12177</v>
      </c>
      <c r="S1018" s="89" t="s">
        <v>646</v>
      </c>
      <c r="U1018" s="89" t="s">
        <v>17462</v>
      </c>
      <c r="W1018" s="89" t="s">
        <v>646</v>
      </c>
      <c r="X1018" s="89" t="s">
        <v>646</v>
      </c>
      <c r="Y1018" s="89" t="s">
        <v>646</v>
      </c>
      <c r="Z1018" s="89" t="s">
        <v>646</v>
      </c>
      <c r="AA1018" s="89" t="s">
        <v>646</v>
      </c>
      <c r="AB1018" s="89" t="s">
        <v>646</v>
      </c>
      <c r="AC1018" s="89" t="s">
        <v>646</v>
      </c>
      <c r="AD1018" s="89" t="s">
        <v>646</v>
      </c>
      <c r="AE1018" s="89" t="s">
        <v>646</v>
      </c>
      <c r="AF1018" s="89" t="s">
        <v>25361</v>
      </c>
      <c r="AG1018" s="89" t="s">
        <v>646</v>
      </c>
      <c r="AH1018" s="89" t="s">
        <v>646</v>
      </c>
      <c r="AI1018" s="89" t="s">
        <v>646</v>
      </c>
      <c r="AJ1018" s="89" t="s">
        <v>646</v>
      </c>
      <c r="AK1018" s="89" t="s">
        <v>646</v>
      </c>
      <c r="AL1018" s="89" t="s">
        <v>25362</v>
      </c>
      <c r="AM1018" s="89" t="s">
        <v>646</v>
      </c>
      <c r="AN1018" s="89" t="s">
        <v>646</v>
      </c>
      <c r="AO1018" s="89" t="s">
        <v>646</v>
      </c>
      <c r="AP1018" s="89" t="s">
        <v>646</v>
      </c>
      <c r="AQ1018" s="89" t="s">
        <v>646</v>
      </c>
      <c r="AR1018" s="89" t="s">
        <v>646</v>
      </c>
      <c r="AS1018" s="89" t="s">
        <v>646</v>
      </c>
      <c r="AT1018" s="89" t="s">
        <v>646</v>
      </c>
      <c r="AU1018" s="89" t="s">
        <v>646</v>
      </c>
      <c r="AV1018" s="89" t="s">
        <v>646</v>
      </c>
      <c r="AW1018" s="89" t="s">
        <v>646</v>
      </c>
      <c r="AX1018" s="89" t="s">
        <v>646</v>
      </c>
      <c r="AY1018" s="89" t="s">
        <v>20027</v>
      </c>
      <c r="AZ1018" s="89" t="s">
        <v>20028</v>
      </c>
      <c r="BA1018" s="89" t="s">
        <v>646</v>
      </c>
      <c r="BB1018" s="89" t="s">
        <v>646</v>
      </c>
      <c r="BC1018" s="89" t="s">
        <v>646</v>
      </c>
      <c r="BD1018" s="89" t="s">
        <v>18292</v>
      </c>
      <c r="BE1018" s="89">
        <v>2020</v>
      </c>
      <c r="BF1018" s="89">
        <v>35</v>
      </c>
      <c r="BG1018" s="89">
        <v>3</v>
      </c>
      <c r="BH1018" s="89" t="s">
        <v>646</v>
      </c>
      <c r="BI1018" s="89" t="s">
        <v>646</v>
      </c>
      <c r="BJ1018" s="89" t="s">
        <v>646</v>
      </c>
      <c r="BK1018" s="89" t="s">
        <v>646</v>
      </c>
      <c r="BL1018" s="89">
        <v>357</v>
      </c>
      <c r="BM1018" s="89">
        <v>370</v>
      </c>
      <c r="BN1018" s="89" t="s">
        <v>646</v>
      </c>
      <c r="BO1018" s="89" t="str">
        <f>HYPERLINK("http://dx.doi.org/10.1111/ntwe.12177","http://dx.doi.org/10.1111/ntwe.12177")</f>
        <v>http://dx.doi.org/10.1111/ntwe.12177</v>
      </c>
      <c r="BP1018" s="89" t="s">
        <v>646</v>
      </c>
      <c r="BQ1018" s="89" t="s">
        <v>17556</v>
      </c>
      <c r="BR1018" s="89" t="s">
        <v>646</v>
      </c>
      <c r="BS1018" s="89" t="s">
        <v>646</v>
      </c>
      <c r="BT1018" s="89" t="s">
        <v>646</v>
      </c>
      <c r="BU1018" s="89" t="s">
        <v>646</v>
      </c>
      <c r="BV1018" s="89" t="s">
        <v>646</v>
      </c>
      <c r="BW1018" s="89" t="s">
        <v>646</v>
      </c>
      <c r="BX1018" s="89" t="s">
        <v>646</v>
      </c>
      <c r="BY1018" s="89" t="s">
        <v>646</v>
      </c>
      <c r="BZ1018" s="89" t="s">
        <v>646</v>
      </c>
      <c r="CA1018" s="89" t="s">
        <v>646</v>
      </c>
      <c r="CB1018" s="89" t="s">
        <v>25363</v>
      </c>
      <c r="CC1018" s="89" t="str">
        <f>HYPERLINK("https%3A%2F%2Fwww.webofscience.com%2Fwos%2Fwoscc%2Ffull-record%2FWOS:000596062500001","View Full Record in Web of Science")</f>
        <v>View Full Record in Web of Science</v>
      </c>
    </row>
    <row r="1019" spans="1:81" ht="13.2" hidden="1" x14ac:dyDescent="0.25">
      <c r="A1019" s="89" t="s">
        <v>16685</v>
      </c>
      <c r="B1019" s="89" t="e">
        <f>+#REF!</f>
        <v>#REF!</v>
      </c>
      <c r="C1019" s="89"/>
      <c r="D1019" s="91" t="s">
        <v>717</v>
      </c>
      <c r="E1019" s="90" t="e">
        <v>#REF!</v>
      </c>
      <c r="F1019" s="89"/>
      <c r="G1019" s="89"/>
      <c r="H1019" s="89" t="s">
        <v>16686</v>
      </c>
      <c r="I1019" s="89" t="s">
        <v>25364</v>
      </c>
      <c r="J1019" s="89" t="s">
        <v>25367</v>
      </c>
      <c r="K1019" s="89" t="s">
        <v>25366</v>
      </c>
      <c r="M1019" s="89">
        <v>2021</v>
      </c>
      <c r="N1019" s="89" t="s">
        <v>25365</v>
      </c>
      <c r="O1019" s="89" t="s">
        <v>646</v>
      </c>
      <c r="P1019" s="89" t="str">
        <f>HYPERLINK("http://dx.doi.org/10.1016/j.entcom.2020.100398","http://dx.doi.org/10.1016/j.entcom.2020.100398")</f>
        <v>http://dx.doi.org/10.1016/j.entcom.2020.100398</v>
      </c>
      <c r="S1019" s="89" t="s">
        <v>646</v>
      </c>
      <c r="U1019" s="89" t="s">
        <v>17462</v>
      </c>
      <c r="W1019" s="89" t="s">
        <v>646</v>
      </c>
      <c r="X1019" s="89" t="s">
        <v>646</v>
      </c>
      <c r="Y1019" s="89" t="s">
        <v>646</v>
      </c>
      <c r="Z1019" s="89" t="s">
        <v>646</v>
      </c>
      <c r="AA1019" s="89" t="s">
        <v>646</v>
      </c>
      <c r="AB1019" s="89" t="s">
        <v>646</v>
      </c>
      <c r="AC1019" s="89" t="s">
        <v>646</v>
      </c>
      <c r="AD1019" s="89" t="s">
        <v>646</v>
      </c>
      <c r="AE1019" s="89" t="s">
        <v>646</v>
      </c>
      <c r="AF1019" s="89" t="s">
        <v>25366</v>
      </c>
      <c r="AG1019" s="89" t="s">
        <v>646</v>
      </c>
      <c r="AH1019" s="89" t="s">
        <v>646</v>
      </c>
      <c r="AI1019" s="89" t="s">
        <v>646</v>
      </c>
      <c r="AJ1019" s="89" t="s">
        <v>646</v>
      </c>
      <c r="AK1019" s="89" t="s">
        <v>25367</v>
      </c>
      <c r="AL1019" s="89" t="s">
        <v>25368</v>
      </c>
      <c r="AM1019" s="89" t="s">
        <v>646</v>
      </c>
      <c r="AN1019" s="89" t="s">
        <v>646</v>
      </c>
      <c r="AO1019" s="89" t="s">
        <v>646</v>
      </c>
      <c r="AP1019" s="89" t="s">
        <v>646</v>
      </c>
      <c r="AQ1019" s="89" t="s">
        <v>646</v>
      </c>
      <c r="AR1019" s="89" t="s">
        <v>646</v>
      </c>
      <c r="AS1019" s="89" t="s">
        <v>646</v>
      </c>
      <c r="AT1019" s="89" t="s">
        <v>646</v>
      </c>
      <c r="AU1019" s="89" t="s">
        <v>646</v>
      </c>
      <c r="AV1019" s="89" t="s">
        <v>646</v>
      </c>
      <c r="AW1019" s="89" t="s">
        <v>646</v>
      </c>
      <c r="AX1019" s="89" t="s">
        <v>646</v>
      </c>
      <c r="AY1019" s="89" t="s">
        <v>25369</v>
      </c>
      <c r="AZ1019" s="89" t="s">
        <v>25370</v>
      </c>
      <c r="BA1019" s="89" t="s">
        <v>646</v>
      </c>
      <c r="BB1019" s="89" t="s">
        <v>646</v>
      </c>
      <c r="BC1019" s="89" t="s">
        <v>646</v>
      </c>
      <c r="BD1019" s="89" t="s">
        <v>17779</v>
      </c>
      <c r="BE1019" s="89">
        <v>2021</v>
      </c>
      <c r="BF1019" s="89">
        <v>37</v>
      </c>
      <c r="BG1019" s="89" t="s">
        <v>646</v>
      </c>
      <c r="BH1019" s="89" t="s">
        <v>646</v>
      </c>
      <c r="BI1019" s="89" t="s">
        <v>646</v>
      </c>
      <c r="BJ1019" s="89" t="s">
        <v>646</v>
      </c>
      <c r="BK1019" s="89" t="s">
        <v>646</v>
      </c>
      <c r="BL1019" s="89" t="s">
        <v>646</v>
      </c>
      <c r="BM1019" s="89" t="s">
        <v>646</v>
      </c>
      <c r="BN1019" s="89">
        <v>100398</v>
      </c>
      <c r="BO1019" s="89" t="str">
        <f>HYPERLINK("http://dx.doi.org/10.1016/j.entcom.2020.100398","http://dx.doi.org/10.1016/j.entcom.2020.100398")</f>
        <v>http://dx.doi.org/10.1016/j.entcom.2020.100398</v>
      </c>
      <c r="BP1019" s="89" t="s">
        <v>646</v>
      </c>
      <c r="BQ1019" s="89" t="s">
        <v>646</v>
      </c>
      <c r="BR1019" s="89" t="s">
        <v>646</v>
      </c>
      <c r="BS1019" s="89" t="s">
        <v>646</v>
      </c>
      <c r="BT1019" s="89" t="s">
        <v>646</v>
      </c>
      <c r="BU1019" s="89" t="s">
        <v>646</v>
      </c>
      <c r="BV1019" s="89" t="s">
        <v>646</v>
      </c>
      <c r="BW1019" s="89" t="s">
        <v>646</v>
      </c>
      <c r="BX1019" s="89" t="s">
        <v>646</v>
      </c>
      <c r="BY1019" s="89" t="s">
        <v>646</v>
      </c>
      <c r="BZ1019" s="89" t="s">
        <v>646</v>
      </c>
      <c r="CA1019" s="89" t="s">
        <v>646</v>
      </c>
      <c r="CB1019" s="89" t="s">
        <v>25371</v>
      </c>
      <c r="CC1019" s="89" t="str">
        <f>HYPERLINK("https%3A%2F%2Fwww.webofscience.com%2Fwos%2Fwoscc%2Ffull-record%2FWOS:000618344300004","View Full Record in Web of Science")</f>
        <v>View Full Record in Web of Science</v>
      </c>
    </row>
    <row r="1020" spans="1:81" ht="13.2" hidden="1" x14ac:dyDescent="0.25">
      <c r="A1020" s="89" t="s">
        <v>16154</v>
      </c>
      <c r="B1020" s="89" t="e">
        <f>+#REF!</f>
        <v>#REF!</v>
      </c>
      <c r="C1020" s="89"/>
      <c r="D1020" s="91" t="s">
        <v>717</v>
      </c>
      <c r="E1020" s="90" t="e">
        <v>#REF!</v>
      </c>
      <c r="F1020" s="89"/>
      <c r="G1020" s="89"/>
      <c r="H1020" s="89" t="s">
        <v>16155</v>
      </c>
      <c r="I1020" s="89" t="s">
        <v>25372</v>
      </c>
      <c r="J1020" s="89" t="s">
        <v>646</v>
      </c>
      <c r="K1020" s="89" t="s">
        <v>25373</v>
      </c>
      <c r="M1020" s="89">
        <v>2020</v>
      </c>
      <c r="N1020" s="89" t="s">
        <v>22064</v>
      </c>
      <c r="O1020" s="89" t="s">
        <v>646</v>
      </c>
      <c r="P1020" s="89" t="str">
        <f>HYPERLINK("http://dx.doi.org/10.1177/2167479519826054","http://dx.doi.org/10.1177/2167479519826054")</f>
        <v>http://dx.doi.org/10.1177/2167479519826054</v>
      </c>
      <c r="S1020" s="89" t="s">
        <v>646</v>
      </c>
      <c r="U1020" s="89" t="s">
        <v>17462</v>
      </c>
      <c r="W1020" s="89" t="s">
        <v>646</v>
      </c>
      <c r="X1020" s="89" t="s">
        <v>646</v>
      </c>
      <c r="Y1020" s="89" t="s">
        <v>646</v>
      </c>
      <c r="Z1020" s="89" t="s">
        <v>646</v>
      </c>
      <c r="AA1020" s="89" t="s">
        <v>646</v>
      </c>
      <c r="AB1020" s="89" t="s">
        <v>646</v>
      </c>
      <c r="AC1020" s="89" t="s">
        <v>646</v>
      </c>
      <c r="AD1020" s="89" t="s">
        <v>646</v>
      </c>
      <c r="AE1020" s="89" t="s">
        <v>646</v>
      </c>
      <c r="AF1020" s="89" t="s">
        <v>25373</v>
      </c>
      <c r="AG1020" s="89" t="s">
        <v>646</v>
      </c>
      <c r="AH1020" s="89" t="s">
        <v>646</v>
      </c>
      <c r="AI1020" s="89" t="s">
        <v>646</v>
      </c>
      <c r="AJ1020" s="89" t="s">
        <v>646</v>
      </c>
      <c r="AK1020" s="89" t="s">
        <v>646</v>
      </c>
      <c r="AL1020" s="89" t="s">
        <v>646</v>
      </c>
      <c r="AM1020" s="89" t="s">
        <v>646</v>
      </c>
      <c r="AN1020" s="89" t="s">
        <v>646</v>
      </c>
      <c r="AO1020" s="89" t="s">
        <v>646</v>
      </c>
      <c r="AP1020" s="89" t="s">
        <v>646</v>
      </c>
      <c r="AQ1020" s="89" t="s">
        <v>646</v>
      </c>
      <c r="AR1020" s="89" t="s">
        <v>646</v>
      </c>
      <c r="AS1020" s="89" t="s">
        <v>646</v>
      </c>
      <c r="AT1020" s="89" t="s">
        <v>646</v>
      </c>
      <c r="AU1020" s="89" t="s">
        <v>646</v>
      </c>
      <c r="AV1020" s="89" t="s">
        <v>646</v>
      </c>
      <c r="AW1020" s="89" t="s">
        <v>646</v>
      </c>
      <c r="AX1020" s="89" t="s">
        <v>646</v>
      </c>
      <c r="AY1020" s="89" t="s">
        <v>22068</v>
      </c>
      <c r="AZ1020" s="89" t="s">
        <v>22069</v>
      </c>
      <c r="BA1020" s="89" t="s">
        <v>646</v>
      </c>
      <c r="BB1020" s="89" t="s">
        <v>646</v>
      </c>
      <c r="BC1020" s="89" t="s">
        <v>646</v>
      </c>
      <c r="BD1020" s="89" t="s">
        <v>17823</v>
      </c>
      <c r="BE1020" s="89">
        <v>2020</v>
      </c>
      <c r="BF1020" s="89">
        <v>8</v>
      </c>
      <c r="BG1020" s="89">
        <v>2</v>
      </c>
      <c r="BH1020" s="89" t="s">
        <v>646</v>
      </c>
      <c r="BI1020" s="89" t="s">
        <v>646</v>
      </c>
      <c r="BJ1020" s="89" t="s">
        <v>646</v>
      </c>
      <c r="BK1020" s="89" t="s">
        <v>646</v>
      </c>
      <c r="BL1020" s="89">
        <v>215</v>
      </c>
      <c r="BM1020" s="89">
        <v>235</v>
      </c>
      <c r="BN1020" s="89" t="s">
        <v>646</v>
      </c>
      <c r="BO1020" s="89" t="str">
        <f>HYPERLINK("http://dx.doi.org/10.1177/2167479519826054","http://dx.doi.org/10.1177/2167479519826054")</f>
        <v>http://dx.doi.org/10.1177/2167479519826054</v>
      </c>
      <c r="BP1020" s="89" t="s">
        <v>646</v>
      </c>
      <c r="BQ1020" s="89" t="s">
        <v>646</v>
      </c>
      <c r="BR1020" s="89" t="s">
        <v>646</v>
      </c>
      <c r="BS1020" s="89" t="s">
        <v>646</v>
      </c>
      <c r="BT1020" s="89" t="s">
        <v>646</v>
      </c>
      <c r="BU1020" s="89" t="s">
        <v>646</v>
      </c>
      <c r="BV1020" s="89" t="s">
        <v>646</v>
      </c>
      <c r="BW1020" s="89" t="s">
        <v>646</v>
      </c>
      <c r="BX1020" s="89" t="s">
        <v>646</v>
      </c>
      <c r="BY1020" s="89" t="s">
        <v>646</v>
      </c>
      <c r="BZ1020" s="89" t="s">
        <v>646</v>
      </c>
      <c r="CA1020" s="89" t="s">
        <v>646</v>
      </c>
      <c r="CB1020" s="89" t="s">
        <v>25374</v>
      </c>
      <c r="CC1020" s="89" t="str">
        <f>HYPERLINK("https%3A%2F%2Fwww.webofscience.com%2Fwos%2Fwoscc%2Ffull-record%2FWOS:000514930500004","View Full Record in Web of Science")</f>
        <v>View Full Record in Web of Science</v>
      </c>
    </row>
    <row r="1021" spans="1:81" ht="13.2" hidden="1" x14ac:dyDescent="0.25">
      <c r="A1021" s="89" t="s">
        <v>16163</v>
      </c>
      <c r="B1021" s="89" t="e">
        <f>+#REF!</f>
        <v>#REF!</v>
      </c>
      <c r="C1021" s="89"/>
      <c r="D1021" s="91" t="s">
        <v>717</v>
      </c>
      <c r="E1021" s="90" t="e">
        <v>#REF!</v>
      </c>
      <c r="F1021" s="89"/>
      <c r="G1021" s="89"/>
      <c r="H1021" s="89" t="s">
        <v>16164</v>
      </c>
      <c r="I1021" s="89" t="s">
        <v>25375</v>
      </c>
      <c r="J1021" s="89" t="s">
        <v>646</v>
      </c>
      <c r="K1021" s="89" t="s">
        <v>25376</v>
      </c>
      <c r="M1021" s="89">
        <v>2019</v>
      </c>
      <c r="N1021" s="89" t="s">
        <v>21555</v>
      </c>
      <c r="O1021" s="89" t="s">
        <v>646</v>
      </c>
      <c r="P1021" s="89" t="str">
        <f>HYPERLINK("http://dx.doi.org/10.1177/0143831X18805931","http://dx.doi.org/10.1177/0143831X18805931")</f>
        <v>http://dx.doi.org/10.1177/0143831X18805931</v>
      </c>
      <c r="S1021" s="89" t="s">
        <v>646</v>
      </c>
      <c r="U1021" s="89" t="s">
        <v>17462</v>
      </c>
      <c r="W1021" s="89" t="s">
        <v>646</v>
      </c>
      <c r="X1021" s="89" t="s">
        <v>646</v>
      </c>
      <c r="Y1021" s="89" t="s">
        <v>646</v>
      </c>
      <c r="Z1021" s="89" t="s">
        <v>646</v>
      </c>
      <c r="AA1021" s="89" t="s">
        <v>646</v>
      </c>
      <c r="AB1021" s="89" t="s">
        <v>646</v>
      </c>
      <c r="AC1021" s="89" t="s">
        <v>646</v>
      </c>
      <c r="AD1021" s="89" t="s">
        <v>646</v>
      </c>
      <c r="AE1021" s="89" t="s">
        <v>646</v>
      </c>
      <c r="AF1021" s="89" t="s">
        <v>25376</v>
      </c>
      <c r="AG1021" s="89" t="s">
        <v>646</v>
      </c>
      <c r="AH1021" s="89" t="s">
        <v>646</v>
      </c>
      <c r="AI1021" s="89" t="s">
        <v>646</v>
      </c>
      <c r="AJ1021" s="89" t="s">
        <v>646</v>
      </c>
      <c r="AK1021" s="89" t="s">
        <v>646</v>
      </c>
      <c r="AL1021" s="89" t="s">
        <v>25377</v>
      </c>
      <c r="AM1021" s="89" t="s">
        <v>646</v>
      </c>
      <c r="AN1021" s="89" t="s">
        <v>646</v>
      </c>
      <c r="AO1021" s="89" t="s">
        <v>646</v>
      </c>
      <c r="AP1021" s="89" t="s">
        <v>646</v>
      </c>
      <c r="AQ1021" s="89" t="s">
        <v>646</v>
      </c>
      <c r="AR1021" s="89" t="s">
        <v>646</v>
      </c>
      <c r="AS1021" s="89" t="s">
        <v>646</v>
      </c>
      <c r="AT1021" s="89" t="s">
        <v>646</v>
      </c>
      <c r="AU1021" s="89" t="s">
        <v>646</v>
      </c>
      <c r="AV1021" s="89" t="s">
        <v>646</v>
      </c>
      <c r="AW1021" s="89" t="s">
        <v>646</v>
      </c>
      <c r="AX1021" s="89" t="s">
        <v>646</v>
      </c>
      <c r="AY1021" s="89" t="s">
        <v>21557</v>
      </c>
      <c r="AZ1021" s="89" t="s">
        <v>21558</v>
      </c>
      <c r="BA1021" s="89" t="s">
        <v>646</v>
      </c>
      <c r="BB1021" s="89" t="s">
        <v>646</v>
      </c>
      <c r="BC1021" s="89" t="s">
        <v>646</v>
      </c>
      <c r="BD1021" s="89" t="s">
        <v>18436</v>
      </c>
      <c r="BE1021" s="89">
        <v>2019</v>
      </c>
      <c r="BF1021" s="89">
        <v>40</v>
      </c>
      <c r="BG1021" s="89">
        <v>2</v>
      </c>
      <c r="BH1021" s="89" t="s">
        <v>646</v>
      </c>
      <c r="BI1021" s="89" t="s">
        <v>646</v>
      </c>
      <c r="BJ1021" s="89" t="s">
        <v>17555</v>
      </c>
      <c r="BK1021" s="89" t="s">
        <v>646</v>
      </c>
      <c r="BL1021" s="89">
        <v>238</v>
      </c>
      <c r="BM1021" s="89">
        <v>256</v>
      </c>
      <c r="BN1021" s="89" t="s">
        <v>646</v>
      </c>
      <c r="BO1021" s="89" t="str">
        <f>HYPERLINK("http://dx.doi.org/10.1177/0143831X18805931","http://dx.doi.org/10.1177/0143831X18805931")</f>
        <v>http://dx.doi.org/10.1177/0143831X18805931</v>
      </c>
      <c r="BP1021" s="89" t="s">
        <v>646</v>
      </c>
      <c r="BQ1021" s="89" t="s">
        <v>646</v>
      </c>
      <c r="BR1021" s="89" t="s">
        <v>646</v>
      </c>
      <c r="BS1021" s="89" t="s">
        <v>646</v>
      </c>
      <c r="BT1021" s="89" t="s">
        <v>646</v>
      </c>
      <c r="BU1021" s="89" t="s">
        <v>646</v>
      </c>
      <c r="BV1021" s="89" t="s">
        <v>646</v>
      </c>
      <c r="BW1021" s="89" t="s">
        <v>646</v>
      </c>
      <c r="BX1021" s="89" t="s">
        <v>646</v>
      </c>
      <c r="BY1021" s="89" t="s">
        <v>646</v>
      </c>
      <c r="BZ1021" s="89" t="s">
        <v>646</v>
      </c>
      <c r="CA1021" s="89" t="s">
        <v>646</v>
      </c>
      <c r="CB1021" s="89" t="s">
        <v>25378</v>
      </c>
      <c r="CC1021" s="89" t="str">
        <f>HYPERLINK("https%3A%2F%2Fwww.webofscience.com%2Fwos%2Fwoscc%2Ffull-record%2FWOS:000468942000005","View Full Record in Web of Science")</f>
        <v>View Full Record in Web of Science</v>
      </c>
    </row>
    <row r="1022" spans="1:81" ht="13.2" hidden="1" x14ac:dyDescent="0.25">
      <c r="A1022" s="89" t="s">
        <v>16171</v>
      </c>
      <c r="B1022" s="89" t="e">
        <f>+#REF!</f>
        <v>#REF!</v>
      </c>
      <c r="C1022" s="89"/>
      <c r="D1022" s="91" t="s">
        <v>717</v>
      </c>
      <c r="E1022" s="90" t="e">
        <v>#REF!</v>
      </c>
      <c r="F1022" s="89"/>
      <c r="G1022" s="89"/>
      <c r="H1022" s="89" t="s">
        <v>16172</v>
      </c>
      <c r="I1022" s="89" t="s">
        <v>25379</v>
      </c>
      <c r="J1022" s="89" t="s">
        <v>25381</v>
      </c>
      <c r="K1022" s="89" t="s">
        <v>25380</v>
      </c>
      <c r="M1022" s="89">
        <v>2020</v>
      </c>
      <c r="N1022" s="89" t="s">
        <v>18108</v>
      </c>
      <c r="O1022" s="89" t="s">
        <v>646</v>
      </c>
      <c r="P1022" s="89" t="str">
        <f>HYPERLINK("http://dx.doi.org/10.1080/13683500.2019.1602597","http://dx.doi.org/10.1080/13683500.2019.1602597")</f>
        <v>http://dx.doi.org/10.1080/13683500.2019.1602597</v>
      </c>
      <c r="S1022" s="89" t="s">
        <v>646</v>
      </c>
      <c r="U1022" s="89" t="s">
        <v>17462</v>
      </c>
      <c r="W1022" s="89" t="s">
        <v>646</v>
      </c>
      <c r="X1022" s="89" t="s">
        <v>646</v>
      </c>
      <c r="Y1022" s="89" t="s">
        <v>646</v>
      </c>
      <c r="Z1022" s="89" t="s">
        <v>646</v>
      </c>
      <c r="AA1022" s="89" t="s">
        <v>646</v>
      </c>
      <c r="AB1022" s="89" t="s">
        <v>646</v>
      </c>
      <c r="AC1022" s="89" t="s">
        <v>646</v>
      </c>
      <c r="AD1022" s="89" t="s">
        <v>646</v>
      </c>
      <c r="AE1022" s="89" t="s">
        <v>646</v>
      </c>
      <c r="AF1022" s="89" t="s">
        <v>25380</v>
      </c>
      <c r="AG1022" s="89" t="s">
        <v>646</v>
      </c>
      <c r="AH1022" s="89" t="s">
        <v>646</v>
      </c>
      <c r="AI1022" s="89" t="s">
        <v>646</v>
      </c>
      <c r="AJ1022" s="89" t="s">
        <v>646</v>
      </c>
      <c r="AK1022" s="89" t="s">
        <v>25381</v>
      </c>
      <c r="AL1022" s="89" t="s">
        <v>25346</v>
      </c>
      <c r="AM1022" s="89" t="s">
        <v>646</v>
      </c>
      <c r="AN1022" s="89" t="s">
        <v>646</v>
      </c>
      <c r="AO1022" s="89" t="s">
        <v>646</v>
      </c>
      <c r="AP1022" s="89" t="s">
        <v>646</v>
      </c>
      <c r="AQ1022" s="89" t="s">
        <v>646</v>
      </c>
      <c r="AR1022" s="89" t="s">
        <v>646</v>
      </c>
      <c r="AS1022" s="89" t="s">
        <v>646</v>
      </c>
      <c r="AT1022" s="89" t="s">
        <v>646</v>
      </c>
      <c r="AU1022" s="89" t="s">
        <v>646</v>
      </c>
      <c r="AV1022" s="89" t="s">
        <v>646</v>
      </c>
      <c r="AW1022" s="89" t="s">
        <v>646</v>
      </c>
      <c r="AX1022" s="89" t="s">
        <v>646</v>
      </c>
      <c r="AY1022" s="89" t="s">
        <v>18112</v>
      </c>
      <c r="AZ1022" s="89" t="s">
        <v>18113</v>
      </c>
      <c r="BA1022" s="89" t="s">
        <v>646</v>
      </c>
      <c r="BB1022" s="89" t="s">
        <v>646</v>
      </c>
      <c r="BC1022" s="89" t="s">
        <v>646</v>
      </c>
      <c r="BD1022" s="89" t="s">
        <v>18114</v>
      </c>
      <c r="BE1022" s="89">
        <v>2020</v>
      </c>
      <c r="BF1022" s="89">
        <v>23</v>
      </c>
      <c r="BG1022" s="89">
        <v>10</v>
      </c>
      <c r="BH1022" s="89" t="s">
        <v>646</v>
      </c>
      <c r="BI1022" s="89" t="s">
        <v>646</v>
      </c>
      <c r="BJ1022" s="89" t="s">
        <v>646</v>
      </c>
      <c r="BK1022" s="89" t="s">
        <v>646</v>
      </c>
      <c r="BL1022" s="89">
        <v>1248</v>
      </c>
      <c r="BM1022" s="89">
        <v>1260</v>
      </c>
      <c r="BN1022" s="89" t="s">
        <v>646</v>
      </c>
      <c r="BO1022" s="89" t="str">
        <f>HYPERLINK("http://dx.doi.org/10.1080/13683500.2019.1602597","http://dx.doi.org/10.1080/13683500.2019.1602597")</f>
        <v>http://dx.doi.org/10.1080/13683500.2019.1602597</v>
      </c>
      <c r="BP1022" s="89" t="s">
        <v>646</v>
      </c>
      <c r="BQ1022" s="89" t="s">
        <v>25382</v>
      </c>
      <c r="BR1022" s="89" t="s">
        <v>646</v>
      </c>
      <c r="BS1022" s="89" t="s">
        <v>646</v>
      </c>
      <c r="BT1022" s="89" t="s">
        <v>646</v>
      </c>
      <c r="BU1022" s="89" t="s">
        <v>646</v>
      </c>
      <c r="BV1022" s="89" t="s">
        <v>646</v>
      </c>
      <c r="BW1022" s="89" t="s">
        <v>646</v>
      </c>
      <c r="BX1022" s="89" t="s">
        <v>646</v>
      </c>
      <c r="BY1022" s="89" t="s">
        <v>646</v>
      </c>
      <c r="BZ1022" s="89" t="s">
        <v>646</v>
      </c>
      <c r="CA1022" s="89" t="s">
        <v>646</v>
      </c>
      <c r="CB1022" s="89" t="s">
        <v>25383</v>
      </c>
      <c r="CC1022" s="89" t="str">
        <f>HYPERLINK("https%3A%2F%2Fwww.webofscience.com%2Fwos%2Fwoscc%2Ffull-record%2FWOS:000465665400001","View Full Record in Web of Science")</f>
        <v>View Full Record in Web of Science</v>
      </c>
    </row>
    <row r="1023" spans="1:81" ht="13.2" hidden="1" x14ac:dyDescent="0.25">
      <c r="A1023" s="89" t="s">
        <v>25384</v>
      </c>
      <c r="B1023" s="89" t="e">
        <f>+#REF!</f>
        <v>#REF!</v>
      </c>
      <c r="C1023" s="89"/>
      <c r="D1023" s="91" t="s">
        <v>717</v>
      </c>
      <c r="E1023" s="90" t="e">
        <v>#REF!</v>
      </c>
      <c r="F1023" s="89"/>
      <c r="G1023" s="89"/>
      <c r="H1023" s="89" t="s">
        <v>16181</v>
      </c>
      <c r="I1023" s="89" t="s">
        <v>25385</v>
      </c>
      <c r="J1023" s="89" t="s">
        <v>646</v>
      </c>
      <c r="K1023" s="89" t="s">
        <v>25387</v>
      </c>
      <c r="M1023" s="89">
        <v>2016</v>
      </c>
      <c r="N1023" s="89" t="s">
        <v>25386</v>
      </c>
      <c r="O1023" s="89" t="s">
        <v>646</v>
      </c>
      <c r="P1023" s="89" t="str">
        <f>HYPERLINK("http://dx.doi.org/10.17705/1jais.00441","http://dx.doi.org/10.17705/1jais.00441")</f>
        <v>http://dx.doi.org/10.17705/1jais.00441</v>
      </c>
      <c r="S1023" s="89" t="s">
        <v>646</v>
      </c>
      <c r="U1023" s="89" t="s">
        <v>17462</v>
      </c>
      <c r="W1023" s="89" t="s">
        <v>646</v>
      </c>
      <c r="X1023" s="89" t="s">
        <v>646</v>
      </c>
      <c r="Y1023" s="89" t="s">
        <v>646</v>
      </c>
      <c r="Z1023" s="89" t="s">
        <v>646</v>
      </c>
      <c r="AA1023" s="89" t="s">
        <v>646</v>
      </c>
      <c r="AB1023" s="89" t="s">
        <v>646</v>
      </c>
      <c r="AC1023" s="89" t="s">
        <v>646</v>
      </c>
      <c r="AD1023" s="89" t="s">
        <v>646</v>
      </c>
      <c r="AE1023" s="89" t="s">
        <v>646</v>
      </c>
      <c r="AF1023" s="89" t="s">
        <v>25387</v>
      </c>
      <c r="AG1023" s="89" t="s">
        <v>646</v>
      </c>
      <c r="AH1023" s="89" t="s">
        <v>646</v>
      </c>
      <c r="AI1023" s="89" t="s">
        <v>646</v>
      </c>
      <c r="AJ1023" s="89" t="s">
        <v>646</v>
      </c>
      <c r="AK1023" s="89" t="s">
        <v>646</v>
      </c>
      <c r="AL1023" s="89" t="s">
        <v>25388</v>
      </c>
      <c r="AM1023" s="89" t="s">
        <v>646</v>
      </c>
      <c r="AN1023" s="89" t="s">
        <v>646</v>
      </c>
      <c r="AO1023" s="89" t="s">
        <v>646</v>
      </c>
      <c r="AP1023" s="89" t="s">
        <v>646</v>
      </c>
      <c r="AQ1023" s="89" t="s">
        <v>646</v>
      </c>
      <c r="AR1023" s="89" t="s">
        <v>646</v>
      </c>
      <c r="AS1023" s="89" t="s">
        <v>646</v>
      </c>
      <c r="AT1023" s="89" t="s">
        <v>646</v>
      </c>
      <c r="AU1023" s="89" t="s">
        <v>646</v>
      </c>
      <c r="AV1023" s="89" t="s">
        <v>646</v>
      </c>
      <c r="AW1023" s="89" t="s">
        <v>646</v>
      </c>
      <c r="AX1023" s="89" t="s">
        <v>646</v>
      </c>
      <c r="AY1023" s="89" t="s">
        <v>25389</v>
      </c>
      <c r="AZ1023" s="89" t="s">
        <v>25390</v>
      </c>
      <c r="BA1023" s="89" t="s">
        <v>646</v>
      </c>
      <c r="BB1023" s="89" t="s">
        <v>646</v>
      </c>
      <c r="BC1023" s="89" t="s">
        <v>646</v>
      </c>
      <c r="BD1023" s="89" t="s">
        <v>17687</v>
      </c>
      <c r="BE1023" s="89">
        <v>2016</v>
      </c>
      <c r="BF1023" s="89">
        <v>17</v>
      </c>
      <c r="BG1023" s="89">
        <v>10</v>
      </c>
      <c r="BH1023" s="89" t="s">
        <v>646</v>
      </c>
      <c r="BI1023" s="89" t="s">
        <v>646</v>
      </c>
      <c r="BJ1023" s="89" t="s">
        <v>646</v>
      </c>
      <c r="BK1023" s="89" t="s">
        <v>646</v>
      </c>
      <c r="BL1023" s="89">
        <v>648</v>
      </c>
      <c r="BM1023" s="89">
        <v>673</v>
      </c>
      <c r="BN1023" s="89" t="s">
        <v>646</v>
      </c>
      <c r="BO1023" s="89" t="str">
        <f>HYPERLINK("http://dx.doi.org/10.17705/1jais.00441","http://dx.doi.org/10.17705/1jais.00441")</f>
        <v>http://dx.doi.org/10.17705/1jais.00441</v>
      </c>
      <c r="BP1023" s="89" t="s">
        <v>646</v>
      </c>
      <c r="BQ1023" s="89" t="s">
        <v>646</v>
      </c>
      <c r="BR1023" s="89" t="s">
        <v>646</v>
      </c>
      <c r="BS1023" s="89" t="s">
        <v>646</v>
      </c>
      <c r="BT1023" s="89" t="s">
        <v>646</v>
      </c>
      <c r="BU1023" s="89" t="s">
        <v>646</v>
      </c>
      <c r="BV1023" s="89" t="s">
        <v>646</v>
      </c>
      <c r="BW1023" s="89" t="s">
        <v>646</v>
      </c>
      <c r="BX1023" s="89" t="s">
        <v>646</v>
      </c>
      <c r="BY1023" s="89" t="s">
        <v>646</v>
      </c>
      <c r="BZ1023" s="89" t="s">
        <v>646</v>
      </c>
      <c r="CA1023" s="89" t="s">
        <v>646</v>
      </c>
      <c r="CB1023" s="89" t="s">
        <v>25391</v>
      </c>
      <c r="CC1023" s="89" t="str">
        <f>HYPERLINK("https%3A%2F%2Fwww.webofscience.com%2Fwos%2Fwoscc%2Ffull-record%2FWOS:000393065500001","View Full Record in Web of Science")</f>
        <v>View Full Record in Web of Science</v>
      </c>
    </row>
    <row r="1024" spans="1:81" ht="13.2" hidden="1" x14ac:dyDescent="0.25">
      <c r="A1024" s="89" t="s">
        <v>25392</v>
      </c>
      <c r="B1024" s="89" t="e">
        <f>+#REF!</f>
        <v>#REF!</v>
      </c>
      <c r="C1024" s="89"/>
      <c r="D1024" s="91" t="s">
        <v>717</v>
      </c>
      <c r="E1024" s="90" t="e">
        <v>#REF!</v>
      </c>
      <c r="F1024" s="89"/>
      <c r="G1024" s="89"/>
      <c r="H1024" s="89" t="s">
        <v>10732</v>
      </c>
      <c r="I1024" s="89" t="s">
        <v>25393</v>
      </c>
      <c r="J1024" s="89" t="s">
        <v>646</v>
      </c>
      <c r="K1024" s="89" t="s">
        <v>25394</v>
      </c>
      <c r="M1024" s="89">
        <v>2021</v>
      </c>
      <c r="N1024" s="89" t="s">
        <v>21412</v>
      </c>
      <c r="O1024" s="89" t="s">
        <v>646</v>
      </c>
      <c r="P1024" s="89" t="str">
        <f>HYPERLINK("http://dx.doi.org/10.1145/3411764.3445305","http://dx.doi.org/10.1145/3411764.3445305")</f>
        <v>http://dx.doi.org/10.1145/3411764.3445305</v>
      </c>
      <c r="S1024" s="89" t="s">
        <v>19285</v>
      </c>
      <c r="U1024" s="89" t="s">
        <v>17474</v>
      </c>
      <c r="W1024" s="89" t="s">
        <v>646</v>
      </c>
      <c r="X1024" s="89" t="s">
        <v>646</v>
      </c>
      <c r="Y1024" s="89" t="s">
        <v>21413</v>
      </c>
      <c r="Z1024" s="89" t="s">
        <v>21414</v>
      </c>
      <c r="AA1024" s="89" t="s">
        <v>17494</v>
      </c>
      <c r="AB1024" s="89" t="s">
        <v>21415</v>
      </c>
      <c r="AC1024" s="89" t="s">
        <v>646</v>
      </c>
      <c r="AD1024" s="89" t="s">
        <v>646</v>
      </c>
      <c r="AE1024" s="89" t="s">
        <v>646</v>
      </c>
      <c r="AF1024" s="89" t="s">
        <v>25394</v>
      </c>
      <c r="AG1024" s="89" t="s">
        <v>646</v>
      </c>
      <c r="AH1024" s="89" t="s">
        <v>646</v>
      </c>
      <c r="AI1024" s="89" t="s">
        <v>646</v>
      </c>
      <c r="AJ1024" s="89" t="s">
        <v>646</v>
      </c>
      <c r="AK1024" s="89" t="s">
        <v>646</v>
      </c>
      <c r="AL1024" s="89" t="s">
        <v>25395</v>
      </c>
      <c r="AM1024" s="89" t="s">
        <v>646</v>
      </c>
      <c r="AN1024" s="89" t="s">
        <v>646</v>
      </c>
      <c r="AO1024" s="89" t="s">
        <v>646</v>
      </c>
      <c r="AP1024" s="89" t="s">
        <v>646</v>
      </c>
      <c r="AQ1024" s="89" t="s">
        <v>646</v>
      </c>
      <c r="AR1024" s="89" t="s">
        <v>646</v>
      </c>
      <c r="AS1024" s="89" t="s">
        <v>646</v>
      </c>
      <c r="AT1024" s="89" t="s">
        <v>646</v>
      </c>
      <c r="AU1024" s="89" t="s">
        <v>646</v>
      </c>
      <c r="AV1024" s="89" t="s">
        <v>646</v>
      </c>
      <c r="AW1024" s="89" t="s">
        <v>646</v>
      </c>
      <c r="AX1024" s="89" t="s">
        <v>646</v>
      </c>
      <c r="AY1024" s="89" t="s">
        <v>646</v>
      </c>
      <c r="AZ1024" s="89" t="s">
        <v>646</v>
      </c>
      <c r="BA1024" s="89" t="s">
        <v>21417</v>
      </c>
      <c r="BB1024" s="89" t="s">
        <v>646</v>
      </c>
      <c r="BC1024" s="89" t="s">
        <v>646</v>
      </c>
      <c r="BD1024" s="89" t="s">
        <v>646</v>
      </c>
      <c r="BE1024" s="89">
        <v>2021</v>
      </c>
      <c r="BF1024" s="89" t="s">
        <v>646</v>
      </c>
      <c r="BG1024" s="89" t="s">
        <v>646</v>
      </c>
      <c r="BH1024" s="89" t="s">
        <v>646</v>
      </c>
      <c r="BI1024" s="89" t="s">
        <v>646</v>
      </c>
      <c r="BJ1024" s="89" t="s">
        <v>646</v>
      </c>
      <c r="BK1024" s="89" t="s">
        <v>646</v>
      </c>
      <c r="BL1024" s="89" t="s">
        <v>646</v>
      </c>
      <c r="BM1024" s="89" t="s">
        <v>646</v>
      </c>
      <c r="BN1024" s="89" t="s">
        <v>646</v>
      </c>
      <c r="BO1024" s="89" t="str">
        <f>HYPERLINK("http://dx.doi.org/10.1145/3411764.3445305","http://dx.doi.org/10.1145/3411764.3445305")</f>
        <v>http://dx.doi.org/10.1145/3411764.3445305</v>
      </c>
      <c r="BP1024" s="89" t="s">
        <v>646</v>
      </c>
      <c r="BQ1024" s="89" t="s">
        <v>646</v>
      </c>
      <c r="BR1024" s="89" t="s">
        <v>646</v>
      </c>
      <c r="BS1024" s="89" t="s">
        <v>646</v>
      </c>
      <c r="BT1024" s="89" t="s">
        <v>646</v>
      </c>
      <c r="BU1024" s="89" t="s">
        <v>646</v>
      </c>
      <c r="BV1024" s="89" t="s">
        <v>646</v>
      </c>
      <c r="BW1024" s="89" t="s">
        <v>646</v>
      </c>
      <c r="BX1024" s="89" t="s">
        <v>646</v>
      </c>
      <c r="BY1024" s="89" t="s">
        <v>646</v>
      </c>
      <c r="BZ1024" s="89" t="s">
        <v>646</v>
      </c>
      <c r="CA1024" s="89" t="s">
        <v>646</v>
      </c>
      <c r="CB1024" s="89" t="s">
        <v>25396</v>
      </c>
      <c r="CC1024" s="89" t="str">
        <f>HYPERLINK("https%3A%2F%2Fwww.webofscience.com%2Fwos%2Fwoscc%2Ffull-record%2FWOS:000758168003059","View Full Record in Web of Science")</f>
        <v>View Full Record in Web of Science</v>
      </c>
    </row>
    <row r="1025" spans="1:81" ht="13.2" hidden="1" x14ac:dyDescent="0.25">
      <c r="A1025" s="89" t="s">
        <v>25397</v>
      </c>
      <c r="B1025" s="89" t="e">
        <f>+#REF!</f>
        <v>#REF!</v>
      </c>
      <c r="C1025" s="89"/>
      <c r="D1025" s="91" t="s">
        <v>717</v>
      </c>
      <c r="E1025" s="90" t="e">
        <v>#REF!</v>
      </c>
      <c r="F1025" s="89"/>
      <c r="G1025" s="89"/>
      <c r="H1025" s="89" t="s">
        <v>10738</v>
      </c>
      <c r="I1025" s="89" t="s">
        <v>25398</v>
      </c>
      <c r="J1025" s="89" t="s">
        <v>646</v>
      </c>
      <c r="K1025" s="89" t="s">
        <v>25400</v>
      </c>
      <c r="M1025" s="89">
        <v>2022</v>
      </c>
      <c r="N1025" s="89" t="s">
        <v>25399</v>
      </c>
      <c r="O1025" s="89" t="s">
        <v>646</v>
      </c>
      <c r="P1025" s="89" t="str">
        <f>HYPERLINK("http://dx.doi.org/10.1027/1866-5888/a000293","http://dx.doi.org/10.1027/1866-5888/a000293")</f>
        <v>http://dx.doi.org/10.1027/1866-5888/a000293</v>
      </c>
      <c r="S1025" s="89" t="s">
        <v>646</v>
      </c>
      <c r="U1025" s="89" t="s">
        <v>17462</v>
      </c>
      <c r="W1025" s="89" t="s">
        <v>646</v>
      </c>
      <c r="X1025" s="89" t="s">
        <v>646</v>
      </c>
      <c r="Y1025" s="89" t="s">
        <v>646</v>
      </c>
      <c r="Z1025" s="89" t="s">
        <v>646</v>
      </c>
      <c r="AA1025" s="89" t="s">
        <v>646</v>
      </c>
      <c r="AB1025" s="89" t="s">
        <v>646</v>
      </c>
      <c r="AC1025" s="89" t="s">
        <v>646</v>
      </c>
      <c r="AD1025" s="89" t="s">
        <v>646</v>
      </c>
      <c r="AE1025" s="89" t="s">
        <v>646</v>
      </c>
      <c r="AF1025" s="89" t="s">
        <v>25400</v>
      </c>
      <c r="AG1025" s="89" t="s">
        <v>646</v>
      </c>
      <c r="AH1025" s="89" t="s">
        <v>646</v>
      </c>
      <c r="AI1025" s="89" t="s">
        <v>646</v>
      </c>
      <c r="AJ1025" s="89" t="s">
        <v>646</v>
      </c>
      <c r="AK1025" s="89" t="s">
        <v>646</v>
      </c>
      <c r="AL1025" s="89" t="s">
        <v>25401</v>
      </c>
      <c r="AM1025" s="89" t="s">
        <v>646</v>
      </c>
      <c r="AN1025" s="89" t="s">
        <v>646</v>
      </c>
      <c r="AO1025" s="89" t="s">
        <v>646</v>
      </c>
      <c r="AP1025" s="89" t="s">
        <v>646</v>
      </c>
      <c r="AQ1025" s="89" t="s">
        <v>646</v>
      </c>
      <c r="AR1025" s="89" t="s">
        <v>646</v>
      </c>
      <c r="AS1025" s="89" t="s">
        <v>646</v>
      </c>
      <c r="AT1025" s="89" t="s">
        <v>646</v>
      </c>
      <c r="AU1025" s="89" t="s">
        <v>646</v>
      </c>
      <c r="AV1025" s="89" t="s">
        <v>646</v>
      </c>
      <c r="AW1025" s="89" t="s">
        <v>646</v>
      </c>
      <c r="AX1025" s="89" t="s">
        <v>646</v>
      </c>
      <c r="AY1025" s="89" t="s">
        <v>25402</v>
      </c>
      <c r="AZ1025" s="89" t="s">
        <v>25403</v>
      </c>
      <c r="BA1025" s="89" t="s">
        <v>646</v>
      </c>
      <c r="BB1025" s="89" t="s">
        <v>646</v>
      </c>
      <c r="BC1025" s="89" t="s">
        <v>646</v>
      </c>
      <c r="BD1025" s="89" t="s">
        <v>18655</v>
      </c>
      <c r="BE1025" s="89">
        <v>2022</v>
      </c>
      <c r="BF1025" s="89">
        <v>21</v>
      </c>
      <c r="BG1025" s="89">
        <v>3</v>
      </c>
      <c r="BH1025" s="89" t="s">
        <v>646</v>
      </c>
      <c r="BI1025" s="89" t="s">
        <v>646</v>
      </c>
      <c r="BJ1025" s="89" t="s">
        <v>646</v>
      </c>
      <c r="BK1025" s="89" t="s">
        <v>646</v>
      </c>
      <c r="BL1025" s="89">
        <v>104</v>
      </c>
      <c r="BM1025" s="89">
        <v>114</v>
      </c>
      <c r="BN1025" s="89" t="s">
        <v>646</v>
      </c>
      <c r="BO1025" s="89" t="str">
        <f>HYPERLINK("http://dx.doi.org/10.1027/1866-5888/a000293","http://dx.doi.org/10.1027/1866-5888/a000293")</f>
        <v>http://dx.doi.org/10.1027/1866-5888/a000293</v>
      </c>
      <c r="BP1025" s="89" t="s">
        <v>646</v>
      </c>
      <c r="BQ1025" s="89" t="s">
        <v>646</v>
      </c>
      <c r="BR1025" s="89" t="s">
        <v>646</v>
      </c>
      <c r="BS1025" s="89" t="s">
        <v>646</v>
      </c>
      <c r="BT1025" s="89" t="s">
        <v>646</v>
      </c>
      <c r="BU1025" s="89" t="s">
        <v>646</v>
      </c>
      <c r="BV1025" s="89" t="s">
        <v>646</v>
      </c>
      <c r="BW1025" s="89" t="s">
        <v>646</v>
      </c>
      <c r="BX1025" s="89" t="s">
        <v>646</v>
      </c>
      <c r="BY1025" s="89" t="s">
        <v>646</v>
      </c>
      <c r="BZ1025" s="89" t="s">
        <v>646</v>
      </c>
      <c r="CA1025" s="89" t="s">
        <v>646</v>
      </c>
      <c r="CB1025" s="89" t="s">
        <v>25404</v>
      </c>
      <c r="CC1025" s="89" t="str">
        <f>HYPERLINK("https%3A%2F%2Fwww.webofscience.com%2Fwos%2Fwoscc%2Ffull-record%2FWOS:000835425500002","View Full Record in Web of Science")</f>
        <v>View Full Record in Web of Science</v>
      </c>
    </row>
    <row r="1026" spans="1:81" ht="13.2" hidden="1" x14ac:dyDescent="0.25">
      <c r="A1026" s="89" t="s">
        <v>25405</v>
      </c>
      <c r="B1026" s="89" t="e">
        <f>+#REF!</f>
        <v>#REF!</v>
      </c>
      <c r="C1026" s="89"/>
      <c r="D1026" s="91" t="s">
        <v>717</v>
      </c>
      <c r="E1026" s="90" t="e">
        <v>#REF!</v>
      </c>
      <c r="F1026" s="89"/>
      <c r="G1026" s="89"/>
      <c r="H1026" s="89" t="s">
        <v>16190</v>
      </c>
      <c r="I1026" s="89" t="s">
        <v>25407</v>
      </c>
      <c r="J1026" s="89" t="s">
        <v>646</v>
      </c>
      <c r="K1026" s="89" t="s">
        <v>25413</v>
      </c>
      <c r="M1026" s="89">
        <v>2015</v>
      </c>
      <c r="N1026" s="89" t="s">
        <v>25408</v>
      </c>
      <c r="O1026" s="89" t="s">
        <v>25406</v>
      </c>
      <c r="P1026" s="89" t="str">
        <f>HYPERLINK("http://dx.doi.org/10.1007/978-3-319-18612-2_8","http://dx.doi.org/10.1007/978-3-319-18612-2_8")</f>
        <v>http://dx.doi.org/10.1007/978-3-319-18612-2_8</v>
      </c>
      <c r="S1026" s="89" t="s">
        <v>646</v>
      </c>
      <c r="U1026" s="89" t="s">
        <v>17474</v>
      </c>
      <c r="W1026" s="89" t="s">
        <v>646</v>
      </c>
      <c r="X1026" s="89" t="s">
        <v>646</v>
      </c>
      <c r="Y1026" s="89" t="s">
        <v>25409</v>
      </c>
      <c r="Z1026" s="89" t="s">
        <v>25410</v>
      </c>
      <c r="AA1026" s="89" t="s">
        <v>25411</v>
      </c>
      <c r="AB1026" s="89" t="s">
        <v>25412</v>
      </c>
      <c r="AC1026" s="89" t="s">
        <v>646</v>
      </c>
      <c r="AD1026" s="89" t="s">
        <v>646</v>
      </c>
      <c r="AE1026" s="89" t="s">
        <v>646</v>
      </c>
      <c r="AF1026" s="89" t="s">
        <v>25413</v>
      </c>
      <c r="AG1026" s="89" t="s">
        <v>646</v>
      </c>
      <c r="AH1026" s="89" t="s">
        <v>646</v>
      </c>
      <c r="AI1026" s="89" t="s">
        <v>646</v>
      </c>
      <c r="AJ1026" s="89" t="s">
        <v>646</v>
      </c>
      <c r="AK1026" s="89" t="s">
        <v>646</v>
      </c>
      <c r="AL1026" s="89" t="s">
        <v>646</v>
      </c>
      <c r="AM1026" s="89" t="s">
        <v>646</v>
      </c>
      <c r="AN1026" s="89" t="s">
        <v>646</v>
      </c>
      <c r="AO1026" s="89" t="s">
        <v>646</v>
      </c>
      <c r="AP1026" s="89" t="s">
        <v>646</v>
      </c>
      <c r="AQ1026" s="89" t="s">
        <v>646</v>
      </c>
      <c r="AR1026" s="89" t="s">
        <v>646</v>
      </c>
      <c r="AS1026" s="89" t="s">
        <v>646</v>
      </c>
      <c r="AT1026" s="89" t="s">
        <v>646</v>
      </c>
      <c r="AU1026" s="89" t="s">
        <v>646</v>
      </c>
      <c r="AV1026" s="89" t="s">
        <v>646</v>
      </c>
      <c r="AW1026" s="89" t="s">
        <v>646</v>
      </c>
      <c r="AX1026" s="89" t="s">
        <v>646</v>
      </c>
      <c r="AY1026" s="89" t="s">
        <v>18403</v>
      </c>
      <c r="AZ1026" s="89" t="s">
        <v>646</v>
      </c>
      <c r="BA1026" s="89" t="s">
        <v>25414</v>
      </c>
      <c r="BB1026" s="89" t="s">
        <v>646</v>
      </c>
      <c r="BC1026" s="89" t="s">
        <v>646</v>
      </c>
      <c r="BD1026" s="89" t="s">
        <v>646</v>
      </c>
      <c r="BE1026" s="89">
        <v>2015</v>
      </c>
      <c r="BF1026" s="89">
        <v>212</v>
      </c>
      <c r="BG1026" s="89" t="s">
        <v>646</v>
      </c>
      <c r="BH1026" s="89" t="s">
        <v>646</v>
      </c>
      <c r="BI1026" s="89" t="s">
        <v>646</v>
      </c>
      <c r="BJ1026" s="89" t="s">
        <v>646</v>
      </c>
      <c r="BK1026" s="89" t="s">
        <v>646</v>
      </c>
      <c r="BL1026" s="89">
        <v>93</v>
      </c>
      <c r="BM1026" s="89">
        <v>104</v>
      </c>
      <c r="BN1026" s="89" t="s">
        <v>646</v>
      </c>
      <c r="BO1026" s="89" t="str">
        <f>HYPERLINK("http://dx.doi.org/10.1007/978-3-319-18612-2_8","http://dx.doi.org/10.1007/978-3-319-18612-2_8")</f>
        <v>http://dx.doi.org/10.1007/978-3-319-18612-2_8</v>
      </c>
      <c r="BP1026" s="89" t="s">
        <v>646</v>
      </c>
      <c r="BQ1026" s="89" t="s">
        <v>646</v>
      </c>
      <c r="BR1026" s="89" t="s">
        <v>646</v>
      </c>
      <c r="BS1026" s="89" t="s">
        <v>646</v>
      </c>
      <c r="BT1026" s="89" t="s">
        <v>646</v>
      </c>
      <c r="BU1026" s="89" t="s">
        <v>646</v>
      </c>
      <c r="BV1026" s="89" t="s">
        <v>646</v>
      </c>
      <c r="BW1026" s="89" t="s">
        <v>646</v>
      </c>
      <c r="BX1026" s="89" t="s">
        <v>646</v>
      </c>
      <c r="BY1026" s="89" t="s">
        <v>646</v>
      </c>
      <c r="BZ1026" s="89" t="s">
        <v>646</v>
      </c>
      <c r="CA1026" s="89" t="s">
        <v>646</v>
      </c>
      <c r="CB1026" s="89" t="s">
        <v>25415</v>
      </c>
      <c r="CC1026" s="89" t="str">
        <f>HYPERLINK("https%3A%2F%2Fwww.webofscience.com%2Fwos%2Fwoscc%2Ffull-record%2FWOS:000373725800008","View Full Record in Web of Science")</f>
        <v>View Full Record in Web of Science</v>
      </c>
    </row>
    <row r="1027" spans="1:81" ht="13.2" hidden="1" x14ac:dyDescent="0.25">
      <c r="A1027" s="89" t="s">
        <v>25416</v>
      </c>
      <c r="B1027" s="89" t="e">
        <f>+#REF!</f>
        <v>#REF!</v>
      </c>
      <c r="C1027" s="89"/>
      <c r="D1027" s="91" t="s">
        <v>717</v>
      </c>
      <c r="E1027" s="90" t="e">
        <v>#REF!</v>
      </c>
      <c r="F1027" s="89"/>
      <c r="G1027" s="89"/>
      <c r="H1027" s="89" t="s">
        <v>10748</v>
      </c>
      <c r="I1027" s="89" t="s">
        <v>25417</v>
      </c>
      <c r="J1027" s="89" t="s">
        <v>25419</v>
      </c>
      <c r="K1027" s="89" t="s">
        <v>25418</v>
      </c>
      <c r="M1027" s="89">
        <v>2021</v>
      </c>
      <c r="N1027" s="89" t="s">
        <v>19023</v>
      </c>
      <c r="O1027" s="89" t="s">
        <v>646</v>
      </c>
      <c r="P1027" s="89" t="str">
        <f>HYPERLINK("http://dx.doi.org/10.2196/19789","http://dx.doi.org/10.2196/19789")</f>
        <v>http://dx.doi.org/10.2196/19789</v>
      </c>
      <c r="S1027" s="89" t="s">
        <v>646</v>
      </c>
      <c r="U1027" s="89" t="s">
        <v>17462</v>
      </c>
      <c r="W1027" s="89" t="s">
        <v>646</v>
      </c>
      <c r="X1027" s="89" t="s">
        <v>646</v>
      </c>
      <c r="Y1027" s="89" t="s">
        <v>646</v>
      </c>
      <c r="Z1027" s="89" t="s">
        <v>646</v>
      </c>
      <c r="AA1027" s="89" t="s">
        <v>646</v>
      </c>
      <c r="AB1027" s="89" t="s">
        <v>646</v>
      </c>
      <c r="AC1027" s="89" t="s">
        <v>646</v>
      </c>
      <c r="AD1027" s="89" t="s">
        <v>646</v>
      </c>
      <c r="AE1027" s="89" t="s">
        <v>646</v>
      </c>
      <c r="AF1027" s="89" t="s">
        <v>25418</v>
      </c>
      <c r="AG1027" s="89" t="s">
        <v>646</v>
      </c>
      <c r="AH1027" s="89" t="s">
        <v>646</v>
      </c>
      <c r="AI1027" s="89" t="s">
        <v>646</v>
      </c>
      <c r="AJ1027" s="89" t="s">
        <v>646</v>
      </c>
      <c r="AK1027" s="89" t="s">
        <v>25419</v>
      </c>
      <c r="AL1027" s="89" t="s">
        <v>25420</v>
      </c>
      <c r="AM1027" s="89" t="s">
        <v>646</v>
      </c>
      <c r="AN1027" s="89" t="s">
        <v>646</v>
      </c>
      <c r="AO1027" s="89" t="s">
        <v>646</v>
      </c>
      <c r="AP1027" s="89" t="s">
        <v>646</v>
      </c>
      <c r="AQ1027" s="89" t="s">
        <v>646</v>
      </c>
      <c r="AR1027" s="89" t="s">
        <v>646</v>
      </c>
      <c r="AS1027" s="89" t="s">
        <v>646</v>
      </c>
      <c r="AT1027" s="89" t="s">
        <v>646</v>
      </c>
      <c r="AU1027" s="89" t="s">
        <v>646</v>
      </c>
      <c r="AV1027" s="89" t="s">
        <v>646</v>
      </c>
      <c r="AW1027" s="89" t="s">
        <v>646</v>
      </c>
      <c r="AX1027" s="89" t="s">
        <v>646</v>
      </c>
      <c r="AY1027" s="89" t="s">
        <v>19026</v>
      </c>
      <c r="AZ1027" s="89" t="s">
        <v>646</v>
      </c>
      <c r="BA1027" s="89" t="s">
        <v>646</v>
      </c>
      <c r="BB1027" s="89" t="s">
        <v>646</v>
      </c>
      <c r="BC1027" s="89" t="s">
        <v>646</v>
      </c>
      <c r="BD1027" s="89" t="s">
        <v>25421</v>
      </c>
      <c r="BE1027" s="89">
        <v>2021</v>
      </c>
      <c r="BF1027" s="89">
        <v>23</v>
      </c>
      <c r="BG1027" s="89">
        <v>10</v>
      </c>
      <c r="BH1027" s="89" t="s">
        <v>646</v>
      </c>
      <c r="BI1027" s="89" t="s">
        <v>646</v>
      </c>
      <c r="BJ1027" s="89" t="s">
        <v>646</v>
      </c>
      <c r="BK1027" s="89" t="s">
        <v>646</v>
      </c>
      <c r="BL1027" s="89" t="s">
        <v>646</v>
      </c>
      <c r="BM1027" s="89" t="s">
        <v>646</v>
      </c>
      <c r="BN1027" s="89" t="s">
        <v>25422</v>
      </c>
      <c r="BO1027" s="89" t="str">
        <f>HYPERLINK("http://dx.doi.org/10.2196/19789","http://dx.doi.org/10.2196/19789")</f>
        <v>http://dx.doi.org/10.2196/19789</v>
      </c>
      <c r="BP1027" s="89" t="s">
        <v>646</v>
      </c>
      <c r="BQ1027" s="89" t="s">
        <v>646</v>
      </c>
      <c r="BR1027" s="89" t="s">
        <v>646</v>
      </c>
      <c r="BS1027" s="89" t="s">
        <v>646</v>
      </c>
      <c r="BT1027" s="89" t="s">
        <v>646</v>
      </c>
      <c r="BU1027" s="89" t="s">
        <v>646</v>
      </c>
      <c r="BV1027" s="89" t="s">
        <v>646</v>
      </c>
      <c r="BW1027" s="89">
        <v>34673528</v>
      </c>
      <c r="BX1027" s="89" t="s">
        <v>646</v>
      </c>
      <c r="BY1027" s="89" t="s">
        <v>646</v>
      </c>
      <c r="BZ1027" s="89" t="s">
        <v>646</v>
      </c>
      <c r="CA1027" s="89" t="s">
        <v>646</v>
      </c>
      <c r="CB1027" s="89" t="s">
        <v>25423</v>
      </c>
      <c r="CC1027" s="89" t="str">
        <f>HYPERLINK("https%3A%2F%2Fwww.webofscience.com%2Fwos%2Fwoscc%2Ffull-record%2FWOS:000715042600003","View Full Record in Web of Science")</f>
        <v>View Full Record in Web of Science</v>
      </c>
    </row>
    <row r="1028" spans="1:81" ht="13.2" hidden="1" x14ac:dyDescent="0.25">
      <c r="A1028" s="89" t="s">
        <v>25424</v>
      </c>
      <c r="B1028" s="89" t="e">
        <f>+#REF!</f>
        <v>#REF!</v>
      </c>
      <c r="C1028" s="89"/>
      <c r="D1028" s="91" t="s">
        <v>717</v>
      </c>
      <c r="E1028" s="90" t="e">
        <v>#REF!</v>
      </c>
      <c r="F1028" s="89"/>
      <c r="G1028" s="89"/>
      <c r="H1028" s="89" t="s">
        <v>646</v>
      </c>
      <c r="I1028" s="89" t="s">
        <v>25426</v>
      </c>
      <c r="J1028" s="89" t="s">
        <v>646</v>
      </c>
      <c r="K1028" s="89" t="s">
        <v>25431</v>
      </c>
      <c r="M1028" s="89">
        <v>2018</v>
      </c>
      <c r="N1028" s="89" t="s">
        <v>25427</v>
      </c>
      <c r="O1028" s="89" t="s">
        <v>25425</v>
      </c>
      <c r="P1028" s="89" t="s">
        <v>646</v>
      </c>
      <c r="S1028" s="89" t="s">
        <v>646</v>
      </c>
      <c r="U1028" s="89" t="s">
        <v>17474</v>
      </c>
      <c r="W1028" s="89" t="s">
        <v>646</v>
      </c>
      <c r="X1028" s="89" t="s">
        <v>646</v>
      </c>
      <c r="Y1028" s="89" t="s">
        <v>25428</v>
      </c>
      <c r="Z1028" s="89" t="s">
        <v>25429</v>
      </c>
      <c r="AA1028" s="89" t="s">
        <v>25430</v>
      </c>
      <c r="AB1028" s="89" t="s">
        <v>646</v>
      </c>
      <c r="AC1028" s="89" t="s">
        <v>646</v>
      </c>
      <c r="AD1028" s="89" t="s">
        <v>646</v>
      </c>
      <c r="AE1028" s="89" t="s">
        <v>646</v>
      </c>
      <c r="AF1028" s="89" t="s">
        <v>25431</v>
      </c>
      <c r="AG1028" s="89" t="s">
        <v>646</v>
      </c>
      <c r="AH1028" s="89" t="s">
        <v>646</v>
      </c>
      <c r="AI1028" s="89" t="s">
        <v>646</v>
      </c>
      <c r="AJ1028" s="89" t="s">
        <v>646</v>
      </c>
      <c r="AK1028" s="89" t="s">
        <v>646</v>
      </c>
      <c r="AL1028" s="89" t="s">
        <v>646</v>
      </c>
      <c r="AM1028" s="89" t="s">
        <v>646</v>
      </c>
      <c r="AN1028" s="89" t="s">
        <v>646</v>
      </c>
      <c r="AO1028" s="89" t="s">
        <v>646</v>
      </c>
      <c r="AP1028" s="89" t="s">
        <v>646</v>
      </c>
      <c r="AQ1028" s="89" t="s">
        <v>646</v>
      </c>
      <c r="AR1028" s="89" t="s">
        <v>646</v>
      </c>
      <c r="AS1028" s="89" t="s">
        <v>646</v>
      </c>
      <c r="AT1028" s="89" t="s">
        <v>646</v>
      </c>
      <c r="AU1028" s="89" t="s">
        <v>646</v>
      </c>
      <c r="AV1028" s="89" t="s">
        <v>646</v>
      </c>
      <c r="AW1028" s="89" t="s">
        <v>646</v>
      </c>
      <c r="AX1028" s="89" t="s">
        <v>646</v>
      </c>
      <c r="AY1028" s="89" t="s">
        <v>646</v>
      </c>
      <c r="AZ1028" s="89" t="s">
        <v>646</v>
      </c>
      <c r="BA1028" s="89" t="s">
        <v>25432</v>
      </c>
      <c r="BB1028" s="89" t="s">
        <v>646</v>
      </c>
      <c r="BC1028" s="89" t="s">
        <v>646</v>
      </c>
      <c r="BD1028" s="89" t="s">
        <v>646</v>
      </c>
      <c r="BE1028" s="89">
        <v>2018</v>
      </c>
      <c r="BF1028" s="89" t="s">
        <v>646</v>
      </c>
      <c r="BG1028" s="89" t="s">
        <v>646</v>
      </c>
      <c r="BH1028" s="89" t="s">
        <v>646</v>
      </c>
      <c r="BI1028" s="89" t="s">
        <v>646</v>
      </c>
      <c r="BJ1028" s="89" t="s">
        <v>646</v>
      </c>
      <c r="BK1028" s="89" t="s">
        <v>646</v>
      </c>
      <c r="BL1028" s="89">
        <v>825</v>
      </c>
      <c r="BM1028" s="89">
        <v>831</v>
      </c>
      <c r="BN1028" s="89" t="s">
        <v>646</v>
      </c>
      <c r="BO1028" s="89" t="s">
        <v>646</v>
      </c>
      <c r="BP1028" s="89" t="s">
        <v>646</v>
      </c>
      <c r="BQ1028" s="89" t="s">
        <v>646</v>
      </c>
      <c r="BR1028" s="89" t="s">
        <v>646</v>
      </c>
      <c r="BS1028" s="89" t="s">
        <v>646</v>
      </c>
      <c r="BT1028" s="89" t="s">
        <v>646</v>
      </c>
      <c r="BU1028" s="89" t="s">
        <v>646</v>
      </c>
      <c r="BV1028" s="89" t="s">
        <v>646</v>
      </c>
      <c r="BW1028" s="89" t="s">
        <v>646</v>
      </c>
      <c r="BX1028" s="89" t="s">
        <v>646</v>
      </c>
      <c r="BY1028" s="89" t="s">
        <v>646</v>
      </c>
      <c r="BZ1028" s="89" t="s">
        <v>646</v>
      </c>
      <c r="CA1028" s="89" t="s">
        <v>646</v>
      </c>
      <c r="CB1028" s="89" t="s">
        <v>25433</v>
      </c>
      <c r="CC1028" s="89" t="str">
        <f>HYPERLINK("https%3A%2F%2Fwww.webofscience.com%2Fwos%2Fwoscc%2Ffull-record%2FWOS:000725545000132","View Full Record in Web of Science")</f>
        <v>View Full Record in Web of Science</v>
      </c>
    </row>
    <row r="1029" spans="1:81" ht="13.2" hidden="1" x14ac:dyDescent="0.25">
      <c r="A1029" s="89" t="s">
        <v>10756</v>
      </c>
      <c r="B1029" s="89" t="e">
        <f>+#REF!</f>
        <v>#REF!</v>
      </c>
      <c r="C1029" s="89"/>
      <c r="D1029" s="91" t="s">
        <v>717</v>
      </c>
      <c r="E1029" s="90" t="e">
        <v>#REF!</v>
      </c>
      <c r="F1029" s="89"/>
      <c r="G1029" s="89"/>
      <c r="H1029" s="89" t="s">
        <v>10757</v>
      </c>
      <c r="I1029" s="89" t="s">
        <v>25434</v>
      </c>
      <c r="J1029" s="89" t="s">
        <v>646</v>
      </c>
      <c r="K1029" s="89" t="s">
        <v>25435</v>
      </c>
      <c r="M1029" s="89">
        <v>2021</v>
      </c>
      <c r="N1029" s="89" t="s">
        <v>18595</v>
      </c>
      <c r="O1029" s="89" t="s">
        <v>646</v>
      </c>
      <c r="P1029" s="89" t="str">
        <f>HYPERLINK("http://dx.doi.org/10.1371/journal.pone.0260013","http://dx.doi.org/10.1371/journal.pone.0260013")</f>
        <v>http://dx.doi.org/10.1371/journal.pone.0260013</v>
      </c>
      <c r="S1029" s="89" t="s">
        <v>646</v>
      </c>
      <c r="U1029" s="89" t="s">
        <v>17462</v>
      </c>
      <c r="W1029" s="89" t="s">
        <v>646</v>
      </c>
      <c r="X1029" s="89" t="s">
        <v>646</v>
      </c>
      <c r="Y1029" s="89" t="s">
        <v>646</v>
      </c>
      <c r="Z1029" s="89" t="s">
        <v>646</v>
      </c>
      <c r="AA1029" s="89" t="s">
        <v>646</v>
      </c>
      <c r="AB1029" s="89" t="s">
        <v>646</v>
      </c>
      <c r="AC1029" s="89" t="s">
        <v>646</v>
      </c>
      <c r="AD1029" s="89" t="s">
        <v>646</v>
      </c>
      <c r="AE1029" s="89" t="s">
        <v>646</v>
      </c>
      <c r="AF1029" s="89" t="s">
        <v>25435</v>
      </c>
      <c r="AG1029" s="89" t="s">
        <v>646</v>
      </c>
      <c r="AH1029" s="89" t="s">
        <v>646</v>
      </c>
      <c r="AI1029" s="89" t="s">
        <v>646</v>
      </c>
      <c r="AJ1029" s="89" t="s">
        <v>646</v>
      </c>
      <c r="AK1029" s="89" t="s">
        <v>646</v>
      </c>
      <c r="AL1029" s="89" t="s">
        <v>25436</v>
      </c>
      <c r="AM1029" s="89" t="s">
        <v>646</v>
      </c>
      <c r="AN1029" s="89" t="s">
        <v>646</v>
      </c>
      <c r="AO1029" s="89" t="s">
        <v>646</v>
      </c>
      <c r="AP1029" s="89" t="s">
        <v>646</v>
      </c>
      <c r="AQ1029" s="89" t="s">
        <v>646</v>
      </c>
      <c r="AR1029" s="89" t="s">
        <v>646</v>
      </c>
      <c r="AS1029" s="89" t="s">
        <v>646</v>
      </c>
      <c r="AT1029" s="89" t="s">
        <v>646</v>
      </c>
      <c r="AU1029" s="89" t="s">
        <v>646</v>
      </c>
      <c r="AV1029" s="89" t="s">
        <v>646</v>
      </c>
      <c r="AW1029" s="89" t="s">
        <v>646</v>
      </c>
      <c r="AX1029" s="89" t="s">
        <v>646</v>
      </c>
      <c r="AY1029" s="89" t="s">
        <v>18599</v>
      </c>
      <c r="AZ1029" s="89" t="s">
        <v>646</v>
      </c>
      <c r="BA1029" s="89" t="s">
        <v>646</v>
      </c>
      <c r="BB1029" s="89" t="s">
        <v>646</v>
      </c>
      <c r="BC1029" s="89" t="s">
        <v>646</v>
      </c>
      <c r="BD1029" s="89" t="s">
        <v>25437</v>
      </c>
      <c r="BE1029" s="89">
        <v>2021</v>
      </c>
      <c r="BF1029" s="89">
        <v>16</v>
      </c>
      <c r="BG1029" s="89">
        <v>11</v>
      </c>
      <c r="BH1029" s="89" t="s">
        <v>646</v>
      </c>
      <c r="BI1029" s="89" t="s">
        <v>646</v>
      </c>
      <c r="BJ1029" s="89" t="s">
        <v>646</v>
      </c>
      <c r="BK1029" s="89" t="s">
        <v>646</v>
      </c>
      <c r="BL1029" s="89" t="s">
        <v>646</v>
      </c>
      <c r="BM1029" s="89" t="s">
        <v>646</v>
      </c>
      <c r="BN1029" s="89" t="s">
        <v>25438</v>
      </c>
      <c r="BO1029" s="89" t="str">
        <f>HYPERLINK("http://dx.doi.org/10.1371/journal.pone.0260013","http://dx.doi.org/10.1371/journal.pone.0260013")</f>
        <v>http://dx.doi.org/10.1371/journal.pone.0260013</v>
      </c>
      <c r="BP1029" s="89" t="s">
        <v>646</v>
      </c>
      <c r="BQ1029" s="89" t="s">
        <v>646</v>
      </c>
      <c r="BR1029" s="89" t="s">
        <v>646</v>
      </c>
      <c r="BS1029" s="89" t="s">
        <v>646</v>
      </c>
      <c r="BT1029" s="89" t="s">
        <v>646</v>
      </c>
      <c r="BU1029" s="89" t="s">
        <v>646</v>
      </c>
      <c r="BV1029" s="89" t="s">
        <v>646</v>
      </c>
      <c r="BW1029" s="89">
        <v>34780560</v>
      </c>
      <c r="BX1029" s="89" t="s">
        <v>646</v>
      </c>
      <c r="BY1029" s="89" t="s">
        <v>646</v>
      </c>
      <c r="BZ1029" s="89" t="s">
        <v>646</v>
      </c>
      <c r="CA1029" s="89" t="s">
        <v>646</v>
      </c>
      <c r="CB1029" s="89" t="s">
        <v>25439</v>
      </c>
      <c r="CC1029" s="89" t="str">
        <f>HYPERLINK("https%3A%2F%2Fwww.webofscience.com%2Fwos%2Fwoscc%2Ffull-record%2FWOS:000755305800084","View Full Record in Web of Science")</f>
        <v>View Full Record in Web of Science</v>
      </c>
    </row>
    <row r="1030" spans="1:81" ht="13.2" hidden="1" x14ac:dyDescent="0.25">
      <c r="A1030" s="89" t="s">
        <v>16206</v>
      </c>
      <c r="B1030" s="89" t="e">
        <f>+#REF!</f>
        <v>#REF!</v>
      </c>
      <c r="C1030" s="89"/>
      <c r="D1030" s="91" t="s">
        <v>717</v>
      </c>
      <c r="E1030" s="90" t="e">
        <v>#REF!</v>
      </c>
      <c r="F1030" s="89"/>
      <c r="G1030" s="89"/>
      <c r="H1030" s="89" t="s">
        <v>646</v>
      </c>
      <c r="I1030" s="89" t="s">
        <v>25440</v>
      </c>
      <c r="J1030" s="89" t="s">
        <v>21237</v>
      </c>
      <c r="K1030" s="89" t="s">
        <v>25446</v>
      </c>
      <c r="M1030" s="89">
        <v>2020</v>
      </c>
      <c r="N1030" s="89" t="s">
        <v>25441</v>
      </c>
      <c r="O1030" s="89" t="s">
        <v>646</v>
      </c>
      <c r="P1030" s="89" t="s">
        <v>646</v>
      </c>
      <c r="S1030" s="89" t="s">
        <v>17475</v>
      </c>
      <c r="U1030" s="89" t="s">
        <v>17474</v>
      </c>
      <c r="W1030" s="89" t="s">
        <v>646</v>
      </c>
      <c r="X1030" s="89" t="s">
        <v>646</v>
      </c>
      <c r="Y1030" s="89" t="s">
        <v>25442</v>
      </c>
      <c r="Z1030" s="89" t="s">
        <v>25443</v>
      </c>
      <c r="AA1030" s="89" t="s">
        <v>25444</v>
      </c>
      <c r="AB1030" s="89" t="s">
        <v>25445</v>
      </c>
      <c r="AC1030" s="89" t="s">
        <v>646</v>
      </c>
      <c r="AD1030" s="89" t="s">
        <v>646</v>
      </c>
      <c r="AE1030" s="89" t="s">
        <v>646</v>
      </c>
      <c r="AF1030" s="89" t="s">
        <v>25446</v>
      </c>
      <c r="AG1030" s="89" t="s">
        <v>646</v>
      </c>
      <c r="AH1030" s="89" t="s">
        <v>646</v>
      </c>
      <c r="AI1030" s="89" t="s">
        <v>646</v>
      </c>
      <c r="AJ1030" s="89" t="s">
        <v>646</v>
      </c>
      <c r="AK1030" s="89" t="s">
        <v>21237</v>
      </c>
      <c r="AL1030" s="89" t="s">
        <v>21238</v>
      </c>
      <c r="AM1030" s="89" t="s">
        <v>646</v>
      </c>
      <c r="AN1030" s="89" t="s">
        <v>646</v>
      </c>
      <c r="AO1030" s="89" t="s">
        <v>646</v>
      </c>
      <c r="AP1030" s="89" t="s">
        <v>646</v>
      </c>
      <c r="AQ1030" s="89" t="s">
        <v>646</v>
      </c>
      <c r="AR1030" s="89" t="s">
        <v>646</v>
      </c>
      <c r="AS1030" s="89" t="s">
        <v>646</v>
      </c>
      <c r="AT1030" s="89" t="s">
        <v>646</v>
      </c>
      <c r="AU1030" s="89" t="s">
        <v>646</v>
      </c>
      <c r="AV1030" s="89" t="s">
        <v>646</v>
      </c>
      <c r="AW1030" s="89" t="s">
        <v>646</v>
      </c>
      <c r="AX1030" s="89" t="s">
        <v>646</v>
      </c>
      <c r="AY1030" s="89" t="s">
        <v>25447</v>
      </c>
      <c r="AZ1030" s="89" t="s">
        <v>646</v>
      </c>
      <c r="BA1030" s="89" t="s">
        <v>25448</v>
      </c>
      <c r="BB1030" s="89" t="s">
        <v>646</v>
      </c>
      <c r="BC1030" s="89" t="s">
        <v>646</v>
      </c>
      <c r="BD1030" s="89" t="s">
        <v>646</v>
      </c>
      <c r="BE1030" s="89">
        <v>2020</v>
      </c>
      <c r="BF1030" s="89" t="s">
        <v>646</v>
      </c>
      <c r="BG1030" s="89" t="s">
        <v>646</v>
      </c>
      <c r="BH1030" s="89" t="s">
        <v>646</v>
      </c>
      <c r="BI1030" s="89" t="s">
        <v>646</v>
      </c>
      <c r="BJ1030" s="89" t="s">
        <v>646</v>
      </c>
      <c r="BK1030" s="89" t="s">
        <v>646</v>
      </c>
      <c r="BL1030" s="89" t="s">
        <v>646</v>
      </c>
      <c r="BM1030" s="89" t="s">
        <v>646</v>
      </c>
      <c r="BN1030" s="89" t="s">
        <v>646</v>
      </c>
      <c r="BO1030" s="89" t="s">
        <v>646</v>
      </c>
      <c r="BP1030" s="89" t="s">
        <v>646</v>
      </c>
      <c r="BQ1030" s="89" t="s">
        <v>646</v>
      </c>
      <c r="BR1030" s="89" t="s">
        <v>646</v>
      </c>
      <c r="BS1030" s="89" t="s">
        <v>646</v>
      </c>
      <c r="BT1030" s="89" t="s">
        <v>646</v>
      </c>
      <c r="BU1030" s="89" t="s">
        <v>646</v>
      </c>
      <c r="BV1030" s="89" t="s">
        <v>646</v>
      </c>
      <c r="BW1030" s="89" t="s">
        <v>646</v>
      </c>
      <c r="BX1030" s="89" t="s">
        <v>646</v>
      </c>
      <c r="BY1030" s="89" t="s">
        <v>646</v>
      </c>
      <c r="BZ1030" s="89" t="s">
        <v>646</v>
      </c>
      <c r="CA1030" s="89" t="s">
        <v>646</v>
      </c>
      <c r="CB1030" s="89" t="s">
        <v>25449</v>
      </c>
      <c r="CC1030" s="89" t="str">
        <f>HYPERLINK("https%3A%2F%2Fwww.webofscience.com%2Fwos%2Fwoscc%2Ffull-record%2FWOS:000544236100041","View Full Record in Web of Science")</f>
        <v>View Full Record in Web of Science</v>
      </c>
    </row>
    <row r="1031" spans="1:81" ht="13.2" hidden="1" x14ac:dyDescent="0.25">
      <c r="A1031" s="89" t="s">
        <v>25450</v>
      </c>
      <c r="B1031" s="89" t="e">
        <f>+#REF!</f>
        <v>#REF!</v>
      </c>
      <c r="C1031" s="89"/>
      <c r="D1031" s="91" t="s">
        <v>717</v>
      </c>
      <c r="E1031" s="90" t="e">
        <v>#REF!</v>
      </c>
      <c r="F1031" s="89"/>
      <c r="G1031" s="89"/>
      <c r="H1031" s="89" t="s">
        <v>16215</v>
      </c>
      <c r="I1031" s="89" t="s">
        <v>25451</v>
      </c>
      <c r="J1031" s="89" t="s">
        <v>646</v>
      </c>
      <c r="K1031" s="89" t="s">
        <v>25452</v>
      </c>
      <c r="M1031" s="89">
        <v>2019</v>
      </c>
      <c r="N1031" s="89" t="s">
        <v>21705</v>
      </c>
      <c r="O1031" s="89" t="s">
        <v>646</v>
      </c>
      <c r="P1031" s="89" t="str">
        <f>HYPERLINK("http://dx.doi.org/10.1145/3290607.3312970","http://dx.doi.org/10.1145/3290607.3312970")</f>
        <v>http://dx.doi.org/10.1145/3290607.3312970</v>
      </c>
      <c r="S1031" s="89" t="s">
        <v>17804</v>
      </c>
      <c r="U1031" s="89" t="s">
        <v>17474</v>
      </c>
      <c r="W1031" s="89" t="s">
        <v>646</v>
      </c>
      <c r="X1031" s="89" t="s">
        <v>646</v>
      </c>
      <c r="Y1031" s="89" t="s">
        <v>19438</v>
      </c>
      <c r="Z1031" s="89" t="s">
        <v>20637</v>
      </c>
      <c r="AA1031" s="89" t="s">
        <v>20638</v>
      </c>
      <c r="AB1031" s="89" t="s">
        <v>19440</v>
      </c>
      <c r="AC1031" s="89" t="s">
        <v>646</v>
      </c>
      <c r="AD1031" s="89" t="s">
        <v>646</v>
      </c>
      <c r="AE1031" s="89" t="s">
        <v>646</v>
      </c>
      <c r="AF1031" s="89" t="s">
        <v>25452</v>
      </c>
      <c r="AG1031" s="89" t="s">
        <v>646</v>
      </c>
      <c r="AH1031" s="89" t="s">
        <v>646</v>
      </c>
      <c r="AI1031" s="89" t="s">
        <v>646</v>
      </c>
      <c r="AJ1031" s="89" t="s">
        <v>646</v>
      </c>
      <c r="AK1031" s="89" t="s">
        <v>646</v>
      </c>
      <c r="AL1031" s="89" t="s">
        <v>25453</v>
      </c>
      <c r="AM1031" s="89" t="s">
        <v>646</v>
      </c>
      <c r="AN1031" s="89" t="s">
        <v>646</v>
      </c>
      <c r="AO1031" s="89" t="s">
        <v>646</v>
      </c>
      <c r="AP1031" s="89" t="s">
        <v>646</v>
      </c>
      <c r="AQ1031" s="89" t="s">
        <v>646</v>
      </c>
      <c r="AR1031" s="89" t="s">
        <v>646</v>
      </c>
      <c r="AS1031" s="89" t="s">
        <v>646</v>
      </c>
      <c r="AT1031" s="89" t="s">
        <v>646</v>
      </c>
      <c r="AU1031" s="89" t="s">
        <v>646</v>
      </c>
      <c r="AV1031" s="89" t="s">
        <v>646</v>
      </c>
      <c r="AW1031" s="89" t="s">
        <v>646</v>
      </c>
      <c r="AX1031" s="89" t="s">
        <v>646</v>
      </c>
      <c r="AY1031" s="89" t="s">
        <v>646</v>
      </c>
      <c r="AZ1031" s="89" t="s">
        <v>646</v>
      </c>
      <c r="BA1031" s="89" t="s">
        <v>21708</v>
      </c>
      <c r="BB1031" s="89" t="s">
        <v>646</v>
      </c>
      <c r="BC1031" s="89" t="s">
        <v>646</v>
      </c>
      <c r="BD1031" s="89" t="s">
        <v>646</v>
      </c>
      <c r="BE1031" s="89">
        <v>2019</v>
      </c>
      <c r="BF1031" s="89" t="s">
        <v>646</v>
      </c>
      <c r="BG1031" s="89" t="s">
        <v>646</v>
      </c>
      <c r="BH1031" s="89" t="s">
        <v>646</v>
      </c>
      <c r="BI1031" s="89" t="s">
        <v>646</v>
      </c>
      <c r="BJ1031" s="89" t="s">
        <v>646</v>
      </c>
      <c r="BK1031" s="89" t="s">
        <v>646</v>
      </c>
      <c r="BL1031" s="89" t="s">
        <v>646</v>
      </c>
      <c r="BM1031" s="89" t="s">
        <v>646</v>
      </c>
      <c r="BN1031" s="89" t="s">
        <v>646</v>
      </c>
      <c r="BO1031" s="89" t="str">
        <f>HYPERLINK("http://dx.doi.org/10.1145/3290607.3312970","http://dx.doi.org/10.1145/3290607.3312970")</f>
        <v>http://dx.doi.org/10.1145/3290607.3312970</v>
      </c>
      <c r="BP1031" s="89" t="s">
        <v>646</v>
      </c>
      <c r="BQ1031" s="89" t="s">
        <v>646</v>
      </c>
      <c r="BR1031" s="89" t="s">
        <v>646</v>
      </c>
      <c r="BS1031" s="89" t="s">
        <v>646</v>
      </c>
      <c r="BT1031" s="89" t="s">
        <v>646</v>
      </c>
      <c r="BU1031" s="89" t="s">
        <v>646</v>
      </c>
      <c r="BV1031" s="89" t="s">
        <v>646</v>
      </c>
      <c r="BW1031" s="89" t="s">
        <v>646</v>
      </c>
      <c r="BX1031" s="89" t="s">
        <v>646</v>
      </c>
      <c r="BY1031" s="89" t="s">
        <v>646</v>
      </c>
      <c r="BZ1031" s="89" t="s">
        <v>646</v>
      </c>
      <c r="CA1031" s="89" t="s">
        <v>646</v>
      </c>
      <c r="CB1031" s="89" t="s">
        <v>25454</v>
      </c>
      <c r="CC1031" s="89" t="str">
        <f>HYPERLINK("https%3A%2F%2Fwww.webofscience.com%2Fwos%2Fwoscc%2Ffull-record%2FWOS:000482042101155","View Full Record in Web of Science")</f>
        <v>View Full Record in Web of Science</v>
      </c>
    </row>
    <row r="1032" spans="1:81" ht="13.2" hidden="1" x14ac:dyDescent="0.25">
      <c r="A1032" s="89" t="s">
        <v>16222</v>
      </c>
      <c r="B1032" s="89" t="e">
        <f>+#REF!</f>
        <v>#REF!</v>
      </c>
      <c r="C1032" s="89"/>
      <c r="D1032" s="91" t="s">
        <v>717</v>
      </c>
      <c r="E1032" s="90" t="e">
        <v>#REF!</v>
      </c>
      <c r="F1032" s="89"/>
      <c r="G1032" s="89"/>
      <c r="H1032" s="89" t="s">
        <v>16223</v>
      </c>
      <c r="I1032" s="89" t="s">
        <v>25455</v>
      </c>
      <c r="J1032" s="89" t="s">
        <v>646</v>
      </c>
      <c r="K1032" s="89" t="s">
        <v>25457</v>
      </c>
      <c r="M1032" s="89">
        <v>2017</v>
      </c>
      <c r="N1032" s="89" t="s">
        <v>25456</v>
      </c>
      <c r="O1032" s="89" t="s">
        <v>646</v>
      </c>
      <c r="P1032" s="89" t="str">
        <f>HYPERLINK("http://dx.doi.org/10.1016/j.iccn.2016.08.010","http://dx.doi.org/10.1016/j.iccn.2016.08.010")</f>
        <v>http://dx.doi.org/10.1016/j.iccn.2016.08.010</v>
      </c>
      <c r="S1032" s="89" t="s">
        <v>646</v>
      </c>
      <c r="U1032" s="89" t="s">
        <v>17462</v>
      </c>
      <c r="W1032" s="89" t="s">
        <v>646</v>
      </c>
      <c r="X1032" s="89" t="s">
        <v>646</v>
      </c>
      <c r="Y1032" s="89" t="s">
        <v>646</v>
      </c>
      <c r="Z1032" s="89" t="s">
        <v>646</v>
      </c>
      <c r="AA1032" s="89" t="s">
        <v>646</v>
      </c>
      <c r="AB1032" s="89" t="s">
        <v>646</v>
      </c>
      <c r="AC1032" s="89" t="s">
        <v>646</v>
      </c>
      <c r="AD1032" s="89" t="s">
        <v>646</v>
      </c>
      <c r="AE1032" s="89" t="s">
        <v>646</v>
      </c>
      <c r="AF1032" s="89" t="s">
        <v>25457</v>
      </c>
      <c r="AG1032" s="89" t="s">
        <v>646</v>
      </c>
      <c r="AH1032" s="89" t="s">
        <v>646</v>
      </c>
      <c r="AI1032" s="89" t="s">
        <v>646</v>
      </c>
      <c r="AJ1032" s="89" t="s">
        <v>646</v>
      </c>
      <c r="AK1032" s="89" t="s">
        <v>646</v>
      </c>
      <c r="AL1032" s="89" t="s">
        <v>646</v>
      </c>
      <c r="AM1032" s="89" t="s">
        <v>646</v>
      </c>
      <c r="AN1032" s="89" t="s">
        <v>646</v>
      </c>
      <c r="AO1032" s="89" t="s">
        <v>646</v>
      </c>
      <c r="AP1032" s="89" t="s">
        <v>646</v>
      </c>
      <c r="AQ1032" s="89" t="s">
        <v>646</v>
      </c>
      <c r="AR1032" s="89" t="s">
        <v>646</v>
      </c>
      <c r="AS1032" s="89" t="s">
        <v>646</v>
      </c>
      <c r="AT1032" s="89" t="s">
        <v>646</v>
      </c>
      <c r="AU1032" s="89" t="s">
        <v>646</v>
      </c>
      <c r="AV1032" s="89" t="s">
        <v>646</v>
      </c>
      <c r="AW1032" s="89" t="s">
        <v>646</v>
      </c>
      <c r="AX1032" s="89" t="s">
        <v>646</v>
      </c>
      <c r="AY1032" s="89" t="s">
        <v>25458</v>
      </c>
      <c r="AZ1032" s="89" t="s">
        <v>25459</v>
      </c>
      <c r="BA1032" s="89" t="s">
        <v>646</v>
      </c>
      <c r="BB1032" s="89" t="s">
        <v>646</v>
      </c>
      <c r="BC1032" s="89" t="s">
        <v>646</v>
      </c>
      <c r="BD1032" s="89" t="s">
        <v>18655</v>
      </c>
      <c r="BE1032" s="89">
        <v>2017</v>
      </c>
      <c r="BF1032" s="89">
        <v>41</v>
      </c>
      <c r="BG1032" s="89" t="s">
        <v>646</v>
      </c>
      <c r="BH1032" s="89" t="s">
        <v>646</v>
      </c>
      <c r="BI1032" s="89" t="s">
        <v>646</v>
      </c>
      <c r="BJ1032" s="89" t="s">
        <v>646</v>
      </c>
      <c r="BK1032" s="89" t="s">
        <v>646</v>
      </c>
      <c r="BL1032" s="89">
        <v>3</v>
      </c>
      <c r="BM1032" s="89">
        <v>10</v>
      </c>
      <c r="BN1032" s="89" t="s">
        <v>646</v>
      </c>
      <c r="BO1032" s="89" t="str">
        <f>HYPERLINK("http://dx.doi.org/10.1016/j.iccn.2016.08.010","http://dx.doi.org/10.1016/j.iccn.2016.08.010")</f>
        <v>http://dx.doi.org/10.1016/j.iccn.2016.08.010</v>
      </c>
      <c r="BP1032" s="89" t="s">
        <v>646</v>
      </c>
      <c r="BQ1032" s="89" t="s">
        <v>646</v>
      </c>
      <c r="BR1032" s="89" t="s">
        <v>646</v>
      </c>
      <c r="BS1032" s="89" t="s">
        <v>646</v>
      </c>
      <c r="BT1032" s="89" t="s">
        <v>646</v>
      </c>
      <c r="BU1032" s="89" t="s">
        <v>646</v>
      </c>
      <c r="BV1032" s="89" t="s">
        <v>646</v>
      </c>
      <c r="BW1032" s="89">
        <v>28209430</v>
      </c>
      <c r="BX1032" s="89" t="s">
        <v>646</v>
      </c>
      <c r="BY1032" s="89" t="s">
        <v>646</v>
      </c>
      <c r="BZ1032" s="89" t="s">
        <v>646</v>
      </c>
      <c r="CA1032" s="89" t="s">
        <v>646</v>
      </c>
      <c r="CB1032" s="89" t="s">
        <v>25460</v>
      </c>
      <c r="CC1032" s="89" t="str">
        <f>HYPERLINK("https%3A%2F%2Fwww.webofscience.com%2Fwos%2Fwoscc%2Ffull-record%2FWOS:000405251200003","View Full Record in Web of Science")</f>
        <v>View Full Record in Web of Science</v>
      </c>
    </row>
    <row r="1033" spans="1:81" ht="13.2" hidden="1" x14ac:dyDescent="0.25">
      <c r="A1033" s="89" t="s">
        <v>25461</v>
      </c>
      <c r="B1033" s="89" t="e">
        <f>+#REF!</f>
        <v>#REF!</v>
      </c>
      <c r="C1033" s="89"/>
      <c r="D1033" s="91" t="s">
        <v>717</v>
      </c>
      <c r="E1033" s="90" t="e">
        <v>#REF!</v>
      </c>
      <c r="F1033" s="89"/>
      <c r="G1033" s="89"/>
      <c r="H1033" s="89" t="s">
        <v>16233</v>
      </c>
      <c r="I1033" s="89" t="s">
        <v>25462</v>
      </c>
      <c r="J1033" s="89" t="s">
        <v>646</v>
      </c>
      <c r="K1033" s="89" t="s">
        <v>25467</v>
      </c>
      <c r="M1033" s="89">
        <v>2015</v>
      </c>
      <c r="N1033" s="89" t="s">
        <v>25463</v>
      </c>
      <c r="O1033" s="89" t="s">
        <v>646</v>
      </c>
      <c r="P1033" s="89" t="str">
        <f>HYPERLINK("http://dx.doi.org/10.1145/2702123.2702548","http://dx.doi.org/10.1145/2702123.2702548")</f>
        <v>http://dx.doi.org/10.1145/2702123.2702548</v>
      </c>
      <c r="S1033" s="89" t="s">
        <v>17804</v>
      </c>
      <c r="U1033" s="89" t="s">
        <v>17474</v>
      </c>
      <c r="W1033" s="89" t="s">
        <v>646</v>
      </c>
      <c r="X1033" s="89" t="s">
        <v>646</v>
      </c>
      <c r="Y1033" s="89" t="s">
        <v>25464</v>
      </c>
      <c r="Z1033" s="89" t="s">
        <v>25465</v>
      </c>
      <c r="AA1033" s="89" t="s">
        <v>18015</v>
      </c>
      <c r="AB1033" s="89" t="s">
        <v>25466</v>
      </c>
      <c r="AC1033" s="89" t="s">
        <v>646</v>
      </c>
      <c r="AD1033" s="89" t="s">
        <v>646</v>
      </c>
      <c r="AE1033" s="89" t="s">
        <v>646</v>
      </c>
      <c r="AF1033" s="89" t="s">
        <v>25467</v>
      </c>
      <c r="AG1033" s="89" t="s">
        <v>646</v>
      </c>
      <c r="AH1033" s="89" t="s">
        <v>646</v>
      </c>
      <c r="AI1033" s="89" t="s">
        <v>646</v>
      </c>
      <c r="AJ1033" s="89" t="s">
        <v>646</v>
      </c>
      <c r="AK1033" s="89" t="s">
        <v>646</v>
      </c>
      <c r="AL1033" s="89" t="s">
        <v>646</v>
      </c>
      <c r="AM1033" s="89" t="s">
        <v>646</v>
      </c>
      <c r="AN1033" s="89" t="s">
        <v>646</v>
      </c>
      <c r="AO1033" s="89" t="s">
        <v>646</v>
      </c>
      <c r="AP1033" s="89" t="s">
        <v>646</v>
      </c>
      <c r="AQ1033" s="89" t="s">
        <v>646</v>
      </c>
      <c r="AR1033" s="89" t="s">
        <v>646</v>
      </c>
      <c r="AS1033" s="89" t="s">
        <v>646</v>
      </c>
      <c r="AT1033" s="89" t="s">
        <v>646</v>
      </c>
      <c r="AU1033" s="89" t="s">
        <v>646</v>
      </c>
      <c r="AV1033" s="89" t="s">
        <v>646</v>
      </c>
      <c r="AW1033" s="89" t="s">
        <v>646</v>
      </c>
      <c r="AX1033" s="89" t="s">
        <v>646</v>
      </c>
      <c r="AY1033" s="89" t="s">
        <v>646</v>
      </c>
      <c r="AZ1033" s="89" t="s">
        <v>646</v>
      </c>
      <c r="BA1033" s="89" t="s">
        <v>25468</v>
      </c>
      <c r="BB1033" s="89" t="s">
        <v>646</v>
      </c>
      <c r="BC1033" s="89" t="s">
        <v>646</v>
      </c>
      <c r="BD1033" s="89" t="s">
        <v>646</v>
      </c>
      <c r="BE1033" s="89">
        <v>2015</v>
      </c>
      <c r="BF1033" s="89" t="s">
        <v>646</v>
      </c>
      <c r="BG1033" s="89" t="s">
        <v>646</v>
      </c>
      <c r="BH1033" s="89" t="s">
        <v>646</v>
      </c>
      <c r="BI1033" s="89" t="s">
        <v>646</v>
      </c>
      <c r="BJ1033" s="89" t="s">
        <v>646</v>
      </c>
      <c r="BK1033" s="89" t="s">
        <v>646</v>
      </c>
      <c r="BL1033" s="89">
        <v>1603</v>
      </c>
      <c r="BM1033" s="89">
        <v>1612</v>
      </c>
      <c r="BN1033" s="89" t="s">
        <v>646</v>
      </c>
      <c r="BO1033" s="89" t="str">
        <f>HYPERLINK("http://dx.doi.org/10.1145/2702123.2702548","http://dx.doi.org/10.1145/2702123.2702548")</f>
        <v>http://dx.doi.org/10.1145/2702123.2702548</v>
      </c>
      <c r="BP1033" s="89" t="s">
        <v>646</v>
      </c>
      <c r="BQ1033" s="89" t="s">
        <v>646</v>
      </c>
      <c r="BR1033" s="89" t="s">
        <v>646</v>
      </c>
      <c r="BS1033" s="89" t="s">
        <v>646</v>
      </c>
      <c r="BT1033" s="89" t="s">
        <v>646</v>
      </c>
      <c r="BU1033" s="89" t="s">
        <v>646</v>
      </c>
      <c r="BV1033" s="89" t="s">
        <v>646</v>
      </c>
      <c r="BW1033" s="89" t="s">
        <v>646</v>
      </c>
      <c r="BX1033" s="89" t="s">
        <v>646</v>
      </c>
      <c r="BY1033" s="89" t="s">
        <v>646</v>
      </c>
      <c r="BZ1033" s="89" t="s">
        <v>646</v>
      </c>
      <c r="CA1033" s="89" t="s">
        <v>646</v>
      </c>
      <c r="CB1033" s="89" t="s">
        <v>25469</v>
      </c>
      <c r="CC1033" s="89" t="str">
        <f>HYPERLINK("https%3A%2F%2Fwww.webofscience.com%2Fwos%2Fwoscc%2Ffull-record%2FWOS:000412395501077","View Full Record in Web of Science")</f>
        <v>View Full Record in Web of Science</v>
      </c>
    </row>
    <row r="1034" spans="1:81" ht="13.2" hidden="1" x14ac:dyDescent="0.25">
      <c r="A1034" s="89" t="s">
        <v>10765</v>
      </c>
      <c r="B1034" s="89" t="e">
        <f>+#REF!</f>
        <v>#REF!</v>
      </c>
      <c r="C1034" s="89"/>
      <c r="D1034" s="91" t="s">
        <v>717</v>
      </c>
      <c r="E1034" s="90" t="e">
        <v>#REF!</v>
      </c>
      <c r="F1034" s="89"/>
      <c r="G1034" s="89"/>
      <c r="H1034" s="89" t="s">
        <v>10766</v>
      </c>
      <c r="I1034" s="89" t="s">
        <v>25470</v>
      </c>
      <c r="J1034" s="89" t="s">
        <v>646</v>
      </c>
      <c r="K1034" s="89" t="s">
        <v>25472</v>
      </c>
      <c r="M1034" s="89">
        <v>2022</v>
      </c>
      <c r="N1034" s="89" t="s">
        <v>25471</v>
      </c>
      <c r="O1034" s="89" t="s">
        <v>646</v>
      </c>
      <c r="P1034" s="89" t="str">
        <f>HYPERLINK("http://dx.doi.org/10.1111/ijtd.12268","http://dx.doi.org/10.1111/ijtd.12268")</f>
        <v>http://dx.doi.org/10.1111/ijtd.12268</v>
      </c>
      <c r="S1034" s="89" t="s">
        <v>646</v>
      </c>
      <c r="U1034" s="89" t="s">
        <v>17462</v>
      </c>
      <c r="W1034" s="89" t="s">
        <v>646</v>
      </c>
      <c r="X1034" s="89" t="s">
        <v>646</v>
      </c>
      <c r="Y1034" s="89" t="s">
        <v>646</v>
      </c>
      <c r="Z1034" s="89" t="s">
        <v>646</v>
      </c>
      <c r="AA1034" s="89" t="s">
        <v>646</v>
      </c>
      <c r="AB1034" s="89" t="s">
        <v>646</v>
      </c>
      <c r="AC1034" s="89" t="s">
        <v>646</v>
      </c>
      <c r="AD1034" s="89" t="s">
        <v>646</v>
      </c>
      <c r="AE1034" s="89" t="s">
        <v>646</v>
      </c>
      <c r="AF1034" s="89" t="s">
        <v>25472</v>
      </c>
      <c r="AG1034" s="89" t="s">
        <v>646</v>
      </c>
      <c r="AH1034" s="89" t="s">
        <v>646</v>
      </c>
      <c r="AI1034" s="89" t="s">
        <v>646</v>
      </c>
      <c r="AJ1034" s="89" t="s">
        <v>646</v>
      </c>
      <c r="AK1034" s="89" t="s">
        <v>646</v>
      </c>
      <c r="AL1034" s="89" t="s">
        <v>25473</v>
      </c>
      <c r="AM1034" s="89" t="s">
        <v>646</v>
      </c>
      <c r="AN1034" s="89" t="s">
        <v>646</v>
      </c>
      <c r="AO1034" s="89" t="s">
        <v>646</v>
      </c>
      <c r="AP1034" s="89" t="s">
        <v>646</v>
      </c>
      <c r="AQ1034" s="89" t="s">
        <v>646</v>
      </c>
      <c r="AR1034" s="89" t="s">
        <v>646</v>
      </c>
      <c r="AS1034" s="89" t="s">
        <v>646</v>
      </c>
      <c r="AT1034" s="89" t="s">
        <v>646</v>
      </c>
      <c r="AU1034" s="89" t="s">
        <v>646</v>
      </c>
      <c r="AV1034" s="89" t="s">
        <v>646</v>
      </c>
      <c r="AW1034" s="89" t="s">
        <v>646</v>
      </c>
      <c r="AX1034" s="89" t="s">
        <v>646</v>
      </c>
      <c r="AY1034" s="89" t="s">
        <v>25474</v>
      </c>
      <c r="AZ1034" s="89" t="s">
        <v>25475</v>
      </c>
      <c r="BA1034" s="89" t="s">
        <v>646</v>
      </c>
      <c r="BB1034" s="89" t="s">
        <v>646</v>
      </c>
      <c r="BC1034" s="89" t="s">
        <v>646</v>
      </c>
      <c r="BD1034" s="89" t="s">
        <v>17739</v>
      </c>
      <c r="BE1034" s="89">
        <v>2022</v>
      </c>
      <c r="BF1034" s="89">
        <v>26</v>
      </c>
      <c r="BG1034" s="89">
        <v>3</v>
      </c>
      <c r="BH1034" s="89" t="s">
        <v>646</v>
      </c>
      <c r="BI1034" s="89" t="s">
        <v>646</v>
      </c>
      <c r="BJ1034" s="89" t="s">
        <v>646</v>
      </c>
      <c r="BK1034" s="89" t="s">
        <v>646</v>
      </c>
      <c r="BL1034" s="89">
        <v>495</v>
      </c>
      <c r="BM1034" s="89">
        <v>515</v>
      </c>
      <c r="BN1034" s="89" t="s">
        <v>646</v>
      </c>
      <c r="BO1034" s="89" t="str">
        <f>HYPERLINK("http://dx.doi.org/10.1111/ijtd.12268","http://dx.doi.org/10.1111/ijtd.12268")</f>
        <v>http://dx.doi.org/10.1111/ijtd.12268</v>
      </c>
      <c r="BP1034" s="89" t="s">
        <v>646</v>
      </c>
      <c r="BQ1034" s="89" t="s">
        <v>17890</v>
      </c>
      <c r="BR1034" s="89" t="s">
        <v>646</v>
      </c>
      <c r="BS1034" s="89" t="s">
        <v>646</v>
      </c>
      <c r="BT1034" s="89" t="s">
        <v>646</v>
      </c>
      <c r="BU1034" s="89" t="s">
        <v>646</v>
      </c>
      <c r="BV1034" s="89" t="s">
        <v>646</v>
      </c>
      <c r="BW1034" s="89" t="s">
        <v>646</v>
      </c>
      <c r="BX1034" s="89" t="s">
        <v>646</v>
      </c>
      <c r="BY1034" s="89" t="s">
        <v>646</v>
      </c>
      <c r="BZ1034" s="89" t="s">
        <v>646</v>
      </c>
      <c r="CA1034" s="89" t="s">
        <v>646</v>
      </c>
      <c r="CB1034" s="89" t="s">
        <v>25476</v>
      </c>
      <c r="CC1034" s="89" t="str">
        <f>HYPERLINK("https%3A%2F%2Fwww.webofscience.com%2Fwos%2Fwoscc%2Ffull-record%2FWOS:000796025700001","View Full Record in Web of Science")</f>
        <v>View Full Record in Web of Science</v>
      </c>
    </row>
    <row r="1035" spans="1:81" ht="14.4" hidden="1" x14ac:dyDescent="0.3">
      <c r="A1035" s="93" t="s">
        <v>16240</v>
      </c>
      <c r="B1035" s="93" t="e">
        <f>+#REF!</f>
        <v>#REF!</v>
      </c>
      <c r="C1035" s="93"/>
      <c r="D1035" s="91" t="s">
        <v>717</v>
      </c>
      <c r="E1035" s="94" t="e">
        <v>#REF!</v>
      </c>
      <c r="F1035" s="93"/>
      <c r="G1035" s="93"/>
      <c r="H1035" s="89" t="s">
        <v>16241</v>
      </c>
      <c r="I1035" s="89" t="s">
        <v>25477</v>
      </c>
      <c r="J1035" s="89" t="s">
        <v>646</v>
      </c>
      <c r="K1035" s="89" t="s">
        <v>25478</v>
      </c>
      <c r="M1035" s="89">
        <v>2019</v>
      </c>
      <c r="N1035" s="89" t="s">
        <v>19184</v>
      </c>
      <c r="O1035" s="89" t="s">
        <v>646</v>
      </c>
      <c r="P1035" s="89" t="str">
        <f>HYPERLINK("http://dx.doi.org/10.1287/mnsc.2018.3050","http://dx.doi.org/10.1287/mnsc.2018.3050")</f>
        <v>http://dx.doi.org/10.1287/mnsc.2018.3050</v>
      </c>
      <c r="S1035" s="89" t="s">
        <v>646</v>
      </c>
      <c r="U1035" s="89" t="s">
        <v>17462</v>
      </c>
      <c r="W1035" s="89" t="s">
        <v>646</v>
      </c>
      <c r="X1035" s="89" t="s">
        <v>646</v>
      </c>
      <c r="Y1035" s="89" t="s">
        <v>646</v>
      </c>
      <c r="Z1035" s="89" t="s">
        <v>646</v>
      </c>
      <c r="AA1035" s="89" t="s">
        <v>646</v>
      </c>
      <c r="AB1035" s="89" t="s">
        <v>646</v>
      </c>
      <c r="AC1035" s="89" t="s">
        <v>646</v>
      </c>
      <c r="AD1035" s="89" t="s">
        <v>646</v>
      </c>
      <c r="AE1035" s="89" t="s">
        <v>646</v>
      </c>
      <c r="AF1035" s="89" t="s">
        <v>25478</v>
      </c>
      <c r="AG1035" s="89" t="s">
        <v>646</v>
      </c>
      <c r="AH1035" s="89" t="s">
        <v>646</v>
      </c>
      <c r="AI1035" s="89" t="s">
        <v>646</v>
      </c>
      <c r="AJ1035" s="89" t="s">
        <v>646</v>
      </c>
      <c r="AK1035" s="89" t="s">
        <v>646</v>
      </c>
      <c r="AL1035" s="89" t="s">
        <v>25479</v>
      </c>
      <c r="AM1035" s="89" t="s">
        <v>646</v>
      </c>
      <c r="AN1035" s="89" t="s">
        <v>646</v>
      </c>
      <c r="AO1035" s="89" t="s">
        <v>646</v>
      </c>
      <c r="AP1035" s="89" t="s">
        <v>646</v>
      </c>
      <c r="AQ1035" s="89" t="s">
        <v>646</v>
      </c>
      <c r="AR1035" s="89" t="s">
        <v>646</v>
      </c>
      <c r="AS1035" s="89" t="s">
        <v>646</v>
      </c>
      <c r="AT1035" s="89" t="s">
        <v>646</v>
      </c>
      <c r="AU1035" s="89" t="s">
        <v>646</v>
      </c>
      <c r="AV1035" s="89" t="s">
        <v>646</v>
      </c>
      <c r="AW1035" s="89" t="s">
        <v>646</v>
      </c>
      <c r="AX1035" s="89" t="s">
        <v>646</v>
      </c>
      <c r="AY1035" s="89" t="s">
        <v>19187</v>
      </c>
      <c r="AZ1035" s="89" t="s">
        <v>19188</v>
      </c>
      <c r="BA1035" s="89" t="s">
        <v>646</v>
      </c>
      <c r="BB1035" s="89" t="s">
        <v>646</v>
      </c>
      <c r="BC1035" s="89" t="s">
        <v>646</v>
      </c>
      <c r="BD1035" s="89" t="s">
        <v>18436</v>
      </c>
      <c r="BE1035" s="89">
        <v>2019</v>
      </c>
      <c r="BF1035" s="89">
        <v>65</v>
      </c>
      <c r="BG1035" s="89">
        <v>5</v>
      </c>
      <c r="BH1035" s="89" t="s">
        <v>646</v>
      </c>
      <c r="BI1035" s="89" t="s">
        <v>646</v>
      </c>
      <c r="BJ1035" s="89" t="s">
        <v>646</v>
      </c>
      <c r="BK1035" s="89" t="s">
        <v>646</v>
      </c>
      <c r="BL1035" s="89">
        <v>1995</v>
      </c>
      <c r="BM1035" s="89">
        <v>2014</v>
      </c>
      <c r="BN1035" s="89" t="s">
        <v>646</v>
      </c>
      <c r="BO1035" s="89" t="str">
        <f>HYPERLINK("http://dx.doi.org/10.1287/mnsc.2018.3050","http://dx.doi.org/10.1287/mnsc.2018.3050")</f>
        <v>http://dx.doi.org/10.1287/mnsc.2018.3050</v>
      </c>
      <c r="BP1035" s="89" t="s">
        <v>646</v>
      </c>
      <c r="BQ1035" s="89" t="s">
        <v>646</v>
      </c>
      <c r="BR1035" s="89" t="s">
        <v>646</v>
      </c>
      <c r="BS1035" s="89" t="s">
        <v>646</v>
      </c>
      <c r="BT1035" s="89" t="s">
        <v>646</v>
      </c>
      <c r="BU1035" s="89" t="s">
        <v>646</v>
      </c>
      <c r="BV1035" s="89" t="s">
        <v>646</v>
      </c>
      <c r="BW1035" s="89" t="s">
        <v>646</v>
      </c>
      <c r="BX1035" s="89" t="s">
        <v>646</v>
      </c>
      <c r="BY1035" s="89" t="s">
        <v>646</v>
      </c>
      <c r="BZ1035" s="89" t="s">
        <v>646</v>
      </c>
      <c r="CA1035" s="89" t="s">
        <v>646</v>
      </c>
      <c r="CB1035" s="89" t="s">
        <v>25480</v>
      </c>
      <c r="CC1035" s="89" t="str">
        <f>HYPERLINK("https%3A%2F%2Fwww.webofscience.com%2Fwos%2Fwoscc%2Ffull-record%2FWOS:000467797300003","View Full Record in Web of Science")</f>
        <v>View Full Record in Web of Science</v>
      </c>
    </row>
    <row r="1036" spans="1:81" ht="14.4" hidden="1" x14ac:dyDescent="0.3">
      <c r="A1036" s="93" t="s">
        <v>16355</v>
      </c>
      <c r="B1036" s="93" t="e">
        <f>+#REF!</f>
        <v>#REF!</v>
      </c>
      <c r="C1036" s="93"/>
      <c r="D1036" s="91" t="s">
        <v>717</v>
      </c>
      <c r="E1036" s="94" t="e">
        <v>#REF!</v>
      </c>
      <c r="F1036" s="93"/>
      <c r="G1036" s="93"/>
      <c r="H1036" s="89" t="s">
        <v>646</v>
      </c>
      <c r="I1036" s="89" t="s">
        <v>25481</v>
      </c>
      <c r="J1036" s="89" t="s">
        <v>25484</v>
      </c>
      <c r="K1036" s="89" t="s">
        <v>25483</v>
      </c>
      <c r="M1036" s="89">
        <v>2021</v>
      </c>
      <c r="N1036" s="89" t="s">
        <v>25482</v>
      </c>
      <c r="O1036" s="89" t="s">
        <v>646</v>
      </c>
      <c r="P1036" s="89" t="s">
        <v>646</v>
      </c>
      <c r="S1036" s="89" t="s">
        <v>646</v>
      </c>
      <c r="U1036" s="89" t="s">
        <v>17462</v>
      </c>
      <c r="W1036" s="89" t="s">
        <v>646</v>
      </c>
      <c r="X1036" s="89" t="s">
        <v>646</v>
      </c>
      <c r="Y1036" s="89" t="s">
        <v>646</v>
      </c>
      <c r="Z1036" s="89" t="s">
        <v>646</v>
      </c>
      <c r="AA1036" s="89" t="s">
        <v>646</v>
      </c>
      <c r="AB1036" s="89" t="s">
        <v>646</v>
      </c>
      <c r="AC1036" s="89" t="s">
        <v>646</v>
      </c>
      <c r="AD1036" s="89" t="s">
        <v>646</v>
      </c>
      <c r="AE1036" s="89" t="s">
        <v>646</v>
      </c>
      <c r="AF1036" s="89" t="s">
        <v>25483</v>
      </c>
      <c r="AG1036" s="89" t="s">
        <v>646</v>
      </c>
      <c r="AH1036" s="89" t="s">
        <v>646</v>
      </c>
      <c r="AI1036" s="89" t="s">
        <v>646</v>
      </c>
      <c r="AJ1036" s="89" t="s">
        <v>646</v>
      </c>
      <c r="AK1036" s="89" t="s">
        <v>25484</v>
      </c>
      <c r="AL1036" s="89" t="s">
        <v>25485</v>
      </c>
      <c r="AM1036" s="89" t="s">
        <v>646</v>
      </c>
      <c r="AN1036" s="89" t="s">
        <v>646</v>
      </c>
      <c r="AO1036" s="89" t="s">
        <v>646</v>
      </c>
      <c r="AP1036" s="89" t="s">
        <v>646</v>
      </c>
      <c r="AQ1036" s="89" t="s">
        <v>646</v>
      </c>
      <c r="AR1036" s="89" t="s">
        <v>646</v>
      </c>
      <c r="AS1036" s="89" t="s">
        <v>646</v>
      </c>
      <c r="AT1036" s="89" t="s">
        <v>646</v>
      </c>
      <c r="AU1036" s="89" t="s">
        <v>646</v>
      </c>
      <c r="AV1036" s="89" t="s">
        <v>646</v>
      </c>
      <c r="AW1036" s="89" t="s">
        <v>646</v>
      </c>
      <c r="AX1036" s="89" t="s">
        <v>646</v>
      </c>
      <c r="AY1036" s="89" t="s">
        <v>25486</v>
      </c>
      <c r="AZ1036" s="89" t="s">
        <v>25487</v>
      </c>
      <c r="BA1036" s="89" t="s">
        <v>646</v>
      </c>
      <c r="BB1036" s="89" t="s">
        <v>646</v>
      </c>
      <c r="BC1036" s="89" t="s">
        <v>646</v>
      </c>
      <c r="BD1036" s="89" t="s">
        <v>646</v>
      </c>
      <c r="BE1036" s="89">
        <v>2021</v>
      </c>
      <c r="BF1036" s="89">
        <v>22</v>
      </c>
      <c r="BG1036" s="89">
        <v>1</v>
      </c>
      <c r="BH1036" s="89" t="s">
        <v>646</v>
      </c>
      <c r="BI1036" s="89" t="s">
        <v>646</v>
      </c>
      <c r="BJ1036" s="89" t="s">
        <v>646</v>
      </c>
      <c r="BK1036" s="89" t="s">
        <v>646</v>
      </c>
      <c r="BL1036" s="89">
        <v>1</v>
      </c>
      <c r="BM1036" s="89">
        <v>14</v>
      </c>
      <c r="BN1036" s="89" t="s">
        <v>646</v>
      </c>
      <c r="BO1036" s="89" t="s">
        <v>646</v>
      </c>
      <c r="BP1036" s="89" t="s">
        <v>646</v>
      </c>
      <c r="BQ1036" s="89" t="s">
        <v>646</v>
      </c>
      <c r="BR1036" s="89" t="s">
        <v>646</v>
      </c>
      <c r="BS1036" s="89" t="s">
        <v>646</v>
      </c>
      <c r="BT1036" s="89" t="s">
        <v>646</v>
      </c>
      <c r="BU1036" s="89" t="s">
        <v>646</v>
      </c>
      <c r="BV1036" s="89" t="s">
        <v>646</v>
      </c>
      <c r="BW1036" s="89" t="s">
        <v>646</v>
      </c>
      <c r="BX1036" s="89" t="s">
        <v>646</v>
      </c>
      <c r="BY1036" s="89" t="s">
        <v>646</v>
      </c>
      <c r="BZ1036" s="89" t="s">
        <v>646</v>
      </c>
      <c r="CA1036" s="89" t="s">
        <v>646</v>
      </c>
      <c r="CB1036" s="89" t="s">
        <v>25488</v>
      </c>
      <c r="CC1036" s="89" t="str">
        <f>HYPERLINK("https%3A%2F%2Fwww.webofscience.com%2Fwos%2Fwoscc%2Ffull-record%2FWOS:000607976100001","View Full Record in Web of Science")</f>
        <v>View Full Record in Web of Science</v>
      </c>
    </row>
    <row r="1037" spans="1:81" hidden="1" thickBot="1" x14ac:dyDescent="0.3">
      <c r="A1037" s="89" t="s">
        <v>25489</v>
      </c>
      <c r="B1037" s="89" t="e">
        <f>+#REF!</f>
        <v>#REF!</v>
      </c>
      <c r="C1037" s="89"/>
      <c r="D1037" s="95" t="s">
        <v>717</v>
      </c>
      <c r="E1037" s="90" t="e">
        <v>#REF!</v>
      </c>
      <c r="F1037" s="89"/>
      <c r="G1037" s="89"/>
      <c r="H1037" s="89" t="s">
        <v>646</v>
      </c>
      <c r="I1037" s="89" t="s">
        <v>25490</v>
      </c>
      <c r="J1037" s="89" t="s">
        <v>646</v>
      </c>
      <c r="K1037" s="89" t="s">
        <v>10836</v>
      </c>
      <c r="M1037" s="89">
        <v>2011</v>
      </c>
      <c r="N1037" s="89" t="s">
        <v>25491</v>
      </c>
      <c r="O1037" s="89" t="s">
        <v>646</v>
      </c>
      <c r="P1037" s="89" t="s">
        <v>646</v>
      </c>
      <c r="S1037" s="89" t="s">
        <v>19206</v>
      </c>
      <c r="U1037" s="89" t="s">
        <v>17474</v>
      </c>
      <c r="W1037" s="89" t="s">
        <v>646</v>
      </c>
      <c r="X1037" s="89" t="s">
        <v>646</v>
      </c>
      <c r="Y1037" s="89" t="s">
        <v>25492</v>
      </c>
      <c r="Z1037" s="89" t="s">
        <v>25493</v>
      </c>
      <c r="AA1037" s="89" t="s">
        <v>18278</v>
      </c>
      <c r="AB1037" s="89" t="s">
        <v>25494</v>
      </c>
      <c r="AC1037" s="89" t="s">
        <v>646</v>
      </c>
      <c r="AD1037" s="89" t="s">
        <v>646</v>
      </c>
      <c r="AE1037" s="89" t="s">
        <v>646</v>
      </c>
      <c r="AF1037" s="89" t="s">
        <v>10836</v>
      </c>
      <c r="AG1037" s="89" t="s">
        <v>646</v>
      </c>
      <c r="AH1037" s="89" t="s">
        <v>646</v>
      </c>
      <c r="AI1037" s="89" t="s">
        <v>646</v>
      </c>
      <c r="AJ1037" s="89" t="s">
        <v>646</v>
      </c>
      <c r="AK1037" s="89" t="s">
        <v>646</v>
      </c>
      <c r="AL1037" s="89" t="s">
        <v>646</v>
      </c>
      <c r="AM1037" s="89" t="s">
        <v>646</v>
      </c>
      <c r="AN1037" s="89" t="s">
        <v>646</v>
      </c>
      <c r="AO1037" s="89" t="s">
        <v>646</v>
      </c>
      <c r="AP1037" s="89" t="s">
        <v>646</v>
      </c>
      <c r="AQ1037" s="89" t="s">
        <v>646</v>
      </c>
      <c r="AR1037" s="89" t="s">
        <v>646</v>
      </c>
      <c r="AS1037" s="89" t="s">
        <v>646</v>
      </c>
      <c r="AT1037" s="89" t="s">
        <v>646</v>
      </c>
      <c r="AU1037" s="89" t="s">
        <v>646</v>
      </c>
      <c r="AV1037" s="89" t="s">
        <v>646</v>
      </c>
      <c r="AW1037" s="89" t="s">
        <v>646</v>
      </c>
      <c r="AX1037" s="89" t="s">
        <v>646</v>
      </c>
      <c r="AY1037" s="89" t="s">
        <v>646</v>
      </c>
      <c r="AZ1037" s="89" t="s">
        <v>646</v>
      </c>
      <c r="BA1037" s="89" t="s">
        <v>25495</v>
      </c>
      <c r="BB1037" s="89" t="s">
        <v>646</v>
      </c>
      <c r="BC1037" s="89" t="s">
        <v>646</v>
      </c>
      <c r="BD1037" s="89" t="s">
        <v>646</v>
      </c>
      <c r="BE1037" s="89">
        <v>2011</v>
      </c>
      <c r="BF1037" s="89" t="s">
        <v>646</v>
      </c>
      <c r="BG1037" s="89" t="s">
        <v>646</v>
      </c>
      <c r="BH1037" s="89" t="s">
        <v>646</v>
      </c>
      <c r="BI1037" s="89" t="s">
        <v>646</v>
      </c>
      <c r="BJ1037" s="89" t="s">
        <v>646</v>
      </c>
      <c r="BK1037" s="89" t="s">
        <v>646</v>
      </c>
      <c r="BL1037" s="89">
        <v>1257</v>
      </c>
      <c r="BM1037" s="89">
        <v>1258</v>
      </c>
      <c r="BN1037" s="89" t="s">
        <v>646</v>
      </c>
      <c r="BO1037" s="89" t="s">
        <v>646</v>
      </c>
      <c r="BP1037" s="89" t="s">
        <v>646</v>
      </c>
      <c r="BQ1037" s="89" t="s">
        <v>646</v>
      </c>
      <c r="BR1037" s="89" t="s">
        <v>646</v>
      </c>
      <c r="BS1037" s="89" t="s">
        <v>646</v>
      </c>
      <c r="BT1037" s="89" t="s">
        <v>646</v>
      </c>
      <c r="BU1037" s="89" t="s">
        <v>646</v>
      </c>
      <c r="BV1037" s="89" t="s">
        <v>646</v>
      </c>
      <c r="BW1037" s="89" t="s">
        <v>646</v>
      </c>
      <c r="BX1037" s="89" t="s">
        <v>646</v>
      </c>
      <c r="BY1037" s="89" t="s">
        <v>646</v>
      </c>
      <c r="BZ1037" s="89" t="s">
        <v>646</v>
      </c>
      <c r="CA1037" s="89" t="s">
        <v>646</v>
      </c>
      <c r="CB1037" s="89" t="s">
        <v>25496</v>
      </c>
      <c r="CC1037" s="89" t="str">
        <f>HYPERLINK("https%3A%2F%2Fwww.webofscience.com%2Fwos%2Fwoscc%2Ffull-record%2FWOS:000693921300196","View Full Record in Web of Science")</f>
        <v>View Full Record in Web of Science</v>
      </c>
    </row>
  </sheetData>
  <mergeCells count="4">
    <mergeCell ref="AJ2:AM2"/>
    <mergeCell ref="Y3:AD3"/>
    <mergeCell ref="AE3:AI3"/>
    <mergeCell ref="AJ3:AM3"/>
  </mergeCells>
  <conditionalFormatting sqref="H6:H1037">
    <cfRule type="duplicateValues" dxfId="860" priority="1"/>
  </conditionalFormatting>
  <conditionalFormatting sqref="K5 N1038:N1048576">
    <cfRule type="duplicateValues" dxfId="859" priority="3"/>
  </conditionalFormatting>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9533-7258-4853-85C5-D3FBC6A05C42}">
  <sheetPr>
    <tabColor rgb="FFFFC000"/>
  </sheetPr>
  <dimension ref="A1:BI1752"/>
  <sheetViews>
    <sheetView zoomScaleNormal="100" workbookViewId="0">
      <selection activeCell="A44" sqref="A44:V44"/>
    </sheetView>
  </sheetViews>
  <sheetFormatPr defaultColWidth="14.6640625" defaultRowHeight="14.4" x14ac:dyDescent="0.3"/>
  <cols>
    <col min="1" max="1" width="72.44140625" style="23" customWidth="1"/>
    <col min="2" max="2" width="5" style="23" bestFit="1" customWidth="1"/>
    <col min="3" max="3" width="8.44140625" style="23" bestFit="1" customWidth="1"/>
    <col min="4" max="4" width="11.33203125" style="23" bestFit="1" customWidth="1"/>
    <col min="5" max="5" width="8.44140625" style="24" bestFit="1" customWidth="1"/>
    <col min="6" max="6" width="8.44140625" style="23" bestFit="1" customWidth="1"/>
    <col min="7" max="7" width="6" style="23" bestFit="1" customWidth="1"/>
    <col min="8" max="8" width="9.33203125" style="49" customWidth="1"/>
    <col min="9" max="9" width="7.33203125" style="75" bestFit="1" customWidth="1"/>
    <col min="10" max="11" width="9.33203125" style="49" customWidth="1"/>
    <col min="12" max="12" width="8.88671875" style="49" customWidth="1"/>
    <col min="13" max="13" width="11" style="49" customWidth="1"/>
    <col min="14" max="14" width="14.6640625" style="23"/>
    <col min="15" max="15" width="14.6640625" style="49"/>
    <col min="16" max="16" width="14.6640625" style="23"/>
    <col min="17" max="17" width="6.109375" style="23" bestFit="1" customWidth="1"/>
    <col min="18" max="18" width="14.6640625" style="23"/>
    <col min="19" max="19" width="20" style="49" bestFit="1" customWidth="1"/>
    <col min="20" max="20" width="16.6640625" style="49" bestFit="1" customWidth="1"/>
    <col min="21" max="21" width="18.88671875" style="23" bestFit="1" customWidth="1"/>
    <col min="22" max="22" width="8.44140625" style="49" bestFit="1" customWidth="1"/>
    <col min="23" max="23" width="12.33203125" style="49" bestFit="1" customWidth="1"/>
    <col min="24" max="24" width="7.109375" style="49" bestFit="1" customWidth="1"/>
    <col min="25" max="25" width="5.6640625" style="49" bestFit="1" customWidth="1"/>
    <col min="26" max="28" width="14.6640625" style="49"/>
    <col min="29" max="30" width="14.6640625" style="23"/>
    <col min="31" max="16384" width="14.6640625" style="49"/>
  </cols>
  <sheetData>
    <row r="1" spans="1:61" x14ac:dyDescent="0.3">
      <c r="H1" s="50"/>
      <c r="I1" s="51"/>
      <c r="J1" s="50"/>
      <c r="K1" s="50"/>
      <c r="L1" s="50"/>
      <c r="M1" s="50"/>
      <c r="N1" s="50"/>
      <c r="O1" s="50"/>
      <c r="P1" s="50"/>
      <c r="Q1" s="50"/>
      <c r="R1" s="50"/>
      <c r="S1" s="50"/>
      <c r="T1" s="50"/>
      <c r="U1" s="50"/>
      <c r="V1" s="50"/>
      <c r="W1" s="52" t="s">
        <v>1</v>
      </c>
      <c r="X1" s="52" t="s">
        <v>2</v>
      </c>
      <c r="Y1" s="53"/>
      <c r="Z1" s="54"/>
      <c r="AA1" s="54"/>
      <c r="AB1" s="54"/>
      <c r="AC1" s="54"/>
      <c r="AD1" s="54"/>
      <c r="AE1" s="53"/>
      <c r="AF1" s="54"/>
      <c r="AG1" s="54"/>
      <c r="AH1" s="54"/>
      <c r="AI1" s="54"/>
      <c r="AJ1" s="53"/>
      <c r="AK1" s="54"/>
      <c r="AL1" s="54"/>
      <c r="AM1" s="54"/>
    </row>
    <row r="2" spans="1:61" ht="27" x14ac:dyDescent="0.3">
      <c r="H2" s="55"/>
      <c r="I2" s="55"/>
      <c r="J2" s="55"/>
      <c r="K2" s="55"/>
      <c r="L2" s="55"/>
      <c r="M2" s="55"/>
      <c r="N2" s="55"/>
      <c r="O2" s="55"/>
      <c r="P2" s="55"/>
      <c r="Q2" s="55"/>
      <c r="R2" s="55"/>
      <c r="S2" s="55"/>
      <c r="T2" s="55"/>
      <c r="U2" s="55"/>
      <c r="V2" s="55"/>
      <c r="W2" s="56" t="s">
        <v>5</v>
      </c>
      <c r="X2" s="56" t="s">
        <v>6</v>
      </c>
      <c r="Y2" s="57"/>
      <c r="Z2" s="58"/>
      <c r="AA2" s="58"/>
      <c r="AB2" s="58"/>
      <c r="AC2" s="58"/>
      <c r="AD2" s="59"/>
      <c r="AE2" s="57"/>
      <c r="AF2" s="58"/>
      <c r="AG2" s="58"/>
      <c r="AH2" s="58"/>
      <c r="AI2" s="59"/>
      <c r="AJ2" s="316" t="s">
        <v>7</v>
      </c>
      <c r="AK2" s="317"/>
      <c r="AL2" s="317"/>
      <c r="AM2" s="318"/>
    </row>
    <row r="3" spans="1:61" x14ac:dyDescent="0.3">
      <c r="H3" s="50"/>
      <c r="I3" s="51"/>
      <c r="J3" s="50"/>
      <c r="K3" s="50"/>
      <c r="L3" s="50"/>
      <c r="M3" s="50"/>
      <c r="N3" s="50"/>
      <c r="O3" s="50"/>
      <c r="P3" s="50"/>
      <c r="Q3" s="50"/>
      <c r="R3" s="50"/>
      <c r="S3" s="50"/>
      <c r="T3" s="50"/>
      <c r="U3" s="50"/>
      <c r="V3" s="50"/>
      <c r="W3" s="52" t="s">
        <v>9</v>
      </c>
      <c r="X3" s="52" t="s">
        <v>10</v>
      </c>
      <c r="Y3" s="319" t="s">
        <v>11</v>
      </c>
      <c r="Z3" s="320"/>
      <c r="AA3" s="320"/>
      <c r="AB3" s="320"/>
      <c r="AC3" s="320"/>
      <c r="AD3" s="321"/>
      <c r="AE3" s="319" t="s">
        <v>12</v>
      </c>
      <c r="AF3" s="320"/>
      <c r="AG3" s="320"/>
      <c r="AH3" s="320"/>
      <c r="AI3" s="321"/>
      <c r="AJ3" s="319" t="s">
        <v>13</v>
      </c>
      <c r="AK3" s="320"/>
      <c r="AL3" s="320"/>
      <c r="AM3" s="322"/>
    </row>
    <row r="4" spans="1:61" ht="102" thickBot="1" x14ac:dyDescent="0.35">
      <c r="H4" s="60" t="s">
        <v>315</v>
      </c>
      <c r="I4" s="61" t="s">
        <v>316</v>
      </c>
      <c r="J4" s="61" t="s">
        <v>317</v>
      </c>
      <c r="K4" s="61" t="s">
        <v>318</v>
      </c>
      <c r="L4" s="61" t="s">
        <v>319</v>
      </c>
      <c r="M4" s="61" t="s">
        <v>320</v>
      </c>
      <c r="N4" s="61" t="s">
        <v>321</v>
      </c>
      <c r="O4" s="61" t="s">
        <v>322</v>
      </c>
      <c r="P4" s="61" t="s">
        <v>323</v>
      </c>
      <c r="Q4" s="61" t="s">
        <v>324</v>
      </c>
      <c r="R4" s="61" t="s">
        <v>325</v>
      </c>
      <c r="S4" s="61" t="s">
        <v>326</v>
      </c>
      <c r="T4" s="61" t="s">
        <v>327</v>
      </c>
      <c r="U4" s="61" t="s">
        <v>328</v>
      </c>
      <c r="V4" s="61" t="s">
        <v>329</v>
      </c>
      <c r="W4" s="62" t="s">
        <v>330</v>
      </c>
      <c r="X4" s="62" t="s">
        <v>331</v>
      </c>
      <c r="Y4" s="63" t="s">
        <v>332</v>
      </c>
      <c r="Z4" s="62" t="s">
        <v>333</v>
      </c>
      <c r="AA4" s="62" t="s">
        <v>334</v>
      </c>
      <c r="AB4" s="62" t="s">
        <v>335</v>
      </c>
      <c r="AC4" s="62" t="s">
        <v>336</v>
      </c>
      <c r="AD4" s="62" t="s">
        <v>337</v>
      </c>
      <c r="AE4" s="63" t="s">
        <v>338</v>
      </c>
      <c r="AF4" s="62" t="s">
        <v>339</v>
      </c>
      <c r="AG4" s="62" t="s">
        <v>340</v>
      </c>
      <c r="AH4" s="62" t="s">
        <v>341</v>
      </c>
      <c r="AI4" s="62" t="s">
        <v>342</v>
      </c>
      <c r="AJ4" s="63" t="s">
        <v>343</v>
      </c>
      <c r="AK4" s="62" t="s">
        <v>344</v>
      </c>
      <c r="AL4" s="62" t="s">
        <v>345</v>
      </c>
      <c r="AM4" s="62" t="s">
        <v>346</v>
      </c>
    </row>
    <row r="5" spans="1:61" s="65" customFormat="1" ht="83.4" customHeight="1" thickBot="1" x14ac:dyDescent="0.35">
      <c r="A5" s="65" t="s">
        <v>309</v>
      </c>
      <c r="B5" s="64" t="s">
        <v>310</v>
      </c>
      <c r="C5" s="66" t="s">
        <v>1725</v>
      </c>
      <c r="D5" s="67" t="s">
        <v>1726</v>
      </c>
      <c r="E5" s="68" t="s">
        <v>1727</v>
      </c>
      <c r="F5" s="69" t="s">
        <v>1728</v>
      </c>
      <c r="G5" s="66" t="s">
        <v>1729</v>
      </c>
      <c r="H5" s="65" t="s">
        <v>315</v>
      </c>
      <c r="I5" s="65" t="s">
        <v>316</v>
      </c>
      <c r="J5" s="65" t="s">
        <v>317</v>
      </c>
      <c r="K5" s="65" t="s">
        <v>318</v>
      </c>
      <c r="L5" s="61" t="s">
        <v>319</v>
      </c>
      <c r="M5" s="71" t="s">
        <v>320</v>
      </c>
      <c r="N5" s="65" t="s">
        <v>321</v>
      </c>
      <c r="O5" s="65" t="s">
        <v>322</v>
      </c>
      <c r="P5" s="65" t="s">
        <v>323</v>
      </c>
      <c r="Q5" s="61" t="s">
        <v>324</v>
      </c>
      <c r="R5" s="65" t="s">
        <v>325</v>
      </c>
      <c r="S5" s="65" t="s">
        <v>326</v>
      </c>
      <c r="T5" s="65" t="s">
        <v>327</v>
      </c>
      <c r="U5" s="65" t="s">
        <v>328</v>
      </c>
      <c r="V5" s="70" t="s">
        <v>16734</v>
      </c>
      <c r="W5" s="65" t="s">
        <v>16695</v>
      </c>
      <c r="X5" s="65" t="s">
        <v>16696</v>
      </c>
      <c r="Y5" s="65" t="s">
        <v>16697</v>
      </c>
      <c r="Z5" s="65" t="s">
        <v>16698</v>
      </c>
      <c r="AA5" s="65" t="s">
        <v>16699</v>
      </c>
      <c r="AB5" s="65" t="s">
        <v>16700</v>
      </c>
      <c r="AC5" s="65" t="s">
        <v>16701</v>
      </c>
      <c r="AD5" s="65" t="s">
        <v>16702</v>
      </c>
      <c r="AE5" s="65" t="s">
        <v>16703</v>
      </c>
      <c r="AF5" s="65" t="s">
        <v>16704</v>
      </c>
      <c r="AG5" s="65" t="s">
        <v>16705</v>
      </c>
      <c r="AH5" s="65" t="s">
        <v>16706</v>
      </c>
      <c r="AI5" s="65" t="s">
        <v>16707</v>
      </c>
      <c r="AJ5" s="65" t="s">
        <v>16708</v>
      </c>
      <c r="AK5" s="65" t="s">
        <v>16709</v>
      </c>
      <c r="AL5" s="65" t="s">
        <v>16710</v>
      </c>
      <c r="AM5" s="65" t="s">
        <v>16711</v>
      </c>
      <c r="AN5" s="65" t="s">
        <v>16712</v>
      </c>
      <c r="AO5" s="65" t="s">
        <v>16713</v>
      </c>
      <c r="AP5" s="65" t="s">
        <v>16714</v>
      </c>
      <c r="AQ5" s="65" t="s">
        <v>16715</v>
      </c>
      <c r="AR5" s="65" t="s">
        <v>16716</v>
      </c>
      <c r="AS5" s="65" t="s">
        <v>16717</v>
      </c>
      <c r="AT5" s="65" t="s">
        <v>16718</v>
      </c>
      <c r="AU5" s="65" t="s">
        <v>16719</v>
      </c>
      <c r="AV5" s="65" t="s">
        <v>16720</v>
      </c>
      <c r="AW5" s="65" t="s">
        <v>16721</v>
      </c>
      <c r="AX5" s="65" t="s">
        <v>16722</v>
      </c>
      <c r="AY5" s="65" t="s">
        <v>16723</v>
      </c>
      <c r="AZ5" s="65" t="s">
        <v>16724</v>
      </c>
      <c r="BA5" s="65" t="s">
        <v>16725</v>
      </c>
      <c r="BB5" s="65" t="s">
        <v>16726</v>
      </c>
      <c r="BC5" s="65" t="s">
        <v>16727</v>
      </c>
      <c r="BD5" s="65" t="s">
        <v>16728</v>
      </c>
      <c r="BE5" s="65" t="s">
        <v>16729</v>
      </c>
      <c r="BF5" s="65" t="s">
        <v>16730</v>
      </c>
      <c r="BG5" s="65" t="s">
        <v>16731</v>
      </c>
      <c r="BH5" s="65" t="s">
        <v>16732</v>
      </c>
      <c r="BI5" s="65" t="s">
        <v>16733</v>
      </c>
    </row>
    <row r="6" spans="1:61" hidden="1" x14ac:dyDescent="0.3">
      <c r="A6" s="49" t="s">
        <v>1730</v>
      </c>
      <c r="B6" s="49">
        <v>0</v>
      </c>
      <c r="C6" s="49"/>
      <c r="D6" s="72" t="e">
        <v>#N/A</v>
      </c>
      <c r="E6" s="73">
        <v>0</v>
      </c>
      <c r="F6" s="49"/>
      <c r="G6" s="49"/>
      <c r="H6" s="49" t="s">
        <v>1731</v>
      </c>
      <c r="I6" s="49" t="s">
        <v>1735</v>
      </c>
      <c r="J6" s="49" t="s">
        <v>1732</v>
      </c>
      <c r="K6" s="49" t="s">
        <v>1733</v>
      </c>
      <c r="L6" s="49">
        <v>0</v>
      </c>
      <c r="M6" s="49" t="s">
        <v>1734</v>
      </c>
      <c r="N6" s="49" t="s">
        <v>1736</v>
      </c>
      <c r="P6" s="49" t="s">
        <v>1737</v>
      </c>
      <c r="Q6" s="49">
        <v>0</v>
      </c>
      <c r="R6" s="49" t="s">
        <v>1738</v>
      </c>
      <c r="S6" s="49" t="s">
        <v>1739</v>
      </c>
      <c r="T6" s="49" t="s">
        <v>1740</v>
      </c>
      <c r="U6" s="49" t="s">
        <v>655</v>
      </c>
      <c r="V6" s="49" t="e">
        <v>#REF!</v>
      </c>
      <c r="AC6" s="49"/>
      <c r="AD6" s="49"/>
    </row>
    <row r="7" spans="1:61" hidden="1" x14ac:dyDescent="0.3">
      <c r="A7" s="49" t="s">
        <v>1741</v>
      </c>
      <c r="B7" s="49">
        <v>0</v>
      </c>
      <c r="C7" s="49"/>
      <c r="D7" s="72" t="e">
        <v>#N/A</v>
      </c>
      <c r="E7" s="73">
        <v>0</v>
      </c>
      <c r="F7" s="49"/>
      <c r="G7" s="49"/>
      <c r="H7" s="49" t="s">
        <v>1742</v>
      </c>
      <c r="I7" s="49" t="s">
        <v>1746</v>
      </c>
      <c r="J7" s="49" t="s">
        <v>1743</v>
      </c>
      <c r="K7" s="49" t="s">
        <v>1744</v>
      </c>
      <c r="L7" s="49">
        <v>0</v>
      </c>
      <c r="M7" s="49" t="s">
        <v>1745</v>
      </c>
      <c r="N7" s="49" t="s">
        <v>1747</v>
      </c>
      <c r="O7" s="49">
        <v>1</v>
      </c>
      <c r="P7" s="49" t="s">
        <v>1748</v>
      </c>
      <c r="Q7" s="49">
        <v>0</v>
      </c>
      <c r="R7" s="49" t="s">
        <v>1749</v>
      </c>
      <c r="S7" s="49" t="s">
        <v>1750</v>
      </c>
      <c r="T7" s="49" t="s">
        <v>646</v>
      </c>
      <c r="U7" s="49" t="s">
        <v>655</v>
      </c>
      <c r="V7" s="49" t="e">
        <v>#REF!</v>
      </c>
      <c r="AC7" s="49"/>
      <c r="AD7" s="49"/>
    </row>
    <row r="8" spans="1:61" hidden="1" x14ac:dyDescent="0.3">
      <c r="A8" s="49" t="s">
        <v>1751</v>
      </c>
      <c r="B8" s="49">
        <v>0</v>
      </c>
      <c r="C8" s="49"/>
      <c r="D8" s="72" t="e">
        <v>#N/A</v>
      </c>
      <c r="E8" s="73">
        <v>0</v>
      </c>
      <c r="F8" s="49"/>
      <c r="G8" s="49"/>
      <c r="H8" s="49" t="s">
        <v>646</v>
      </c>
      <c r="I8" s="49" t="s">
        <v>826</v>
      </c>
      <c r="J8" s="49" t="s">
        <v>827</v>
      </c>
      <c r="K8" s="49" t="s">
        <v>1752</v>
      </c>
      <c r="L8" s="49">
        <v>0</v>
      </c>
      <c r="M8" s="49" t="s">
        <v>1734</v>
      </c>
      <c r="N8" s="49" t="s">
        <v>1382</v>
      </c>
      <c r="P8" s="49" t="s">
        <v>1753</v>
      </c>
      <c r="Q8" s="49">
        <v>0</v>
      </c>
      <c r="R8" s="49" t="s">
        <v>646</v>
      </c>
      <c r="S8" s="49" t="s">
        <v>646</v>
      </c>
      <c r="T8" s="49" t="s">
        <v>646</v>
      </c>
      <c r="U8" s="49" t="s">
        <v>830</v>
      </c>
      <c r="V8" s="49" t="e">
        <v>#REF!</v>
      </c>
      <c r="AC8" s="49"/>
      <c r="AD8" s="49"/>
    </row>
    <row r="9" spans="1:61" hidden="1" x14ac:dyDescent="0.3">
      <c r="A9" s="49" t="s">
        <v>1754</v>
      </c>
      <c r="B9" s="49">
        <v>0</v>
      </c>
      <c r="C9" s="49"/>
      <c r="D9" s="72" t="e">
        <v>#N/A</v>
      </c>
      <c r="E9" s="73">
        <v>0</v>
      </c>
      <c r="F9" s="49"/>
      <c r="G9" s="49"/>
      <c r="H9" s="49" t="s">
        <v>646</v>
      </c>
      <c r="I9" s="49" t="s">
        <v>826</v>
      </c>
      <c r="J9" s="49" t="s">
        <v>827</v>
      </c>
      <c r="K9" s="49" t="s">
        <v>1755</v>
      </c>
      <c r="L9" s="49">
        <v>0</v>
      </c>
      <c r="M9" s="49" t="s">
        <v>1745</v>
      </c>
      <c r="N9" s="49" t="s">
        <v>818</v>
      </c>
      <c r="P9" s="49" t="s">
        <v>1756</v>
      </c>
      <c r="Q9" s="49">
        <v>0</v>
      </c>
      <c r="R9" s="49" t="s">
        <v>646</v>
      </c>
      <c r="S9" s="49" t="s">
        <v>646</v>
      </c>
      <c r="T9" s="49" t="s">
        <v>646</v>
      </c>
      <c r="U9" s="49" t="s">
        <v>830</v>
      </c>
      <c r="V9" s="49" t="e">
        <v>#REF!</v>
      </c>
      <c r="AC9" s="49"/>
      <c r="AD9" s="49"/>
    </row>
    <row r="10" spans="1:61" hidden="1" x14ac:dyDescent="0.3">
      <c r="A10" s="49" t="s">
        <v>1757</v>
      </c>
      <c r="B10" s="49">
        <v>0</v>
      </c>
      <c r="C10" s="49"/>
      <c r="D10" s="72" t="e">
        <v>#N/A</v>
      </c>
      <c r="E10" s="73">
        <v>0</v>
      </c>
      <c r="F10" s="49"/>
      <c r="G10" s="49"/>
      <c r="H10" s="49" t="s">
        <v>646</v>
      </c>
      <c r="I10" s="49" t="s">
        <v>826</v>
      </c>
      <c r="J10" s="49" t="s">
        <v>827</v>
      </c>
      <c r="K10" s="49" t="s">
        <v>1758</v>
      </c>
      <c r="L10" s="49">
        <v>0</v>
      </c>
      <c r="M10" s="49" t="s">
        <v>1734</v>
      </c>
      <c r="N10" s="49" t="s">
        <v>818</v>
      </c>
      <c r="P10" s="49" t="s">
        <v>1759</v>
      </c>
      <c r="Q10" s="49">
        <v>0</v>
      </c>
      <c r="R10" s="49" t="s">
        <v>646</v>
      </c>
      <c r="S10" s="49" t="s">
        <v>646</v>
      </c>
      <c r="T10" s="49" t="s">
        <v>646</v>
      </c>
      <c r="U10" s="49" t="s">
        <v>830</v>
      </c>
      <c r="V10" s="49" t="e">
        <v>#REF!</v>
      </c>
      <c r="AC10" s="49"/>
      <c r="AD10" s="49"/>
    </row>
    <row r="11" spans="1:61" hidden="1" x14ac:dyDescent="0.3">
      <c r="A11" s="49" t="s">
        <v>1760</v>
      </c>
      <c r="B11" s="49">
        <v>0</v>
      </c>
      <c r="C11" s="49"/>
      <c r="D11" s="72" t="e">
        <v>#N/A</v>
      </c>
      <c r="E11" s="73">
        <v>0</v>
      </c>
      <c r="F11" s="49"/>
      <c r="G11" s="49"/>
      <c r="H11" s="49" t="s">
        <v>1761</v>
      </c>
      <c r="I11" s="49" t="s">
        <v>1765</v>
      </c>
      <c r="J11" s="49" t="s">
        <v>1762</v>
      </c>
      <c r="K11" s="49" t="s">
        <v>1763</v>
      </c>
      <c r="L11" s="49">
        <v>0</v>
      </c>
      <c r="M11" s="49" t="s">
        <v>1764</v>
      </c>
      <c r="N11" s="49" t="s">
        <v>1766</v>
      </c>
      <c r="O11" s="49">
        <v>20</v>
      </c>
      <c r="P11" s="49" t="s">
        <v>1767</v>
      </c>
      <c r="Q11" s="49">
        <v>0</v>
      </c>
      <c r="R11" s="49" t="s">
        <v>1768</v>
      </c>
      <c r="S11" s="49" t="s">
        <v>1769</v>
      </c>
      <c r="T11" s="49" t="s">
        <v>1770</v>
      </c>
      <c r="U11" s="49" t="s">
        <v>655</v>
      </c>
      <c r="V11" s="49" t="e">
        <v>#REF!</v>
      </c>
      <c r="AC11" s="49"/>
      <c r="AD11" s="49"/>
    </row>
    <row r="12" spans="1:61" x14ac:dyDescent="0.3">
      <c r="A12" s="49" t="s">
        <v>1772</v>
      </c>
      <c r="B12" s="49" t="s">
        <v>1771</v>
      </c>
      <c r="C12" s="49">
        <v>1</v>
      </c>
      <c r="D12" s="72" t="s">
        <v>1773</v>
      </c>
      <c r="E12" s="74">
        <v>1</v>
      </c>
      <c r="F12" s="73">
        <v>1</v>
      </c>
      <c r="G12" s="49">
        <v>1</v>
      </c>
      <c r="H12" s="49" t="s">
        <v>1774</v>
      </c>
      <c r="I12" s="49" t="s">
        <v>1778</v>
      </c>
      <c r="J12" s="49" t="s">
        <v>1775</v>
      </c>
      <c r="K12" s="49" t="s">
        <v>1776</v>
      </c>
      <c r="L12" s="49">
        <v>0</v>
      </c>
      <c r="M12" s="75" t="s">
        <v>1777</v>
      </c>
      <c r="N12" s="49" t="s">
        <v>1779</v>
      </c>
      <c r="O12" s="49">
        <v>24</v>
      </c>
      <c r="P12" s="49" t="s">
        <v>1780</v>
      </c>
      <c r="Q12" s="49">
        <v>0</v>
      </c>
      <c r="R12" s="49" t="s">
        <v>1781</v>
      </c>
      <c r="S12" s="49" t="s">
        <v>1782</v>
      </c>
      <c r="T12" s="49" t="s">
        <v>1783</v>
      </c>
      <c r="U12" s="49" t="s">
        <v>655</v>
      </c>
      <c r="V12" s="49" t="e">
        <v>#REF!</v>
      </c>
      <c r="AC12" s="49"/>
      <c r="AD12" s="49"/>
    </row>
    <row r="13" spans="1:61" hidden="1" x14ac:dyDescent="0.3">
      <c r="A13" s="49" t="s">
        <v>1784</v>
      </c>
      <c r="B13" s="49">
        <v>0</v>
      </c>
      <c r="C13" s="49"/>
      <c r="D13" s="72" t="e">
        <v>#N/A</v>
      </c>
      <c r="E13" s="73">
        <v>0</v>
      </c>
      <c r="F13" s="49"/>
      <c r="G13" s="49"/>
      <c r="H13" s="49" t="s">
        <v>1785</v>
      </c>
      <c r="I13" s="49" t="s">
        <v>1788</v>
      </c>
      <c r="J13" s="49" t="s">
        <v>1786</v>
      </c>
      <c r="K13" s="49" t="s">
        <v>1787</v>
      </c>
      <c r="L13" s="49">
        <v>0</v>
      </c>
      <c r="M13" s="49" t="s">
        <v>1745</v>
      </c>
      <c r="N13" s="49" t="s">
        <v>1789</v>
      </c>
      <c r="O13" s="49">
        <v>6</v>
      </c>
      <c r="P13" s="49" t="s">
        <v>1790</v>
      </c>
      <c r="Q13" s="49">
        <v>0</v>
      </c>
      <c r="R13" s="49" t="s">
        <v>1791</v>
      </c>
      <c r="S13" s="49" t="s">
        <v>1792</v>
      </c>
      <c r="T13" s="49" t="s">
        <v>1793</v>
      </c>
      <c r="U13" s="49" t="s">
        <v>655</v>
      </c>
      <c r="V13" s="49" t="e">
        <v>#REF!</v>
      </c>
      <c r="AC13" s="49"/>
      <c r="AD13" s="49"/>
    </row>
    <row r="14" spans="1:61" hidden="1" x14ac:dyDescent="0.3">
      <c r="A14" s="49" t="s">
        <v>1794</v>
      </c>
      <c r="B14" s="49">
        <v>0</v>
      </c>
      <c r="C14" s="49"/>
      <c r="D14" s="72" t="e">
        <v>#N/A</v>
      </c>
      <c r="E14" s="74">
        <v>1</v>
      </c>
      <c r="F14" s="73">
        <v>0</v>
      </c>
      <c r="G14" s="49"/>
      <c r="H14" s="49" t="s">
        <v>1795</v>
      </c>
      <c r="I14" s="49" t="s">
        <v>1798</v>
      </c>
      <c r="J14" s="49" t="s">
        <v>1796</v>
      </c>
      <c r="K14" s="49" t="s">
        <v>1797</v>
      </c>
      <c r="L14" s="49">
        <v>0</v>
      </c>
      <c r="M14" s="49" t="s">
        <v>1745</v>
      </c>
      <c r="N14" s="49" t="s">
        <v>1799</v>
      </c>
      <c r="O14" s="49">
        <v>1</v>
      </c>
      <c r="P14" s="49" t="s">
        <v>1800</v>
      </c>
      <c r="Q14" s="49">
        <v>0</v>
      </c>
      <c r="R14" s="49" t="s">
        <v>1801</v>
      </c>
      <c r="S14" s="49" t="s">
        <v>1802</v>
      </c>
      <c r="T14" s="49" t="s">
        <v>1803</v>
      </c>
      <c r="U14" s="49" t="s">
        <v>655</v>
      </c>
      <c r="V14" s="49" t="e">
        <v>#REF!</v>
      </c>
      <c r="AC14" s="49"/>
      <c r="AD14" s="49"/>
    </row>
    <row r="15" spans="1:61" hidden="1" x14ac:dyDescent="0.3">
      <c r="A15" s="49" t="s">
        <v>1804</v>
      </c>
      <c r="B15" s="49">
        <v>0</v>
      </c>
      <c r="C15" s="49"/>
      <c r="D15" s="72" t="e">
        <v>#N/A</v>
      </c>
      <c r="E15" s="73">
        <v>0</v>
      </c>
      <c r="F15" s="49"/>
      <c r="G15" s="49"/>
      <c r="H15" s="49" t="s">
        <v>1805</v>
      </c>
      <c r="I15" s="49" t="s">
        <v>1808</v>
      </c>
      <c r="J15" s="49" t="s">
        <v>1806</v>
      </c>
      <c r="K15" s="49" t="s">
        <v>1807</v>
      </c>
      <c r="L15" s="49">
        <v>0</v>
      </c>
      <c r="M15" s="49" t="s">
        <v>1734</v>
      </c>
      <c r="N15" s="49" t="s">
        <v>1809</v>
      </c>
      <c r="P15" s="49" t="s">
        <v>1810</v>
      </c>
      <c r="Q15" s="49">
        <v>0</v>
      </c>
      <c r="R15" s="49" t="s">
        <v>1811</v>
      </c>
      <c r="S15" s="49" t="s">
        <v>1812</v>
      </c>
      <c r="T15" s="49" t="s">
        <v>1813</v>
      </c>
      <c r="U15" s="49" t="s">
        <v>655</v>
      </c>
      <c r="V15" s="49" t="e">
        <v>#REF!</v>
      </c>
      <c r="AC15" s="49"/>
      <c r="AD15" s="49"/>
    </row>
    <row r="16" spans="1:61" hidden="1" x14ac:dyDescent="0.3">
      <c r="A16" s="49" t="s">
        <v>1814</v>
      </c>
      <c r="B16" s="49">
        <v>0</v>
      </c>
      <c r="C16" s="49"/>
      <c r="D16" s="72" t="e">
        <v>#N/A</v>
      </c>
      <c r="E16" s="73">
        <v>0</v>
      </c>
      <c r="F16" s="49"/>
      <c r="G16" s="49"/>
      <c r="H16" s="49" t="s">
        <v>646</v>
      </c>
      <c r="I16" s="49" t="s">
        <v>1818</v>
      </c>
      <c r="J16" s="49" t="s">
        <v>1815</v>
      </c>
      <c r="K16" s="49" t="s">
        <v>1816</v>
      </c>
      <c r="L16" s="49">
        <v>0</v>
      </c>
      <c r="M16" s="49" t="s">
        <v>1817</v>
      </c>
      <c r="N16" s="49" t="s">
        <v>1819</v>
      </c>
      <c r="O16" s="49">
        <v>30</v>
      </c>
      <c r="P16" s="49" t="s">
        <v>1820</v>
      </c>
      <c r="Q16" s="49">
        <v>0</v>
      </c>
      <c r="R16" s="49" t="s">
        <v>1821</v>
      </c>
      <c r="S16" s="49" t="s">
        <v>1822</v>
      </c>
      <c r="T16" s="49" t="s">
        <v>646</v>
      </c>
      <c r="U16" s="49" t="s">
        <v>670</v>
      </c>
      <c r="V16" s="49" t="e">
        <v>#REF!</v>
      </c>
      <c r="AC16" s="49"/>
      <c r="AD16" s="49"/>
    </row>
    <row r="17" spans="1:30" hidden="1" x14ac:dyDescent="0.3">
      <c r="A17" s="49" t="s">
        <v>1823</v>
      </c>
      <c r="B17" s="49">
        <v>0</v>
      </c>
      <c r="C17" s="49"/>
      <c r="D17" s="72" t="e">
        <v>#N/A</v>
      </c>
      <c r="E17" s="73">
        <v>0</v>
      </c>
      <c r="F17" s="49"/>
      <c r="G17" s="49"/>
      <c r="H17" s="49" t="s">
        <v>646</v>
      </c>
      <c r="I17" s="49" t="s">
        <v>1827</v>
      </c>
      <c r="J17" s="49" t="s">
        <v>1824</v>
      </c>
      <c r="K17" s="49" t="s">
        <v>1825</v>
      </c>
      <c r="L17" s="49">
        <v>0</v>
      </c>
      <c r="M17" s="49" t="s">
        <v>1826</v>
      </c>
      <c r="N17" s="49" t="s">
        <v>1828</v>
      </c>
      <c r="O17" s="49">
        <v>3</v>
      </c>
      <c r="P17" s="49" t="s">
        <v>1829</v>
      </c>
      <c r="Q17" s="49">
        <v>0</v>
      </c>
      <c r="R17" s="49" t="s">
        <v>1830</v>
      </c>
      <c r="S17" s="49" t="s">
        <v>1831</v>
      </c>
      <c r="T17" s="49" t="s">
        <v>646</v>
      </c>
      <c r="U17" s="49" t="s">
        <v>670</v>
      </c>
      <c r="V17" s="49" t="e">
        <v>#REF!</v>
      </c>
      <c r="AC17" s="49"/>
      <c r="AD17" s="49"/>
    </row>
    <row r="18" spans="1:30" hidden="1" x14ac:dyDescent="0.3">
      <c r="A18" s="49" t="s">
        <v>1832</v>
      </c>
      <c r="B18" s="49">
        <v>0</v>
      </c>
      <c r="C18" s="49">
        <v>1</v>
      </c>
      <c r="D18" s="72" t="e">
        <v>#N/A</v>
      </c>
      <c r="E18" s="74" t="s">
        <v>645</v>
      </c>
      <c r="F18" s="73" t="s">
        <v>645</v>
      </c>
      <c r="G18" s="49">
        <v>0</v>
      </c>
      <c r="H18" s="49" t="s">
        <v>1833</v>
      </c>
      <c r="I18" s="49" t="s">
        <v>1836</v>
      </c>
      <c r="J18" s="49" t="s">
        <v>1834</v>
      </c>
      <c r="K18" s="49" t="s">
        <v>1835</v>
      </c>
      <c r="L18" s="49">
        <v>0</v>
      </c>
      <c r="M18" s="75" t="s">
        <v>1734</v>
      </c>
      <c r="N18" s="49" t="s">
        <v>1837</v>
      </c>
      <c r="P18" s="49" t="s">
        <v>1838</v>
      </c>
      <c r="Q18" s="49">
        <v>0</v>
      </c>
      <c r="R18" s="49" t="s">
        <v>1839</v>
      </c>
      <c r="S18" s="49" t="s">
        <v>1840</v>
      </c>
      <c r="T18" s="49" t="s">
        <v>1841</v>
      </c>
      <c r="U18" s="49" t="s">
        <v>655</v>
      </c>
      <c r="V18" s="49" t="e">
        <v>#REF!</v>
      </c>
      <c r="AC18" s="49"/>
      <c r="AD18" s="49"/>
    </row>
    <row r="19" spans="1:30" hidden="1" x14ac:dyDescent="0.3">
      <c r="A19" s="49" t="s">
        <v>1842</v>
      </c>
      <c r="B19" s="49">
        <v>0</v>
      </c>
      <c r="C19" s="49">
        <v>1</v>
      </c>
      <c r="D19" s="72" t="e">
        <v>#N/A</v>
      </c>
      <c r="E19" s="74" t="s">
        <v>645</v>
      </c>
      <c r="F19" s="73">
        <v>1</v>
      </c>
      <c r="G19" s="49">
        <v>0</v>
      </c>
      <c r="H19" s="49" t="s">
        <v>1843</v>
      </c>
      <c r="I19" s="49" t="s">
        <v>1846</v>
      </c>
      <c r="J19" s="49" t="s">
        <v>1844</v>
      </c>
      <c r="K19" s="49" t="s">
        <v>1845</v>
      </c>
      <c r="L19" s="49">
        <v>0</v>
      </c>
      <c r="M19" s="75" t="s">
        <v>1745</v>
      </c>
      <c r="N19" s="49" t="s">
        <v>1847</v>
      </c>
      <c r="O19" s="49">
        <v>1</v>
      </c>
      <c r="P19" s="49" t="s">
        <v>1848</v>
      </c>
      <c r="Q19" s="49">
        <v>0</v>
      </c>
      <c r="R19" s="49" t="s">
        <v>1849</v>
      </c>
      <c r="S19" s="49" t="s">
        <v>1850</v>
      </c>
      <c r="T19" s="49" t="s">
        <v>646</v>
      </c>
      <c r="U19" s="49" t="s">
        <v>655</v>
      </c>
      <c r="V19" s="49" t="e">
        <v>#REF!</v>
      </c>
      <c r="AC19" s="49"/>
      <c r="AD19" s="49"/>
    </row>
    <row r="20" spans="1:30" hidden="1" x14ac:dyDescent="0.3">
      <c r="A20" s="49" t="s">
        <v>1851</v>
      </c>
      <c r="B20" s="49">
        <v>0</v>
      </c>
      <c r="C20" s="49"/>
      <c r="D20" s="72" t="e">
        <v>#N/A</v>
      </c>
      <c r="E20" s="73">
        <v>0</v>
      </c>
      <c r="F20" s="49"/>
      <c r="G20" s="49"/>
      <c r="H20" s="49" t="s">
        <v>1852</v>
      </c>
      <c r="I20" s="49" t="s">
        <v>1855</v>
      </c>
      <c r="J20" s="49" t="s">
        <v>1853</v>
      </c>
      <c r="K20" s="49" t="s">
        <v>1854</v>
      </c>
      <c r="L20" s="49">
        <v>0</v>
      </c>
      <c r="M20" s="49" t="s">
        <v>1734</v>
      </c>
      <c r="N20" s="49" t="s">
        <v>1856</v>
      </c>
      <c r="P20" s="49" t="s">
        <v>1857</v>
      </c>
      <c r="Q20" s="49">
        <v>0</v>
      </c>
      <c r="R20" s="49" t="s">
        <v>1858</v>
      </c>
      <c r="S20" s="49" t="s">
        <v>1859</v>
      </c>
      <c r="T20" s="49" t="s">
        <v>1860</v>
      </c>
      <c r="U20" s="49" t="s">
        <v>655</v>
      </c>
      <c r="V20" s="49" t="e">
        <v>#REF!</v>
      </c>
      <c r="AC20" s="49"/>
      <c r="AD20" s="49"/>
    </row>
    <row r="21" spans="1:30" hidden="1" x14ac:dyDescent="0.3">
      <c r="A21" s="49" t="s">
        <v>1861</v>
      </c>
      <c r="B21" s="49">
        <v>0</v>
      </c>
      <c r="C21" s="49">
        <v>1</v>
      </c>
      <c r="D21" s="72" t="e">
        <v>#N/A</v>
      </c>
      <c r="E21" s="74">
        <v>1</v>
      </c>
      <c r="F21" s="73">
        <v>1</v>
      </c>
      <c r="G21" s="49">
        <v>0</v>
      </c>
      <c r="H21" s="49" t="s">
        <v>1862</v>
      </c>
      <c r="I21" s="49" t="s">
        <v>1866</v>
      </c>
      <c r="J21" s="49" t="s">
        <v>1863</v>
      </c>
      <c r="K21" s="49" t="s">
        <v>1864</v>
      </c>
      <c r="L21" s="49">
        <v>0</v>
      </c>
      <c r="M21" s="75" t="s">
        <v>1865</v>
      </c>
      <c r="N21" s="49" t="s">
        <v>687</v>
      </c>
      <c r="O21" s="49">
        <v>1</v>
      </c>
      <c r="P21" s="49" t="s">
        <v>1867</v>
      </c>
      <c r="Q21" s="49">
        <v>0</v>
      </c>
      <c r="R21" s="49" t="s">
        <v>1868</v>
      </c>
      <c r="S21" s="49" t="s">
        <v>1869</v>
      </c>
      <c r="T21" s="49" t="s">
        <v>646</v>
      </c>
      <c r="U21" s="49" t="s">
        <v>670</v>
      </c>
      <c r="V21" s="49" t="e">
        <v>#REF!</v>
      </c>
      <c r="AC21" s="49"/>
      <c r="AD21" s="49"/>
    </row>
    <row r="22" spans="1:30" hidden="1" x14ac:dyDescent="0.3">
      <c r="A22" s="49" t="s">
        <v>1870</v>
      </c>
      <c r="B22" s="49">
        <v>0</v>
      </c>
      <c r="C22" s="49"/>
      <c r="D22" s="72" t="e">
        <v>#N/A</v>
      </c>
      <c r="E22" s="73">
        <v>0</v>
      </c>
      <c r="F22" s="49"/>
      <c r="G22" s="49"/>
      <c r="H22" s="49" t="s">
        <v>1871</v>
      </c>
      <c r="I22" s="49" t="s">
        <v>1874</v>
      </c>
      <c r="J22" s="49" t="s">
        <v>1872</v>
      </c>
      <c r="K22" s="49" t="s">
        <v>1873</v>
      </c>
      <c r="L22" s="49">
        <v>0</v>
      </c>
      <c r="M22" s="49" t="s">
        <v>1734</v>
      </c>
      <c r="N22" s="49" t="s">
        <v>1875</v>
      </c>
      <c r="O22" s="49">
        <v>1</v>
      </c>
      <c r="P22" s="49" t="s">
        <v>1876</v>
      </c>
      <c r="Q22" s="49">
        <v>0</v>
      </c>
      <c r="R22" s="49" t="s">
        <v>1877</v>
      </c>
      <c r="S22" s="49" t="s">
        <v>1878</v>
      </c>
      <c r="T22" s="49" t="s">
        <v>1879</v>
      </c>
      <c r="U22" s="49" t="s">
        <v>791</v>
      </c>
      <c r="V22" s="49" t="e">
        <v>#REF!</v>
      </c>
      <c r="AC22" s="49"/>
      <c r="AD22" s="49"/>
    </row>
    <row r="23" spans="1:30" hidden="1" x14ac:dyDescent="0.3">
      <c r="A23" s="49" t="s">
        <v>1880</v>
      </c>
      <c r="B23" s="49">
        <v>0</v>
      </c>
      <c r="C23" s="49"/>
      <c r="D23" s="72" t="e">
        <v>#N/A</v>
      </c>
      <c r="E23" s="73">
        <v>0</v>
      </c>
      <c r="F23" s="49"/>
      <c r="G23" s="49"/>
      <c r="H23" s="49" t="s">
        <v>1881</v>
      </c>
      <c r="I23" s="49" t="s">
        <v>1884</v>
      </c>
      <c r="J23" s="49" t="s">
        <v>1882</v>
      </c>
      <c r="K23" s="49" t="s">
        <v>1883</v>
      </c>
      <c r="L23" s="49">
        <v>0</v>
      </c>
      <c r="M23" s="49" t="s">
        <v>1734</v>
      </c>
      <c r="N23" s="49" t="s">
        <v>1885</v>
      </c>
      <c r="P23" s="49" t="s">
        <v>1886</v>
      </c>
      <c r="Q23" s="49">
        <v>0</v>
      </c>
      <c r="R23" s="49" t="s">
        <v>1887</v>
      </c>
      <c r="S23" s="49" t="s">
        <v>1888</v>
      </c>
      <c r="T23" s="49" t="s">
        <v>1889</v>
      </c>
      <c r="U23" s="49" t="s">
        <v>655</v>
      </c>
      <c r="V23" s="49" t="e">
        <v>#REF!</v>
      </c>
      <c r="AC23" s="49"/>
      <c r="AD23" s="49"/>
    </row>
    <row r="24" spans="1:30" hidden="1" x14ac:dyDescent="0.3">
      <c r="A24" s="49" t="s">
        <v>1890</v>
      </c>
      <c r="B24" s="49">
        <v>0</v>
      </c>
      <c r="C24" s="49"/>
      <c r="D24" s="72" t="e">
        <v>#N/A</v>
      </c>
      <c r="E24" s="74">
        <v>1</v>
      </c>
      <c r="F24" s="73">
        <v>0</v>
      </c>
      <c r="G24" s="49"/>
      <c r="H24" s="49" t="s">
        <v>646</v>
      </c>
      <c r="I24" s="49" t="s">
        <v>1893</v>
      </c>
      <c r="J24" s="49" t="s">
        <v>1891</v>
      </c>
      <c r="K24" s="49" t="s">
        <v>1892</v>
      </c>
      <c r="L24" s="49">
        <v>0</v>
      </c>
      <c r="M24" s="49" t="s">
        <v>1745</v>
      </c>
      <c r="N24" s="49" t="s">
        <v>1894</v>
      </c>
      <c r="P24" s="49" t="s">
        <v>1895</v>
      </c>
      <c r="Q24" s="49">
        <v>0</v>
      </c>
      <c r="R24" s="49" t="s">
        <v>1896</v>
      </c>
      <c r="S24" s="49" t="s">
        <v>1897</v>
      </c>
      <c r="T24" s="49" t="s">
        <v>646</v>
      </c>
      <c r="U24" s="49" t="s">
        <v>670</v>
      </c>
      <c r="V24" s="49" t="e">
        <v>#REF!</v>
      </c>
      <c r="AC24" s="49"/>
      <c r="AD24" s="49"/>
    </row>
    <row r="25" spans="1:30" hidden="1" x14ac:dyDescent="0.3">
      <c r="A25" s="49" t="s">
        <v>1898</v>
      </c>
      <c r="B25" s="49">
        <v>0</v>
      </c>
      <c r="C25" s="49"/>
      <c r="D25" s="72" t="e">
        <v>#N/A</v>
      </c>
      <c r="E25" s="73">
        <v>0</v>
      </c>
      <c r="F25" s="49"/>
      <c r="G25" s="49"/>
      <c r="H25" s="49" t="s">
        <v>1899</v>
      </c>
      <c r="I25" s="49" t="s">
        <v>1902</v>
      </c>
      <c r="J25" s="49" t="s">
        <v>1900</v>
      </c>
      <c r="K25" s="49" t="s">
        <v>1901</v>
      </c>
      <c r="L25" s="49">
        <v>0</v>
      </c>
      <c r="M25" s="49" t="s">
        <v>1745</v>
      </c>
      <c r="N25" s="49" t="s">
        <v>1903</v>
      </c>
      <c r="O25" s="49">
        <v>1</v>
      </c>
      <c r="P25" s="49" t="s">
        <v>1904</v>
      </c>
      <c r="Q25" s="49">
        <v>0</v>
      </c>
      <c r="R25" s="49" t="s">
        <v>1905</v>
      </c>
      <c r="S25" s="49" t="s">
        <v>1906</v>
      </c>
      <c r="T25" s="49" t="s">
        <v>1907</v>
      </c>
      <c r="U25" s="49" t="s">
        <v>655</v>
      </c>
      <c r="V25" s="49" t="e">
        <v>#REF!</v>
      </c>
      <c r="AC25" s="49"/>
      <c r="AD25" s="49"/>
    </row>
    <row r="26" spans="1:30" hidden="1" x14ac:dyDescent="0.3">
      <c r="A26" s="49" t="s">
        <v>1908</v>
      </c>
      <c r="B26" s="49">
        <v>0</v>
      </c>
      <c r="C26" s="49"/>
      <c r="D26" s="72" t="e">
        <v>#N/A</v>
      </c>
      <c r="E26" s="73">
        <v>0</v>
      </c>
      <c r="F26" s="49"/>
      <c r="G26" s="49"/>
      <c r="H26" s="49" t="s">
        <v>1909</v>
      </c>
      <c r="I26" s="49" t="s">
        <v>1912</v>
      </c>
      <c r="J26" s="49" t="s">
        <v>1910</v>
      </c>
      <c r="K26" s="49" t="s">
        <v>1911</v>
      </c>
      <c r="L26" s="49">
        <v>0</v>
      </c>
      <c r="M26" s="49" t="s">
        <v>1745</v>
      </c>
      <c r="N26" s="49" t="s">
        <v>1913</v>
      </c>
      <c r="P26" s="49" t="s">
        <v>1914</v>
      </c>
      <c r="Q26" s="49">
        <v>0</v>
      </c>
      <c r="R26" s="49" t="s">
        <v>1915</v>
      </c>
      <c r="S26" s="49" t="s">
        <v>1916</v>
      </c>
      <c r="T26" s="49" t="s">
        <v>646</v>
      </c>
      <c r="U26" s="49" t="s">
        <v>655</v>
      </c>
      <c r="V26" s="49" t="e">
        <v>#REF!</v>
      </c>
      <c r="AC26" s="49"/>
      <c r="AD26" s="49"/>
    </row>
    <row r="27" spans="1:30" hidden="1" x14ac:dyDescent="0.3">
      <c r="A27" s="49" t="s">
        <v>1917</v>
      </c>
      <c r="B27" s="49">
        <v>0</v>
      </c>
      <c r="C27" s="49"/>
      <c r="D27" s="72" t="e">
        <v>#N/A</v>
      </c>
      <c r="E27" s="73">
        <v>0</v>
      </c>
      <c r="F27" s="49"/>
      <c r="G27" s="49"/>
      <c r="H27" s="49" t="s">
        <v>1918</v>
      </c>
      <c r="I27" s="49" t="s">
        <v>1921</v>
      </c>
      <c r="J27" s="49" t="s">
        <v>1919</v>
      </c>
      <c r="K27" s="49" t="s">
        <v>1920</v>
      </c>
      <c r="L27" s="49">
        <v>0</v>
      </c>
      <c r="M27" s="49" t="s">
        <v>1745</v>
      </c>
      <c r="N27" s="49" t="s">
        <v>687</v>
      </c>
      <c r="P27" s="49" t="s">
        <v>1922</v>
      </c>
      <c r="Q27" s="49">
        <v>0</v>
      </c>
      <c r="R27" s="49" t="s">
        <v>1923</v>
      </c>
      <c r="S27" s="49" t="s">
        <v>1924</v>
      </c>
      <c r="T27" s="49" t="s">
        <v>646</v>
      </c>
      <c r="U27" s="49" t="s">
        <v>670</v>
      </c>
      <c r="V27" s="49" t="e">
        <v>#REF!</v>
      </c>
      <c r="AC27" s="49"/>
      <c r="AD27" s="49"/>
    </row>
    <row r="28" spans="1:30" hidden="1" x14ac:dyDescent="0.3">
      <c r="A28" s="49" t="s">
        <v>1925</v>
      </c>
      <c r="B28" s="49">
        <v>0</v>
      </c>
      <c r="C28" s="49"/>
      <c r="D28" s="72" t="e">
        <v>#N/A</v>
      </c>
      <c r="E28" s="73">
        <v>0</v>
      </c>
      <c r="F28" s="49"/>
      <c r="G28" s="49"/>
      <c r="H28" s="49" t="s">
        <v>1926</v>
      </c>
      <c r="I28" s="49" t="s">
        <v>1929</v>
      </c>
      <c r="J28" s="49" t="s">
        <v>1927</v>
      </c>
      <c r="K28" s="49" t="s">
        <v>1928</v>
      </c>
      <c r="L28" s="49">
        <v>0</v>
      </c>
      <c r="M28" s="49" t="s">
        <v>1745</v>
      </c>
      <c r="N28" s="49" t="s">
        <v>1930</v>
      </c>
      <c r="O28" s="49">
        <v>3</v>
      </c>
      <c r="P28" s="49" t="s">
        <v>1931</v>
      </c>
      <c r="Q28" s="49">
        <v>0</v>
      </c>
      <c r="R28" s="49" t="s">
        <v>1932</v>
      </c>
      <c r="S28" s="49" t="s">
        <v>1933</v>
      </c>
      <c r="T28" s="49" t="s">
        <v>1934</v>
      </c>
      <c r="U28" s="49" t="s">
        <v>655</v>
      </c>
      <c r="V28" s="49" t="e">
        <v>#REF!</v>
      </c>
      <c r="AC28" s="49"/>
      <c r="AD28" s="49"/>
    </row>
    <row r="29" spans="1:30" hidden="1" x14ac:dyDescent="0.3">
      <c r="A29" s="49" t="s">
        <v>1935</v>
      </c>
      <c r="B29" s="49">
        <v>0</v>
      </c>
      <c r="C29" s="49"/>
      <c r="D29" s="72" t="e">
        <v>#N/A</v>
      </c>
      <c r="E29" s="74" t="s">
        <v>645</v>
      </c>
      <c r="F29" s="73">
        <v>0</v>
      </c>
      <c r="G29" s="49"/>
      <c r="H29" s="49" t="s">
        <v>1936</v>
      </c>
      <c r="I29" s="49" t="s">
        <v>1939</v>
      </c>
      <c r="J29" s="49" t="s">
        <v>1937</v>
      </c>
      <c r="K29" s="49" t="s">
        <v>1938</v>
      </c>
      <c r="L29" s="49">
        <v>0</v>
      </c>
      <c r="M29" s="49" t="s">
        <v>1745</v>
      </c>
      <c r="N29" s="49" t="s">
        <v>687</v>
      </c>
      <c r="O29" s="49">
        <v>1</v>
      </c>
      <c r="P29" s="49" t="s">
        <v>1940</v>
      </c>
      <c r="Q29" s="49">
        <v>0</v>
      </c>
      <c r="R29" s="49" t="s">
        <v>1941</v>
      </c>
      <c r="S29" s="49" t="s">
        <v>1942</v>
      </c>
      <c r="T29" s="49" t="s">
        <v>646</v>
      </c>
      <c r="U29" s="49" t="s">
        <v>670</v>
      </c>
      <c r="V29" s="49" t="e">
        <v>#REF!</v>
      </c>
      <c r="AC29" s="49"/>
      <c r="AD29" s="49"/>
    </row>
    <row r="30" spans="1:30" hidden="1" x14ac:dyDescent="0.3">
      <c r="A30" s="49" t="s">
        <v>1943</v>
      </c>
      <c r="B30" s="49">
        <v>0</v>
      </c>
      <c r="C30" s="49"/>
      <c r="D30" s="72" t="e">
        <v>#N/A</v>
      </c>
      <c r="E30" s="73">
        <v>0</v>
      </c>
      <c r="F30" s="49"/>
      <c r="G30" s="49"/>
      <c r="H30" s="49" t="s">
        <v>1944</v>
      </c>
      <c r="I30" s="49" t="s">
        <v>1947</v>
      </c>
      <c r="J30" s="49" t="s">
        <v>1945</v>
      </c>
      <c r="K30" s="49" t="s">
        <v>1946</v>
      </c>
      <c r="L30" s="49">
        <v>0</v>
      </c>
      <c r="M30" s="49" t="s">
        <v>1734</v>
      </c>
      <c r="N30" s="49" t="s">
        <v>1948</v>
      </c>
      <c r="P30" s="49" t="s">
        <v>1949</v>
      </c>
      <c r="Q30" s="49">
        <v>0</v>
      </c>
      <c r="R30" s="49" t="s">
        <v>1950</v>
      </c>
      <c r="S30" s="49" t="s">
        <v>1951</v>
      </c>
      <c r="T30" s="49" t="s">
        <v>1952</v>
      </c>
      <c r="U30" s="49" t="s">
        <v>655</v>
      </c>
      <c r="V30" s="49" t="e">
        <v>#REF!</v>
      </c>
      <c r="AC30" s="49"/>
      <c r="AD30" s="49"/>
    </row>
    <row r="31" spans="1:30" hidden="1" x14ac:dyDescent="0.3">
      <c r="A31" s="49" t="s">
        <v>1953</v>
      </c>
      <c r="B31" s="49">
        <v>0</v>
      </c>
      <c r="C31" s="49"/>
      <c r="D31" s="72" t="e">
        <v>#N/A</v>
      </c>
      <c r="E31" s="73">
        <v>0</v>
      </c>
      <c r="F31" s="49"/>
      <c r="G31" s="49"/>
      <c r="H31" s="49" t="s">
        <v>1954</v>
      </c>
      <c r="I31" s="49" t="s">
        <v>1957</v>
      </c>
      <c r="J31" s="49" t="s">
        <v>1955</v>
      </c>
      <c r="K31" s="49" t="s">
        <v>1956</v>
      </c>
      <c r="L31" s="49">
        <v>0</v>
      </c>
      <c r="M31" s="49" t="s">
        <v>1826</v>
      </c>
      <c r="N31" s="49" t="s">
        <v>1958</v>
      </c>
      <c r="O31" s="49">
        <v>76</v>
      </c>
      <c r="P31" s="49" t="s">
        <v>1959</v>
      </c>
      <c r="Q31" s="49">
        <v>0</v>
      </c>
      <c r="R31" s="49" t="s">
        <v>1960</v>
      </c>
      <c r="S31" s="49" t="s">
        <v>1961</v>
      </c>
      <c r="T31" s="49" t="s">
        <v>1962</v>
      </c>
      <c r="U31" s="49" t="s">
        <v>655</v>
      </c>
      <c r="V31" s="49" t="e">
        <v>#REF!</v>
      </c>
      <c r="AC31" s="49"/>
      <c r="AD31" s="49"/>
    </row>
    <row r="32" spans="1:30" hidden="1" x14ac:dyDescent="0.3">
      <c r="A32" s="49" t="s">
        <v>1963</v>
      </c>
      <c r="B32" s="49">
        <v>0</v>
      </c>
      <c r="C32" s="49"/>
      <c r="D32" s="72" t="e">
        <v>#N/A</v>
      </c>
      <c r="E32" s="73">
        <v>0</v>
      </c>
      <c r="F32" s="49"/>
      <c r="G32" s="49"/>
      <c r="H32" s="49" t="s">
        <v>1964</v>
      </c>
      <c r="I32" s="49" t="s">
        <v>1967</v>
      </c>
      <c r="J32" s="49" t="s">
        <v>1965</v>
      </c>
      <c r="K32" s="49" t="s">
        <v>1966</v>
      </c>
      <c r="L32" s="49">
        <v>0</v>
      </c>
      <c r="M32" s="49" t="s">
        <v>1745</v>
      </c>
      <c r="N32" s="49" t="s">
        <v>1968</v>
      </c>
      <c r="P32" s="49" t="s">
        <v>1969</v>
      </c>
      <c r="Q32" s="49">
        <v>0</v>
      </c>
      <c r="R32" s="49" t="s">
        <v>1970</v>
      </c>
      <c r="S32" s="49" t="s">
        <v>1971</v>
      </c>
      <c r="T32" s="49" t="s">
        <v>1972</v>
      </c>
      <c r="U32" s="49" t="s">
        <v>655</v>
      </c>
      <c r="V32" s="49" t="e">
        <v>#REF!</v>
      </c>
      <c r="AC32" s="49"/>
      <c r="AD32" s="49"/>
    </row>
    <row r="33" spans="1:30" x14ac:dyDescent="0.3">
      <c r="A33" s="49" t="s">
        <v>1974</v>
      </c>
      <c r="B33" s="49" t="s">
        <v>1973</v>
      </c>
      <c r="C33" s="49">
        <v>1</v>
      </c>
      <c r="D33" s="72" t="s">
        <v>1773</v>
      </c>
      <c r="E33" s="74">
        <v>1</v>
      </c>
      <c r="F33" s="73">
        <v>1</v>
      </c>
      <c r="G33" s="49">
        <v>1</v>
      </c>
      <c r="H33" s="49" t="s">
        <v>1975</v>
      </c>
      <c r="I33" s="49" t="s">
        <v>1978</v>
      </c>
      <c r="J33" s="49" t="s">
        <v>1976</v>
      </c>
      <c r="K33" s="49" t="s">
        <v>1977</v>
      </c>
      <c r="L33" s="49">
        <v>0</v>
      </c>
      <c r="M33" s="75" t="s">
        <v>1734</v>
      </c>
      <c r="N33" s="49" t="s">
        <v>959</v>
      </c>
      <c r="P33" s="49" t="s">
        <v>1979</v>
      </c>
      <c r="Q33" s="49">
        <v>0</v>
      </c>
      <c r="R33" s="49" t="s">
        <v>1980</v>
      </c>
      <c r="S33" s="49" t="s">
        <v>1981</v>
      </c>
      <c r="T33" s="49" t="s">
        <v>646</v>
      </c>
      <c r="U33" s="49" t="s">
        <v>670</v>
      </c>
      <c r="V33" s="49" t="e">
        <v>#REF!</v>
      </c>
      <c r="AC33" s="49"/>
      <c r="AD33" s="49"/>
    </row>
    <row r="34" spans="1:30" hidden="1" x14ac:dyDescent="0.3">
      <c r="A34" s="49" t="s">
        <v>1982</v>
      </c>
      <c r="B34" s="49">
        <v>0</v>
      </c>
      <c r="C34" s="49"/>
      <c r="D34" s="72" t="e">
        <v>#N/A</v>
      </c>
      <c r="E34" s="73">
        <v>0</v>
      </c>
      <c r="F34" s="49"/>
      <c r="G34" s="49"/>
      <c r="H34" s="49" t="s">
        <v>1983</v>
      </c>
      <c r="I34" s="49" t="s">
        <v>1986</v>
      </c>
      <c r="J34" s="49" t="s">
        <v>1984</v>
      </c>
      <c r="K34" s="49" t="s">
        <v>1985</v>
      </c>
      <c r="L34" s="49">
        <v>0</v>
      </c>
      <c r="M34" s="49" t="s">
        <v>1734</v>
      </c>
      <c r="N34" s="49" t="s">
        <v>1987</v>
      </c>
      <c r="P34" s="49" t="s">
        <v>1988</v>
      </c>
      <c r="Q34" s="49">
        <v>0</v>
      </c>
      <c r="R34" s="49" t="s">
        <v>1989</v>
      </c>
      <c r="S34" s="49" t="s">
        <v>1990</v>
      </c>
      <c r="T34" s="49" t="s">
        <v>1991</v>
      </c>
      <c r="U34" s="49" t="s">
        <v>655</v>
      </c>
      <c r="V34" s="49" t="e">
        <v>#REF!</v>
      </c>
      <c r="AC34" s="49"/>
      <c r="AD34" s="49"/>
    </row>
    <row r="35" spans="1:30" hidden="1" x14ac:dyDescent="0.3">
      <c r="A35" s="49" t="s">
        <v>1992</v>
      </c>
      <c r="B35" s="49">
        <v>0</v>
      </c>
      <c r="C35" s="49"/>
      <c r="D35" s="72" t="e">
        <v>#N/A</v>
      </c>
      <c r="E35" s="73">
        <v>0</v>
      </c>
      <c r="F35" s="49"/>
      <c r="G35" s="49"/>
      <c r="H35" s="49" t="s">
        <v>1993</v>
      </c>
      <c r="I35" s="49" t="s">
        <v>1996</v>
      </c>
      <c r="J35" s="49" t="s">
        <v>1994</v>
      </c>
      <c r="K35" s="49" t="s">
        <v>1995</v>
      </c>
      <c r="L35" s="49">
        <v>0</v>
      </c>
      <c r="M35" s="49" t="s">
        <v>1745</v>
      </c>
      <c r="N35" s="49" t="s">
        <v>1997</v>
      </c>
      <c r="O35" s="49">
        <v>1</v>
      </c>
      <c r="P35" s="49" t="s">
        <v>1998</v>
      </c>
      <c r="Q35" s="49">
        <v>0</v>
      </c>
      <c r="R35" s="49" t="s">
        <v>1999</v>
      </c>
      <c r="S35" s="49" t="s">
        <v>2000</v>
      </c>
      <c r="T35" s="49" t="s">
        <v>646</v>
      </c>
      <c r="U35" s="49" t="s">
        <v>655</v>
      </c>
      <c r="V35" s="49" t="e">
        <v>#REF!</v>
      </c>
      <c r="AC35" s="49"/>
      <c r="AD35" s="49"/>
    </row>
    <row r="36" spans="1:30" hidden="1" x14ac:dyDescent="0.3">
      <c r="A36" s="49" t="s">
        <v>2001</v>
      </c>
      <c r="B36" s="49">
        <v>0</v>
      </c>
      <c r="C36" s="49"/>
      <c r="D36" s="72" t="e">
        <v>#N/A</v>
      </c>
      <c r="E36" s="73">
        <v>0</v>
      </c>
      <c r="F36" s="49"/>
      <c r="G36" s="49"/>
      <c r="H36" s="49" t="s">
        <v>2002</v>
      </c>
      <c r="I36" s="49" t="s">
        <v>2005</v>
      </c>
      <c r="J36" s="49" t="s">
        <v>2003</v>
      </c>
      <c r="K36" s="49" t="s">
        <v>2004</v>
      </c>
      <c r="L36" s="49">
        <v>0</v>
      </c>
      <c r="M36" s="49" t="s">
        <v>1826</v>
      </c>
      <c r="N36" s="49" t="s">
        <v>2006</v>
      </c>
      <c r="O36" s="49">
        <v>6</v>
      </c>
      <c r="P36" s="49" t="s">
        <v>2007</v>
      </c>
      <c r="Q36" s="49">
        <v>0</v>
      </c>
      <c r="R36" s="49" t="s">
        <v>2008</v>
      </c>
      <c r="S36" s="49" t="s">
        <v>2009</v>
      </c>
      <c r="T36" s="49" t="s">
        <v>2010</v>
      </c>
      <c r="U36" s="49" t="s">
        <v>655</v>
      </c>
      <c r="V36" s="49" t="e">
        <v>#REF!</v>
      </c>
      <c r="AC36" s="49"/>
      <c r="AD36" s="49"/>
    </row>
    <row r="37" spans="1:30" hidden="1" x14ac:dyDescent="0.3">
      <c r="A37" s="49" t="s">
        <v>2011</v>
      </c>
      <c r="B37" s="49">
        <v>0</v>
      </c>
      <c r="C37" s="49"/>
      <c r="D37" s="72" t="e">
        <v>#N/A</v>
      </c>
      <c r="E37" s="73">
        <v>0</v>
      </c>
      <c r="F37" s="49"/>
      <c r="G37" s="49"/>
      <c r="H37" s="49" t="s">
        <v>2012</v>
      </c>
      <c r="I37" s="49" t="s">
        <v>2015</v>
      </c>
      <c r="J37" s="49" t="s">
        <v>2013</v>
      </c>
      <c r="K37" s="49" t="s">
        <v>2014</v>
      </c>
      <c r="L37" s="49">
        <v>0</v>
      </c>
      <c r="M37" s="49" t="s">
        <v>1745</v>
      </c>
      <c r="N37" s="49" t="s">
        <v>2016</v>
      </c>
      <c r="O37" s="49">
        <v>2</v>
      </c>
      <c r="P37" s="49" t="s">
        <v>2017</v>
      </c>
      <c r="Q37" s="49">
        <v>0</v>
      </c>
      <c r="R37" s="49" t="s">
        <v>2018</v>
      </c>
      <c r="S37" s="49" t="s">
        <v>2019</v>
      </c>
      <c r="T37" s="49" t="s">
        <v>2020</v>
      </c>
      <c r="U37" s="49" t="s">
        <v>655</v>
      </c>
      <c r="V37" s="49" t="e">
        <v>#REF!</v>
      </c>
      <c r="AC37" s="49"/>
      <c r="AD37" s="49"/>
    </row>
    <row r="38" spans="1:30" hidden="1" x14ac:dyDescent="0.3">
      <c r="A38" s="49" t="s">
        <v>2021</v>
      </c>
      <c r="B38" s="49">
        <v>0</v>
      </c>
      <c r="C38" s="49"/>
      <c r="D38" s="72" t="e">
        <v>#N/A</v>
      </c>
      <c r="E38" s="73">
        <v>0</v>
      </c>
      <c r="F38" s="49"/>
      <c r="G38" s="49"/>
      <c r="H38" s="49" t="s">
        <v>2022</v>
      </c>
      <c r="I38" s="49" t="s">
        <v>2025</v>
      </c>
      <c r="J38" s="49" t="s">
        <v>2023</v>
      </c>
      <c r="K38" s="49" t="s">
        <v>2024</v>
      </c>
      <c r="L38" s="49">
        <v>0</v>
      </c>
      <c r="M38" s="49" t="s">
        <v>1745</v>
      </c>
      <c r="N38" s="49" t="s">
        <v>2026</v>
      </c>
      <c r="O38" s="49">
        <v>3</v>
      </c>
      <c r="P38" s="49" t="s">
        <v>2027</v>
      </c>
      <c r="Q38" s="49">
        <v>0</v>
      </c>
      <c r="R38" s="49" t="s">
        <v>2028</v>
      </c>
      <c r="S38" s="49" t="s">
        <v>2029</v>
      </c>
      <c r="T38" s="49" t="s">
        <v>2030</v>
      </c>
      <c r="U38" s="49" t="s">
        <v>655</v>
      </c>
      <c r="V38" s="49" t="e">
        <v>#REF!</v>
      </c>
      <c r="AC38" s="49"/>
      <c r="AD38" s="49"/>
    </row>
    <row r="39" spans="1:30" hidden="1" x14ac:dyDescent="0.3">
      <c r="A39" s="49" t="s">
        <v>2031</v>
      </c>
      <c r="B39" s="49">
        <v>0</v>
      </c>
      <c r="C39" s="49"/>
      <c r="D39" s="72" t="e">
        <v>#N/A</v>
      </c>
      <c r="E39" s="73">
        <v>0</v>
      </c>
      <c r="F39" s="49"/>
      <c r="G39" s="49"/>
      <c r="H39" s="49" t="s">
        <v>2032</v>
      </c>
      <c r="I39" s="49" t="s">
        <v>2035</v>
      </c>
      <c r="J39" s="49" t="s">
        <v>2033</v>
      </c>
      <c r="K39" s="49" t="s">
        <v>2034</v>
      </c>
      <c r="L39" s="49">
        <v>0</v>
      </c>
      <c r="M39" s="49" t="s">
        <v>1734</v>
      </c>
      <c r="N39" s="49" t="s">
        <v>2036</v>
      </c>
      <c r="P39" s="49" t="s">
        <v>2037</v>
      </c>
      <c r="Q39" s="49">
        <v>0</v>
      </c>
      <c r="R39" s="49" t="s">
        <v>2038</v>
      </c>
      <c r="S39" s="49" t="s">
        <v>2039</v>
      </c>
      <c r="T39" s="49" t="s">
        <v>2040</v>
      </c>
      <c r="U39" s="49" t="s">
        <v>655</v>
      </c>
      <c r="V39" s="49" t="e">
        <v>#REF!</v>
      </c>
      <c r="AC39" s="49"/>
      <c r="AD39" s="49"/>
    </row>
    <row r="40" spans="1:30" hidden="1" x14ac:dyDescent="0.3">
      <c r="A40" s="49" t="s">
        <v>2041</v>
      </c>
      <c r="B40" s="49">
        <v>0</v>
      </c>
      <c r="C40" s="49"/>
      <c r="D40" s="72" t="e">
        <v>#N/A</v>
      </c>
      <c r="E40" s="73">
        <v>0</v>
      </c>
      <c r="F40" s="49"/>
      <c r="G40" s="49"/>
      <c r="H40" s="49" t="s">
        <v>2042</v>
      </c>
      <c r="I40" s="49" t="s">
        <v>2045</v>
      </c>
      <c r="J40" s="49" t="s">
        <v>2043</v>
      </c>
      <c r="K40" s="49" t="s">
        <v>2044</v>
      </c>
      <c r="L40" s="49">
        <v>0</v>
      </c>
      <c r="M40" s="49" t="s">
        <v>1734</v>
      </c>
      <c r="N40" s="49" t="s">
        <v>2046</v>
      </c>
      <c r="P40" s="49" t="s">
        <v>2047</v>
      </c>
      <c r="Q40" s="49">
        <v>0</v>
      </c>
      <c r="R40" s="49" t="s">
        <v>2048</v>
      </c>
      <c r="S40" s="49" t="s">
        <v>2049</v>
      </c>
      <c r="T40" s="49" t="s">
        <v>2050</v>
      </c>
      <c r="U40" s="49" t="s">
        <v>646</v>
      </c>
      <c r="V40" s="49" t="e">
        <v>#REF!</v>
      </c>
      <c r="AC40" s="49"/>
      <c r="AD40" s="49"/>
    </row>
    <row r="41" spans="1:30" hidden="1" x14ac:dyDescent="0.3">
      <c r="A41" s="49" t="s">
        <v>2051</v>
      </c>
      <c r="B41" s="49">
        <v>0</v>
      </c>
      <c r="C41" s="49"/>
      <c r="D41" s="72" t="e">
        <v>#N/A</v>
      </c>
      <c r="E41" s="73">
        <v>0</v>
      </c>
      <c r="F41" s="49"/>
      <c r="G41" s="49"/>
      <c r="H41" s="49" t="s">
        <v>2052</v>
      </c>
      <c r="I41" s="49" t="s">
        <v>2055</v>
      </c>
      <c r="J41" s="49" t="s">
        <v>2053</v>
      </c>
      <c r="K41" s="49" t="s">
        <v>2054</v>
      </c>
      <c r="L41" s="49">
        <v>0</v>
      </c>
      <c r="M41" s="49" t="s">
        <v>1734</v>
      </c>
      <c r="N41" s="49" t="s">
        <v>2056</v>
      </c>
      <c r="O41" s="49">
        <v>1</v>
      </c>
      <c r="P41" s="49" t="s">
        <v>2057</v>
      </c>
      <c r="Q41" s="49">
        <v>0</v>
      </c>
      <c r="R41" s="49" t="s">
        <v>2058</v>
      </c>
      <c r="S41" s="49" t="s">
        <v>2059</v>
      </c>
      <c r="T41" s="49" t="s">
        <v>2060</v>
      </c>
      <c r="U41" s="49" t="s">
        <v>655</v>
      </c>
      <c r="V41" s="49" t="e">
        <v>#REF!</v>
      </c>
      <c r="AC41" s="49"/>
      <c r="AD41" s="49"/>
    </row>
    <row r="42" spans="1:30" hidden="1" x14ac:dyDescent="0.3">
      <c r="A42" s="49" t="s">
        <v>2061</v>
      </c>
      <c r="B42" s="49">
        <v>0</v>
      </c>
      <c r="C42" s="49"/>
      <c r="D42" s="72" t="e">
        <v>#N/A</v>
      </c>
      <c r="E42" s="74" t="s">
        <v>645</v>
      </c>
      <c r="F42" s="73">
        <v>0</v>
      </c>
      <c r="G42" s="49"/>
      <c r="H42" s="49" t="s">
        <v>2062</v>
      </c>
      <c r="I42" s="49" t="s">
        <v>2065</v>
      </c>
      <c r="J42" s="49" t="s">
        <v>2063</v>
      </c>
      <c r="K42" s="49" t="s">
        <v>2064</v>
      </c>
      <c r="L42" s="49">
        <v>0</v>
      </c>
      <c r="M42" s="49" t="s">
        <v>1734</v>
      </c>
      <c r="N42" s="49" t="s">
        <v>818</v>
      </c>
      <c r="P42" s="49" t="s">
        <v>2066</v>
      </c>
      <c r="Q42" s="49">
        <v>0</v>
      </c>
      <c r="R42" s="49" t="s">
        <v>2067</v>
      </c>
      <c r="S42" s="49" t="s">
        <v>2068</v>
      </c>
      <c r="T42" s="49" t="s">
        <v>2069</v>
      </c>
      <c r="U42" s="49" t="s">
        <v>670</v>
      </c>
      <c r="V42" s="49" t="e">
        <v>#REF!</v>
      </c>
      <c r="AC42" s="49"/>
      <c r="AD42" s="49"/>
    </row>
    <row r="43" spans="1:30" hidden="1" x14ac:dyDescent="0.3">
      <c r="A43" s="49" t="s">
        <v>2070</v>
      </c>
      <c r="B43" s="49">
        <v>0</v>
      </c>
      <c r="C43" s="49"/>
      <c r="D43" s="72" t="e">
        <v>#N/A</v>
      </c>
      <c r="E43" s="73">
        <v>0</v>
      </c>
      <c r="F43" s="49"/>
      <c r="G43" s="49"/>
      <c r="H43" s="49" t="s">
        <v>2071</v>
      </c>
      <c r="I43" s="49" t="s">
        <v>2074</v>
      </c>
      <c r="J43" s="49" t="s">
        <v>2072</v>
      </c>
      <c r="K43" s="49" t="s">
        <v>2073</v>
      </c>
      <c r="L43" s="49">
        <v>0</v>
      </c>
      <c r="M43" s="49" t="s">
        <v>1745</v>
      </c>
      <c r="N43" s="49" t="s">
        <v>818</v>
      </c>
      <c r="P43" s="49" t="s">
        <v>2075</v>
      </c>
      <c r="Q43" s="49">
        <v>0</v>
      </c>
      <c r="R43" s="49" t="s">
        <v>2076</v>
      </c>
      <c r="S43" s="49" t="s">
        <v>2077</v>
      </c>
      <c r="T43" s="49" t="s">
        <v>2078</v>
      </c>
      <c r="U43" s="49" t="s">
        <v>670</v>
      </c>
      <c r="V43" s="49" t="e">
        <v>#REF!</v>
      </c>
      <c r="AC43" s="49"/>
      <c r="AD43" s="49"/>
    </row>
    <row r="44" spans="1:30" hidden="1" x14ac:dyDescent="0.3">
      <c r="A44" s="49" t="s">
        <v>2079</v>
      </c>
      <c r="B44" s="49">
        <v>0</v>
      </c>
      <c r="C44" s="49"/>
      <c r="D44" s="72" t="e">
        <v>#N/A</v>
      </c>
      <c r="E44" s="73">
        <v>0</v>
      </c>
      <c r="F44" s="49"/>
      <c r="G44" s="49"/>
      <c r="H44" s="49" t="s">
        <v>2080</v>
      </c>
      <c r="I44" s="49" t="s">
        <v>2083</v>
      </c>
      <c r="J44" s="49" t="s">
        <v>2081</v>
      </c>
      <c r="K44" s="49" t="s">
        <v>2082</v>
      </c>
      <c r="L44" s="49">
        <v>0</v>
      </c>
      <c r="M44" s="49" t="s">
        <v>1734</v>
      </c>
      <c r="N44" s="49" t="s">
        <v>2084</v>
      </c>
      <c r="P44" s="49" t="s">
        <v>2085</v>
      </c>
      <c r="Q44" s="49">
        <v>0</v>
      </c>
      <c r="R44" s="49" t="s">
        <v>2086</v>
      </c>
      <c r="S44" s="49" t="s">
        <v>2087</v>
      </c>
      <c r="T44" s="49" t="s">
        <v>646</v>
      </c>
      <c r="U44" s="49" t="s">
        <v>670</v>
      </c>
      <c r="V44" s="49" t="e">
        <v>#REF!</v>
      </c>
      <c r="AC44" s="49"/>
      <c r="AD44" s="49"/>
    </row>
    <row r="45" spans="1:30" hidden="1" x14ac:dyDescent="0.3">
      <c r="A45" s="49" t="s">
        <v>2088</v>
      </c>
      <c r="B45" s="49">
        <v>0</v>
      </c>
      <c r="C45" s="49">
        <v>1</v>
      </c>
      <c r="D45" s="72" t="e">
        <v>#N/A</v>
      </c>
      <c r="E45" s="74">
        <v>1</v>
      </c>
      <c r="F45" s="73">
        <v>1</v>
      </c>
      <c r="G45" s="49">
        <v>0</v>
      </c>
      <c r="H45" s="49" t="s">
        <v>2089</v>
      </c>
      <c r="I45" s="49" t="s">
        <v>2092</v>
      </c>
      <c r="J45" s="49" t="s">
        <v>2090</v>
      </c>
      <c r="K45" s="49" t="s">
        <v>2091</v>
      </c>
      <c r="L45" s="49">
        <v>0</v>
      </c>
      <c r="M45" s="75" t="s">
        <v>1745</v>
      </c>
      <c r="N45" s="49" t="s">
        <v>2093</v>
      </c>
      <c r="O45" s="49">
        <v>4</v>
      </c>
      <c r="P45" s="49" t="s">
        <v>2094</v>
      </c>
      <c r="Q45" s="49">
        <v>0</v>
      </c>
      <c r="R45" s="49" t="s">
        <v>2095</v>
      </c>
      <c r="S45" s="49" t="s">
        <v>2096</v>
      </c>
      <c r="T45" s="49" t="s">
        <v>2097</v>
      </c>
      <c r="U45" s="49" t="s">
        <v>655</v>
      </c>
      <c r="V45" s="49" t="e">
        <v>#REF!</v>
      </c>
      <c r="AC45" s="49"/>
      <c r="AD45" s="49"/>
    </row>
    <row r="46" spans="1:30" hidden="1" x14ac:dyDescent="0.3">
      <c r="A46" s="49" t="s">
        <v>2098</v>
      </c>
      <c r="B46" s="49">
        <v>0</v>
      </c>
      <c r="C46" s="49"/>
      <c r="D46" s="72" t="e">
        <v>#N/A</v>
      </c>
      <c r="E46" s="73">
        <v>0</v>
      </c>
      <c r="F46" s="49"/>
      <c r="G46" s="49"/>
      <c r="H46" s="49" t="s">
        <v>2099</v>
      </c>
      <c r="I46" s="49" t="s">
        <v>2102</v>
      </c>
      <c r="J46" s="49" t="s">
        <v>2100</v>
      </c>
      <c r="K46" s="49" t="s">
        <v>2101</v>
      </c>
      <c r="L46" s="49">
        <v>0</v>
      </c>
      <c r="M46" s="49" t="s">
        <v>1734</v>
      </c>
      <c r="N46" s="49" t="s">
        <v>2103</v>
      </c>
      <c r="P46" s="49" t="s">
        <v>2104</v>
      </c>
      <c r="Q46" s="49">
        <v>0</v>
      </c>
      <c r="R46" s="49" t="s">
        <v>2105</v>
      </c>
      <c r="S46" s="49" t="s">
        <v>2106</v>
      </c>
      <c r="T46" s="49" t="s">
        <v>2107</v>
      </c>
      <c r="U46" s="49" t="s">
        <v>655</v>
      </c>
      <c r="V46" s="49" t="e">
        <v>#REF!</v>
      </c>
      <c r="AC46" s="49"/>
      <c r="AD46" s="49"/>
    </row>
    <row r="47" spans="1:30" hidden="1" x14ac:dyDescent="0.3">
      <c r="A47" s="49" t="s">
        <v>2108</v>
      </c>
      <c r="B47" s="49">
        <v>0</v>
      </c>
      <c r="C47" s="49"/>
      <c r="D47" s="72" t="e">
        <v>#N/A</v>
      </c>
      <c r="E47" s="73">
        <v>0</v>
      </c>
      <c r="F47" s="49"/>
      <c r="G47" s="49"/>
      <c r="H47" s="49" t="s">
        <v>2109</v>
      </c>
      <c r="I47" s="49" t="s">
        <v>2112</v>
      </c>
      <c r="J47" s="49" t="s">
        <v>2110</v>
      </c>
      <c r="K47" s="49" t="s">
        <v>2111</v>
      </c>
      <c r="L47" s="49">
        <v>0</v>
      </c>
      <c r="M47" s="49" t="s">
        <v>1745</v>
      </c>
      <c r="N47" s="49" t="s">
        <v>2113</v>
      </c>
      <c r="O47" s="49">
        <v>2</v>
      </c>
      <c r="P47" s="49" t="s">
        <v>2114</v>
      </c>
      <c r="Q47" s="49">
        <v>0</v>
      </c>
      <c r="R47" s="49" t="s">
        <v>2115</v>
      </c>
      <c r="S47" s="49" t="s">
        <v>2116</v>
      </c>
      <c r="T47" s="49" t="s">
        <v>2117</v>
      </c>
      <c r="U47" s="49" t="s">
        <v>655</v>
      </c>
      <c r="V47" s="49" t="e">
        <v>#REF!</v>
      </c>
      <c r="AC47" s="49"/>
      <c r="AD47" s="49"/>
    </row>
    <row r="48" spans="1:30" hidden="1" x14ac:dyDescent="0.3">
      <c r="A48" s="49" t="s">
        <v>2118</v>
      </c>
      <c r="B48" s="49">
        <v>0</v>
      </c>
      <c r="C48" s="49"/>
      <c r="D48" s="72" t="e">
        <v>#N/A</v>
      </c>
      <c r="E48" s="73">
        <v>0</v>
      </c>
      <c r="F48" s="49"/>
      <c r="G48" s="49"/>
      <c r="H48" s="49" t="s">
        <v>2119</v>
      </c>
      <c r="I48" s="49" t="s">
        <v>2122</v>
      </c>
      <c r="J48" s="49" t="s">
        <v>2120</v>
      </c>
      <c r="K48" s="49" t="s">
        <v>2121</v>
      </c>
      <c r="L48" s="49">
        <v>0</v>
      </c>
      <c r="M48" s="49" t="s">
        <v>1734</v>
      </c>
      <c r="N48" s="49" t="s">
        <v>2123</v>
      </c>
      <c r="P48" s="49" t="s">
        <v>2124</v>
      </c>
      <c r="Q48" s="49">
        <v>0</v>
      </c>
      <c r="R48" s="49" t="s">
        <v>2125</v>
      </c>
      <c r="S48" s="49" t="s">
        <v>2126</v>
      </c>
      <c r="T48" s="49" t="s">
        <v>2127</v>
      </c>
      <c r="U48" s="49" t="s">
        <v>655</v>
      </c>
      <c r="V48" s="49" t="e">
        <v>#REF!</v>
      </c>
      <c r="AC48" s="49"/>
      <c r="AD48" s="49"/>
    </row>
    <row r="49" spans="1:30" hidden="1" x14ac:dyDescent="0.3">
      <c r="A49" s="49" t="s">
        <v>2128</v>
      </c>
      <c r="B49" s="49">
        <v>0</v>
      </c>
      <c r="C49" s="49"/>
      <c r="D49" s="72" t="e">
        <v>#N/A</v>
      </c>
      <c r="E49" s="73">
        <v>0</v>
      </c>
      <c r="F49" s="49"/>
      <c r="G49" s="49"/>
      <c r="H49" s="49" t="s">
        <v>2129</v>
      </c>
      <c r="I49" s="49" t="s">
        <v>2132</v>
      </c>
      <c r="J49" s="49" t="s">
        <v>2130</v>
      </c>
      <c r="K49" s="49" t="s">
        <v>2131</v>
      </c>
      <c r="L49" s="49">
        <v>0</v>
      </c>
      <c r="M49" s="49" t="s">
        <v>1865</v>
      </c>
      <c r="N49" s="49" t="s">
        <v>2133</v>
      </c>
      <c r="O49" s="49">
        <v>9</v>
      </c>
      <c r="P49" s="49" t="s">
        <v>2134</v>
      </c>
      <c r="Q49" s="49">
        <v>0</v>
      </c>
      <c r="R49" s="49" t="s">
        <v>2135</v>
      </c>
      <c r="S49" s="49" t="s">
        <v>2136</v>
      </c>
      <c r="T49" s="49" t="s">
        <v>2137</v>
      </c>
      <c r="U49" s="49" t="s">
        <v>655</v>
      </c>
      <c r="V49" s="49" t="e">
        <v>#REF!</v>
      </c>
      <c r="AC49" s="49"/>
      <c r="AD49" s="49"/>
    </row>
    <row r="50" spans="1:30" hidden="1" x14ac:dyDescent="0.3">
      <c r="A50" s="49" t="s">
        <v>2138</v>
      </c>
      <c r="B50" s="49">
        <v>0</v>
      </c>
      <c r="C50" s="49"/>
      <c r="D50" s="72" t="e">
        <v>#N/A</v>
      </c>
      <c r="E50" s="73">
        <v>0</v>
      </c>
      <c r="F50" s="49"/>
      <c r="G50" s="49"/>
      <c r="H50" s="49" t="s">
        <v>2139</v>
      </c>
      <c r="I50" s="49" t="s">
        <v>2143</v>
      </c>
      <c r="J50" s="49" t="s">
        <v>2140</v>
      </c>
      <c r="K50" s="49" t="s">
        <v>2141</v>
      </c>
      <c r="L50" s="49">
        <v>0</v>
      </c>
      <c r="M50" s="49" t="s">
        <v>2142</v>
      </c>
      <c r="N50" s="49" t="s">
        <v>2144</v>
      </c>
      <c r="O50" s="49">
        <v>5</v>
      </c>
      <c r="P50" s="49" t="s">
        <v>2145</v>
      </c>
      <c r="Q50" s="49">
        <v>0</v>
      </c>
      <c r="R50" s="49" t="s">
        <v>2146</v>
      </c>
      <c r="S50" s="49" t="s">
        <v>2147</v>
      </c>
      <c r="T50" s="49" t="s">
        <v>2148</v>
      </c>
      <c r="U50" s="49" t="s">
        <v>655</v>
      </c>
      <c r="V50" s="49" t="e">
        <v>#REF!</v>
      </c>
      <c r="AC50" s="49"/>
      <c r="AD50" s="49"/>
    </row>
    <row r="51" spans="1:30" hidden="1" x14ac:dyDescent="0.3">
      <c r="A51" s="49" t="s">
        <v>2149</v>
      </c>
      <c r="B51" s="49">
        <v>0</v>
      </c>
      <c r="C51" s="49"/>
      <c r="D51" s="72" t="e">
        <v>#N/A</v>
      </c>
      <c r="E51" s="73">
        <v>0</v>
      </c>
      <c r="F51" s="49"/>
      <c r="G51" s="49"/>
      <c r="H51" s="49" t="s">
        <v>646</v>
      </c>
      <c r="I51" s="49" t="s">
        <v>2152</v>
      </c>
      <c r="J51" s="49" t="s">
        <v>2150</v>
      </c>
      <c r="K51" s="49" t="s">
        <v>2151</v>
      </c>
      <c r="L51" s="49">
        <v>0</v>
      </c>
      <c r="M51" s="49" t="s">
        <v>1745</v>
      </c>
      <c r="N51" s="49" t="s">
        <v>2153</v>
      </c>
      <c r="O51" s="49">
        <v>1</v>
      </c>
      <c r="P51" s="49" t="s">
        <v>2154</v>
      </c>
      <c r="Q51" s="49">
        <v>0</v>
      </c>
      <c r="R51" s="49" t="s">
        <v>2155</v>
      </c>
      <c r="S51" s="49" t="s">
        <v>2156</v>
      </c>
      <c r="T51" s="49" t="s">
        <v>2157</v>
      </c>
      <c r="U51" s="49" t="s">
        <v>655</v>
      </c>
      <c r="V51" s="49" t="e">
        <v>#REF!</v>
      </c>
      <c r="AC51" s="49"/>
      <c r="AD51" s="49"/>
    </row>
    <row r="52" spans="1:30" hidden="1" x14ac:dyDescent="0.3">
      <c r="A52" s="49" t="s">
        <v>2158</v>
      </c>
      <c r="B52" s="49">
        <v>0</v>
      </c>
      <c r="C52" s="49"/>
      <c r="D52" s="72" t="e">
        <v>#N/A</v>
      </c>
      <c r="E52" s="73">
        <v>0</v>
      </c>
      <c r="F52" s="49"/>
      <c r="G52" s="49"/>
      <c r="H52" s="49" t="s">
        <v>2159</v>
      </c>
      <c r="I52" s="49" t="s">
        <v>2162</v>
      </c>
      <c r="J52" s="49" t="s">
        <v>2160</v>
      </c>
      <c r="K52" s="49" t="s">
        <v>2161</v>
      </c>
      <c r="L52" s="49">
        <v>0</v>
      </c>
      <c r="M52" s="49" t="s">
        <v>1865</v>
      </c>
      <c r="N52" s="49" t="s">
        <v>2163</v>
      </c>
      <c r="P52" s="49" t="s">
        <v>2164</v>
      </c>
      <c r="Q52" s="49">
        <v>0</v>
      </c>
      <c r="R52" s="49" t="s">
        <v>2165</v>
      </c>
      <c r="S52" s="49" t="s">
        <v>2166</v>
      </c>
      <c r="T52" s="49" t="s">
        <v>2167</v>
      </c>
      <c r="U52" s="49" t="s">
        <v>655</v>
      </c>
      <c r="V52" s="49" t="e">
        <v>#REF!</v>
      </c>
      <c r="AC52" s="49"/>
      <c r="AD52" s="49"/>
    </row>
    <row r="53" spans="1:30" hidden="1" x14ac:dyDescent="0.3">
      <c r="A53" s="49" t="s">
        <v>2168</v>
      </c>
      <c r="B53" s="49">
        <v>0</v>
      </c>
      <c r="C53" s="49"/>
      <c r="D53" s="72" t="e">
        <v>#N/A</v>
      </c>
      <c r="E53" s="73">
        <v>0</v>
      </c>
      <c r="F53" s="49"/>
      <c r="G53" s="49"/>
      <c r="H53" s="49" t="s">
        <v>2169</v>
      </c>
      <c r="I53" s="49" t="s">
        <v>2172</v>
      </c>
      <c r="J53" s="49" t="s">
        <v>2170</v>
      </c>
      <c r="K53" s="49" t="s">
        <v>2171</v>
      </c>
      <c r="L53" s="49">
        <v>0</v>
      </c>
      <c r="M53" s="49" t="s">
        <v>1745</v>
      </c>
      <c r="N53" s="49" t="s">
        <v>2173</v>
      </c>
      <c r="P53" s="49" t="s">
        <v>2174</v>
      </c>
      <c r="Q53" s="49">
        <v>0</v>
      </c>
      <c r="R53" s="49" t="s">
        <v>2175</v>
      </c>
      <c r="S53" s="49" t="s">
        <v>2176</v>
      </c>
      <c r="T53" s="49" t="s">
        <v>646</v>
      </c>
      <c r="U53" s="49" t="s">
        <v>670</v>
      </c>
      <c r="V53" s="49" t="e">
        <v>#REF!</v>
      </c>
      <c r="AC53" s="49"/>
      <c r="AD53" s="49"/>
    </row>
    <row r="54" spans="1:30" hidden="1" x14ac:dyDescent="0.3">
      <c r="A54" s="49" t="s">
        <v>2177</v>
      </c>
      <c r="B54" s="49">
        <v>0</v>
      </c>
      <c r="C54" s="49"/>
      <c r="D54" s="72" t="e">
        <v>#N/A</v>
      </c>
      <c r="E54" s="74" t="s">
        <v>645</v>
      </c>
      <c r="F54" s="73">
        <v>0</v>
      </c>
      <c r="G54" s="49"/>
      <c r="H54" s="49" t="s">
        <v>2178</v>
      </c>
      <c r="I54" s="49" t="s">
        <v>2181</v>
      </c>
      <c r="J54" s="49" t="s">
        <v>2179</v>
      </c>
      <c r="K54" s="49" t="s">
        <v>2180</v>
      </c>
      <c r="L54" s="49">
        <v>0</v>
      </c>
      <c r="M54" s="49" t="s">
        <v>1734</v>
      </c>
      <c r="N54" s="49" t="s">
        <v>818</v>
      </c>
      <c r="P54" s="49" t="s">
        <v>2182</v>
      </c>
      <c r="Q54" s="49">
        <v>0</v>
      </c>
      <c r="R54" s="49" t="s">
        <v>2183</v>
      </c>
      <c r="S54" s="49" t="s">
        <v>2184</v>
      </c>
      <c r="T54" s="49" t="s">
        <v>2185</v>
      </c>
      <c r="U54" s="49" t="s">
        <v>670</v>
      </c>
      <c r="V54" s="49" t="e">
        <v>#REF!</v>
      </c>
      <c r="AC54" s="49"/>
      <c r="AD54" s="49"/>
    </row>
    <row r="55" spans="1:30" hidden="1" x14ac:dyDescent="0.3">
      <c r="A55" s="49" t="s">
        <v>2186</v>
      </c>
      <c r="B55" s="49">
        <v>0</v>
      </c>
      <c r="C55" s="49"/>
      <c r="D55" s="72" t="e">
        <v>#N/A</v>
      </c>
      <c r="E55" s="73">
        <v>0</v>
      </c>
      <c r="F55" s="49"/>
      <c r="G55" s="49"/>
      <c r="H55" s="49" t="s">
        <v>2187</v>
      </c>
      <c r="I55" s="49" t="s">
        <v>2190</v>
      </c>
      <c r="J55" s="49" t="s">
        <v>2188</v>
      </c>
      <c r="K55" s="49" t="s">
        <v>2189</v>
      </c>
      <c r="L55" s="49">
        <v>0</v>
      </c>
      <c r="M55" s="49" t="s">
        <v>1734</v>
      </c>
      <c r="N55" s="49" t="s">
        <v>2191</v>
      </c>
      <c r="O55" s="49">
        <v>3</v>
      </c>
      <c r="P55" s="49" t="s">
        <v>2192</v>
      </c>
      <c r="Q55" s="49">
        <v>0</v>
      </c>
      <c r="R55" s="49" t="s">
        <v>2193</v>
      </c>
      <c r="S55" s="49" t="s">
        <v>2194</v>
      </c>
      <c r="T55" s="49" t="s">
        <v>2195</v>
      </c>
      <c r="U55" s="49" t="s">
        <v>655</v>
      </c>
      <c r="V55" s="49" t="e">
        <v>#REF!</v>
      </c>
      <c r="AC55" s="49"/>
      <c r="AD55" s="49"/>
    </row>
    <row r="56" spans="1:30" hidden="1" x14ac:dyDescent="0.3">
      <c r="A56" s="49" t="s">
        <v>2196</v>
      </c>
      <c r="B56" s="49">
        <v>0</v>
      </c>
      <c r="C56" s="49">
        <v>1</v>
      </c>
      <c r="D56" s="72" t="e">
        <v>#N/A</v>
      </c>
      <c r="E56" s="74">
        <v>1</v>
      </c>
      <c r="F56" s="73" t="s">
        <v>645</v>
      </c>
      <c r="G56" s="49">
        <v>0</v>
      </c>
      <c r="H56" s="49" t="s">
        <v>2197</v>
      </c>
      <c r="I56" s="49" t="s">
        <v>2200</v>
      </c>
      <c r="J56" s="49" t="s">
        <v>2198</v>
      </c>
      <c r="K56" s="49" t="s">
        <v>2199</v>
      </c>
      <c r="L56" s="49">
        <v>0</v>
      </c>
      <c r="M56" s="75" t="s">
        <v>1745</v>
      </c>
      <c r="N56" s="49" t="s">
        <v>2201</v>
      </c>
      <c r="P56" s="49" t="s">
        <v>2202</v>
      </c>
      <c r="Q56" s="49">
        <v>0</v>
      </c>
      <c r="R56" s="49" t="s">
        <v>2203</v>
      </c>
      <c r="S56" s="49" t="s">
        <v>2204</v>
      </c>
      <c r="T56" s="49" t="s">
        <v>2205</v>
      </c>
      <c r="U56" s="49" t="s">
        <v>655</v>
      </c>
      <c r="V56" s="49" t="e">
        <v>#REF!</v>
      </c>
      <c r="AC56" s="49"/>
      <c r="AD56" s="49"/>
    </row>
    <row r="57" spans="1:30" hidden="1" x14ac:dyDescent="0.3">
      <c r="A57" s="49" t="s">
        <v>2206</v>
      </c>
      <c r="B57" s="49">
        <v>0</v>
      </c>
      <c r="C57" s="49"/>
      <c r="D57" s="72" t="e">
        <v>#N/A</v>
      </c>
      <c r="E57" s="73">
        <v>0</v>
      </c>
      <c r="F57" s="49"/>
      <c r="G57" s="49"/>
      <c r="H57" s="49" t="s">
        <v>2207</v>
      </c>
      <c r="I57" s="49" t="s">
        <v>2210</v>
      </c>
      <c r="J57" s="49" t="s">
        <v>2208</v>
      </c>
      <c r="K57" s="49" t="s">
        <v>2209</v>
      </c>
      <c r="L57" s="49">
        <v>0</v>
      </c>
      <c r="M57" s="49" t="s">
        <v>1734</v>
      </c>
      <c r="N57" s="49" t="s">
        <v>2211</v>
      </c>
      <c r="P57" s="49" t="s">
        <v>2212</v>
      </c>
      <c r="Q57" s="49">
        <v>0</v>
      </c>
      <c r="R57" s="49" t="s">
        <v>2213</v>
      </c>
      <c r="S57" s="49" t="s">
        <v>2214</v>
      </c>
      <c r="T57" s="49" t="s">
        <v>2215</v>
      </c>
      <c r="U57" s="49" t="s">
        <v>655</v>
      </c>
      <c r="V57" s="49" t="e">
        <v>#REF!</v>
      </c>
      <c r="AC57" s="49"/>
      <c r="AD57" s="49"/>
    </row>
    <row r="58" spans="1:30" hidden="1" x14ac:dyDescent="0.3">
      <c r="A58" s="49" t="s">
        <v>2216</v>
      </c>
      <c r="B58" s="49">
        <v>0</v>
      </c>
      <c r="C58" s="49">
        <v>1</v>
      </c>
      <c r="D58" s="72" t="e">
        <v>#N/A</v>
      </c>
      <c r="E58" s="74">
        <v>1</v>
      </c>
      <c r="F58" s="73">
        <v>1</v>
      </c>
      <c r="G58" s="49">
        <v>0</v>
      </c>
      <c r="H58" s="49" t="s">
        <v>2217</v>
      </c>
      <c r="I58" s="49" t="s">
        <v>2221</v>
      </c>
      <c r="J58" s="49" t="s">
        <v>2218</v>
      </c>
      <c r="K58" s="49" t="s">
        <v>2219</v>
      </c>
      <c r="L58" s="49">
        <v>0</v>
      </c>
      <c r="M58" s="75" t="s">
        <v>2220</v>
      </c>
      <c r="N58" s="49" t="s">
        <v>2222</v>
      </c>
      <c r="O58" s="49">
        <v>3</v>
      </c>
      <c r="P58" s="49" t="s">
        <v>2223</v>
      </c>
      <c r="Q58" s="49">
        <v>0</v>
      </c>
      <c r="R58" s="49" t="s">
        <v>2224</v>
      </c>
      <c r="S58" s="49" t="s">
        <v>2225</v>
      </c>
      <c r="T58" s="49" t="s">
        <v>646</v>
      </c>
      <c r="U58" s="49" t="s">
        <v>655</v>
      </c>
      <c r="V58" s="49" t="e">
        <v>#REF!</v>
      </c>
      <c r="AC58" s="49"/>
      <c r="AD58" s="49"/>
    </row>
    <row r="59" spans="1:30" hidden="1" x14ac:dyDescent="0.3">
      <c r="A59" s="49" t="s">
        <v>2226</v>
      </c>
      <c r="B59" s="49">
        <v>0</v>
      </c>
      <c r="C59" s="49"/>
      <c r="D59" s="72" t="e">
        <v>#N/A</v>
      </c>
      <c r="E59" s="73">
        <v>0</v>
      </c>
      <c r="F59" s="49"/>
      <c r="G59" s="49"/>
      <c r="H59" s="49" t="s">
        <v>646</v>
      </c>
      <c r="I59" s="49" t="s">
        <v>2229</v>
      </c>
      <c r="J59" s="49" t="s">
        <v>2227</v>
      </c>
      <c r="K59" s="49" t="s">
        <v>2228</v>
      </c>
      <c r="L59" s="49">
        <v>0</v>
      </c>
      <c r="M59" s="49" t="s">
        <v>2220</v>
      </c>
      <c r="N59" s="49" t="s">
        <v>2230</v>
      </c>
      <c r="O59" s="49">
        <v>1</v>
      </c>
      <c r="P59" s="49" t="s">
        <v>2231</v>
      </c>
      <c r="Q59" s="49">
        <v>0</v>
      </c>
      <c r="R59" s="49" t="s">
        <v>2232</v>
      </c>
      <c r="S59" s="49" t="s">
        <v>2233</v>
      </c>
      <c r="T59" s="49" t="s">
        <v>646</v>
      </c>
      <c r="U59" s="49" t="s">
        <v>670</v>
      </c>
      <c r="V59" s="49" t="e">
        <v>#REF!</v>
      </c>
      <c r="AC59" s="49"/>
      <c r="AD59" s="49"/>
    </row>
    <row r="60" spans="1:30" hidden="1" x14ac:dyDescent="0.3">
      <c r="A60" s="49" t="s">
        <v>2234</v>
      </c>
      <c r="B60" s="49">
        <v>0</v>
      </c>
      <c r="C60" s="49">
        <v>1</v>
      </c>
      <c r="D60" s="72" t="e">
        <v>#N/A</v>
      </c>
      <c r="E60" s="74" t="s">
        <v>645</v>
      </c>
      <c r="F60" s="73">
        <v>1</v>
      </c>
      <c r="G60" s="49">
        <v>0</v>
      </c>
      <c r="H60" s="49" t="s">
        <v>2235</v>
      </c>
      <c r="I60" s="49" t="s">
        <v>2238</v>
      </c>
      <c r="J60" s="49" t="s">
        <v>2236</v>
      </c>
      <c r="K60" s="49" t="s">
        <v>2237</v>
      </c>
      <c r="L60" s="49">
        <v>0</v>
      </c>
      <c r="M60" s="75" t="s">
        <v>1734</v>
      </c>
      <c r="N60" s="49" t="s">
        <v>2239</v>
      </c>
      <c r="P60" s="49" t="s">
        <v>2240</v>
      </c>
      <c r="Q60" s="49">
        <v>0</v>
      </c>
      <c r="R60" s="49" t="s">
        <v>2241</v>
      </c>
      <c r="S60" s="49" t="s">
        <v>2242</v>
      </c>
      <c r="T60" s="49" t="s">
        <v>646</v>
      </c>
      <c r="U60" s="49" t="s">
        <v>670</v>
      </c>
      <c r="V60" s="49" t="e">
        <v>#REF!</v>
      </c>
      <c r="AC60" s="49"/>
      <c r="AD60" s="49"/>
    </row>
    <row r="61" spans="1:30" x14ac:dyDescent="0.3">
      <c r="A61" s="49" t="s">
        <v>2244</v>
      </c>
      <c r="B61" s="49" t="s">
        <v>2243</v>
      </c>
      <c r="C61" s="49">
        <v>1</v>
      </c>
      <c r="D61" s="72" t="s">
        <v>1773</v>
      </c>
      <c r="E61" s="74" t="s">
        <v>645</v>
      </c>
      <c r="F61" s="73">
        <v>1</v>
      </c>
      <c r="G61" s="49">
        <v>1</v>
      </c>
      <c r="H61" s="49" t="s">
        <v>2245</v>
      </c>
      <c r="I61" s="49" t="s">
        <v>728</v>
      </c>
      <c r="J61" s="49" t="s">
        <v>729</v>
      </c>
      <c r="K61" s="49" t="s">
        <v>2246</v>
      </c>
      <c r="L61" s="49">
        <v>0</v>
      </c>
      <c r="M61" s="75" t="s">
        <v>1745</v>
      </c>
      <c r="N61" s="49" t="s">
        <v>1167</v>
      </c>
      <c r="P61" s="49" t="s">
        <v>2247</v>
      </c>
      <c r="Q61" s="49">
        <v>0</v>
      </c>
      <c r="R61" s="49" t="s">
        <v>2248</v>
      </c>
      <c r="S61" s="49" t="s">
        <v>2249</v>
      </c>
      <c r="T61" s="49" t="s">
        <v>646</v>
      </c>
      <c r="U61" s="49" t="s">
        <v>670</v>
      </c>
      <c r="V61" s="49" t="e">
        <v>#REF!</v>
      </c>
      <c r="AC61" s="49"/>
      <c r="AD61" s="49"/>
    </row>
    <row r="62" spans="1:30" hidden="1" x14ac:dyDescent="0.3">
      <c r="A62" s="49" t="s">
        <v>2250</v>
      </c>
      <c r="B62" s="49">
        <v>0</v>
      </c>
      <c r="C62" s="49"/>
      <c r="D62" s="72" t="e">
        <v>#N/A</v>
      </c>
      <c r="E62" s="73">
        <v>0</v>
      </c>
      <c r="F62" s="49"/>
      <c r="G62" s="49"/>
      <c r="H62" s="49" t="s">
        <v>2251</v>
      </c>
      <c r="I62" s="49" t="s">
        <v>2254</v>
      </c>
      <c r="J62" s="49" t="s">
        <v>2252</v>
      </c>
      <c r="K62" s="49" t="s">
        <v>2253</v>
      </c>
      <c r="L62" s="49">
        <v>0</v>
      </c>
      <c r="M62" s="49" t="s">
        <v>1745</v>
      </c>
      <c r="N62" s="49" t="s">
        <v>2255</v>
      </c>
      <c r="O62" s="49">
        <v>3</v>
      </c>
      <c r="P62" s="49" t="s">
        <v>2256</v>
      </c>
      <c r="Q62" s="49">
        <v>0</v>
      </c>
      <c r="R62" s="49" t="s">
        <v>2257</v>
      </c>
      <c r="S62" s="49" t="s">
        <v>2258</v>
      </c>
      <c r="T62" s="49" t="s">
        <v>646</v>
      </c>
      <c r="U62" s="49" t="s">
        <v>655</v>
      </c>
      <c r="V62" s="49" t="e">
        <v>#REF!</v>
      </c>
      <c r="AC62" s="49"/>
      <c r="AD62" s="49"/>
    </row>
    <row r="63" spans="1:30" hidden="1" x14ac:dyDescent="0.3">
      <c r="A63" s="49" t="s">
        <v>2259</v>
      </c>
      <c r="B63" s="49">
        <v>0</v>
      </c>
      <c r="C63" s="49"/>
      <c r="D63" s="72" t="e">
        <v>#N/A</v>
      </c>
      <c r="E63" s="73">
        <v>0</v>
      </c>
      <c r="F63" s="49"/>
      <c r="G63" s="49"/>
      <c r="H63" s="49" t="s">
        <v>2260</v>
      </c>
      <c r="I63" s="49" t="s">
        <v>2263</v>
      </c>
      <c r="J63" s="49" t="s">
        <v>2261</v>
      </c>
      <c r="K63" s="49" t="s">
        <v>2262</v>
      </c>
      <c r="L63" s="49">
        <v>0</v>
      </c>
      <c r="M63" s="49" t="s">
        <v>1734</v>
      </c>
      <c r="N63" s="49" t="s">
        <v>1958</v>
      </c>
      <c r="O63" s="49">
        <v>2</v>
      </c>
      <c r="P63" s="49" t="s">
        <v>2264</v>
      </c>
      <c r="Q63" s="49">
        <v>0</v>
      </c>
      <c r="R63" s="49" t="s">
        <v>2265</v>
      </c>
      <c r="S63" s="49" t="s">
        <v>2266</v>
      </c>
      <c r="T63" s="49" t="s">
        <v>2267</v>
      </c>
      <c r="U63" s="49" t="s">
        <v>655</v>
      </c>
      <c r="V63" s="49" t="e">
        <v>#REF!</v>
      </c>
      <c r="AC63" s="49"/>
      <c r="AD63" s="49"/>
    </row>
    <row r="64" spans="1:30" hidden="1" x14ac:dyDescent="0.3">
      <c r="A64" s="49" t="s">
        <v>2268</v>
      </c>
      <c r="B64" s="49">
        <v>0</v>
      </c>
      <c r="C64" s="49"/>
      <c r="D64" s="72" t="e">
        <v>#N/A</v>
      </c>
      <c r="E64" s="73">
        <v>0</v>
      </c>
      <c r="F64" s="49"/>
      <c r="G64" s="49"/>
      <c r="H64" s="49" t="s">
        <v>2269</v>
      </c>
      <c r="I64" s="49" t="s">
        <v>2272</v>
      </c>
      <c r="J64" s="49" t="s">
        <v>2270</v>
      </c>
      <c r="K64" s="49" t="s">
        <v>2271</v>
      </c>
      <c r="L64" s="49">
        <v>0</v>
      </c>
      <c r="M64" s="49" t="s">
        <v>1745</v>
      </c>
      <c r="N64" s="49" t="s">
        <v>687</v>
      </c>
      <c r="P64" s="49" t="s">
        <v>2273</v>
      </c>
      <c r="Q64" s="49">
        <v>0</v>
      </c>
      <c r="R64" s="49" t="s">
        <v>2274</v>
      </c>
      <c r="S64" s="49" t="s">
        <v>2275</v>
      </c>
      <c r="T64" s="49" t="s">
        <v>646</v>
      </c>
      <c r="U64" s="49" t="s">
        <v>670</v>
      </c>
      <c r="V64" s="49" t="e">
        <v>#REF!</v>
      </c>
      <c r="AC64" s="49"/>
      <c r="AD64" s="49"/>
    </row>
    <row r="65" spans="1:30" hidden="1" x14ac:dyDescent="0.3">
      <c r="A65" s="49" t="s">
        <v>2276</v>
      </c>
      <c r="B65" s="49">
        <v>0</v>
      </c>
      <c r="C65" s="49">
        <v>1</v>
      </c>
      <c r="D65" s="72" t="e">
        <v>#N/A</v>
      </c>
      <c r="E65" s="74" t="s">
        <v>645</v>
      </c>
      <c r="F65" s="73">
        <v>1</v>
      </c>
      <c r="G65" s="49">
        <v>0</v>
      </c>
      <c r="H65" s="49" t="s">
        <v>2277</v>
      </c>
      <c r="I65" s="49" t="s">
        <v>2280</v>
      </c>
      <c r="J65" s="49" t="s">
        <v>2278</v>
      </c>
      <c r="K65" s="49" t="s">
        <v>2279</v>
      </c>
      <c r="L65" s="49">
        <v>0</v>
      </c>
      <c r="M65" s="75" t="s">
        <v>1734</v>
      </c>
      <c r="N65" s="49" t="s">
        <v>687</v>
      </c>
      <c r="P65" s="49" t="s">
        <v>2281</v>
      </c>
      <c r="Q65" s="49">
        <v>0</v>
      </c>
      <c r="R65" s="49" t="s">
        <v>2282</v>
      </c>
      <c r="S65" s="49" t="s">
        <v>2283</v>
      </c>
      <c r="T65" s="49" t="s">
        <v>646</v>
      </c>
      <c r="U65" s="49" t="s">
        <v>670</v>
      </c>
      <c r="V65" s="49" t="e">
        <v>#REF!</v>
      </c>
      <c r="AC65" s="49"/>
      <c r="AD65" s="49"/>
    </row>
    <row r="66" spans="1:30" hidden="1" x14ac:dyDescent="0.3">
      <c r="A66" s="49" t="s">
        <v>2284</v>
      </c>
      <c r="B66" s="49">
        <v>0</v>
      </c>
      <c r="C66" s="49"/>
      <c r="D66" s="72" t="e">
        <v>#N/A</v>
      </c>
      <c r="E66" s="73">
        <v>0</v>
      </c>
      <c r="F66" s="49"/>
      <c r="G66" s="49"/>
      <c r="H66" s="49" t="s">
        <v>2285</v>
      </c>
      <c r="I66" s="49" t="s">
        <v>2288</v>
      </c>
      <c r="J66" s="49" t="s">
        <v>2286</v>
      </c>
      <c r="K66" s="49" t="s">
        <v>2287</v>
      </c>
      <c r="L66" s="49">
        <v>0</v>
      </c>
      <c r="M66" s="49" t="s">
        <v>1826</v>
      </c>
      <c r="N66" s="49" t="s">
        <v>2289</v>
      </c>
      <c r="O66" s="49">
        <v>1</v>
      </c>
      <c r="P66" s="49" t="s">
        <v>2290</v>
      </c>
      <c r="Q66" s="49">
        <v>0</v>
      </c>
      <c r="R66" s="49" t="s">
        <v>2291</v>
      </c>
      <c r="S66" s="49" t="s">
        <v>2292</v>
      </c>
      <c r="T66" s="49" t="s">
        <v>646</v>
      </c>
      <c r="U66" s="49" t="s">
        <v>670</v>
      </c>
      <c r="V66" s="49" t="e">
        <v>#REF!</v>
      </c>
      <c r="AC66" s="49"/>
      <c r="AD66" s="49"/>
    </row>
    <row r="67" spans="1:30" hidden="1" x14ac:dyDescent="0.3">
      <c r="A67" s="49" t="s">
        <v>2293</v>
      </c>
      <c r="B67" s="49">
        <v>0</v>
      </c>
      <c r="C67" s="49"/>
      <c r="D67" s="72" t="e">
        <v>#N/A</v>
      </c>
      <c r="E67" s="73">
        <v>0</v>
      </c>
      <c r="F67" s="49"/>
      <c r="G67" s="49"/>
      <c r="H67" s="49" t="s">
        <v>2294</v>
      </c>
      <c r="I67" s="49" t="s">
        <v>2297</v>
      </c>
      <c r="J67" s="49" t="s">
        <v>2295</v>
      </c>
      <c r="K67" s="49" t="s">
        <v>2296</v>
      </c>
      <c r="L67" s="49">
        <v>0</v>
      </c>
      <c r="M67" s="49" t="s">
        <v>1745</v>
      </c>
      <c r="N67" s="49" t="s">
        <v>2016</v>
      </c>
      <c r="O67" s="49">
        <v>1</v>
      </c>
      <c r="P67" s="49" t="s">
        <v>2298</v>
      </c>
      <c r="Q67" s="49">
        <v>0</v>
      </c>
      <c r="R67" s="49" t="s">
        <v>2299</v>
      </c>
      <c r="S67" s="49" t="s">
        <v>2300</v>
      </c>
      <c r="T67" s="49" t="s">
        <v>2301</v>
      </c>
      <c r="U67" s="49" t="s">
        <v>655</v>
      </c>
      <c r="V67" s="49" t="e">
        <v>#REF!</v>
      </c>
      <c r="AC67" s="49"/>
      <c r="AD67" s="49"/>
    </row>
    <row r="68" spans="1:30" hidden="1" x14ac:dyDescent="0.3">
      <c r="A68" s="49" t="s">
        <v>2302</v>
      </c>
      <c r="B68" s="49">
        <v>0</v>
      </c>
      <c r="C68" s="49"/>
      <c r="D68" s="72" t="e">
        <v>#N/A</v>
      </c>
      <c r="E68" s="73">
        <v>0</v>
      </c>
      <c r="F68" s="49"/>
      <c r="G68" s="49"/>
      <c r="H68" s="49" t="s">
        <v>2303</v>
      </c>
      <c r="I68" s="49" t="s">
        <v>2306</v>
      </c>
      <c r="J68" s="49" t="s">
        <v>2304</v>
      </c>
      <c r="K68" s="49" t="s">
        <v>2305</v>
      </c>
      <c r="L68" s="49">
        <v>0</v>
      </c>
      <c r="M68" s="49" t="s">
        <v>1745</v>
      </c>
      <c r="N68" s="49" t="s">
        <v>2307</v>
      </c>
      <c r="O68" s="49">
        <v>1</v>
      </c>
      <c r="P68" s="49" t="s">
        <v>2308</v>
      </c>
      <c r="Q68" s="49">
        <v>0</v>
      </c>
      <c r="R68" s="49" t="s">
        <v>2309</v>
      </c>
      <c r="S68" s="49" t="s">
        <v>2310</v>
      </c>
      <c r="T68" s="49" t="s">
        <v>2311</v>
      </c>
      <c r="U68" s="49" t="s">
        <v>655</v>
      </c>
      <c r="V68" s="49" t="e">
        <v>#REF!</v>
      </c>
      <c r="AC68" s="49"/>
      <c r="AD68" s="49"/>
    </row>
    <row r="69" spans="1:30" hidden="1" x14ac:dyDescent="0.3">
      <c r="A69" s="49" t="s">
        <v>2312</v>
      </c>
      <c r="B69" s="49">
        <v>0</v>
      </c>
      <c r="C69" s="49"/>
      <c r="D69" s="72" t="e">
        <v>#N/A</v>
      </c>
      <c r="E69" s="73">
        <v>0</v>
      </c>
      <c r="F69" s="49"/>
      <c r="G69" s="49"/>
      <c r="H69" s="49" t="s">
        <v>2313</v>
      </c>
      <c r="I69" s="49" t="s">
        <v>2316</v>
      </c>
      <c r="J69" s="49" t="s">
        <v>2314</v>
      </c>
      <c r="K69" s="49" t="s">
        <v>2315</v>
      </c>
      <c r="L69" s="49">
        <v>0</v>
      </c>
      <c r="M69" s="49" t="s">
        <v>1734</v>
      </c>
      <c r="N69" s="49" t="s">
        <v>2317</v>
      </c>
      <c r="P69" s="49" t="s">
        <v>2318</v>
      </c>
      <c r="Q69" s="49">
        <v>0</v>
      </c>
      <c r="R69" s="49" t="s">
        <v>2319</v>
      </c>
      <c r="S69" s="49" t="s">
        <v>2320</v>
      </c>
      <c r="T69" s="49" t="s">
        <v>2321</v>
      </c>
      <c r="U69" s="49" t="s">
        <v>655</v>
      </c>
      <c r="V69" s="49" t="e">
        <v>#REF!</v>
      </c>
      <c r="AC69" s="49"/>
      <c r="AD69" s="49"/>
    </row>
    <row r="70" spans="1:30" hidden="1" x14ac:dyDescent="0.3">
      <c r="A70" s="49" t="s">
        <v>2322</v>
      </c>
      <c r="B70" s="49">
        <v>0</v>
      </c>
      <c r="C70" s="49">
        <v>1</v>
      </c>
      <c r="D70" s="72" t="e">
        <v>#N/A</v>
      </c>
      <c r="E70" s="74">
        <v>1</v>
      </c>
      <c r="F70" s="73">
        <v>1</v>
      </c>
      <c r="G70" s="49">
        <v>0</v>
      </c>
      <c r="H70" s="49" t="s">
        <v>2323</v>
      </c>
      <c r="I70" s="49" t="s">
        <v>2326</v>
      </c>
      <c r="J70" s="49" t="s">
        <v>2324</v>
      </c>
      <c r="K70" s="49" t="s">
        <v>2325</v>
      </c>
      <c r="L70" s="49">
        <v>0</v>
      </c>
      <c r="M70" s="75" t="s">
        <v>1734</v>
      </c>
      <c r="N70" s="49" t="s">
        <v>2327</v>
      </c>
      <c r="P70" s="49" t="s">
        <v>2328</v>
      </c>
      <c r="Q70" s="49">
        <v>0</v>
      </c>
      <c r="R70" s="49" t="s">
        <v>2329</v>
      </c>
      <c r="S70" s="49" t="s">
        <v>2330</v>
      </c>
      <c r="T70" s="49" t="s">
        <v>646</v>
      </c>
      <c r="U70" s="49" t="s">
        <v>670</v>
      </c>
      <c r="V70" s="49" t="e">
        <v>#REF!</v>
      </c>
      <c r="AC70" s="49"/>
      <c r="AD70" s="49"/>
    </row>
    <row r="71" spans="1:30" hidden="1" x14ac:dyDescent="0.3">
      <c r="A71" s="49" t="s">
        <v>2331</v>
      </c>
      <c r="B71" s="49">
        <v>0</v>
      </c>
      <c r="C71" s="49"/>
      <c r="D71" s="72" t="e">
        <v>#N/A</v>
      </c>
      <c r="E71" s="73">
        <v>0</v>
      </c>
      <c r="F71" s="49"/>
      <c r="G71" s="49"/>
      <c r="H71" s="49" t="s">
        <v>2332</v>
      </c>
      <c r="I71" s="49" t="s">
        <v>2335</v>
      </c>
      <c r="J71" s="49" t="s">
        <v>2333</v>
      </c>
      <c r="K71" s="49" t="s">
        <v>2334</v>
      </c>
      <c r="L71" s="49">
        <v>0</v>
      </c>
      <c r="M71" s="49" t="s">
        <v>1745</v>
      </c>
      <c r="N71" s="49" t="s">
        <v>2336</v>
      </c>
      <c r="P71" s="49" t="s">
        <v>2337</v>
      </c>
      <c r="Q71" s="49">
        <v>0</v>
      </c>
      <c r="R71" s="49" t="s">
        <v>2338</v>
      </c>
      <c r="S71" s="49" t="s">
        <v>2339</v>
      </c>
      <c r="T71" s="49" t="s">
        <v>646</v>
      </c>
      <c r="U71" s="49" t="s">
        <v>670</v>
      </c>
      <c r="V71" s="49" t="e">
        <v>#REF!</v>
      </c>
      <c r="AC71" s="49"/>
      <c r="AD71" s="49"/>
    </row>
    <row r="72" spans="1:30" hidden="1" x14ac:dyDescent="0.3">
      <c r="A72" s="49" t="s">
        <v>2340</v>
      </c>
      <c r="B72" s="49">
        <v>0</v>
      </c>
      <c r="C72" s="49"/>
      <c r="D72" s="72" t="e">
        <v>#N/A</v>
      </c>
      <c r="E72" s="73">
        <v>0</v>
      </c>
      <c r="F72" s="49"/>
      <c r="G72" s="49"/>
      <c r="H72" s="49" t="s">
        <v>2341</v>
      </c>
      <c r="I72" s="49" t="s">
        <v>2344</v>
      </c>
      <c r="J72" s="49" t="s">
        <v>2342</v>
      </c>
      <c r="K72" s="49" t="s">
        <v>2343</v>
      </c>
      <c r="L72" s="49">
        <v>0</v>
      </c>
      <c r="M72" s="49" t="s">
        <v>1745</v>
      </c>
      <c r="N72" s="49" t="s">
        <v>2345</v>
      </c>
      <c r="O72" s="49">
        <v>1</v>
      </c>
      <c r="P72" s="49" t="s">
        <v>2346</v>
      </c>
      <c r="Q72" s="49">
        <v>0</v>
      </c>
      <c r="R72" s="49" t="s">
        <v>2347</v>
      </c>
      <c r="S72" s="49" t="s">
        <v>2348</v>
      </c>
      <c r="T72" s="49" t="s">
        <v>2349</v>
      </c>
      <c r="U72" s="49" t="s">
        <v>655</v>
      </c>
      <c r="V72" s="49" t="e">
        <v>#REF!</v>
      </c>
      <c r="AC72" s="49"/>
      <c r="AD72" s="49"/>
    </row>
    <row r="73" spans="1:30" hidden="1" x14ac:dyDescent="0.3">
      <c r="A73" s="49" t="s">
        <v>2350</v>
      </c>
      <c r="B73" s="49">
        <v>0</v>
      </c>
      <c r="C73" s="49"/>
      <c r="D73" s="72" t="e">
        <v>#N/A</v>
      </c>
      <c r="E73" s="73">
        <v>0</v>
      </c>
      <c r="F73" s="49"/>
      <c r="G73" s="49"/>
      <c r="H73" s="49" t="s">
        <v>2351</v>
      </c>
      <c r="I73" s="49" t="s">
        <v>2354</v>
      </c>
      <c r="J73" s="49" t="s">
        <v>2352</v>
      </c>
      <c r="K73" s="49" t="s">
        <v>2353</v>
      </c>
      <c r="L73" s="49">
        <v>0</v>
      </c>
      <c r="M73" s="49" t="s">
        <v>1734</v>
      </c>
      <c r="N73" s="49" t="s">
        <v>697</v>
      </c>
      <c r="P73" s="49" t="s">
        <v>2355</v>
      </c>
      <c r="Q73" s="49">
        <v>0</v>
      </c>
      <c r="R73" s="49" t="s">
        <v>2356</v>
      </c>
      <c r="S73" s="49" t="s">
        <v>2357</v>
      </c>
      <c r="T73" s="49" t="s">
        <v>2358</v>
      </c>
      <c r="U73" s="49" t="s">
        <v>655</v>
      </c>
      <c r="V73" s="49" t="e">
        <v>#REF!</v>
      </c>
      <c r="AC73" s="49"/>
      <c r="AD73" s="49"/>
    </row>
    <row r="74" spans="1:30" hidden="1" x14ac:dyDescent="0.3">
      <c r="A74" s="49" t="s">
        <v>2359</v>
      </c>
      <c r="B74" s="49">
        <v>0</v>
      </c>
      <c r="C74" s="49"/>
      <c r="D74" s="72" t="e">
        <v>#N/A</v>
      </c>
      <c r="E74" s="73">
        <v>0</v>
      </c>
      <c r="F74" s="49"/>
      <c r="G74" s="49"/>
      <c r="H74" s="49" t="s">
        <v>2360</v>
      </c>
      <c r="I74" s="49" t="s">
        <v>2363</v>
      </c>
      <c r="J74" s="49" t="s">
        <v>2361</v>
      </c>
      <c r="K74" s="49" t="s">
        <v>2362</v>
      </c>
      <c r="L74" s="49">
        <v>0</v>
      </c>
      <c r="M74" s="49" t="s">
        <v>1865</v>
      </c>
      <c r="N74" s="49" t="s">
        <v>2364</v>
      </c>
      <c r="O74" s="49">
        <v>2</v>
      </c>
      <c r="P74" s="49" t="s">
        <v>2365</v>
      </c>
      <c r="Q74" s="49">
        <v>0</v>
      </c>
      <c r="R74" s="49" t="s">
        <v>2366</v>
      </c>
      <c r="S74" s="49" t="s">
        <v>2367</v>
      </c>
      <c r="T74" s="49" t="s">
        <v>646</v>
      </c>
      <c r="U74" s="49" t="s">
        <v>655</v>
      </c>
      <c r="V74" s="49" t="e">
        <v>#REF!</v>
      </c>
      <c r="AC74" s="49"/>
      <c r="AD74" s="49"/>
    </row>
    <row r="75" spans="1:30" hidden="1" x14ac:dyDescent="0.3">
      <c r="A75" s="49" t="s">
        <v>2368</v>
      </c>
      <c r="B75" s="49">
        <v>0</v>
      </c>
      <c r="C75" s="49"/>
      <c r="D75" s="72" t="e">
        <v>#N/A</v>
      </c>
      <c r="E75" s="73">
        <v>0</v>
      </c>
      <c r="F75" s="49"/>
      <c r="G75" s="49"/>
      <c r="H75" s="49" t="s">
        <v>2369</v>
      </c>
      <c r="I75" s="49" t="s">
        <v>2372</v>
      </c>
      <c r="J75" s="49" t="s">
        <v>2370</v>
      </c>
      <c r="K75" s="49" t="s">
        <v>2371</v>
      </c>
      <c r="L75" s="49">
        <v>0</v>
      </c>
      <c r="M75" s="49" t="s">
        <v>1826</v>
      </c>
      <c r="N75" s="49" t="s">
        <v>1958</v>
      </c>
      <c r="O75" s="49">
        <v>1</v>
      </c>
      <c r="P75" s="49" t="s">
        <v>2373</v>
      </c>
      <c r="Q75" s="49">
        <v>0</v>
      </c>
      <c r="R75" s="49" t="s">
        <v>2374</v>
      </c>
      <c r="S75" s="49" t="s">
        <v>2375</v>
      </c>
      <c r="T75" s="49" t="s">
        <v>2376</v>
      </c>
      <c r="U75" s="49" t="s">
        <v>655</v>
      </c>
      <c r="V75" s="49" t="e">
        <v>#REF!</v>
      </c>
      <c r="AC75" s="49"/>
      <c r="AD75" s="49"/>
    </row>
    <row r="76" spans="1:30" hidden="1" x14ac:dyDescent="0.3">
      <c r="A76" s="49" t="s">
        <v>2377</v>
      </c>
      <c r="B76" s="49">
        <v>0</v>
      </c>
      <c r="C76" s="49"/>
      <c r="D76" s="72" t="e">
        <v>#N/A</v>
      </c>
      <c r="E76" s="73">
        <v>0</v>
      </c>
      <c r="F76" s="49"/>
      <c r="G76" s="49"/>
      <c r="H76" s="49" t="s">
        <v>2378</v>
      </c>
      <c r="I76" s="49" t="s">
        <v>2381</v>
      </c>
      <c r="J76" s="49" t="s">
        <v>2379</v>
      </c>
      <c r="K76" s="49" t="s">
        <v>2380</v>
      </c>
      <c r="L76" s="49">
        <v>0</v>
      </c>
      <c r="M76" s="49" t="s">
        <v>1734</v>
      </c>
      <c r="N76" s="49" t="s">
        <v>1736</v>
      </c>
      <c r="O76" s="49">
        <v>1</v>
      </c>
      <c r="P76" s="49" t="s">
        <v>2382</v>
      </c>
      <c r="Q76" s="49">
        <v>0</v>
      </c>
      <c r="R76" s="49" t="s">
        <v>2383</v>
      </c>
      <c r="S76" s="49" t="s">
        <v>2384</v>
      </c>
      <c r="T76" s="49" t="s">
        <v>2385</v>
      </c>
      <c r="U76" s="49" t="s">
        <v>655</v>
      </c>
      <c r="V76" s="49" t="e">
        <v>#REF!</v>
      </c>
      <c r="AC76" s="49"/>
      <c r="AD76" s="49"/>
    </row>
    <row r="77" spans="1:30" hidden="1" x14ac:dyDescent="0.3">
      <c r="A77" s="49" t="s">
        <v>2386</v>
      </c>
      <c r="B77" s="49">
        <v>0</v>
      </c>
      <c r="C77" s="49"/>
      <c r="D77" s="72" t="e">
        <v>#N/A</v>
      </c>
      <c r="E77" s="73">
        <v>0</v>
      </c>
      <c r="F77" s="49"/>
      <c r="G77" s="49"/>
      <c r="H77" s="49" t="s">
        <v>2387</v>
      </c>
      <c r="I77" s="49" t="s">
        <v>2390</v>
      </c>
      <c r="J77" s="49" t="s">
        <v>2388</v>
      </c>
      <c r="K77" s="49" t="s">
        <v>2389</v>
      </c>
      <c r="L77" s="49">
        <v>0</v>
      </c>
      <c r="M77" s="49" t="s">
        <v>1734</v>
      </c>
      <c r="N77" s="49" t="s">
        <v>2391</v>
      </c>
      <c r="P77" s="49" t="s">
        <v>2392</v>
      </c>
      <c r="Q77" s="49">
        <v>0</v>
      </c>
      <c r="R77" s="49" t="s">
        <v>2393</v>
      </c>
      <c r="S77" s="49" t="s">
        <v>2394</v>
      </c>
      <c r="T77" s="49" t="s">
        <v>2395</v>
      </c>
      <c r="U77" s="49" t="s">
        <v>655</v>
      </c>
      <c r="V77" s="49" t="e">
        <v>#REF!</v>
      </c>
      <c r="AC77" s="49"/>
      <c r="AD77" s="49"/>
    </row>
    <row r="78" spans="1:30" hidden="1" x14ac:dyDescent="0.3">
      <c r="A78" s="49" t="s">
        <v>2396</v>
      </c>
      <c r="B78" s="49">
        <v>0</v>
      </c>
      <c r="C78" s="49"/>
      <c r="D78" s="72" t="e">
        <v>#N/A</v>
      </c>
      <c r="E78" s="73">
        <v>0</v>
      </c>
      <c r="F78" s="49"/>
      <c r="G78" s="49"/>
      <c r="H78" s="49" t="s">
        <v>2397</v>
      </c>
      <c r="I78" s="49" t="s">
        <v>2400</v>
      </c>
      <c r="J78" s="49" t="s">
        <v>2398</v>
      </c>
      <c r="K78" s="49" t="s">
        <v>2399</v>
      </c>
      <c r="L78" s="49">
        <v>0</v>
      </c>
      <c r="M78" s="49" t="s">
        <v>1865</v>
      </c>
      <c r="N78" s="49" t="s">
        <v>2401</v>
      </c>
      <c r="O78" s="49">
        <v>5</v>
      </c>
      <c r="P78" s="49" t="s">
        <v>2402</v>
      </c>
      <c r="Q78" s="49">
        <v>0</v>
      </c>
      <c r="R78" s="49" t="s">
        <v>2403</v>
      </c>
      <c r="S78" s="49" t="s">
        <v>2404</v>
      </c>
      <c r="T78" s="49" t="s">
        <v>646</v>
      </c>
      <c r="U78" s="49" t="s">
        <v>670</v>
      </c>
      <c r="V78" s="49" t="e">
        <v>#REF!</v>
      </c>
      <c r="AC78" s="49"/>
      <c r="AD78" s="49"/>
    </row>
    <row r="79" spans="1:30" hidden="1" x14ac:dyDescent="0.3">
      <c r="A79" s="49" t="s">
        <v>2405</v>
      </c>
      <c r="B79" s="49">
        <v>0</v>
      </c>
      <c r="C79" s="49"/>
      <c r="D79" s="72" t="e">
        <v>#N/A</v>
      </c>
      <c r="E79" s="73">
        <v>0</v>
      </c>
      <c r="F79" s="49"/>
      <c r="G79" s="49"/>
      <c r="H79" s="49" t="s">
        <v>646</v>
      </c>
      <c r="I79" s="49" t="s">
        <v>2408</v>
      </c>
      <c r="J79" s="49" t="s">
        <v>2406</v>
      </c>
      <c r="K79" s="49" t="s">
        <v>2407</v>
      </c>
      <c r="L79" s="49">
        <v>0</v>
      </c>
      <c r="M79" s="49" t="s">
        <v>1826</v>
      </c>
      <c r="N79" s="49" t="s">
        <v>2409</v>
      </c>
      <c r="O79" s="49">
        <v>6</v>
      </c>
      <c r="P79" s="49" t="s">
        <v>2410</v>
      </c>
      <c r="Q79" s="49">
        <v>0</v>
      </c>
      <c r="R79" s="49" t="s">
        <v>2411</v>
      </c>
      <c r="S79" s="49" t="s">
        <v>2412</v>
      </c>
      <c r="T79" s="49" t="s">
        <v>646</v>
      </c>
      <c r="U79" s="49" t="s">
        <v>670</v>
      </c>
      <c r="V79" s="49" t="e">
        <v>#REF!</v>
      </c>
      <c r="AC79" s="49"/>
      <c r="AD79" s="49"/>
    </row>
    <row r="80" spans="1:30" hidden="1" x14ac:dyDescent="0.3">
      <c r="A80" s="49" t="s">
        <v>2413</v>
      </c>
      <c r="B80" s="49">
        <v>0</v>
      </c>
      <c r="C80" s="49">
        <v>1</v>
      </c>
      <c r="D80" s="72" t="e">
        <v>#N/A</v>
      </c>
      <c r="E80" s="74" t="s">
        <v>645</v>
      </c>
      <c r="F80" s="73" t="s">
        <v>645</v>
      </c>
      <c r="G80" s="49">
        <v>0</v>
      </c>
      <c r="H80" s="49" t="s">
        <v>2414</v>
      </c>
      <c r="I80" s="49" t="s">
        <v>2417</v>
      </c>
      <c r="J80" s="49" t="s">
        <v>2415</v>
      </c>
      <c r="K80" s="49" t="s">
        <v>2416</v>
      </c>
      <c r="L80" s="49">
        <v>0</v>
      </c>
      <c r="M80" s="75" t="s">
        <v>1734</v>
      </c>
      <c r="N80" s="49" t="s">
        <v>2418</v>
      </c>
      <c r="P80" s="49" t="s">
        <v>2419</v>
      </c>
      <c r="Q80" s="49">
        <v>0</v>
      </c>
      <c r="R80" s="49" t="s">
        <v>2420</v>
      </c>
      <c r="S80" s="49" t="s">
        <v>2421</v>
      </c>
      <c r="T80" s="49" t="s">
        <v>2422</v>
      </c>
      <c r="U80" s="49" t="s">
        <v>655</v>
      </c>
      <c r="V80" s="49" t="e">
        <v>#REF!</v>
      </c>
      <c r="AC80" s="49"/>
      <c r="AD80" s="49"/>
    </row>
    <row r="81" spans="1:30" hidden="1" x14ac:dyDescent="0.3">
      <c r="A81" s="49" t="s">
        <v>2423</v>
      </c>
      <c r="B81" s="49">
        <v>0</v>
      </c>
      <c r="C81" s="49"/>
      <c r="D81" s="72" t="e">
        <v>#N/A</v>
      </c>
      <c r="E81" s="74" t="s">
        <v>645</v>
      </c>
      <c r="F81" s="73">
        <v>0</v>
      </c>
      <c r="G81" s="49"/>
      <c r="H81" s="49" t="s">
        <v>2424</v>
      </c>
      <c r="I81" s="49" t="s">
        <v>2427</v>
      </c>
      <c r="J81" s="49" t="s">
        <v>2425</v>
      </c>
      <c r="K81" s="49" t="s">
        <v>2426</v>
      </c>
      <c r="L81" s="49">
        <v>0</v>
      </c>
      <c r="M81" s="49" t="s">
        <v>1734</v>
      </c>
      <c r="N81" s="49" t="s">
        <v>2428</v>
      </c>
      <c r="P81" s="49" t="s">
        <v>2429</v>
      </c>
      <c r="Q81" s="49">
        <v>0</v>
      </c>
      <c r="R81" s="49" t="s">
        <v>2430</v>
      </c>
      <c r="S81" s="49" t="s">
        <v>2431</v>
      </c>
      <c r="T81" s="49" t="s">
        <v>2432</v>
      </c>
      <c r="U81" s="49" t="s">
        <v>655</v>
      </c>
      <c r="V81" s="49" t="e">
        <v>#REF!</v>
      </c>
      <c r="AC81" s="49"/>
      <c r="AD81" s="49"/>
    </row>
    <row r="82" spans="1:30" hidden="1" x14ac:dyDescent="0.3">
      <c r="A82" s="49" t="s">
        <v>2433</v>
      </c>
      <c r="B82" s="49">
        <v>0</v>
      </c>
      <c r="C82" s="49"/>
      <c r="D82" s="72" t="e">
        <v>#N/A</v>
      </c>
      <c r="E82" s="73">
        <v>0</v>
      </c>
      <c r="F82" s="49"/>
      <c r="G82" s="49"/>
      <c r="H82" s="49" t="s">
        <v>2434</v>
      </c>
      <c r="I82" s="49" t="s">
        <v>2437</v>
      </c>
      <c r="J82" s="49" t="s">
        <v>2435</v>
      </c>
      <c r="K82" s="49" t="s">
        <v>2436</v>
      </c>
      <c r="L82" s="49">
        <v>0</v>
      </c>
      <c r="M82" s="49" t="s">
        <v>1734</v>
      </c>
      <c r="N82" s="49" t="s">
        <v>2438</v>
      </c>
      <c r="P82" s="49" t="s">
        <v>2439</v>
      </c>
      <c r="Q82" s="49">
        <v>0</v>
      </c>
      <c r="R82" s="49" t="s">
        <v>2440</v>
      </c>
      <c r="S82" s="49" t="s">
        <v>2441</v>
      </c>
      <c r="T82" s="49" t="s">
        <v>2442</v>
      </c>
      <c r="U82" s="49" t="s">
        <v>655</v>
      </c>
      <c r="V82" s="49" t="e">
        <v>#REF!</v>
      </c>
      <c r="AC82" s="49"/>
      <c r="AD82" s="49"/>
    </row>
    <row r="83" spans="1:30" hidden="1" x14ac:dyDescent="0.3">
      <c r="A83" s="49" t="s">
        <v>2443</v>
      </c>
      <c r="B83" s="49">
        <v>0</v>
      </c>
      <c r="C83" s="49"/>
      <c r="D83" s="72" t="e">
        <v>#N/A</v>
      </c>
      <c r="E83" s="73">
        <v>0</v>
      </c>
      <c r="F83" s="49"/>
      <c r="G83" s="49"/>
      <c r="H83" s="49" t="s">
        <v>2444</v>
      </c>
      <c r="I83" s="49" t="s">
        <v>2447</v>
      </c>
      <c r="J83" s="49" t="s">
        <v>2445</v>
      </c>
      <c r="K83" s="49" t="s">
        <v>2446</v>
      </c>
      <c r="L83" s="49">
        <v>0</v>
      </c>
      <c r="M83" s="49" t="s">
        <v>1745</v>
      </c>
      <c r="N83" s="49" t="s">
        <v>2448</v>
      </c>
      <c r="P83" s="49" t="s">
        <v>2449</v>
      </c>
      <c r="Q83" s="49">
        <v>0</v>
      </c>
      <c r="R83" s="49" t="s">
        <v>2450</v>
      </c>
      <c r="S83" s="49" t="s">
        <v>2451</v>
      </c>
      <c r="T83" s="49" t="s">
        <v>2452</v>
      </c>
      <c r="U83" s="49" t="s">
        <v>655</v>
      </c>
      <c r="V83" s="49" t="e">
        <v>#REF!</v>
      </c>
      <c r="AC83" s="49"/>
      <c r="AD83" s="49"/>
    </row>
    <row r="84" spans="1:30" hidden="1" x14ac:dyDescent="0.3">
      <c r="A84" s="49" t="s">
        <v>2453</v>
      </c>
      <c r="B84" s="49">
        <v>0</v>
      </c>
      <c r="C84" s="49"/>
      <c r="D84" s="72" t="e">
        <v>#N/A</v>
      </c>
      <c r="E84" s="73">
        <v>0</v>
      </c>
      <c r="F84" s="49"/>
      <c r="G84" s="49"/>
      <c r="H84" s="49" t="s">
        <v>646</v>
      </c>
      <c r="I84" s="49" t="s">
        <v>2457</v>
      </c>
      <c r="J84" s="49" t="s">
        <v>2454</v>
      </c>
      <c r="K84" s="49" t="s">
        <v>2455</v>
      </c>
      <c r="L84" s="49">
        <v>0</v>
      </c>
      <c r="M84" s="49" t="s">
        <v>2456</v>
      </c>
      <c r="N84" s="49" t="s">
        <v>2458</v>
      </c>
      <c r="O84" s="49">
        <v>26</v>
      </c>
      <c r="P84" s="49" t="s">
        <v>2459</v>
      </c>
      <c r="Q84" s="49">
        <v>0</v>
      </c>
      <c r="R84" s="49" t="s">
        <v>2460</v>
      </c>
      <c r="S84" s="49" t="s">
        <v>2461</v>
      </c>
      <c r="T84" s="49" t="s">
        <v>646</v>
      </c>
      <c r="U84" s="49" t="s">
        <v>670</v>
      </c>
      <c r="V84" s="49" t="e">
        <v>#REF!</v>
      </c>
      <c r="AC84" s="49"/>
      <c r="AD84" s="49"/>
    </row>
    <row r="85" spans="1:30" hidden="1" x14ac:dyDescent="0.3">
      <c r="A85" s="49" t="s">
        <v>2462</v>
      </c>
      <c r="B85" s="49">
        <v>0</v>
      </c>
      <c r="C85" s="49"/>
      <c r="D85" s="72" t="e">
        <v>#N/A</v>
      </c>
      <c r="E85" s="73">
        <v>0</v>
      </c>
      <c r="F85" s="49"/>
      <c r="G85" s="49"/>
      <c r="H85" s="49" t="s">
        <v>2463</v>
      </c>
      <c r="I85" s="49" t="s">
        <v>2466</v>
      </c>
      <c r="J85" s="49" t="s">
        <v>2464</v>
      </c>
      <c r="K85" s="49" t="s">
        <v>2465</v>
      </c>
      <c r="L85" s="49">
        <v>0</v>
      </c>
      <c r="M85" s="49" t="s">
        <v>1745</v>
      </c>
      <c r="N85" s="49" t="s">
        <v>2467</v>
      </c>
      <c r="O85" s="49">
        <v>3</v>
      </c>
      <c r="P85" s="49" t="s">
        <v>2468</v>
      </c>
      <c r="Q85" s="49">
        <v>0</v>
      </c>
      <c r="R85" s="49" t="s">
        <v>2469</v>
      </c>
      <c r="S85" s="49" t="s">
        <v>2470</v>
      </c>
      <c r="T85" s="49" t="s">
        <v>2471</v>
      </c>
      <c r="U85" s="49" t="s">
        <v>655</v>
      </c>
      <c r="V85" s="49" t="e">
        <v>#REF!</v>
      </c>
      <c r="AC85" s="49"/>
      <c r="AD85" s="49"/>
    </row>
    <row r="86" spans="1:30" hidden="1" x14ac:dyDescent="0.3">
      <c r="A86" s="49" t="s">
        <v>2472</v>
      </c>
      <c r="B86" s="49">
        <v>0</v>
      </c>
      <c r="C86" s="49"/>
      <c r="D86" s="72" t="e">
        <v>#N/A</v>
      </c>
      <c r="E86" s="73">
        <v>0</v>
      </c>
      <c r="F86" s="49"/>
      <c r="G86" s="49"/>
      <c r="H86" s="49" t="s">
        <v>646</v>
      </c>
      <c r="I86" s="49" t="s">
        <v>2475</v>
      </c>
      <c r="J86" s="49" t="s">
        <v>2473</v>
      </c>
      <c r="K86" s="49" t="s">
        <v>2474</v>
      </c>
      <c r="L86" s="49">
        <v>0</v>
      </c>
      <c r="M86" s="49" t="s">
        <v>2456</v>
      </c>
      <c r="N86" s="49" t="s">
        <v>2476</v>
      </c>
      <c r="O86" s="49">
        <v>28</v>
      </c>
      <c r="P86" s="49" t="s">
        <v>2477</v>
      </c>
      <c r="Q86" s="49">
        <v>0</v>
      </c>
      <c r="R86" s="49" t="s">
        <v>2478</v>
      </c>
      <c r="S86" s="49" t="s">
        <v>2479</v>
      </c>
      <c r="T86" s="49" t="s">
        <v>646</v>
      </c>
      <c r="U86" s="49" t="s">
        <v>670</v>
      </c>
      <c r="V86" s="49" t="e">
        <v>#REF!</v>
      </c>
      <c r="AC86" s="49"/>
      <c r="AD86" s="49"/>
    </row>
    <row r="87" spans="1:30" hidden="1" x14ac:dyDescent="0.3">
      <c r="A87" s="49" t="s">
        <v>2480</v>
      </c>
      <c r="B87" s="49">
        <v>0</v>
      </c>
      <c r="C87" s="49"/>
      <c r="D87" s="72" t="e">
        <v>#N/A</v>
      </c>
      <c r="E87" s="73">
        <v>0</v>
      </c>
      <c r="F87" s="49"/>
      <c r="G87" s="49"/>
      <c r="H87" s="49" t="s">
        <v>2481</v>
      </c>
      <c r="I87" s="49" t="s">
        <v>2485</v>
      </c>
      <c r="J87" s="49" t="s">
        <v>2482</v>
      </c>
      <c r="K87" s="49" t="s">
        <v>2483</v>
      </c>
      <c r="L87" s="49">
        <v>0</v>
      </c>
      <c r="M87" s="49" t="s">
        <v>2484</v>
      </c>
      <c r="N87" s="49" t="s">
        <v>2486</v>
      </c>
      <c r="O87" s="49">
        <v>1</v>
      </c>
      <c r="P87" s="49" t="s">
        <v>2487</v>
      </c>
      <c r="Q87" s="49">
        <v>0</v>
      </c>
      <c r="R87" s="49" t="s">
        <v>2488</v>
      </c>
      <c r="S87" s="49" t="s">
        <v>2489</v>
      </c>
      <c r="T87" s="49" t="s">
        <v>2490</v>
      </c>
      <c r="U87" s="49" t="s">
        <v>655</v>
      </c>
      <c r="V87" s="49" t="e">
        <v>#REF!</v>
      </c>
      <c r="AC87" s="49"/>
      <c r="AD87" s="49"/>
    </row>
    <row r="88" spans="1:30" hidden="1" x14ac:dyDescent="0.3">
      <c r="A88" s="49" t="s">
        <v>2491</v>
      </c>
      <c r="B88" s="49">
        <v>0</v>
      </c>
      <c r="C88" s="49"/>
      <c r="D88" s="72" t="e">
        <v>#N/A</v>
      </c>
      <c r="E88" s="73">
        <v>0</v>
      </c>
      <c r="F88" s="49"/>
      <c r="G88" s="49"/>
      <c r="H88" s="49" t="s">
        <v>2492</v>
      </c>
      <c r="I88" s="49" t="s">
        <v>2495</v>
      </c>
      <c r="J88" s="49" t="s">
        <v>2493</v>
      </c>
      <c r="K88" s="49" t="s">
        <v>2494</v>
      </c>
      <c r="L88" s="49">
        <v>0</v>
      </c>
      <c r="M88" s="49" t="s">
        <v>1745</v>
      </c>
      <c r="N88" s="49" t="s">
        <v>2496</v>
      </c>
      <c r="P88" s="49" t="s">
        <v>2497</v>
      </c>
      <c r="Q88" s="49">
        <v>0</v>
      </c>
      <c r="R88" s="49" t="s">
        <v>2498</v>
      </c>
      <c r="S88" s="49" t="s">
        <v>2499</v>
      </c>
      <c r="T88" s="49" t="s">
        <v>2500</v>
      </c>
      <c r="U88" s="49" t="s">
        <v>655</v>
      </c>
      <c r="V88" s="49" t="e">
        <v>#REF!</v>
      </c>
      <c r="AC88" s="49"/>
      <c r="AD88" s="49"/>
    </row>
    <row r="89" spans="1:30" hidden="1" x14ac:dyDescent="0.3">
      <c r="A89" s="49" t="s">
        <v>2501</v>
      </c>
      <c r="B89" s="49">
        <v>0</v>
      </c>
      <c r="C89" s="49"/>
      <c r="D89" s="72" t="e">
        <v>#N/A</v>
      </c>
      <c r="E89" s="73">
        <v>0</v>
      </c>
      <c r="F89" s="49"/>
      <c r="G89" s="49"/>
      <c r="H89" s="49" t="s">
        <v>2502</v>
      </c>
      <c r="I89" s="49" t="s">
        <v>2505</v>
      </c>
      <c r="J89" s="49" t="s">
        <v>2503</v>
      </c>
      <c r="K89" s="49" t="s">
        <v>2504</v>
      </c>
      <c r="L89" s="49">
        <v>0</v>
      </c>
      <c r="M89" s="49" t="s">
        <v>1745</v>
      </c>
      <c r="N89" s="49" t="s">
        <v>2506</v>
      </c>
      <c r="O89" s="49">
        <v>6</v>
      </c>
      <c r="P89" s="49" t="s">
        <v>2507</v>
      </c>
      <c r="Q89" s="49">
        <v>0</v>
      </c>
      <c r="R89" s="49" t="s">
        <v>2508</v>
      </c>
      <c r="S89" s="49" t="s">
        <v>2509</v>
      </c>
      <c r="T89" s="49" t="s">
        <v>2510</v>
      </c>
      <c r="U89" s="49" t="s">
        <v>670</v>
      </c>
      <c r="V89" s="49" t="e">
        <v>#REF!</v>
      </c>
      <c r="AC89" s="49"/>
      <c r="AD89" s="49"/>
    </row>
    <row r="90" spans="1:30" hidden="1" x14ac:dyDescent="0.3">
      <c r="A90" s="49" t="s">
        <v>2511</v>
      </c>
      <c r="B90" s="49">
        <v>0</v>
      </c>
      <c r="C90" s="49"/>
      <c r="D90" s="72" t="e">
        <v>#N/A</v>
      </c>
      <c r="E90" s="73">
        <v>0</v>
      </c>
      <c r="F90" s="49"/>
      <c r="G90" s="49"/>
      <c r="H90" s="49" t="s">
        <v>2512</v>
      </c>
      <c r="I90" s="49" t="s">
        <v>2515</v>
      </c>
      <c r="J90" s="49" t="s">
        <v>2513</v>
      </c>
      <c r="K90" s="49" t="s">
        <v>2514</v>
      </c>
      <c r="L90" s="49">
        <v>0</v>
      </c>
      <c r="M90" s="49" t="s">
        <v>1865</v>
      </c>
      <c r="N90" s="49" t="s">
        <v>2133</v>
      </c>
      <c r="O90" s="49">
        <v>3</v>
      </c>
      <c r="P90" s="49" t="s">
        <v>2516</v>
      </c>
      <c r="Q90" s="49">
        <v>0</v>
      </c>
      <c r="R90" s="49" t="s">
        <v>2517</v>
      </c>
      <c r="S90" s="49" t="s">
        <v>2518</v>
      </c>
      <c r="T90" s="49" t="s">
        <v>2519</v>
      </c>
      <c r="U90" s="49" t="s">
        <v>655</v>
      </c>
      <c r="V90" s="49" t="e">
        <v>#REF!</v>
      </c>
      <c r="AC90" s="49"/>
      <c r="AD90" s="49"/>
    </row>
    <row r="91" spans="1:30" hidden="1" x14ac:dyDescent="0.3">
      <c r="A91" s="49" t="s">
        <v>2520</v>
      </c>
      <c r="B91" s="49">
        <v>0</v>
      </c>
      <c r="C91" s="49"/>
      <c r="D91" s="72" t="e">
        <v>#N/A</v>
      </c>
      <c r="E91" s="73">
        <v>0</v>
      </c>
      <c r="F91" s="49"/>
      <c r="G91" s="49"/>
      <c r="H91" s="49" t="s">
        <v>2521</v>
      </c>
      <c r="I91" s="49" t="s">
        <v>2524</v>
      </c>
      <c r="J91" s="49" t="s">
        <v>2522</v>
      </c>
      <c r="K91" s="49" t="s">
        <v>2523</v>
      </c>
      <c r="L91" s="49">
        <v>0</v>
      </c>
      <c r="M91" s="49" t="s">
        <v>1745</v>
      </c>
      <c r="N91" s="49" t="s">
        <v>2525</v>
      </c>
      <c r="P91" s="49" t="s">
        <v>2526</v>
      </c>
      <c r="Q91" s="49">
        <v>0</v>
      </c>
      <c r="R91" s="49" t="s">
        <v>2527</v>
      </c>
      <c r="S91" s="49" t="s">
        <v>2528</v>
      </c>
      <c r="T91" s="49" t="s">
        <v>2529</v>
      </c>
      <c r="U91" s="49" t="s">
        <v>655</v>
      </c>
      <c r="V91" s="49" t="e">
        <v>#REF!</v>
      </c>
      <c r="AC91" s="49"/>
      <c r="AD91" s="49"/>
    </row>
    <row r="92" spans="1:30" hidden="1" x14ac:dyDescent="0.3">
      <c r="A92" s="49" t="s">
        <v>2530</v>
      </c>
      <c r="B92" s="49">
        <v>0</v>
      </c>
      <c r="C92" s="49"/>
      <c r="D92" s="72" t="e">
        <v>#N/A</v>
      </c>
      <c r="E92" s="73">
        <v>0</v>
      </c>
      <c r="F92" s="49"/>
      <c r="G92" s="49"/>
      <c r="H92" s="49" t="s">
        <v>2531</v>
      </c>
      <c r="I92" s="49" t="s">
        <v>2534</v>
      </c>
      <c r="J92" s="49" t="s">
        <v>2532</v>
      </c>
      <c r="K92" s="49" t="s">
        <v>2533</v>
      </c>
      <c r="L92" s="49">
        <v>0</v>
      </c>
      <c r="M92" s="49" t="s">
        <v>1734</v>
      </c>
      <c r="N92" s="49" t="s">
        <v>2535</v>
      </c>
      <c r="P92" s="49" t="s">
        <v>2536</v>
      </c>
      <c r="Q92" s="49">
        <v>0</v>
      </c>
      <c r="R92" s="49" t="s">
        <v>2537</v>
      </c>
      <c r="S92" s="49" t="s">
        <v>2538</v>
      </c>
      <c r="T92" s="49" t="s">
        <v>2539</v>
      </c>
      <c r="U92" s="49" t="s">
        <v>655</v>
      </c>
      <c r="V92" s="49" t="e">
        <v>#REF!</v>
      </c>
      <c r="AC92" s="49"/>
      <c r="AD92" s="49"/>
    </row>
    <row r="93" spans="1:30" hidden="1" x14ac:dyDescent="0.3">
      <c r="A93" s="49" t="s">
        <v>2540</v>
      </c>
      <c r="B93" s="49">
        <v>0</v>
      </c>
      <c r="C93" s="49"/>
      <c r="D93" s="72" t="e">
        <v>#N/A</v>
      </c>
      <c r="E93" s="73">
        <v>0</v>
      </c>
      <c r="F93" s="49"/>
      <c r="G93" s="49"/>
      <c r="H93" s="49" t="s">
        <v>2541</v>
      </c>
      <c r="I93" s="49" t="s">
        <v>2544</v>
      </c>
      <c r="J93" s="49" t="s">
        <v>2542</v>
      </c>
      <c r="K93" s="49" t="s">
        <v>2543</v>
      </c>
      <c r="L93" s="49">
        <v>0</v>
      </c>
      <c r="M93" s="49" t="s">
        <v>1734</v>
      </c>
      <c r="N93" s="49" t="s">
        <v>2545</v>
      </c>
      <c r="P93" s="49" t="s">
        <v>2546</v>
      </c>
      <c r="Q93" s="49">
        <v>0</v>
      </c>
      <c r="R93" s="49" t="s">
        <v>2547</v>
      </c>
      <c r="S93" s="49" t="s">
        <v>2548</v>
      </c>
      <c r="T93" s="49" t="s">
        <v>2549</v>
      </c>
      <c r="U93" s="49" t="s">
        <v>655</v>
      </c>
      <c r="V93" s="49" t="e">
        <v>#REF!</v>
      </c>
      <c r="AC93" s="49"/>
      <c r="AD93" s="49"/>
    </row>
    <row r="94" spans="1:30" hidden="1" x14ac:dyDescent="0.3">
      <c r="A94" s="49" t="s">
        <v>2550</v>
      </c>
      <c r="B94" s="49">
        <v>0</v>
      </c>
      <c r="C94" s="49"/>
      <c r="D94" s="72" t="e">
        <v>#N/A</v>
      </c>
      <c r="E94" s="73">
        <v>0</v>
      </c>
      <c r="F94" s="49"/>
      <c r="G94" s="49"/>
      <c r="H94" s="49" t="s">
        <v>2551</v>
      </c>
      <c r="I94" s="49" t="s">
        <v>2554</v>
      </c>
      <c r="J94" s="49" t="s">
        <v>2552</v>
      </c>
      <c r="K94" s="49" t="s">
        <v>2553</v>
      </c>
      <c r="L94" s="49">
        <v>0</v>
      </c>
      <c r="M94" s="49" t="s">
        <v>1745</v>
      </c>
      <c r="N94" s="49" t="s">
        <v>2555</v>
      </c>
      <c r="O94" s="49">
        <v>2</v>
      </c>
      <c r="P94" s="49" t="s">
        <v>2556</v>
      </c>
      <c r="Q94" s="49">
        <v>0</v>
      </c>
      <c r="R94" s="49" t="s">
        <v>2557</v>
      </c>
      <c r="S94" s="49" t="s">
        <v>2558</v>
      </c>
      <c r="T94" s="49" t="s">
        <v>2559</v>
      </c>
      <c r="U94" s="49" t="s">
        <v>655</v>
      </c>
      <c r="V94" s="49" t="e">
        <v>#REF!</v>
      </c>
      <c r="AC94" s="49"/>
      <c r="AD94" s="49"/>
    </row>
    <row r="95" spans="1:30" hidden="1" x14ac:dyDescent="0.3">
      <c r="A95" s="49" t="s">
        <v>2560</v>
      </c>
      <c r="B95" s="49">
        <v>0</v>
      </c>
      <c r="C95" s="49"/>
      <c r="D95" s="72" t="e">
        <v>#N/A</v>
      </c>
      <c r="E95" s="73">
        <v>0</v>
      </c>
      <c r="F95" s="49"/>
      <c r="G95" s="49"/>
      <c r="H95" s="49" t="s">
        <v>2561</v>
      </c>
      <c r="I95" s="49" t="s">
        <v>2564</v>
      </c>
      <c r="J95" s="49" t="s">
        <v>2562</v>
      </c>
      <c r="K95" s="49" t="s">
        <v>2563</v>
      </c>
      <c r="L95" s="49">
        <v>0</v>
      </c>
      <c r="M95" s="49" t="s">
        <v>1734</v>
      </c>
      <c r="N95" s="49" t="s">
        <v>2565</v>
      </c>
      <c r="O95" s="49">
        <v>2</v>
      </c>
      <c r="P95" s="49" t="s">
        <v>2566</v>
      </c>
      <c r="Q95" s="49">
        <v>0</v>
      </c>
      <c r="R95" s="49" t="s">
        <v>2567</v>
      </c>
      <c r="S95" s="49" t="s">
        <v>2568</v>
      </c>
      <c r="T95" s="49" t="s">
        <v>2569</v>
      </c>
      <c r="U95" s="49" t="s">
        <v>655</v>
      </c>
      <c r="V95" s="49" t="e">
        <v>#REF!</v>
      </c>
      <c r="AC95" s="49"/>
      <c r="AD95" s="49"/>
    </row>
    <row r="96" spans="1:30" hidden="1" x14ac:dyDescent="0.3">
      <c r="A96" s="49" t="s">
        <v>2570</v>
      </c>
      <c r="B96" s="49">
        <v>0</v>
      </c>
      <c r="C96" s="49"/>
      <c r="D96" s="72" t="e">
        <v>#N/A</v>
      </c>
      <c r="E96" s="73">
        <v>0</v>
      </c>
      <c r="F96" s="49"/>
      <c r="G96" s="49"/>
      <c r="H96" s="49" t="s">
        <v>646</v>
      </c>
      <c r="I96" s="49" t="s">
        <v>2573</v>
      </c>
      <c r="J96" s="49" t="s">
        <v>2571</v>
      </c>
      <c r="K96" s="49" t="s">
        <v>2572</v>
      </c>
      <c r="L96" s="49">
        <v>0</v>
      </c>
      <c r="M96" s="49" t="s">
        <v>2456</v>
      </c>
      <c r="N96" s="49" t="s">
        <v>2458</v>
      </c>
      <c r="O96" s="49">
        <v>12</v>
      </c>
      <c r="P96" s="49" t="s">
        <v>2574</v>
      </c>
      <c r="Q96" s="49">
        <v>0</v>
      </c>
      <c r="R96" s="49" t="s">
        <v>2575</v>
      </c>
      <c r="S96" s="49" t="s">
        <v>2576</v>
      </c>
      <c r="T96" s="49" t="s">
        <v>646</v>
      </c>
      <c r="U96" s="49" t="s">
        <v>670</v>
      </c>
      <c r="V96" s="49" t="e">
        <v>#REF!</v>
      </c>
      <c r="AC96" s="49"/>
      <c r="AD96" s="49"/>
    </row>
    <row r="97" spans="1:30" hidden="1" x14ac:dyDescent="0.3">
      <c r="A97" s="49" t="s">
        <v>2577</v>
      </c>
      <c r="B97" s="49">
        <v>0</v>
      </c>
      <c r="C97" s="49"/>
      <c r="D97" s="72" t="e">
        <v>#N/A</v>
      </c>
      <c r="E97" s="73">
        <v>0</v>
      </c>
      <c r="F97" s="49"/>
      <c r="G97" s="49"/>
      <c r="H97" s="49" t="s">
        <v>2578</v>
      </c>
      <c r="I97" s="49" t="s">
        <v>2581</v>
      </c>
      <c r="J97" s="49" t="s">
        <v>2579</v>
      </c>
      <c r="K97" s="49" t="s">
        <v>2580</v>
      </c>
      <c r="L97" s="49">
        <v>0</v>
      </c>
      <c r="M97" s="49" t="s">
        <v>1865</v>
      </c>
      <c r="N97" s="49" t="s">
        <v>2163</v>
      </c>
      <c r="P97" s="49" t="s">
        <v>2582</v>
      </c>
      <c r="Q97" s="49">
        <v>0</v>
      </c>
      <c r="R97" s="49" t="s">
        <v>2583</v>
      </c>
      <c r="S97" s="49" t="s">
        <v>2584</v>
      </c>
      <c r="T97" s="49" t="s">
        <v>2585</v>
      </c>
      <c r="U97" s="49" t="s">
        <v>655</v>
      </c>
      <c r="V97" s="49" t="e">
        <v>#REF!</v>
      </c>
      <c r="AC97" s="49"/>
      <c r="AD97" s="49"/>
    </row>
    <row r="98" spans="1:30" hidden="1" x14ac:dyDescent="0.3">
      <c r="A98" s="49" t="s">
        <v>2586</v>
      </c>
      <c r="B98" s="49">
        <v>0</v>
      </c>
      <c r="C98" s="49"/>
      <c r="D98" s="72" t="e">
        <v>#N/A</v>
      </c>
      <c r="E98" s="73">
        <v>0</v>
      </c>
      <c r="F98" s="49"/>
      <c r="G98" s="49"/>
      <c r="H98" s="49" t="s">
        <v>2587</v>
      </c>
      <c r="I98" s="49" t="s">
        <v>2590</v>
      </c>
      <c r="J98" s="49" t="s">
        <v>2588</v>
      </c>
      <c r="K98" s="49" t="s">
        <v>2589</v>
      </c>
      <c r="L98" s="49">
        <v>0</v>
      </c>
      <c r="M98" s="49" t="s">
        <v>1745</v>
      </c>
      <c r="N98" s="49" t="s">
        <v>2591</v>
      </c>
      <c r="O98" s="49">
        <v>2</v>
      </c>
      <c r="P98" s="49" t="s">
        <v>2592</v>
      </c>
      <c r="Q98" s="49">
        <v>0</v>
      </c>
      <c r="R98" s="49" t="s">
        <v>2593</v>
      </c>
      <c r="S98" s="49" t="s">
        <v>2594</v>
      </c>
      <c r="T98" s="49" t="s">
        <v>2595</v>
      </c>
      <c r="U98" s="49" t="s">
        <v>655</v>
      </c>
      <c r="V98" s="49" t="e">
        <v>#REF!</v>
      </c>
      <c r="AC98" s="49"/>
      <c r="AD98" s="49"/>
    </row>
    <row r="99" spans="1:30" hidden="1" x14ac:dyDescent="0.3">
      <c r="A99" s="49" t="s">
        <v>2596</v>
      </c>
      <c r="B99" s="49">
        <v>0</v>
      </c>
      <c r="C99" s="49"/>
      <c r="D99" s="72" t="e">
        <v>#N/A</v>
      </c>
      <c r="E99" s="73">
        <v>0</v>
      </c>
      <c r="F99" s="49"/>
      <c r="G99" s="49"/>
      <c r="H99" s="49" t="s">
        <v>2597</v>
      </c>
      <c r="I99" s="49" t="s">
        <v>2600</v>
      </c>
      <c r="J99" s="49" t="s">
        <v>2598</v>
      </c>
      <c r="K99" s="49" t="s">
        <v>2599</v>
      </c>
      <c r="L99" s="49">
        <v>0</v>
      </c>
      <c r="M99" s="49" t="s">
        <v>1745</v>
      </c>
      <c r="N99" s="49" t="s">
        <v>2601</v>
      </c>
      <c r="P99" s="49" t="s">
        <v>2602</v>
      </c>
      <c r="Q99" s="49">
        <v>0</v>
      </c>
      <c r="R99" s="49" t="s">
        <v>2603</v>
      </c>
      <c r="S99" s="49" t="s">
        <v>2604</v>
      </c>
      <c r="T99" s="49" t="s">
        <v>646</v>
      </c>
      <c r="U99" s="49" t="s">
        <v>655</v>
      </c>
      <c r="V99" s="49" t="e">
        <v>#REF!</v>
      </c>
      <c r="AC99" s="49"/>
      <c r="AD99" s="49"/>
    </row>
    <row r="100" spans="1:30" hidden="1" x14ac:dyDescent="0.3">
      <c r="A100" s="49" t="s">
        <v>2605</v>
      </c>
      <c r="B100" s="49">
        <v>0</v>
      </c>
      <c r="C100" s="49"/>
      <c r="D100" s="72" t="e">
        <v>#N/A</v>
      </c>
      <c r="E100" s="73">
        <v>0</v>
      </c>
      <c r="F100" s="49"/>
      <c r="G100" s="49"/>
      <c r="H100" s="49" t="s">
        <v>2606</v>
      </c>
      <c r="I100" s="49" t="s">
        <v>2609</v>
      </c>
      <c r="J100" s="49" t="s">
        <v>2607</v>
      </c>
      <c r="K100" s="49" t="s">
        <v>2608</v>
      </c>
      <c r="L100" s="49">
        <v>0</v>
      </c>
      <c r="M100" s="49" t="s">
        <v>1734</v>
      </c>
      <c r="N100" s="49" t="s">
        <v>2610</v>
      </c>
      <c r="P100" s="49" t="s">
        <v>2611</v>
      </c>
      <c r="Q100" s="49">
        <v>0</v>
      </c>
      <c r="R100" s="49" t="s">
        <v>2612</v>
      </c>
      <c r="S100" s="49" t="s">
        <v>2613</v>
      </c>
      <c r="T100" s="49" t="s">
        <v>2614</v>
      </c>
      <c r="U100" s="49" t="s">
        <v>655</v>
      </c>
      <c r="V100" s="49" t="e">
        <v>#REF!</v>
      </c>
      <c r="AC100" s="49"/>
      <c r="AD100" s="49"/>
    </row>
    <row r="101" spans="1:30" hidden="1" x14ac:dyDescent="0.3">
      <c r="A101" s="49" t="s">
        <v>2615</v>
      </c>
      <c r="B101" s="49">
        <v>0</v>
      </c>
      <c r="C101" s="49"/>
      <c r="D101" s="72" t="e">
        <v>#N/A</v>
      </c>
      <c r="E101" s="73">
        <v>0</v>
      </c>
      <c r="F101" s="49"/>
      <c r="G101" s="49"/>
      <c r="H101" s="49" t="s">
        <v>2616</v>
      </c>
      <c r="I101" s="49" t="s">
        <v>2619</v>
      </c>
      <c r="J101" s="49" t="s">
        <v>2617</v>
      </c>
      <c r="K101" s="49" t="s">
        <v>2618</v>
      </c>
      <c r="L101" s="49">
        <v>0</v>
      </c>
      <c r="M101" s="49" t="s">
        <v>1734</v>
      </c>
      <c r="N101" s="49" t="s">
        <v>2620</v>
      </c>
      <c r="P101" s="49" t="s">
        <v>2621</v>
      </c>
      <c r="Q101" s="49">
        <v>0</v>
      </c>
      <c r="R101" s="49" t="s">
        <v>2622</v>
      </c>
      <c r="S101" s="49" t="s">
        <v>2623</v>
      </c>
      <c r="T101" s="49" t="s">
        <v>2624</v>
      </c>
      <c r="U101" s="49" t="s">
        <v>655</v>
      </c>
      <c r="V101" s="49" t="e">
        <v>#REF!</v>
      </c>
      <c r="AC101" s="49"/>
      <c r="AD101" s="49"/>
    </row>
    <row r="102" spans="1:30" hidden="1" x14ac:dyDescent="0.3">
      <c r="A102" s="49" t="s">
        <v>2625</v>
      </c>
      <c r="B102" s="49">
        <v>0</v>
      </c>
      <c r="C102" s="49"/>
      <c r="D102" s="72" t="e">
        <v>#N/A</v>
      </c>
      <c r="E102" s="73">
        <v>0</v>
      </c>
      <c r="F102" s="49"/>
      <c r="G102" s="49"/>
      <c r="H102" s="49" t="s">
        <v>2626</v>
      </c>
      <c r="I102" s="49" t="s">
        <v>2629</v>
      </c>
      <c r="J102" s="49" t="s">
        <v>2627</v>
      </c>
      <c r="K102" s="49" t="s">
        <v>2628</v>
      </c>
      <c r="L102" s="49">
        <v>0</v>
      </c>
      <c r="M102" s="49" t="s">
        <v>1734</v>
      </c>
      <c r="N102" s="49" t="s">
        <v>2239</v>
      </c>
      <c r="P102" s="49" t="s">
        <v>2630</v>
      </c>
      <c r="Q102" s="49">
        <v>0</v>
      </c>
      <c r="R102" s="49" t="s">
        <v>2631</v>
      </c>
      <c r="S102" s="49" t="s">
        <v>2632</v>
      </c>
      <c r="T102" s="49" t="s">
        <v>646</v>
      </c>
      <c r="U102" s="49" t="s">
        <v>670</v>
      </c>
      <c r="V102" s="49" t="e">
        <v>#REF!</v>
      </c>
      <c r="AC102" s="49"/>
      <c r="AD102" s="49"/>
    </row>
    <row r="103" spans="1:30" hidden="1" x14ac:dyDescent="0.3">
      <c r="A103" s="49" t="s">
        <v>2633</v>
      </c>
      <c r="B103" s="49">
        <v>0</v>
      </c>
      <c r="C103" s="49"/>
      <c r="D103" s="72" t="e">
        <v>#N/A</v>
      </c>
      <c r="E103" s="73">
        <v>0</v>
      </c>
      <c r="F103" s="49"/>
      <c r="G103" s="49"/>
      <c r="H103" s="49" t="s">
        <v>646</v>
      </c>
      <c r="I103" s="49" t="s">
        <v>2637</v>
      </c>
      <c r="J103" s="49" t="s">
        <v>2634</v>
      </c>
      <c r="K103" s="49" t="s">
        <v>2635</v>
      </c>
      <c r="L103" s="49">
        <v>0</v>
      </c>
      <c r="M103" s="49" t="s">
        <v>2636</v>
      </c>
      <c r="N103" s="49" t="s">
        <v>2638</v>
      </c>
      <c r="O103" s="49">
        <v>4</v>
      </c>
      <c r="P103" s="49" t="s">
        <v>2639</v>
      </c>
      <c r="Q103" s="49">
        <v>0</v>
      </c>
      <c r="R103" s="49" t="s">
        <v>2640</v>
      </c>
      <c r="S103" s="49" t="s">
        <v>2641</v>
      </c>
      <c r="T103" s="49" t="s">
        <v>646</v>
      </c>
      <c r="U103" s="49" t="s">
        <v>670</v>
      </c>
      <c r="V103" s="49" t="e">
        <v>#REF!</v>
      </c>
      <c r="AC103" s="49"/>
      <c r="AD103" s="49"/>
    </row>
    <row r="104" spans="1:30" hidden="1" x14ac:dyDescent="0.3">
      <c r="A104" s="49" t="s">
        <v>2642</v>
      </c>
      <c r="B104" s="49">
        <v>0</v>
      </c>
      <c r="C104" s="49"/>
      <c r="D104" s="72" t="e">
        <v>#N/A</v>
      </c>
      <c r="E104" s="73">
        <v>0</v>
      </c>
      <c r="F104" s="49"/>
      <c r="G104" s="49"/>
      <c r="H104" s="49" t="s">
        <v>2643</v>
      </c>
      <c r="I104" s="49" t="s">
        <v>2646</v>
      </c>
      <c r="J104" s="49" t="s">
        <v>2644</v>
      </c>
      <c r="K104" s="49" t="s">
        <v>2645</v>
      </c>
      <c r="L104" s="49">
        <v>0</v>
      </c>
      <c r="M104" s="49" t="s">
        <v>1745</v>
      </c>
      <c r="N104" s="49" t="s">
        <v>2647</v>
      </c>
      <c r="O104" s="49">
        <v>23</v>
      </c>
      <c r="P104" s="49" t="s">
        <v>2648</v>
      </c>
      <c r="Q104" s="49">
        <v>0</v>
      </c>
      <c r="R104" s="49" t="s">
        <v>2649</v>
      </c>
      <c r="S104" s="49" t="s">
        <v>2650</v>
      </c>
      <c r="T104" s="49" t="s">
        <v>2651</v>
      </c>
      <c r="U104" s="49" t="s">
        <v>655</v>
      </c>
      <c r="V104" s="49" t="e">
        <v>#REF!</v>
      </c>
      <c r="AC104" s="49"/>
      <c r="AD104" s="49"/>
    </row>
    <row r="105" spans="1:30" hidden="1" x14ac:dyDescent="0.3">
      <c r="A105" s="49" t="s">
        <v>2652</v>
      </c>
      <c r="B105" s="49">
        <v>0</v>
      </c>
      <c r="C105" s="49"/>
      <c r="D105" s="72" t="e">
        <v>#N/A</v>
      </c>
      <c r="E105" s="73">
        <v>0</v>
      </c>
      <c r="F105" s="49"/>
      <c r="G105" s="49"/>
      <c r="H105" s="49" t="s">
        <v>2653</v>
      </c>
      <c r="I105" s="49" t="s">
        <v>2656</v>
      </c>
      <c r="J105" s="49" t="s">
        <v>2654</v>
      </c>
      <c r="K105" s="49" t="s">
        <v>2655</v>
      </c>
      <c r="L105" s="49">
        <v>0</v>
      </c>
      <c r="M105" s="49" t="s">
        <v>1734</v>
      </c>
      <c r="N105" s="49" t="s">
        <v>2657</v>
      </c>
      <c r="P105" s="49" t="s">
        <v>2658</v>
      </c>
      <c r="Q105" s="49">
        <v>0</v>
      </c>
      <c r="R105" s="49" t="s">
        <v>2659</v>
      </c>
      <c r="S105" s="49" t="s">
        <v>2660</v>
      </c>
      <c r="T105" s="49" t="s">
        <v>2661</v>
      </c>
      <c r="U105" s="49" t="s">
        <v>655</v>
      </c>
      <c r="V105" s="49" t="e">
        <v>#REF!</v>
      </c>
      <c r="AC105" s="49"/>
      <c r="AD105" s="49"/>
    </row>
    <row r="106" spans="1:30" hidden="1" x14ac:dyDescent="0.3">
      <c r="A106" s="49" t="s">
        <v>2662</v>
      </c>
      <c r="B106" s="49">
        <v>0</v>
      </c>
      <c r="C106" s="49"/>
      <c r="D106" s="72" t="e">
        <v>#N/A</v>
      </c>
      <c r="E106" s="73">
        <v>0</v>
      </c>
      <c r="F106" s="49"/>
      <c r="G106" s="49"/>
      <c r="H106" s="49" t="s">
        <v>2663</v>
      </c>
      <c r="I106" s="49" t="s">
        <v>2666</v>
      </c>
      <c r="J106" s="49" t="s">
        <v>2664</v>
      </c>
      <c r="K106" s="49" t="s">
        <v>2665</v>
      </c>
      <c r="L106" s="49">
        <v>0</v>
      </c>
      <c r="M106" s="49" t="s">
        <v>1734</v>
      </c>
      <c r="N106" s="49" t="s">
        <v>2667</v>
      </c>
      <c r="P106" s="49" t="s">
        <v>2668</v>
      </c>
      <c r="Q106" s="49">
        <v>0</v>
      </c>
      <c r="R106" s="49" t="s">
        <v>2669</v>
      </c>
      <c r="S106" s="49" t="s">
        <v>2670</v>
      </c>
      <c r="T106" s="49" t="s">
        <v>2671</v>
      </c>
      <c r="U106" s="49" t="s">
        <v>655</v>
      </c>
      <c r="V106" s="49" t="e">
        <v>#REF!</v>
      </c>
      <c r="AC106" s="49"/>
      <c r="AD106" s="49"/>
    </row>
    <row r="107" spans="1:30" hidden="1" x14ac:dyDescent="0.3">
      <c r="A107" s="49" t="s">
        <v>2672</v>
      </c>
      <c r="B107" s="49">
        <v>0</v>
      </c>
      <c r="C107" s="49"/>
      <c r="D107" s="72" t="e">
        <v>#N/A</v>
      </c>
      <c r="E107" s="73">
        <v>0</v>
      </c>
      <c r="F107" s="49"/>
      <c r="G107" s="49"/>
      <c r="H107" s="49" t="s">
        <v>2673</v>
      </c>
      <c r="I107" s="49" t="s">
        <v>2676</v>
      </c>
      <c r="J107" s="49" t="s">
        <v>2674</v>
      </c>
      <c r="K107" s="49" t="s">
        <v>2675</v>
      </c>
      <c r="L107" s="49">
        <v>0</v>
      </c>
      <c r="M107" s="49" t="s">
        <v>1734</v>
      </c>
      <c r="N107" s="49" t="s">
        <v>2438</v>
      </c>
      <c r="P107" s="49" t="s">
        <v>2677</v>
      </c>
      <c r="Q107" s="49">
        <v>0</v>
      </c>
      <c r="R107" s="49" t="s">
        <v>2678</v>
      </c>
      <c r="S107" s="49" t="s">
        <v>2679</v>
      </c>
      <c r="T107" s="49" t="s">
        <v>2680</v>
      </c>
      <c r="U107" s="49" t="s">
        <v>655</v>
      </c>
      <c r="V107" s="49" t="e">
        <v>#REF!</v>
      </c>
      <c r="AC107" s="49"/>
      <c r="AD107" s="49"/>
    </row>
    <row r="108" spans="1:30" hidden="1" x14ac:dyDescent="0.3">
      <c r="A108" s="49" t="s">
        <v>2681</v>
      </c>
      <c r="B108" s="49">
        <v>0</v>
      </c>
      <c r="C108" s="49"/>
      <c r="D108" s="72" t="e">
        <v>#N/A</v>
      </c>
      <c r="E108" s="73">
        <v>0</v>
      </c>
      <c r="F108" s="49"/>
      <c r="G108" s="49"/>
      <c r="H108" s="49" t="s">
        <v>2682</v>
      </c>
      <c r="I108" s="49" t="s">
        <v>2685</v>
      </c>
      <c r="J108" s="49" t="s">
        <v>2683</v>
      </c>
      <c r="K108" s="49" t="s">
        <v>2684</v>
      </c>
      <c r="L108" s="49">
        <v>0</v>
      </c>
      <c r="M108" s="49" t="s">
        <v>1745</v>
      </c>
      <c r="N108" s="49" t="s">
        <v>2686</v>
      </c>
      <c r="O108" s="49">
        <v>1</v>
      </c>
      <c r="P108" s="49" t="s">
        <v>2687</v>
      </c>
      <c r="Q108" s="49">
        <v>0</v>
      </c>
      <c r="R108" s="49" t="s">
        <v>2688</v>
      </c>
      <c r="S108" s="49" t="s">
        <v>2689</v>
      </c>
      <c r="T108" s="49" t="s">
        <v>2690</v>
      </c>
      <c r="U108" s="49" t="s">
        <v>655</v>
      </c>
      <c r="V108" s="49" t="e">
        <v>#REF!</v>
      </c>
      <c r="AC108" s="49"/>
      <c r="AD108" s="49"/>
    </row>
    <row r="109" spans="1:30" hidden="1" x14ac:dyDescent="0.3">
      <c r="A109" s="49" t="s">
        <v>2691</v>
      </c>
      <c r="B109" s="49">
        <v>0</v>
      </c>
      <c r="C109" s="49"/>
      <c r="D109" s="72" t="e">
        <v>#N/A</v>
      </c>
      <c r="E109" s="73">
        <v>0</v>
      </c>
      <c r="F109" s="49"/>
      <c r="G109" s="49"/>
      <c r="H109" s="49" t="s">
        <v>2692</v>
      </c>
      <c r="I109" s="49" t="s">
        <v>2695</v>
      </c>
      <c r="J109" s="49" t="s">
        <v>2693</v>
      </c>
      <c r="K109" s="49" t="s">
        <v>2694</v>
      </c>
      <c r="L109" s="49">
        <v>0</v>
      </c>
      <c r="M109" s="49" t="s">
        <v>1734</v>
      </c>
      <c r="N109" s="49" t="s">
        <v>2696</v>
      </c>
      <c r="O109" s="49">
        <v>1</v>
      </c>
      <c r="P109" s="49" t="s">
        <v>2697</v>
      </c>
      <c r="Q109" s="49">
        <v>0</v>
      </c>
      <c r="R109" s="49" t="s">
        <v>646</v>
      </c>
      <c r="S109" s="49" t="s">
        <v>2698</v>
      </c>
      <c r="T109" s="49" t="s">
        <v>2699</v>
      </c>
      <c r="U109" s="49" t="s">
        <v>655</v>
      </c>
      <c r="V109" s="49" t="e">
        <v>#REF!</v>
      </c>
      <c r="AC109" s="49"/>
      <c r="AD109" s="49"/>
    </row>
    <row r="110" spans="1:30" hidden="1" x14ac:dyDescent="0.3">
      <c r="A110" s="49" t="s">
        <v>2700</v>
      </c>
      <c r="B110" s="49">
        <v>0</v>
      </c>
      <c r="C110" s="49"/>
      <c r="D110" s="72" t="e">
        <v>#N/A</v>
      </c>
      <c r="E110" s="73">
        <v>0</v>
      </c>
      <c r="F110" s="49"/>
      <c r="G110" s="49"/>
      <c r="H110" s="49" t="s">
        <v>646</v>
      </c>
      <c r="I110" s="49" t="s">
        <v>2703</v>
      </c>
      <c r="J110" s="49" t="s">
        <v>2701</v>
      </c>
      <c r="K110" s="49" t="s">
        <v>2702</v>
      </c>
      <c r="L110" s="49">
        <v>0</v>
      </c>
      <c r="M110" s="49" t="s">
        <v>1865</v>
      </c>
      <c r="N110" s="49" t="s">
        <v>2704</v>
      </c>
      <c r="O110" s="49">
        <v>1</v>
      </c>
      <c r="P110" s="49" t="s">
        <v>2705</v>
      </c>
      <c r="Q110" s="49">
        <v>0</v>
      </c>
      <c r="R110" s="49" t="s">
        <v>2706</v>
      </c>
      <c r="S110" s="49" t="s">
        <v>2707</v>
      </c>
      <c r="T110" s="49" t="s">
        <v>646</v>
      </c>
      <c r="U110" s="49" t="s">
        <v>655</v>
      </c>
      <c r="V110" s="49" t="e">
        <v>#REF!</v>
      </c>
      <c r="AC110" s="49"/>
      <c r="AD110" s="49"/>
    </row>
    <row r="111" spans="1:30" hidden="1" x14ac:dyDescent="0.3">
      <c r="A111" s="49" t="s">
        <v>2708</v>
      </c>
      <c r="B111" s="49">
        <v>0</v>
      </c>
      <c r="C111" s="49"/>
      <c r="D111" s="72" t="e">
        <v>#N/A</v>
      </c>
      <c r="E111" s="73">
        <v>0</v>
      </c>
      <c r="F111" s="49"/>
      <c r="G111" s="49"/>
      <c r="H111" s="49" t="s">
        <v>2709</v>
      </c>
      <c r="I111" s="49" t="s">
        <v>2712</v>
      </c>
      <c r="J111" s="49" t="s">
        <v>2710</v>
      </c>
      <c r="K111" s="49" t="s">
        <v>2711</v>
      </c>
      <c r="L111" s="49">
        <v>0</v>
      </c>
      <c r="M111" s="49" t="s">
        <v>1745</v>
      </c>
      <c r="N111" s="49" t="s">
        <v>2713</v>
      </c>
      <c r="O111" s="49">
        <v>2</v>
      </c>
      <c r="P111" s="49" t="s">
        <v>2714</v>
      </c>
      <c r="Q111" s="49">
        <v>0</v>
      </c>
      <c r="R111" s="49" t="s">
        <v>2715</v>
      </c>
      <c r="S111" s="49" t="s">
        <v>2716</v>
      </c>
      <c r="T111" s="49" t="s">
        <v>2717</v>
      </c>
      <c r="U111" s="49" t="s">
        <v>655</v>
      </c>
      <c r="V111" s="49" t="e">
        <v>#REF!</v>
      </c>
      <c r="AC111" s="49"/>
      <c r="AD111" s="49"/>
    </row>
    <row r="112" spans="1:30" hidden="1" x14ac:dyDescent="0.3">
      <c r="A112" s="49" t="s">
        <v>2718</v>
      </c>
      <c r="B112" s="49">
        <v>0</v>
      </c>
      <c r="C112" s="49"/>
      <c r="D112" s="72" t="e">
        <v>#N/A</v>
      </c>
      <c r="E112" s="73">
        <v>0</v>
      </c>
      <c r="F112" s="49"/>
      <c r="G112" s="49"/>
      <c r="H112" s="49" t="s">
        <v>2719</v>
      </c>
      <c r="I112" s="49" t="s">
        <v>2722</v>
      </c>
      <c r="J112" s="49" t="s">
        <v>2720</v>
      </c>
      <c r="K112" s="49" t="s">
        <v>2721</v>
      </c>
      <c r="L112" s="49">
        <v>0</v>
      </c>
      <c r="M112" s="49" t="s">
        <v>1745</v>
      </c>
      <c r="N112" s="49" t="s">
        <v>1766</v>
      </c>
      <c r="O112" s="49">
        <v>1</v>
      </c>
      <c r="P112" s="49" t="s">
        <v>2723</v>
      </c>
      <c r="Q112" s="49">
        <v>0</v>
      </c>
      <c r="R112" s="49" t="s">
        <v>2724</v>
      </c>
      <c r="S112" s="49" t="s">
        <v>2725</v>
      </c>
      <c r="T112" s="49" t="s">
        <v>2726</v>
      </c>
      <c r="U112" s="49" t="s">
        <v>655</v>
      </c>
      <c r="V112" s="49" t="e">
        <v>#REF!</v>
      </c>
      <c r="AC112" s="49"/>
      <c r="AD112" s="49"/>
    </row>
    <row r="113" spans="1:30" hidden="1" x14ac:dyDescent="0.3">
      <c r="A113" s="49" t="s">
        <v>2727</v>
      </c>
      <c r="B113" s="49">
        <v>0</v>
      </c>
      <c r="C113" s="49"/>
      <c r="D113" s="72" t="e">
        <v>#N/A</v>
      </c>
      <c r="E113" s="73">
        <v>0</v>
      </c>
      <c r="F113" s="49"/>
      <c r="G113" s="49"/>
      <c r="H113" s="49" t="s">
        <v>2728</v>
      </c>
      <c r="I113" s="49" t="s">
        <v>2731</v>
      </c>
      <c r="J113" s="49" t="s">
        <v>2729</v>
      </c>
      <c r="K113" s="49" t="s">
        <v>2730</v>
      </c>
      <c r="L113" s="49">
        <v>0</v>
      </c>
      <c r="M113" s="49" t="s">
        <v>1734</v>
      </c>
      <c r="N113" s="49" t="s">
        <v>2732</v>
      </c>
      <c r="P113" s="49" t="s">
        <v>2733</v>
      </c>
      <c r="Q113" s="49">
        <v>0</v>
      </c>
      <c r="R113" s="49" t="s">
        <v>2734</v>
      </c>
      <c r="S113" s="49" t="s">
        <v>2735</v>
      </c>
      <c r="T113" s="49" t="s">
        <v>2736</v>
      </c>
      <c r="U113" s="49" t="s">
        <v>655</v>
      </c>
      <c r="V113" s="49" t="e">
        <v>#REF!</v>
      </c>
      <c r="AC113" s="49"/>
      <c r="AD113" s="49"/>
    </row>
    <row r="114" spans="1:30" hidden="1" x14ac:dyDescent="0.3">
      <c r="A114" s="49" t="s">
        <v>2737</v>
      </c>
      <c r="B114" s="49">
        <v>0</v>
      </c>
      <c r="C114" s="49"/>
      <c r="D114" s="72" t="e">
        <v>#N/A</v>
      </c>
      <c r="E114" s="73">
        <v>0</v>
      </c>
      <c r="F114" s="49"/>
      <c r="G114" s="49"/>
      <c r="H114" s="49" t="s">
        <v>646</v>
      </c>
      <c r="I114" s="49" t="s">
        <v>2740</v>
      </c>
      <c r="J114" s="49" t="s">
        <v>2738</v>
      </c>
      <c r="K114" s="49" t="s">
        <v>2739</v>
      </c>
      <c r="L114" s="49">
        <v>0</v>
      </c>
      <c r="M114" s="49" t="s">
        <v>1745</v>
      </c>
      <c r="N114" s="49" t="s">
        <v>2741</v>
      </c>
      <c r="O114" s="49">
        <v>2</v>
      </c>
      <c r="P114" s="49" t="s">
        <v>2742</v>
      </c>
      <c r="Q114" s="49">
        <v>0</v>
      </c>
      <c r="R114" s="49" t="s">
        <v>2743</v>
      </c>
      <c r="S114" s="49" t="s">
        <v>2744</v>
      </c>
      <c r="T114" s="49" t="s">
        <v>646</v>
      </c>
      <c r="U114" s="49" t="s">
        <v>670</v>
      </c>
      <c r="V114" s="49" t="e">
        <v>#REF!</v>
      </c>
      <c r="AC114" s="49"/>
      <c r="AD114" s="49"/>
    </row>
    <row r="115" spans="1:30" hidden="1" x14ac:dyDescent="0.3">
      <c r="A115" s="49" t="s">
        <v>2745</v>
      </c>
      <c r="B115" s="49">
        <v>0</v>
      </c>
      <c r="C115" s="49"/>
      <c r="D115" s="72" t="e">
        <v>#N/A</v>
      </c>
      <c r="E115" s="73">
        <v>0</v>
      </c>
      <c r="F115" s="49"/>
      <c r="G115" s="49"/>
      <c r="H115" s="49" t="s">
        <v>2746</v>
      </c>
      <c r="I115" s="49" t="s">
        <v>2749</v>
      </c>
      <c r="J115" s="49" t="s">
        <v>2747</v>
      </c>
      <c r="K115" s="49" t="s">
        <v>2748</v>
      </c>
      <c r="L115" s="49">
        <v>0</v>
      </c>
      <c r="M115" s="49" t="s">
        <v>1734</v>
      </c>
      <c r="N115" s="49" t="s">
        <v>2750</v>
      </c>
      <c r="P115" s="49" t="s">
        <v>2751</v>
      </c>
      <c r="Q115" s="49">
        <v>0</v>
      </c>
      <c r="R115" s="49" t="s">
        <v>2752</v>
      </c>
      <c r="S115" s="49" t="s">
        <v>2753</v>
      </c>
      <c r="T115" s="49" t="s">
        <v>2754</v>
      </c>
      <c r="U115" s="49" t="s">
        <v>655</v>
      </c>
      <c r="V115" s="49" t="e">
        <v>#REF!</v>
      </c>
      <c r="AC115" s="49"/>
      <c r="AD115" s="49"/>
    </row>
    <row r="116" spans="1:30" hidden="1" x14ac:dyDescent="0.3">
      <c r="A116" s="49" t="s">
        <v>2755</v>
      </c>
      <c r="B116" s="49">
        <v>0</v>
      </c>
      <c r="C116" s="49"/>
      <c r="D116" s="72" t="e">
        <v>#N/A</v>
      </c>
      <c r="E116" s="73">
        <v>0</v>
      </c>
      <c r="F116" s="49"/>
      <c r="G116" s="49"/>
      <c r="H116" s="49" t="s">
        <v>2756</v>
      </c>
      <c r="I116" s="49" t="s">
        <v>2759</v>
      </c>
      <c r="J116" s="49" t="s">
        <v>2757</v>
      </c>
      <c r="K116" s="49" t="s">
        <v>2758</v>
      </c>
      <c r="L116" s="49">
        <v>0</v>
      </c>
      <c r="M116" s="49" t="s">
        <v>1734</v>
      </c>
      <c r="N116" s="49" t="s">
        <v>2760</v>
      </c>
      <c r="O116" s="49">
        <v>1</v>
      </c>
      <c r="P116" s="49" t="s">
        <v>2761</v>
      </c>
      <c r="Q116" s="49">
        <v>0</v>
      </c>
      <c r="R116" s="49" t="s">
        <v>2762</v>
      </c>
      <c r="S116" s="49" t="s">
        <v>2763</v>
      </c>
      <c r="T116" s="49" t="s">
        <v>2764</v>
      </c>
      <c r="U116" s="49" t="s">
        <v>655</v>
      </c>
      <c r="V116" s="49" t="e">
        <v>#REF!</v>
      </c>
      <c r="AC116" s="49"/>
      <c r="AD116" s="49"/>
    </row>
    <row r="117" spans="1:30" hidden="1" x14ac:dyDescent="0.3">
      <c r="A117" s="49" t="s">
        <v>2765</v>
      </c>
      <c r="B117" s="49">
        <v>0</v>
      </c>
      <c r="C117" s="49"/>
      <c r="D117" s="72" t="e">
        <v>#N/A</v>
      </c>
      <c r="E117" s="73">
        <v>0</v>
      </c>
      <c r="F117" s="49"/>
      <c r="G117" s="49"/>
      <c r="H117" s="49" t="s">
        <v>2766</v>
      </c>
      <c r="I117" s="49" t="s">
        <v>2769</v>
      </c>
      <c r="J117" s="49" t="s">
        <v>2767</v>
      </c>
      <c r="K117" s="49" t="s">
        <v>2768</v>
      </c>
      <c r="L117" s="49">
        <v>0</v>
      </c>
      <c r="M117" s="49" t="s">
        <v>1734</v>
      </c>
      <c r="N117" s="49" t="s">
        <v>2770</v>
      </c>
      <c r="P117" s="49" t="s">
        <v>2771</v>
      </c>
      <c r="Q117" s="49">
        <v>0</v>
      </c>
      <c r="R117" s="49" t="s">
        <v>2772</v>
      </c>
      <c r="S117" s="49" t="s">
        <v>2773</v>
      </c>
      <c r="T117" s="49" t="s">
        <v>2774</v>
      </c>
      <c r="U117" s="49" t="s">
        <v>655</v>
      </c>
      <c r="V117" s="49" t="e">
        <v>#REF!</v>
      </c>
      <c r="AC117" s="49"/>
      <c r="AD117" s="49"/>
    </row>
    <row r="118" spans="1:30" hidden="1" x14ac:dyDescent="0.3">
      <c r="A118" s="49" t="s">
        <v>2775</v>
      </c>
      <c r="B118" s="49">
        <v>0</v>
      </c>
      <c r="C118" s="49"/>
      <c r="D118" s="72" t="e">
        <v>#N/A</v>
      </c>
      <c r="E118" s="73">
        <v>0</v>
      </c>
      <c r="F118" s="49"/>
      <c r="G118" s="49"/>
      <c r="H118" s="49" t="s">
        <v>2776</v>
      </c>
      <c r="I118" s="49" t="s">
        <v>2779</v>
      </c>
      <c r="J118" s="49" t="s">
        <v>2777</v>
      </c>
      <c r="K118" s="49" t="s">
        <v>2778</v>
      </c>
      <c r="L118" s="49">
        <v>0</v>
      </c>
      <c r="M118" s="49" t="s">
        <v>1745</v>
      </c>
      <c r="N118" s="49" t="s">
        <v>2780</v>
      </c>
      <c r="P118" s="49" t="s">
        <v>2781</v>
      </c>
      <c r="Q118" s="49">
        <v>0</v>
      </c>
      <c r="R118" s="49" t="s">
        <v>2782</v>
      </c>
      <c r="S118" s="49" t="s">
        <v>2783</v>
      </c>
      <c r="T118" s="49" t="s">
        <v>2784</v>
      </c>
      <c r="U118" s="49" t="s">
        <v>655</v>
      </c>
      <c r="V118" s="49" t="e">
        <v>#REF!</v>
      </c>
      <c r="AC118" s="49"/>
      <c r="AD118" s="49"/>
    </row>
    <row r="119" spans="1:30" hidden="1" x14ac:dyDescent="0.3">
      <c r="A119" s="49" t="s">
        <v>2785</v>
      </c>
      <c r="B119" s="49">
        <v>0</v>
      </c>
      <c r="C119" s="49"/>
      <c r="D119" s="72" t="e">
        <v>#N/A</v>
      </c>
      <c r="E119" s="73">
        <v>0</v>
      </c>
      <c r="F119" s="49"/>
      <c r="G119" s="49"/>
      <c r="H119" s="49" t="s">
        <v>2786</v>
      </c>
      <c r="I119" s="49" t="s">
        <v>2789</v>
      </c>
      <c r="J119" s="49" t="s">
        <v>2787</v>
      </c>
      <c r="K119" s="49" t="s">
        <v>2788</v>
      </c>
      <c r="L119" s="49">
        <v>0</v>
      </c>
      <c r="M119" s="49" t="s">
        <v>2484</v>
      </c>
      <c r="N119" s="49" t="s">
        <v>2790</v>
      </c>
      <c r="P119" s="49" t="s">
        <v>2791</v>
      </c>
      <c r="Q119" s="49">
        <v>0</v>
      </c>
      <c r="R119" s="49" t="s">
        <v>2792</v>
      </c>
      <c r="S119" s="49" t="s">
        <v>2793</v>
      </c>
      <c r="T119" s="49" t="s">
        <v>2794</v>
      </c>
      <c r="U119" s="49" t="s">
        <v>670</v>
      </c>
      <c r="V119" s="49" t="e">
        <v>#REF!</v>
      </c>
      <c r="AC119" s="49"/>
      <c r="AD119" s="49"/>
    </row>
    <row r="120" spans="1:30" hidden="1" x14ac:dyDescent="0.3">
      <c r="A120" s="49" t="s">
        <v>2795</v>
      </c>
      <c r="B120" s="49">
        <v>0</v>
      </c>
      <c r="C120" s="49"/>
      <c r="D120" s="72" t="e">
        <v>#N/A</v>
      </c>
      <c r="E120" s="73">
        <v>0</v>
      </c>
      <c r="F120" s="49"/>
      <c r="G120" s="49"/>
      <c r="H120" s="49" t="s">
        <v>646</v>
      </c>
      <c r="I120" s="49" t="s">
        <v>2798</v>
      </c>
      <c r="J120" s="49" t="s">
        <v>2796</v>
      </c>
      <c r="K120" s="49" t="s">
        <v>2797</v>
      </c>
      <c r="L120" s="49">
        <v>0</v>
      </c>
      <c r="M120" s="49" t="s">
        <v>2142</v>
      </c>
      <c r="N120" s="49" t="s">
        <v>2799</v>
      </c>
      <c r="O120" s="49">
        <v>7</v>
      </c>
      <c r="P120" s="49" t="s">
        <v>2800</v>
      </c>
      <c r="Q120" s="49">
        <v>0</v>
      </c>
      <c r="R120" s="49" t="s">
        <v>2801</v>
      </c>
      <c r="S120" s="49" t="s">
        <v>2802</v>
      </c>
      <c r="T120" s="49" t="s">
        <v>646</v>
      </c>
      <c r="U120" s="49" t="s">
        <v>670</v>
      </c>
      <c r="V120" s="49" t="e">
        <v>#REF!</v>
      </c>
      <c r="AC120" s="49"/>
      <c r="AD120" s="49"/>
    </row>
    <row r="121" spans="1:30" hidden="1" x14ac:dyDescent="0.3">
      <c r="A121" s="49" t="s">
        <v>2803</v>
      </c>
      <c r="B121" s="49">
        <v>0</v>
      </c>
      <c r="C121" s="49"/>
      <c r="D121" s="72" t="e">
        <v>#N/A</v>
      </c>
      <c r="E121" s="73">
        <v>0</v>
      </c>
      <c r="F121" s="49"/>
      <c r="G121" s="49"/>
      <c r="H121" s="49" t="s">
        <v>646</v>
      </c>
      <c r="I121" s="49" t="s">
        <v>2806</v>
      </c>
      <c r="J121" s="49" t="s">
        <v>2804</v>
      </c>
      <c r="K121" s="49" t="s">
        <v>2805</v>
      </c>
      <c r="L121" s="49">
        <v>0</v>
      </c>
      <c r="M121" s="49" t="s">
        <v>2636</v>
      </c>
      <c r="N121" s="49" t="s">
        <v>2807</v>
      </c>
      <c r="O121" s="49">
        <v>1</v>
      </c>
      <c r="P121" s="49" t="s">
        <v>2808</v>
      </c>
      <c r="Q121" s="49">
        <v>0</v>
      </c>
      <c r="R121" s="49" t="s">
        <v>2809</v>
      </c>
      <c r="S121" s="49" t="s">
        <v>2810</v>
      </c>
      <c r="T121" s="49" t="s">
        <v>2811</v>
      </c>
      <c r="U121" s="49" t="s">
        <v>670</v>
      </c>
      <c r="V121" s="49" t="e">
        <v>#REF!</v>
      </c>
      <c r="AC121" s="49"/>
      <c r="AD121" s="49"/>
    </row>
    <row r="122" spans="1:30" hidden="1" x14ac:dyDescent="0.3">
      <c r="A122" s="49" t="s">
        <v>2812</v>
      </c>
      <c r="B122" s="49">
        <v>0</v>
      </c>
      <c r="C122" s="49"/>
      <c r="D122" s="72" t="e">
        <v>#N/A</v>
      </c>
      <c r="E122" s="73">
        <v>0</v>
      </c>
      <c r="F122" s="49"/>
      <c r="G122" s="49"/>
      <c r="H122" s="49" t="s">
        <v>2813</v>
      </c>
      <c r="I122" s="49" t="s">
        <v>2816</v>
      </c>
      <c r="J122" s="49" t="s">
        <v>2814</v>
      </c>
      <c r="K122" s="49" t="s">
        <v>2815</v>
      </c>
      <c r="L122" s="49">
        <v>0</v>
      </c>
      <c r="M122" s="49" t="s">
        <v>1734</v>
      </c>
      <c r="N122" s="49" t="s">
        <v>3</v>
      </c>
      <c r="P122" s="49" t="s">
        <v>2817</v>
      </c>
      <c r="Q122" s="49">
        <v>0</v>
      </c>
      <c r="R122" s="49" t="s">
        <v>2818</v>
      </c>
      <c r="S122" s="49" t="s">
        <v>2819</v>
      </c>
      <c r="T122" s="49" t="s">
        <v>2820</v>
      </c>
      <c r="U122" s="49" t="s">
        <v>655</v>
      </c>
      <c r="V122" s="49" t="e">
        <v>#REF!</v>
      </c>
      <c r="AC122" s="49"/>
      <c r="AD122" s="49"/>
    </row>
    <row r="123" spans="1:30" hidden="1" x14ac:dyDescent="0.3">
      <c r="A123" s="49" t="s">
        <v>2821</v>
      </c>
      <c r="B123" s="49">
        <v>0</v>
      </c>
      <c r="C123" s="49"/>
      <c r="D123" s="72" t="e">
        <v>#N/A</v>
      </c>
      <c r="E123" s="73">
        <v>0</v>
      </c>
      <c r="F123" s="49"/>
      <c r="G123" s="49"/>
      <c r="H123" s="49" t="s">
        <v>2822</v>
      </c>
      <c r="I123" s="49" t="s">
        <v>2825</v>
      </c>
      <c r="J123" s="49" t="s">
        <v>2823</v>
      </c>
      <c r="K123" s="49" t="s">
        <v>2824</v>
      </c>
      <c r="L123" s="49">
        <v>0</v>
      </c>
      <c r="M123" s="49" t="s">
        <v>1745</v>
      </c>
      <c r="N123" s="49" t="s">
        <v>2826</v>
      </c>
      <c r="O123" s="49">
        <v>2</v>
      </c>
      <c r="P123" s="49" t="s">
        <v>2827</v>
      </c>
      <c r="Q123" s="49">
        <v>0</v>
      </c>
      <c r="R123" s="49" t="s">
        <v>2828</v>
      </c>
      <c r="S123" s="49" t="s">
        <v>2829</v>
      </c>
      <c r="T123" s="49" t="s">
        <v>2830</v>
      </c>
      <c r="U123" s="49" t="s">
        <v>655</v>
      </c>
      <c r="V123" s="49" t="e">
        <v>#REF!</v>
      </c>
      <c r="AC123" s="49"/>
      <c r="AD123" s="49"/>
    </row>
    <row r="124" spans="1:30" hidden="1" x14ac:dyDescent="0.3">
      <c r="A124" s="49" t="s">
        <v>2831</v>
      </c>
      <c r="B124" s="49">
        <v>0</v>
      </c>
      <c r="C124" s="49"/>
      <c r="D124" s="72" t="e">
        <v>#N/A</v>
      </c>
      <c r="E124" s="73">
        <v>0</v>
      </c>
      <c r="F124" s="49"/>
      <c r="G124" s="49"/>
      <c r="H124" s="49" t="s">
        <v>2832</v>
      </c>
      <c r="I124" s="49" t="s">
        <v>2835</v>
      </c>
      <c r="J124" s="49" t="s">
        <v>2833</v>
      </c>
      <c r="K124" s="49" t="s">
        <v>2834</v>
      </c>
      <c r="L124" s="49">
        <v>0</v>
      </c>
      <c r="M124" s="49" t="s">
        <v>1745</v>
      </c>
      <c r="N124" s="49" t="s">
        <v>2780</v>
      </c>
      <c r="O124" s="49">
        <v>2</v>
      </c>
      <c r="P124" s="49" t="s">
        <v>2836</v>
      </c>
      <c r="Q124" s="49">
        <v>0</v>
      </c>
      <c r="R124" s="49" t="s">
        <v>2837</v>
      </c>
      <c r="S124" s="49" t="s">
        <v>2838</v>
      </c>
      <c r="T124" s="49" t="s">
        <v>2839</v>
      </c>
      <c r="U124" s="49" t="s">
        <v>655</v>
      </c>
      <c r="V124" s="49" t="e">
        <v>#REF!</v>
      </c>
      <c r="AC124" s="49"/>
      <c r="AD124" s="49"/>
    </row>
    <row r="125" spans="1:30" hidden="1" x14ac:dyDescent="0.3">
      <c r="A125" s="49" t="s">
        <v>2840</v>
      </c>
      <c r="B125" s="49">
        <v>0</v>
      </c>
      <c r="C125" s="49"/>
      <c r="D125" s="72" t="e">
        <v>#N/A</v>
      </c>
      <c r="E125" s="73">
        <v>0</v>
      </c>
      <c r="F125" s="49"/>
      <c r="G125" s="49"/>
      <c r="H125" s="49" t="s">
        <v>2841</v>
      </c>
      <c r="I125" s="49" t="s">
        <v>2844</v>
      </c>
      <c r="J125" s="49" t="s">
        <v>2842</v>
      </c>
      <c r="K125" s="49" t="s">
        <v>2843</v>
      </c>
      <c r="L125" s="49">
        <v>0</v>
      </c>
      <c r="M125" s="49" t="s">
        <v>1865</v>
      </c>
      <c r="N125" s="49" t="s">
        <v>2845</v>
      </c>
      <c r="O125" s="49">
        <v>58</v>
      </c>
      <c r="P125" s="49" t="s">
        <v>2846</v>
      </c>
      <c r="Q125" s="49">
        <v>0</v>
      </c>
      <c r="R125" s="49" t="s">
        <v>2847</v>
      </c>
      <c r="S125" s="49" t="s">
        <v>2848</v>
      </c>
      <c r="T125" s="49" t="s">
        <v>2849</v>
      </c>
      <c r="U125" s="49" t="s">
        <v>791</v>
      </c>
      <c r="V125" s="49" t="e">
        <v>#REF!</v>
      </c>
      <c r="AC125" s="49"/>
      <c r="AD125" s="49"/>
    </row>
    <row r="126" spans="1:30" hidden="1" x14ac:dyDescent="0.3">
      <c r="A126" s="49" t="s">
        <v>2850</v>
      </c>
      <c r="B126" s="49">
        <v>0</v>
      </c>
      <c r="C126" s="49"/>
      <c r="D126" s="72" t="e">
        <v>#N/A</v>
      </c>
      <c r="E126" s="73">
        <v>0</v>
      </c>
      <c r="F126" s="49"/>
      <c r="G126" s="49"/>
      <c r="H126" s="49" t="s">
        <v>2851</v>
      </c>
      <c r="I126" s="49" t="s">
        <v>2854</v>
      </c>
      <c r="J126" s="49" t="s">
        <v>2852</v>
      </c>
      <c r="K126" s="49" t="s">
        <v>2853</v>
      </c>
      <c r="L126" s="49">
        <v>0</v>
      </c>
      <c r="M126" s="49" t="s">
        <v>1745</v>
      </c>
      <c r="N126" s="49" t="s">
        <v>2855</v>
      </c>
      <c r="O126" s="49">
        <v>2</v>
      </c>
      <c r="P126" s="49" t="s">
        <v>2856</v>
      </c>
      <c r="Q126" s="49">
        <v>0</v>
      </c>
      <c r="R126" s="49" t="s">
        <v>2857</v>
      </c>
      <c r="S126" s="49" t="s">
        <v>2858</v>
      </c>
      <c r="T126" s="49" t="s">
        <v>2859</v>
      </c>
      <c r="U126" s="49" t="s">
        <v>655</v>
      </c>
      <c r="V126" s="49" t="e">
        <v>#REF!</v>
      </c>
      <c r="AC126" s="49"/>
      <c r="AD126" s="49"/>
    </row>
    <row r="127" spans="1:30" hidden="1" x14ac:dyDescent="0.3">
      <c r="A127" s="49" t="s">
        <v>2860</v>
      </c>
      <c r="B127" s="49">
        <v>0</v>
      </c>
      <c r="C127" s="49"/>
      <c r="D127" s="72" t="e">
        <v>#N/A</v>
      </c>
      <c r="E127" s="73">
        <v>0</v>
      </c>
      <c r="F127" s="49"/>
      <c r="G127" s="49"/>
      <c r="H127" s="49" t="s">
        <v>2861</v>
      </c>
      <c r="I127" s="49" t="s">
        <v>2864</v>
      </c>
      <c r="J127" s="49" t="s">
        <v>2862</v>
      </c>
      <c r="K127" s="49" t="s">
        <v>2863</v>
      </c>
      <c r="L127" s="49">
        <v>0</v>
      </c>
      <c r="M127" s="49" t="s">
        <v>1734</v>
      </c>
      <c r="N127" s="49" t="s">
        <v>2865</v>
      </c>
      <c r="P127" s="49" t="s">
        <v>2866</v>
      </c>
      <c r="Q127" s="49">
        <v>0</v>
      </c>
      <c r="R127" s="49" t="s">
        <v>2867</v>
      </c>
      <c r="S127" s="49" t="s">
        <v>2868</v>
      </c>
      <c r="T127" s="49" t="s">
        <v>2869</v>
      </c>
      <c r="U127" s="49" t="s">
        <v>670</v>
      </c>
      <c r="V127" s="49" t="e">
        <v>#REF!</v>
      </c>
      <c r="AC127" s="49"/>
      <c r="AD127" s="49"/>
    </row>
    <row r="128" spans="1:30" hidden="1" x14ac:dyDescent="0.3">
      <c r="A128" s="49" t="s">
        <v>2870</v>
      </c>
      <c r="B128" s="49">
        <v>0</v>
      </c>
      <c r="C128" s="49"/>
      <c r="D128" s="72" t="e">
        <v>#N/A</v>
      </c>
      <c r="E128" s="73">
        <v>0</v>
      </c>
      <c r="F128" s="49"/>
      <c r="G128" s="49"/>
      <c r="H128" s="49" t="s">
        <v>2871</v>
      </c>
      <c r="I128" s="49" t="s">
        <v>2874</v>
      </c>
      <c r="J128" s="49" t="s">
        <v>2872</v>
      </c>
      <c r="K128" s="49" t="s">
        <v>2873</v>
      </c>
      <c r="L128" s="49">
        <v>0</v>
      </c>
      <c r="M128" s="49" t="s">
        <v>1764</v>
      </c>
      <c r="N128" s="49" t="s">
        <v>2875</v>
      </c>
      <c r="O128" s="49">
        <v>6</v>
      </c>
      <c r="P128" s="49" t="s">
        <v>2876</v>
      </c>
      <c r="Q128" s="49">
        <v>0</v>
      </c>
      <c r="R128" s="49" t="s">
        <v>2877</v>
      </c>
      <c r="S128" s="49" t="s">
        <v>2878</v>
      </c>
      <c r="T128" s="49" t="s">
        <v>2879</v>
      </c>
      <c r="U128" s="49" t="s">
        <v>655</v>
      </c>
      <c r="V128" s="49" t="e">
        <v>#REF!</v>
      </c>
      <c r="AC128" s="49"/>
      <c r="AD128" s="49"/>
    </row>
    <row r="129" spans="1:30" hidden="1" x14ac:dyDescent="0.3">
      <c r="A129" s="49" t="s">
        <v>2880</v>
      </c>
      <c r="B129" s="49">
        <v>0</v>
      </c>
      <c r="C129" s="49"/>
      <c r="D129" s="72" t="e">
        <v>#N/A</v>
      </c>
      <c r="E129" s="73">
        <v>0</v>
      </c>
      <c r="F129" s="49"/>
      <c r="G129" s="49"/>
      <c r="H129" s="49" t="s">
        <v>2881</v>
      </c>
      <c r="I129" s="49" t="s">
        <v>2884</v>
      </c>
      <c r="J129" s="49" t="s">
        <v>2882</v>
      </c>
      <c r="K129" s="49" t="s">
        <v>2883</v>
      </c>
      <c r="L129" s="49">
        <v>0</v>
      </c>
      <c r="M129" s="49" t="s">
        <v>1734</v>
      </c>
      <c r="N129" s="49" t="s">
        <v>2885</v>
      </c>
      <c r="P129" s="49" t="s">
        <v>2886</v>
      </c>
      <c r="Q129" s="49">
        <v>0</v>
      </c>
      <c r="R129" s="49" t="s">
        <v>2887</v>
      </c>
      <c r="S129" s="49" t="s">
        <v>2888</v>
      </c>
      <c r="T129" s="49" t="s">
        <v>2889</v>
      </c>
      <c r="U129" s="49" t="s">
        <v>655</v>
      </c>
      <c r="V129" s="49" t="e">
        <v>#REF!</v>
      </c>
      <c r="AC129" s="49"/>
      <c r="AD129" s="49"/>
    </row>
    <row r="130" spans="1:30" hidden="1" x14ac:dyDescent="0.3">
      <c r="A130" s="49" t="s">
        <v>2890</v>
      </c>
      <c r="B130" s="49">
        <v>0</v>
      </c>
      <c r="C130" s="49"/>
      <c r="D130" s="72" t="e">
        <v>#N/A</v>
      </c>
      <c r="E130" s="73">
        <v>0</v>
      </c>
      <c r="F130" s="49"/>
      <c r="G130" s="49"/>
      <c r="H130" s="49" t="s">
        <v>2891</v>
      </c>
      <c r="I130" s="49" t="s">
        <v>2894</v>
      </c>
      <c r="J130" s="49" t="s">
        <v>2892</v>
      </c>
      <c r="K130" s="49" t="s">
        <v>2893</v>
      </c>
      <c r="L130" s="49">
        <v>0</v>
      </c>
      <c r="M130" s="49" t="s">
        <v>1745</v>
      </c>
      <c r="N130" s="49" t="s">
        <v>2895</v>
      </c>
      <c r="O130" s="49">
        <v>2</v>
      </c>
      <c r="P130" s="49" t="s">
        <v>2896</v>
      </c>
      <c r="Q130" s="49">
        <v>0</v>
      </c>
      <c r="R130" s="49" t="s">
        <v>2897</v>
      </c>
      <c r="S130" s="49" t="s">
        <v>2898</v>
      </c>
      <c r="T130" s="49" t="s">
        <v>2899</v>
      </c>
      <c r="U130" s="49" t="s">
        <v>655</v>
      </c>
      <c r="V130" s="49" t="e">
        <v>#REF!</v>
      </c>
      <c r="AC130" s="49"/>
      <c r="AD130" s="49"/>
    </row>
    <row r="131" spans="1:30" hidden="1" x14ac:dyDescent="0.3">
      <c r="A131" s="49" t="s">
        <v>2900</v>
      </c>
      <c r="B131" s="49">
        <v>0</v>
      </c>
      <c r="C131" s="49"/>
      <c r="D131" s="72" t="e">
        <v>#N/A</v>
      </c>
      <c r="E131" s="73">
        <v>0</v>
      </c>
      <c r="F131" s="49"/>
      <c r="G131" s="49"/>
      <c r="H131" s="49" t="s">
        <v>2901</v>
      </c>
      <c r="I131" s="49" t="s">
        <v>2904</v>
      </c>
      <c r="J131" s="49" t="s">
        <v>2902</v>
      </c>
      <c r="K131" s="49" t="s">
        <v>2903</v>
      </c>
      <c r="L131" s="49">
        <v>0</v>
      </c>
      <c r="M131" s="49" t="s">
        <v>1734</v>
      </c>
      <c r="N131" s="49" t="s">
        <v>2239</v>
      </c>
      <c r="P131" s="49" t="s">
        <v>2905</v>
      </c>
      <c r="Q131" s="49">
        <v>0</v>
      </c>
      <c r="R131" s="49" t="s">
        <v>2906</v>
      </c>
      <c r="S131" s="49" t="s">
        <v>2907</v>
      </c>
      <c r="T131" s="49" t="s">
        <v>646</v>
      </c>
      <c r="U131" s="49" t="s">
        <v>670</v>
      </c>
      <c r="V131" s="49" t="e">
        <v>#REF!</v>
      </c>
      <c r="AC131" s="49"/>
      <c r="AD131" s="49"/>
    </row>
    <row r="132" spans="1:30" hidden="1" x14ac:dyDescent="0.3">
      <c r="A132" s="49" t="s">
        <v>2908</v>
      </c>
      <c r="B132" s="49">
        <v>0</v>
      </c>
      <c r="C132" s="49"/>
      <c r="D132" s="72" t="e">
        <v>#N/A</v>
      </c>
      <c r="E132" s="73">
        <v>0</v>
      </c>
      <c r="F132" s="49"/>
      <c r="G132" s="49"/>
      <c r="H132" s="49" t="s">
        <v>646</v>
      </c>
      <c r="I132" s="49" t="s">
        <v>2911</v>
      </c>
      <c r="J132" s="49" t="s">
        <v>2909</v>
      </c>
      <c r="K132" s="49" t="s">
        <v>2910</v>
      </c>
      <c r="L132" s="49">
        <v>0</v>
      </c>
      <c r="M132" s="49" t="s">
        <v>1745</v>
      </c>
      <c r="N132" s="49" t="s">
        <v>2912</v>
      </c>
      <c r="O132" s="49">
        <v>2</v>
      </c>
      <c r="P132" s="49" t="s">
        <v>2913</v>
      </c>
      <c r="Q132" s="49">
        <v>0</v>
      </c>
      <c r="R132" s="49" t="s">
        <v>2914</v>
      </c>
      <c r="S132" s="49" t="s">
        <v>2915</v>
      </c>
      <c r="T132" s="49" t="s">
        <v>2916</v>
      </c>
      <c r="U132" s="49" t="s">
        <v>655</v>
      </c>
      <c r="V132" s="49" t="e">
        <v>#REF!</v>
      </c>
      <c r="AC132" s="49"/>
      <c r="AD132" s="49"/>
    </row>
    <row r="133" spans="1:30" hidden="1" x14ac:dyDescent="0.3">
      <c r="A133" s="49" t="s">
        <v>2917</v>
      </c>
      <c r="B133" s="49">
        <v>0</v>
      </c>
      <c r="C133" s="49"/>
      <c r="D133" s="72" t="e">
        <v>#N/A</v>
      </c>
      <c r="E133" s="73">
        <v>0</v>
      </c>
      <c r="F133" s="49"/>
      <c r="G133" s="49"/>
      <c r="H133" s="49" t="s">
        <v>2918</v>
      </c>
      <c r="I133" s="49" t="s">
        <v>2921</v>
      </c>
      <c r="J133" s="49" t="s">
        <v>2919</v>
      </c>
      <c r="K133" s="49" t="s">
        <v>2920</v>
      </c>
      <c r="L133" s="49">
        <v>0</v>
      </c>
      <c r="M133" s="49" t="s">
        <v>1745</v>
      </c>
      <c r="N133" s="49" t="s">
        <v>2922</v>
      </c>
      <c r="O133" s="49">
        <v>2</v>
      </c>
      <c r="P133" s="49" t="s">
        <v>2923</v>
      </c>
      <c r="Q133" s="49">
        <v>0</v>
      </c>
      <c r="R133" s="49" t="s">
        <v>2924</v>
      </c>
      <c r="S133" s="49" t="s">
        <v>2925</v>
      </c>
      <c r="T133" s="49" t="s">
        <v>2926</v>
      </c>
      <c r="U133" s="49" t="s">
        <v>655</v>
      </c>
      <c r="V133" s="49" t="e">
        <v>#REF!</v>
      </c>
      <c r="AC133" s="49"/>
      <c r="AD133" s="49"/>
    </row>
    <row r="134" spans="1:30" hidden="1" x14ac:dyDescent="0.3">
      <c r="A134" s="49" t="s">
        <v>2927</v>
      </c>
      <c r="B134" s="49">
        <v>0</v>
      </c>
      <c r="C134" s="49"/>
      <c r="D134" s="72" t="e">
        <v>#N/A</v>
      </c>
      <c r="E134" s="73">
        <v>0</v>
      </c>
      <c r="F134" s="49"/>
      <c r="G134" s="49"/>
      <c r="H134" s="49" t="s">
        <v>646</v>
      </c>
      <c r="I134" s="49" t="s">
        <v>2930</v>
      </c>
      <c r="J134" s="49" t="s">
        <v>2928</v>
      </c>
      <c r="K134" s="49" t="s">
        <v>2929</v>
      </c>
      <c r="L134" s="49">
        <v>0</v>
      </c>
      <c r="M134" s="49" t="s">
        <v>2456</v>
      </c>
      <c r="N134" s="49" t="s">
        <v>2458</v>
      </c>
      <c r="O134" s="49">
        <v>33</v>
      </c>
      <c r="P134" s="49" t="s">
        <v>2931</v>
      </c>
      <c r="Q134" s="49">
        <v>0</v>
      </c>
      <c r="R134" s="49" t="s">
        <v>2932</v>
      </c>
      <c r="S134" s="49" t="s">
        <v>2933</v>
      </c>
      <c r="T134" s="49" t="s">
        <v>646</v>
      </c>
      <c r="U134" s="49" t="s">
        <v>670</v>
      </c>
      <c r="V134" s="49" t="e">
        <v>#REF!</v>
      </c>
      <c r="AC134" s="49"/>
      <c r="AD134" s="49"/>
    </row>
    <row r="135" spans="1:30" hidden="1" x14ac:dyDescent="0.3">
      <c r="A135" s="49" t="s">
        <v>2934</v>
      </c>
      <c r="B135" s="49">
        <v>0</v>
      </c>
      <c r="C135" s="49"/>
      <c r="D135" s="72" t="e">
        <v>#N/A</v>
      </c>
      <c r="E135" s="73">
        <v>0</v>
      </c>
      <c r="F135" s="49"/>
      <c r="G135" s="49"/>
      <c r="H135" s="49" t="s">
        <v>2935</v>
      </c>
      <c r="I135" s="49" t="s">
        <v>2938</v>
      </c>
      <c r="J135" s="49" t="s">
        <v>2936</v>
      </c>
      <c r="K135" s="49" t="s">
        <v>2937</v>
      </c>
      <c r="L135" s="49">
        <v>0</v>
      </c>
      <c r="M135" s="49" t="s">
        <v>1826</v>
      </c>
      <c r="N135" s="49" t="s">
        <v>2939</v>
      </c>
      <c r="O135" s="49">
        <v>20</v>
      </c>
      <c r="P135" s="49" t="s">
        <v>2940</v>
      </c>
      <c r="Q135" s="49">
        <v>0</v>
      </c>
      <c r="R135" s="49" t="s">
        <v>2941</v>
      </c>
      <c r="S135" s="49" t="s">
        <v>2942</v>
      </c>
      <c r="T135" s="49" t="s">
        <v>2943</v>
      </c>
      <c r="U135" s="49" t="s">
        <v>655</v>
      </c>
      <c r="V135" s="49" t="e">
        <v>#REF!</v>
      </c>
      <c r="AC135" s="49"/>
      <c r="AD135" s="49"/>
    </row>
    <row r="136" spans="1:30" hidden="1" x14ac:dyDescent="0.3">
      <c r="A136" s="49" t="s">
        <v>2944</v>
      </c>
      <c r="B136" s="49">
        <v>0</v>
      </c>
      <c r="C136" s="49">
        <v>1</v>
      </c>
      <c r="D136" s="72" t="e">
        <v>#N/A</v>
      </c>
      <c r="E136" s="74" t="s">
        <v>645</v>
      </c>
      <c r="F136" s="73">
        <v>1</v>
      </c>
      <c r="G136" s="49">
        <v>0</v>
      </c>
      <c r="H136" s="49" t="s">
        <v>2945</v>
      </c>
      <c r="I136" s="49" t="s">
        <v>2948</v>
      </c>
      <c r="J136" s="49" t="s">
        <v>2946</v>
      </c>
      <c r="K136" s="49" t="s">
        <v>2947</v>
      </c>
      <c r="L136" s="49">
        <v>0</v>
      </c>
      <c r="M136" s="75" t="s">
        <v>1745</v>
      </c>
      <c r="N136" s="49" t="s">
        <v>2201</v>
      </c>
      <c r="O136" s="49">
        <v>1</v>
      </c>
      <c r="P136" s="49" t="s">
        <v>2949</v>
      </c>
      <c r="Q136" s="49">
        <v>0</v>
      </c>
      <c r="R136" s="49" t="s">
        <v>2950</v>
      </c>
      <c r="S136" s="49" t="s">
        <v>2951</v>
      </c>
      <c r="T136" s="49" t="s">
        <v>2952</v>
      </c>
      <c r="U136" s="49" t="s">
        <v>655</v>
      </c>
      <c r="V136" s="49" t="e">
        <v>#REF!</v>
      </c>
      <c r="AC136" s="49"/>
      <c r="AD136" s="49"/>
    </row>
    <row r="137" spans="1:30" hidden="1" x14ac:dyDescent="0.3">
      <c r="A137" s="49" t="s">
        <v>2953</v>
      </c>
      <c r="B137" s="49">
        <v>0</v>
      </c>
      <c r="C137" s="49"/>
      <c r="D137" s="72" t="e">
        <v>#N/A</v>
      </c>
      <c r="E137" s="73">
        <v>0</v>
      </c>
      <c r="F137" s="49"/>
      <c r="G137" s="49"/>
      <c r="H137" s="49" t="s">
        <v>2954</v>
      </c>
      <c r="I137" s="49" t="s">
        <v>2957</v>
      </c>
      <c r="J137" s="49" t="s">
        <v>2955</v>
      </c>
      <c r="K137" s="49" t="s">
        <v>2956</v>
      </c>
      <c r="L137" s="49">
        <v>0</v>
      </c>
      <c r="M137" s="49" t="s">
        <v>1734</v>
      </c>
      <c r="N137" s="49" t="s">
        <v>2535</v>
      </c>
      <c r="P137" s="49" t="s">
        <v>2958</v>
      </c>
      <c r="Q137" s="49">
        <v>0</v>
      </c>
      <c r="R137" s="49" t="s">
        <v>2959</v>
      </c>
      <c r="S137" s="49" t="s">
        <v>2960</v>
      </c>
      <c r="T137" s="49" t="s">
        <v>2961</v>
      </c>
      <c r="U137" s="49" t="s">
        <v>655</v>
      </c>
      <c r="V137" s="49" t="e">
        <v>#REF!</v>
      </c>
      <c r="AC137" s="49"/>
      <c r="AD137" s="49"/>
    </row>
    <row r="138" spans="1:30" hidden="1" x14ac:dyDescent="0.3">
      <c r="A138" s="49" t="s">
        <v>2962</v>
      </c>
      <c r="B138" s="49">
        <v>0</v>
      </c>
      <c r="C138" s="49"/>
      <c r="D138" s="72" t="e">
        <v>#N/A</v>
      </c>
      <c r="E138" s="73">
        <v>0</v>
      </c>
      <c r="F138" s="49"/>
      <c r="G138" s="49"/>
      <c r="H138" s="49" t="s">
        <v>2963</v>
      </c>
      <c r="I138" s="49" t="s">
        <v>2966</v>
      </c>
      <c r="J138" s="49" t="s">
        <v>2964</v>
      </c>
      <c r="K138" s="49" t="s">
        <v>2965</v>
      </c>
      <c r="L138" s="49">
        <v>0</v>
      </c>
      <c r="M138" s="49" t="s">
        <v>1734</v>
      </c>
      <c r="N138" s="49" t="s">
        <v>2967</v>
      </c>
      <c r="O138" s="49">
        <v>1</v>
      </c>
      <c r="P138" s="49" t="s">
        <v>2968</v>
      </c>
      <c r="Q138" s="49">
        <v>0</v>
      </c>
      <c r="R138" s="49" t="s">
        <v>2969</v>
      </c>
      <c r="S138" s="49" t="s">
        <v>2970</v>
      </c>
      <c r="T138" s="49" t="s">
        <v>2971</v>
      </c>
      <c r="U138" s="49" t="s">
        <v>655</v>
      </c>
      <c r="V138" s="49" t="e">
        <v>#REF!</v>
      </c>
      <c r="AC138" s="49"/>
      <c r="AD138" s="49"/>
    </row>
    <row r="139" spans="1:30" hidden="1" x14ac:dyDescent="0.3">
      <c r="A139" s="49" t="s">
        <v>2972</v>
      </c>
      <c r="B139" s="49">
        <v>0</v>
      </c>
      <c r="C139" s="49"/>
      <c r="D139" s="72" t="e">
        <v>#N/A</v>
      </c>
      <c r="E139" s="73">
        <v>0</v>
      </c>
      <c r="F139" s="49"/>
      <c r="G139" s="49"/>
      <c r="H139" s="49" t="s">
        <v>2973</v>
      </c>
      <c r="I139" s="49" t="s">
        <v>2976</v>
      </c>
      <c r="J139" s="49" t="s">
        <v>2974</v>
      </c>
      <c r="K139" s="49" t="s">
        <v>2975</v>
      </c>
      <c r="L139" s="49">
        <v>0</v>
      </c>
      <c r="M139" s="49" t="s">
        <v>1734</v>
      </c>
      <c r="N139" s="49" t="s">
        <v>2977</v>
      </c>
      <c r="O139" s="49">
        <v>6</v>
      </c>
      <c r="P139" s="49" t="s">
        <v>2978</v>
      </c>
      <c r="Q139" s="49">
        <v>0</v>
      </c>
      <c r="R139" s="49" t="s">
        <v>2979</v>
      </c>
      <c r="S139" s="49" t="s">
        <v>2980</v>
      </c>
      <c r="T139" s="49" t="s">
        <v>2981</v>
      </c>
      <c r="U139" s="49" t="s">
        <v>655</v>
      </c>
      <c r="V139" s="49" t="e">
        <v>#REF!</v>
      </c>
      <c r="AC139" s="49"/>
      <c r="AD139" s="49"/>
    </row>
    <row r="140" spans="1:30" hidden="1" x14ac:dyDescent="0.3">
      <c r="A140" s="49" t="s">
        <v>2982</v>
      </c>
      <c r="B140" s="49">
        <v>0</v>
      </c>
      <c r="C140" s="49"/>
      <c r="D140" s="72" t="e">
        <v>#N/A</v>
      </c>
      <c r="E140" s="73">
        <v>0</v>
      </c>
      <c r="F140" s="49"/>
      <c r="G140" s="49"/>
      <c r="H140" s="49" t="s">
        <v>2983</v>
      </c>
      <c r="I140" s="49" t="s">
        <v>2986</v>
      </c>
      <c r="J140" s="49" t="s">
        <v>2984</v>
      </c>
      <c r="K140" s="49" t="s">
        <v>2985</v>
      </c>
      <c r="L140" s="49">
        <v>0</v>
      </c>
      <c r="M140" s="49" t="s">
        <v>1745</v>
      </c>
      <c r="N140" s="49" t="s">
        <v>2987</v>
      </c>
      <c r="O140" s="49">
        <v>1</v>
      </c>
      <c r="P140" s="49" t="s">
        <v>2988</v>
      </c>
      <c r="Q140" s="49">
        <v>0</v>
      </c>
      <c r="R140" s="49" t="s">
        <v>2989</v>
      </c>
      <c r="S140" s="49" t="s">
        <v>2990</v>
      </c>
      <c r="T140" s="49" t="s">
        <v>2991</v>
      </c>
      <c r="U140" s="49" t="s">
        <v>655</v>
      </c>
      <c r="V140" s="49" t="e">
        <v>#REF!</v>
      </c>
      <c r="AC140" s="49"/>
      <c r="AD140" s="49"/>
    </row>
    <row r="141" spans="1:30" hidden="1" x14ac:dyDescent="0.3">
      <c r="A141" s="49" t="s">
        <v>2992</v>
      </c>
      <c r="B141" s="49">
        <v>0</v>
      </c>
      <c r="C141" s="49"/>
      <c r="D141" s="72" t="e">
        <v>#N/A</v>
      </c>
      <c r="E141" s="73">
        <v>0</v>
      </c>
      <c r="F141" s="49"/>
      <c r="G141" s="49"/>
      <c r="H141" s="49" t="s">
        <v>2993</v>
      </c>
      <c r="I141" s="49" t="s">
        <v>2996</v>
      </c>
      <c r="J141" s="49" t="s">
        <v>2994</v>
      </c>
      <c r="K141" s="49" t="s">
        <v>2995</v>
      </c>
      <c r="L141" s="49">
        <v>0</v>
      </c>
      <c r="M141" s="49" t="s">
        <v>1745</v>
      </c>
      <c r="N141" s="49" t="s">
        <v>2997</v>
      </c>
      <c r="P141" s="49" t="s">
        <v>2998</v>
      </c>
      <c r="Q141" s="49">
        <v>0</v>
      </c>
      <c r="R141" s="49" t="s">
        <v>2999</v>
      </c>
      <c r="S141" s="49" t="s">
        <v>3000</v>
      </c>
      <c r="T141" s="49" t="s">
        <v>3001</v>
      </c>
      <c r="U141" s="49" t="s">
        <v>655</v>
      </c>
      <c r="V141" s="49" t="e">
        <v>#REF!</v>
      </c>
      <c r="AC141" s="49"/>
      <c r="AD141" s="49"/>
    </row>
    <row r="142" spans="1:30" hidden="1" x14ac:dyDescent="0.3">
      <c r="A142" s="49" t="s">
        <v>3002</v>
      </c>
      <c r="B142" s="49">
        <v>0</v>
      </c>
      <c r="C142" s="49">
        <v>0</v>
      </c>
      <c r="D142" s="72" t="e">
        <v>#N/A</v>
      </c>
      <c r="E142" s="74" t="s">
        <v>645</v>
      </c>
      <c r="F142" s="73">
        <v>1</v>
      </c>
      <c r="G142" s="49"/>
      <c r="H142" s="49" t="s">
        <v>3003</v>
      </c>
      <c r="I142" s="49" t="s">
        <v>3006</v>
      </c>
      <c r="J142" s="49" t="s">
        <v>3004</v>
      </c>
      <c r="K142" s="49" t="s">
        <v>3005</v>
      </c>
      <c r="L142" s="49">
        <v>0</v>
      </c>
      <c r="M142" s="75" t="s">
        <v>1734</v>
      </c>
      <c r="N142" s="49" t="s">
        <v>3007</v>
      </c>
      <c r="P142" s="49" t="s">
        <v>3008</v>
      </c>
      <c r="Q142" s="49">
        <v>0</v>
      </c>
      <c r="R142" s="49" t="s">
        <v>3009</v>
      </c>
      <c r="S142" s="49" t="s">
        <v>3010</v>
      </c>
      <c r="T142" s="49" t="s">
        <v>3011</v>
      </c>
      <c r="U142" s="49" t="s">
        <v>655</v>
      </c>
      <c r="V142" s="49" t="e">
        <v>#REF!</v>
      </c>
      <c r="AC142" s="49"/>
      <c r="AD142" s="49"/>
    </row>
    <row r="143" spans="1:30" hidden="1" x14ac:dyDescent="0.3">
      <c r="A143" s="49" t="s">
        <v>3012</v>
      </c>
      <c r="B143" s="49">
        <v>0</v>
      </c>
      <c r="C143" s="49"/>
      <c r="D143" s="72" t="e">
        <v>#N/A</v>
      </c>
      <c r="E143" s="73">
        <v>0</v>
      </c>
      <c r="F143" s="49"/>
      <c r="G143" s="49"/>
      <c r="H143" s="49" t="s">
        <v>3013</v>
      </c>
      <c r="I143" s="49" t="s">
        <v>3016</v>
      </c>
      <c r="J143" s="49" t="s">
        <v>3014</v>
      </c>
      <c r="K143" s="49" t="s">
        <v>3015</v>
      </c>
      <c r="L143" s="49">
        <v>0</v>
      </c>
      <c r="M143" s="49" t="s">
        <v>1734</v>
      </c>
      <c r="N143" s="49" t="s">
        <v>2307</v>
      </c>
      <c r="P143" s="49" t="s">
        <v>3017</v>
      </c>
      <c r="Q143" s="49">
        <v>0</v>
      </c>
      <c r="R143" s="49" t="s">
        <v>3018</v>
      </c>
      <c r="S143" s="49" t="s">
        <v>3019</v>
      </c>
      <c r="T143" s="49" t="s">
        <v>3020</v>
      </c>
      <c r="U143" s="49" t="s">
        <v>655</v>
      </c>
      <c r="V143" s="49" t="e">
        <v>#REF!</v>
      </c>
      <c r="AC143" s="49"/>
      <c r="AD143" s="49"/>
    </row>
    <row r="144" spans="1:30" hidden="1" x14ac:dyDescent="0.3">
      <c r="A144" s="49" t="s">
        <v>3021</v>
      </c>
      <c r="B144" s="49">
        <v>0</v>
      </c>
      <c r="C144" s="49">
        <v>0</v>
      </c>
      <c r="D144" s="72" t="e">
        <v>#N/A</v>
      </c>
      <c r="E144" s="74" t="s">
        <v>645</v>
      </c>
      <c r="F144" s="73">
        <v>1</v>
      </c>
      <c r="G144" s="49"/>
      <c r="H144" s="49" t="s">
        <v>3022</v>
      </c>
      <c r="I144" s="49" t="s">
        <v>3025</v>
      </c>
      <c r="J144" s="49" t="s">
        <v>3023</v>
      </c>
      <c r="K144" s="49" t="s">
        <v>3024</v>
      </c>
      <c r="L144" s="49">
        <v>0</v>
      </c>
      <c r="M144" s="75" t="s">
        <v>1734</v>
      </c>
      <c r="N144" s="49" t="s">
        <v>3026</v>
      </c>
      <c r="P144" s="49" t="s">
        <v>3027</v>
      </c>
      <c r="Q144" s="49">
        <v>0</v>
      </c>
      <c r="R144" s="49" t="s">
        <v>3028</v>
      </c>
      <c r="S144" s="49" t="s">
        <v>3029</v>
      </c>
      <c r="T144" s="49" t="s">
        <v>3030</v>
      </c>
      <c r="U144" s="49" t="s">
        <v>670</v>
      </c>
      <c r="V144" s="49" t="e">
        <v>#REF!</v>
      </c>
      <c r="AC144" s="49"/>
      <c r="AD144" s="49"/>
    </row>
    <row r="145" spans="1:30" hidden="1" x14ac:dyDescent="0.3">
      <c r="A145" s="49" t="s">
        <v>3031</v>
      </c>
      <c r="B145" s="49">
        <v>0</v>
      </c>
      <c r="C145" s="49"/>
      <c r="D145" s="72" t="e">
        <v>#N/A</v>
      </c>
      <c r="E145" s="73">
        <v>0</v>
      </c>
      <c r="F145" s="49"/>
      <c r="G145" s="49"/>
      <c r="H145" s="49" t="s">
        <v>3032</v>
      </c>
      <c r="I145" s="49" t="s">
        <v>3035</v>
      </c>
      <c r="J145" s="49" t="s">
        <v>3033</v>
      </c>
      <c r="K145" s="49" t="s">
        <v>3034</v>
      </c>
      <c r="L145" s="49">
        <v>0</v>
      </c>
      <c r="M145" s="49" t="s">
        <v>2484</v>
      </c>
      <c r="N145" s="49" t="s">
        <v>3036</v>
      </c>
      <c r="O145" s="49">
        <v>3</v>
      </c>
      <c r="P145" s="49" t="s">
        <v>3037</v>
      </c>
      <c r="Q145" s="49">
        <v>0</v>
      </c>
      <c r="R145" s="49" t="s">
        <v>3038</v>
      </c>
      <c r="S145" s="49" t="s">
        <v>3039</v>
      </c>
      <c r="T145" s="49" t="s">
        <v>646</v>
      </c>
      <c r="U145" s="49" t="s">
        <v>670</v>
      </c>
      <c r="V145" s="49" t="e">
        <v>#REF!</v>
      </c>
      <c r="AC145" s="49"/>
      <c r="AD145" s="49"/>
    </row>
    <row r="146" spans="1:30" hidden="1" x14ac:dyDescent="0.3">
      <c r="A146" s="49" t="s">
        <v>3040</v>
      </c>
      <c r="B146" s="49">
        <v>0</v>
      </c>
      <c r="C146" s="49"/>
      <c r="D146" s="72" t="e">
        <v>#N/A</v>
      </c>
      <c r="E146" s="73">
        <v>0</v>
      </c>
      <c r="F146" s="49"/>
      <c r="G146" s="49"/>
      <c r="H146" s="49" t="s">
        <v>3041</v>
      </c>
      <c r="I146" s="49" t="s">
        <v>3044</v>
      </c>
      <c r="J146" s="49" t="s">
        <v>3042</v>
      </c>
      <c r="K146" s="49" t="s">
        <v>3043</v>
      </c>
      <c r="L146" s="49">
        <v>0</v>
      </c>
      <c r="M146" s="49" t="s">
        <v>1865</v>
      </c>
      <c r="N146" s="49" t="s">
        <v>3045</v>
      </c>
      <c r="O146" s="49">
        <v>11</v>
      </c>
      <c r="P146" s="49" t="s">
        <v>3046</v>
      </c>
      <c r="Q146" s="49">
        <v>0</v>
      </c>
      <c r="R146" s="49" t="s">
        <v>3047</v>
      </c>
      <c r="S146" s="49" t="s">
        <v>3048</v>
      </c>
      <c r="T146" s="49" t="s">
        <v>3049</v>
      </c>
      <c r="U146" s="49" t="s">
        <v>655</v>
      </c>
      <c r="V146" s="49" t="e">
        <v>#REF!</v>
      </c>
      <c r="AC146" s="49"/>
      <c r="AD146" s="49"/>
    </row>
    <row r="147" spans="1:30" hidden="1" x14ac:dyDescent="0.3">
      <c r="A147" s="49" t="s">
        <v>3050</v>
      </c>
      <c r="B147" s="49">
        <v>0</v>
      </c>
      <c r="C147" s="49"/>
      <c r="D147" s="72" t="e">
        <v>#N/A</v>
      </c>
      <c r="E147" s="74" t="s">
        <v>645</v>
      </c>
      <c r="F147" s="73">
        <v>0</v>
      </c>
      <c r="G147" s="49"/>
      <c r="H147" s="49" t="s">
        <v>3051</v>
      </c>
      <c r="I147" s="49" t="s">
        <v>3054</v>
      </c>
      <c r="J147" s="49" t="s">
        <v>3052</v>
      </c>
      <c r="K147" s="49" t="s">
        <v>3053</v>
      </c>
      <c r="L147" s="49">
        <v>0</v>
      </c>
      <c r="M147" s="49" t="s">
        <v>1865</v>
      </c>
      <c r="N147" s="49" t="s">
        <v>3055</v>
      </c>
      <c r="P147" s="49" t="s">
        <v>3056</v>
      </c>
      <c r="Q147" s="49">
        <v>0</v>
      </c>
      <c r="R147" s="49" t="s">
        <v>3057</v>
      </c>
      <c r="S147" s="49" t="s">
        <v>3058</v>
      </c>
      <c r="T147" s="49" t="s">
        <v>3059</v>
      </c>
      <c r="U147" s="49" t="s">
        <v>655</v>
      </c>
      <c r="V147" s="49" t="e">
        <v>#REF!</v>
      </c>
      <c r="AC147" s="49"/>
      <c r="AD147" s="49"/>
    </row>
    <row r="148" spans="1:30" hidden="1" x14ac:dyDescent="0.3">
      <c r="A148" s="49" t="s">
        <v>3060</v>
      </c>
      <c r="B148" s="49">
        <v>0</v>
      </c>
      <c r="C148" s="49"/>
      <c r="D148" s="72" t="e">
        <v>#N/A</v>
      </c>
      <c r="E148" s="73">
        <v>0</v>
      </c>
      <c r="F148" s="49"/>
      <c r="G148" s="49"/>
      <c r="H148" s="49" t="s">
        <v>3061</v>
      </c>
      <c r="I148" s="49" t="s">
        <v>3064</v>
      </c>
      <c r="J148" s="49" t="s">
        <v>3062</v>
      </c>
      <c r="K148" s="49" t="s">
        <v>3063</v>
      </c>
      <c r="L148" s="49">
        <v>0</v>
      </c>
      <c r="M148" s="49" t="s">
        <v>1745</v>
      </c>
      <c r="N148" s="49" t="s">
        <v>3065</v>
      </c>
      <c r="O148" s="49">
        <v>7</v>
      </c>
      <c r="P148" s="49" t="s">
        <v>3066</v>
      </c>
      <c r="Q148" s="49">
        <v>0</v>
      </c>
      <c r="R148" s="49" t="s">
        <v>3067</v>
      </c>
      <c r="S148" s="49" t="s">
        <v>3068</v>
      </c>
      <c r="T148" s="49" t="s">
        <v>3069</v>
      </c>
      <c r="U148" s="49" t="s">
        <v>655</v>
      </c>
      <c r="V148" s="49" t="e">
        <v>#REF!</v>
      </c>
      <c r="AC148" s="49"/>
      <c r="AD148" s="49"/>
    </row>
    <row r="149" spans="1:30" hidden="1" x14ac:dyDescent="0.3">
      <c r="A149" s="49" t="s">
        <v>3070</v>
      </c>
      <c r="B149" s="49">
        <v>0</v>
      </c>
      <c r="C149" s="49"/>
      <c r="D149" s="72" t="e">
        <v>#N/A</v>
      </c>
      <c r="E149" s="73">
        <v>0</v>
      </c>
      <c r="F149" s="49"/>
      <c r="G149" s="49"/>
      <c r="H149" s="49" t="s">
        <v>646</v>
      </c>
      <c r="I149" s="49" t="s">
        <v>3073</v>
      </c>
      <c r="J149" s="49" t="s">
        <v>3071</v>
      </c>
      <c r="K149" s="49" t="s">
        <v>3072</v>
      </c>
      <c r="L149" s="49">
        <v>0</v>
      </c>
      <c r="M149" s="49" t="s">
        <v>1777</v>
      </c>
      <c r="N149" s="49" t="s">
        <v>3074</v>
      </c>
      <c r="O149" s="49">
        <v>1</v>
      </c>
      <c r="P149" s="49" t="s">
        <v>3075</v>
      </c>
      <c r="Q149" s="49">
        <v>0</v>
      </c>
      <c r="R149" s="49" t="s">
        <v>3076</v>
      </c>
      <c r="S149" s="49" t="s">
        <v>3077</v>
      </c>
      <c r="T149" s="49" t="s">
        <v>646</v>
      </c>
      <c r="U149" s="49" t="s">
        <v>670</v>
      </c>
      <c r="V149" s="49" t="e">
        <v>#REF!</v>
      </c>
      <c r="AC149" s="49"/>
      <c r="AD149" s="49"/>
    </row>
    <row r="150" spans="1:30" hidden="1" x14ac:dyDescent="0.3">
      <c r="A150" s="49" t="s">
        <v>3078</v>
      </c>
      <c r="B150" s="49">
        <v>0</v>
      </c>
      <c r="C150" s="49"/>
      <c r="D150" s="72" t="e">
        <v>#N/A</v>
      </c>
      <c r="E150" s="73">
        <v>0</v>
      </c>
      <c r="F150" s="49"/>
      <c r="G150" s="49"/>
      <c r="H150" s="49" t="s">
        <v>3079</v>
      </c>
      <c r="I150" s="49" t="s">
        <v>3082</v>
      </c>
      <c r="J150" s="49" t="s">
        <v>3080</v>
      </c>
      <c r="K150" s="49" t="s">
        <v>3081</v>
      </c>
      <c r="L150" s="49">
        <v>0</v>
      </c>
      <c r="M150" s="49" t="s">
        <v>1734</v>
      </c>
      <c r="N150" s="49" t="s">
        <v>3083</v>
      </c>
      <c r="O150" s="49">
        <v>1</v>
      </c>
      <c r="P150" s="49" t="s">
        <v>3084</v>
      </c>
      <c r="Q150" s="49">
        <v>0</v>
      </c>
      <c r="R150" s="49" t="s">
        <v>3085</v>
      </c>
      <c r="S150" s="49" t="s">
        <v>3086</v>
      </c>
      <c r="T150" s="49" t="s">
        <v>3087</v>
      </c>
      <c r="U150" s="49" t="s">
        <v>655</v>
      </c>
      <c r="V150" s="49" t="e">
        <v>#REF!</v>
      </c>
      <c r="AC150" s="49"/>
      <c r="AD150" s="49"/>
    </row>
    <row r="151" spans="1:30" x14ac:dyDescent="0.3">
      <c r="A151" s="49" t="s">
        <v>3089</v>
      </c>
      <c r="B151" s="49" t="s">
        <v>3088</v>
      </c>
      <c r="C151" s="49">
        <v>1</v>
      </c>
      <c r="D151" s="72" t="s">
        <v>1773</v>
      </c>
      <c r="E151" s="74">
        <v>1</v>
      </c>
      <c r="F151" s="73">
        <v>1</v>
      </c>
      <c r="G151" s="49">
        <v>1</v>
      </c>
      <c r="H151" s="49" t="s">
        <v>3090</v>
      </c>
      <c r="I151" s="49" t="s">
        <v>3093</v>
      </c>
      <c r="J151" s="49" t="s">
        <v>3091</v>
      </c>
      <c r="K151" s="49" t="s">
        <v>3092</v>
      </c>
      <c r="L151" s="49">
        <v>0</v>
      </c>
      <c r="M151" s="75" t="s">
        <v>1745</v>
      </c>
      <c r="N151" s="49" t="s">
        <v>687</v>
      </c>
      <c r="P151" s="49" t="s">
        <v>3094</v>
      </c>
      <c r="Q151" s="49">
        <v>0</v>
      </c>
      <c r="R151" s="49" t="s">
        <v>3095</v>
      </c>
      <c r="S151" s="49" t="s">
        <v>3096</v>
      </c>
      <c r="T151" s="49" t="s">
        <v>646</v>
      </c>
      <c r="U151" s="49" t="s">
        <v>670</v>
      </c>
      <c r="V151" s="49" t="e">
        <v>#REF!</v>
      </c>
      <c r="AC151" s="49"/>
      <c r="AD151" s="49"/>
    </row>
    <row r="152" spans="1:30" hidden="1" x14ac:dyDescent="0.3">
      <c r="A152" s="49" t="s">
        <v>3097</v>
      </c>
      <c r="B152" s="49">
        <v>0</v>
      </c>
      <c r="C152" s="49"/>
      <c r="D152" s="72" t="e">
        <v>#N/A</v>
      </c>
      <c r="E152" s="74" t="s">
        <v>645</v>
      </c>
      <c r="F152" s="73">
        <v>0</v>
      </c>
      <c r="G152" s="49"/>
      <c r="H152" s="49" t="s">
        <v>3098</v>
      </c>
      <c r="I152" s="49" t="s">
        <v>3101</v>
      </c>
      <c r="J152" s="49" t="s">
        <v>3099</v>
      </c>
      <c r="K152" s="49" t="s">
        <v>3100</v>
      </c>
      <c r="L152" s="49">
        <v>0</v>
      </c>
      <c r="M152" s="49" t="s">
        <v>1734</v>
      </c>
      <c r="N152" s="49" t="s">
        <v>2239</v>
      </c>
      <c r="O152" s="49">
        <v>2</v>
      </c>
      <c r="P152" s="49" t="s">
        <v>3102</v>
      </c>
      <c r="Q152" s="49">
        <v>0</v>
      </c>
      <c r="R152" s="49" t="s">
        <v>3103</v>
      </c>
      <c r="S152" s="49" t="s">
        <v>3104</v>
      </c>
      <c r="T152" s="49" t="s">
        <v>646</v>
      </c>
      <c r="U152" s="49" t="s">
        <v>670</v>
      </c>
      <c r="V152" s="49" t="e">
        <v>#REF!</v>
      </c>
      <c r="AC152" s="49"/>
      <c r="AD152" s="49"/>
    </row>
    <row r="153" spans="1:30" hidden="1" x14ac:dyDescent="0.3">
      <c r="A153" s="49" t="s">
        <v>2327</v>
      </c>
      <c r="B153" s="49">
        <v>0</v>
      </c>
      <c r="C153" s="49"/>
      <c r="D153" s="72" t="e">
        <v>#N/A</v>
      </c>
      <c r="E153" s="73">
        <v>0</v>
      </c>
      <c r="F153" s="49"/>
      <c r="G153" s="49"/>
      <c r="H153" s="49" t="s">
        <v>646</v>
      </c>
      <c r="I153" s="49" t="s">
        <v>826</v>
      </c>
      <c r="J153" s="49" t="s">
        <v>827</v>
      </c>
      <c r="K153" s="49" t="s">
        <v>3105</v>
      </c>
      <c r="L153" s="49">
        <v>0</v>
      </c>
      <c r="M153" s="49" t="s">
        <v>1734</v>
      </c>
      <c r="N153" s="49" t="s">
        <v>2327</v>
      </c>
      <c r="P153" s="49" t="s">
        <v>3106</v>
      </c>
      <c r="Q153" s="49">
        <v>0</v>
      </c>
      <c r="R153" s="49" t="s">
        <v>646</v>
      </c>
      <c r="S153" s="49" t="s">
        <v>646</v>
      </c>
      <c r="T153" s="49" t="s">
        <v>646</v>
      </c>
      <c r="U153" s="49" t="s">
        <v>830</v>
      </c>
      <c r="V153" s="49" t="e">
        <v>#REF!</v>
      </c>
      <c r="AC153" s="49"/>
      <c r="AD153" s="49"/>
    </row>
    <row r="154" spans="1:30" hidden="1" x14ac:dyDescent="0.3">
      <c r="A154" s="49" t="s">
        <v>3107</v>
      </c>
      <c r="B154" s="49">
        <v>0</v>
      </c>
      <c r="C154" s="49"/>
      <c r="D154" s="72" t="e">
        <v>#N/A</v>
      </c>
      <c r="E154" s="73">
        <v>0</v>
      </c>
      <c r="F154" s="49"/>
      <c r="G154" s="49"/>
      <c r="H154" s="49" t="s">
        <v>3108</v>
      </c>
      <c r="I154" s="49" t="s">
        <v>3111</v>
      </c>
      <c r="J154" s="49" t="s">
        <v>3109</v>
      </c>
      <c r="K154" s="49" t="s">
        <v>3110</v>
      </c>
      <c r="L154" s="49">
        <v>0</v>
      </c>
      <c r="M154" s="49" t="s">
        <v>1745</v>
      </c>
      <c r="N154" s="49" t="s">
        <v>3112</v>
      </c>
      <c r="O154" s="49">
        <v>1</v>
      </c>
      <c r="P154" s="49" t="s">
        <v>3113</v>
      </c>
      <c r="Q154" s="49">
        <v>0</v>
      </c>
      <c r="R154" s="49" t="s">
        <v>3114</v>
      </c>
      <c r="S154" s="49" t="s">
        <v>3115</v>
      </c>
      <c r="T154" s="49" t="s">
        <v>3116</v>
      </c>
      <c r="U154" s="49" t="s">
        <v>670</v>
      </c>
      <c r="V154" s="49" t="e">
        <v>#REF!</v>
      </c>
      <c r="AC154" s="49"/>
      <c r="AD154" s="49"/>
    </row>
    <row r="155" spans="1:30" hidden="1" x14ac:dyDescent="0.3">
      <c r="A155" s="49" t="s">
        <v>3117</v>
      </c>
      <c r="B155" s="49">
        <v>0</v>
      </c>
      <c r="C155" s="49">
        <v>1</v>
      </c>
      <c r="D155" s="72" t="e">
        <v>#N/A</v>
      </c>
      <c r="E155" s="74" t="s">
        <v>645</v>
      </c>
      <c r="F155" s="73">
        <v>1</v>
      </c>
      <c r="G155" s="49">
        <v>0</v>
      </c>
      <c r="H155" s="49" t="s">
        <v>3118</v>
      </c>
      <c r="I155" s="49" t="s">
        <v>3121</v>
      </c>
      <c r="J155" s="49" t="s">
        <v>3119</v>
      </c>
      <c r="K155" s="49" t="s">
        <v>3120</v>
      </c>
      <c r="L155" s="49">
        <v>0</v>
      </c>
      <c r="M155" s="75" t="s">
        <v>1745</v>
      </c>
      <c r="N155" s="49" t="s">
        <v>3122</v>
      </c>
      <c r="P155" s="49" t="s">
        <v>3123</v>
      </c>
      <c r="Q155" s="49">
        <v>0</v>
      </c>
      <c r="R155" s="49" t="s">
        <v>3124</v>
      </c>
      <c r="S155" s="49" t="s">
        <v>3125</v>
      </c>
      <c r="T155" s="49" t="s">
        <v>3126</v>
      </c>
      <c r="U155" s="49" t="s">
        <v>655</v>
      </c>
      <c r="V155" s="49" t="e">
        <v>#REF!</v>
      </c>
      <c r="AC155" s="49"/>
      <c r="AD155" s="49"/>
    </row>
    <row r="156" spans="1:30" hidden="1" x14ac:dyDescent="0.3">
      <c r="A156" s="49" t="s">
        <v>3127</v>
      </c>
      <c r="B156" s="49">
        <v>0</v>
      </c>
      <c r="C156" s="49"/>
      <c r="D156" s="72" t="e">
        <v>#N/A</v>
      </c>
      <c r="E156" s="73">
        <v>0</v>
      </c>
      <c r="F156" s="49"/>
      <c r="G156" s="49"/>
      <c r="H156" s="49" t="s">
        <v>3128</v>
      </c>
      <c r="I156" s="49" t="s">
        <v>3131</v>
      </c>
      <c r="J156" s="49" t="s">
        <v>3129</v>
      </c>
      <c r="K156" s="49" t="s">
        <v>3130</v>
      </c>
      <c r="L156" s="49">
        <v>0</v>
      </c>
      <c r="M156" s="49" t="s">
        <v>1734</v>
      </c>
      <c r="N156" s="49" t="s">
        <v>3132</v>
      </c>
      <c r="P156" s="49" t="s">
        <v>3133</v>
      </c>
      <c r="Q156" s="49">
        <v>0</v>
      </c>
      <c r="R156" s="49" t="s">
        <v>3134</v>
      </c>
      <c r="S156" s="49" t="s">
        <v>3135</v>
      </c>
      <c r="T156" s="49" t="s">
        <v>3136</v>
      </c>
      <c r="U156" s="49" t="s">
        <v>670</v>
      </c>
      <c r="V156" s="49" t="e">
        <v>#REF!</v>
      </c>
      <c r="AC156" s="49"/>
      <c r="AD156" s="49"/>
    </row>
    <row r="157" spans="1:30" hidden="1" x14ac:dyDescent="0.3">
      <c r="A157" s="49" t="s">
        <v>3137</v>
      </c>
      <c r="B157" s="49">
        <v>0</v>
      </c>
      <c r="C157" s="49"/>
      <c r="D157" s="72" t="e">
        <v>#N/A</v>
      </c>
      <c r="E157" s="73">
        <v>0</v>
      </c>
      <c r="F157" s="49"/>
      <c r="G157" s="49"/>
      <c r="H157" s="49" t="s">
        <v>3138</v>
      </c>
      <c r="I157" s="49" t="s">
        <v>3141</v>
      </c>
      <c r="J157" s="49" t="s">
        <v>3139</v>
      </c>
      <c r="K157" s="49" t="s">
        <v>3140</v>
      </c>
      <c r="L157" s="49">
        <v>0</v>
      </c>
      <c r="M157" s="49" t="s">
        <v>1745</v>
      </c>
      <c r="N157" s="49" t="s">
        <v>3142</v>
      </c>
      <c r="P157" s="49" t="s">
        <v>3143</v>
      </c>
      <c r="Q157" s="49">
        <v>0</v>
      </c>
      <c r="R157" s="49" t="s">
        <v>3144</v>
      </c>
      <c r="S157" s="49" t="s">
        <v>3145</v>
      </c>
      <c r="T157" s="49" t="s">
        <v>3146</v>
      </c>
      <c r="U157" s="49" t="s">
        <v>655</v>
      </c>
      <c r="V157" s="49" t="e">
        <v>#REF!</v>
      </c>
      <c r="AC157" s="49"/>
      <c r="AD157" s="49"/>
    </row>
    <row r="158" spans="1:30" hidden="1" x14ac:dyDescent="0.3">
      <c r="A158" s="49" t="s">
        <v>3147</v>
      </c>
      <c r="B158" s="49">
        <v>0</v>
      </c>
      <c r="C158" s="49"/>
      <c r="D158" s="72" t="e">
        <v>#N/A</v>
      </c>
      <c r="E158" s="73">
        <v>0</v>
      </c>
      <c r="F158" s="49"/>
      <c r="G158" s="49"/>
      <c r="H158" s="49" t="s">
        <v>3148</v>
      </c>
      <c r="I158" s="49" t="s">
        <v>3151</v>
      </c>
      <c r="J158" s="49" t="s">
        <v>3149</v>
      </c>
      <c r="K158" s="49" t="s">
        <v>3150</v>
      </c>
      <c r="L158" s="49">
        <v>0</v>
      </c>
      <c r="M158" s="49" t="s">
        <v>1734</v>
      </c>
      <c r="N158" s="49" t="s">
        <v>3152</v>
      </c>
      <c r="P158" s="49" t="s">
        <v>3153</v>
      </c>
      <c r="Q158" s="49">
        <v>0</v>
      </c>
      <c r="R158" s="49" t="s">
        <v>3154</v>
      </c>
      <c r="S158" s="49" t="s">
        <v>3155</v>
      </c>
      <c r="T158" s="49" t="s">
        <v>3156</v>
      </c>
      <c r="U158" s="49" t="s">
        <v>655</v>
      </c>
      <c r="V158" s="49" t="e">
        <v>#REF!</v>
      </c>
      <c r="AC158" s="49"/>
      <c r="AD158" s="49"/>
    </row>
    <row r="159" spans="1:30" hidden="1" x14ac:dyDescent="0.3">
      <c r="A159" s="49" t="s">
        <v>3157</v>
      </c>
      <c r="B159" s="49">
        <v>0</v>
      </c>
      <c r="C159" s="49"/>
      <c r="D159" s="72" t="e">
        <v>#N/A</v>
      </c>
      <c r="E159" s="73">
        <v>0</v>
      </c>
      <c r="F159" s="49"/>
      <c r="G159" s="49"/>
      <c r="H159" s="49" t="s">
        <v>3158</v>
      </c>
      <c r="I159" s="49" t="s">
        <v>3161</v>
      </c>
      <c r="J159" s="49" t="s">
        <v>3159</v>
      </c>
      <c r="K159" s="49" t="s">
        <v>3160</v>
      </c>
      <c r="L159" s="49">
        <v>0</v>
      </c>
      <c r="M159" s="49" t="s">
        <v>1734</v>
      </c>
      <c r="N159" s="49" t="s">
        <v>3162</v>
      </c>
      <c r="P159" s="49" t="s">
        <v>3163</v>
      </c>
      <c r="Q159" s="49">
        <v>0</v>
      </c>
      <c r="R159" s="49" t="s">
        <v>3164</v>
      </c>
      <c r="S159" s="49" t="s">
        <v>3165</v>
      </c>
      <c r="T159" s="49" t="s">
        <v>3166</v>
      </c>
      <c r="U159" s="49" t="s">
        <v>655</v>
      </c>
      <c r="V159" s="49" t="e">
        <v>#REF!</v>
      </c>
      <c r="AC159" s="49"/>
      <c r="AD159" s="49"/>
    </row>
    <row r="160" spans="1:30" hidden="1" x14ac:dyDescent="0.3">
      <c r="A160" s="49" t="s">
        <v>3167</v>
      </c>
      <c r="B160" s="49">
        <v>0</v>
      </c>
      <c r="C160" s="49"/>
      <c r="D160" s="72" t="e">
        <v>#N/A</v>
      </c>
      <c r="E160" s="73">
        <v>0</v>
      </c>
      <c r="F160" s="49"/>
      <c r="G160" s="49"/>
      <c r="H160" s="49" t="s">
        <v>3168</v>
      </c>
      <c r="I160" s="49" t="s">
        <v>3171</v>
      </c>
      <c r="J160" s="49" t="s">
        <v>3169</v>
      </c>
      <c r="K160" s="49" t="s">
        <v>3170</v>
      </c>
      <c r="L160" s="49">
        <v>0</v>
      </c>
      <c r="M160" s="49" t="s">
        <v>1734</v>
      </c>
      <c r="N160" s="49" t="s">
        <v>3172</v>
      </c>
      <c r="P160" s="49" t="s">
        <v>3173</v>
      </c>
      <c r="Q160" s="49">
        <v>0</v>
      </c>
      <c r="R160" s="49" t="s">
        <v>3174</v>
      </c>
      <c r="S160" s="49" t="s">
        <v>3175</v>
      </c>
      <c r="T160" s="49" t="s">
        <v>3176</v>
      </c>
      <c r="U160" s="49" t="s">
        <v>655</v>
      </c>
      <c r="V160" s="49" t="e">
        <v>#REF!</v>
      </c>
      <c r="AC160" s="49"/>
      <c r="AD160" s="49"/>
    </row>
    <row r="161" spans="1:30" hidden="1" x14ac:dyDescent="0.3">
      <c r="A161" s="49" t="s">
        <v>3177</v>
      </c>
      <c r="B161" s="49">
        <v>0</v>
      </c>
      <c r="C161" s="49"/>
      <c r="D161" s="72" t="e">
        <v>#N/A</v>
      </c>
      <c r="E161" s="73">
        <v>0</v>
      </c>
      <c r="F161" s="49"/>
      <c r="G161" s="49"/>
      <c r="H161" s="49" t="s">
        <v>3178</v>
      </c>
      <c r="I161" s="49" t="s">
        <v>3181</v>
      </c>
      <c r="J161" s="49" t="s">
        <v>3179</v>
      </c>
      <c r="K161" s="49" t="s">
        <v>3180</v>
      </c>
      <c r="L161" s="49">
        <v>0</v>
      </c>
      <c r="M161" s="49" t="s">
        <v>1734</v>
      </c>
      <c r="N161" s="49" t="s">
        <v>2865</v>
      </c>
      <c r="P161" s="49" t="s">
        <v>3182</v>
      </c>
      <c r="Q161" s="49">
        <v>0</v>
      </c>
      <c r="R161" s="49" t="s">
        <v>3183</v>
      </c>
      <c r="S161" s="49" t="s">
        <v>3184</v>
      </c>
      <c r="T161" s="49" t="s">
        <v>3185</v>
      </c>
      <c r="U161" s="49" t="s">
        <v>670</v>
      </c>
      <c r="V161" s="49" t="e">
        <v>#REF!</v>
      </c>
      <c r="AC161" s="49"/>
      <c r="AD161" s="49"/>
    </row>
    <row r="162" spans="1:30" hidden="1" x14ac:dyDescent="0.3">
      <c r="A162" s="49" t="s">
        <v>3186</v>
      </c>
      <c r="B162" s="49">
        <v>0</v>
      </c>
      <c r="C162" s="49"/>
      <c r="D162" s="72" t="e">
        <v>#N/A</v>
      </c>
      <c r="E162" s="74" t="s">
        <v>645</v>
      </c>
      <c r="F162" s="73">
        <v>0</v>
      </c>
      <c r="G162" s="49"/>
      <c r="H162" s="49" t="s">
        <v>646</v>
      </c>
      <c r="I162" s="49" t="s">
        <v>3189</v>
      </c>
      <c r="J162" s="49" t="s">
        <v>3187</v>
      </c>
      <c r="K162" s="49" t="s">
        <v>3188</v>
      </c>
      <c r="L162" s="49">
        <v>0</v>
      </c>
      <c r="M162" s="49" t="s">
        <v>1865</v>
      </c>
      <c r="N162" s="49" t="s">
        <v>3190</v>
      </c>
      <c r="O162" s="49">
        <v>4</v>
      </c>
      <c r="P162" s="49" t="s">
        <v>3191</v>
      </c>
      <c r="Q162" s="49">
        <v>0</v>
      </c>
      <c r="R162" s="49" t="s">
        <v>3192</v>
      </c>
      <c r="S162" s="49" t="s">
        <v>3193</v>
      </c>
      <c r="T162" s="49" t="s">
        <v>646</v>
      </c>
      <c r="U162" s="49" t="s">
        <v>655</v>
      </c>
      <c r="V162" s="49" t="e">
        <v>#REF!</v>
      </c>
      <c r="AC162" s="49"/>
      <c r="AD162" s="49"/>
    </row>
    <row r="163" spans="1:30" hidden="1" x14ac:dyDescent="0.3">
      <c r="A163" s="49" t="s">
        <v>3194</v>
      </c>
      <c r="B163" s="49">
        <v>0</v>
      </c>
      <c r="C163" s="49"/>
      <c r="D163" s="72" t="e">
        <v>#N/A</v>
      </c>
      <c r="E163" s="73">
        <v>0</v>
      </c>
      <c r="F163" s="49"/>
      <c r="G163" s="49"/>
      <c r="H163" s="49" t="s">
        <v>3195</v>
      </c>
      <c r="I163" s="49" t="s">
        <v>3198</v>
      </c>
      <c r="J163" s="49" t="s">
        <v>3196</v>
      </c>
      <c r="K163" s="49" t="s">
        <v>3197</v>
      </c>
      <c r="L163" s="49">
        <v>0</v>
      </c>
      <c r="M163" s="49" t="s">
        <v>1745</v>
      </c>
      <c r="N163" s="49" t="s">
        <v>3199</v>
      </c>
      <c r="P163" s="49" t="s">
        <v>3200</v>
      </c>
      <c r="Q163" s="49">
        <v>0</v>
      </c>
      <c r="R163" s="49" t="s">
        <v>3201</v>
      </c>
      <c r="S163" s="49" t="s">
        <v>3202</v>
      </c>
      <c r="T163" s="49" t="s">
        <v>3203</v>
      </c>
      <c r="U163" s="49" t="s">
        <v>655</v>
      </c>
      <c r="V163" s="49" t="e">
        <v>#REF!</v>
      </c>
      <c r="AC163" s="49"/>
      <c r="AD163" s="49"/>
    </row>
    <row r="164" spans="1:30" hidden="1" x14ac:dyDescent="0.3">
      <c r="A164" s="49" t="s">
        <v>3204</v>
      </c>
      <c r="B164" s="49">
        <v>0</v>
      </c>
      <c r="C164" s="49"/>
      <c r="D164" s="72" t="e">
        <v>#N/A</v>
      </c>
      <c r="E164" s="73">
        <v>0</v>
      </c>
      <c r="F164" s="49"/>
      <c r="G164" s="49"/>
      <c r="H164" s="49" t="s">
        <v>3205</v>
      </c>
      <c r="I164" s="49" t="s">
        <v>3208</v>
      </c>
      <c r="J164" s="49" t="s">
        <v>3206</v>
      </c>
      <c r="K164" s="49" t="s">
        <v>3207</v>
      </c>
      <c r="L164" s="49">
        <v>0</v>
      </c>
      <c r="M164" s="49" t="s">
        <v>1734</v>
      </c>
      <c r="N164" s="49" t="s">
        <v>3209</v>
      </c>
      <c r="P164" s="49" t="s">
        <v>3210</v>
      </c>
      <c r="Q164" s="49">
        <v>0</v>
      </c>
      <c r="R164" s="49" t="s">
        <v>3211</v>
      </c>
      <c r="S164" s="49" t="s">
        <v>3212</v>
      </c>
      <c r="T164" s="49" t="s">
        <v>3213</v>
      </c>
      <c r="U164" s="49" t="s">
        <v>655</v>
      </c>
      <c r="V164" s="49" t="e">
        <v>#REF!</v>
      </c>
      <c r="AC164" s="49"/>
      <c r="AD164" s="49"/>
    </row>
    <row r="165" spans="1:30" hidden="1" x14ac:dyDescent="0.3">
      <c r="A165" s="49" t="s">
        <v>3214</v>
      </c>
      <c r="B165" s="49">
        <v>0</v>
      </c>
      <c r="C165" s="49"/>
      <c r="D165" s="72" t="e">
        <v>#N/A</v>
      </c>
      <c r="E165" s="73">
        <v>0</v>
      </c>
      <c r="F165" s="49"/>
      <c r="G165" s="49"/>
      <c r="H165" s="49" t="s">
        <v>3215</v>
      </c>
      <c r="I165" s="49" t="s">
        <v>3218</v>
      </c>
      <c r="J165" s="49" t="s">
        <v>3216</v>
      </c>
      <c r="K165" s="49" t="s">
        <v>3217</v>
      </c>
      <c r="L165" s="49">
        <v>0</v>
      </c>
      <c r="M165" s="49" t="s">
        <v>1865</v>
      </c>
      <c r="N165" s="49" t="s">
        <v>3219</v>
      </c>
      <c r="O165" s="49">
        <v>14</v>
      </c>
      <c r="P165" s="49" t="s">
        <v>3220</v>
      </c>
      <c r="Q165" s="49">
        <v>0</v>
      </c>
      <c r="R165" s="49" t="s">
        <v>3221</v>
      </c>
      <c r="S165" s="49" t="s">
        <v>3222</v>
      </c>
      <c r="T165" s="49" t="s">
        <v>3223</v>
      </c>
      <c r="U165" s="49" t="s">
        <v>655</v>
      </c>
      <c r="V165" s="49" t="e">
        <v>#REF!</v>
      </c>
      <c r="AC165" s="49"/>
      <c r="AD165" s="49"/>
    </row>
    <row r="166" spans="1:30" hidden="1" x14ac:dyDescent="0.3">
      <c r="A166" s="49" t="s">
        <v>3224</v>
      </c>
      <c r="B166" s="49">
        <v>0</v>
      </c>
      <c r="C166" s="49"/>
      <c r="D166" s="72" t="e">
        <v>#N/A</v>
      </c>
      <c r="E166" s="73">
        <v>0</v>
      </c>
      <c r="F166" s="49"/>
      <c r="G166" s="49"/>
      <c r="H166" s="49" t="s">
        <v>3225</v>
      </c>
      <c r="I166" s="49" t="s">
        <v>3228</v>
      </c>
      <c r="J166" s="49" t="s">
        <v>3226</v>
      </c>
      <c r="K166" s="49" t="s">
        <v>3227</v>
      </c>
      <c r="L166" s="49">
        <v>0</v>
      </c>
      <c r="M166" s="49" t="s">
        <v>1734</v>
      </c>
      <c r="N166" s="49" t="s">
        <v>3229</v>
      </c>
      <c r="P166" s="49" t="s">
        <v>3230</v>
      </c>
      <c r="Q166" s="49">
        <v>0</v>
      </c>
      <c r="R166" s="49" t="s">
        <v>3231</v>
      </c>
      <c r="S166" s="49" t="s">
        <v>3232</v>
      </c>
      <c r="T166" s="49" t="s">
        <v>3233</v>
      </c>
      <c r="U166" s="49" t="s">
        <v>655</v>
      </c>
      <c r="V166" s="49" t="e">
        <v>#REF!</v>
      </c>
      <c r="AC166" s="49"/>
      <c r="AD166" s="49"/>
    </row>
    <row r="167" spans="1:30" hidden="1" x14ac:dyDescent="0.3">
      <c r="A167" s="49" t="s">
        <v>3234</v>
      </c>
      <c r="B167" s="49">
        <v>0</v>
      </c>
      <c r="C167" s="49"/>
      <c r="D167" s="72" t="e">
        <v>#N/A</v>
      </c>
      <c r="E167" s="73">
        <v>0</v>
      </c>
      <c r="F167" s="49"/>
      <c r="G167" s="49"/>
      <c r="H167" s="49" t="s">
        <v>3235</v>
      </c>
      <c r="I167" s="49" t="s">
        <v>3238</v>
      </c>
      <c r="J167" s="49" t="s">
        <v>3236</v>
      </c>
      <c r="K167" s="49" t="s">
        <v>3237</v>
      </c>
      <c r="L167" s="49">
        <v>0</v>
      </c>
      <c r="M167" s="49" t="s">
        <v>1745</v>
      </c>
      <c r="N167" s="49" t="s">
        <v>2591</v>
      </c>
      <c r="O167" s="49">
        <v>1</v>
      </c>
      <c r="P167" s="49" t="s">
        <v>3239</v>
      </c>
      <c r="Q167" s="49">
        <v>0</v>
      </c>
      <c r="R167" s="49" t="s">
        <v>3240</v>
      </c>
      <c r="S167" s="49" t="s">
        <v>3241</v>
      </c>
      <c r="T167" s="49" t="s">
        <v>3242</v>
      </c>
      <c r="U167" s="49" t="s">
        <v>655</v>
      </c>
      <c r="V167" s="49" t="e">
        <v>#REF!</v>
      </c>
      <c r="AC167" s="49"/>
      <c r="AD167" s="49"/>
    </row>
    <row r="168" spans="1:30" hidden="1" x14ac:dyDescent="0.3">
      <c r="A168" s="49" t="s">
        <v>3243</v>
      </c>
      <c r="B168" s="49">
        <v>0</v>
      </c>
      <c r="C168" s="49"/>
      <c r="D168" s="72" t="e">
        <v>#N/A</v>
      </c>
      <c r="E168" s="73">
        <v>0</v>
      </c>
      <c r="F168" s="49"/>
      <c r="G168" s="49"/>
      <c r="H168" s="49" t="s">
        <v>646</v>
      </c>
      <c r="I168" s="49" t="s">
        <v>3246</v>
      </c>
      <c r="J168" s="49" t="s">
        <v>3244</v>
      </c>
      <c r="K168" s="49" t="s">
        <v>3245</v>
      </c>
      <c r="L168" s="49">
        <v>0</v>
      </c>
      <c r="M168" s="49" t="s">
        <v>1777</v>
      </c>
      <c r="N168" s="49" t="s">
        <v>3074</v>
      </c>
      <c r="O168" s="49">
        <v>22</v>
      </c>
      <c r="P168" s="49" t="s">
        <v>3247</v>
      </c>
      <c r="Q168" s="49">
        <v>0</v>
      </c>
      <c r="R168" s="49" t="s">
        <v>3248</v>
      </c>
      <c r="S168" s="49" t="s">
        <v>3249</v>
      </c>
      <c r="T168" s="49" t="s">
        <v>646</v>
      </c>
      <c r="U168" s="49" t="s">
        <v>670</v>
      </c>
      <c r="V168" s="49" t="e">
        <v>#REF!</v>
      </c>
      <c r="AC168" s="49"/>
      <c r="AD168" s="49"/>
    </row>
    <row r="169" spans="1:30" hidden="1" x14ac:dyDescent="0.3">
      <c r="A169" s="49" t="s">
        <v>3250</v>
      </c>
      <c r="B169" s="49">
        <v>0</v>
      </c>
      <c r="C169" s="49"/>
      <c r="D169" s="72" t="e">
        <v>#N/A</v>
      </c>
      <c r="E169" s="73">
        <v>0</v>
      </c>
      <c r="F169" s="49"/>
      <c r="G169" s="49"/>
      <c r="H169" s="49" t="s">
        <v>3251</v>
      </c>
      <c r="I169" s="49" t="s">
        <v>3254</v>
      </c>
      <c r="J169" s="49" t="s">
        <v>3252</v>
      </c>
      <c r="K169" s="49" t="s">
        <v>3253</v>
      </c>
      <c r="L169" s="49">
        <v>0</v>
      </c>
      <c r="M169" s="49" t="s">
        <v>1734</v>
      </c>
      <c r="N169" s="49" t="s">
        <v>2591</v>
      </c>
      <c r="P169" s="49" t="s">
        <v>3255</v>
      </c>
      <c r="Q169" s="49">
        <v>0</v>
      </c>
      <c r="R169" s="49" t="s">
        <v>3256</v>
      </c>
      <c r="S169" s="49" t="s">
        <v>3257</v>
      </c>
      <c r="T169" s="49" t="s">
        <v>3258</v>
      </c>
      <c r="U169" s="49" t="s">
        <v>655</v>
      </c>
      <c r="V169" s="49" t="e">
        <v>#REF!</v>
      </c>
      <c r="AC169" s="49"/>
      <c r="AD169" s="49"/>
    </row>
    <row r="170" spans="1:30" hidden="1" x14ac:dyDescent="0.3">
      <c r="A170" s="49" t="s">
        <v>3259</v>
      </c>
      <c r="B170" s="49">
        <v>0</v>
      </c>
      <c r="C170" s="49"/>
      <c r="D170" s="72" t="e">
        <v>#N/A</v>
      </c>
      <c r="E170" s="73">
        <v>0</v>
      </c>
      <c r="F170" s="49"/>
      <c r="G170" s="49"/>
      <c r="H170" s="49" t="s">
        <v>3260</v>
      </c>
      <c r="I170" s="49" t="s">
        <v>3263</v>
      </c>
      <c r="J170" s="49" t="s">
        <v>3261</v>
      </c>
      <c r="K170" s="49" t="s">
        <v>3262</v>
      </c>
      <c r="L170" s="49">
        <v>0</v>
      </c>
      <c r="M170" s="49" t="s">
        <v>1734</v>
      </c>
      <c r="N170" s="49" t="s">
        <v>3264</v>
      </c>
      <c r="P170" s="49" t="s">
        <v>3265</v>
      </c>
      <c r="Q170" s="49">
        <v>0</v>
      </c>
      <c r="R170" s="49" t="s">
        <v>3266</v>
      </c>
      <c r="S170" s="49" t="s">
        <v>3267</v>
      </c>
      <c r="T170" s="49" t="s">
        <v>646</v>
      </c>
      <c r="U170" s="49" t="s">
        <v>670</v>
      </c>
      <c r="V170" s="49" t="e">
        <v>#REF!</v>
      </c>
      <c r="AC170" s="49"/>
      <c r="AD170" s="49"/>
    </row>
    <row r="171" spans="1:30" hidden="1" x14ac:dyDescent="0.3">
      <c r="A171" s="49" t="s">
        <v>3268</v>
      </c>
      <c r="B171" s="49">
        <v>0</v>
      </c>
      <c r="C171" s="49"/>
      <c r="D171" s="72" t="e">
        <v>#N/A</v>
      </c>
      <c r="E171" s="73">
        <v>0</v>
      </c>
      <c r="F171" s="49"/>
      <c r="G171" s="49"/>
      <c r="H171" s="49" t="s">
        <v>3269</v>
      </c>
      <c r="I171" s="49" t="s">
        <v>3272</v>
      </c>
      <c r="J171" s="49" t="s">
        <v>3270</v>
      </c>
      <c r="K171" s="49" t="s">
        <v>3271</v>
      </c>
      <c r="L171" s="49">
        <v>0</v>
      </c>
      <c r="M171" s="49" t="s">
        <v>1734</v>
      </c>
      <c r="N171" s="49" t="s">
        <v>2239</v>
      </c>
      <c r="P171" s="49" t="s">
        <v>3273</v>
      </c>
      <c r="Q171" s="49">
        <v>0</v>
      </c>
      <c r="R171" s="49" t="s">
        <v>3274</v>
      </c>
      <c r="S171" s="49" t="s">
        <v>3275</v>
      </c>
      <c r="T171" s="49" t="s">
        <v>646</v>
      </c>
      <c r="U171" s="49" t="s">
        <v>670</v>
      </c>
      <c r="V171" s="49" t="e">
        <v>#REF!</v>
      </c>
      <c r="AC171" s="49"/>
      <c r="AD171" s="49"/>
    </row>
    <row r="172" spans="1:30" hidden="1" x14ac:dyDescent="0.3">
      <c r="A172" s="49" t="s">
        <v>3276</v>
      </c>
      <c r="B172" s="49">
        <v>0</v>
      </c>
      <c r="C172" s="49"/>
      <c r="D172" s="72" t="e">
        <v>#N/A</v>
      </c>
      <c r="E172" s="73">
        <v>0</v>
      </c>
      <c r="F172" s="49"/>
      <c r="G172" s="49"/>
      <c r="H172" s="49" t="s">
        <v>3277</v>
      </c>
      <c r="I172" s="49" t="s">
        <v>3280</v>
      </c>
      <c r="J172" s="49" t="s">
        <v>3278</v>
      </c>
      <c r="K172" s="49" t="s">
        <v>3279</v>
      </c>
      <c r="L172" s="49">
        <v>0</v>
      </c>
      <c r="M172" s="49" t="s">
        <v>1745</v>
      </c>
      <c r="N172" s="49" t="s">
        <v>3281</v>
      </c>
      <c r="P172" s="49" t="s">
        <v>3282</v>
      </c>
      <c r="Q172" s="49">
        <v>0</v>
      </c>
      <c r="R172" s="49" t="s">
        <v>3283</v>
      </c>
      <c r="S172" s="49" t="s">
        <v>3284</v>
      </c>
      <c r="T172" s="49" t="s">
        <v>3285</v>
      </c>
      <c r="U172" s="49" t="s">
        <v>655</v>
      </c>
      <c r="V172" s="49" t="e">
        <v>#REF!</v>
      </c>
      <c r="AC172" s="49"/>
      <c r="AD172" s="49"/>
    </row>
    <row r="173" spans="1:30" hidden="1" x14ac:dyDescent="0.3">
      <c r="A173" s="49" t="s">
        <v>3286</v>
      </c>
      <c r="B173" s="49">
        <v>0</v>
      </c>
      <c r="C173" s="49"/>
      <c r="D173" s="72" t="e">
        <v>#N/A</v>
      </c>
      <c r="E173" s="73">
        <v>0</v>
      </c>
      <c r="F173" s="49"/>
      <c r="G173" s="49"/>
      <c r="H173" s="49" t="s">
        <v>646</v>
      </c>
      <c r="I173" s="49" t="s">
        <v>3289</v>
      </c>
      <c r="J173" s="49" t="s">
        <v>3287</v>
      </c>
      <c r="K173" s="49" t="s">
        <v>3288</v>
      </c>
      <c r="L173" s="49">
        <v>0</v>
      </c>
      <c r="M173" s="49" t="s">
        <v>1777</v>
      </c>
      <c r="N173" s="49" t="s">
        <v>3290</v>
      </c>
      <c r="O173" s="49">
        <v>111</v>
      </c>
      <c r="P173" s="49" t="s">
        <v>3291</v>
      </c>
      <c r="Q173" s="49">
        <v>0</v>
      </c>
      <c r="R173" s="49" t="s">
        <v>3292</v>
      </c>
      <c r="S173" s="49" t="s">
        <v>3293</v>
      </c>
      <c r="T173" s="49" t="s">
        <v>646</v>
      </c>
      <c r="U173" s="49" t="s">
        <v>670</v>
      </c>
      <c r="V173" s="49" t="e">
        <v>#REF!</v>
      </c>
      <c r="AC173" s="49"/>
      <c r="AD173" s="49"/>
    </row>
    <row r="174" spans="1:30" hidden="1" x14ac:dyDescent="0.3">
      <c r="A174" s="49" t="s">
        <v>3294</v>
      </c>
      <c r="B174" s="49">
        <v>0</v>
      </c>
      <c r="C174" s="49"/>
      <c r="D174" s="72" t="e">
        <v>#N/A</v>
      </c>
      <c r="E174" s="73">
        <v>0</v>
      </c>
      <c r="F174" s="49"/>
      <c r="G174" s="49"/>
      <c r="H174" s="49" t="s">
        <v>3295</v>
      </c>
      <c r="I174" s="49" t="s">
        <v>3298</v>
      </c>
      <c r="J174" s="49" t="s">
        <v>3296</v>
      </c>
      <c r="K174" s="49" t="s">
        <v>3297</v>
      </c>
      <c r="L174" s="49">
        <v>0</v>
      </c>
      <c r="M174" s="49" t="s">
        <v>1745</v>
      </c>
      <c r="N174" s="49" t="s">
        <v>3299</v>
      </c>
      <c r="P174" s="49" t="s">
        <v>3300</v>
      </c>
      <c r="Q174" s="49">
        <v>0</v>
      </c>
      <c r="R174" s="49" t="s">
        <v>3301</v>
      </c>
      <c r="S174" s="49" t="s">
        <v>3302</v>
      </c>
      <c r="T174" s="49" t="s">
        <v>3303</v>
      </c>
      <c r="U174" s="49" t="s">
        <v>655</v>
      </c>
      <c r="V174" s="49" t="e">
        <v>#REF!</v>
      </c>
      <c r="AC174" s="49"/>
      <c r="AD174" s="49"/>
    </row>
    <row r="175" spans="1:30" hidden="1" x14ac:dyDescent="0.3">
      <c r="A175" s="49" t="s">
        <v>3304</v>
      </c>
      <c r="B175" s="49">
        <v>0</v>
      </c>
      <c r="C175" s="49"/>
      <c r="D175" s="72" t="e">
        <v>#N/A</v>
      </c>
      <c r="E175" s="73">
        <v>0</v>
      </c>
      <c r="F175" s="49"/>
      <c r="G175" s="49"/>
      <c r="H175" s="49" t="s">
        <v>3305</v>
      </c>
      <c r="I175" s="49" t="s">
        <v>3308</v>
      </c>
      <c r="J175" s="49" t="s">
        <v>3306</v>
      </c>
      <c r="K175" s="49" t="s">
        <v>3307</v>
      </c>
      <c r="L175" s="49">
        <v>0</v>
      </c>
      <c r="M175" s="49" t="s">
        <v>1745</v>
      </c>
      <c r="N175" s="49" t="s">
        <v>3309</v>
      </c>
      <c r="P175" s="49" t="s">
        <v>3310</v>
      </c>
      <c r="Q175" s="49">
        <v>0</v>
      </c>
      <c r="R175" s="49" t="s">
        <v>3311</v>
      </c>
      <c r="S175" s="49" t="s">
        <v>3312</v>
      </c>
      <c r="T175" s="49" t="s">
        <v>646</v>
      </c>
      <c r="U175" s="49" t="s">
        <v>670</v>
      </c>
      <c r="V175" s="49" t="e">
        <v>#REF!</v>
      </c>
      <c r="AC175" s="49"/>
      <c r="AD175" s="49"/>
    </row>
    <row r="176" spans="1:30" hidden="1" x14ac:dyDescent="0.3">
      <c r="A176" s="49" t="s">
        <v>3313</v>
      </c>
      <c r="B176" s="49">
        <v>0</v>
      </c>
      <c r="C176" s="49"/>
      <c r="D176" s="72" t="e">
        <v>#N/A</v>
      </c>
      <c r="E176" s="73">
        <v>0</v>
      </c>
      <c r="F176" s="49"/>
      <c r="G176" s="49"/>
      <c r="H176" s="49" t="s">
        <v>3314</v>
      </c>
      <c r="I176" s="49" t="s">
        <v>3317</v>
      </c>
      <c r="J176" s="49" t="s">
        <v>3315</v>
      </c>
      <c r="K176" s="49" t="s">
        <v>3316</v>
      </c>
      <c r="L176" s="49">
        <v>0</v>
      </c>
      <c r="M176" s="49" t="s">
        <v>1745</v>
      </c>
      <c r="N176" s="49" t="s">
        <v>3318</v>
      </c>
      <c r="P176" s="49" t="s">
        <v>3319</v>
      </c>
      <c r="Q176" s="49">
        <v>0</v>
      </c>
      <c r="R176" s="49" t="s">
        <v>3320</v>
      </c>
      <c r="S176" s="49" t="s">
        <v>3321</v>
      </c>
      <c r="T176" s="49" t="s">
        <v>3322</v>
      </c>
      <c r="U176" s="49" t="s">
        <v>655</v>
      </c>
      <c r="V176" s="49" t="e">
        <v>#REF!</v>
      </c>
      <c r="AC176" s="49"/>
      <c r="AD176" s="49"/>
    </row>
    <row r="177" spans="1:30" hidden="1" x14ac:dyDescent="0.3">
      <c r="A177" s="49" t="s">
        <v>3323</v>
      </c>
      <c r="B177" s="49">
        <v>0</v>
      </c>
      <c r="C177" s="49"/>
      <c r="D177" s="72" t="e">
        <v>#N/A</v>
      </c>
      <c r="E177" s="73">
        <v>0</v>
      </c>
      <c r="F177" s="49"/>
      <c r="G177" s="49"/>
      <c r="H177" s="49" t="s">
        <v>3324</v>
      </c>
      <c r="I177" s="49" t="s">
        <v>3327</v>
      </c>
      <c r="J177" s="49" t="s">
        <v>3325</v>
      </c>
      <c r="K177" s="49" t="s">
        <v>3326</v>
      </c>
      <c r="L177" s="49">
        <v>0</v>
      </c>
      <c r="M177" s="49" t="s">
        <v>1745</v>
      </c>
      <c r="N177" s="49" t="s">
        <v>3328</v>
      </c>
      <c r="P177" s="49" t="s">
        <v>3329</v>
      </c>
      <c r="Q177" s="49">
        <v>0</v>
      </c>
      <c r="R177" s="49" t="s">
        <v>3330</v>
      </c>
      <c r="S177" s="49" t="s">
        <v>3331</v>
      </c>
      <c r="T177" s="49" t="s">
        <v>3332</v>
      </c>
      <c r="U177" s="49" t="s">
        <v>655</v>
      </c>
      <c r="V177" s="49" t="e">
        <v>#REF!</v>
      </c>
      <c r="AC177" s="49"/>
      <c r="AD177" s="49"/>
    </row>
    <row r="178" spans="1:30" hidden="1" x14ac:dyDescent="0.3">
      <c r="A178" s="49" t="s">
        <v>3333</v>
      </c>
      <c r="B178" s="49">
        <v>0</v>
      </c>
      <c r="C178" s="49">
        <v>1</v>
      </c>
      <c r="D178" s="72" t="e">
        <v>#N/A</v>
      </c>
      <c r="E178" s="74">
        <v>1</v>
      </c>
      <c r="F178" s="73">
        <v>1</v>
      </c>
      <c r="G178" s="49">
        <v>0</v>
      </c>
      <c r="H178" s="49" t="s">
        <v>3334</v>
      </c>
      <c r="I178" s="49" t="s">
        <v>3337</v>
      </c>
      <c r="J178" s="49" t="s">
        <v>3335</v>
      </c>
      <c r="K178" s="49" t="s">
        <v>3336</v>
      </c>
      <c r="L178" s="49">
        <v>0</v>
      </c>
      <c r="M178" s="75" t="s">
        <v>1865</v>
      </c>
      <c r="N178" s="49" t="s">
        <v>3338</v>
      </c>
      <c r="P178" s="49" t="s">
        <v>3339</v>
      </c>
      <c r="Q178" s="49">
        <v>0</v>
      </c>
      <c r="R178" s="49" t="s">
        <v>3340</v>
      </c>
      <c r="S178" s="49" t="s">
        <v>3341</v>
      </c>
      <c r="T178" s="49" t="s">
        <v>646</v>
      </c>
      <c r="U178" s="49" t="s">
        <v>670</v>
      </c>
      <c r="V178" s="49" t="e">
        <v>#REF!</v>
      </c>
      <c r="AC178" s="49"/>
      <c r="AD178" s="49"/>
    </row>
    <row r="179" spans="1:30" hidden="1" x14ac:dyDescent="0.3">
      <c r="A179" s="49" t="s">
        <v>3342</v>
      </c>
      <c r="B179" s="49">
        <v>0</v>
      </c>
      <c r="C179" s="49"/>
      <c r="D179" s="72" t="e">
        <v>#N/A</v>
      </c>
      <c r="E179" s="73">
        <v>0</v>
      </c>
      <c r="F179" s="49"/>
      <c r="G179" s="49"/>
      <c r="H179" s="49" t="s">
        <v>3343</v>
      </c>
      <c r="I179" s="49" t="s">
        <v>3346</v>
      </c>
      <c r="J179" s="49" t="s">
        <v>3344</v>
      </c>
      <c r="K179" s="49" t="s">
        <v>3345</v>
      </c>
      <c r="L179" s="49">
        <v>0</v>
      </c>
      <c r="M179" s="49" t="s">
        <v>1734</v>
      </c>
      <c r="N179" s="49" t="s">
        <v>3347</v>
      </c>
      <c r="P179" s="49" t="s">
        <v>3348</v>
      </c>
      <c r="Q179" s="49">
        <v>0</v>
      </c>
      <c r="R179" s="49" t="s">
        <v>3349</v>
      </c>
      <c r="S179" s="49" t="s">
        <v>3350</v>
      </c>
      <c r="T179" s="49" t="s">
        <v>3351</v>
      </c>
      <c r="U179" s="49" t="s">
        <v>655</v>
      </c>
      <c r="V179" s="49" t="e">
        <v>#REF!</v>
      </c>
      <c r="AC179" s="49"/>
      <c r="AD179" s="49"/>
    </row>
    <row r="180" spans="1:30" hidden="1" x14ac:dyDescent="0.3">
      <c r="A180" s="49" t="s">
        <v>3352</v>
      </c>
      <c r="B180" s="49">
        <v>0</v>
      </c>
      <c r="C180" s="49"/>
      <c r="D180" s="72" t="e">
        <v>#N/A</v>
      </c>
      <c r="E180" s="73">
        <v>0</v>
      </c>
      <c r="F180" s="49"/>
      <c r="G180" s="49"/>
      <c r="H180" s="49" t="s">
        <v>3353</v>
      </c>
      <c r="I180" s="49" t="s">
        <v>3356</v>
      </c>
      <c r="J180" s="49" t="s">
        <v>3354</v>
      </c>
      <c r="K180" s="49" t="s">
        <v>3355</v>
      </c>
      <c r="L180" s="49">
        <v>0</v>
      </c>
      <c r="M180" s="49" t="s">
        <v>1734</v>
      </c>
      <c r="N180" s="49" t="s">
        <v>3357</v>
      </c>
      <c r="P180" s="49" t="s">
        <v>3358</v>
      </c>
      <c r="Q180" s="49">
        <v>0</v>
      </c>
      <c r="R180" s="49" t="s">
        <v>3359</v>
      </c>
      <c r="S180" s="49" t="s">
        <v>3360</v>
      </c>
      <c r="T180" s="49" t="s">
        <v>3361</v>
      </c>
      <c r="U180" s="49" t="s">
        <v>655</v>
      </c>
      <c r="V180" s="49" t="e">
        <v>#REF!</v>
      </c>
      <c r="AC180" s="49"/>
      <c r="AD180" s="49"/>
    </row>
    <row r="181" spans="1:30" hidden="1" x14ac:dyDescent="0.3">
      <c r="A181" s="49" t="s">
        <v>3362</v>
      </c>
      <c r="B181" s="49">
        <v>0</v>
      </c>
      <c r="C181" s="49"/>
      <c r="D181" s="72" t="e">
        <v>#N/A</v>
      </c>
      <c r="E181" s="73">
        <v>0</v>
      </c>
      <c r="F181" s="49"/>
      <c r="G181" s="49"/>
      <c r="H181" s="49" t="s">
        <v>3363</v>
      </c>
      <c r="I181" s="49" t="s">
        <v>3366</v>
      </c>
      <c r="J181" s="49" t="s">
        <v>3364</v>
      </c>
      <c r="K181" s="49" t="s">
        <v>3365</v>
      </c>
      <c r="L181" s="49">
        <v>0</v>
      </c>
      <c r="M181" s="49" t="s">
        <v>1865</v>
      </c>
      <c r="N181" s="49" t="s">
        <v>3367</v>
      </c>
      <c r="O181" s="49">
        <v>1</v>
      </c>
      <c r="P181" s="49" t="s">
        <v>3368</v>
      </c>
      <c r="Q181" s="49">
        <v>0</v>
      </c>
      <c r="R181" s="49" t="s">
        <v>3369</v>
      </c>
      <c r="S181" s="49" t="s">
        <v>3370</v>
      </c>
      <c r="T181" s="49" t="s">
        <v>3371</v>
      </c>
      <c r="U181" s="49" t="s">
        <v>655</v>
      </c>
      <c r="V181" s="49" t="e">
        <v>#REF!</v>
      </c>
      <c r="AC181" s="49"/>
      <c r="AD181" s="49"/>
    </row>
    <row r="182" spans="1:30" hidden="1" x14ac:dyDescent="0.3">
      <c r="A182" s="49" t="s">
        <v>3372</v>
      </c>
      <c r="B182" s="49">
        <v>0</v>
      </c>
      <c r="C182" s="49"/>
      <c r="D182" s="72" t="e">
        <v>#N/A</v>
      </c>
      <c r="E182" s="73">
        <v>0</v>
      </c>
      <c r="F182" s="49"/>
      <c r="G182" s="49"/>
      <c r="H182" s="49" t="s">
        <v>3373</v>
      </c>
      <c r="I182" s="49" t="s">
        <v>3376</v>
      </c>
      <c r="J182" s="49" t="s">
        <v>3374</v>
      </c>
      <c r="K182" s="49" t="s">
        <v>3375</v>
      </c>
      <c r="L182" s="49">
        <v>0</v>
      </c>
      <c r="M182" s="49" t="s">
        <v>1734</v>
      </c>
      <c r="N182" s="49" t="s">
        <v>3377</v>
      </c>
      <c r="P182" s="49" t="s">
        <v>3378</v>
      </c>
      <c r="Q182" s="49">
        <v>0</v>
      </c>
      <c r="R182" s="49" t="s">
        <v>3379</v>
      </c>
      <c r="S182" s="49" t="s">
        <v>3380</v>
      </c>
      <c r="T182" s="49" t="s">
        <v>3381</v>
      </c>
      <c r="U182" s="49" t="s">
        <v>670</v>
      </c>
      <c r="V182" s="49" t="e">
        <v>#REF!</v>
      </c>
      <c r="AC182" s="49"/>
      <c r="AD182" s="49"/>
    </row>
    <row r="183" spans="1:30" hidden="1" x14ac:dyDescent="0.3">
      <c r="A183" s="49" t="s">
        <v>3382</v>
      </c>
      <c r="B183" s="49">
        <v>0</v>
      </c>
      <c r="C183" s="49"/>
      <c r="D183" s="72" t="e">
        <v>#N/A</v>
      </c>
      <c r="E183" s="73">
        <v>0</v>
      </c>
      <c r="F183" s="49"/>
      <c r="G183" s="49"/>
      <c r="H183" s="49" t="s">
        <v>3383</v>
      </c>
      <c r="I183" s="49" t="s">
        <v>3386</v>
      </c>
      <c r="J183" s="49" t="s">
        <v>3384</v>
      </c>
      <c r="K183" s="49" t="s">
        <v>3385</v>
      </c>
      <c r="L183" s="49">
        <v>0</v>
      </c>
      <c r="M183" s="49" t="s">
        <v>1745</v>
      </c>
      <c r="N183" s="49" t="s">
        <v>3387</v>
      </c>
      <c r="O183" s="49">
        <v>1</v>
      </c>
      <c r="P183" s="49" t="s">
        <v>3388</v>
      </c>
      <c r="Q183" s="49">
        <v>0</v>
      </c>
      <c r="R183" s="49" t="s">
        <v>3389</v>
      </c>
      <c r="S183" s="49" t="s">
        <v>3390</v>
      </c>
      <c r="T183" s="49" t="s">
        <v>3391</v>
      </c>
      <c r="U183" s="49" t="s">
        <v>655</v>
      </c>
      <c r="V183" s="49" t="e">
        <v>#REF!</v>
      </c>
      <c r="AC183" s="49"/>
      <c r="AD183" s="49"/>
    </row>
    <row r="184" spans="1:30" hidden="1" x14ac:dyDescent="0.3">
      <c r="A184" s="49" t="s">
        <v>3392</v>
      </c>
      <c r="B184" s="49">
        <v>0</v>
      </c>
      <c r="C184" s="49"/>
      <c r="D184" s="72" t="e">
        <v>#N/A</v>
      </c>
      <c r="E184" s="73">
        <v>0</v>
      </c>
      <c r="F184" s="49"/>
      <c r="G184" s="49"/>
      <c r="H184" s="49" t="s">
        <v>3393</v>
      </c>
      <c r="I184" s="49" t="s">
        <v>3396</v>
      </c>
      <c r="J184" s="49" t="s">
        <v>3394</v>
      </c>
      <c r="K184" s="49" t="s">
        <v>3395</v>
      </c>
      <c r="L184" s="49">
        <v>0</v>
      </c>
      <c r="M184" s="49" t="s">
        <v>1745</v>
      </c>
      <c r="N184" s="49" t="s">
        <v>3397</v>
      </c>
      <c r="O184" s="49">
        <v>2</v>
      </c>
      <c r="P184" s="49" t="s">
        <v>3398</v>
      </c>
      <c r="Q184" s="49">
        <v>0</v>
      </c>
      <c r="R184" s="49" t="s">
        <v>3399</v>
      </c>
      <c r="S184" s="49" t="s">
        <v>3400</v>
      </c>
      <c r="T184" s="49" t="s">
        <v>646</v>
      </c>
      <c r="U184" s="49" t="s">
        <v>670</v>
      </c>
      <c r="V184" s="49" t="e">
        <v>#REF!</v>
      </c>
      <c r="AC184" s="49"/>
      <c r="AD184" s="49"/>
    </row>
    <row r="185" spans="1:30" hidden="1" x14ac:dyDescent="0.3">
      <c r="A185" s="49" t="s">
        <v>3401</v>
      </c>
      <c r="B185" s="49">
        <v>0</v>
      </c>
      <c r="C185" s="49"/>
      <c r="D185" s="72" t="e">
        <v>#N/A</v>
      </c>
      <c r="E185" s="73">
        <v>0</v>
      </c>
      <c r="F185" s="49"/>
      <c r="G185" s="49"/>
      <c r="H185" s="49" t="s">
        <v>3402</v>
      </c>
      <c r="I185" s="49" t="s">
        <v>3405</v>
      </c>
      <c r="J185" s="49" t="s">
        <v>3403</v>
      </c>
      <c r="K185" s="49" t="s">
        <v>3404</v>
      </c>
      <c r="L185" s="49">
        <v>0</v>
      </c>
      <c r="M185" s="49" t="s">
        <v>1734</v>
      </c>
      <c r="N185" s="49" t="s">
        <v>3406</v>
      </c>
      <c r="O185" s="49">
        <v>1</v>
      </c>
      <c r="P185" s="49" t="s">
        <v>3407</v>
      </c>
      <c r="Q185" s="49">
        <v>0</v>
      </c>
      <c r="R185" s="49" t="s">
        <v>3408</v>
      </c>
      <c r="S185" s="49" t="s">
        <v>3409</v>
      </c>
      <c r="T185" s="49" t="s">
        <v>3410</v>
      </c>
      <c r="U185" s="49" t="s">
        <v>655</v>
      </c>
      <c r="V185" s="49" t="e">
        <v>#REF!</v>
      </c>
      <c r="AC185" s="49"/>
      <c r="AD185" s="49"/>
    </row>
    <row r="186" spans="1:30" hidden="1" x14ac:dyDescent="0.3">
      <c r="A186" s="49" t="s">
        <v>3411</v>
      </c>
      <c r="B186" s="49">
        <v>0</v>
      </c>
      <c r="C186" s="49"/>
      <c r="D186" s="72" t="e">
        <v>#N/A</v>
      </c>
      <c r="E186" s="73">
        <v>0</v>
      </c>
      <c r="F186" s="49"/>
      <c r="G186" s="49"/>
      <c r="H186" s="49" t="s">
        <v>3412</v>
      </c>
      <c r="I186" s="49" t="s">
        <v>3415</v>
      </c>
      <c r="J186" s="49" t="s">
        <v>3413</v>
      </c>
      <c r="K186" s="49" t="s">
        <v>3414</v>
      </c>
      <c r="L186" s="49">
        <v>0</v>
      </c>
      <c r="M186" s="49" t="s">
        <v>2142</v>
      </c>
      <c r="N186" s="49" t="s">
        <v>3416</v>
      </c>
      <c r="P186" s="49" t="s">
        <v>3417</v>
      </c>
      <c r="Q186" s="49">
        <v>0</v>
      </c>
      <c r="R186" s="49" t="s">
        <v>3418</v>
      </c>
      <c r="S186" s="49" t="s">
        <v>3419</v>
      </c>
      <c r="T186" s="49" t="s">
        <v>3420</v>
      </c>
      <c r="U186" s="49" t="s">
        <v>655</v>
      </c>
      <c r="V186" s="49" t="e">
        <v>#REF!</v>
      </c>
      <c r="AC186" s="49"/>
      <c r="AD186" s="49"/>
    </row>
    <row r="187" spans="1:30" hidden="1" x14ac:dyDescent="0.3">
      <c r="A187" s="49" t="s">
        <v>3421</v>
      </c>
      <c r="B187" s="49">
        <v>0</v>
      </c>
      <c r="C187" s="49"/>
      <c r="D187" s="72" t="e">
        <v>#N/A</v>
      </c>
      <c r="E187" s="73">
        <v>0</v>
      </c>
      <c r="F187" s="49"/>
      <c r="G187" s="49"/>
      <c r="H187" s="49" t="s">
        <v>3422</v>
      </c>
      <c r="I187" s="49" t="s">
        <v>3425</v>
      </c>
      <c r="J187" s="49" t="s">
        <v>3423</v>
      </c>
      <c r="K187" s="49" t="s">
        <v>3424</v>
      </c>
      <c r="L187" s="49">
        <v>0</v>
      </c>
      <c r="M187" s="49" t="s">
        <v>1745</v>
      </c>
      <c r="N187" s="49" t="s">
        <v>3426</v>
      </c>
      <c r="P187" s="49" t="s">
        <v>3427</v>
      </c>
      <c r="Q187" s="49">
        <v>0</v>
      </c>
      <c r="R187" s="49" t="s">
        <v>3428</v>
      </c>
      <c r="S187" s="49" t="s">
        <v>3429</v>
      </c>
      <c r="T187" s="49" t="s">
        <v>3430</v>
      </c>
      <c r="U187" s="49" t="s">
        <v>655</v>
      </c>
      <c r="V187" s="49" t="e">
        <v>#REF!</v>
      </c>
      <c r="AC187" s="49"/>
      <c r="AD187" s="49"/>
    </row>
    <row r="188" spans="1:30" hidden="1" x14ac:dyDescent="0.3">
      <c r="A188" s="49" t="s">
        <v>3431</v>
      </c>
      <c r="B188" s="49">
        <v>0</v>
      </c>
      <c r="C188" s="49"/>
      <c r="D188" s="72" t="e">
        <v>#N/A</v>
      </c>
      <c r="E188" s="73">
        <v>0</v>
      </c>
      <c r="F188" s="49"/>
      <c r="G188" s="49"/>
      <c r="H188" s="49" t="s">
        <v>3432</v>
      </c>
      <c r="I188" s="49" t="s">
        <v>3435</v>
      </c>
      <c r="J188" s="49" t="s">
        <v>3433</v>
      </c>
      <c r="K188" s="49" t="s">
        <v>3434</v>
      </c>
      <c r="L188" s="49">
        <v>0</v>
      </c>
      <c r="M188" s="49" t="s">
        <v>1745</v>
      </c>
      <c r="N188" s="49" t="s">
        <v>3436</v>
      </c>
      <c r="O188" s="49">
        <v>1</v>
      </c>
      <c r="P188" s="49" t="s">
        <v>3437</v>
      </c>
      <c r="Q188" s="49">
        <v>0</v>
      </c>
      <c r="R188" s="49" t="s">
        <v>3438</v>
      </c>
      <c r="S188" s="49" t="s">
        <v>3439</v>
      </c>
      <c r="T188" s="49" t="s">
        <v>3440</v>
      </c>
      <c r="U188" s="49" t="s">
        <v>655</v>
      </c>
      <c r="V188" s="49" t="e">
        <v>#REF!</v>
      </c>
      <c r="AC188" s="49"/>
      <c r="AD188" s="49"/>
    </row>
    <row r="189" spans="1:30" hidden="1" x14ac:dyDescent="0.3">
      <c r="A189" s="49" t="s">
        <v>3441</v>
      </c>
      <c r="B189" s="49">
        <v>0</v>
      </c>
      <c r="C189" s="49"/>
      <c r="D189" s="72" t="e">
        <v>#N/A</v>
      </c>
      <c r="E189" s="74" t="s">
        <v>645</v>
      </c>
      <c r="F189" s="73">
        <v>0</v>
      </c>
      <c r="G189" s="49"/>
      <c r="H189" s="49" t="s">
        <v>3442</v>
      </c>
      <c r="I189" s="49" t="s">
        <v>3445</v>
      </c>
      <c r="J189" s="49" t="s">
        <v>3443</v>
      </c>
      <c r="K189" s="49" t="s">
        <v>3444</v>
      </c>
      <c r="L189" s="49">
        <v>0</v>
      </c>
      <c r="M189" s="49" t="s">
        <v>1865</v>
      </c>
      <c r="N189" s="49" t="s">
        <v>3446</v>
      </c>
      <c r="O189" s="49">
        <v>2</v>
      </c>
      <c r="P189" s="49" t="s">
        <v>3447</v>
      </c>
      <c r="Q189" s="49">
        <v>0</v>
      </c>
      <c r="R189" s="49" t="s">
        <v>3448</v>
      </c>
      <c r="S189" s="49" t="s">
        <v>3449</v>
      </c>
      <c r="T189" s="49" t="s">
        <v>3450</v>
      </c>
      <c r="U189" s="49" t="s">
        <v>655</v>
      </c>
      <c r="V189" s="49" t="e">
        <v>#REF!</v>
      </c>
      <c r="AC189" s="49"/>
      <c r="AD189" s="49"/>
    </row>
    <row r="190" spans="1:30" hidden="1" x14ac:dyDescent="0.3">
      <c r="A190" s="49" t="s">
        <v>3451</v>
      </c>
      <c r="B190" s="49">
        <v>0</v>
      </c>
      <c r="C190" s="49"/>
      <c r="D190" s="72" t="e">
        <v>#N/A</v>
      </c>
      <c r="E190" s="73">
        <v>0</v>
      </c>
      <c r="F190" s="49"/>
      <c r="G190" s="49"/>
      <c r="H190" s="49" t="s">
        <v>3452</v>
      </c>
      <c r="I190" s="49" t="s">
        <v>3455</v>
      </c>
      <c r="J190" s="49" t="s">
        <v>3453</v>
      </c>
      <c r="K190" s="49" t="s">
        <v>3454</v>
      </c>
      <c r="L190" s="49">
        <v>0</v>
      </c>
      <c r="M190" s="49" t="s">
        <v>1734</v>
      </c>
      <c r="N190" s="49" t="s">
        <v>3456</v>
      </c>
      <c r="P190" s="49" t="s">
        <v>3457</v>
      </c>
      <c r="Q190" s="49">
        <v>0</v>
      </c>
      <c r="R190" s="49" t="s">
        <v>3458</v>
      </c>
      <c r="S190" s="49" t="s">
        <v>3459</v>
      </c>
      <c r="T190" s="49" t="s">
        <v>3460</v>
      </c>
      <c r="U190" s="49" t="s">
        <v>655</v>
      </c>
      <c r="V190" s="49" t="e">
        <v>#REF!</v>
      </c>
      <c r="AC190" s="49"/>
      <c r="AD190" s="49"/>
    </row>
    <row r="191" spans="1:30" hidden="1" x14ac:dyDescent="0.3">
      <c r="A191" s="49" t="s">
        <v>3461</v>
      </c>
      <c r="B191" s="49">
        <v>0</v>
      </c>
      <c r="C191" s="49"/>
      <c r="D191" s="72" t="e">
        <v>#N/A</v>
      </c>
      <c r="E191" s="73">
        <v>0</v>
      </c>
      <c r="F191" s="49"/>
      <c r="G191" s="49"/>
      <c r="H191" s="49" t="s">
        <v>3462</v>
      </c>
      <c r="I191" s="49" t="s">
        <v>3465</v>
      </c>
      <c r="J191" s="49" t="s">
        <v>3463</v>
      </c>
      <c r="K191" s="49" t="s">
        <v>3464</v>
      </c>
      <c r="L191" s="49">
        <v>0</v>
      </c>
      <c r="M191" s="49" t="s">
        <v>1734</v>
      </c>
      <c r="N191" s="49" t="s">
        <v>3466</v>
      </c>
      <c r="P191" s="49" t="s">
        <v>3467</v>
      </c>
      <c r="Q191" s="49">
        <v>0</v>
      </c>
      <c r="R191" s="49" t="s">
        <v>3468</v>
      </c>
      <c r="S191" s="49" t="s">
        <v>3469</v>
      </c>
      <c r="T191" s="49" t="s">
        <v>3470</v>
      </c>
      <c r="U191" s="49" t="s">
        <v>655</v>
      </c>
      <c r="V191" s="49" t="e">
        <v>#REF!</v>
      </c>
      <c r="AC191" s="49"/>
      <c r="AD191" s="49"/>
    </row>
    <row r="192" spans="1:30" hidden="1" x14ac:dyDescent="0.3">
      <c r="A192" s="49" t="s">
        <v>3471</v>
      </c>
      <c r="B192" s="49">
        <v>0</v>
      </c>
      <c r="C192" s="49"/>
      <c r="D192" s="72" t="e">
        <v>#N/A</v>
      </c>
      <c r="E192" s="73">
        <v>0</v>
      </c>
      <c r="F192" s="49"/>
      <c r="G192" s="49"/>
      <c r="H192" s="49" t="s">
        <v>646</v>
      </c>
      <c r="I192" s="49" t="s">
        <v>3474</v>
      </c>
      <c r="J192" s="49" t="s">
        <v>3472</v>
      </c>
      <c r="K192" s="49" t="s">
        <v>3473</v>
      </c>
      <c r="L192" s="49">
        <v>0</v>
      </c>
      <c r="M192" s="49" t="s">
        <v>1745</v>
      </c>
      <c r="N192" s="49" t="s">
        <v>3475</v>
      </c>
      <c r="O192" s="49">
        <v>1</v>
      </c>
      <c r="P192" s="49" t="s">
        <v>3476</v>
      </c>
      <c r="Q192" s="49">
        <v>0</v>
      </c>
      <c r="R192" s="49" t="s">
        <v>3477</v>
      </c>
      <c r="S192" s="49" t="s">
        <v>3478</v>
      </c>
      <c r="T192" s="49" t="s">
        <v>646</v>
      </c>
      <c r="U192" s="49" t="s">
        <v>670</v>
      </c>
      <c r="V192" s="49" t="e">
        <v>#REF!</v>
      </c>
      <c r="AC192" s="49"/>
      <c r="AD192" s="49"/>
    </row>
    <row r="193" spans="1:30" hidden="1" x14ac:dyDescent="0.3">
      <c r="A193" s="49" t="s">
        <v>3479</v>
      </c>
      <c r="B193" s="49">
        <v>0</v>
      </c>
      <c r="C193" s="49"/>
      <c r="D193" s="72" t="e">
        <v>#N/A</v>
      </c>
      <c r="E193" s="73">
        <v>0</v>
      </c>
      <c r="F193" s="49"/>
      <c r="G193" s="49"/>
      <c r="H193" s="49" t="s">
        <v>3480</v>
      </c>
      <c r="I193" s="49" t="s">
        <v>3483</v>
      </c>
      <c r="J193" s="49" t="s">
        <v>3481</v>
      </c>
      <c r="K193" s="49" t="s">
        <v>3482</v>
      </c>
      <c r="L193" s="49">
        <v>0</v>
      </c>
      <c r="M193" s="49" t="s">
        <v>1745</v>
      </c>
      <c r="N193" s="49" t="s">
        <v>3484</v>
      </c>
      <c r="P193" s="49" t="s">
        <v>3485</v>
      </c>
      <c r="Q193" s="49">
        <v>0</v>
      </c>
      <c r="R193" s="49" t="s">
        <v>3486</v>
      </c>
      <c r="S193" s="49" t="s">
        <v>3487</v>
      </c>
      <c r="T193" s="49" t="s">
        <v>3488</v>
      </c>
      <c r="U193" s="49" t="s">
        <v>655</v>
      </c>
      <c r="V193" s="49" t="e">
        <v>#REF!</v>
      </c>
      <c r="AC193" s="49"/>
      <c r="AD193" s="49"/>
    </row>
    <row r="194" spans="1:30" hidden="1" x14ac:dyDescent="0.3">
      <c r="A194" s="49" t="s">
        <v>3489</v>
      </c>
      <c r="B194" s="49">
        <v>0</v>
      </c>
      <c r="C194" s="49"/>
      <c r="D194" s="72" t="e">
        <v>#N/A</v>
      </c>
      <c r="E194" s="74" t="s">
        <v>645</v>
      </c>
      <c r="F194" s="73">
        <v>0</v>
      </c>
      <c r="G194" s="49"/>
      <c r="H194" s="49" t="s">
        <v>3490</v>
      </c>
      <c r="I194" s="49" t="s">
        <v>3493</v>
      </c>
      <c r="J194" s="49" t="s">
        <v>3491</v>
      </c>
      <c r="K194" s="49" t="s">
        <v>3492</v>
      </c>
      <c r="L194" s="49">
        <v>0</v>
      </c>
      <c r="M194" s="49" t="s">
        <v>1745</v>
      </c>
      <c r="N194" s="49" t="s">
        <v>3494</v>
      </c>
      <c r="O194" s="49">
        <v>10</v>
      </c>
      <c r="P194" s="49" t="s">
        <v>3495</v>
      </c>
      <c r="Q194" s="49">
        <v>0</v>
      </c>
      <c r="R194" s="49" t="s">
        <v>3496</v>
      </c>
      <c r="S194" s="49" t="s">
        <v>3497</v>
      </c>
      <c r="T194" s="49" t="s">
        <v>3498</v>
      </c>
      <c r="U194" s="49" t="s">
        <v>646</v>
      </c>
      <c r="V194" s="49" t="e">
        <v>#REF!</v>
      </c>
      <c r="AC194" s="49"/>
      <c r="AD194" s="49"/>
    </row>
    <row r="195" spans="1:30" hidden="1" x14ac:dyDescent="0.3">
      <c r="A195" s="49" t="s">
        <v>3499</v>
      </c>
      <c r="B195" s="49">
        <v>0</v>
      </c>
      <c r="C195" s="49"/>
      <c r="D195" s="72" t="e">
        <v>#N/A</v>
      </c>
      <c r="E195" s="74" t="s">
        <v>645</v>
      </c>
      <c r="F195" s="73">
        <v>0</v>
      </c>
      <c r="G195" s="49"/>
      <c r="H195" s="49" t="s">
        <v>3500</v>
      </c>
      <c r="I195" s="49" t="s">
        <v>3503</v>
      </c>
      <c r="J195" s="49" t="s">
        <v>3501</v>
      </c>
      <c r="K195" s="49" t="s">
        <v>3502</v>
      </c>
      <c r="L195" s="49">
        <v>0</v>
      </c>
      <c r="M195" s="49" t="s">
        <v>1826</v>
      </c>
      <c r="N195" s="49" t="s">
        <v>3504</v>
      </c>
      <c r="O195" s="49">
        <v>19</v>
      </c>
      <c r="P195" s="49" t="s">
        <v>3505</v>
      </c>
      <c r="Q195" s="49">
        <v>0</v>
      </c>
      <c r="R195" s="49" t="s">
        <v>3506</v>
      </c>
      <c r="S195" s="49" t="s">
        <v>3507</v>
      </c>
      <c r="T195" s="49" t="s">
        <v>3508</v>
      </c>
      <c r="U195" s="49" t="s">
        <v>655</v>
      </c>
      <c r="V195" s="49" t="e">
        <v>#REF!</v>
      </c>
      <c r="AC195" s="49"/>
      <c r="AD195" s="49"/>
    </row>
    <row r="196" spans="1:30" hidden="1" x14ac:dyDescent="0.3">
      <c r="A196" s="49" t="s">
        <v>3509</v>
      </c>
      <c r="B196" s="49">
        <v>0</v>
      </c>
      <c r="C196" s="49"/>
      <c r="D196" s="72" t="e">
        <v>#N/A</v>
      </c>
      <c r="E196" s="73">
        <v>0</v>
      </c>
      <c r="F196" s="49"/>
      <c r="G196" s="49"/>
      <c r="H196" s="49" t="s">
        <v>3510</v>
      </c>
      <c r="I196" s="49" t="s">
        <v>3513</v>
      </c>
      <c r="J196" s="49" t="s">
        <v>3511</v>
      </c>
      <c r="K196" s="49" t="s">
        <v>3512</v>
      </c>
      <c r="L196" s="49">
        <v>0</v>
      </c>
      <c r="M196" s="49" t="s">
        <v>1734</v>
      </c>
      <c r="N196" s="49" t="s">
        <v>3514</v>
      </c>
      <c r="P196" s="49" t="s">
        <v>3515</v>
      </c>
      <c r="Q196" s="49">
        <v>0</v>
      </c>
      <c r="R196" s="49" t="s">
        <v>3516</v>
      </c>
      <c r="S196" s="49" t="s">
        <v>3517</v>
      </c>
      <c r="T196" s="49" t="s">
        <v>3518</v>
      </c>
      <c r="U196" s="49" t="s">
        <v>655</v>
      </c>
      <c r="V196" s="49" t="e">
        <v>#REF!</v>
      </c>
      <c r="AC196" s="49"/>
      <c r="AD196" s="49"/>
    </row>
    <row r="197" spans="1:30" hidden="1" x14ac:dyDescent="0.3">
      <c r="A197" s="49" t="s">
        <v>3519</v>
      </c>
      <c r="B197" s="49">
        <v>0</v>
      </c>
      <c r="C197" s="49"/>
      <c r="D197" s="72" t="e">
        <v>#N/A</v>
      </c>
      <c r="E197" s="73">
        <v>0</v>
      </c>
      <c r="F197" s="49"/>
      <c r="G197" s="49"/>
      <c r="H197" s="49" t="s">
        <v>3520</v>
      </c>
      <c r="I197" s="49" t="s">
        <v>3523</v>
      </c>
      <c r="J197" s="49" t="s">
        <v>3521</v>
      </c>
      <c r="K197" s="49" t="s">
        <v>3522</v>
      </c>
      <c r="L197" s="49">
        <v>0</v>
      </c>
      <c r="M197" s="49" t="s">
        <v>1745</v>
      </c>
      <c r="N197" s="49" t="s">
        <v>3524</v>
      </c>
      <c r="P197" s="49" t="s">
        <v>3525</v>
      </c>
      <c r="Q197" s="49">
        <v>0</v>
      </c>
      <c r="R197" s="49" t="s">
        <v>3526</v>
      </c>
      <c r="S197" s="49" t="s">
        <v>3527</v>
      </c>
      <c r="T197" s="49" t="s">
        <v>3528</v>
      </c>
      <c r="U197" s="49" t="s">
        <v>655</v>
      </c>
      <c r="V197" s="49" t="e">
        <v>#REF!</v>
      </c>
      <c r="AC197" s="49"/>
      <c r="AD197" s="49"/>
    </row>
    <row r="198" spans="1:30" hidden="1" x14ac:dyDescent="0.3">
      <c r="A198" s="49" t="s">
        <v>3529</v>
      </c>
      <c r="B198" s="49">
        <v>0</v>
      </c>
      <c r="C198" s="49"/>
      <c r="D198" s="72" t="e">
        <v>#N/A</v>
      </c>
      <c r="E198" s="73">
        <v>0</v>
      </c>
      <c r="F198" s="49"/>
      <c r="G198" s="49"/>
      <c r="H198" s="49" t="s">
        <v>3530</v>
      </c>
      <c r="I198" s="49" t="s">
        <v>3533</v>
      </c>
      <c r="J198" s="49" t="s">
        <v>3531</v>
      </c>
      <c r="K198" s="49" t="s">
        <v>3532</v>
      </c>
      <c r="L198" s="49">
        <v>0</v>
      </c>
      <c r="M198" s="49" t="s">
        <v>1734</v>
      </c>
      <c r="N198" s="49" t="s">
        <v>3534</v>
      </c>
      <c r="O198" s="49">
        <v>1</v>
      </c>
      <c r="P198" s="49" t="s">
        <v>3535</v>
      </c>
      <c r="Q198" s="49">
        <v>0</v>
      </c>
      <c r="R198" s="49" t="s">
        <v>3536</v>
      </c>
      <c r="S198" s="49" t="s">
        <v>3537</v>
      </c>
      <c r="T198" s="49" t="s">
        <v>3538</v>
      </c>
      <c r="U198" s="49" t="s">
        <v>655</v>
      </c>
      <c r="V198" s="49" t="e">
        <v>#REF!</v>
      </c>
      <c r="AC198" s="49"/>
      <c r="AD198" s="49"/>
    </row>
    <row r="199" spans="1:30" hidden="1" x14ac:dyDescent="0.3">
      <c r="A199" s="49" t="s">
        <v>3539</v>
      </c>
      <c r="B199" s="49">
        <v>0</v>
      </c>
      <c r="C199" s="49"/>
      <c r="D199" s="72" t="e">
        <v>#N/A</v>
      </c>
      <c r="E199" s="73">
        <v>0</v>
      </c>
      <c r="F199" s="49"/>
      <c r="G199" s="49"/>
      <c r="H199" s="49" t="s">
        <v>646</v>
      </c>
      <c r="I199" s="49" t="s">
        <v>3542</v>
      </c>
      <c r="J199" s="49" t="s">
        <v>3540</v>
      </c>
      <c r="K199" s="49" t="s">
        <v>3541</v>
      </c>
      <c r="L199" s="49">
        <v>0</v>
      </c>
      <c r="M199" s="49" t="s">
        <v>1745</v>
      </c>
      <c r="N199" s="49" t="s">
        <v>3543</v>
      </c>
      <c r="P199" s="49" t="s">
        <v>3544</v>
      </c>
      <c r="Q199" s="49">
        <v>0</v>
      </c>
      <c r="R199" s="49" t="s">
        <v>3545</v>
      </c>
      <c r="S199" s="49" t="s">
        <v>3546</v>
      </c>
      <c r="T199" s="49" t="s">
        <v>3547</v>
      </c>
      <c r="U199" s="49" t="s">
        <v>670</v>
      </c>
      <c r="V199" s="49" t="e">
        <v>#REF!</v>
      </c>
      <c r="AC199" s="49"/>
      <c r="AD199" s="49"/>
    </row>
    <row r="200" spans="1:30" hidden="1" x14ac:dyDescent="0.3">
      <c r="A200" s="49" t="s">
        <v>3548</v>
      </c>
      <c r="B200" s="49">
        <v>0</v>
      </c>
      <c r="C200" s="49"/>
      <c r="D200" s="72" t="e">
        <v>#N/A</v>
      </c>
      <c r="E200" s="73">
        <v>0</v>
      </c>
      <c r="F200" s="49"/>
      <c r="G200" s="49"/>
      <c r="H200" s="49" t="s">
        <v>3549</v>
      </c>
      <c r="I200" s="49" t="s">
        <v>3552</v>
      </c>
      <c r="J200" s="49" t="s">
        <v>3550</v>
      </c>
      <c r="K200" s="49" t="s">
        <v>3551</v>
      </c>
      <c r="L200" s="49">
        <v>0</v>
      </c>
      <c r="M200" s="49" t="s">
        <v>2484</v>
      </c>
      <c r="N200" s="49" t="s">
        <v>3553</v>
      </c>
      <c r="O200" s="49">
        <v>2</v>
      </c>
      <c r="P200" s="49" t="s">
        <v>3554</v>
      </c>
      <c r="Q200" s="49">
        <v>0</v>
      </c>
      <c r="R200" s="49" t="s">
        <v>3555</v>
      </c>
      <c r="S200" s="49" t="s">
        <v>3556</v>
      </c>
      <c r="T200" s="49" t="s">
        <v>3557</v>
      </c>
      <c r="U200" s="49" t="s">
        <v>655</v>
      </c>
      <c r="V200" s="49" t="e">
        <v>#REF!</v>
      </c>
      <c r="AC200" s="49"/>
      <c r="AD200" s="49"/>
    </row>
    <row r="201" spans="1:30" hidden="1" x14ac:dyDescent="0.3">
      <c r="A201" s="49" t="s">
        <v>3558</v>
      </c>
      <c r="B201" s="49">
        <v>0</v>
      </c>
      <c r="C201" s="49">
        <v>1</v>
      </c>
      <c r="D201" s="72" t="e">
        <v>#N/A</v>
      </c>
      <c r="E201" s="74" t="s">
        <v>645</v>
      </c>
      <c r="F201" s="73" t="s">
        <v>645</v>
      </c>
      <c r="G201" s="49">
        <v>0</v>
      </c>
      <c r="H201" s="49" t="s">
        <v>3559</v>
      </c>
      <c r="I201" s="49" t="s">
        <v>3562</v>
      </c>
      <c r="J201" s="49" t="s">
        <v>3560</v>
      </c>
      <c r="K201" s="49" t="s">
        <v>3561</v>
      </c>
      <c r="L201" s="49">
        <v>0</v>
      </c>
      <c r="M201" s="75" t="s">
        <v>1745</v>
      </c>
      <c r="N201" s="49" t="s">
        <v>3563</v>
      </c>
      <c r="O201" s="49">
        <v>1</v>
      </c>
      <c r="P201" s="49" t="s">
        <v>3564</v>
      </c>
      <c r="Q201" s="49">
        <v>0</v>
      </c>
      <c r="R201" s="49" t="s">
        <v>3565</v>
      </c>
      <c r="S201" s="49" t="s">
        <v>3566</v>
      </c>
      <c r="T201" s="49" t="s">
        <v>646</v>
      </c>
      <c r="U201" s="49" t="s">
        <v>670</v>
      </c>
      <c r="V201" s="49" t="e">
        <v>#REF!</v>
      </c>
      <c r="AC201" s="49"/>
      <c r="AD201" s="49"/>
    </row>
    <row r="202" spans="1:30" hidden="1" x14ac:dyDescent="0.3">
      <c r="A202" s="49" t="s">
        <v>3567</v>
      </c>
      <c r="B202" s="49">
        <v>0</v>
      </c>
      <c r="C202" s="49">
        <v>1</v>
      </c>
      <c r="D202" s="72" t="e">
        <v>#N/A</v>
      </c>
      <c r="E202" s="74">
        <v>1</v>
      </c>
      <c r="F202" s="73">
        <v>1</v>
      </c>
      <c r="G202" s="49">
        <v>0</v>
      </c>
      <c r="H202" s="49" t="s">
        <v>646</v>
      </c>
      <c r="I202" s="49" t="s">
        <v>3571</v>
      </c>
      <c r="J202" s="49" t="s">
        <v>3568</v>
      </c>
      <c r="K202" s="49" t="s">
        <v>3569</v>
      </c>
      <c r="L202" s="49">
        <v>0</v>
      </c>
      <c r="M202" s="75" t="s">
        <v>3570</v>
      </c>
      <c r="N202" s="49" t="s">
        <v>3572</v>
      </c>
      <c r="O202" s="49">
        <v>4</v>
      </c>
      <c r="P202" s="49" t="s">
        <v>3573</v>
      </c>
      <c r="Q202" s="49">
        <v>0</v>
      </c>
      <c r="R202" s="49" t="s">
        <v>3574</v>
      </c>
      <c r="S202" s="49" t="s">
        <v>3575</v>
      </c>
      <c r="T202" s="49" t="s">
        <v>646</v>
      </c>
      <c r="U202" s="49" t="s">
        <v>670</v>
      </c>
      <c r="V202" s="49" t="e">
        <v>#REF!</v>
      </c>
      <c r="AC202" s="49"/>
      <c r="AD202" s="49"/>
    </row>
    <row r="203" spans="1:30" hidden="1" x14ac:dyDescent="0.3">
      <c r="A203" s="49" t="s">
        <v>3576</v>
      </c>
      <c r="B203" s="49">
        <v>0</v>
      </c>
      <c r="C203" s="49"/>
      <c r="D203" s="72" t="e">
        <v>#N/A</v>
      </c>
      <c r="E203" s="73">
        <v>0</v>
      </c>
      <c r="F203" s="49"/>
      <c r="G203" s="49"/>
      <c r="H203" s="49" t="s">
        <v>3577</v>
      </c>
      <c r="I203" s="49" t="s">
        <v>3580</v>
      </c>
      <c r="J203" s="49" t="s">
        <v>3578</v>
      </c>
      <c r="K203" s="49" t="s">
        <v>3579</v>
      </c>
      <c r="L203" s="49">
        <v>0</v>
      </c>
      <c r="M203" s="49" t="s">
        <v>1745</v>
      </c>
      <c r="N203" s="49" t="s">
        <v>3581</v>
      </c>
      <c r="O203" s="49">
        <v>2</v>
      </c>
      <c r="P203" s="49" t="s">
        <v>3582</v>
      </c>
      <c r="Q203" s="49">
        <v>0</v>
      </c>
      <c r="R203" s="49" t="s">
        <v>3583</v>
      </c>
      <c r="S203" s="49" t="s">
        <v>3584</v>
      </c>
      <c r="T203" s="49" t="s">
        <v>3585</v>
      </c>
      <c r="U203" s="49" t="s">
        <v>655</v>
      </c>
      <c r="V203" s="49" t="e">
        <v>#REF!</v>
      </c>
      <c r="AC203" s="49"/>
      <c r="AD203" s="49"/>
    </row>
    <row r="204" spans="1:30" hidden="1" x14ac:dyDescent="0.3">
      <c r="A204" s="49" t="s">
        <v>3586</v>
      </c>
      <c r="B204" s="49">
        <v>0</v>
      </c>
      <c r="C204" s="49"/>
      <c r="D204" s="72" t="e">
        <v>#N/A</v>
      </c>
      <c r="E204" s="74" t="s">
        <v>645</v>
      </c>
      <c r="F204" s="73">
        <v>0</v>
      </c>
      <c r="G204" s="49"/>
      <c r="H204" s="49" t="s">
        <v>646</v>
      </c>
      <c r="I204" s="49" t="s">
        <v>3589</v>
      </c>
      <c r="J204" s="49" t="s">
        <v>3587</v>
      </c>
      <c r="K204" s="49" t="s">
        <v>3588</v>
      </c>
      <c r="L204" s="49">
        <v>0</v>
      </c>
      <c r="M204" s="49" t="s">
        <v>1745</v>
      </c>
      <c r="N204" s="49" t="s">
        <v>3590</v>
      </c>
      <c r="P204" s="49" t="s">
        <v>3591</v>
      </c>
      <c r="Q204" s="49">
        <v>0</v>
      </c>
      <c r="R204" s="49" t="s">
        <v>3592</v>
      </c>
      <c r="S204" s="49" t="s">
        <v>3593</v>
      </c>
      <c r="T204" s="49" t="s">
        <v>3594</v>
      </c>
      <c r="U204" s="49" t="s">
        <v>655</v>
      </c>
      <c r="V204" s="49" t="e">
        <v>#REF!</v>
      </c>
      <c r="AC204" s="49"/>
      <c r="AD204" s="49"/>
    </row>
    <row r="205" spans="1:30" hidden="1" x14ac:dyDescent="0.3">
      <c r="A205" s="49" t="s">
        <v>3595</v>
      </c>
      <c r="B205" s="49">
        <v>0</v>
      </c>
      <c r="C205" s="49"/>
      <c r="D205" s="72" t="e">
        <v>#N/A</v>
      </c>
      <c r="E205" s="73">
        <v>0</v>
      </c>
      <c r="F205" s="49"/>
      <c r="G205" s="49"/>
      <c r="H205" s="49" t="s">
        <v>3596</v>
      </c>
      <c r="I205" s="49" t="s">
        <v>3599</v>
      </c>
      <c r="J205" s="49" t="s">
        <v>3597</v>
      </c>
      <c r="K205" s="49" t="s">
        <v>3598</v>
      </c>
      <c r="L205" s="49">
        <v>0</v>
      </c>
      <c r="M205" s="49" t="s">
        <v>1734</v>
      </c>
      <c r="N205" s="49" t="s">
        <v>687</v>
      </c>
      <c r="O205" s="49">
        <v>1</v>
      </c>
      <c r="P205" s="49" t="s">
        <v>3600</v>
      </c>
      <c r="Q205" s="49">
        <v>0</v>
      </c>
      <c r="R205" s="49" t="s">
        <v>3601</v>
      </c>
      <c r="S205" s="49" t="s">
        <v>3602</v>
      </c>
      <c r="T205" s="49" t="s">
        <v>646</v>
      </c>
      <c r="U205" s="49" t="s">
        <v>670</v>
      </c>
      <c r="V205" s="49" t="e">
        <v>#REF!</v>
      </c>
      <c r="AC205" s="49"/>
      <c r="AD205" s="49"/>
    </row>
    <row r="206" spans="1:30" hidden="1" x14ac:dyDescent="0.3">
      <c r="A206" s="49" t="s">
        <v>3603</v>
      </c>
      <c r="B206" s="49">
        <v>0</v>
      </c>
      <c r="C206" s="49"/>
      <c r="D206" s="72" t="e">
        <v>#N/A</v>
      </c>
      <c r="E206" s="73">
        <v>0</v>
      </c>
      <c r="F206" s="49"/>
      <c r="G206" s="49"/>
      <c r="H206" s="49" t="s">
        <v>3604</v>
      </c>
      <c r="I206" s="49" t="s">
        <v>3607</v>
      </c>
      <c r="J206" s="49" t="s">
        <v>3605</v>
      </c>
      <c r="K206" s="49" t="s">
        <v>3606</v>
      </c>
      <c r="L206" s="49">
        <v>0</v>
      </c>
      <c r="M206" s="49" t="s">
        <v>1734</v>
      </c>
      <c r="N206" s="49" t="s">
        <v>3608</v>
      </c>
      <c r="P206" s="49" t="s">
        <v>3609</v>
      </c>
      <c r="Q206" s="49">
        <v>0</v>
      </c>
      <c r="R206" s="49" t="s">
        <v>3610</v>
      </c>
      <c r="S206" s="49" t="s">
        <v>3611</v>
      </c>
      <c r="T206" s="49" t="s">
        <v>3612</v>
      </c>
      <c r="U206" s="49" t="s">
        <v>655</v>
      </c>
      <c r="V206" s="49" t="e">
        <v>#REF!</v>
      </c>
      <c r="AC206" s="49"/>
      <c r="AD206" s="49"/>
    </row>
    <row r="207" spans="1:30" hidden="1" x14ac:dyDescent="0.3">
      <c r="A207" s="49" t="s">
        <v>3613</v>
      </c>
      <c r="B207" s="49">
        <v>0</v>
      </c>
      <c r="C207" s="49">
        <v>0</v>
      </c>
      <c r="D207" s="72" t="e">
        <v>#N/A</v>
      </c>
      <c r="E207" s="74" t="s">
        <v>645</v>
      </c>
      <c r="F207" s="73">
        <v>1</v>
      </c>
      <c r="G207" s="49"/>
      <c r="H207" s="49" t="s">
        <v>3614</v>
      </c>
      <c r="I207" s="49" t="s">
        <v>3617</v>
      </c>
      <c r="J207" s="49" t="s">
        <v>3615</v>
      </c>
      <c r="K207" s="49" t="s">
        <v>3616</v>
      </c>
      <c r="L207" s="49">
        <v>0</v>
      </c>
      <c r="M207" s="75" t="s">
        <v>1826</v>
      </c>
      <c r="N207" s="49" t="s">
        <v>3618</v>
      </c>
      <c r="P207" s="49" t="s">
        <v>3619</v>
      </c>
      <c r="Q207" s="49">
        <v>0</v>
      </c>
      <c r="R207" s="49" t="s">
        <v>646</v>
      </c>
      <c r="S207" s="49" t="s">
        <v>3620</v>
      </c>
      <c r="T207" s="49" t="s">
        <v>646</v>
      </c>
      <c r="U207" s="49" t="s">
        <v>655</v>
      </c>
      <c r="V207" s="49" t="e">
        <v>#REF!</v>
      </c>
      <c r="AC207" s="49"/>
      <c r="AD207" s="49"/>
    </row>
    <row r="208" spans="1:30" hidden="1" x14ac:dyDescent="0.3">
      <c r="A208" s="49" t="s">
        <v>3621</v>
      </c>
      <c r="B208" s="49">
        <v>0</v>
      </c>
      <c r="C208" s="49"/>
      <c r="D208" s="72" t="e">
        <v>#N/A</v>
      </c>
      <c r="E208" s="73">
        <v>0</v>
      </c>
      <c r="F208" s="49"/>
      <c r="G208" s="49"/>
      <c r="H208" s="49" t="s">
        <v>646</v>
      </c>
      <c r="I208" s="49" t="s">
        <v>3624</v>
      </c>
      <c r="J208" s="49" t="s">
        <v>3622</v>
      </c>
      <c r="K208" s="49" t="s">
        <v>3623</v>
      </c>
      <c r="L208" s="49">
        <v>0</v>
      </c>
      <c r="M208" s="49" t="s">
        <v>2456</v>
      </c>
      <c r="N208" s="49" t="s">
        <v>2458</v>
      </c>
      <c r="O208" s="49">
        <v>29</v>
      </c>
      <c r="P208" s="49" t="s">
        <v>3625</v>
      </c>
      <c r="Q208" s="49">
        <v>0</v>
      </c>
      <c r="R208" s="49" t="s">
        <v>3626</v>
      </c>
      <c r="S208" s="49" t="s">
        <v>3627</v>
      </c>
      <c r="T208" s="49" t="s">
        <v>646</v>
      </c>
      <c r="U208" s="49" t="s">
        <v>670</v>
      </c>
      <c r="V208" s="49" t="e">
        <v>#REF!</v>
      </c>
      <c r="AC208" s="49"/>
      <c r="AD208" s="49"/>
    </row>
    <row r="209" spans="1:30" hidden="1" x14ac:dyDescent="0.3">
      <c r="A209" s="49" t="s">
        <v>3628</v>
      </c>
      <c r="B209" s="49">
        <v>0</v>
      </c>
      <c r="C209" s="49"/>
      <c r="D209" s="72" t="e">
        <v>#N/A</v>
      </c>
      <c r="E209" s="73">
        <v>0</v>
      </c>
      <c r="F209" s="49"/>
      <c r="G209" s="49"/>
      <c r="H209" s="49" t="s">
        <v>3629</v>
      </c>
      <c r="I209" s="49" t="s">
        <v>3632</v>
      </c>
      <c r="J209" s="49" t="s">
        <v>3630</v>
      </c>
      <c r="K209" s="49" t="s">
        <v>3631</v>
      </c>
      <c r="L209" s="49">
        <v>0</v>
      </c>
      <c r="M209" s="49" t="s">
        <v>1734</v>
      </c>
      <c r="N209" s="49" t="s">
        <v>697</v>
      </c>
      <c r="P209" s="49" t="s">
        <v>3633</v>
      </c>
      <c r="Q209" s="49">
        <v>0</v>
      </c>
      <c r="R209" s="49" t="s">
        <v>3634</v>
      </c>
      <c r="S209" s="49" t="s">
        <v>3635</v>
      </c>
      <c r="T209" s="49" t="s">
        <v>3636</v>
      </c>
      <c r="U209" s="49" t="s">
        <v>655</v>
      </c>
      <c r="V209" s="49" t="e">
        <v>#REF!</v>
      </c>
      <c r="AC209" s="49"/>
      <c r="AD209" s="49"/>
    </row>
    <row r="210" spans="1:30" hidden="1" x14ac:dyDescent="0.3">
      <c r="A210" s="49" t="s">
        <v>3637</v>
      </c>
      <c r="B210" s="49">
        <v>0</v>
      </c>
      <c r="C210" s="49"/>
      <c r="D210" s="72" t="e">
        <v>#N/A</v>
      </c>
      <c r="E210" s="73">
        <v>0</v>
      </c>
      <c r="F210" s="49"/>
      <c r="G210" s="49"/>
      <c r="H210" s="49" t="s">
        <v>3638</v>
      </c>
      <c r="I210" s="49" t="s">
        <v>3641</v>
      </c>
      <c r="J210" s="49" t="s">
        <v>3639</v>
      </c>
      <c r="K210" s="49" t="s">
        <v>3640</v>
      </c>
      <c r="L210" s="49">
        <v>0</v>
      </c>
      <c r="M210" s="49" t="s">
        <v>1734</v>
      </c>
      <c r="N210" s="49" t="s">
        <v>3642</v>
      </c>
      <c r="P210" s="49" t="s">
        <v>3643</v>
      </c>
      <c r="Q210" s="49">
        <v>0</v>
      </c>
      <c r="R210" s="49" t="s">
        <v>3644</v>
      </c>
      <c r="S210" s="49" t="s">
        <v>3645</v>
      </c>
      <c r="T210" s="49" t="s">
        <v>646</v>
      </c>
      <c r="U210" s="49" t="s">
        <v>670</v>
      </c>
      <c r="V210" s="49" t="e">
        <v>#REF!</v>
      </c>
      <c r="AC210" s="49"/>
      <c r="AD210" s="49"/>
    </row>
    <row r="211" spans="1:30" hidden="1" x14ac:dyDescent="0.3">
      <c r="A211" s="49" t="s">
        <v>3646</v>
      </c>
      <c r="B211" s="49">
        <v>0</v>
      </c>
      <c r="C211" s="49"/>
      <c r="D211" s="72" t="e">
        <v>#N/A</v>
      </c>
      <c r="E211" s="73">
        <v>0</v>
      </c>
      <c r="F211" s="49"/>
      <c r="G211" s="49"/>
      <c r="H211" s="49" t="s">
        <v>3647</v>
      </c>
      <c r="I211" s="49" t="s">
        <v>3650</v>
      </c>
      <c r="J211" s="49" t="s">
        <v>3648</v>
      </c>
      <c r="K211" s="49" t="s">
        <v>3649</v>
      </c>
      <c r="L211" s="49">
        <v>0</v>
      </c>
      <c r="M211" s="49" t="s">
        <v>1745</v>
      </c>
      <c r="N211" s="49" t="s">
        <v>3651</v>
      </c>
      <c r="P211" s="49" t="s">
        <v>3652</v>
      </c>
      <c r="Q211" s="49">
        <v>0</v>
      </c>
      <c r="R211" s="49" t="s">
        <v>3653</v>
      </c>
      <c r="S211" s="49" t="s">
        <v>3654</v>
      </c>
      <c r="T211" s="49" t="s">
        <v>3655</v>
      </c>
      <c r="U211" s="49" t="s">
        <v>670</v>
      </c>
      <c r="V211" s="49" t="e">
        <v>#REF!</v>
      </c>
      <c r="AC211" s="49"/>
      <c r="AD211" s="49"/>
    </row>
    <row r="212" spans="1:30" hidden="1" x14ac:dyDescent="0.3">
      <c r="A212" s="49" t="s">
        <v>3656</v>
      </c>
      <c r="B212" s="49">
        <v>0</v>
      </c>
      <c r="C212" s="49"/>
      <c r="D212" s="72" t="e">
        <v>#N/A</v>
      </c>
      <c r="E212" s="73">
        <v>0</v>
      </c>
      <c r="F212" s="49"/>
      <c r="G212" s="49"/>
      <c r="H212" s="49" t="s">
        <v>3657</v>
      </c>
      <c r="I212" s="49" t="s">
        <v>3660</v>
      </c>
      <c r="J212" s="49" t="s">
        <v>3658</v>
      </c>
      <c r="K212" s="49" t="s">
        <v>3659</v>
      </c>
      <c r="L212" s="49">
        <v>0</v>
      </c>
      <c r="M212" s="49" t="s">
        <v>1734</v>
      </c>
      <c r="N212" s="49" t="s">
        <v>3661</v>
      </c>
      <c r="O212" s="49">
        <v>1</v>
      </c>
      <c r="P212" s="49" t="s">
        <v>3662</v>
      </c>
      <c r="Q212" s="49">
        <v>0</v>
      </c>
      <c r="R212" s="49" t="s">
        <v>3663</v>
      </c>
      <c r="S212" s="49" t="s">
        <v>3664</v>
      </c>
      <c r="T212" s="49" t="s">
        <v>3665</v>
      </c>
      <c r="U212" s="49" t="s">
        <v>655</v>
      </c>
      <c r="V212" s="49" t="e">
        <v>#REF!</v>
      </c>
      <c r="AC212" s="49"/>
      <c r="AD212" s="49"/>
    </row>
    <row r="213" spans="1:30" hidden="1" x14ac:dyDescent="0.3">
      <c r="A213" s="49" t="s">
        <v>3666</v>
      </c>
      <c r="B213" s="49">
        <v>0</v>
      </c>
      <c r="C213" s="49"/>
      <c r="D213" s="72" t="e">
        <v>#N/A</v>
      </c>
      <c r="E213" s="73">
        <v>0</v>
      </c>
      <c r="F213" s="49"/>
      <c r="G213" s="49"/>
      <c r="H213" s="49" t="s">
        <v>3667</v>
      </c>
      <c r="I213" s="49" t="s">
        <v>3670</v>
      </c>
      <c r="J213" s="49" t="s">
        <v>3668</v>
      </c>
      <c r="K213" s="49" t="s">
        <v>3669</v>
      </c>
      <c r="L213" s="49">
        <v>0</v>
      </c>
      <c r="M213" s="49" t="s">
        <v>1734</v>
      </c>
      <c r="N213" s="49" t="s">
        <v>3671</v>
      </c>
      <c r="O213" s="49">
        <v>1</v>
      </c>
      <c r="P213" s="49" t="s">
        <v>3672</v>
      </c>
      <c r="Q213" s="49">
        <v>0</v>
      </c>
      <c r="R213" s="49" t="s">
        <v>3673</v>
      </c>
      <c r="S213" s="49" t="s">
        <v>3674</v>
      </c>
      <c r="T213" s="49" t="s">
        <v>3675</v>
      </c>
      <c r="U213" s="49" t="s">
        <v>655</v>
      </c>
      <c r="V213" s="49" t="e">
        <v>#REF!</v>
      </c>
      <c r="AC213" s="49"/>
      <c r="AD213" s="49"/>
    </row>
    <row r="214" spans="1:30" hidden="1" x14ac:dyDescent="0.3">
      <c r="A214" s="49" t="s">
        <v>3676</v>
      </c>
      <c r="B214" s="49">
        <v>0</v>
      </c>
      <c r="C214" s="49"/>
      <c r="D214" s="72" t="e">
        <v>#N/A</v>
      </c>
      <c r="E214" s="73">
        <v>0</v>
      </c>
      <c r="F214" s="49"/>
      <c r="G214" s="49"/>
      <c r="H214" s="49" t="s">
        <v>3677</v>
      </c>
      <c r="I214" s="49" t="s">
        <v>3680</v>
      </c>
      <c r="J214" s="49" t="s">
        <v>3678</v>
      </c>
      <c r="K214" s="49" t="s">
        <v>3679</v>
      </c>
      <c r="L214" s="49">
        <v>0</v>
      </c>
      <c r="M214" s="49" t="s">
        <v>1745</v>
      </c>
      <c r="N214" s="49" t="s">
        <v>3681</v>
      </c>
      <c r="O214" s="49">
        <v>3</v>
      </c>
      <c r="P214" s="49" t="s">
        <v>3682</v>
      </c>
      <c r="Q214" s="49">
        <v>0</v>
      </c>
      <c r="R214" s="49" t="s">
        <v>646</v>
      </c>
      <c r="S214" s="49" t="s">
        <v>3683</v>
      </c>
      <c r="T214" s="49" t="s">
        <v>3684</v>
      </c>
      <c r="U214" s="49" t="s">
        <v>655</v>
      </c>
      <c r="V214" s="49" t="e">
        <v>#REF!</v>
      </c>
      <c r="AC214" s="49"/>
      <c r="AD214" s="49"/>
    </row>
    <row r="215" spans="1:30" hidden="1" x14ac:dyDescent="0.3">
      <c r="A215" s="49" t="s">
        <v>3685</v>
      </c>
      <c r="B215" s="49">
        <v>0</v>
      </c>
      <c r="C215" s="49"/>
      <c r="D215" s="72" t="e">
        <v>#N/A</v>
      </c>
      <c r="E215" s="73">
        <v>0</v>
      </c>
      <c r="F215" s="49"/>
      <c r="G215" s="49"/>
      <c r="H215" s="49" t="s">
        <v>3686</v>
      </c>
      <c r="I215" s="49" t="s">
        <v>3689</v>
      </c>
      <c r="J215" s="49" t="s">
        <v>3687</v>
      </c>
      <c r="K215" s="49" t="s">
        <v>3688</v>
      </c>
      <c r="L215" s="49">
        <v>0</v>
      </c>
      <c r="M215" s="49" t="s">
        <v>1745</v>
      </c>
      <c r="N215" s="49" t="s">
        <v>3690</v>
      </c>
      <c r="P215" s="49" t="s">
        <v>3691</v>
      </c>
      <c r="Q215" s="49">
        <v>0</v>
      </c>
      <c r="R215" s="49" t="s">
        <v>3692</v>
      </c>
      <c r="S215" s="49" t="s">
        <v>3693</v>
      </c>
      <c r="T215" s="49" t="s">
        <v>646</v>
      </c>
      <c r="U215" s="49" t="s">
        <v>670</v>
      </c>
      <c r="V215" s="49" t="e">
        <v>#REF!</v>
      </c>
      <c r="AC215" s="49"/>
      <c r="AD215" s="49"/>
    </row>
    <row r="216" spans="1:30" hidden="1" x14ac:dyDescent="0.3">
      <c r="A216" s="49" t="s">
        <v>3694</v>
      </c>
      <c r="B216" s="49">
        <v>0</v>
      </c>
      <c r="C216" s="49"/>
      <c r="D216" s="72" t="e">
        <v>#N/A</v>
      </c>
      <c r="E216" s="73">
        <v>0</v>
      </c>
      <c r="F216" s="49"/>
      <c r="G216" s="49"/>
      <c r="H216" s="49" t="s">
        <v>3695</v>
      </c>
      <c r="I216" s="49" t="s">
        <v>3698</v>
      </c>
      <c r="J216" s="49" t="s">
        <v>3696</v>
      </c>
      <c r="K216" s="49" t="s">
        <v>3697</v>
      </c>
      <c r="L216" s="49">
        <v>0</v>
      </c>
      <c r="M216" s="49" t="s">
        <v>1734</v>
      </c>
      <c r="N216" s="49" t="s">
        <v>3699</v>
      </c>
      <c r="P216" s="49" t="s">
        <v>3700</v>
      </c>
      <c r="Q216" s="49">
        <v>0</v>
      </c>
      <c r="R216" s="49" t="s">
        <v>3701</v>
      </c>
      <c r="S216" s="49" t="s">
        <v>3702</v>
      </c>
      <c r="T216" s="49" t="s">
        <v>3703</v>
      </c>
      <c r="U216" s="49" t="s">
        <v>655</v>
      </c>
      <c r="V216" s="49" t="e">
        <v>#REF!</v>
      </c>
      <c r="AC216" s="49"/>
      <c r="AD216" s="49"/>
    </row>
    <row r="217" spans="1:30" hidden="1" x14ac:dyDescent="0.3">
      <c r="A217" s="49" t="s">
        <v>3704</v>
      </c>
      <c r="B217" s="49">
        <v>0</v>
      </c>
      <c r="C217" s="49"/>
      <c r="D217" s="72" t="e">
        <v>#N/A</v>
      </c>
      <c r="E217" s="73">
        <v>0</v>
      </c>
      <c r="F217" s="49"/>
      <c r="G217" s="49"/>
      <c r="H217" s="49" t="s">
        <v>3705</v>
      </c>
      <c r="I217" s="49" t="s">
        <v>3708</v>
      </c>
      <c r="J217" s="49" t="s">
        <v>3706</v>
      </c>
      <c r="K217" s="49" t="s">
        <v>3707</v>
      </c>
      <c r="L217" s="49">
        <v>0</v>
      </c>
      <c r="M217" s="49" t="s">
        <v>1734</v>
      </c>
      <c r="N217" s="49" t="s">
        <v>3709</v>
      </c>
      <c r="P217" s="49" t="s">
        <v>3710</v>
      </c>
      <c r="Q217" s="49">
        <v>0</v>
      </c>
      <c r="R217" s="49" t="s">
        <v>3711</v>
      </c>
      <c r="S217" s="49" t="s">
        <v>3712</v>
      </c>
      <c r="T217" s="49" t="s">
        <v>3713</v>
      </c>
      <c r="U217" s="49" t="s">
        <v>655</v>
      </c>
      <c r="V217" s="49" t="e">
        <v>#REF!</v>
      </c>
      <c r="AC217" s="49"/>
      <c r="AD217" s="49"/>
    </row>
    <row r="218" spans="1:30" hidden="1" x14ac:dyDescent="0.3">
      <c r="A218" s="49" t="s">
        <v>3714</v>
      </c>
      <c r="B218" s="49">
        <v>0</v>
      </c>
      <c r="C218" s="49"/>
      <c r="D218" s="72" t="e">
        <v>#N/A</v>
      </c>
      <c r="E218" s="73">
        <v>0</v>
      </c>
      <c r="F218" s="49"/>
      <c r="G218" s="49"/>
      <c r="H218" s="49" t="s">
        <v>3715</v>
      </c>
      <c r="I218" s="49" t="s">
        <v>3718</v>
      </c>
      <c r="J218" s="49" t="s">
        <v>3716</v>
      </c>
      <c r="K218" s="49" t="s">
        <v>3717</v>
      </c>
      <c r="L218" s="49">
        <v>0</v>
      </c>
      <c r="M218" s="49" t="s">
        <v>1745</v>
      </c>
      <c r="N218" s="49" t="s">
        <v>1958</v>
      </c>
      <c r="O218" s="49">
        <v>5</v>
      </c>
      <c r="P218" s="49" t="s">
        <v>3719</v>
      </c>
      <c r="Q218" s="49">
        <v>0</v>
      </c>
      <c r="R218" s="49" t="s">
        <v>3720</v>
      </c>
      <c r="S218" s="49" t="s">
        <v>3721</v>
      </c>
      <c r="T218" s="49" t="s">
        <v>3722</v>
      </c>
      <c r="U218" s="49" t="s">
        <v>655</v>
      </c>
      <c r="V218" s="49" t="e">
        <v>#REF!</v>
      </c>
      <c r="AC218" s="49"/>
      <c r="AD218" s="49"/>
    </row>
    <row r="219" spans="1:30" hidden="1" x14ac:dyDescent="0.3">
      <c r="A219" s="49" t="s">
        <v>3723</v>
      </c>
      <c r="B219" s="49">
        <v>0</v>
      </c>
      <c r="C219" s="49">
        <v>0</v>
      </c>
      <c r="D219" s="72" t="e">
        <v>#N/A</v>
      </c>
      <c r="E219" s="74">
        <v>1</v>
      </c>
      <c r="F219" s="73">
        <v>1</v>
      </c>
      <c r="G219" s="49"/>
      <c r="H219" s="49" t="s">
        <v>3724</v>
      </c>
      <c r="I219" s="49" t="s">
        <v>3727</v>
      </c>
      <c r="J219" s="49" t="s">
        <v>3725</v>
      </c>
      <c r="K219" s="49" t="s">
        <v>3726</v>
      </c>
      <c r="L219" s="49">
        <v>0</v>
      </c>
      <c r="M219" s="75" t="s">
        <v>1734</v>
      </c>
      <c r="N219" s="49" t="s">
        <v>3728</v>
      </c>
      <c r="P219" s="49" t="s">
        <v>3729</v>
      </c>
      <c r="Q219" s="49">
        <v>0</v>
      </c>
      <c r="R219" s="49" t="s">
        <v>3730</v>
      </c>
      <c r="S219" s="49" t="s">
        <v>3731</v>
      </c>
      <c r="T219" s="49" t="s">
        <v>3732</v>
      </c>
      <c r="U219" s="49" t="s">
        <v>670</v>
      </c>
      <c r="V219" s="49" t="e">
        <v>#REF!</v>
      </c>
      <c r="AC219" s="49"/>
      <c r="AD219" s="49"/>
    </row>
    <row r="220" spans="1:30" hidden="1" x14ac:dyDescent="0.3">
      <c r="A220" s="49" t="s">
        <v>3733</v>
      </c>
      <c r="B220" s="49">
        <v>0</v>
      </c>
      <c r="C220" s="49"/>
      <c r="D220" s="72" t="e">
        <v>#N/A</v>
      </c>
      <c r="E220" s="74">
        <v>1</v>
      </c>
      <c r="F220" s="73">
        <v>0</v>
      </c>
      <c r="G220" s="49"/>
      <c r="H220" s="49" t="s">
        <v>3734</v>
      </c>
      <c r="I220" s="49" t="s">
        <v>3737</v>
      </c>
      <c r="J220" s="49" t="s">
        <v>3735</v>
      </c>
      <c r="K220" s="49" t="s">
        <v>3736</v>
      </c>
      <c r="L220" s="49">
        <v>0</v>
      </c>
      <c r="M220" s="49" t="s">
        <v>1734</v>
      </c>
      <c r="N220" s="49" t="s">
        <v>3738</v>
      </c>
      <c r="P220" s="49" t="s">
        <v>3739</v>
      </c>
      <c r="Q220" s="49">
        <v>0</v>
      </c>
      <c r="R220" s="49" t="s">
        <v>3740</v>
      </c>
      <c r="S220" s="49" t="s">
        <v>3741</v>
      </c>
      <c r="T220" s="49" t="s">
        <v>646</v>
      </c>
      <c r="U220" s="49" t="s">
        <v>791</v>
      </c>
      <c r="V220" s="49" t="e">
        <v>#REF!</v>
      </c>
      <c r="AC220" s="49"/>
      <c r="AD220" s="49"/>
    </row>
    <row r="221" spans="1:30" hidden="1" x14ac:dyDescent="0.3">
      <c r="A221" s="49" t="s">
        <v>3742</v>
      </c>
      <c r="B221" s="49">
        <v>0</v>
      </c>
      <c r="C221" s="49">
        <v>1</v>
      </c>
      <c r="D221" s="72" t="e">
        <v>#N/A</v>
      </c>
      <c r="E221" s="74">
        <v>1</v>
      </c>
      <c r="F221" s="73" t="s">
        <v>645</v>
      </c>
      <c r="G221" s="49">
        <v>0</v>
      </c>
      <c r="H221" s="49" t="s">
        <v>3743</v>
      </c>
      <c r="I221" s="49" t="s">
        <v>3746</v>
      </c>
      <c r="J221" s="49" t="s">
        <v>3744</v>
      </c>
      <c r="K221" s="49" t="s">
        <v>3745</v>
      </c>
      <c r="L221" s="49">
        <v>0</v>
      </c>
      <c r="M221" s="75" t="s">
        <v>1865</v>
      </c>
      <c r="N221" s="49" t="s">
        <v>3747</v>
      </c>
      <c r="O221" s="49">
        <v>1</v>
      </c>
      <c r="P221" s="49" t="s">
        <v>3748</v>
      </c>
      <c r="Q221" s="49">
        <v>0</v>
      </c>
      <c r="R221" s="49" t="s">
        <v>3749</v>
      </c>
      <c r="S221" s="49" t="s">
        <v>3750</v>
      </c>
      <c r="T221" s="49" t="s">
        <v>646</v>
      </c>
      <c r="U221" s="49" t="s">
        <v>670</v>
      </c>
      <c r="V221" s="49" t="e">
        <v>#REF!</v>
      </c>
      <c r="AC221" s="49"/>
      <c r="AD221" s="49"/>
    </row>
    <row r="222" spans="1:30" hidden="1" x14ac:dyDescent="0.3">
      <c r="A222" s="49" t="s">
        <v>1658</v>
      </c>
      <c r="B222" s="49">
        <v>0</v>
      </c>
      <c r="C222" s="49"/>
      <c r="D222" s="72" t="e">
        <v>#N/A</v>
      </c>
      <c r="E222" s="74" t="s">
        <v>645</v>
      </c>
      <c r="F222" s="73">
        <v>0</v>
      </c>
      <c r="G222" s="49"/>
      <c r="H222" s="49" t="s">
        <v>1660</v>
      </c>
      <c r="I222" s="49" t="s">
        <v>1661</v>
      </c>
      <c r="J222" s="49" t="s">
        <v>1662</v>
      </c>
      <c r="K222" s="49" t="s">
        <v>1663</v>
      </c>
      <c r="L222" s="49">
        <v>0</v>
      </c>
      <c r="M222" s="49" t="s">
        <v>3751</v>
      </c>
      <c r="N222" s="49" t="s">
        <v>1664</v>
      </c>
      <c r="O222" s="49">
        <v>6</v>
      </c>
      <c r="P222" s="49" t="s">
        <v>1665</v>
      </c>
      <c r="Q222" s="49">
        <v>0</v>
      </c>
      <c r="R222" s="49" t="s">
        <v>1666</v>
      </c>
      <c r="S222" s="49" t="s">
        <v>1667</v>
      </c>
      <c r="T222" s="49" t="s">
        <v>1668</v>
      </c>
      <c r="U222" s="49" t="s">
        <v>655</v>
      </c>
      <c r="V222" s="49" t="e">
        <v>#REF!</v>
      </c>
      <c r="AC222" s="49"/>
      <c r="AD222" s="49"/>
    </row>
    <row r="223" spans="1:30" x14ac:dyDescent="0.3">
      <c r="A223" s="49" t="s">
        <v>1669</v>
      </c>
      <c r="B223" s="49" t="s">
        <v>3752</v>
      </c>
      <c r="C223" s="49">
        <v>1</v>
      </c>
      <c r="D223" s="72" t="s">
        <v>1773</v>
      </c>
      <c r="E223" s="74" t="s">
        <v>645</v>
      </c>
      <c r="F223" s="73">
        <v>1</v>
      </c>
      <c r="G223" s="49">
        <v>1</v>
      </c>
      <c r="H223" s="49" t="s">
        <v>1671</v>
      </c>
      <c r="I223" s="49" t="s">
        <v>1672</v>
      </c>
      <c r="J223" s="49" t="s">
        <v>1673</v>
      </c>
      <c r="K223" s="49" t="s">
        <v>1674</v>
      </c>
      <c r="L223" s="49">
        <v>0</v>
      </c>
      <c r="M223" s="75" t="s">
        <v>1865</v>
      </c>
      <c r="N223" s="49" t="s">
        <v>1675</v>
      </c>
      <c r="P223" s="49" t="s">
        <v>1676</v>
      </c>
      <c r="Q223" s="49">
        <v>0</v>
      </c>
      <c r="R223" s="49" t="s">
        <v>1677</v>
      </c>
      <c r="S223" s="49" t="s">
        <v>1678</v>
      </c>
      <c r="T223" s="49" t="s">
        <v>1679</v>
      </c>
      <c r="U223" s="49" t="s">
        <v>655</v>
      </c>
      <c r="V223" s="49" t="e">
        <v>#REF!</v>
      </c>
      <c r="AC223" s="49"/>
      <c r="AD223" s="49"/>
    </row>
    <row r="224" spans="1:30" hidden="1" x14ac:dyDescent="0.3">
      <c r="A224" s="49" t="s">
        <v>1690</v>
      </c>
      <c r="B224" s="49" t="s">
        <v>1691</v>
      </c>
      <c r="C224" s="49" t="s">
        <v>3753</v>
      </c>
      <c r="D224" s="72" t="e">
        <v>#N/A</v>
      </c>
      <c r="E224" s="74" t="s">
        <v>3754</v>
      </c>
      <c r="F224" s="73" t="s">
        <v>3753</v>
      </c>
      <c r="G224" s="49" t="s">
        <v>3753</v>
      </c>
      <c r="H224" s="49" t="s">
        <v>1692</v>
      </c>
      <c r="I224" s="49" t="s">
        <v>1693</v>
      </c>
      <c r="J224" s="49" t="s">
        <v>3755</v>
      </c>
      <c r="K224" s="49" t="s">
        <v>1695</v>
      </c>
      <c r="L224" s="49">
        <v>0</v>
      </c>
      <c r="M224" s="75" t="s">
        <v>1865</v>
      </c>
      <c r="N224" s="49" t="s">
        <v>1696</v>
      </c>
      <c r="O224" s="49">
        <v>2</v>
      </c>
      <c r="P224" s="49" t="s">
        <v>1697</v>
      </c>
      <c r="Q224" s="49">
        <v>0</v>
      </c>
      <c r="R224" s="49" t="s">
        <v>1698</v>
      </c>
      <c r="S224" s="49" t="s">
        <v>1699</v>
      </c>
      <c r="T224" s="49" t="s">
        <v>1700</v>
      </c>
      <c r="U224" s="49" t="s">
        <v>655</v>
      </c>
      <c r="V224" s="49" t="e">
        <v>#REF!</v>
      </c>
      <c r="AC224" s="49"/>
      <c r="AD224" s="49"/>
    </row>
    <row r="225" spans="1:30" hidden="1" x14ac:dyDescent="0.3">
      <c r="A225" s="49" t="s">
        <v>3756</v>
      </c>
      <c r="B225" s="49">
        <v>0</v>
      </c>
      <c r="C225" s="49"/>
      <c r="D225" s="72" t="e">
        <v>#N/A</v>
      </c>
      <c r="E225" s="74" t="s">
        <v>645</v>
      </c>
      <c r="F225" s="73">
        <v>0</v>
      </c>
      <c r="G225" s="49"/>
      <c r="H225" s="49" t="s">
        <v>646</v>
      </c>
      <c r="I225" s="49" t="s">
        <v>3760</v>
      </c>
      <c r="J225" s="49" t="s">
        <v>3757</v>
      </c>
      <c r="K225" s="49" t="s">
        <v>3758</v>
      </c>
      <c r="L225" s="49">
        <v>0</v>
      </c>
      <c r="M225" s="49" t="s">
        <v>3759</v>
      </c>
      <c r="N225" s="49" t="s">
        <v>3761</v>
      </c>
      <c r="P225" s="49" t="s">
        <v>3762</v>
      </c>
      <c r="Q225" s="49">
        <v>0</v>
      </c>
      <c r="R225" s="49" t="s">
        <v>3763</v>
      </c>
      <c r="S225" s="49" t="s">
        <v>3764</v>
      </c>
      <c r="T225" s="49" t="s">
        <v>3765</v>
      </c>
      <c r="U225" s="49" t="s">
        <v>655</v>
      </c>
      <c r="V225" s="49" t="e">
        <v>#REF!</v>
      </c>
      <c r="AC225" s="49"/>
      <c r="AD225" s="49"/>
    </row>
    <row r="226" spans="1:30" hidden="1" x14ac:dyDescent="0.3">
      <c r="A226" s="49" t="s">
        <v>3766</v>
      </c>
      <c r="B226" s="49">
        <v>0</v>
      </c>
      <c r="C226" s="49"/>
      <c r="D226" s="72" t="e">
        <v>#N/A</v>
      </c>
      <c r="E226" s="74" t="s">
        <v>645</v>
      </c>
      <c r="F226" s="73">
        <v>0</v>
      </c>
      <c r="G226" s="49"/>
      <c r="H226" s="49" t="s">
        <v>3767</v>
      </c>
      <c r="I226" s="49" t="s">
        <v>3770</v>
      </c>
      <c r="J226" s="49" t="s">
        <v>3768</v>
      </c>
      <c r="K226" s="49" t="s">
        <v>3769</v>
      </c>
      <c r="L226" s="49">
        <v>0</v>
      </c>
      <c r="M226" s="49" t="s">
        <v>1865</v>
      </c>
      <c r="N226" s="49" t="s">
        <v>3771</v>
      </c>
      <c r="O226" s="49">
        <v>2</v>
      </c>
      <c r="P226" s="49" t="s">
        <v>3772</v>
      </c>
      <c r="Q226" s="49">
        <v>0</v>
      </c>
      <c r="R226" s="49" t="s">
        <v>3773</v>
      </c>
      <c r="S226" s="49" t="s">
        <v>3774</v>
      </c>
      <c r="T226" s="49" t="s">
        <v>646</v>
      </c>
      <c r="U226" s="49" t="s">
        <v>655</v>
      </c>
      <c r="V226" s="49" t="e">
        <v>#REF!</v>
      </c>
      <c r="AC226" s="49"/>
      <c r="AD226" s="49"/>
    </row>
    <row r="227" spans="1:30" hidden="1" x14ac:dyDescent="0.3">
      <c r="A227" s="49" t="s">
        <v>3775</v>
      </c>
      <c r="B227" s="49">
        <v>0</v>
      </c>
      <c r="C227" s="49"/>
      <c r="D227" s="72" t="e">
        <v>#N/A</v>
      </c>
      <c r="E227" s="74">
        <v>1</v>
      </c>
      <c r="F227" s="73">
        <v>0</v>
      </c>
      <c r="G227" s="49"/>
      <c r="H227" s="49" t="s">
        <v>3776</v>
      </c>
      <c r="I227" s="49" t="s">
        <v>3779</v>
      </c>
      <c r="J227" s="49" t="s">
        <v>3777</v>
      </c>
      <c r="K227" s="49" t="s">
        <v>3778</v>
      </c>
      <c r="L227" s="49">
        <v>0</v>
      </c>
      <c r="M227" s="49" t="s">
        <v>1865</v>
      </c>
      <c r="N227" s="49" t="s">
        <v>3780</v>
      </c>
      <c r="O227" s="49">
        <v>4</v>
      </c>
      <c r="P227" s="49" t="s">
        <v>3781</v>
      </c>
      <c r="Q227" s="49">
        <v>0</v>
      </c>
      <c r="R227" s="49" t="s">
        <v>3782</v>
      </c>
      <c r="S227" s="49" t="s">
        <v>3783</v>
      </c>
      <c r="T227" s="49" t="s">
        <v>3784</v>
      </c>
      <c r="U227" s="49" t="s">
        <v>670</v>
      </c>
      <c r="V227" s="49" t="e">
        <v>#REF!</v>
      </c>
      <c r="AC227" s="49"/>
      <c r="AD227" s="49"/>
    </row>
    <row r="228" spans="1:30" hidden="1" x14ac:dyDescent="0.3">
      <c r="A228" s="49" t="s">
        <v>3785</v>
      </c>
      <c r="B228" s="49">
        <v>0</v>
      </c>
      <c r="C228" s="49"/>
      <c r="D228" s="72" t="e">
        <v>#N/A</v>
      </c>
      <c r="E228" s="74">
        <v>1</v>
      </c>
      <c r="F228" s="73">
        <v>0</v>
      </c>
      <c r="G228" s="49"/>
      <c r="H228" s="49" t="s">
        <v>646</v>
      </c>
      <c r="I228" s="49" t="s">
        <v>3789</v>
      </c>
      <c r="J228" s="49" t="s">
        <v>3786</v>
      </c>
      <c r="K228" s="49" t="s">
        <v>3787</v>
      </c>
      <c r="L228" s="49">
        <v>0</v>
      </c>
      <c r="M228" s="49" t="s">
        <v>3788</v>
      </c>
      <c r="N228" s="49" t="s">
        <v>3790</v>
      </c>
      <c r="P228" s="49" t="s">
        <v>3791</v>
      </c>
      <c r="Q228" s="49">
        <v>0</v>
      </c>
      <c r="R228" s="49" t="s">
        <v>646</v>
      </c>
      <c r="S228" s="49" t="s">
        <v>3792</v>
      </c>
      <c r="T228" s="49" t="s">
        <v>3792</v>
      </c>
      <c r="U228" s="49" t="s">
        <v>655</v>
      </c>
      <c r="V228" s="49" t="e">
        <v>#REF!</v>
      </c>
      <c r="AC228" s="49"/>
      <c r="AD228" s="49"/>
    </row>
    <row r="229" spans="1:30" hidden="1" x14ac:dyDescent="0.3">
      <c r="A229" s="49" t="s">
        <v>1647</v>
      </c>
      <c r="B229" s="49">
        <v>0</v>
      </c>
      <c r="C229" s="49"/>
      <c r="D229" s="72" t="e">
        <v>#N/A</v>
      </c>
      <c r="E229" s="74">
        <v>1</v>
      </c>
      <c r="F229" s="73">
        <v>0</v>
      </c>
      <c r="G229" s="49"/>
      <c r="H229" s="49" t="s">
        <v>1649</v>
      </c>
      <c r="I229" s="49" t="s">
        <v>1650</v>
      </c>
      <c r="J229" s="49" t="s">
        <v>1651</v>
      </c>
      <c r="K229" s="49" t="s">
        <v>1652</v>
      </c>
      <c r="L229" s="49">
        <v>0</v>
      </c>
      <c r="M229" s="49" t="s">
        <v>1865</v>
      </c>
      <c r="N229" s="49" t="s">
        <v>1653</v>
      </c>
      <c r="O229" s="49">
        <v>8</v>
      </c>
      <c r="P229" s="49" t="s">
        <v>1654</v>
      </c>
      <c r="Q229" s="49">
        <v>0</v>
      </c>
      <c r="R229" s="49" t="s">
        <v>1655</v>
      </c>
      <c r="S229" s="49" t="s">
        <v>1656</v>
      </c>
      <c r="T229" s="49" t="s">
        <v>3793</v>
      </c>
      <c r="U229" s="49" t="s">
        <v>646</v>
      </c>
      <c r="V229" s="49" t="e">
        <v>#REF!</v>
      </c>
      <c r="AC229" s="49"/>
      <c r="AD229" s="49"/>
    </row>
    <row r="230" spans="1:30" hidden="1" x14ac:dyDescent="0.3">
      <c r="A230" s="49" t="s">
        <v>3794</v>
      </c>
      <c r="B230" s="49">
        <v>0</v>
      </c>
      <c r="C230" s="49"/>
      <c r="D230" s="72" t="e">
        <v>#N/A</v>
      </c>
      <c r="E230" s="49">
        <v>0</v>
      </c>
      <c r="F230" s="49"/>
      <c r="G230" s="49"/>
      <c r="H230" s="49" t="s">
        <v>3795</v>
      </c>
      <c r="I230" s="49" t="s">
        <v>3799</v>
      </c>
      <c r="J230" s="49" t="s">
        <v>3796</v>
      </c>
      <c r="K230" s="49" t="s">
        <v>3797</v>
      </c>
      <c r="L230" s="49">
        <v>0</v>
      </c>
      <c r="M230" s="49" t="s">
        <v>3798</v>
      </c>
      <c r="N230" s="49" t="s">
        <v>3800</v>
      </c>
      <c r="O230" s="49">
        <v>23</v>
      </c>
      <c r="P230" s="49" t="s">
        <v>3801</v>
      </c>
      <c r="Q230" s="49">
        <v>0</v>
      </c>
      <c r="R230" s="49" t="s">
        <v>3802</v>
      </c>
      <c r="S230" s="49" t="s">
        <v>3803</v>
      </c>
      <c r="T230" s="49" t="s">
        <v>646</v>
      </c>
      <c r="U230" s="49" t="s">
        <v>655</v>
      </c>
      <c r="V230" s="49" t="e">
        <v>#REF!</v>
      </c>
      <c r="AC230" s="49"/>
      <c r="AD230" s="49"/>
    </row>
    <row r="231" spans="1:30" hidden="1" x14ac:dyDescent="0.3">
      <c r="A231" s="49" t="s">
        <v>3804</v>
      </c>
      <c r="B231" s="49">
        <v>0</v>
      </c>
      <c r="C231" s="49"/>
      <c r="D231" s="72" t="e">
        <v>#N/A</v>
      </c>
      <c r="E231" s="49">
        <v>0</v>
      </c>
      <c r="F231" s="49"/>
      <c r="G231" s="49"/>
      <c r="H231" s="49" t="s">
        <v>3805</v>
      </c>
      <c r="I231" s="49" t="s">
        <v>3808</v>
      </c>
      <c r="J231" s="49" t="s">
        <v>3806</v>
      </c>
      <c r="K231" s="49" t="s">
        <v>3807</v>
      </c>
      <c r="L231" s="49">
        <v>0</v>
      </c>
      <c r="M231" s="49" t="s">
        <v>1865</v>
      </c>
      <c r="N231" s="49" t="s">
        <v>3809</v>
      </c>
      <c r="O231" s="49">
        <v>1</v>
      </c>
      <c r="P231" s="49" t="s">
        <v>3810</v>
      </c>
      <c r="Q231" s="49">
        <v>0</v>
      </c>
      <c r="R231" s="49" t="s">
        <v>3811</v>
      </c>
      <c r="S231" s="49" t="s">
        <v>3812</v>
      </c>
      <c r="T231" s="49" t="s">
        <v>3813</v>
      </c>
      <c r="U231" s="49" t="s">
        <v>655</v>
      </c>
      <c r="V231" s="49" t="e">
        <v>#REF!</v>
      </c>
      <c r="AC231" s="49"/>
      <c r="AD231" s="49"/>
    </row>
    <row r="232" spans="1:30" hidden="1" x14ac:dyDescent="0.3">
      <c r="A232" s="49" t="s">
        <v>3814</v>
      </c>
      <c r="B232" s="49">
        <v>0</v>
      </c>
      <c r="C232" s="49"/>
      <c r="D232" s="72" t="e">
        <v>#N/A</v>
      </c>
      <c r="E232" s="49">
        <v>0</v>
      </c>
      <c r="F232" s="49"/>
      <c r="G232" s="49"/>
      <c r="H232" s="49" t="s">
        <v>3815</v>
      </c>
      <c r="I232" s="49" t="s">
        <v>3818</v>
      </c>
      <c r="J232" s="49" t="s">
        <v>3816</v>
      </c>
      <c r="K232" s="49" t="s">
        <v>3817</v>
      </c>
      <c r="L232" s="49">
        <v>0</v>
      </c>
      <c r="M232" s="49" t="s">
        <v>1865</v>
      </c>
      <c r="N232" s="49" t="s">
        <v>2026</v>
      </c>
      <c r="O232" s="49">
        <v>1</v>
      </c>
      <c r="P232" s="49" t="s">
        <v>3819</v>
      </c>
      <c r="Q232" s="49">
        <v>0</v>
      </c>
      <c r="R232" s="49" t="s">
        <v>3820</v>
      </c>
      <c r="S232" s="49" t="s">
        <v>3821</v>
      </c>
      <c r="T232" s="49" t="s">
        <v>3822</v>
      </c>
      <c r="U232" s="49" t="s">
        <v>791</v>
      </c>
      <c r="V232" s="49" t="e">
        <v>#REF!</v>
      </c>
      <c r="AC232" s="49"/>
      <c r="AD232" s="49"/>
    </row>
    <row r="233" spans="1:30" hidden="1" x14ac:dyDescent="0.3">
      <c r="A233" s="49" t="s">
        <v>3823</v>
      </c>
      <c r="B233" s="49">
        <v>0</v>
      </c>
      <c r="C233" s="49"/>
      <c r="D233" s="72" t="e">
        <v>#N/A</v>
      </c>
      <c r="E233" s="49">
        <v>0</v>
      </c>
      <c r="F233" s="49"/>
      <c r="G233" s="49"/>
      <c r="H233" s="49" t="s">
        <v>3824</v>
      </c>
      <c r="I233" s="49" t="s">
        <v>3827</v>
      </c>
      <c r="J233" s="49" t="s">
        <v>3825</v>
      </c>
      <c r="K233" s="49" t="s">
        <v>3826</v>
      </c>
      <c r="L233" s="49">
        <v>0</v>
      </c>
      <c r="M233" s="49" t="s">
        <v>1826</v>
      </c>
      <c r="N233" s="49" t="s">
        <v>3828</v>
      </c>
      <c r="O233" s="49">
        <v>6</v>
      </c>
      <c r="P233" s="49" t="s">
        <v>3829</v>
      </c>
      <c r="Q233" s="49">
        <v>0</v>
      </c>
      <c r="R233" s="49" t="s">
        <v>3830</v>
      </c>
      <c r="S233" s="49" t="s">
        <v>3831</v>
      </c>
      <c r="T233" s="49" t="s">
        <v>3832</v>
      </c>
      <c r="U233" s="49" t="s">
        <v>655</v>
      </c>
      <c r="V233" s="49" t="e">
        <v>#REF!</v>
      </c>
      <c r="AC233" s="49"/>
      <c r="AD233" s="49"/>
    </row>
    <row r="234" spans="1:30" hidden="1" x14ac:dyDescent="0.3">
      <c r="A234" s="49" t="s">
        <v>3833</v>
      </c>
      <c r="B234" s="49">
        <v>0</v>
      </c>
      <c r="C234" s="49"/>
      <c r="D234" s="72" t="e">
        <v>#N/A</v>
      </c>
      <c r="E234" s="49">
        <v>0</v>
      </c>
      <c r="F234" s="49"/>
      <c r="G234" s="49"/>
      <c r="H234" s="49" t="s">
        <v>3834</v>
      </c>
      <c r="I234" s="49" t="s">
        <v>3837</v>
      </c>
      <c r="J234" s="49" t="s">
        <v>3835</v>
      </c>
      <c r="K234" s="49" t="s">
        <v>3836</v>
      </c>
      <c r="L234" s="49">
        <v>0</v>
      </c>
      <c r="M234" s="49" t="s">
        <v>1865</v>
      </c>
      <c r="N234" s="49" t="s">
        <v>3838</v>
      </c>
      <c r="O234" s="49">
        <v>4</v>
      </c>
      <c r="P234" s="49" t="s">
        <v>3839</v>
      </c>
      <c r="Q234" s="49">
        <v>0</v>
      </c>
      <c r="R234" s="49" t="s">
        <v>3840</v>
      </c>
      <c r="S234" s="49" t="s">
        <v>3841</v>
      </c>
      <c r="T234" s="49" t="s">
        <v>3842</v>
      </c>
      <c r="U234" s="49" t="s">
        <v>670</v>
      </c>
      <c r="V234" s="49" t="e">
        <v>#REF!</v>
      </c>
      <c r="AC234" s="49"/>
      <c r="AD234" s="49"/>
    </row>
    <row r="235" spans="1:30" hidden="1" x14ac:dyDescent="0.3">
      <c r="A235" s="49" t="s">
        <v>3843</v>
      </c>
      <c r="B235" s="49">
        <v>0</v>
      </c>
      <c r="C235" s="49"/>
      <c r="D235" s="72" t="e">
        <v>#N/A</v>
      </c>
      <c r="E235" s="49">
        <v>0</v>
      </c>
      <c r="F235" s="49"/>
      <c r="G235" s="49"/>
      <c r="H235" s="49" t="s">
        <v>3844</v>
      </c>
      <c r="I235" s="49" t="s">
        <v>3847</v>
      </c>
      <c r="J235" s="49" t="s">
        <v>3845</v>
      </c>
      <c r="K235" s="49" t="s">
        <v>3846</v>
      </c>
      <c r="L235" s="49">
        <v>0</v>
      </c>
      <c r="M235" s="49" t="s">
        <v>1865</v>
      </c>
      <c r="N235" s="49" t="s">
        <v>3771</v>
      </c>
      <c r="O235" s="49">
        <v>1</v>
      </c>
      <c r="P235" s="49" t="s">
        <v>3848</v>
      </c>
      <c r="Q235" s="49">
        <v>0</v>
      </c>
      <c r="R235" s="49" t="s">
        <v>3849</v>
      </c>
      <c r="S235" s="49" t="s">
        <v>3850</v>
      </c>
      <c r="T235" s="49" t="s">
        <v>646</v>
      </c>
      <c r="U235" s="49" t="s">
        <v>791</v>
      </c>
      <c r="V235" s="49" t="e">
        <v>#REF!</v>
      </c>
      <c r="AC235" s="49"/>
      <c r="AD235" s="49"/>
    </row>
    <row r="236" spans="1:30" hidden="1" x14ac:dyDescent="0.3">
      <c r="A236" s="49" t="s">
        <v>3851</v>
      </c>
      <c r="B236" s="49">
        <v>0</v>
      </c>
      <c r="C236" s="49"/>
      <c r="D236" s="72" t="e">
        <v>#N/A</v>
      </c>
      <c r="E236" s="49">
        <v>0</v>
      </c>
      <c r="F236" s="49"/>
      <c r="G236" s="49"/>
      <c r="H236" s="49" t="s">
        <v>3852</v>
      </c>
      <c r="I236" s="49" t="s">
        <v>3855</v>
      </c>
      <c r="J236" s="49" t="s">
        <v>3853</v>
      </c>
      <c r="K236" s="49" t="s">
        <v>3854</v>
      </c>
      <c r="L236" s="49">
        <v>0</v>
      </c>
      <c r="M236" s="49" t="s">
        <v>1865</v>
      </c>
      <c r="N236" s="49" t="s">
        <v>3856</v>
      </c>
      <c r="P236" s="49" t="s">
        <v>3857</v>
      </c>
      <c r="Q236" s="49">
        <v>0</v>
      </c>
      <c r="R236" s="49" t="s">
        <v>3858</v>
      </c>
      <c r="S236" s="49" t="s">
        <v>3859</v>
      </c>
      <c r="T236" s="49" t="s">
        <v>3860</v>
      </c>
      <c r="U236" s="49" t="s">
        <v>655</v>
      </c>
      <c r="V236" s="49" t="e">
        <v>#REF!</v>
      </c>
      <c r="AC236" s="49"/>
      <c r="AD236" s="49"/>
    </row>
    <row r="237" spans="1:30" hidden="1" x14ac:dyDescent="0.3">
      <c r="A237" s="49" t="s">
        <v>3861</v>
      </c>
      <c r="B237" s="49">
        <v>0</v>
      </c>
      <c r="C237" s="49"/>
      <c r="D237" s="72" t="e">
        <v>#N/A</v>
      </c>
      <c r="E237" s="49">
        <v>0</v>
      </c>
      <c r="F237" s="49"/>
      <c r="G237" s="49"/>
      <c r="H237" s="49" t="s">
        <v>646</v>
      </c>
      <c r="I237" s="49" t="s">
        <v>3865</v>
      </c>
      <c r="J237" s="49" t="s">
        <v>3862</v>
      </c>
      <c r="K237" s="49" t="s">
        <v>3863</v>
      </c>
      <c r="L237" s="49">
        <v>0</v>
      </c>
      <c r="M237" s="49" t="s">
        <v>3864</v>
      </c>
      <c r="N237" s="49" t="s">
        <v>3866</v>
      </c>
      <c r="O237" s="49">
        <v>2</v>
      </c>
      <c r="P237" s="49" t="s">
        <v>3867</v>
      </c>
      <c r="Q237" s="49">
        <v>0</v>
      </c>
      <c r="R237" s="49" t="s">
        <v>3868</v>
      </c>
      <c r="S237" s="49" t="s">
        <v>3869</v>
      </c>
      <c r="T237" s="49" t="s">
        <v>3870</v>
      </c>
      <c r="U237" s="49" t="s">
        <v>791</v>
      </c>
      <c r="V237" s="49" t="e">
        <v>#REF!</v>
      </c>
      <c r="AC237" s="49"/>
      <c r="AD237" s="49"/>
    </row>
    <row r="238" spans="1:30" hidden="1" x14ac:dyDescent="0.3">
      <c r="A238" s="49" t="s">
        <v>3871</v>
      </c>
      <c r="B238" s="49">
        <v>0</v>
      </c>
      <c r="C238" s="49"/>
      <c r="D238" s="72" t="e">
        <v>#N/A</v>
      </c>
      <c r="E238" s="49">
        <v>0</v>
      </c>
      <c r="F238" s="49"/>
      <c r="G238" s="49"/>
      <c r="H238" s="49" t="s">
        <v>3872</v>
      </c>
      <c r="I238" s="49" t="s">
        <v>3875</v>
      </c>
      <c r="J238" s="49" t="s">
        <v>3873</v>
      </c>
      <c r="K238" s="49" t="s">
        <v>3874</v>
      </c>
      <c r="L238" s="49">
        <v>0</v>
      </c>
      <c r="M238" s="49" t="s">
        <v>1865</v>
      </c>
      <c r="N238" s="49" t="s">
        <v>3876</v>
      </c>
      <c r="O238" s="49">
        <v>3</v>
      </c>
      <c r="P238" s="49" t="s">
        <v>3877</v>
      </c>
      <c r="Q238" s="49">
        <v>0</v>
      </c>
      <c r="R238" s="49" t="s">
        <v>3878</v>
      </c>
      <c r="S238" s="49" t="s">
        <v>3879</v>
      </c>
      <c r="T238" s="49" t="s">
        <v>3880</v>
      </c>
      <c r="U238" s="49" t="s">
        <v>655</v>
      </c>
      <c r="V238" s="49" t="e">
        <v>#REF!</v>
      </c>
      <c r="AC238" s="49"/>
      <c r="AD238" s="49"/>
    </row>
    <row r="239" spans="1:30" hidden="1" x14ac:dyDescent="0.3">
      <c r="A239" s="49" t="s">
        <v>3881</v>
      </c>
      <c r="B239" s="49">
        <v>0</v>
      </c>
      <c r="C239" s="49"/>
      <c r="D239" s="72" t="e">
        <v>#N/A</v>
      </c>
      <c r="E239" s="49">
        <v>0</v>
      </c>
      <c r="F239" s="49"/>
      <c r="G239" s="49"/>
      <c r="H239" s="49" t="s">
        <v>3882</v>
      </c>
      <c r="I239" s="49" t="s">
        <v>3885</v>
      </c>
      <c r="J239" s="49" t="s">
        <v>3883</v>
      </c>
      <c r="K239" s="49" t="s">
        <v>3884</v>
      </c>
      <c r="L239" s="49">
        <v>0</v>
      </c>
      <c r="M239" s="49" t="s">
        <v>1865</v>
      </c>
      <c r="N239" s="49" t="s">
        <v>3142</v>
      </c>
      <c r="O239" s="49">
        <v>4</v>
      </c>
      <c r="P239" s="49" t="s">
        <v>3886</v>
      </c>
      <c r="Q239" s="49">
        <v>0</v>
      </c>
      <c r="R239" s="49" t="s">
        <v>3887</v>
      </c>
      <c r="S239" s="49" t="s">
        <v>3888</v>
      </c>
      <c r="T239" s="49" t="s">
        <v>3889</v>
      </c>
      <c r="U239" s="49" t="s">
        <v>646</v>
      </c>
      <c r="V239" s="49" t="e">
        <v>#REF!</v>
      </c>
      <c r="AC239" s="49"/>
      <c r="AD239" s="49"/>
    </row>
    <row r="240" spans="1:30" hidden="1" x14ac:dyDescent="0.3">
      <c r="A240" s="49" t="s">
        <v>3890</v>
      </c>
      <c r="B240" s="49">
        <v>0</v>
      </c>
      <c r="C240" s="49"/>
      <c r="D240" s="72" t="e">
        <v>#N/A</v>
      </c>
      <c r="E240" s="49">
        <v>0</v>
      </c>
      <c r="F240" s="49"/>
      <c r="G240" s="49"/>
      <c r="H240" s="49" t="s">
        <v>3891</v>
      </c>
      <c r="I240" s="49" t="s">
        <v>826</v>
      </c>
      <c r="J240" s="49" t="s">
        <v>827</v>
      </c>
      <c r="K240" s="49" t="s">
        <v>3892</v>
      </c>
      <c r="L240" s="49">
        <v>0</v>
      </c>
      <c r="M240" s="49" t="s">
        <v>3893</v>
      </c>
      <c r="N240" s="49" t="s">
        <v>3894</v>
      </c>
      <c r="P240" s="49" t="s">
        <v>3895</v>
      </c>
      <c r="Q240" s="49">
        <v>0</v>
      </c>
      <c r="R240" s="49" t="s">
        <v>646</v>
      </c>
      <c r="S240" s="49" t="s">
        <v>646</v>
      </c>
      <c r="T240" s="49" t="s">
        <v>646</v>
      </c>
      <c r="U240" s="49" t="s">
        <v>655</v>
      </c>
      <c r="V240" s="49" t="e">
        <v>#REF!</v>
      </c>
      <c r="AC240" s="49"/>
      <c r="AD240" s="49"/>
    </row>
    <row r="241" spans="1:30" hidden="1" x14ac:dyDescent="0.3">
      <c r="A241" s="49" t="s">
        <v>3896</v>
      </c>
      <c r="B241" s="49">
        <v>0</v>
      </c>
      <c r="C241" s="49"/>
      <c r="D241" s="72" t="e">
        <v>#N/A</v>
      </c>
      <c r="E241" s="49">
        <v>0</v>
      </c>
      <c r="F241" s="49"/>
      <c r="G241" s="49"/>
      <c r="H241" s="49" t="s">
        <v>3897</v>
      </c>
      <c r="I241" s="49" t="s">
        <v>3900</v>
      </c>
      <c r="J241" s="49" t="s">
        <v>3898</v>
      </c>
      <c r="K241" s="49" t="s">
        <v>3899</v>
      </c>
      <c r="L241" s="49">
        <v>0</v>
      </c>
      <c r="M241" s="49" t="s">
        <v>1745</v>
      </c>
      <c r="N241" s="49" t="s">
        <v>3901</v>
      </c>
      <c r="O241" s="49">
        <v>2</v>
      </c>
      <c r="P241" s="49" t="s">
        <v>3902</v>
      </c>
      <c r="Q241" s="49">
        <v>0</v>
      </c>
      <c r="R241" s="49" t="s">
        <v>3903</v>
      </c>
      <c r="S241" s="49" t="s">
        <v>3904</v>
      </c>
      <c r="T241" s="49" t="s">
        <v>3905</v>
      </c>
      <c r="U241" s="49" t="s">
        <v>655</v>
      </c>
      <c r="V241" s="49" t="e">
        <v>#REF!</v>
      </c>
      <c r="AC241" s="49"/>
      <c r="AD241" s="49"/>
    </row>
    <row r="242" spans="1:30" hidden="1" x14ac:dyDescent="0.3">
      <c r="A242" s="49" t="s">
        <v>3906</v>
      </c>
      <c r="B242" s="49">
        <v>0</v>
      </c>
      <c r="C242" s="49"/>
      <c r="D242" s="72" t="e">
        <v>#N/A</v>
      </c>
      <c r="E242" s="49">
        <v>0</v>
      </c>
      <c r="F242" s="49"/>
      <c r="G242" s="49"/>
      <c r="H242" s="49" t="s">
        <v>3907</v>
      </c>
      <c r="I242" s="49" t="s">
        <v>3910</v>
      </c>
      <c r="J242" s="49" t="s">
        <v>3908</v>
      </c>
      <c r="K242" s="49" t="s">
        <v>3909</v>
      </c>
      <c r="L242" s="49">
        <v>0</v>
      </c>
      <c r="M242" s="49" t="s">
        <v>1865</v>
      </c>
      <c r="N242" s="49" t="s">
        <v>3911</v>
      </c>
      <c r="O242" s="49">
        <v>12</v>
      </c>
      <c r="P242" s="49" t="s">
        <v>3912</v>
      </c>
      <c r="Q242" s="49">
        <v>0</v>
      </c>
      <c r="R242" s="49" t="s">
        <v>3913</v>
      </c>
      <c r="S242" s="49" t="s">
        <v>3914</v>
      </c>
      <c r="T242" s="49" t="s">
        <v>3915</v>
      </c>
      <c r="U242" s="49" t="s">
        <v>655</v>
      </c>
      <c r="V242" s="49" t="e">
        <v>#REF!</v>
      </c>
      <c r="AC242" s="49"/>
      <c r="AD242" s="49"/>
    </row>
    <row r="243" spans="1:30" hidden="1" x14ac:dyDescent="0.3">
      <c r="A243" s="49" t="s">
        <v>3916</v>
      </c>
      <c r="B243" s="49">
        <v>0</v>
      </c>
      <c r="C243" s="49"/>
      <c r="D243" s="72" t="e">
        <v>#N/A</v>
      </c>
      <c r="E243" s="49">
        <v>0</v>
      </c>
      <c r="F243" s="49"/>
      <c r="G243" s="49"/>
      <c r="H243" s="49" t="s">
        <v>3917</v>
      </c>
      <c r="I243" s="49" t="s">
        <v>3920</v>
      </c>
      <c r="J243" s="49" t="s">
        <v>3918</v>
      </c>
      <c r="K243" s="49" t="s">
        <v>3919</v>
      </c>
      <c r="L243" s="49">
        <v>0</v>
      </c>
      <c r="M243" s="49" t="s">
        <v>1865</v>
      </c>
      <c r="N243" s="49" t="s">
        <v>3921</v>
      </c>
      <c r="O243" s="49">
        <v>6</v>
      </c>
      <c r="P243" s="49" t="s">
        <v>3922</v>
      </c>
      <c r="Q243" s="49">
        <v>0</v>
      </c>
      <c r="R243" s="49" t="s">
        <v>3923</v>
      </c>
      <c r="S243" s="49" t="s">
        <v>3924</v>
      </c>
      <c r="T243" s="49" t="s">
        <v>3925</v>
      </c>
      <c r="U243" s="49" t="s">
        <v>655</v>
      </c>
      <c r="V243" s="49" t="e">
        <v>#REF!</v>
      </c>
      <c r="AC243" s="49"/>
      <c r="AD243" s="49"/>
    </row>
    <row r="244" spans="1:30" hidden="1" x14ac:dyDescent="0.3">
      <c r="A244" s="49" t="s">
        <v>3926</v>
      </c>
      <c r="B244" s="49">
        <v>0</v>
      </c>
      <c r="C244" s="49"/>
      <c r="D244" s="72" t="e">
        <v>#N/A</v>
      </c>
      <c r="E244" s="49">
        <v>0</v>
      </c>
      <c r="F244" s="49"/>
      <c r="G244" s="49"/>
      <c r="H244" s="49" t="s">
        <v>3927</v>
      </c>
      <c r="I244" s="49" t="s">
        <v>3930</v>
      </c>
      <c r="J244" s="49" t="s">
        <v>3928</v>
      </c>
      <c r="K244" s="49" t="s">
        <v>3929</v>
      </c>
      <c r="L244" s="49">
        <v>0</v>
      </c>
      <c r="M244" s="49" t="s">
        <v>1865</v>
      </c>
      <c r="N244" s="49" t="s">
        <v>2865</v>
      </c>
      <c r="O244" s="49">
        <v>5</v>
      </c>
      <c r="P244" s="49" t="s">
        <v>3931</v>
      </c>
      <c r="Q244" s="49">
        <v>0</v>
      </c>
      <c r="R244" s="49" t="s">
        <v>3932</v>
      </c>
      <c r="S244" s="49" t="s">
        <v>3933</v>
      </c>
      <c r="T244" s="49" t="s">
        <v>3934</v>
      </c>
      <c r="U244" s="49" t="s">
        <v>670</v>
      </c>
      <c r="V244" s="49" t="e">
        <v>#REF!</v>
      </c>
      <c r="AC244" s="49"/>
      <c r="AD244" s="49"/>
    </row>
    <row r="245" spans="1:30" hidden="1" x14ac:dyDescent="0.3">
      <c r="A245" s="49" t="s">
        <v>3935</v>
      </c>
      <c r="B245" s="49">
        <v>0</v>
      </c>
      <c r="C245" s="49"/>
      <c r="D245" s="72" t="e">
        <v>#N/A</v>
      </c>
      <c r="E245" s="49">
        <v>0</v>
      </c>
      <c r="F245" s="49"/>
      <c r="G245" s="49"/>
      <c r="H245" s="49" t="s">
        <v>3936</v>
      </c>
      <c r="I245" s="49" t="s">
        <v>3939</v>
      </c>
      <c r="J245" s="49" t="s">
        <v>3937</v>
      </c>
      <c r="K245" s="49" t="s">
        <v>3938</v>
      </c>
      <c r="L245" s="49">
        <v>0</v>
      </c>
      <c r="M245" s="49" t="s">
        <v>1865</v>
      </c>
      <c r="N245" s="49" t="s">
        <v>818</v>
      </c>
      <c r="P245" s="49" t="s">
        <v>3940</v>
      </c>
      <c r="Q245" s="49">
        <v>0</v>
      </c>
      <c r="R245" s="49" t="s">
        <v>3941</v>
      </c>
      <c r="S245" s="49" t="s">
        <v>3942</v>
      </c>
      <c r="T245" s="49" t="s">
        <v>3943</v>
      </c>
      <c r="U245" s="49" t="s">
        <v>670</v>
      </c>
      <c r="V245" s="49" t="e">
        <v>#REF!</v>
      </c>
      <c r="AC245" s="49"/>
      <c r="AD245" s="49"/>
    </row>
    <row r="246" spans="1:30" hidden="1" x14ac:dyDescent="0.3">
      <c r="A246" s="49" t="s">
        <v>3944</v>
      </c>
      <c r="B246" s="49">
        <v>0</v>
      </c>
      <c r="C246" s="49"/>
      <c r="D246" s="72" t="e">
        <v>#N/A</v>
      </c>
      <c r="E246" s="49">
        <v>0</v>
      </c>
      <c r="F246" s="49"/>
      <c r="G246" s="49"/>
      <c r="H246" s="49" t="s">
        <v>3945</v>
      </c>
      <c r="I246" s="49" t="s">
        <v>3948</v>
      </c>
      <c r="J246" s="49" t="s">
        <v>3946</v>
      </c>
      <c r="K246" s="49" t="s">
        <v>3947</v>
      </c>
      <c r="L246" s="49">
        <v>0</v>
      </c>
      <c r="M246" s="49" t="s">
        <v>1865</v>
      </c>
      <c r="N246" s="49" t="s">
        <v>3949</v>
      </c>
      <c r="O246" s="49">
        <v>7</v>
      </c>
      <c r="P246" s="49" t="s">
        <v>3950</v>
      </c>
      <c r="Q246" s="49">
        <v>0</v>
      </c>
      <c r="R246" s="49" t="s">
        <v>3951</v>
      </c>
      <c r="S246" s="49" t="s">
        <v>3952</v>
      </c>
      <c r="T246" s="49" t="s">
        <v>3953</v>
      </c>
      <c r="U246" s="49" t="s">
        <v>655</v>
      </c>
      <c r="V246" s="49" t="e">
        <v>#REF!</v>
      </c>
      <c r="AC246" s="49"/>
      <c r="AD246" s="49"/>
    </row>
    <row r="247" spans="1:30" hidden="1" x14ac:dyDescent="0.3">
      <c r="A247" s="49" t="s">
        <v>3954</v>
      </c>
      <c r="B247" s="49">
        <v>0</v>
      </c>
      <c r="C247" s="49"/>
      <c r="D247" s="72" t="e">
        <v>#N/A</v>
      </c>
      <c r="E247" s="49">
        <v>0</v>
      </c>
      <c r="F247" s="49"/>
      <c r="G247" s="49"/>
      <c r="H247" s="49" t="s">
        <v>3955</v>
      </c>
      <c r="I247" s="49" t="s">
        <v>3958</v>
      </c>
      <c r="J247" s="49" t="s">
        <v>3956</v>
      </c>
      <c r="K247" s="49" t="s">
        <v>3957</v>
      </c>
      <c r="L247" s="49">
        <v>0</v>
      </c>
      <c r="M247" s="49" t="s">
        <v>1745</v>
      </c>
      <c r="N247" s="49" t="s">
        <v>3959</v>
      </c>
      <c r="O247" s="49">
        <v>8</v>
      </c>
      <c r="P247" s="49" t="s">
        <v>3960</v>
      </c>
      <c r="Q247" s="49">
        <v>0</v>
      </c>
      <c r="R247" s="49" t="s">
        <v>3961</v>
      </c>
      <c r="S247" s="49" t="s">
        <v>3962</v>
      </c>
      <c r="T247" s="49" t="s">
        <v>3963</v>
      </c>
      <c r="U247" s="49" t="s">
        <v>655</v>
      </c>
      <c r="V247" s="49" t="e">
        <v>#REF!</v>
      </c>
      <c r="AC247" s="49"/>
      <c r="AD247" s="49"/>
    </row>
    <row r="248" spans="1:30" hidden="1" x14ac:dyDescent="0.3">
      <c r="A248" s="49" t="s">
        <v>3964</v>
      </c>
      <c r="B248" s="49">
        <v>0</v>
      </c>
      <c r="C248" s="49"/>
      <c r="D248" s="72" t="e">
        <v>#N/A</v>
      </c>
      <c r="E248" s="49">
        <v>0</v>
      </c>
      <c r="F248" s="49"/>
      <c r="G248" s="49"/>
      <c r="H248" s="49" t="s">
        <v>3965</v>
      </c>
      <c r="I248" s="49" t="s">
        <v>3968</v>
      </c>
      <c r="J248" s="49" t="s">
        <v>3966</v>
      </c>
      <c r="K248" s="49" t="s">
        <v>3967</v>
      </c>
      <c r="L248" s="49">
        <v>0</v>
      </c>
      <c r="M248" s="49" t="s">
        <v>1734</v>
      </c>
      <c r="N248" s="49" t="s">
        <v>2016</v>
      </c>
      <c r="O248" s="49">
        <v>1</v>
      </c>
      <c r="P248" s="49" t="s">
        <v>3969</v>
      </c>
      <c r="Q248" s="49">
        <v>0</v>
      </c>
      <c r="R248" s="49" t="s">
        <v>3970</v>
      </c>
      <c r="S248" s="49" t="s">
        <v>3971</v>
      </c>
      <c r="T248" s="49" t="s">
        <v>3972</v>
      </c>
      <c r="U248" s="49" t="s">
        <v>655</v>
      </c>
      <c r="V248" s="49" t="e">
        <v>#REF!</v>
      </c>
      <c r="AC248" s="49"/>
      <c r="AD248" s="49"/>
    </row>
    <row r="249" spans="1:30" hidden="1" x14ac:dyDescent="0.3">
      <c r="A249" s="49" t="s">
        <v>3973</v>
      </c>
      <c r="B249" s="49">
        <v>0</v>
      </c>
      <c r="C249" s="49"/>
      <c r="D249" s="72" t="e">
        <v>#N/A</v>
      </c>
      <c r="E249" s="49">
        <v>0</v>
      </c>
      <c r="F249" s="49"/>
      <c r="G249" s="49"/>
      <c r="H249" s="49" t="s">
        <v>646</v>
      </c>
      <c r="I249" s="49" t="s">
        <v>826</v>
      </c>
      <c r="J249" s="49" t="s">
        <v>827</v>
      </c>
      <c r="K249" s="49" t="s">
        <v>3974</v>
      </c>
      <c r="L249" s="49">
        <v>0</v>
      </c>
      <c r="M249" s="49" t="s">
        <v>3975</v>
      </c>
      <c r="N249" s="49" t="s">
        <v>3976</v>
      </c>
      <c r="O249" s="49">
        <v>9</v>
      </c>
      <c r="P249" s="49" t="s">
        <v>3977</v>
      </c>
      <c r="Q249" s="49">
        <v>0</v>
      </c>
      <c r="R249" s="49" t="s">
        <v>646</v>
      </c>
      <c r="S249" s="49" t="s">
        <v>646</v>
      </c>
      <c r="T249" s="49" t="s">
        <v>646</v>
      </c>
      <c r="U249" s="49" t="s">
        <v>655</v>
      </c>
      <c r="V249" s="49" t="e">
        <v>#REF!</v>
      </c>
      <c r="AC249" s="49"/>
      <c r="AD249" s="49"/>
    </row>
    <row r="250" spans="1:30" hidden="1" x14ac:dyDescent="0.3">
      <c r="A250" s="49" t="s">
        <v>3978</v>
      </c>
      <c r="B250" s="49">
        <v>0</v>
      </c>
      <c r="C250" s="49"/>
      <c r="D250" s="72" t="e">
        <v>#N/A</v>
      </c>
      <c r="E250" s="49">
        <v>0</v>
      </c>
      <c r="F250" s="49"/>
      <c r="G250" s="49"/>
      <c r="H250" s="49" t="s">
        <v>3979</v>
      </c>
      <c r="I250" s="49" t="s">
        <v>3982</v>
      </c>
      <c r="J250" s="49" t="s">
        <v>3980</v>
      </c>
      <c r="K250" s="49" t="s">
        <v>3981</v>
      </c>
      <c r="L250" s="49">
        <v>0</v>
      </c>
      <c r="M250" s="49" t="s">
        <v>1745</v>
      </c>
      <c r="N250" s="49" t="s">
        <v>3983</v>
      </c>
      <c r="P250" s="49" t="s">
        <v>3984</v>
      </c>
      <c r="Q250" s="49">
        <v>0</v>
      </c>
      <c r="R250" s="49" t="s">
        <v>3985</v>
      </c>
      <c r="S250" s="49" t="s">
        <v>3986</v>
      </c>
      <c r="T250" s="49" t="s">
        <v>3987</v>
      </c>
      <c r="U250" s="49" t="s">
        <v>646</v>
      </c>
      <c r="V250" s="49" t="e">
        <v>#REF!</v>
      </c>
      <c r="AC250" s="49"/>
      <c r="AD250" s="49"/>
    </row>
    <row r="251" spans="1:30" hidden="1" x14ac:dyDescent="0.3">
      <c r="A251" s="49" t="s">
        <v>3988</v>
      </c>
      <c r="B251" s="49">
        <v>0</v>
      </c>
      <c r="C251" s="49"/>
      <c r="D251" s="72" t="e">
        <v>#N/A</v>
      </c>
      <c r="E251" s="49">
        <v>0</v>
      </c>
      <c r="F251" s="49"/>
      <c r="G251" s="49"/>
      <c r="H251" s="49" t="s">
        <v>3989</v>
      </c>
      <c r="I251" s="49" t="s">
        <v>3992</v>
      </c>
      <c r="J251" s="49" t="s">
        <v>3990</v>
      </c>
      <c r="K251" s="49" t="s">
        <v>3991</v>
      </c>
      <c r="L251" s="49">
        <v>0</v>
      </c>
      <c r="M251" s="49" t="s">
        <v>1745</v>
      </c>
      <c r="N251" s="49" t="s">
        <v>3993</v>
      </c>
      <c r="O251" s="49">
        <v>6</v>
      </c>
      <c r="P251" s="49" t="s">
        <v>3994</v>
      </c>
      <c r="Q251" s="49">
        <v>0</v>
      </c>
      <c r="R251" s="49" t="s">
        <v>3995</v>
      </c>
      <c r="S251" s="49" t="s">
        <v>3996</v>
      </c>
      <c r="T251" s="49" t="s">
        <v>3997</v>
      </c>
      <c r="U251" s="49" t="s">
        <v>655</v>
      </c>
      <c r="V251" s="49" t="e">
        <v>#REF!</v>
      </c>
      <c r="AC251" s="49"/>
      <c r="AD251" s="49"/>
    </row>
    <row r="252" spans="1:30" hidden="1" x14ac:dyDescent="0.3">
      <c r="A252" s="49" t="s">
        <v>3998</v>
      </c>
      <c r="B252" s="49">
        <v>0</v>
      </c>
      <c r="C252" s="49"/>
      <c r="D252" s="72" t="e">
        <v>#N/A</v>
      </c>
      <c r="E252" s="49">
        <v>0</v>
      </c>
      <c r="F252" s="49"/>
      <c r="G252" s="49"/>
      <c r="H252" s="49" t="s">
        <v>3999</v>
      </c>
      <c r="I252" s="49" t="s">
        <v>4002</v>
      </c>
      <c r="J252" s="49" t="s">
        <v>4000</v>
      </c>
      <c r="K252" s="49" t="s">
        <v>4001</v>
      </c>
      <c r="L252" s="49">
        <v>0</v>
      </c>
      <c r="M252" s="49" t="s">
        <v>1745</v>
      </c>
      <c r="N252" s="49" t="s">
        <v>3901</v>
      </c>
      <c r="O252" s="49">
        <v>23</v>
      </c>
      <c r="P252" s="49" t="s">
        <v>4003</v>
      </c>
      <c r="Q252" s="49">
        <v>0</v>
      </c>
      <c r="R252" s="49" t="s">
        <v>4004</v>
      </c>
      <c r="S252" s="49" t="s">
        <v>4005</v>
      </c>
      <c r="T252" s="49" t="s">
        <v>4006</v>
      </c>
      <c r="U252" s="49" t="s">
        <v>655</v>
      </c>
      <c r="V252" s="49" t="e">
        <v>#REF!</v>
      </c>
      <c r="AC252" s="49"/>
      <c r="AD252" s="49"/>
    </row>
    <row r="253" spans="1:30" hidden="1" x14ac:dyDescent="0.3">
      <c r="A253" s="49" t="s">
        <v>4007</v>
      </c>
      <c r="B253" s="49">
        <v>0</v>
      </c>
      <c r="C253" s="49"/>
      <c r="D253" s="72" t="e">
        <v>#N/A</v>
      </c>
      <c r="E253" s="49">
        <v>0</v>
      </c>
      <c r="F253" s="49"/>
      <c r="G253" s="49"/>
      <c r="H253" s="49" t="s">
        <v>646</v>
      </c>
      <c r="I253" s="49" t="s">
        <v>826</v>
      </c>
      <c r="J253" s="49" t="s">
        <v>827</v>
      </c>
      <c r="K253" s="49" t="s">
        <v>4008</v>
      </c>
      <c r="L253" s="49">
        <v>0</v>
      </c>
      <c r="M253" s="49" t="s">
        <v>1865</v>
      </c>
      <c r="N253" s="49" t="s">
        <v>687</v>
      </c>
      <c r="P253" s="49" t="s">
        <v>4009</v>
      </c>
      <c r="Q253" s="49">
        <v>0</v>
      </c>
      <c r="R253" s="49" t="s">
        <v>646</v>
      </c>
      <c r="S253" s="49" t="s">
        <v>646</v>
      </c>
      <c r="T253" s="49" t="s">
        <v>646</v>
      </c>
      <c r="U253" s="49" t="s">
        <v>830</v>
      </c>
      <c r="V253" s="49" t="e">
        <v>#REF!</v>
      </c>
      <c r="AC253" s="49"/>
      <c r="AD253" s="49"/>
    </row>
    <row r="254" spans="1:30" hidden="1" x14ac:dyDescent="0.3">
      <c r="A254" s="49" t="s">
        <v>4010</v>
      </c>
      <c r="B254" s="49">
        <v>0</v>
      </c>
      <c r="C254" s="49"/>
      <c r="D254" s="72" t="e">
        <v>#N/A</v>
      </c>
      <c r="E254" s="49">
        <v>0</v>
      </c>
      <c r="F254" s="49"/>
      <c r="G254" s="49"/>
      <c r="H254" s="49" t="s">
        <v>646</v>
      </c>
      <c r="I254" s="49" t="s">
        <v>4014</v>
      </c>
      <c r="J254" s="49" t="s">
        <v>4011</v>
      </c>
      <c r="K254" s="49" t="s">
        <v>4012</v>
      </c>
      <c r="L254" s="49">
        <v>0</v>
      </c>
      <c r="M254" s="49" t="s">
        <v>4013</v>
      </c>
      <c r="N254" s="49" t="s">
        <v>4015</v>
      </c>
      <c r="O254" s="49">
        <v>5</v>
      </c>
      <c r="P254" s="49" t="s">
        <v>4016</v>
      </c>
      <c r="Q254" s="49">
        <v>0</v>
      </c>
      <c r="R254" s="49" t="s">
        <v>646</v>
      </c>
      <c r="S254" s="49" t="s">
        <v>4017</v>
      </c>
      <c r="T254" s="49" t="s">
        <v>4018</v>
      </c>
      <c r="U254" s="49" t="s">
        <v>655</v>
      </c>
      <c r="V254" s="49" t="e">
        <v>#REF!</v>
      </c>
      <c r="AC254" s="49"/>
      <c r="AD254" s="49"/>
    </row>
    <row r="255" spans="1:30" hidden="1" x14ac:dyDescent="0.3">
      <c r="A255" s="49" t="s">
        <v>4019</v>
      </c>
      <c r="B255" s="49">
        <v>0</v>
      </c>
      <c r="C255" s="49"/>
      <c r="D255" s="72" t="e">
        <v>#N/A</v>
      </c>
      <c r="E255" s="49">
        <v>0</v>
      </c>
      <c r="F255" s="49"/>
      <c r="G255" s="49"/>
      <c r="H255" s="49" t="s">
        <v>4020</v>
      </c>
      <c r="I255" s="49" t="s">
        <v>826</v>
      </c>
      <c r="J255" s="49" t="s">
        <v>827</v>
      </c>
      <c r="K255" s="49" t="s">
        <v>2426</v>
      </c>
      <c r="L255" s="49">
        <v>0</v>
      </c>
      <c r="M255" s="49" t="s">
        <v>4021</v>
      </c>
      <c r="N255" s="49" t="s">
        <v>4022</v>
      </c>
      <c r="P255" s="49" t="s">
        <v>4023</v>
      </c>
      <c r="Q255" s="49">
        <v>0</v>
      </c>
      <c r="R255" s="49" t="s">
        <v>646</v>
      </c>
      <c r="S255" s="49" t="s">
        <v>646</v>
      </c>
      <c r="T255" s="49" t="s">
        <v>646</v>
      </c>
      <c r="U255" s="49" t="s">
        <v>655</v>
      </c>
      <c r="V255" s="49" t="e">
        <v>#REF!</v>
      </c>
      <c r="AC255" s="49"/>
      <c r="AD255" s="49"/>
    </row>
    <row r="256" spans="1:30" hidden="1" x14ac:dyDescent="0.3">
      <c r="A256" s="49" t="s">
        <v>4024</v>
      </c>
      <c r="B256" s="49">
        <v>0</v>
      </c>
      <c r="C256" s="49"/>
      <c r="D256" s="72" t="e">
        <v>#N/A</v>
      </c>
      <c r="E256" s="49">
        <v>0</v>
      </c>
      <c r="F256" s="49"/>
      <c r="G256" s="49"/>
      <c r="H256" s="49" t="s">
        <v>4025</v>
      </c>
      <c r="I256" s="49" t="s">
        <v>4028</v>
      </c>
      <c r="J256" s="49" t="s">
        <v>4026</v>
      </c>
      <c r="K256" s="49" t="s">
        <v>4027</v>
      </c>
      <c r="L256" s="49">
        <v>0</v>
      </c>
      <c r="M256" s="49" t="s">
        <v>1865</v>
      </c>
      <c r="N256" s="49" t="s">
        <v>4029</v>
      </c>
      <c r="O256" s="49">
        <v>1</v>
      </c>
      <c r="P256" s="49" t="s">
        <v>4030</v>
      </c>
      <c r="Q256" s="49">
        <v>0</v>
      </c>
      <c r="R256" s="49" t="s">
        <v>4031</v>
      </c>
      <c r="S256" s="49" t="s">
        <v>4032</v>
      </c>
      <c r="T256" s="49" t="s">
        <v>4033</v>
      </c>
      <c r="U256" s="49" t="s">
        <v>655</v>
      </c>
      <c r="V256" s="49" t="e">
        <v>#REF!</v>
      </c>
      <c r="AC256" s="49"/>
      <c r="AD256" s="49"/>
    </row>
    <row r="257" spans="1:30" hidden="1" x14ac:dyDescent="0.3">
      <c r="A257" s="49" t="s">
        <v>4034</v>
      </c>
      <c r="B257" s="49">
        <v>0</v>
      </c>
      <c r="C257" s="49"/>
      <c r="D257" s="72" t="e">
        <v>#N/A</v>
      </c>
      <c r="E257" s="49">
        <v>0</v>
      </c>
      <c r="F257" s="49"/>
      <c r="G257" s="49"/>
      <c r="H257" s="49" t="s">
        <v>4035</v>
      </c>
      <c r="I257" s="49" t="s">
        <v>4038</v>
      </c>
      <c r="J257" s="49" t="s">
        <v>4036</v>
      </c>
      <c r="K257" s="49" t="s">
        <v>4037</v>
      </c>
      <c r="L257" s="49">
        <v>0</v>
      </c>
      <c r="M257" s="49" t="s">
        <v>1745</v>
      </c>
      <c r="N257" s="49" t="s">
        <v>4039</v>
      </c>
      <c r="O257" s="49">
        <v>6</v>
      </c>
      <c r="P257" s="49" t="s">
        <v>4040</v>
      </c>
      <c r="Q257" s="49">
        <v>0</v>
      </c>
      <c r="R257" s="49" t="s">
        <v>4041</v>
      </c>
      <c r="S257" s="49" t="s">
        <v>4042</v>
      </c>
      <c r="T257" s="49" t="s">
        <v>4043</v>
      </c>
      <c r="U257" s="49" t="s">
        <v>655</v>
      </c>
      <c r="V257" s="49" t="e">
        <v>#REF!</v>
      </c>
      <c r="AC257" s="49"/>
      <c r="AD257" s="49"/>
    </row>
    <row r="258" spans="1:30" hidden="1" x14ac:dyDescent="0.3">
      <c r="A258" s="49" t="s">
        <v>4044</v>
      </c>
      <c r="B258" s="49">
        <v>0</v>
      </c>
      <c r="C258" s="49"/>
      <c r="D258" s="72" t="e">
        <v>#N/A</v>
      </c>
      <c r="E258" s="49">
        <v>0</v>
      </c>
      <c r="F258" s="49"/>
      <c r="G258" s="49"/>
      <c r="H258" s="49" t="s">
        <v>4045</v>
      </c>
      <c r="I258" s="49" t="s">
        <v>4048</v>
      </c>
      <c r="J258" s="49" t="s">
        <v>4046</v>
      </c>
      <c r="K258" s="49" t="s">
        <v>4047</v>
      </c>
      <c r="L258" s="49">
        <v>0</v>
      </c>
      <c r="M258" s="49" t="s">
        <v>1865</v>
      </c>
      <c r="N258" s="49" t="s">
        <v>3771</v>
      </c>
      <c r="O258" s="49">
        <v>6</v>
      </c>
      <c r="P258" s="49" t="s">
        <v>4049</v>
      </c>
      <c r="Q258" s="49">
        <v>0</v>
      </c>
      <c r="R258" s="49" t="s">
        <v>4050</v>
      </c>
      <c r="S258" s="49" t="s">
        <v>4051</v>
      </c>
      <c r="T258" s="49" t="s">
        <v>646</v>
      </c>
      <c r="U258" s="49" t="s">
        <v>791</v>
      </c>
      <c r="V258" s="49" t="e">
        <v>#REF!</v>
      </c>
      <c r="AC258" s="49"/>
      <c r="AD258" s="49"/>
    </row>
    <row r="259" spans="1:30" hidden="1" x14ac:dyDescent="0.3">
      <c r="A259" s="49" t="s">
        <v>4052</v>
      </c>
      <c r="B259" s="49">
        <v>0</v>
      </c>
      <c r="C259" s="49"/>
      <c r="D259" s="72" t="e">
        <v>#N/A</v>
      </c>
      <c r="E259" s="49">
        <v>0</v>
      </c>
      <c r="F259" s="49"/>
      <c r="G259" s="49"/>
      <c r="H259" s="49" t="s">
        <v>4053</v>
      </c>
      <c r="I259" s="49" t="s">
        <v>4056</v>
      </c>
      <c r="J259" s="49" t="s">
        <v>4054</v>
      </c>
      <c r="K259" s="49" t="s">
        <v>4055</v>
      </c>
      <c r="L259" s="49">
        <v>0</v>
      </c>
      <c r="M259" s="49" t="s">
        <v>1865</v>
      </c>
      <c r="N259" s="49" t="s">
        <v>4057</v>
      </c>
      <c r="P259" s="49" t="s">
        <v>4058</v>
      </c>
      <c r="Q259" s="49">
        <v>0</v>
      </c>
      <c r="R259" s="49" t="s">
        <v>4059</v>
      </c>
      <c r="S259" s="49" t="s">
        <v>4060</v>
      </c>
      <c r="T259" s="49" t="s">
        <v>646</v>
      </c>
      <c r="U259" s="49" t="s">
        <v>670</v>
      </c>
      <c r="V259" s="49" t="e">
        <v>#REF!</v>
      </c>
      <c r="AC259" s="49"/>
      <c r="AD259" s="49"/>
    </row>
    <row r="260" spans="1:30" hidden="1" x14ac:dyDescent="0.3">
      <c r="A260" s="49" t="s">
        <v>4061</v>
      </c>
      <c r="B260" s="49">
        <v>0</v>
      </c>
      <c r="C260" s="49"/>
      <c r="D260" s="72" t="s">
        <v>644</v>
      </c>
      <c r="E260" s="49" t="s">
        <v>3754</v>
      </c>
      <c r="F260" s="49"/>
      <c r="G260" s="49"/>
      <c r="H260" s="49" t="s">
        <v>646</v>
      </c>
      <c r="I260" s="49" t="s">
        <v>4065</v>
      </c>
      <c r="J260" s="49" t="s">
        <v>4062</v>
      </c>
      <c r="K260" s="49" t="s">
        <v>4063</v>
      </c>
      <c r="L260" s="49">
        <v>0</v>
      </c>
      <c r="M260" s="49" t="s">
        <v>4064</v>
      </c>
      <c r="N260" s="49" t="s">
        <v>959</v>
      </c>
      <c r="O260" s="49">
        <v>8</v>
      </c>
      <c r="P260" s="49" t="s">
        <v>4066</v>
      </c>
      <c r="Q260" s="49">
        <v>0</v>
      </c>
      <c r="R260" s="49" t="s">
        <v>4067</v>
      </c>
      <c r="S260" s="49" t="s">
        <v>4068</v>
      </c>
      <c r="T260" s="49" t="s">
        <v>4069</v>
      </c>
      <c r="U260" s="49" t="s">
        <v>670</v>
      </c>
      <c r="V260" s="49" t="e">
        <v>#REF!</v>
      </c>
      <c r="AC260" s="49"/>
      <c r="AD260" s="49"/>
    </row>
    <row r="261" spans="1:30" hidden="1" x14ac:dyDescent="0.3">
      <c r="A261" s="49" t="s">
        <v>4070</v>
      </c>
      <c r="B261" s="49">
        <v>0</v>
      </c>
      <c r="C261" s="49"/>
      <c r="D261" s="72" t="s">
        <v>644</v>
      </c>
      <c r="E261" s="49" t="s">
        <v>3754</v>
      </c>
      <c r="F261" s="49"/>
      <c r="G261" s="49"/>
      <c r="H261" s="49" t="s">
        <v>4071</v>
      </c>
      <c r="I261" s="49" t="s">
        <v>4074</v>
      </c>
      <c r="J261" s="49" t="s">
        <v>4072</v>
      </c>
      <c r="K261" s="49" t="s">
        <v>4073</v>
      </c>
      <c r="L261" s="49">
        <v>0</v>
      </c>
      <c r="M261" s="49" t="s">
        <v>2484</v>
      </c>
      <c r="N261" s="49" t="s">
        <v>4075</v>
      </c>
      <c r="O261" s="49">
        <v>1</v>
      </c>
      <c r="P261" s="49" t="s">
        <v>4076</v>
      </c>
      <c r="Q261" s="49">
        <v>0</v>
      </c>
      <c r="R261" s="49" t="s">
        <v>4077</v>
      </c>
      <c r="S261" s="49" t="s">
        <v>4078</v>
      </c>
      <c r="T261" s="49" t="s">
        <v>4079</v>
      </c>
      <c r="U261" s="49" t="s">
        <v>655</v>
      </c>
      <c r="V261" s="49" t="e">
        <v>#REF!</v>
      </c>
      <c r="AC261" s="49"/>
      <c r="AD261" s="49"/>
    </row>
    <row r="262" spans="1:30" hidden="1" x14ac:dyDescent="0.3">
      <c r="A262" s="49" t="s">
        <v>4080</v>
      </c>
      <c r="B262" s="49">
        <v>0</v>
      </c>
      <c r="C262" s="49"/>
      <c r="D262" s="72" t="s">
        <v>644</v>
      </c>
      <c r="E262" s="49" t="s">
        <v>3754</v>
      </c>
      <c r="F262" s="49"/>
      <c r="G262" s="49"/>
      <c r="H262" s="49" t="s">
        <v>4081</v>
      </c>
      <c r="I262" s="49" t="s">
        <v>4085</v>
      </c>
      <c r="J262" s="49" t="s">
        <v>4082</v>
      </c>
      <c r="K262" s="49" t="s">
        <v>4083</v>
      </c>
      <c r="L262" s="49">
        <v>0</v>
      </c>
      <c r="M262" s="49" t="s">
        <v>4084</v>
      </c>
      <c r="N262" s="49" t="s">
        <v>4086</v>
      </c>
      <c r="O262" s="49">
        <v>1</v>
      </c>
      <c r="P262" s="49" t="s">
        <v>4087</v>
      </c>
      <c r="Q262" s="49">
        <v>0</v>
      </c>
      <c r="R262" s="49" t="s">
        <v>4088</v>
      </c>
      <c r="S262" s="49" t="s">
        <v>4089</v>
      </c>
      <c r="T262" s="49" t="s">
        <v>4090</v>
      </c>
      <c r="U262" s="49" t="s">
        <v>655</v>
      </c>
      <c r="V262" s="49" t="e">
        <v>#REF!</v>
      </c>
      <c r="AC262" s="49"/>
      <c r="AD262" s="49"/>
    </row>
    <row r="263" spans="1:30" hidden="1" x14ac:dyDescent="0.3">
      <c r="A263" s="49" t="s">
        <v>4091</v>
      </c>
      <c r="B263" s="49">
        <v>0</v>
      </c>
      <c r="C263" s="49"/>
      <c r="D263" s="72" t="s">
        <v>644</v>
      </c>
      <c r="E263" s="49" t="s">
        <v>3754</v>
      </c>
      <c r="F263" s="49"/>
      <c r="G263" s="49"/>
      <c r="H263" s="49" t="s">
        <v>4092</v>
      </c>
      <c r="I263" s="49" t="s">
        <v>4095</v>
      </c>
      <c r="J263" s="49" t="s">
        <v>4093</v>
      </c>
      <c r="K263" s="49" t="s">
        <v>4094</v>
      </c>
      <c r="L263" s="49">
        <v>0</v>
      </c>
      <c r="M263" s="49" t="s">
        <v>1865</v>
      </c>
      <c r="N263" s="49" t="s">
        <v>4096</v>
      </c>
      <c r="O263" s="49">
        <v>4</v>
      </c>
      <c r="P263" s="49" t="s">
        <v>4097</v>
      </c>
      <c r="Q263" s="49">
        <v>0</v>
      </c>
      <c r="R263" s="49" t="s">
        <v>4098</v>
      </c>
      <c r="S263" s="49" t="s">
        <v>4099</v>
      </c>
      <c r="T263" s="49" t="s">
        <v>4100</v>
      </c>
      <c r="U263" s="49" t="s">
        <v>655</v>
      </c>
      <c r="V263" s="49" t="e">
        <v>#REF!</v>
      </c>
      <c r="AC263" s="49"/>
      <c r="AD263" s="49"/>
    </row>
    <row r="264" spans="1:30" hidden="1" x14ac:dyDescent="0.3">
      <c r="A264" s="49" t="s">
        <v>4101</v>
      </c>
      <c r="B264" s="49">
        <v>0</v>
      </c>
      <c r="C264" s="49"/>
      <c r="D264" s="72" t="s">
        <v>644</v>
      </c>
      <c r="E264" s="49" t="s">
        <v>3754</v>
      </c>
      <c r="F264" s="49"/>
      <c r="G264" s="49"/>
      <c r="H264" s="49" t="s">
        <v>646</v>
      </c>
      <c r="I264" s="49" t="s">
        <v>826</v>
      </c>
      <c r="J264" s="49" t="s">
        <v>827</v>
      </c>
      <c r="K264" s="49" t="s">
        <v>4102</v>
      </c>
      <c r="L264" s="49">
        <v>0</v>
      </c>
      <c r="M264" s="49" t="s">
        <v>4103</v>
      </c>
      <c r="N264" s="49" t="s">
        <v>818</v>
      </c>
      <c r="P264" s="49" t="s">
        <v>4104</v>
      </c>
      <c r="Q264" s="49">
        <v>0</v>
      </c>
      <c r="R264" s="49" t="s">
        <v>646</v>
      </c>
      <c r="S264" s="49" t="s">
        <v>646</v>
      </c>
      <c r="T264" s="49" t="s">
        <v>646</v>
      </c>
      <c r="U264" s="49" t="s">
        <v>830</v>
      </c>
      <c r="V264" s="49" t="e">
        <v>#REF!</v>
      </c>
      <c r="AC264" s="49"/>
      <c r="AD264" s="49"/>
    </row>
    <row r="265" spans="1:30" hidden="1" x14ac:dyDescent="0.3">
      <c r="A265" s="49" t="s">
        <v>824</v>
      </c>
      <c r="B265" s="49">
        <v>0</v>
      </c>
      <c r="C265" s="49"/>
      <c r="D265" s="72" t="s">
        <v>644</v>
      </c>
      <c r="E265" s="49" t="s">
        <v>3754</v>
      </c>
      <c r="F265" s="49"/>
      <c r="G265" s="49"/>
      <c r="H265" s="49" t="s">
        <v>646</v>
      </c>
      <c r="I265" s="49" t="s">
        <v>826</v>
      </c>
      <c r="J265" s="49" t="s">
        <v>827</v>
      </c>
      <c r="K265" s="49" t="s">
        <v>828</v>
      </c>
      <c r="L265" s="49">
        <v>0</v>
      </c>
      <c r="M265" s="49" t="s">
        <v>1826</v>
      </c>
      <c r="N265" s="49" t="s">
        <v>818</v>
      </c>
      <c r="P265" s="49" t="s">
        <v>829</v>
      </c>
      <c r="Q265" s="49">
        <v>0</v>
      </c>
      <c r="R265" s="49" t="s">
        <v>646</v>
      </c>
      <c r="S265" s="49" t="s">
        <v>646</v>
      </c>
      <c r="T265" s="49" t="s">
        <v>646</v>
      </c>
      <c r="U265" s="49" t="s">
        <v>830</v>
      </c>
      <c r="V265" s="49" t="e">
        <v>#REF!</v>
      </c>
      <c r="AC265" s="49"/>
      <c r="AD265" s="49"/>
    </row>
    <row r="266" spans="1:30" hidden="1" x14ac:dyDescent="0.3">
      <c r="A266" s="49" t="s">
        <v>4105</v>
      </c>
      <c r="B266" s="49">
        <v>0</v>
      </c>
      <c r="C266" s="49"/>
      <c r="D266" s="72" t="s">
        <v>644</v>
      </c>
      <c r="E266" s="49" t="s">
        <v>3754</v>
      </c>
      <c r="F266" s="49"/>
      <c r="G266" s="49"/>
      <c r="H266" s="49" t="s">
        <v>646</v>
      </c>
      <c r="I266" s="49" t="s">
        <v>826</v>
      </c>
      <c r="J266" s="49" t="s">
        <v>827</v>
      </c>
      <c r="K266" s="49" t="s">
        <v>4106</v>
      </c>
      <c r="L266" s="49">
        <v>0</v>
      </c>
      <c r="M266" s="49" t="s">
        <v>1777</v>
      </c>
      <c r="N266" s="49" t="s">
        <v>818</v>
      </c>
      <c r="P266" s="49" t="s">
        <v>4107</v>
      </c>
      <c r="Q266" s="49">
        <v>0</v>
      </c>
      <c r="R266" s="49" t="s">
        <v>646</v>
      </c>
      <c r="S266" s="49" t="s">
        <v>646</v>
      </c>
      <c r="T266" s="49" t="s">
        <v>646</v>
      </c>
      <c r="U266" s="49" t="s">
        <v>830</v>
      </c>
      <c r="V266" s="49" t="e">
        <v>#REF!</v>
      </c>
      <c r="AC266" s="49"/>
      <c r="AD266" s="49"/>
    </row>
    <row r="267" spans="1:30" hidden="1" x14ac:dyDescent="0.3">
      <c r="A267" s="49" t="s">
        <v>4108</v>
      </c>
      <c r="B267" s="49">
        <v>0</v>
      </c>
      <c r="C267" s="49"/>
      <c r="D267" s="72" t="s">
        <v>644</v>
      </c>
      <c r="E267" s="49" t="s">
        <v>3754</v>
      </c>
      <c r="F267" s="49"/>
      <c r="G267" s="49"/>
      <c r="H267" s="49" t="s">
        <v>646</v>
      </c>
      <c r="I267" s="49" t="s">
        <v>826</v>
      </c>
      <c r="J267" s="49" t="s">
        <v>827</v>
      </c>
      <c r="K267" s="49" t="s">
        <v>4109</v>
      </c>
      <c r="L267" s="49">
        <v>0</v>
      </c>
      <c r="M267" s="49" t="s">
        <v>4084</v>
      </c>
      <c r="N267" s="49" t="s">
        <v>4110</v>
      </c>
      <c r="P267" s="49" t="s">
        <v>4111</v>
      </c>
      <c r="Q267" s="49">
        <v>0</v>
      </c>
      <c r="R267" s="49" t="s">
        <v>646</v>
      </c>
      <c r="S267" s="49" t="s">
        <v>646</v>
      </c>
      <c r="T267" s="49" t="s">
        <v>646</v>
      </c>
      <c r="U267" s="49" t="s">
        <v>830</v>
      </c>
      <c r="V267" s="49" t="e">
        <v>#REF!</v>
      </c>
      <c r="AC267" s="49"/>
      <c r="AD267" s="49"/>
    </row>
    <row r="268" spans="1:30" hidden="1" x14ac:dyDescent="0.3">
      <c r="A268" s="49" t="s">
        <v>862</v>
      </c>
      <c r="B268" s="49">
        <v>0</v>
      </c>
      <c r="C268" s="49"/>
      <c r="D268" s="72" t="s">
        <v>644</v>
      </c>
      <c r="E268" s="49" t="s">
        <v>3754</v>
      </c>
      <c r="F268" s="49"/>
      <c r="G268" s="49"/>
      <c r="H268" s="49" t="s">
        <v>646</v>
      </c>
      <c r="I268" s="49" t="s">
        <v>826</v>
      </c>
      <c r="J268" s="49" t="s">
        <v>827</v>
      </c>
      <c r="K268" s="49" t="s">
        <v>864</v>
      </c>
      <c r="L268" s="49">
        <v>0</v>
      </c>
      <c r="M268" s="49" t="s">
        <v>2484</v>
      </c>
      <c r="N268" s="49" t="s">
        <v>818</v>
      </c>
      <c r="P268" s="49" t="s">
        <v>865</v>
      </c>
      <c r="Q268" s="49">
        <v>0</v>
      </c>
      <c r="R268" s="49" t="s">
        <v>646</v>
      </c>
      <c r="S268" s="49" t="s">
        <v>646</v>
      </c>
      <c r="T268" s="49" t="s">
        <v>646</v>
      </c>
      <c r="U268" s="49" t="s">
        <v>830</v>
      </c>
      <c r="V268" s="49" t="e">
        <v>#REF!</v>
      </c>
      <c r="AC268" s="49"/>
      <c r="AD268" s="49"/>
    </row>
    <row r="269" spans="1:30" hidden="1" x14ac:dyDescent="0.3">
      <c r="A269" s="49" t="s">
        <v>4112</v>
      </c>
      <c r="B269" s="49">
        <v>0</v>
      </c>
      <c r="C269" s="49"/>
      <c r="D269" s="72" t="s">
        <v>644</v>
      </c>
      <c r="E269" s="49" t="s">
        <v>3754</v>
      </c>
      <c r="F269" s="49"/>
      <c r="G269" s="49"/>
      <c r="H269" s="49" t="s">
        <v>646</v>
      </c>
      <c r="I269" s="49" t="s">
        <v>826</v>
      </c>
      <c r="J269" s="49" t="s">
        <v>827</v>
      </c>
      <c r="K269" s="49" t="s">
        <v>4113</v>
      </c>
      <c r="L269" s="49">
        <v>0</v>
      </c>
      <c r="M269" s="49" t="s">
        <v>4114</v>
      </c>
      <c r="N269" s="49" t="s">
        <v>687</v>
      </c>
      <c r="P269" s="49" t="s">
        <v>4115</v>
      </c>
      <c r="Q269" s="49">
        <v>0</v>
      </c>
      <c r="R269" s="49" t="s">
        <v>646</v>
      </c>
      <c r="S269" s="49" t="s">
        <v>646</v>
      </c>
      <c r="T269" s="49" t="s">
        <v>646</v>
      </c>
      <c r="U269" s="49" t="s">
        <v>830</v>
      </c>
      <c r="V269" s="49" t="e">
        <v>#REF!</v>
      </c>
      <c r="AC269" s="49"/>
      <c r="AD269" s="49"/>
    </row>
    <row r="270" spans="1:30" hidden="1" x14ac:dyDescent="0.3">
      <c r="A270" s="49" t="s">
        <v>4116</v>
      </c>
      <c r="B270" s="49">
        <v>0</v>
      </c>
      <c r="C270" s="49"/>
      <c r="D270" s="72" t="s">
        <v>644</v>
      </c>
      <c r="E270" s="49" t="s">
        <v>3754</v>
      </c>
      <c r="F270" s="49"/>
      <c r="G270" s="49"/>
      <c r="H270" s="49" t="s">
        <v>646</v>
      </c>
      <c r="I270" s="49" t="s">
        <v>826</v>
      </c>
      <c r="J270" s="49" t="s">
        <v>827</v>
      </c>
      <c r="K270" s="49" t="s">
        <v>4117</v>
      </c>
      <c r="L270" s="49">
        <v>0</v>
      </c>
      <c r="M270" s="49" t="s">
        <v>1826</v>
      </c>
      <c r="N270" s="49" t="s">
        <v>4116</v>
      </c>
      <c r="P270" s="49" t="s">
        <v>4118</v>
      </c>
      <c r="Q270" s="49">
        <v>0</v>
      </c>
      <c r="R270" s="49" t="s">
        <v>646</v>
      </c>
      <c r="S270" s="49" t="s">
        <v>646</v>
      </c>
      <c r="T270" s="49" t="s">
        <v>646</v>
      </c>
      <c r="U270" s="49" t="s">
        <v>830</v>
      </c>
      <c r="V270" s="49" t="e">
        <v>#REF!</v>
      </c>
      <c r="AC270" s="49"/>
      <c r="AD270" s="49"/>
    </row>
    <row r="271" spans="1:30" hidden="1" x14ac:dyDescent="0.3">
      <c r="A271" s="49" t="s">
        <v>4119</v>
      </c>
      <c r="B271" s="49">
        <v>0</v>
      </c>
      <c r="C271" s="49"/>
      <c r="D271" s="72" t="s">
        <v>644</v>
      </c>
      <c r="E271" s="49" t="s">
        <v>3754</v>
      </c>
      <c r="F271" s="49"/>
      <c r="G271" s="49"/>
      <c r="H271" s="49" t="s">
        <v>646</v>
      </c>
      <c r="I271" s="49" t="s">
        <v>826</v>
      </c>
      <c r="J271" s="49" t="s">
        <v>827</v>
      </c>
      <c r="K271" s="49" t="s">
        <v>4120</v>
      </c>
      <c r="L271" s="49">
        <v>0</v>
      </c>
      <c r="M271" s="49" t="s">
        <v>2220</v>
      </c>
      <c r="N271" s="49" t="s">
        <v>4121</v>
      </c>
      <c r="P271" s="49" t="s">
        <v>4122</v>
      </c>
      <c r="Q271" s="49">
        <v>0</v>
      </c>
      <c r="R271" s="49" t="s">
        <v>646</v>
      </c>
      <c r="S271" s="49" t="s">
        <v>646</v>
      </c>
      <c r="T271" s="49" t="s">
        <v>646</v>
      </c>
      <c r="U271" s="49" t="s">
        <v>830</v>
      </c>
      <c r="V271" s="49" t="e">
        <v>#REF!</v>
      </c>
      <c r="AC271" s="49"/>
      <c r="AD271" s="49"/>
    </row>
    <row r="272" spans="1:30" hidden="1" x14ac:dyDescent="0.3">
      <c r="A272" s="49" t="s">
        <v>4123</v>
      </c>
      <c r="B272" s="49">
        <v>0</v>
      </c>
      <c r="C272" s="49"/>
      <c r="D272" s="72" t="s">
        <v>644</v>
      </c>
      <c r="E272" s="49" t="s">
        <v>3754</v>
      </c>
      <c r="F272" s="49"/>
      <c r="G272" s="49"/>
      <c r="H272" s="49" t="s">
        <v>4124</v>
      </c>
      <c r="I272" s="49" t="s">
        <v>4127</v>
      </c>
      <c r="J272" s="49" t="s">
        <v>4125</v>
      </c>
      <c r="K272" s="49" t="s">
        <v>4126</v>
      </c>
      <c r="L272" s="49">
        <v>0</v>
      </c>
      <c r="M272" s="49" t="s">
        <v>4084</v>
      </c>
      <c r="N272" s="49" t="s">
        <v>895</v>
      </c>
      <c r="P272" s="49" t="s">
        <v>4128</v>
      </c>
      <c r="Q272" s="49">
        <v>0</v>
      </c>
      <c r="R272" s="49" t="s">
        <v>4129</v>
      </c>
      <c r="S272" s="49" t="s">
        <v>4130</v>
      </c>
      <c r="T272" s="49" t="s">
        <v>4131</v>
      </c>
      <c r="U272" s="49" t="s">
        <v>670</v>
      </c>
      <c r="V272" s="49" t="e">
        <v>#REF!</v>
      </c>
      <c r="AC272" s="49"/>
      <c r="AD272" s="49"/>
    </row>
    <row r="273" spans="1:30" hidden="1" x14ac:dyDescent="0.3">
      <c r="A273" s="49" t="s">
        <v>4132</v>
      </c>
      <c r="B273" s="49">
        <v>0</v>
      </c>
      <c r="C273" s="49"/>
      <c r="D273" s="72" t="s">
        <v>644</v>
      </c>
      <c r="E273" s="49" t="s">
        <v>3754</v>
      </c>
      <c r="F273" s="49"/>
      <c r="G273" s="49"/>
      <c r="H273" s="49" t="s">
        <v>646</v>
      </c>
      <c r="I273" s="49" t="s">
        <v>826</v>
      </c>
      <c r="J273" s="49" t="s">
        <v>827</v>
      </c>
      <c r="K273" s="49" t="s">
        <v>4133</v>
      </c>
      <c r="L273" s="49">
        <v>0</v>
      </c>
      <c r="M273" s="49" t="s">
        <v>3570</v>
      </c>
      <c r="N273" s="49" t="s">
        <v>959</v>
      </c>
      <c r="P273" s="49" t="s">
        <v>4134</v>
      </c>
      <c r="Q273" s="49">
        <v>0</v>
      </c>
      <c r="R273" s="49" t="s">
        <v>646</v>
      </c>
      <c r="S273" s="49" t="s">
        <v>646</v>
      </c>
      <c r="T273" s="49" t="s">
        <v>646</v>
      </c>
      <c r="U273" s="49" t="s">
        <v>830</v>
      </c>
      <c r="V273" s="49" t="e">
        <v>#REF!</v>
      </c>
      <c r="AC273" s="49"/>
      <c r="AD273" s="49"/>
    </row>
    <row r="274" spans="1:30" hidden="1" x14ac:dyDescent="0.3">
      <c r="A274" s="49" t="s">
        <v>4135</v>
      </c>
      <c r="B274" s="49">
        <v>0</v>
      </c>
      <c r="C274" s="49"/>
      <c r="D274" s="72" t="s">
        <v>644</v>
      </c>
      <c r="E274" s="49" t="s">
        <v>3754</v>
      </c>
      <c r="F274" s="49"/>
      <c r="G274" s="49"/>
      <c r="H274" s="49" t="s">
        <v>646</v>
      </c>
      <c r="I274" s="49" t="s">
        <v>826</v>
      </c>
      <c r="J274" s="49" t="s">
        <v>827</v>
      </c>
      <c r="K274" s="49" t="s">
        <v>4136</v>
      </c>
      <c r="L274" s="49">
        <v>0</v>
      </c>
      <c r="M274" s="49" t="s">
        <v>3570</v>
      </c>
      <c r="N274" s="49" t="s">
        <v>4137</v>
      </c>
      <c r="P274" s="49" t="s">
        <v>4138</v>
      </c>
      <c r="Q274" s="49">
        <v>0</v>
      </c>
      <c r="R274" s="49" t="s">
        <v>646</v>
      </c>
      <c r="S274" s="49" t="s">
        <v>646</v>
      </c>
      <c r="T274" s="49" t="s">
        <v>646</v>
      </c>
      <c r="U274" s="49" t="s">
        <v>830</v>
      </c>
      <c r="V274" s="49" t="e">
        <v>#REF!</v>
      </c>
      <c r="AC274" s="49"/>
      <c r="AD274" s="49"/>
    </row>
    <row r="275" spans="1:30" hidden="1" x14ac:dyDescent="0.3">
      <c r="A275" s="49" t="s">
        <v>4139</v>
      </c>
      <c r="B275" s="49">
        <v>0</v>
      </c>
      <c r="C275" s="49"/>
      <c r="D275" s="72" t="s">
        <v>644</v>
      </c>
      <c r="E275" s="49" t="s">
        <v>3754</v>
      </c>
      <c r="F275" s="49"/>
      <c r="G275" s="49"/>
      <c r="H275" s="49" t="s">
        <v>646</v>
      </c>
      <c r="I275" s="49" t="s">
        <v>826</v>
      </c>
      <c r="J275" s="49" t="s">
        <v>827</v>
      </c>
      <c r="K275" s="49" t="s">
        <v>4136</v>
      </c>
      <c r="L275" s="49">
        <v>0</v>
      </c>
      <c r="M275" s="49" t="s">
        <v>3570</v>
      </c>
      <c r="N275" s="49" t="s">
        <v>4140</v>
      </c>
      <c r="P275" s="49" t="s">
        <v>4141</v>
      </c>
      <c r="Q275" s="49">
        <v>0</v>
      </c>
      <c r="R275" s="49" t="s">
        <v>646</v>
      </c>
      <c r="S275" s="49" t="s">
        <v>646</v>
      </c>
      <c r="T275" s="49" t="s">
        <v>646</v>
      </c>
      <c r="U275" s="49" t="s">
        <v>830</v>
      </c>
      <c r="V275" s="49" t="e">
        <v>#REF!</v>
      </c>
      <c r="AC275" s="49"/>
      <c r="AD275" s="49"/>
    </row>
    <row r="276" spans="1:30" hidden="1" x14ac:dyDescent="0.3">
      <c r="A276" s="49" t="s">
        <v>4142</v>
      </c>
      <c r="B276" s="49">
        <v>0</v>
      </c>
      <c r="C276" s="49"/>
      <c r="D276" s="72" t="s">
        <v>644</v>
      </c>
      <c r="E276" s="49" t="s">
        <v>3754</v>
      </c>
      <c r="F276" s="49"/>
      <c r="G276" s="49"/>
      <c r="H276" s="49" t="s">
        <v>646</v>
      </c>
      <c r="I276" s="49" t="s">
        <v>826</v>
      </c>
      <c r="J276" s="49" t="s">
        <v>827</v>
      </c>
      <c r="K276" s="49" t="s">
        <v>4143</v>
      </c>
      <c r="L276" s="49">
        <v>0</v>
      </c>
      <c r="M276" s="49" t="s">
        <v>3570</v>
      </c>
      <c r="N276" s="49" t="s">
        <v>4144</v>
      </c>
      <c r="P276" s="49" t="s">
        <v>4145</v>
      </c>
      <c r="Q276" s="49">
        <v>0</v>
      </c>
      <c r="R276" s="49" t="s">
        <v>646</v>
      </c>
      <c r="S276" s="49" t="s">
        <v>646</v>
      </c>
      <c r="T276" s="49" t="s">
        <v>646</v>
      </c>
      <c r="U276" s="49" t="s">
        <v>830</v>
      </c>
      <c r="V276" s="49" t="e">
        <v>#REF!</v>
      </c>
      <c r="AC276" s="49"/>
      <c r="AD276" s="49"/>
    </row>
    <row r="277" spans="1:30" hidden="1" x14ac:dyDescent="0.3">
      <c r="A277" s="49" t="s">
        <v>4146</v>
      </c>
      <c r="B277" s="49">
        <v>0</v>
      </c>
      <c r="C277" s="49"/>
      <c r="D277" s="72" t="s">
        <v>644</v>
      </c>
      <c r="E277" s="49" t="s">
        <v>3754</v>
      </c>
      <c r="F277" s="49"/>
      <c r="G277" s="49"/>
      <c r="H277" s="49" t="s">
        <v>646</v>
      </c>
      <c r="I277" s="49" t="s">
        <v>826</v>
      </c>
      <c r="J277" s="49" t="s">
        <v>827</v>
      </c>
      <c r="K277" s="49" t="s">
        <v>4147</v>
      </c>
      <c r="L277" s="49">
        <v>0</v>
      </c>
      <c r="M277" s="49" t="s">
        <v>3570</v>
      </c>
      <c r="N277" s="49" t="s">
        <v>4148</v>
      </c>
      <c r="P277" s="49" t="s">
        <v>4149</v>
      </c>
      <c r="Q277" s="49">
        <v>0</v>
      </c>
      <c r="R277" s="49" t="s">
        <v>646</v>
      </c>
      <c r="S277" s="49" t="s">
        <v>646</v>
      </c>
      <c r="T277" s="49" t="s">
        <v>646</v>
      </c>
      <c r="U277" s="49" t="s">
        <v>830</v>
      </c>
      <c r="V277" s="49" t="e">
        <v>#REF!</v>
      </c>
      <c r="AC277" s="49"/>
      <c r="AD277" s="49"/>
    </row>
    <row r="278" spans="1:30" hidden="1" x14ac:dyDescent="0.3">
      <c r="A278" s="49" t="s">
        <v>4150</v>
      </c>
      <c r="B278" s="49">
        <v>0</v>
      </c>
      <c r="C278" s="49"/>
      <c r="D278" s="72" t="s">
        <v>644</v>
      </c>
      <c r="E278" s="49" t="s">
        <v>3754</v>
      </c>
      <c r="F278" s="49"/>
      <c r="G278" s="49"/>
      <c r="H278" s="49" t="s">
        <v>646</v>
      </c>
      <c r="I278" s="49" t="s">
        <v>826</v>
      </c>
      <c r="J278" s="49" t="s">
        <v>827</v>
      </c>
      <c r="K278" s="49" t="s">
        <v>4136</v>
      </c>
      <c r="L278" s="49">
        <v>0</v>
      </c>
      <c r="M278" s="49" t="s">
        <v>3570</v>
      </c>
      <c r="N278" s="49" t="s">
        <v>4151</v>
      </c>
      <c r="P278" s="49" t="s">
        <v>4152</v>
      </c>
      <c r="Q278" s="49">
        <v>0</v>
      </c>
      <c r="R278" s="49" t="s">
        <v>646</v>
      </c>
      <c r="S278" s="49" t="s">
        <v>646</v>
      </c>
      <c r="T278" s="49" t="s">
        <v>646</v>
      </c>
      <c r="U278" s="49" t="s">
        <v>830</v>
      </c>
      <c r="V278" s="49" t="e">
        <v>#REF!</v>
      </c>
      <c r="AC278" s="49"/>
      <c r="AD278" s="49"/>
    </row>
    <row r="279" spans="1:30" hidden="1" x14ac:dyDescent="0.3">
      <c r="A279" s="49" t="s">
        <v>4153</v>
      </c>
      <c r="B279" s="49">
        <v>0</v>
      </c>
      <c r="C279" s="49"/>
      <c r="D279" s="72" t="s">
        <v>644</v>
      </c>
      <c r="E279" s="49" t="s">
        <v>3754</v>
      </c>
      <c r="F279" s="49"/>
      <c r="G279" s="49"/>
      <c r="H279" s="49" t="s">
        <v>646</v>
      </c>
      <c r="I279" s="49" t="s">
        <v>4157</v>
      </c>
      <c r="J279" s="49" t="s">
        <v>4154</v>
      </c>
      <c r="K279" s="49" t="s">
        <v>4155</v>
      </c>
      <c r="L279" s="49">
        <v>0</v>
      </c>
      <c r="M279" s="49" t="s">
        <v>4156</v>
      </c>
      <c r="N279" s="49" t="s">
        <v>4158</v>
      </c>
      <c r="P279" s="49" t="s">
        <v>4159</v>
      </c>
      <c r="Q279" s="49">
        <v>0</v>
      </c>
      <c r="R279" s="49" t="s">
        <v>4160</v>
      </c>
      <c r="S279" s="49" t="s">
        <v>4161</v>
      </c>
      <c r="T279" s="49" t="s">
        <v>4162</v>
      </c>
      <c r="U279" s="49" t="s">
        <v>670</v>
      </c>
      <c r="V279" s="49" t="e">
        <v>#REF!</v>
      </c>
      <c r="AC279" s="49"/>
      <c r="AD279" s="49"/>
    </row>
    <row r="280" spans="1:30" hidden="1" x14ac:dyDescent="0.3">
      <c r="A280" s="49" t="s">
        <v>4163</v>
      </c>
      <c r="B280" s="49">
        <v>0</v>
      </c>
      <c r="C280" s="49"/>
      <c r="D280" s="72" t="s">
        <v>644</v>
      </c>
      <c r="E280" s="49" t="s">
        <v>3754</v>
      </c>
      <c r="F280" s="49"/>
      <c r="G280" s="49"/>
      <c r="H280" s="49" t="s">
        <v>646</v>
      </c>
      <c r="I280" s="49" t="s">
        <v>826</v>
      </c>
      <c r="J280" s="49" t="s">
        <v>827</v>
      </c>
      <c r="K280" s="49" t="s">
        <v>4164</v>
      </c>
      <c r="L280" s="49">
        <v>0</v>
      </c>
      <c r="M280" s="49" t="s">
        <v>4103</v>
      </c>
      <c r="N280" s="49" t="s">
        <v>818</v>
      </c>
      <c r="P280" s="49" t="s">
        <v>4165</v>
      </c>
      <c r="Q280" s="49">
        <v>0</v>
      </c>
      <c r="R280" s="49" t="s">
        <v>646</v>
      </c>
      <c r="S280" s="49" t="s">
        <v>646</v>
      </c>
      <c r="T280" s="49" t="s">
        <v>646</v>
      </c>
      <c r="U280" s="49" t="s">
        <v>830</v>
      </c>
      <c r="V280" s="49" t="e">
        <v>#REF!</v>
      </c>
      <c r="AC280" s="49"/>
      <c r="AD280" s="49"/>
    </row>
    <row r="281" spans="1:30" hidden="1" x14ac:dyDescent="0.3">
      <c r="A281" s="49" t="s">
        <v>4166</v>
      </c>
      <c r="B281" s="49">
        <v>0</v>
      </c>
      <c r="C281" s="49"/>
      <c r="D281" s="72" t="s">
        <v>644</v>
      </c>
      <c r="E281" s="49" t="s">
        <v>3754</v>
      </c>
      <c r="F281" s="49"/>
      <c r="G281" s="49"/>
      <c r="H281" s="49" t="s">
        <v>646</v>
      </c>
      <c r="I281" s="49" t="s">
        <v>826</v>
      </c>
      <c r="J281" s="49" t="s">
        <v>827</v>
      </c>
      <c r="K281" s="49" t="s">
        <v>4167</v>
      </c>
      <c r="L281" s="49">
        <v>0</v>
      </c>
      <c r="M281" s="49" t="s">
        <v>2484</v>
      </c>
      <c r="N281" s="49" t="s">
        <v>4168</v>
      </c>
      <c r="P281" s="49" t="s">
        <v>4169</v>
      </c>
      <c r="Q281" s="49">
        <v>0</v>
      </c>
      <c r="R281" s="49" t="s">
        <v>646</v>
      </c>
      <c r="S281" s="49" t="s">
        <v>646</v>
      </c>
      <c r="T281" s="49" t="s">
        <v>646</v>
      </c>
      <c r="U281" s="49" t="s">
        <v>830</v>
      </c>
      <c r="V281" s="49" t="e">
        <v>#REF!</v>
      </c>
      <c r="AC281" s="49"/>
      <c r="AD281" s="49"/>
    </row>
    <row r="282" spans="1:30" hidden="1" x14ac:dyDescent="0.3">
      <c r="A282" s="49" t="s">
        <v>4170</v>
      </c>
      <c r="B282" s="49">
        <v>0</v>
      </c>
      <c r="C282" s="49"/>
      <c r="D282" s="72" t="s">
        <v>644</v>
      </c>
      <c r="E282" s="49" t="s">
        <v>3754</v>
      </c>
      <c r="F282" s="49"/>
      <c r="G282" s="49"/>
      <c r="H282" s="49" t="s">
        <v>646</v>
      </c>
      <c r="I282" s="49" t="s">
        <v>826</v>
      </c>
      <c r="J282" s="49" t="s">
        <v>827</v>
      </c>
      <c r="K282" s="49" t="s">
        <v>4171</v>
      </c>
      <c r="L282" s="49">
        <v>0</v>
      </c>
      <c r="M282" s="49" t="s">
        <v>2142</v>
      </c>
      <c r="N282" s="49" t="s">
        <v>1076</v>
      </c>
      <c r="P282" s="49" t="s">
        <v>4172</v>
      </c>
      <c r="Q282" s="49">
        <v>0</v>
      </c>
      <c r="R282" s="49" t="s">
        <v>646</v>
      </c>
      <c r="S282" s="49" t="s">
        <v>646</v>
      </c>
      <c r="T282" s="49" t="s">
        <v>646</v>
      </c>
      <c r="U282" s="49" t="s">
        <v>830</v>
      </c>
      <c r="V282" s="49" t="e">
        <v>#REF!</v>
      </c>
      <c r="AC282" s="49"/>
      <c r="AD282" s="49"/>
    </row>
    <row r="283" spans="1:30" hidden="1" x14ac:dyDescent="0.3">
      <c r="A283" s="49" t="s">
        <v>4173</v>
      </c>
      <c r="B283" s="49">
        <v>0</v>
      </c>
      <c r="C283" s="49"/>
      <c r="D283" s="72" t="s">
        <v>644</v>
      </c>
      <c r="E283" s="49" t="s">
        <v>3754</v>
      </c>
      <c r="F283" s="49"/>
      <c r="G283" s="49"/>
      <c r="H283" s="49" t="s">
        <v>646</v>
      </c>
      <c r="I283" s="49" t="s">
        <v>826</v>
      </c>
      <c r="J283" s="49" t="s">
        <v>827</v>
      </c>
      <c r="K283" s="49" t="s">
        <v>4174</v>
      </c>
      <c r="L283" s="49">
        <v>0</v>
      </c>
      <c r="M283" s="49" t="s">
        <v>1777</v>
      </c>
      <c r="N283" s="49" t="s">
        <v>1382</v>
      </c>
      <c r="P283" s="49" t="s">
        <v>4175</v>
      </c>
      <c r="Q283" s="49">
        <v>0</v>
      </c>
      <c r="R283" s="49" t="s">
        <v>646</v>
      </c>
      <c r="S283" s="49" t="s">
        <v>646</v>
      </c>
      <c r="T283" s="49" t="s">
        <v>646</v>
      </c>
      <c r="U283" s="49" t="s">
        <v>830</v>
      </c>
      <c r="V283" s="49" t="e">
        <v>#REF!</v>
      </c>
      <c r="AC283" s="49"/>
      <c r="AD283" s="49"/>
    </row>
    <row r="284" spans="1:30" hidden="1" x14ac:dyDescent="0.3">
      <c r="A284" s="49" t="s">
        <v>4176</v>
      </c>
      <c r="B284" s="49">
        <v>0</v>
      </c>
      <c r="C284" s="49"/>
      <c r="D284" s="72" t="s">
        <v>644</v>
      </c>
      <c r="E284" s="49" t="s">
        <v>3754</v>
      </c>
      <c r="F284" s="49"/>
      <c r="G284" s="49"/>
      <c r="H284" s="49" t="s">
        <v>646</v>
      </c>
      <c r="I284" s="49" t="s">
        <v>826</v>
      </c>
      <c r="J284" s="49" t="s">
        <v>827</v>
      </c>
      <c r="K284" s="49" t="s">
        <v>4177</v>
      </c>
      <c r="L284" s="49">
        <v>0</v>
      </c>
      <c r="M284" s="49" t="s">
        <v>3570</v>
      </c>
      <c r="N284" s="49" t="s">
        <v>4176</v>
      </c>
      <c r="P284" s="49" t="s">
        <v>4178</v>
      </c>
      <c r="Q284" s="49">
        <v>0</v>
      </c>
      <c r="R284" s="49" t="s">
        <v>646</v>
      </c>
      <c r="S284" s="49" t="s">
        <v>646</v>
      </c>
      <c r="T284" s="49" t="s">
        <v>646</v>
      </c>
      <c r="U284" s="49" t="s">
        <v>830</v>
      </c>
      <c r="V284" s="49" t="e">
        <v>#REF!</v>
      </c>
      <c r="AC284" s="49"/>
      <c r="AD284" s="49"/>
    </row>
    <row r="285" spans="1:30" hidden="1" x14ac:dyDescent="0.3">
      <c r="A285" s="49" t="s">
        <v>4179</v>
      </c>
      <c r="B285" s="49">
        <v>0</v>
      </c>
      <c r="C285" s="49"/>
      <c r="D285" s="72" t="s">
        <v>644</v>
      </c>
      <c r="E285" s="49" t="s">
        <v>3754</v>
      </c>
      <c r="F285" s="49"/>
      <c r="G285" s="49"/>
      <c r="H285" s="49" t="s">
        <v>4180</v>
      </c>
      <c r="I285" s="49" t="s">
        <v>4183</v>
      </c>
      <c r="J285" s="49" t="s">
        <v>4181</v>
      </c>
      <c r="K285" s="49" t="s">
        <v>4182</v>
      </c>
      <c r="L285" s="49">
        <v>0</v>
      </c>
      <c r="M285" s="49" t="s">
        <v>1865</v>
      </c>
      <c r="N285" s="49" t="s">
        <v>4184</v>
      </c>
      <c r="P285" s="49" t="s">
        <v>4185</v>
      </c>
      <c r="Q285" s="49">
        <v>0</v>
      </c>
      <c r="R285" s="49" t="s">
        <v>4186</v>
      </c>
      <c r="S285" s="49" t="s">
        <v>4187</v>
      </c>
      <c r="T285" s="49" t="s">
        <v>4188</v>
      </c>
      <c r="U285" s="49" t="s">
        <v>655</v>
      </c>
      <c r="V285" s="49" t="e">
        <v>#REF!</v>
      </c>
      <c r="AC285" s="49"/>
      <c r="AD285" s="49"/>
    </row>
    <row r="286" spans="1:30" hidden="1" x14ac:dyDescent="0.3">
      <c r="A286" s="49" t="s">
        <v>4189</v>
      </c>
      <c r="B286" s="49">
        <v>0</v>
      </c>
      <c r="C286" s="49"/>
      <c r="D286" s="72" t="s">
        <v>644</v>
      </c>
      <c r="E286" s="49" t="s">
        <v>3754</v>
      </c>
      <c r="F286" s="49"/>
      <c r="G286" s="49"/>
      <c r="H286" s="49" t="s">
        <v>646</v>
      </c>
      <c r="I286" s="49" t="s">
        <v>4192</v>
      </c>
      <c r="J286" s="49" t="s">
        <v>4190</v>
      </c>
      <c r="K286" s="49" t="s">
        <v>4191</v>
      </c>
      <c r="L286" s="49">
        <v>0</v>
      </c>
      <c r="M286" s="49" t="s">
        <v>1817</v>
      </c>
      <c r="N286" s="49" t="s">
        <v>4193</v>
      </c>
      <c r="O286" s="49">
        <v>1</v>
      </c>
      <c r="P286" s="49" t="s">
        <v>4194</v>
      </c>
      <c r="Q286" s="49">
        <v>0</v>
      </c>
      <c r="R286" s="49" t="s">
        <v>4195</v>
      </c>
      <c r="S286" s="49" t="s">
        <v>4196</v>
      </c>
      <c r="T286" s="49" t="s">
        <v>4197</v>
      </c>
      <c r="U286" s="49" t="s">
        <v>670</v>
      </c>
      <c r="V286" s="49" t="e">
        <v>#REF!</v>
      </c>
      <c r="AC286" s="49"/>
      <c r="AD286" s="49"/>
    </row>
    <row r="287" spans="1:30" hidden="1" x14ac:dyDescent="0.3">
      <c r="A287" s="49" t="s">
        <v>4198</v>
      </c>
      <c r="B287" s="49">
        <v>0</v>
      </c>
      <c r="C287" s="49"/>
      <c r="D287" s="72" t="s">
        <v>644</v>
      </c>
      <c r="E287" s="49" t="s">
        <v>3754</v>
      </c>
      <c r="F287" s="49"/>
      <c r="G287" s="49"/>
      <c r="H287" s="49" t="s">
        <v>4199</v>
      </c>
      <c r="I287" s="49" t="s">
        <v>4202</v>
      </c>
      <c r="J287" s="49" t="s">
        <v>4200</v>
      </c>
      <c r="K287" s="49" t="s">
        <v>4201</v>
      </c>
      <c r="L287" s="49">
        <v>0</v>
      </c>
      <c r="M287" s="49" t="s">
        <v>4084</v>
      </c>
      <c r="N287" s="49" t="s">
        <v>4203</v>
      </c>
      <c r="P287" s="49" t="s">
        <v>4204</v>
      </c>
      <c r="Q287" s="49">
        <v>0</v>
      </c>
      <c r="R287" s="49" t="s">
        <v>4205</v>
      </c>
      <c r="S287" s="49" t="s">
        <v>4206</v>
      </c>
      <c r="T287" s="49" t="s">
        <v>4207</v>
      </c>
      <c r="U287" s="49" t="s">
        <v>670</v>
      </c>
      <c r="V287" s="49" t="e">
        <v>#REF!</v>
      </c>
      <c r="AC287" s="49"/>
      <c r="AD287" s="49"/>
    </row>
    <row r="288" spans="1:30" hidden="1" x14ac:dyDescent="0.3">
      <c r="A288" s="49" t="s">
        <v>4208</v>
      </c>
      <c r="B288" s="49">
        <v>0</v>
      </c>
      <c r="C288" s="49"/>
      <c r="D288" s="72" t="s">
        <v>644</v>
      </c>
      <c r="E288" s="49" t="s">
        <v>3754</v>
      </c>
      <c r="F288" s="49"/>
      <c r="G288" s="49"/>
      <c r="H288" s="49" t="s">
        <v>4209</v>
      </c>
      <c r="I288" s="49" t="s">
        <v>4212</v>
      </c>
      <c r="J288" s="49" t="s">
        <v>4210</v>
      </c>
      <c r="K288" s="49" t="s">
        <v>4211</v>
      </c>
      <c r="L288" s="49">
        <v>0</v>
      </c>
      <c r="M288" s="49" t="s">
        <v>2220</v>
      </c>
      <c r="N288" s="49" t="s">
        <v>4213</v>
      </c>
      <c r="O288" s="49">
        <v>1</v>
      </c>
      <c r="P288" s="49" t="s">
        <v>4214</v>
      </c>
      <c r="Q288" s="49">
        <v>0</v>
      </c>
      <c r="R288" s="49" t="s">
        <v>4215</v>
      </c>
      <c r="S288" s="49" t="s">
        <v>4216</v>
      </c>
      <c r="T288" s="49" t="s">
        <v>4217</v>
      </c>
      <c r="U288" s="49" t="s">
        <v>670</v>
      </c>
      <c r="V288" s="49" t="e">
        <v>#REF!</v>
      </c>
      <c r="AC288" s="49"/>
      <c r="AD288" s="49"/>
    </row>
    <row r="289" spans="1:30" hidden="1" x14ac:dyDescent="0.3">
      <c r="A289" s="49" t="s">
        <v>4218</v>
      </c>
      <c r="B289" s="49">
        <v>0</v>
      </c>
      <c r="C289" s="49"/>
      <c r="D289" s="72" t="s">
        <v>644</v>
      </c>
      <c r="E289" s="49" t="s">
        <v>3754</v>
      </c>
      <c r="F289" s="49"/>
      <c r="G289" s="49"/>
      <c r="H289" s="49" t="s">
        <v>4219</v>
      </c>
      <c r="I289" s="49" t="s">
        <v>4222</v>
      </c>
      <c r="J289" s="49" t="s">
        <v>4220</v>
      </c>
      <c r="K289" s="49" t="s">
        <v>4221</v>
      </c>
      <c r="L289" s="49">
        <v>0</v>
      </c>
      <c r="M289" s="49" t="s">
        <v>1826</v>
      </c>
      <c r="N289" s="49" t="s">
        <v>818</v>
      </c>
      <c r="O289" s="49">
        <v>2</v>
      </c>
      <c r="P289" s="49" t="s">
        <v>4223</v>
      </c>
      <c r="Q289" s="49">
        <v>0</v>
      </c>
      <c r="R289" s="49" t="s">
        <v>4224</v>
      </c>
      <c r="S289" s="49" t="s">
        <v>4225</v>
      </c>
      <c r="T289" s="49" t="s">
        <v>4226</v>
      </c>
      <c r="U289" s="49" t="s">
        <v>670</v>
      </c>
      <c r="V289" s="49" t="e">
        <v>#REF!</v>
      </c>
      <c r="AC289" s="49"/>
      <c r="AD289" s="49"/>
    </row>
    <row r="290" spans="1:30" hidden="1" x14ac:dyDescent="0.3">
      <c r="A290" s="49" t="s">
        <v>4227</v>
      </c>
      <c r="B290" s="49">
        <v>0</v>
      </c>
      <c r="C290" s="49"/>
      <c r="D290" s="72" t="s">
        <v>644</v>
      </c>
      <c r="E290" s="49" t="s">
        <v>3754</v>
      </c>
      <c r="F290" s="49"/>
      <c r="G290" s="49"/>
      <c r="H290" s="49" t="s">
        <v>4228</v>
      </c>
      <c r="I290" s="49" t="s">
        <v>4231</v>
      </c>
      <c r="J290" s="49" t="s">
        <v>4229</v>
      </c>
      <c r="K290" s="49" t="s">
        <v>4230</v>
      </c>
      <c r="L290" s="49">
        <v>0</v>
      </c>
      <c r="M290" s="49" t="s">
        <v>4084</v>
      </c>
      <c r="N290" s="49" t="s">
        <v>4232</v>
      </c>
      <c r="O290" s="49">
        <v>14</v>
      </c>
      <c r="P290" s="49" t="s">
        <v>4233</v>
      </c>
      <c r="Q290" s="49">
        <v>0</v>
      </c>
      <c r="R290" s="49" t="s">
        <v>4234</v>
      </c>
      <c r="S290" s="49" t="s">
        <v>4235</v>
      </c>
      <c r="T290" s="49" t="s">
        <v>4236</v>
      </c>
      <c r="U290" s="49" t="s">
        <v>670</v>
      </c>
      <c r="V290" s="49" t="e">
        <v>#REF!</v>
      </c>
      <c r="AC290" s="49"/>
      <c r="AD290" s="49"/>
    </row>
    <row r="291" spans="1:30" hidden="1" x14ac:dyDescent="0.3">
      <c r="A291" s="49" t="s">
        <v>4237</v>
      </c>
      <c r="B291" s="49">
        <v>0</v>
      </c>
      <c r="C291" s="49"/>
      <c r="D291" s="72" t="s">
        <v>644</v>
      </c>
      <c r="E291" s="49" t="s">
        <v>3754</v>
      </c>
      <c r="F291" s="49"/>
      <c r="G291" s="49"/>
      <c r="H291" s="49" t="s">
        <v>646</v>
      </c>
      <c r="I291" s="49" t="s">
        <v>4240</v>
      </c>
      <c r="J291" s="49" t="s">
        <v>4238</v>
      </c>
      <c r="K291" s="49" t="s">
        <v>4239</v>
      </c>
      <c r="L291" s="49">
        <v>0</v>
      </c>
      <c r="M291" s="49" t="s">
        <v>2484</v>
      </c>
      <c r="N291" s="49" t="s">
        <v>4241</v>
      </c>
      <c r="O291" s="49">
        <v>19</v>
      </c>
      <c r="P291" s="49" t="s">
        <v>4242</v>
      </c>
      <c r="Q291" s="49">
        <v>0</v>
      </c>
      <c r="R291" s="49" t="s">
        <v>4243</v>
      </c>
      <c r="S291" s="49" t="s">
        <v>4244</v>
      </c>
      <c r="T291" s="49" t="s">
        <v>646</v>
      </c>
      <c r="U291" s="49" t="s">
        <v>670</v>
      </c>
      <c r="V291" s="49" t="e">
        <v>#REF!</v>
      </c>
      <c r="AC291" s="49"/>
      <c r="AD291" s="49"/>
    </row>
    <row r="292" spans="1:30" hidden="1" x14ac:dyDescent="0.3">
      <c r="A292" s="49" t="s">
        <v>4245</v>
      </c>
      <c r="B292" s="49">
        <v>0</v>
      </c>
      <c r="C292" s="49"/>
      <c r="D292" s="72" t="s">
        <v>644</v>
      </c>
      <c r="E292" s="49" t="s">
        <v>3754</v>
      </c>
      <c r="F292" s="49"/>
      <c r="G292" s="49"/>
      <c r="H292" s="49" t="s">
        <v>646</v>
      </c>
      <c r="I292" s="49" t="s">
        <v>4248</v>
      </c>
      <c r="J292" s="49" t="s">
        <v>4246</v>
      </c>
      <c r="K292" s="49" t="s">
        <v>4247</v>
      </c>
      <c r="L292" s="49">
        <v>0</v>
      </c>
      <c r="M292" s="49" t="s">
        <v>2636</v>
      </c>
      <c r="N292" s="49" t="s">
        <v>4249</v>
      </c>
      <c r="O292" s="49">
        <v>3</v>
      </c>
      <c r="P292" s="49" t="s">
        <v>4250</v>
      </c>
      <c r="Q292" s="49">
        <v>0</v>
      </c>
      <c r="R292" s="49" t="s">
        <v>4251</v>
      </c>
      <c r="S292" s="49" t="s">
        <v>4252</v>
      </c>
      <c r="T292" s="49" t="s">
        <v>4253</v>
      </c>
      <c r="U292" s="49" t="s">
        <v>670</v>
      </c>
      <c r="V292" s="49" t="e">
        <v>#REF!</v>
      </c>
      <c r="AC292" s="49"/>
      <c r="AD292" s="49"/>
    </row>
    <row r="293" spans="1:30" hidden="1" x14ac:dyDescent="0.3">
      <c r="A293" s="49" t="s">
        <v>4254</v>
      </c>
      <c r="B293" s="49">
        <v>0</v>
      </c>
      <c r="C293" s="49"/>
      <c r="D293" s="72" t="s">
        <v>644</v>
      </c>
      <c r="E293" s="49" t="s">
        <v>3754</v>
      </c>
      <c r="F293" s="49"/>
      <c r="G293" s="49"/>
      <c r="H293" s="49" t="s">
        <v>4255</v>
      </c>
      <c r="I293" s="49" t="s">
        <v>4258</v>
      </c>
      <c r="J293" s="49" t="s">
        <v>4256</v>
      </c>
      <c r="K293" s="49" t="s">
        <v>4257</v>
      </c>
      <c r="L293" s="49">
        <v>0</v>
      </c>
      <c r="M293" s="49" t="s">
        <v>1734</v>
      </c>
      <c r="N293" s="49" t="s">
        <v>2780</v>
      </c>
      <c r="O293" s="49">
        <v>2</v>
      </c>
      <c r="P293" s="49" t="s">
        <v>4259</v>
      </c>
      <c r="Q293" s="49">
        <v>0</v>
      </c>
      <c r="R293" s="49" t="s">
        <v>4260</v>
      </c>
      <c r="S293" s="49" t="s">
        <v>4261</v>
      </c>
      <c r="T293" s="49" t="s">
        <v>4262</v>
      </c>
      <c r="U293" s="49" t="s">
        <v>655</v>
      </c>
      <c r="V293" s="49" t="e">
        <v>#REF!</v>
      </c>
      <c r="AC293" s="49"/>
      <c r="AD293" s="49"/>
    </row>
    <row r="294" spans="1:30" hidden="1" x14ac:dyDescent="0.3">
      <c r="A294" s="49" t="s">
        <v>4263</v>
      </c>
      <c r="B294" s="49">
        <v>0</v>
      </c>
      <c r="C294" s="49"/>
      <c r="D294" s="72" t="s">
        <v>644</v>
      </c>
      <c r="E294" s="49" t="s">
        <v>3754</v>
      </c>
      <c r="F294" s="49"/>
      <c r="G294" s="49"/>
      <c r="H294" s="49" t="s">
        <v>4264</v>
      </c>
      <c r="I294" s="49" t="s">
        <v>4267</v>
      </c>
      <c r="J294" s="49" t="s">
        <v>4265</v>
      </c>
      <c r="K294" s="49" t="s">
        <v>4266</v>
      </c>
      <c r="L294" s="49">
        <v>0</v>
      </c>
      <c r="M294" s="49" t="s">
        <v>1817</v>
      </c>
      <c r="N294" s="49" t="s">
        <v>4268</v>
      </c>
      <c r="O294" s="49">
        <v>19</v>
      </c>
      <c r="P294" s="49" t="s">
        <v>4269</v>
      </c>
      <c r="Q294" s="49">
        <v>0</v>
      </c>
      <c r="R294" s="49" t="s">
        <v>4270</v>
      </c>
      <c r="S294" s="49" t="s">
        <v>4271</v>
      </c>
      <c r="T294" s="49" t="s">
        <v>4272</v>
      </c>
      <c r="U294" s="49" t="s">
        <v>670</v>
      </c>
      <c r="V294" s="49" t="e">
        <v>#REF!</v>
      </c>
      <c r="AC294" s="49"/>
      <c r="AD294" s="49"/>
    </row>
    <row r="295" spans="1:30" hidden="1" x14ac:dyDescent="0.3">
      <c r="A295" s="49" t="s">
        <v>4273</v>
      </c>
      <c r="B295" s="49">
        <v>0</v>
      </c>
      <c r="C295" s="49"/>
      <c r="D295" s="72" t="s">
        <v>644</v>
      </c>
      <c r="E295" s="49" t="s">
        <v>3754</v>
      </c>
      <c r="F295" s="49"/>
      <c r="G295" s="49"/>
      <c r="H295" s="49" t="s">
        <v>4274</v>
      </c>
      <c r="I295" s="49" t="s">
        <v>4277</v>
      </c>
      <c r="J295" s="49" t="s">
        <v>4275</v>
      </c>
      <c r="K295" s="49" t="s">
        <v>4276</v>
      </c>
      <c r="L295" s="49">
        <v>0</v>
      </c>
      <c r="M295" s="49" t="s">
        <v>3570</v>
      </c>
      <c r="N295" s="49" t="s">
        <v>4278</v>
      </c>
      <c r="O295" s="49">
        <v>1</v>
      </c>
      <c r="P295" s="49" t="s">
        <v>4279</v>
      </c>
      <c r="Q295" s="49">
        <v>0</v>
      </c>
      <c r="R295" s="49" t="s">
        <v>4280</v>
      </c>
      <c r="S295" s="49" t="s">
        <v>4281</v>
      </c>
      <c r="T295" s="49" t="s">
        <v>4282</v>
      </c>
      <c r="U295" s="49" t="s">
        <v>670</v>
      </c>
      <c r="V295" s="49" t="e">
        <v>#REF!</v>
      </c>
      <c r="AC295" s="49"/>
      <c r="AD295" s="49"/>
    </row>
    <row r="296" spans="1:30" hidden="1" x14ac:dyDescent="0.3">
      <c r="A296" s="49" t="s">
        <v>4283</v>
      </c>
      <c r="B296" s="49">
        <v>0</v>
      </c>
      <c r="C296" s="49"/>
      <c r="D296" s="72" t="s">
        <v>644</v>
      </c>
      <c r="E296" s="49" t="s">
        <v>3754</v>
      </c>
      <c r="F296" s="49"/>
      <c r="G296" s="49"/>
      <c r="H296" s="49" t="s">
        <v>4284</v>
      </c>
      <c r="I296" s="49" t="s">
        <v>4287</v>
      </c>
      <c r="J296" s="49" t="s">
        <v>4285</v>
      </c>
      <c r="K296" s="49" t="s">
        <v>4286</v>
      </c>
      <c r="L296" s="49">
        <v>0</v>
      </c>
      <c r="M296" s="49" t="s">
        <v>2220</v>
      </c>
      <c r="N296" s="49" t="s">
        <v>4288</v>
      </c>
      <c r="O296" s="49">
        <v>76</v>
      </c>
      <c r="P296" s="49" t="s">
        <v>4289</v>
      </c>
      <c r="Q296" s="49">
        <v>0</v>
      </c>
      <c r="R296" s="49" t="s">
        <v>4290</v>
      </c>
      <c r="S296" s="49" t="s">
        <v>4291</v>
      </c>
      <c r="T296" s="49" t="s">
        <v>4292</v>
      </c>
      <c r="U296" s="49" t="s">
        <v>655</v>
      </c>
      <c r="V296" s="49" t="e">
        <v>#REF!</v>
      </c>
      <c r="AC296" s="49"/>
      <c r="AD296" s="49"/>
    </row>
    <row r="297" spans="1:30" hidden="1" x14ac:dyDescent="0.3">
      <c r="A297" s="49" t="s">
        <v>4293</v>
      </c>
      <c r="B297" s="49">
        <v>0</v>
      </c>
      <c r="C297" s="49"/>
      <c r="D297" s="72" t="s">
        <v>644</v>
      </c>
      <c r="E297" s="49" t="s">
        <v>3754</v>
      </c>
      <c r="F297" s="49"/>
      <c r="G297" s="49"/>
      <c r="H297" s="49" t="s">
        <v>646</v>
      </c>
      <c r="I297" s="49" t="s">
        <v>4296</v>
      </c>
      <c r="J297" s="49" t="s">
        <v>4294</v>
      </c>
      <c r="K297" s="49" t="s">
        <v>4295</v>
      </c>
      <c r="L297" s="49">
        <v>0</v>
      </c>
      <c r="M297" s="49" t="s">
        <v>2142</v>
      </c>
      <c r="N297" s="49" t="s">
        <v>4297</v>
      </c>
      <c r="P297" s="49" t="s">
        <v>4298</v>
      </c>
      <c r="Q297" s="49">
        <v>0</v>
      </c>
      <c r="R297" s="49" t="s">
        <v>4299</v>
      </c>
      <c r="S297" s="49" t="s">
        <v>4300</v>
      </c>
      <c r="T297" s="49" t="s">
        <v>646</v>
      </c>
      <c r="U297" s="49" t="s">
        <v>655</v>
      </c>
      <c r="V297" s="49" t="e">
        <v>#REF!</v>
      </c>
      <c r="AC297" s="49"/>
      <c r="AD297" s="49"/>
    </row>
    <row r="298" spans="1:30" hidden="1" x14ac:dyDescent="0.3">
      <c r="A298" s="49" t="s">
        <v>4301</v>
      </c>
      <c r="B298" s="49">
        <v>0</v>
      </c>
      <c r="C298" s="49"/>
      <c r="D298" s="72" t="s">
        <v>644</v>
      </c>
      <c r="E298" s="49" t="s">
        <v>3754</v>
      </c>
      <c r="F298" s="49"/>
      <c r="G298" s="49"/>
      <c r="H298" s="49" t="s">
        <v>4302</v>
      </c>
      <c r="I298" s="49" t="s">
        <v>4305</v>
      </c>
      <c r="J298" s="49" t="s">
        <v>4303</v>
      </c>
      <c r="K298" s="49" t="s">
        <v>4304</v>
      </c>
      <c r="L298" s="49">
        <v>0</v>
      </c>
      <c r="M298" s="49" t="s">
        <v>4156</v>
      </c>
      <c r="N298" s="49" t="s">
        <v>4306</v>
      </c>
      <c r="P298" s="49" t="s">
        <v>4307</v>
      </c>
      <c r="Q298" s="49">
        <v>0</v>
      </c>
      <c r="R298" s="49" t="s">
        <v>4308</v>
      </c>
      <c r="S298" s="49" t="s">
        <v>4309</v>
      </c>
      <c r="T298" s="49" t="s">
        <v>4310</v>
      </c>
      <c r="U298" s="49" t="s">
        <v>670</v>
      </c>
      <c r="V298" s="49" t="e">
        <v>#REF!</v>
      </c>
      <c r="AC298" s="49"/>
      <c r="AD298" s="49"/>
    </row>
    <row r="299" spans="1:30" hidden="1" x14ac:dyDescent="0.3">
      <c r="A299" s="49" t="s">
        <v>4311</v>
      </c>
      <c r="B299" s="49">
        <v>0</v>
      </c>
      <c r="C299" s="49"/>
      <c r="D299" s="72" t="s">
        <v>644</v>
      </c>
      <c r="E299" s="49" t="s">
        <v>3754</v>
      </c>
      <c r="F299" s="49"/>
      <c r="G299" s="49"/>
      <c r="H299" s="49" t="s">
        <v>4312</v>
      </c>
      <c r="I299" s="49" t="s">
        <v>4315</v>
      </c>
      <c r="J299" s="49" t="s">
        <v>4313</v>
      </c>
      <c r="K299" s="49" t="s">
        <v>4314</v>
      </c>
      <c r="L299" s="49">
        <v>0</v>
      </c>
      <c r="M299" s="49" t="s">
        <v>1865</v>
      </c>
      <c r="N299" s="49" t="s">
        <v>4316</v>
      </c>
      <c r="O299" s="49">
        <v>8</v>
      </c>
      <c r="P299" s="49" t="s">
        <v>4317</v>
      </c>
      <c r="Q299" s="49">
        <v>0</v>
      </c>
      <c r="R299" s="49" t="s">
        <v>4318</v>
      </c>
      <c r="S299" s="49" t="s">
        <v>4319</v>
      </c>
      <c r="T299" s="49" t="s">
        <v>4320</v>
      </c>
      <c r="U299" s="49" t="s">
        <v>655</v>
      </c>
      <c r="V299" s="49" t="e">
        <v>#REF!</v>
      </c>
      <c r="AC299" s="49"/>
      <c r="AD299" s="49"/>
    </row>
    <row r="300" spans="1:30" hidden="1" x14ac:dyDescent="0.3">
      <c r="A300" s="49" t="s">
        <v>4321</v>
      </c>
      <c r="B300" s="49">
        <v>0</v>
      </c>
      <c r="C300" s="49"/>
      <c r="D300" s="72" t="s">
        <v>644</v>
      </c>
      <c r="E300" s="49" t="s">
        <v>3754</v>
      </c>
      <c r="F300" s="49"/>
      <c r="G300" s="49"/>
      <c r="H300" s="49" t="s">
        <v>4322</v>
      </c>
      <c r="I300" s="49" t="s">
        <v>4325</v>
      </c>
      <c r="J300" s="49" t="s">
        <v>4323</v>
      </c>
      <c r="K300" s="49" t="s">
        <v>4324</v>
      </c>
      <c r="L300" s="49">
        <v>0</v>
      </c>
      <c r="M300" s="49" t="s">
        <v>2142</v>
      </c>
      <c r="N300" s="49" t="s">
        <v>982</v>
      </c>
      <c r="O300" s="49">
        <v>1</v>
      </c>
      <c r="P300" s="49" t="s">
        <v>4326</v>
      </c>
      <c r="Q300" s="49">
        <v>0</v>
      </c>
      <c r="R300" s="49" t="s">
        <v>4327</v>
      </c>
      <c r="S300" s="49" t="s">
        <v>4328</v>
      </c>
      <c r="T300" s="49" t="s">
        <v>4329</v>
      </c>
      <c r="U300" s="49" t="s">
        <v>655</v>
      </c>
      <c r="V300" s="49" t="e">
        <v>#REF!</v>
      </c>
      <c r="AC300" s="49"/>
      <c r="AD300" s="49"/>
    </row>
    <row r="301" spans="1:30" hidden="1" x14ac:dyDescent="0.3">
      <c r="A301" s="49" t="s">
        <v>4330</v>
      </c>
      <c r="B301" s="49">
        <v>0</v>
      </c>
      <c r="C301" s="49"/>
      <c r="D301" s="72" t="s">
        <v>644</v>
      </c>
      <c r="E301" s="49" t="s">
        <v>3754</v>
      </c>
      <c r="F301" s="49"/>
      <c r="G301" s="49"/>
      <c r="H301" s="49" t="s">
        <v>4331</v>
      </c>
      <c r="I301" s="49" t="s">
        <v>4334</v>
      </c>
      <c r="J301" s="49" t="s">
        <v>4332</v>
      </c>
      <c r="K301" s="49" t="s">
        <v>4333</v>
      </c>
      <c r="L301" s="49">
        <v>0</v>
      </c>
      <c r="M301" s="49" t="s">
        <v>2636</v>
      </c>
      <c r="N301" s="49" t="s">
        <v>818</v>
      </c>
      <c r="O301" s="49">
        <v>39</v>
      </c>
      <c r="P301" s="49" t="s">
        <v>4335</v>
      </c>
      <c r="Q301" s="49">
        <v>0</v>
      </c>
      <c r="R301" s="49" t="s">
        <v>4336</v>
      </c>
      <c r="S301" s="49" t="s">
        <v>4337</v>
      </c>
      <c r="T301" s="49" t="s">
        <v>646</v>
      </c>
      <c r="U301" s="49" t="s">
        <v>670</v>
      </c>
      <c r="V301" s="49" t="e">
        <v>#REF!</v>
      </c>
      <c r="AC301" s="49"/>
      <c r="AD301" s="49"/>
    </row>
    <row r="302" spans="1:30" hidden="1" x14ac:dyDescent="0.3">
      <c r="A302" s="49" t="s">
        <v>4338</v>
      </c>
      <c r="B302" s="49">
        <v>0</v>
      </c>
      <c r="C302" s="49"/>
      <c r="D302" s="72" t="s">
        <v>644</v>
      </c>
      <c r="E302" s="49" t="s">
        <v>3754</v>
      </c>
      <c r="F302" s="49"/>
      <c r="G302" s="49"/>
      <c r="H302" s="49" t="s">
        <v>4339</v>
      </c>
      <c r="I302" s="49" t="s">
        <v>4342</v>
      </c>
      <c r="J302" s="49" t="s">
        <v>4340</v>
      </c>
      <c r="K302" s="49" t="s">
        <v>4341</v>
      </c>
      <c r="L302" s="49">
        <v>0</v>
      </c>
      <c r="M302" s="49" t="s">
        <v>1764</v>
      </c>
      <c r="N302" s="49" t="s">
        <v>4343</v>
      </c>
      <c r="O302" s="49">
        <v>2</v>
      </c>
      <c r="P302" s="49" t="s">
        <v>4344</v>
      </c>
      <c r="Q302" s="49">
        <v>0</v>
      </c>
      <c r="R302" s="49" t="s">
        <v>4345</v>
      </c>
      <c r="S302" s="49" t="s">
        <v>4346</v>
      </c>
      <c r="T302" s="49" t="s">
        <v>646</v>
      </c>
      <c r="U302" s="49" t="s">
        <v>791</v>
      </c>
      <c r="V302" s="49" t="e">
        <v>#REF!</v>
      </c>
      <c r="AC302" s="49"/>
      <c r="AD302" s="49"/>
    </row>
    <row r="303" spans="1:30" hidden="1" x14ac:dyDescent="0.3">
      <c r="A303" s="49" t="s">
        <v>4347</v>
      </c>
      <c r="B303" s="49">
        <v>0</v>
      </c>
      <c r="C303" s="49"/>
      <c r="D303" s="72" t="s">
        <v>644</v>
      </c>
      <c r="E303" s="49" t="s">
        <v>3754</v>
      </c>
      <c r="F303" s="49"/>
      <c r="G303" s="49"/>
      <c r="H303" s="49" t="s">
        <v>4348</v>
      </c>
      <c r="I303" s="49" t="s">
        <v>4351</v>
      </c>
      <c r="J303" s="49" t="s">
        <v>4349</v>
      </c>
      <c r="K303" s="49" t="s">
        <v>4350</v>
      </c>
      <c r="L303" s="49">
        <v>0</v>
      </c>
      <c r="M303" s="49" t="s">
        <v>1817</v>
      </c>
      <c r="N303" s="49" t="s">
        <v>818</v>
      </c>
      <c r="O303" s="49">
        <v>2</v>
      </c>
      <c r="P303" s="49" t="s">
        <v>4352</v>
      </c>
      <c r="Q303" s="49">
        <v>0</v>
      </c>
      <c r="R303" s="49" t="s">
        <v>4353</v>
      </c>
      <c r="S303" s="49" t="s">
        <v>4354</v>
      </c>
      <c r="T303" s="49" t="s">
        <v>4355</v>
      </c>
      <c r="U303" s="49" t="s">
        <v>670</v>
      </c>
      <c r="V303" s="49" t="e">
        <v>#REF!</v>
      </c>
      <c r="AC303" s="49"/>
      <c r="AD303" s="49"/>
    </row>
    <row r="304" spans="1:30" hidden="1" x14ac:dyDescent="0.3">
      <c r="A304" s="49" t="s">
        <v>4356</v>
      </c>
      <c r="B304" s="49">
        <v>0</v>
      </c>
      <c r="C304" s="49"/>
      <c r="D304" s="72" t="s">
        <v>644</v>
      </c>
      <c r="E304" s="49" t="s">
        <v>3754</v>
      </c>
      <c r="F304" s="49"/>
      <c r="G304" s="49"/>
      <c r="H304" s="49" t="s">
        <v>4357</v>
      </c>
      <c r="I304" s="49" t="s">
        <v>4360</v>
      </c>
      <c r="J304" s="49" t="s">
        <v>4358</v>
      </c>
      <c r="K304" s="49" t="s">
        <v>4359</v>
      </c>
      <c r="L304" s="49">
        <v>0</v>
      </c>
      <c r="M304" s="49" t="s">
        <v>1764</v>
      </c>
      <c r="N304" s="49" t="s">
        <v>4361</v>
      </c>
      <c r="O304" s="49">
        <v>10</v>
      </c>
      <c r="P304" s="49" t="s">
        <v>4362</v>
      </c>
      <c r="Q304" s="49">
        <v>0</v>
      </c>
      <c r="R304" s="49" t="s">
        <v>4363</v>
      </c>
      <c r="S304" s="49" t="s">
        <v>4364</v>
      </c>
      <c r="T304" s="49" t="s">
        <v>4365</v>
      </c>
      <c r="U304" s="49" t="s">
        <v>655</v>
      </c>
      <c r="V304" s="49" t="e">
        <v>#REF!</v>
      </c>
      <c r="AC304" s="49"/>
      <c r="AD304" s="49"/>
    </row>
    <row r="305" spans="1:30" hidden="1" x14ac:dyDescent="0.3">
      <c r="A305" s="49" t="s">
        <v>1172</v>
      </c>
      <c r="B305" s="49">
        <v>0</v>
      </c>
      <c r="C305" s="49"/>
      <c r="D305" s="72" t="s">
        <v>644</v>
      </c>
      <c r="E305" s="49" t="s">
        <v>3754</v>
      </c>
      <c r="F305" s="49"/>
      <c r="G305" s="49"/>
      <c r="H305" s="49" t="s">
        <v>1174</v>
      </c>
      <c r="I305" s="49" t="s">
        <v>1175</v>
      </c>
      <c r="J305" s="49" t="s">
        <v>1176</v>
      </c>
      <c r="K305" s="49" t="s">
        <v>1177</v>
      </c>
      <c r="L305" s="49">
        <v>0</v>
      </c>
      <c r="M305" s="49" t="s">
        <v>1826</v>
      </c>
      <c r="N305" s="49" t="s">
        <v>1178</v>
      </c>
      <c r="O305" s="49">
        <v>44</v>
      </c>
      <c r="P305" s="49" t="s">
        <v>1179</v>
      </c>
      <c r="Q305" s="49">
        <v>0</v>
      </c>
      <c r="R305" s="49" t="s">
        <v>1180</v>
      </c>
      <c r="S305" s="49" t="s">
        <v>1181</v>
      </c>
      <c r="T305" s="49" t="s">
        <v>646</v>
      </c>
      <c r="U305" s="49" t="s">
        <v>670</v>
      </c>
      <c r="V305" s="49" t="e">
        <v>#REF!</v>
      </c>
      <c r="AC305" s="49"/>
      <c r="AD305" s="49"/>
    </row>
    <row r="306" spans="1:30" hidden="1" x14ac:dyDescent="0.3">
      <c r="A306" s="49" t="s">
        <v>910</v>
      </c>
      <c r="B306" s="49">
        <v>0</v>
      </c>
      <c r="C306" s="49"/>
      <c r="D306" s="72" t="s">
        <v>644</v>
      </c>
      <c r="E306" s="49" t="s">
        <v>3754</v>
      </c>
      <c r="F306" s="49"/>
      <c r="G306" s="49"/>
      <c r="H306" s="49" t="s">
        <v>912</v>
      </c>
      <c r="I306" s="49" t="s">
        <v>913</v>
      </c>
      <c r="J306" s="49" t="s">
        <v>914</v>
      </c>
      <c r="K306" s="49" t="s">
        <v>915</v>
      </c>
      <c r="L306" s="49">
        <v>0</v>
      </c>
      <c r="M306" s="49" t="s">
        <v>4084</v>
      </c>
      <c r="N306" s="49" t="s">
        <v>708</v>
      </c>
      <c r="O306" s="49">
        <v>76</v>
      </c>
      <c r="P306" s="49" t="s">
        <v>916</v>
      </c>
      <c r="Q306" s="49">
        <v>0</v>
      </c>
      <c r="R306" s="49" t="s">
        <v>918</v>
      </c>
      <c r="S306" s="49" t="s">
        <v>919</v>
      </c>
      <c r="T306" s="49" t="s">
        <v>4366</v>
      </c>
      <c r="U306" s="49" t="s">
        <v>655</v>
      </c>
      <c r="V306" s="49" t="e">
        <v>#REF!</v>
      </c>
      <c r="AC306" s="49"/>
      <c r="AD306" s="49"/>
    </row>
    <row r="307" spans="1:30" hidden="1" x14ac:dyDescent="0.3">
      <c r="A307" s="49" t="s">
        <v>4367</v>
      </c>
      <c r="B307" s="49">
        <v>0</v>
      </c>
      <c r="C307" s="49"/>
      <c r="D307" s="72" t="s">
        <v>644</v>
      </c>
      <c r="E307" s="49" t="s">
        <v>3754</v>
      </c>
      <c r="F307" s="49"/>
      <c r="G307" s="49"/>
      <c r="H307" s="49" t="s">
        <v>4368</v>
      </c>
      <c r="I307" s="49" t="s">
        <v>4371</v>
      </c>
      <c r="J307" s="49" t="s">
        <v>4369</v>
      </c>
      <c r="K307" s="49" t="s">
        <v>4370</v>
      </c>
      <c r="L307" s="49">
        <v>0</v>
      </c>
      <c r="M307" s="49" t="s">
        <v>2456</v>
      </c>
      <c r="N307" s="49" t="s">
        <v>959</v>
      </c>
      <c r="O307" s="49">
        <v>12</v>
      </c>
      <c r="P307" s="49" t="s">
        <v>4372</v>
      </c>
      <c r="Q307" s="49">
        <v>0</v>
      </c>
      <c r="R307" s="49" t="s">
        <v>4373</v>
      </c>
      <c r="S307" s="49" t="s">
        <v>4374</v>
      </c>
      <c r="T307" s="49" t="s">
        <v>4375</v>
      </c>
      <c r="U307" s="49" t="s">
        <v>670</v>
      </c>
      <c r="V307" s="49" t="e">
        <v>#REF!</v>
      </c>
      <c r="AC307" s="49"/>
      <c r="AD307" s="49"/>
    </row>
    <row r="308" spans="1:30" hidden="1" x14ac:dyDescent="0.3">
      <c r="A308" s="49" t="s">
        <v>4376</v>
      </c>
      <c r="B308" s="49">
        <v>0</v>
      </c>
      <c r="C308" s="49"/>
      <c r="D308" s="72" t="s">
        <v>644</v>
      </c>
      <c r="E308" s="49" t="s">
        <v>3754</v>
      </c>
      <c r="F308" s="49"/>
      <c r="G308" s="49"/>
      <c r="H308" s="49" t="s">
        <v>4377</v>
      </c>
      <c r="I308" s="49" t="s">
        <v>4380</v>
      </c>
      <c r="J308" s="49" t="s">
        <v>4378</v>
      </c>
      <c r="K308" s="49" t="s">
        <v>4379</v>
      </c>
      <c r="L308" s="49">
        <v>0</v>
      </c>
      <c r="M308" s="49" t="s">
        <v>1777</v>
      </c>
      <c r="N308" s="49" t="s">
        <v>4381</v>
      </c>
      <c r="O308" s="49">
        <v>243</v>
      </c>
      <c r="P308" s="49" t="s">
        <v>4382</v>
      </c>
      <c r="Q308" s="49">
        <v>0</v>
      </c>
      <c r="R308" s="49" t="s">
        <v>4383</v>
      </c>
      <c r="S308" s="49" t="s">
        <v>4384</v>
      </c>
      <c r="T308" s="49" t="s">
        <v>4385</v>
      </c>
      <c r="U308" s="49" t="s">
        <v>655</v>
      </c>
      <c r="V308" s="49" t="e">
        <v>#REF!</v>
      </c>
      <c r="AC308" s="49"/>
      <c r="AD308" s="49"/>
    </row>
    <row r="309" spans="1:30" hidden="1" x14ac:dyDescent="0.3">
      <c r="A309" s="49" t="s">
        <v>4386</v>
      </c>
      <c r="B309" s="49">
        <v>0</v>
      </c>
      <c r="C309" s="49"/>
      <c r="D309" s="72" t="s">
        <v>644</v>
      </c>
      <c r="E309" s="49" t="s">
        <v>3754</v>
      </c>
      <c r="F309" s="49"/>
      <c r="G309" s="49"/>
      <c r="H309" s="49" t="s">
        <v>4387</v>
      </c>
      <c r="I309" s="49" t="s">
        <v>4390</v>
      </c>
      <c r="J309" s="49" t="s">
        <v>4388</v>
      </c>
      <c r="K309" s="49" t="s">
        <v>4389</v>
      </c>
      <c r="L309" s="49">
        <v>0</v>
      </c>
      <c r="M309" s="49" t="s">
        <v>1777</v>
      </c>
      <c r="N309" s="49" t="s">
        <v>4391</v>
      </c>
      <c r="O309" s="49">
        <v>2</v>
      </c>
      <c r="P309" s="49" t="s">
        <v>4392</v>
      </c>
      <c r="Q309" s="49">
        <v>0</v>
      </c>
      <c r="R309" s="49" t="s">
        <v>4393</v>
      </c>
      <c r="S309" s="49" t="s">
        <v>4394</v>
      </c>
      <c r="T309" s="49" t="s">
        <v>4395</v>
      </c>
      <c r="U309" s="49" t="s">
        <v>655</v>
      </c>
      <c r="V309" s="49" t="e">
        <v>#REF!</v>
      </c>
      <c r="AC309" s="49"/>
      <c r="AD309" s="49"/>
    </row>
    <row r="310" spans="1:30" hidden="1" x14ac:dyDescent="0.3">
      <c r="A310" s="49" t="s">
        <v>4396</v>
      </c>
      <c r="B310" s="49">
        <v>0</v>
      </c>
      <c r="C310" s="49"/>
      <c r="D310" s="72" t="s">
        <v>644</v>
      </c>
      <c r="E310" s="49" t="s">
        <v>3754</v>
      </c>
      <c r="F310" s="49"/>
      <c r="G310" s="49"/>
      <c r="H310" s="49" t="s">
        <v>4397</v>
      </c>
      <c r="I310" s="49" t="s">
        <v>4400</v>
      </c>
      <c r="J310" s="49" t="s">
        <v>4398</v>
      </c>
      <c r="K310" s="49" t="s">
        <v>4399</v>
      </c>
      <c r="L310" s="49">
        <v>0</v>
      </c>
      <c r="M310" s="49" t="s">
        <v>2636</v>
      </c>
      <c r="N310" s="49" t="s">
        <v>4401</v>
      </c>
      <c r="O310" s="49">
        <v>16</v>
      </c>
      <c r="P310" s="49" t="s">
        <v>4402</v>
      </c>
      <c r="Q310" s="49">
        <v>0</v>
      </c>
      <c r="R310" s="49" t="s">
        <v>4403</v>
      </c>
      <c r="S310" s="49" t="s">
        <v>4404</v>
      </c>
      <c r="T310" s="49" t="s">
        <v>4405</v>
      </c>
      <c r="U310" s="49" t="s">
        <v>670</v>
      </c>
      <c r="V310" s="49" t="e">
        <v>#REF!</v>
      </c>
      <c r="AC310" s="49"/>
      <c r="AD310" s="49"/>
    </row>
    <row r="311" spans="1:30" hidden="1" x14ac:dyDescent="0.3">
      <c r="A311" s="49" t="s">
        <v>4406</v>
      </c>
      <c r="B311" s="49">
        <v>0</v>
      </c>
      <c r="C311" s="49"/>
      <c r="D311" s="72" t="s">
        <v>644</v>
      </c>
      <c r="E311" s="49" t="s">
        <v>3754</v>
      </c>
      <c r="F311" s="49"/>
      <c r="G311" s="49"/>
      <c r="H311" s="49" t="s">
        <v>4407</v>
      </c>
      <c r="I311" s="49" t="s">
        <v>1035</v>
      </c>
      <c r="J311" s="49" t="s">
        <v>4408</v>
      </c>
      <c r="K311" s="49" t="s">
        <v>4409</v>
      </c>
      <c r="L311" s="49">
        <v>0</v>
      </c>
      <c r="M311" s="49" t="s">
        <v>2456</v>
      </c>
      <c r="N311" s="49" t="s">
        <v>4410</v>
      </c>
      <c r="O311" s="49">
        <v>14</v>
      </c>
      <c r="P311" s="49" t="s">
        <v>4411</v>
      </c>
      <c r="Q311" s="49">
        <v>0</v>
      </c>
      <c r="R311" s="49" t="s">
        <v>4412</v>
      </c>
      <c r="S311" s="49" t="s">
        <v>4413</v>
      </c>
      <c r="T311" s="49" t="s">
        <v>1043</v>
      </c>
      <c r="U311" s="49" t="s">
        <v>670</v>
      </c>
      <c r="V311" s="49" t="e">
        <v>#REF!</v>
      </c>
      <c r="AC311" s="49"/>
      <c r="AD311" s="49"/>
    </row>
    <row r="312" spans="1:30" hidden="1" x14ac:dyDescent="0.3">
      <c r="A312" s="49" t="s">
        <v>4414</v>
      </c>
      <c r="B312" s="49">
        <v>0</v>
      </c>
      <c r="C312" s="49"/>
      <c r="D312" s="72" t="s">
        <v>644</v>
      </c>
      <c r="E312" s="49" t="s">
        <v>3754</v>
      </c>
      <c r="F312" s="49"/>
      <c r="G312" s="49"/>
      <c r="H312" s="49" t="s">
        <v>4415</v>
      </c>
      <c r="I312" s="49" t="s">
        <v>4418</v>
      </c>
      <c r="J312" s="49" t="s">
        <v>4416</v>
      </c>
      <c r="K312" s="49" t="s">
        <v>4417</v>
      </c>
      <c r="L312" s="49">
        <v>0</v>
      </c>
      <c r="M312" s="49" t="s">
        <v>2456</v>
      </c>
      <c r="N312" s="49" t="s">
        <v>818</v>
      </c>
      <c r="O312" s="49">
        <v>8</v>
      </c>
      <c r="P312" s="49" t="s">
        <v>4419</v>
      </c>
      <c r="Q312" s="49">
        <v>0</v>
      </c>
      <c r="R312" s="49" t="s">
        <v>4420</v>
      </c>
      <c r="S312" s="49" t="s">
        <v>4421</v>
      </c>
      <c r="T312" s="49" t="s">
        <v>4422</v>
      </c>
      <c r="U312" s="49" t="s">
        <v>670</v>
      </c>
      <c r="V312" s="49" t="e">
        <v>#REF!</v>
      </c>
      <c r="AC312" s="49"/>
      <c r="AD312" s="49"/>
    </row>
    <row r="313" spans="1:30" hidden="1" x14ac:dyDescent="0.3">
      <c r="A313" s="49" t="s">
        <v>4423</v>
      </c>
      <c r="B313" s="49">
        <v>0</v>
      </c>
      <c r="C313" s="49"/>
      <c r="D313" s="72" t="s">
        <v>644</v>
      </c>
      <c r="E313" s="49" t="s">
        <v>3754</v>
      </c>
      <c r="F313" s="49"/>
      <c r="G313" s="49"/>
      <c r="H313" s="49" t="s">
        <v>646</v>
      </c>
      <c r="I313" s="49" t="s">
        <v>4426</v>
      </c>
      <c r="J313" s="49" t="s">
        <v>4424</v>
      </c>
      <c r="K313" s="49" t="s">
        <v>4425</v>
      </c>
      <c r="L313" s="49">
        <v>0</v>
      </c>
      <c r="M313" s="49" t="s">
        <v>2142</v>
      </c>
      <c r="N313" s="49" t="s">
        <v>1159</v>
      </c>
      <c r="O313" s="49">
        <v>5</v>
      </c>
      <c r="P313" s="49" t="s">
        <v>4427</v>
      </c>
      <c r="Q313" s="49">
        <v>0</v>
      </c>
      <c r="R313" s="49" t="s">
        <v>4428</v>
      </c>
      <c r="S313" s="49" t="s">
        <v>4429</v>
      </c>
      <c r="T313" s="49" t="s">
        <v>646</v>
      </c>
      <c r="U313" s="49" t="s">
        <v>655</v>
      </c>
      <c r="V313" s="49" t="e">
        <v>#REF!</v>
      </c>
      <c r="AC313" s="49"/>
      <c r="AD313" s="49"/>
    </row>
    <row r="314" spans="1:30" hidden="1" x14ac:dyDescent="0.3">
      <c r="A314" s="49" t="s">
        <v>4430</v>
      </c>
      <c r="B314" s="49">
        <v>0</v>
      </c>
      <c r="C314" s="49"/>
      <c r="D314" s="72" t="s">
        <v>644</v>
      </c>
      <c r="E314" s="49" t="s">
        <v>3754</v>
      </c>
      <c r="F314" s="49"/>
      <c r="G314" s="49"/>
      <c r="H314" s="49" t="s">
        <v>646</v>
      </c>
      <c r="I314" s="49" t="s">
        <v>4433</v>
      </c>
      <c r="J314" s="49" t="s">
        <v>4431</v>
      </c>
      <c r="K314" s="49" t="s">
        <v>4432</v>
      </c>
      <c r="L314" s="49">
        <v>0</v>
      </c>
      <c r="M314" s="49" t="s">
        <v>4114</v>
      </c>
      <c r="N314" s="49" t="s">
        <v>4434</v>
      </c>
      <c r="O314" s="49">
        <v>19</v>
      </c>
      <c r="P314" s="49" t="s">
        <v>4435</v>
      </c>
      <c r="Q314" s="49">
        <v>0</v>
      </c>
      <c r="R314" s="49" t="s">
        <v>4436</v>
      </c>
      <c r="S314" s="49" t="s">
        <v>4437</v>
      </c>
      <c r="T314" s="49" t="s">
        <v>4438</v>
      </c>
      <c r="U314" s="49" t="s">
        <v>655</v>
      </c>
      <c r="V314" s="49" t="e">
        <v>#REF!</v>
      </c>
      <c r="AC314" s="49"/>
      <c r="AD314" s="49"/>
    </row>
    <row r="315" spans="1:30" hidden="1" x14ac:dyDescent="0.3">
      <c r="A315" s="49" t="s">
        <v>4439</v>
      </c>
      <c r="B315" s="49">
        <v>0</v>
      </c>
      <c r="C315" s="49"/>
      <c r="D315" s="72" t="s">
        <v>644</v>
      </c>
      <c r="E315" s="49" t="s">
        <v>3754</v>
      </c>
      <c r="F315" s="49"/>
      <c r="G315" s="49"/>
      <c r="H315" s="49" t="s">
        <v>4440</v>
      </c>
      <c r="I315" s="49" t="s">
        <v>4443</v>
      </c>
      <c r="J315" s="49" t="s">
        <v>4441</v>
      </c>
      <c r="K315" s="49" t="s">
        <v>4442</v>
      </c>
      <c r="L315" s="49">
        <v>0</v>
      </c>
      <c r="M315" s="49" t="s">
        <v>4114</v>
      </c>
      <c r="N315" s="49" t="s">
        <v>4444</v>
      </c>
      <c r="O315" s="49">
        <v>2</v>
      </c>
      <c r="P315" s="49" t="s">
        <v>4445</v>
      </c>
      <c r="Q315" s="49">
        <v>0</v>
      </c>
      <c r="R315" s="49" t="s">
        <v>4446</v>
      </c>
      <c r="S315" s="49" t="s">
        <v>4447</v>
      </c>
      <c r="T315" s="49" t="s">
        <v>646</v>
      </c>
      <c r="U315" s="49" t="s">
        <v>655</v>
      </c>
      <c r="V315" s="49" t="e">
        <v>#REF!</v>
      </c>
      <c r="AC315" s="49"/>
      <c r="AD315" s="49"/>
    </row>
    <row r="316" spans="1:30" hidden="1" x14ac:dyDescent="0.3">
      <c r="A316" s="49" t="s">
        <v>792</v>
      </c>
      <c r="B316" s="49">
        <v>0</v>
      </c>
      <c r="C316" s="49"/>
      <c r="D316" s="72" t="s">
        <v>644</v>
      </c>
      <c r="E316" s="49" t="s">
        <v>3754</v>
      </c>
      <c r="F316" s="49"/>
      <c r="G316" s="49"/>
      <c r="H316" s="49" t="s">
        <v>794</v>
      </c>
      <c r="I316" s="49" t="s">
        <v>795</v>
      </c>
      <c r="J316" s="49" t="s">
        <v>796</v>
      </c>
      <c r="K316" s="49" t="s">
        <v>797</v>
      </c>
      <c r="L316" s="49">
        <v>0</v>
      </c>
      <c r="M316" s="49" t="s">
        <v>1826</v>
      </c>
      <c r="N316" s="49" t="s">
        <v>687</v>
      </c>
      <c r="O316" s="49">
        <v>4</v>
      </c>
      <c r="P316" s="49" t="s">
        <v>798</v>
      </c>
      <c r="Q316" s="49">
        <v>0</v>
      </c>
      <c r="R316" s="49" t="s">
        <v>799</v>
      </c>
      <c r="S316" s="49" t="s">
        <v>800</v>
      </c>
      <c r="T316" s="49" t="s">
        <v>646</v>
      </c>
      <c r="U316" s="49" t="s">
        <v>670</v>
      </c>
      <c r="V316" s="49" t="e">
        <v>#REF!</v>
      </c>
      <c r="AC316" s="49"/>
      <c r="AD316" s="49"/>
    </row>
    <row r="317" spans="1:30" hidden="1" x14ac:dyDescent="0.3">
      <c r="A317" s="49" t="s">
        <v>4448</v>
      </c>
      <c r="B317" s="49">
        <v>0</v>
      </c>
      <c r="C317" s="49"/>
      <c r="D317" s="72" t="s">
        <v>644</v>
      </c>
      <c r="E317" s="49" t="s">
        <v>3754</v>
      </c>
      <c r="F317" s="49"/>
      <c r="G317" s="49"/>
      <c r="H317" s="49" t="s">
        <v>4449</v>
      </c>
      <c r="I317" s="49" t="s">
        <v>4452</v>
      </c>
      <c r="J317" s="49" t="s">
        <v>4450</v>
      </c>
      <c r="K317" s="49" t="s">
        <v>4451</v>
      </c>
      <c r="L317" s="49">
        <v>0</v>
      </c>
      <c r="M317" s="49" t="s">
        <v>2456</v>
      </c>
      <c r="N317" s="49" t="s">
        <v>4410</v>
      </c>
      <c r="O317" s="49">
        <v>17</v>
      </c>
      <c r="P317" s="49" t="s">
        <v>4453</v>
      </c>
      <c r="Q317" s="49">
        <v>0</v>
      </c>
      <c r="R317" s="49" t="s">
        <v>4454</v>
      </c>
      <c r="S317" s="49" t="s">
        <v>4455</v>
      </c>
      <c r="T317" s="49" t="s">
        <v>4456</v>
      </c>
      <c r="U317" s="49" t="s">
        <v>670</v>
      </c>
      <c r="V317" s="49" t="e">
        <v>#REF!</v>
      </c>
      <c r="AC317" s="49"/>
      <c r="AD317" s="49"/>
    </row>
    <row r="318" spans="1:30" hidden="1" x14ac:dyDescent="0.3">
      <c r="A318" s="49" t="s">
        <v>4457</v>
      </c>
      <c r="B318" s="49">
        <v>0</v>
      </c>
      <c r="C318" s="49"/>
      <c r="D318" s="72" t="s">
        <v>644</v>
      </c>
      <c r="E318" s="49" t="s">
        <v>3754</v>
      </c>
      <c r="F318" s="49"/>
      <c r="G318" s="49"/>
      <c r="H318" s="49" t="s">
        <v>646</v>
      </c>
      <c r="I318" s="49" t="s">
        <v>4460</v>
      </c>
      <c r="J318" s="49" t="s">
        <v>4458</v>
      </c>
      <c r="K318" s="49" t="s">
        <v>4459</v>
      </c>
      <c r="L318" s="49">
        <v>0</v>
      </c>
      <c r="M318" s="49" t="s">
        <v>1826</v>
      </c>
      <c r="N318" s="49" t="s">
        <v>4461</v>
      </c>
      <c r="O318" s="49">
        <v>27</v>
      </c>
      <c r="P318" s="49" t="s">
        <v>4462</v>
      </c>
      <c r="Q318" s="49">
        <v>0</v>
      </c>
      <c r="R318" s="49" t="s">
        <v>4463</v>
      </c>
      <c r="S318" s="49" t="s">
        <v>4464</v>
      </c>
      <c r="T318" s="49" t="s">
        <v>646</v>
      </c>
      <c r="U318" s="49" t="s">
        <v>670</v>
      </c>
      <c r="V318" s="49" t="e">
        <v>#REF!</v>
      </c>
      <c r="AC318" s="49"/>
      <c r="AD318" s="49"/>
    </row>
    <row r="319" spans="1:30" hidden="1" x14ac:dyDescent="0.3">
      <c r="A319" s="49" t="s">
        <v>687</v>
      </c>
      <c r="B319" s="49">
        <v>0</v>
      </c>
      <c r="C319" s="49"/>
      <c r="D319" s="72" t="s">
        <v>644</v>
      </c>
      <c r="E319" s="49" t="s">
        <v>3754</v>
      </c>
      <c r="F319" s="49"/>
      <c r="G319" s="49"/>
      <c r="H319" s="49" t="s">
        <v>646</v>
      </c>
      <c r="I319" s="49" t="s">
        <v>826</v>
      </c>
      <c r="J319" s="49" t="s">
        <v>827</v>
      </c>
      <c r="K319" s="49" t="s">
        <v>4465</v>
      </c>
      <c r="L319" s="49">
        <v>0</v>
      </c>
      <c r="M319" s="49" t="s">
        <v>1764</v>
      </c>
      <c r="N319" s="49" t="s">
        <v>687</v>
      </c>
      <c r="P319" s="49" t="s">
        <v>4466</v>
      </c>
      <c r="Q319" s="49">
        <v>0</v>
      </c>
      <c r="R319" s="49" t="s">
        <v>646</v>
      </c>
      <c r="S319" s="49" t="s">
        <v>646</v>
      </c>
      <c r="T319" s="49" t="s">
        <v>646</v>
      </c>
      <c r="U319" s="49" t="s">
        <v>830</v>
      </c>
      <c r="V319" s="49" t="e">
        <v>#REF!</v>
      </c>
      <c r="AC319" s="49"/>
      <c r="AD319" s="49"/>
    </row>
    <row r="320" spans="1:30" hidden="1" x14ac:dyDescent="0.3">
      <c r="A320" s="49" t="s">
        <v>4467</v>
      </c>
      <c r="B320" s="49">
        <v>0</v>
      </c>
      <c r="C320" s="49"/>
      <c r="D320" s="72" t="s">
        <v>644</v>
      </c>
      <c r="E320" s="49" t="s">
        <v>3754</v>
      </c>
      <c r="F320" s="49"/>
      <c r="G320" s="49"/>
      <c r="H320" s="49" t="s">
        <v>646</v>
      </c>
      <c r="I320" s="49" t="s">
        <v>4470</v>
      </c>
      <c r="J320" s="49" t="s">
        <v>4468</v>
      </c>
      <c r="K320" s="49" t="s">
        <v>4469</v>
      </c>
      <c r="L320" s="49">
        <v>0</v>
      </c>
      <c r="M320" s="49" t="s">
        <v>2636</v>
      </c>
      <c r="N320" s="49" t="s">
        <v>4471</v>
      </c>
      <c r="O320" s="49">
        <v>49</v>
      </c>
      <c r="P320" s="49" t="s">
        <v>4472</v>
      </c>
      <c r="Q320" s="49">
        <v>0</v>
      </c>
      <c r="R320" s="49" t="s">
        <v>4473</v>
      </c>
      <c r="S320" s="49" t="s">
        <v>4474</v>
      </c>
      <c r="T320" s="49" t="s">
        <v>4475</v>
      </c>
      <c r="U320" s="49" t="s">
        <v>670</v>
      </c>
      <c r="V320" s="49" t="e">
        <v>#REF!</v>
      </c>
      <c r="AC320" s="49"/>
      <c r="AD320" s="49"/>
    </row>
    <row r="321" spans="1:30" hidden="1" x14ac:dyDescent="0.3">
      <c r="A321" s="49" t="s">
        <v>4476</v>
      </c>
      <c r="B321" s="49">
        <v>0</v>
      </c>
      <c r="C321" s="49"/>
      <c r="D321" s="72" t="s">
        <v>644</v>
      </c>
      <c r="E321" s="49" t="s">
        <v>3754</v>
      </c>
      <c r="F321" s="49"/>
      <c r="G321" s="49"/>
      <c r="H321" s="49" t="s">
        <v>4477</v>
      </c>
      <c r="I321" s="49" t="s">
        <v>4480</v>
      </c>
      <c r="J321" s="49" t="s">
        <v>4478</v>
      </c>
      <c r="K321" s="49" t="s">
        <v>4479</v>
      </c>
      <c r="L321" s="49">
        <v>0</v>
      </c>
      <c r="M321" s="49" t="s">
        <v>4084</v>
      </c>
      <c r="N321" s="49" t="s">
        <v>4481</v>
      </c>
      <c r="O321" s="49">
        <v>2</v>
      </c>
      <c r="P321" s="49" t="s">
        <v>4482</v>
      </c>
      <c r="Q321" s="49">
        <v>0</v>
      </c>
      <c r="R321" s="49" t="s">
        <v>4483</v>
      </c>
      <c r="S321" s="49" t="s">
        <v>4484</v>
      </c>
      <c r="T321" s="49" t="s">
        <v>4485</v>
      </c>
      <c r="U321" s="49" t="s">
        <v>670</v>
      </c>
      <c r="V321" s="49" t="e">
        <v>#REF!</v>
      </c>
      <c r="AC321" s="49"/>
      <c r="AD321" s="49"/>
    </row>
    <row r="322" spans="1:30" hidden="1" x14ac:dyDescent="0.3">
      <c r="A322" s="49" t="s">
        <v>4486</v>
      </c>
      <c r="B322" s="49">
        <v>0</v>
      </c>
      <c r="C322" s="49"/>
      <c r="D322" s="72" t="s">
        <v>644</v>
      </c>
      <c r="E322" s="49" t="s">
        <v>3754</v>
      </c>
      <c r="F322" s="49"/>
      <c r="G322" s="49"/>
      <c r="H322" s="49" t="s">
        <v>4487</v>
      </c>
      <c r="I322" s="49" t="s">
        <v>4490</v>
      </c>
      <c r="J322" s="49" t="s">
        <v>4488</v>
      </c>
      <c r="K322" s="49" t="s">
        <v>4489</v>
      </c>
      <c r="L322" s="49">
        <v>0</v>
      </c>
      <c r="M322" s="49" t="s">
        <v>2142</v>
      </c>
      <c r="N322" s="49" t="s">
        <v>4491</v>
      </c>
      <c r="O322" s="49">
        <v>7</v>
      </c>
      <c r="P322" s="49" t="s">
        <v>4492</v>
      </c>
      <c r="Q322" s="49">
        <v>0</v>
      </c>
      <c r="R322" s="49" t="s">
        <v>4493</v>
      </c>
      <c r="S322" s="49" t="s">
        <v>4494</v>
      </c>
      <c r="T322" s="49" t="s">
        <v>4495</v>
      </c>
      <c r="U322" s="49" t="s">
        <v>655</v>
      </c>
      <c r="V322" s="49" t="e">
        <v>#REF!</v>
      </c>
      <c r="AC322" s="49"/>
      <c r="AD322" s="49"/>
    </row>
    <row r="323" spans="1:30" hidden="1" x14ac:dyDescent="0.3">
      <c r="A323" s="49" t="s">
        <v>4496</v>
      </c>
      <c r="B323" s="49">
        <v>0</v>
      </c>
      <c r="C323" s="49"/>
      <c r="D323" s="72" t="s">
        <v>644</v>
      </c>
      <c r="E323" s="49" t="s">
        <v>3754</v>
      </c>
      <c r="F323" s="49"/>
      <c r="G323" s="49"/>
      <c r="H323" s="49" t="s">
        <v>4497</v>
      </c>
      <c r="I323" s="49" t="s">
        <v>4500</v>
      </c>
      <c r="J323" s="49" t="s">
        <v>4498</v>
      </c>
      <c r="K323" s="49" t="s">
        <v>4499</v>
      </c>
      <c r="L323" s="49">
        <v>0</v>
      </c>
      <c r="M323" s="49" t="s">
        <v>4084</v>
      </c>
      <c r="N323" s="49" t="s">
        <v>895</v>
      </c>
      <c r="O323" s="49">
        <v>8</v>
      </c>
      <c r="P323" s="49" t="s">
        <v>4501</v>
      </c>
      <c r="Q323" s="49">
        <v>0</v>
      </c>
      <c r="R323" s="49" t="s">
        <v>4502</v>
      </c>
      <c r="S323" s="49" t="s">
        <v>4503</v>
      </c>
      <c r="T323" s="49" t="s">
        <v>4504</v>
      </c>
      <c r="U323" s="49" t="s">
        <v>670</v>
      </c>
      <c r="V323" s="49" t="e">
        <v>#REF!</v>
      </c>
      <c r="AC323" s="49"/>
      <c r="AD323" s="49"/>
    </row>
    <row r="324" spans="1:30" hidden="1" x14ac:dyDescent="0.3">
      <c r="A324" s="49" t="s">
        <v>4505</v>
      </c>
      <c r="B324" s="49">
        <v>0</v>
      </c>
      <c r="C324" s="49"/>
      <c r="D324" s="72" t="s">
        <v>644</v>
      </c>
      <c r="E324" s="49" t="s">
        <v>3754</v>
      </c>
      <c r="F324" s="49"/>
      <c r="G324" s="49"/>
      <c r="H324" s="49" t="s">
        <v>4506</v>
      </c>
      <c r="I324" s="49" t="s">
        <v>4509</v>
      </c>
      <c r="J324" s="49" t="s">
        <v>4507</v>
      </c>
      <c r="K324" s="49" t="s">
        <v>4508</v>
      </c>
      <c r="L324" s="49">
        <v>0</v>
      </c>
      <c r="M324" s="49" t="s">
        <v>1826</v>
      </c>
      <c r="N324" s="49" t="s">
        <v>4510</v>
      </c>
      <c r="O324" s="49">
        <v>15</v>
      </c>
      <c r="P324" s="49" t="s">
        <v>4511</v>
      </c>
      <c r="Q324" s="49">
        <v>0</v>
      </c>
      <c r="R324" s="49" t="s">
        <v>4512</v>
      </c>
      <c r="S324" s="49" t="s">
        <v>4513</v>
      </c>
      <c r="T324" s="49" t="s">
        <v>4514</v>
      </c>
      <c r="U324" s="49" t="s">
        <v>655</v>
      </c>
      <c r="V324" s="49" t="e">
        <v>#REF!</v>
      </c>
      <c r="AC324" s="49"/>
      <c r="AD324" s="49"/>
    </row>
    <row r="325" spans="1:30" hidden="1" x14ac:dyDescent="0.3">
      <c r="A325" s="49" t="s">
        <v>4515</v>
      </c>
      <c r="B325" s="49">
        <v>0</v>
      </c>
      <c r="C325" s="49"/>
      <c r="D325" s="72" t="s">
        <v>644</v>
      </c>
      <c r="E325" s="49" t="s">
        <v>3754</v>
      </c>
      <c r="F325" s="49"/>
      <c r="G325" s="49"/>
      <c r="H325" s="49" t="s">
        <v>4516</v>
      </c>
      <c r="I325" s="49" t="s">
        <v>4520</v>
      </c>
      <c r="J325" s="49" t="s">
        <v>4517</v>
      </c>
      <c r="K325" s="49" t="s">
        <v>4518</v>
      </c>
      <c r="L325" s="49">
        <v>0</v>
      </c>
      <c r="M325" s="49" t="s">
        <v>4519</v>
      </c>
      <c r="N325" s="49" t="s">
        <v>4521</v>
      </c>
      <c r="O325" s="49">
        <v>21</v>
      </c>
      <c r="P325" s="49" t="s">
        <v>4522</v>
      </c>
      <c r="Q325" s="49">
        <v>0</v>
      </c>
      <c r="R325" s="49" t="s">
        <v>4523</v>
      </c>
      <c r="S325" s="49" t="s">
        <v>4524</v>
      </c>
      <c r="T325" s="49" t="s">
        <v>4525</v>
      </c>
      <c r="U325" s="49" t="s">
        <v>670</v>
      </c>
      <c r="V325" s="49" t="e">
        <v>#REF!</v>
      </c>
      <c r="AC325" s="49"/>
      <c r="AD325" s="49"/>
    </row>
    <row r="326" spans="1:30" hidden="1" x14ac:dyDescent="0.3">
      <c r="A326" s="49" t="s">
        <v>4526</v>
      </c>
      <c r="B326" s="49">
        <v>0</v>
      </c>
      <c r="C326" s="49"/>
      <c r="D326" s="72" t="s">
        <v>644</v>
      </c>
      <c r="E326" s="49" t="s">
        <v>3754</v>
      </c>
      <c r="F326" s="49"/>
      <c r="G326" s="49"/>
      <c r="H326" s="49" t="s">
        <v>646</v>
      </c>
      <c r="I326" s="49" t="s">
        <v>4529</v>
      </c>
      <c r="J326" s="49" t="s">
        <v>4527</v>
      </c>
      <c r="K326" s="49" t="s">
        <v>4528</v>
      </c>
      <c r="L326" s="49">
        <v>0</v>
      </c>
      <c r="M326" s="49" t="s">
        <v>4114</v>
      </c>
      <c r="N326" s="49" t="s">
        <v>4530</v>
      </c>
      <c r="O326" s="49">
        <v>33</v>
      </c>
      <c r="P326" s="49" t="s">
        <v>4531</v>
      </c>
      <c r="Q326" s="49">
        <v>0</v>
      </c>
      <c r="R326" s="49" t="s">
        <v>4532</v>
      </c>
      <c r="S326" s="49" t="s">
        <v>4533</v>
      </c>
      <c r="T326" s="49" t="s">
        <v>646</v>
      </c>
      <c r="U326" s="49" t="s">
        <v>670</v>
      </c>
      <c r="V326" s="49" t="e">
        <v>#REF!</v>
      </c>
      <c r="AC326" s="49"/>
      <c r="AD326" s="49"/>
    </row>
    <row r="327" spans="1:30" hidden="1" x14ac:dyDescent="0.3">
      <c r="A327" s="49" t="s">
        <v>4534</v>
      </c>
      <c r="B327" s="49">
        <v>0</v>
      </c>
      <c r="C327" s="49"/>
      <c r="D327" s="72" t="s">
        <v>644</v>
      </c>
      <c r="E327" s="49" t="s">
        <v>3754</v>
      </c>
      <c r="F327" s="49"/>
      <c r="G327" s="49"/>
      <c r="H327" s="49" t="s">
        <v>4535</v>
      </c>
      <c r="I327" s="49" t="s">
        <v>4538</v>
      </c>
      <c r="J327" s="49" t="s">
        <v>4536</v>
      </c>
      <c r="K327" s="49" t="s">
        <v>4537</v>
      </c>
      <c r="L327" s="49">
        <v>0</v>
      </c>
      <c r="M327" s="49" t="s">
        <v>2484</v>
      </c>
      <c r="N327" s="49" t="s">
        <v>4539</v>
      </c>
      <c r="O327" s="49">
        <v>28</v>
      </c>
      <c r="P327" s="49" t="s">
        <v>4540</v>
      </c>
      <c r="Q327" s="49">
        <v>0</v>
      </c>
      <c r="R327" s="49" t="s">
        <v>4541</v>
      </c>
      <c r="S327" s="49" t="s">
        <v>4542</v>
      </c>
      <c r="T327" s="49" t="s">
        <v>646</v>
      </c>
      <c r="U327" s="49" t="s">
        <v>655</v>
      </c>
      <c r="V327" s="49" t="e">
        <v>#REF!</v>
      </c>
      <c r="AC327" s="49"/>
      <c r="AD327" s="49"/>
    </row>
    <row r="328" spans="1:30" hidden="1" x14ac:dyDescent="0.3">
      <c r="A328" s="49" t="s">
        <v>4543</v>
      </c>
      <c r="B328" s="49">
        <v>0</v>
      </c>
      <c r="C328" s="49"/>
      <c r="D328" s="72" t="s">
        <v>644</v>
      </c>
      <c r="E328" s="49" t="s">
        <v>3754</v>
      </c>
      <c r="F328" s="49"/>
      <c r="G328" s="49"/>
      <c r="H328" s="49" t="s">
        <v>4544</v>
      </c>
      <c r="I328" s="49" t="s">
        <v>4547</v>
      </c>
      <c r="J328" s="49" t="s">
        <v>4545</v>
      </c>
      <c r="K328" s="49" t="s">
        <v>4546</v>
      </c>
      <c r="L328" s="49">
        <v>0</v>
      </c>
      <c r="M328" s="49" t="s">
        <v>2636</v>
      </c>
      <c r="N328" s="49" t="s">
        <v>4548</v>
      </c>
      <c r="O328" s="49">
        <v>3</v>
      </c>
      <c r="P328" s="49" t="s">
        <v>4549</v>
      </c>
      <c r="Q328" s="49">
        <v>0</v>
      </c>
      <c r="R328" s="49" t="s">
        <v>4550</v>
      </c>
      <c r="S328" s="49" t="s">
        <v>4551</v>
      </c>
      <c r="T328" s="49" t="s">
        <v>4552</v>
      </c>
      <c r="U328" s="49" t="s">
        <v>670</v>
      </c>
      <c r="V328" s="49" t="e">
        <v>#REF!</v>
      </c>
      <c r="AC328" s="49"/>
      <c r="AD328" s="49"/>
    </row>
    <row r="329" spans="1:30" hidden="1" x14ac:dyDescent="0.3">
      <c r="A329" s="49" t="s">
        <v>4553</v>
      </c>
      <c r="B329" s="49">
        <v>0</v>
      </c>
      <c r="C329" s="49"/>
      <c r="D329" s="72" t="s">
        <v>644</v>
      </c>
      <c r="E329" s="49" t="s">
        <v>3754</v>
      </c>
      <c r="F329" s="49"/>
      <c r="G329" s="49"/>
      <c r="H329" s="49" t="s">
        <v>4554</v>
      </c>
      <c r="I329" s="49" t="s">
        <v>4556</v>
      </c>
      <c r="J329" s="49" t="s">
        <v>4545</v>
      </c>
      <c r="K329" s="49" t="s">
        <v>4555</v>
      </c>
      <c r="L329" s="49">
        <v>0</v>
      </c>
      <c r="M329" s="49" t="s">
        <v>4114</v>
      </c>
      <c r="N329" s="49" t="s">
        <v>4557</v>
      </c>
      <c r="O329" s="49">
        <v>9</v>
      </c>
      <c r="P329" s="49" t="s">
        <v>4558</v>
      </c>
      <c r="Q329" s="49">
        <v>0</v>
      </c>
      <c r="R329" s="49" t="s">
        <v>4559</v>
      </c>
      <c r="S329" s="49" t="s">
        <v>4560</v>
      </c>
      <c r="T329" s="49" t="s">
        <v>4561</v>
      </c>
      <c r="U329" s="49" t="s">
        <v>655</v>
      </c>
      <c r="V329" s="49" t="e">
        <v>#REF!</v>
      </c>
      <c r="AC329" s="49"/>
      <c r="AD329" s="49"/>
    </row>
    <row r="330" spans="1:30" hidden="1" x14ac:dyDescent="0.3">
      <c r="A330" s="49" t="s">
        <v>4562</v>
      </c>
      <c r="B330" s="49">
        <v>0</v>
      </c>
      <c r="C330" s="49"/>
      <c r="D330" s="72" t="s">
        <v>644</v>
      </c>
      <c r="E330" s="49" t="s">
        <v>3754</v>
      </c>
      <c r="F330" s="49"/>
      <c r="G330" s="49"/>
      <c r="H330" s="49" t="s">
        <v>4563</v>
      </c>
      <c r="I330" s="49" t="s">
        <v>4566</v>
      </c>
      <c r="J330" s="49" t="s">
        <v>4564</v>
      </c>
      <c r="K330" s="49" t="s">
        <v>4565</v>
      </c>
      <c r="L330" s="49">
        <v>0</v>
      </c>
      <c r="M330" s="49" t="s">
        <v>2220</v>
      </c>
      <c r="N330" s="49" t="s">
        <v>4567</v>
      </c>
      <c r="O330" s="49">
        <v>7</v>
      </c>
      <c r="P330" s="49" t="s">
        <v>4568</v>
      </c>
      <c r="Q330" s="49">
        <v>0</v>
      </c>
      <c r="R330" s="49" t="s">
        <v>4569</v>
      </c>
      <c r="S330" s="49" t="s">
        <v>4570</v>
      </c>
      <c r="T330" s="49" t="s">
        <v>4571</v>
      </c>
      <c r="U330" s="49" t="s">
        <v>670</v>
      </c>
      <c r="V330" s="49" t="e">
        <v>#REF!</v>
      </c>
      <c r="AC330" s="49"/>
      <c r="AD330" s="49"/>
    </row>
    <row r="331" spans="1:30" hidden="1" x14ac:dyDescent="0.3">
      <c r="A331" s="49" t="s">
        <v>4572</v>
      </c>
      <c r="B331" s="49">
        <v>0</v>
      </c>
      <c r="C331" s="49"/>
      <c r="D331" s="72" t="s">
        <v>644</v>
      </c>
      <c r="E331" s="49" t="s">
        <v>3754</v>
      </c>
      <c r="F331" s="49"/>
      <c r="G331" s="49"/>
      <c r="H331" s="49" t="s">
        <v>4573</v>
      </c>
      <c r="I331" s="49" t="s">
        <v>4576</v>
      </c>
      <c r="J331" s="49" t="s">
        <v>4574</v>
      </c>
      <c r="K331" s="49" t="s">
        <v>4575</v>
      </c>
      <c r="L331" s="49">
        <v>0</v>
      </c>
      <c r="M331" s="49" t="s">
        <v>2220</v>
      </c>
      <c r="N331" s="49" t="s">
        <v>4577</v>
      </c>
      <c r="O331" s="49">
        <v>3</v>
      </c>
      <c r="P331" s="49" t="s">
        <v>4578</v>
      </c>
      <c r="Q331" s="49">
        <v>0</v>
      </c>
      <c r="R331" s="49" t="s">
        <v>4579</v>
      </c>
      <c r="S331" s="49" t="s">
        <v>4580</v>
      </c>
      <c r="T331" s="49" t="s">
        <v>4581</v>
      </c>
      <c r="U331" s="49" t="s">
        <v>670</v>
      </c>
      <c r="V331" s="49" t="e">
        <v>#REF!</v>
      </c>
      <c r="AC331" s="49"/>
      <c r="AD331" s="49"/>
    </row>
    <row r="332" spans="1:30" hidden="1" x14ac:dyDescent="0.3">
      <c r="A332" s="49" t="s">
        <v>4582</v>
      </c>
      <c r="B332" s="49">
        <v>0</v>
      </c>
      <c r="C332" s="49"/>
      <c r="D332" s="72" t="s">
        <v>644</v>
      </c>
      <c r="E332" s="49" t="s">
        <v>3754</v>
      </c>
      <c r="F332" s="49"/>
      <c r="G332" s="49"/>
      <c r="H332" s="49" t="s">
        <v>4583</v>
      </c>
      <c r="I332" s="49" t="s">
        <v>4586</v>
      </c>
      <c r="J332" s="49" t="s">
        <v>4584</v>
      </c>
      <c r="K332" s="49" t="s">
        <v>4585</v>
      </c>
      <c r="L332" s="49">
        <v>0</v>
      </c>
      <c r="M332" s="49" t="s">
        <v>2220</v>
      </c>
      <c r="N332" s="49" t="s">
        <v>4587</v>
      </c>
      <c r="O332" s="49">
        <v>89</v>
      </c>
      <c r="P332" s="49" t="s">
        <v>4588</v>
      </c>
      <c r="Q332" s="49">
        <v>0</v>
      </c>
      <c r="R332" s="49" t="s">
        <v>4589</v>
      </c>
      <c r="S332" s="49" t="s">
        <v>4590</v>
      </c>
      <c r="T332" s="49" t="s">
        <v>4591</v>
      </c>
      <c r="U332" s="49" t="s">
        <v>655</v>
      </c>
      <c r="V332" s="49" t="e">
        <v>#REF!</v>
      </c>
      <c r="AC332" s="49"/>
      <c r="AD332" s="49"/>
    </row>
    <row r="333" spans="1:30" hidden="1" x14ac:dyDescent="0.3">
      <c r="A333" s="49" t="s">
        <v>866</v>
      </c>
      <c r="B333" s="49">
        <v>0</v>
      </c>
      <c r="C333" s="49"/>
      <c r="D333" s="72" t="s">
        <v>644</v>
      </c>
      <c r="E333" s="49" t="s">
        <v>3754</v>
      </c>
      <c r="F333" s="49"/>
      <c r="G333" s="49"/>
      <c r="H333" s="49" t="s">
        <v>868</v>
      </c>
      <c r="I333" s="49" t="s">
        <v>869</v>
      </c>
      <c r="J333" s="49" t="s">
        <v>870</v>
      </c>
      <c r="K333" s="49" t="s">
        <v>871</v>
      </c>
      <c r="L333" s="49">
        <v>0</v>
      </c>
      <c r="M333" s="49" t="s">
        <v>2220</v>
      </c>
      <c r="N333" s="49" t="s">
        <v>873</v>
      </c>
      <c r="O333" s="49">
        <v>1</v>
      </c>
      <c r="P333" s="49" t="s">
        <v>874</v>
      </c>
      <c r="Q333" s="49">
        <v>0</v>
      </c>
      <c r="R333" s="49" t="s">
        <v>876</v>
      </c>
      <c r="S333" s="49" t="s">
        <v>877</v>
      </c>
      <c r="T333" s="49" t="s">
        <v>4592</v>
      </c>
      <c r="U333" s="49" t="s">
        <v>655</v>
      </c>
      <c r="V333" s="49" t="e">
        <v>#REF!</v>
      </c>
      <c r="AC333" s="49"/>
      <c r="AD333" s="49"/>
    </row>
    <row r="334" spans="1:30" hidden="1" x14ac:dyDescent="0.3">
      <c r="A334" s="49" t="s">
        <v>4593</v>
      </c>
      <c r="B334" s="49">
        <v>0</v>
      </c>
      <c r="C334" s="49"/>
      <c r="D334" s="72" t="s">
        <v>644</v>
      </c>
      <c r="E334" s="49" t="s">
        <v>3754</v>
      </c>
      <c r="F334" s="49"/>
      <c r="G334" s="49"/>
      <c r="H334" s="49" t="s">
        <v>646</v>
      </c>
      <c r="I334" s="49" t="s">
        <v>4596</v>
      </c>
      <c r="J334" s="49" t="s">
        <v>4594</v>
      </c>
      <c r="K334" s="49" t="s">
        <v>4595</v>
      </c>
      <c r="L334" s="49">
        <v>0</v>
      </c>
      <c r="M334" s="49" t="s">
        <v>2456</v>
      </c>
      <c r="N334" s="49" t="s">
        <v>4597</v>
      </c>
      <c r="O334" s="49">
        <v>249</v>
      </c>
      <c r="P334" s="49" t="s">
        <v>4598</v>
      </c>
      <c r="Q334" s="49">
        <v>0</v>
      </c>
      <c r="R334" s="49" t="s">
        <v>4599</v>
      </c>
      <c r="S334" s="49" t="s">
        <v>4600</v>
      </c>
      <c r="T334" s="49" t="s">
        <v>4601</v>
      </c>
      <c r="U334" s="49" t="s">
        <v>670</v>
      </c>
      <c r="V334" s="49" t="e">
        <v>#REF!</v>
      </c>
      <c r="AC334" s="49"/>
      <c r="AD334" s="49"/>
    </row>
    <row r="335" spans="1:30" hidden="1" x14ac:dyDescent="0.3">
      <c r="A335" s="49" t="s">
        <v>841</v>
      </c>
      <c r="B335" s="49">
        <v>0</v>
      </c>
      <c r="C335" s="49"/>
      <c r="D335" s="72" t="s">
        <v>644</v>
      </c>
      <c r="E335" s="49" t="s">
        <v>3754</v>
      </c>
      <c r="F335" s="49"/>
      <c r="G335" s="49"/>
      <c r="H335" s="49" t="s">
        <v>843</v>
      </c>
      <c r="I335" s="49" t="s">
        <v>844</v>
      </c>
      <c r="J335" s="49" t="s">
        <v>845</v>
      </c>
      <c r="K335" s="49" t="s">
        <v>846</v>
      </c>
      <c r="L335" s="49">
        <v>0</v>
      </c>
      <c r="M335" s="49" t="s">
        <v>2484</v>
      </c>
      <c r="N335" s="49" t="s">
        <v>847</v>
      </c>
      <c r="O335" s="49">
        <v>334</v>
      </c>
      <c r="P335" s="49" t="s">
        <v>848</v>
      </c>
      <c r="Q335" s="49">
        <v>0</v>
      </c>
      <c r="R335" s="49" t="s">
        <v>849</v>
      </c>
      <c r="S335" s="49" t="s">
        <v>850</v>
      </c>
      <c r="T335" s="49" t="s">
        <v>4602</v>
      </c>
      <c r="U335" s="49" t="s">
        <v>655</v>
      </c>
      <c r="V335" s="49" t="e">
        <v>#REF!</v>
      </c>
      <c r="AC335" s="49"/>
      <c r="AD335" s="49"/>
    </row>
    <row r="336" spans="1:30" hidden="1" x14ac:dyDescent="0.3">
      <c r="A336" s="49" t="s">
        <v>4603</v>
      </c>
      <c r="B336" s="49">
        <v>0</v>
      </c>
      <c r="C336" s="49"/>
      <c r="D336" s="72" t="s">
        <v>644</v>
      </c>
      <c r="E336" s="49" t="s">
        <v>3754</v>
      </c>
      <c r="F336" s="49"/>
      <c r="G336" s="49"/>
      <c r="H336" s="49" t="s">
        <v>4604</v>
      </c>
      <c r="I336" s="49" t="s">
        <v>4607</v>
      </c>
      <c r="J336" s="49" t="s">
        <v>4605</v>
      </c>
      <c r="K336" s="49" t="s">
        <v>4606</v>
      </c>
      <c r="L336" s="49">
        <v>0</v>
      </c>
      <c r="M336" s="49" t="s">
        <v>1777</v>
      </c>
      <c r="N336" s="49" t="s">
        <v>4608</v>
      </c>
      <c r="O336" s="49">
        <v>35</v>
      </c>
      <c r="P336" s="49" t="s">
        <v>4609</v>
      </c>
      <c r="Q336" s="49">
        <v>0</v>
      </c>
      <c r="R336" s="49" t="s">
        <v>4610</v>
      </c>
      <c r="S336" s="49" t="s">
        <v>4611</v>
      </c>
      <c r="T336" s="49" t="s">
        <v>646</v>
      </c>
      <c r="U336" s="49" t="s">
        <v>655</v>
      </c>
      <c r="V336" s="49" t="e">
        <v>#REF!</v>
      </c>
      <c r="AC336" s="49"/>
      <c r="AD336" s="49"/>
    </row>
    <row r="337" spans="1:30" hidden="1" x14ac:dyDescent="0.3">
      <c r="A337" s="49" t="s">
        <v>4612</v>
      </c>
      <c r="B337" s="49">
        <v>0</v>
      </c>
      <c r="C337" s="49"/>
      <c r="D337" s="72" t="s">
        <v>644</v>
      </c>
      <c r="E337" s="49" t="s">
        <v>3754</v>
      </c>
      <c r="F337" s="49"/>
      <c r="G337" s="49"/>
      <c r="H337" s="49" t="s">
        <v>4613</v>
      </c>
      <c r="I337" s="49" t="s">
        <v>4616</v>
      </c>
      <c r="J337" s="49" t="s">
        <v>4614</v>
      </c>
      <c r="K337" s="49" t="s">
        <v>4615</v>
      </c>
      <c r="L337" s="49">
        <v>0</v>
      </c>
      <c r="M337" s="49" t="s">
        <v>1777</v>
      </c>
      <c r="N337" s="49" t="s">
        <v>4617</v>
      </c>
      <c r="P337" s="49" t="s">
        <v>4618</v>
      </c>
      <c r="Q337" s="49">
        <v>0</v>
      </c>
      <c r="R337" s="49" t="s">
        <v>4619</v>
      </c>
      <c r="S337" s="49" t="s">
        <v>4620</v>
      </c>
      <c r="T337" s="49" t="s">
        <v>646</v>
      </c>
      <c r="U337" s="49" t="s">
        <v>670</v>
      </c>
      <c r="V337" s="49" t="e">
        <v>#REF!</v>
      </c>
      <c r="AC337" s="49"/>
      <c r="AD337" s="49"/>
    </row>
    <row r="338" spans="1:30" hidden="1" x14ac:dyDescent="0.3">
      <c r="A338" s="49" t="s">
        <v>4621</v>
      </c>
      <c r="B338" s="49">
        <v>0</v>
      </c>
      <c r="C338" s="49"/>
      <c r="D338" s="72" t="s">
        <v>644</v>
      </c>
      <c r="E338" s="49" t="s">
        <v>3754</v>
      </c>
      <c r="F338" s="49"/>
      <c r="G338" s="49"/>
      <c r="H338" s="49" t="s">
        <v>4622</v>
      </c>
      <c r="I338" s="49" t="s">
        <v>4625</v>
      </c>
      <c r="J338" s="49" t="s">
        <v>4623</v>
      </c>
      <c r="K338" s="49" t="s">
        <v>4624</v>
      </c>
      <c r="L338" s="49">
        <v>0</v>
      </c>
      <c r="M338" s="49" t="s">
        <v>1764</v>
      </c>
      <c r="N338" s="49" t="s">
        <v>3661</v>
      </c>
      <c r="O338" s="49">
        <v>34</v>
      </c>
      <c r="P338" s="49" t="s">
        <v>4626</v>
      </c>
      <c r="Q338" s="49">
        <v>0</v>
      </c>
      <c r="R338" s="49" t="s">
        <v>4627</v>
      </c>
      <c r="S338" s="49" t="s">
        <v>4628</v>
      </c>
      <c r="T338" s="49" t="s">
        <v>4629</v>
      </c>
      <c r="U338" s="49" t="s">
        <v>655</v>
      </c>
      <c r="V338" s="49" t="e">
        <v>#REF!</v>
      </c>
      <c r="AC338" s="49"/>
      <c r="AD338" s="49"/>
    </row>
    <row r="339" spans="1:30" hidden="1" x14ac:dyDescent="0.3">
      <c r="A339" s="49" t="s">
        <v>4630</v>
      </c>
      <c r="B339" s="49">
        <v>0</v>
      </c>
      <c r="C339" s="49"/>
      <c r="D339" s="72" t="s">
        <v>644</v>
      </c>
      <c r="E339" s="49" t="s">
        <v>3754</v>
      </c>
      <c r="F339" s="49"/>
      <c r="G339" s="49"/>
      <c r="H339" s="49" t="s">
        <v>4631</v>
      </c>
      <c r="I339" s="49" t="s">
        <v>4634</v>
      </c>
      <c r="J339" s="49" t="s">
        <v>4632</v>
      </c>
      <c r="K339" s="49" t="s">
        <v>4633</v>
      </c>
      <c r="L339" s="49">
        <v>0</v>
      </c>
      <c r="M339" s="49" t="s">
        <v>4084</v>
      </c>
      <c r="N339" s="49" t="s">
        <v>4635</v>
      </c>
      <c r="P339" s="49" t="s">
        <v>4636</v>
      </c>
      <c r="Q339" s="49">
        <v>0</v>
      </c>
      <c r="R339" s="49" t="s">
        <v>4637</v>
      </c>
      <c r="S339" s="49" t="s">
        <v>4638</v>
      </c>
      <c r="T339" s="49" t="s">
        <v>4639</v>
      </c>
      <c r="U339" s="49" t="s">
        <v>670</v>
      </c>
      <c r="V339" s="49" t="e">
        <v>#REF!</v>
      </c>
      <c r="AC339" s="49"/>
      <c r="AD339" s="49"/>
    </row>
    <row r="340" spans="1:30" hidden="1" x14ac:dyDescent="0.3">
      <c r="A340" s="49" t="s">
        <v>4640</v>
      </c>
      <c r="B340" s="49">
        <v>0</v>
      </c>
      <c r="C340" s="49"/>
      <c r="D340" s="72" t="s">
        <v>644</v>
      </c>
      <c r="E340" s="49" t="s">
        <v>3754</v>
      </c>
      <c r="F340" s="49"/>
      <c r="G340" s="49"/>
      <c r="H340" s="49" t="s">
        <v>4641</v>
      </c>
      <c r="I340" s="49" t="s">
        <v>1402</v>
      </c>
      <c r="J340" s="49" t="s">
        <v>1403</v>
      </c>
      <c r="K340" s="49" t="s">
        <v>4642</v>
      </c>
      <c r="L340" s="49">
        <v>0</v>
      </c>
      <c r="M340" s="49" t="s">
        <v>1777</v>
      </c>
      <c r="N340" s="49" t="s">
        <v>1361</v>
      </c>
      <c r="O340" s="49">
        <v>2</v>
      </c>
      <c r="P340" s="49" t="s">
        <v>4643</v>
      </c>
      <c r="Q340" s="49">
        <v>0</v>
      </c>
      <c r="R340" s="49" t="s">
        <v>4644</v>
      </c>
      <c r="S340" s="49" t="s">
        <v>4645</v>
      </c>
      <c r="T340" s="49" t="s">
        <v>4646</v>
      </c>
      <c r="U340" s="49" t="s">
        <v>655</v>
      </c>
      <c r="V340" s="49" t="e">
        <v>#REF!</v>
      </c>
      <c r="AC340" s="49"/>
      <c r="AD340" s="49"/>
    </row>
    <row r="341" spans="1:30" hidden="1" x14ac:dyDescent="0.3">
      <c r="A341" s="49" t="s">
        <v>4647</v>
      </c>
      <c r="B341" s="49">
        <v>0</v>
      </c>
      <c r="C341" s="49"/>
      <c r="D341" s="72" t="s">
        <v>644</v>
      </c>
      <c r="E341" s="49" t="s">
        <v>3754</v>
      </c>
      <c r="F341" s="49"/>
      <c r="G341" s="49"/>
      <c r="H341" s="49" t="s">
        <v>4648</v>
      </c>
      <c r="I341" s="49" t="s">
        <v>4651</v>
      </c>
      <c r="J341" s="49" t="s">
        <v>4649</v>
      </c>
      <c r="K341" s="49" t="s">
        <v>4650</v>
      </c>
      <c r="L341" s="49">
        <v>0</v>
      </c>
      <c r="M341" s="49" t="s">
        <v>2142</v>
      </c>
      <c r="N341" s="49" t="s">
        <v>1382</v>
      </c>
      <c r="O341" s="49">
        <v>2</v>
      </c>
      <c r="P341" s="49" t="s">
        <v>4652</v>
      </c>
      <c r="Q341" s="49">
        <v>0</v>
      </c>
      <c r="R341" s="49" t="s">
        <v>4653</v>
      </c>
      <c r="S341" s="49" t="s">
        <v>4654</v>
      </c>
      <c r="T341" s="49" t="s">
        <v>4655</v>
      </c>
      <c r="U341" s="49" t="s">
        <v>670</v>
      </c>
      <c r="V341" s="49" t="e">
        <v>#REF!</v>
      </c>
      <c r="AC341" s="49"/>
      <c r="AD341" s="49"/>
    </row>
    <row r="342" spans="1:30" hidden="1" x14ac:dyDescent="0.3">
      <c r="A342" s="49" t="s">
        <v>4656</v>
      </c>
      <c r="B342" s="49">
        <v>0</v>
      </c>
      <c r="C342" s="49"/>
      <c r="D342" s="72" t="s">
        <v>644</v>
      </c>
      <c r="E342" s="49" t="s">
        <v>3754</v>
      </c>
      <c r="F342" s="49"/>
      <c r="G342" s="49"/>
      <c r="H342" s="49" t="s">
        <v>4657</v>
      </c>
      <c r="I342" s="49" t="s">
        <v>4660</v>
      </c>
      <c r="J342" s="49" t="s">
        <v>4658</v>
      </c>
      <c r="K342" s="49" t="s">
        <v>4659</v>
      </c>
      <c r="L342" s="49">
        <v>0</v>
      </c>
      <c r="M342" s="49" t="s">
        <v>2142</v>
      </c>
      <c r="N342" s="49" t="s">
        <v>4661</v>
      </c>
      <c r="O342" s="49">
        <v>7</v>
      </c>
      <c r="P342" s="49" t="s">
        <v>4662</v>
      </c>
      <c r="Q342" s="49">
        <v>0</v>
      </c>
      <c r="R342" s="49" t="s">
        <v>4663</v>
      </c>
      <c r="S342" s="49" t="s">
        <v>4664</v>
      </c>
      <c r="T342" s="49" t="s">
        <v>4665</v>
      </c>
      <c r="U342" s="49" t="s">
        <v>655</v>
      </c>
      <c r="V342" s="49" t="e">
        <v>#REF!</v>
      </c>
      <c r="AC342" s="49"/>
      <c r="AD342" s="49"/>
    </row>
    <row r="343" spans="1:30" hidden="1" x14ac:dyDescent="0.3">
      <c r="A343" s="49" t="s">
        <v>900</v>
      </c>
      <c r="B343" s="49">
        <v>0</v>
      </c>
      <c r="C343" s="49"/>
      <c r="D343" s="72" t="s">
        <v>644</v>
      </c>
      <c r="E343" s="49" t="s">
        <v>3754</v>
      </c>
      <c r="F343" s="49"/>
      <c r="G343" s="49"/>
      <c r="H343" s="49" t="s">
        <v>902</v>
      </c>
      <c r="I343" s="49" t="s">
        <v>903</v>
      </c>
      <c r="J343" s="49" t="s">
        <v>904</v>
      </c>
      <c r="K343" s="49" t="s">
        <v>905</v>
      </c>
      <c r="L343" s="49">
        <v>0</v>
      </c>
      <c r="M343" s="49" t="s">
        <v>4084</v>
      </c>
      <c r="N343" s="49" t="s">
        <v>895</v>
      </c>
      <c r="O343" s="49">
        <v>13</v>
      </c>
      <c r="P343" s="49" t="s">
        <v>906</v>
      </c>
      <c r="Q343" s="49">
        <v>0</v>
      </c>
      <c r="R343" s="49" t="s">
        <v>907</v>
      </c>
      <c r="S343" s="49" t="s">
        <v>908</v>
      </c>
      <c r="T343" s="49" t="s">
        <v>909</v>
      </c>
      <c r="U343" s="49" t="s">
        <v>670</v>
      </c>
      <c r="V343" s="49" t="e">
        <v>#REF!</v>
      </c>
      <c r="AC343" s="49"/>
      <c r="AD343" s="49"/>
    </row>
    <row r="344" spans="1:30" hidden="1" x14ac:dyDescent="0.3">
      <c r="A344" s="49" t="s">
        <v>1296</v>
      </c>
      <c r="B344" s="49">
        <v>0</v>
      </c>
      <c r="C344" s="49"/>
      <c r="D344" s="72" t="s">
        <v>644</v>
      </c>
      <c r="E344" s="49" t="s">
        <v>3754</v>
      </c>
      <c r="F344" s="49"/>
      <c r="G344" s="49"/>
      <c r="H344" s="49" t="s">
        <v>646</v>
      </c>
      <c r="I344" s="49" t="s">
        <v>978</v>
      </c>
      <c r="J344" s="49" t="s">
        <v>4666</v>
      </c>
      <c r="K344" s="49" t="s">
        <v>1298</v>
      </c>
      <c r="L344" s="49">
        <v>0</v>
      </c>
      <c r="M344" s="49" t="s">
        <v>2142</v>
      </c>
      <c r="N344" s="49" t="s">
        <v>1300</v>
      </c>
      <c r="O344" s="49">
        <v>2</v>
      </c>
      <c r="P344" s="49" t="s">
        <v>1301</v>
      </c>
      <c r="Q344" s="49">
        <v>0</v>
      </c>
      <c r="R344" s="49" t="s">
        <v>1302</v>
      </c>
      <c r="S344" s="49" t="s">
        <v>1303</v>
      </c>
      <c r="T344" s="49" t="s">
        <v>4667</v>
      </c>
      <c r="U344" s="49" t="s">
        <v>655</v>
      </c>
      <c r="V344" s="49" t="e">
        <v>#REF!</v>
      </c>
      <c r="AC344" s="49"/>
      <c r="AD344" s="49"/>
    </row>
    <row r="345" spans="1:30" hidden="1" x14ac:dyDescent="0.3">
      <c r="A345" s="49" t="s">
        <v>4668</v>
      </c>
      <c r="B345" s="49">
        <v>0</v>
      </c>
      <c r="C345" s="49"/>
      <c r="D345" s="72" t="s">
        <v>644</v>
      </c>
      <c r="E345" s="49" t="s">
        <v>3754</v>
      </c>
      <c r="F345" s="49"/>
      <c r="G345" s="49"/>
      <c r="H345" s="49" t="s">
        <v>4669</v>
      </c>
      <c r="I345" s="49" t="s">
        <v>4672</v>
      </c>
      <c r="J345" s="49" t="s">
        <v>4670</v>
      </c>
      <c r="K345" s="49" t="s">
        <v>4671</v>
      </c>
      <c r="L345" s="49">
        <v>0</v>
      </c>
      <c r="M345" s="49" t="s">
        <v>1817</v>
      </c>
      <c r="N345" s="49" t="s">
        <v>4673</v>
      </c>
      <c r="O345" s="49">
        <v>11</v>
      </c>
      <c r="P345" s="49" t="s">
        <v>4674</v>
      </c>
      <c r="Q345" s="49">
        <v>0</v>
      </c>
      <c r="R345" s="49" t="s">
        <v>4675</v>
      </c>
      <c r="S345" s="49" t="s">
        <v>4676</v>
      </c>
      <c r="T345" s="49" t="s">
        <v>4677</v>
      </c>
      <c r="U345" s="49" t="s">
        <v>670</v>
      </c>
      <c r="V345" s="49" t="e">
        <v>#REF!</v>
      </c>
      <c r="AC345" s="49"/>
      <c r="AD345" s="49"/>
    </row>
    <row r="346" spans="1:30" hidden="1" x14ac:dyDescent="0.3">
      <c r="A346" s="49" t="s">
        <v>4678</v>
      </c>
      <c r="B346" s="49">
        <v>0</v>
      </c>
      <c r="C346" s="49"/>
      <c r="D346" s="72" t="s">
        <v>644</v>
      </c>
      <c r="E346" s="49" t="s">
        <v>3754</v>
      </c>
      <c r="F346" s="49"/>
      <c r="G346" s="49"/>
      <c r="H346" s="49" t="s">
        <v>4679</v>
      </c>
      <c r="I346" s="49" t="s">
        <v>4682</v>
      </c>
      <c r="J346" s="49" t="s">
        <v>4680</v>
      </c>
      <c r="K346" s="49" t="s">
        <v>4681</v>
      </c>
      <c r="L346" s="49">
        <v>0</v>
      </c>
      <c r="M346" s="49" t="s">
        <v>4114</v>
      </c>
      <c r="N346" s="49" t="s">
        <v>818</v>
      </c>
      <c r="O346" s="49">
        <v>7</v>
      </c>
      <c r="P346" s="49" t="s">
        <v>4683</v>
      </c>
      <c r="Q346" s="49">
        <v>0</v>
      </c>
      <c r="R346" s="49" t="s">
        <v>4684</v>
      </c>
      <c r="S346" s="49" t="s">
        <v>4685</v>
      </c>
      <c r="T346" s="49" t="s">
        <v>4686</v>
      </c>
      <c r="U346" s="49" t="s">
        <v>670</v>
      </c>
      <c r="V346" s="49" t="e">
        <v>#REF!</v>
      </c>
      <c r="AC346" s="49"/>
      <c r="AD346" s="49"/>
    </row>
    <row r="347" spans="1:30" hidden="1" x14ac:dyDescent="0.3">
      <c r="A347" s="49" t="s">
        <v>4687</v>
      </c>
      <c r="B347" s="49">
        <v>0</v>
      </c>
      <c r="C347" s="49"/>
      <c r="D347" s="72" t="s">
        <v>644</v>
      </c>
      <c r="E347" s="49" t="s">
        <v>3754</v>
      </c>
      <c r="F347" s="49"/>
      <c r="G347" s="49"/>
      <c r="H347" s="49" t="s">
        <v>4688</v>
      </c>
      <c r="I347" s="49" t="s">
        <v>4691</v>
      </c>
      <c r="J347" s="49" t="s">
        <v>4689</v>
      </c>
      <c r="K347" s="49" t="s">
        <v>4690</v>
      </c>
      <c r="L347" s="49">
        <v>0</v>
      </c>
      <c r="M347" s="49" t="s">
        <v>1865</v>
      </c>
      <c r="N347" s="49" t="s">
        <v>4692</v>
      </c>
      <c r="O347" s="49">
        <v>13</v>
      </c>
      <c r="P347" s="49" t="s">
        <v>4693</v>
      </c>
      <c r="Q347" s="49">
        <v>0</v>
      </c>
      <c r="R347" s="49" t="s">
        <v>4694</v>
      </c>
      <c r="S347" s="49" t="s">
        <v>4695</v>
      </c>
      <c r="T347" s="49" t="s">
        <v>4696</v>
      </c>
      <c r="U347" s="49" t="s">
        <v>655</v>
      </c>
      <c r="V347" s="49" t="e">
        <v>#REF!</v>
      </c>
      <c r="AC347" s="49"/>
      <c r="AD347" s="49"/>
    </row>
    <row r="348" spans="1:30" hidden="1" x14ac:dyDescent="0.3">
      <c r="A348" s="49" t="s">
        <v>4697</v>
      </c>
      <c r="B348" s="49">
        <v>0</v>
      </c>
      <c r="C348" s="49"/>
      <c r="D348" s="72" t="s">
        <v>644</v>
      </c>
      <c r="E348" s="49" t="s">
        <v>3754</v>
      </c>
      <c r="F348" s="49"/>
      <c r="G348" s="49"/>
      <c r="H348" s="49" t="s">
        <v>4698</v>
      </c>
      <c r="I348" s="49" t="s">
        <v>4702</v>
      </c>
      <c r="J348" s="49" t="s">
        <v>4699</v>
      </c>
      <c r="K348" s="49" t="s">
        <v>4700</v>
      </c>
      <c r="L348" s="49">
        <v>0</v>
      </c>
      <c r="M348" s="49" t="s">
        <v>4701</v>
      </c>
      <c r="N348" s="49" t="s">
        <v>4703</v>
      </c>
      <c r="O348" s="49">
        <v>17</v>
      </c>
      <c r="P348" s="49" t="s">
        <v>4704</v>
      </c>
      <c r="Q348" s="49">
        <v>0</v>
      </c>
      <c r="R348" s="49" t="s">
        <v>4705</v>
      </c>
      <c r="S348" s="49" t="s">
        <v>4706</v>
      </c>
      <c r="T348" s="49" t="s">
        <v>4707</v>
      </c>
      <c r="U348" s="49" t="s">
        <v>655</v>
      </c>
      <c r="V348" s="49" t="e">
        <v>#REF!</v>
      </c>
      <c r="AC348" s="49"/>
      <c r="AD348" s="49"/>
    </row>
    <row r="349" spans="1:30" hidden="1" x14ac:dyDescent="0.3">
      <c r="A349" s="49" t="s">
        <v>4708</v>
      </c>
      <c r="B349" s="49">
        <v>0</v>
      </c>
      <c r="C349" s="49"/>
      <c r="D349" s="72" t="s">
        <v>644</v>
      </c>
      <c r="E349" s="49" t="s">
        <v>3754</v>
      </c>
      <c r="F349" s="49"/>
      <c r="G349" s="49"/>
      <c r="H349" s="49" t="s">
        <v>4709</v>
      </c>
      <c r="I349" s="49" t="s">
        <v>4712</v>
      </c>
      <c r="J349" s="49" t="s">
        <v>4710</v>
      </c>
      <c r="K349" s="49" t="s">
        <v>4711</v>
      </c>
      <c r="L349" s="49">
        <v>0</v>
      </c>
      <c r="M349" s="49" t="s">
        <v>1777</v>
      </c>
      <c r="N349" s="49" t="s">
        <v>4713</v>
      </c>
      <c r="O349" s="49">
        <v>14</v>
      </c>
      <c r="P349" s="49" t="s">
        <v>4714</v>
      </c>
      <c r="Q349" s="49">
        <v>0</v>
      </c>
      <c r="R349" s="49" t="s">
        <v>4715</v>
      </c>
      <c r="S349" s="49" t="s">
        <v>4716</v>
      </c>
      <c r="T349" s="49" t="s">
        <v>646</v>
      </c>
      <c r="U349" s="49" t="s">
        <v>670</v>
      </c>
      <c r="V349" s="49" t="e">
        <v>#REF!</v>
      </c>
      <c r="AC349" s="49"/>
      <c r="AD349" s="49"/>
    </row>
    <row r="350" spans="1:30" hidden="1" x14ac:dyDescent="0.3">
      <c r="A350" s="49" t="s">
        <v>4717</v>
      </c>
      <c r="B350" s="49">
        <v>0</v>
      </c>
      <c r="C350" s="49"/>
      <c r="D350" s="72" t="s">
        <v>644</v>
      </c>
      <c r="E350" s="49" t="s">
        <v>3754</v>
      </c>
      <c r="F350" s="49"/>
      <c r="G350" s="49"/>
      <c r="H350" s="49" t="s">
        <v>646</v>
      </c>
      <c r="I350" s="49" t="s">
        <v>4720</v>
      </c>
      <c r="J350" s="49" t="s">
        <v>4718</v>
      </c>
      <c r="K350" s="49" t="s">
        <v>4719</v>
      </c>
      <c r="L350" s="49">
        <v>0</v>
      </c>
      <c r="M350" s="49" t="s">
        <v>4114</v>
      </c>
      <c r="N350" s="49" t="s">
        <v>4721</v>
      </c>
      <c r="O350" s="49">
        <v>24</v>
      </c>
      <c r="P350" s="49" t="s">
        <v>4722</v>
      </c>
      <c r="Q350" s="49">
        <v>0</v>
      </c>
      <c r="R350" s="49" t="s">
        <v>4723</v>
      </c>
      <c r="S350" s="49" t="s">
        <v>4724</v>
      </c>
      <c r="T350" s="49" t="s">
        <v>646</v>
      </c>
      <c r="U350" s="49" t="s">
        <v>670</v>
      </c>
      <c r="V350" s="49" t="e">
        <v>#REF!</v>
      </c>
      <c r="AC350" s="49"/>
      <c r="AD350" s="49"/>
    </row>
    <row r="351" spans="1:30" hidden="1" x14ac:dyDescent="0.3">
      <c r="A351" s="49" t="s">
        <v>4725</v>
      </c>
      <c r="B351" s="49">
        <v>0</v>
      </c>
      <c r="C351" s="49"/>
      <c r="D351" s="72" t="s">
        <v>644</v>
      </c>
      <c r="E351" s="49" t="s">
        <v>3754</v>
      </c>
      <c r="F351" s="49"/>
      <c r="G351" s="49"/>
      <c r="H351" s="49" t="s">
        <v>646</v>
      </c>
      <c r="I351" s="49" t="s">
        <v>4728</v>
      </c>
      <c r="J351" s="49" t="s">
        <v>4726</v>
      </c>
      <c r="K351" s="49" t="s">
        <v>4727</v>
      </c>
      <c r="L351" s="49">
        <v>0</v>
      </c>
      <c r="M351" s="49" t="s">
        <v>1826</v>
      </c>
      <c r="N351" s="49" t="s">
        <v>4729</v>
      </c>
      <c r="P351" s="49" t="s">
        <v>4730</v>
      </c>
      <c r="Q351" s="49">
        <v>0</v>
      </c>
      <c r="R351" s="49" t="s">
        <v>4731</v>
      </c>
      <c r="S351" s="49" t="s">
        <v>4732</v>
      </c>
      <c r="T351" s="49" t="s">
        <v>4733</v>
      </c>
      <c r="U351" s="49" t="s">
        <v>670</v>
      </c>
      <c r="V351" s="49" t="e">
        <v>#REF!</v>
      </c>
      <c r="AC351" s="49"/>
      <c r="AD351" s="49"/>
    </row>
    <row r="352" spans="1:30" hidden="1" x14ac:dyDescent="0.3">
      <c r="A352" s="49" t="s">
        <v>4734</v>
      </c>
      <c r="B352" s="49">
        <v>0</v>
      </c>
      <c r="C352" s="49"/>
      <c r="D352" s="72" t="s">
        <v>644</v>
      </c>
      <c r="E352" s="49" t="s">
        <v>3754</v>
      </c>
      <c r="F352" s="49"/>
      <c r="G352" s="49"/>
      <c r="H352" s="49" t="s">
        <v>4735</v>
      </c>
      <c r="I352" s="49" t="s">
        <v>4738</v>
      </c>
      <c r="J352" s="49" t="s">
        <v>4736</v>
      </c>
      <c r="K352" s="49" t="s">
        <v>4737</v>
      </c>
      <c r="L352" s="49">
        <v>0</v>
      </c>
      <c r="M352" s="49" t="s">
        <v>1865</v>
      </c>
      <c r="N352" s="49" t="s">
        <v>4739</v>
      </c>
      <c r="O352" s="49">
        <v>1</v>
      </c>
      <c r="P352" s="49" t="s">
        <v>4740</v>
      </c>
      <c r="Q352" s="49">
        <v>0</v>
      </c>
      <c r="R352" s="49" t="s">
        <v>4741</v>
      </c>
      <c r="S352" s="49" t="s">
        <v>4742</v>
      </c>
      <c r="T352" s="49" t="s">
        <v>4743</v>
      </c>
      <c r="U352" s="49" t="s">
        <v>655</v>
      </c>
      <c r="V352" s="49" t="e">
        <v>#REF!</v>
      </c>
      <c r="AC352" s="49"/>
      <c r="AD352" s="49"/>
    </row>
    <row r="353" spans="1:30" hidden="1" x14ac:dyDescent="0.3">
      <c r="A353" s="49" t="s">
        <v>4744</v>
      </c>
      <c r="B353" s="49">
        <v>0</v>
      </c>
      <c r="C353" s="49"/>
      <c r="D353" s="72" t="s">
        <v>644</v>
      </c>
      <c r="E353" s="49" t="s">
        <v>3754</v>
      </c>
      <c r="F353" s="49"/>
      <c r="G353" s="49"/>
      <c r="H353" s="49" t="s">
        <v>4745</v>
      </c>
      <c r="I353" s="49" t="s">
        <v>4748</v>
      </c>
      <c r="J353" s="49" t="s">
        <v>4746</v>
      </c>
      <c r="K353" s="49" t="s">
        <v>4747</v>
      </c>
      <c r="L353" s="49">
        <v>0</v>
      </c>
      <c r="M353" s="49" t="s">
        <v>1777</v>
      </c>
      <c r="N353" s="49" t="s">
        <v>1930</v>
      </c>
      <c r="O353" s="49">
        <v>422</v>
      </c>
      <c r="P353" s="49" t="s">
        <v>4749</v>
      </c>
      <c r="Q353" s="49">
        <v>0</v>
      </c>
      <c r="R353" s="49" t="s">
        <v>4750</v>
      </c>
      <c r="S353" s="49" t="s">
        <v>4751</v>
      </c>
      <c r="T353" s="49" t="s">
        <v>4752</v>
      </c>
      <c r="U353" s="49" t="s">
        <v>655</v>
      </c>
      <c r="V353" s="49" t="e">
        <v>#REF!</v>
      </c>
      <c r="AC353" s="49"/>
      <c r="AD353" s="49"/>
    </row>
    <row r="354" spans="1:30" hidden="1" x14ac:dyDescent="0.3">
      <c r="A354" s="49" t="s">
        <v>1285</v>
      </c>
      <c r="B354" s="49">
        <v>0</v>
      </c>
      <c r="C354" s="49"/>
      <c r="D354" s="72" t="s">
        <v>644</v>
      </c>
      <c r="E354" s="49" t="s">
        <v>3754</v>
      </c>
      <c r="F354" s="49"/>
      <c r="G354" s="49"/>
      <c r="H354" s="49" t="s">
        <v>1287</v>
      </c>
      <c r="I354" s="49" t="s">
        <v>1288</v>
      </c>
      <c r="J354" s="49" t="s">
        <v>1289</v>
      </c>
      <c r="K354" s="49" t="s">
        <v>1290</v>
      </c>
      <c r="L354" s="49">
        <v>0</v>
      </c>
      <c r="M354" s="49" t="s">
        <v>1826</v>
      </c>
      <c r="N354" s="49" t="s">
        <v>1291</v>
      </c>
      <c r="O354" s="49">
        <v>7</v>
      </c>
      <c r="P354" s="49" t="s">
        <v>1292</v>
      </c>
      <c r="Q354" s="49">
        <v>0</v>
      </c>
      <c r="R354" s="49" t="s">
        <v>1293</v>
      </c>
      <c r="S354" s="49" t="s">
        <v>1294</v>
      </c>
      <c r="T354" s="49" t="s">
        <v>1295</v>
      </c>
      <c r="U354" s="49" t="s">
        <v>655</v>
      </c>
      <c r="V354" s="49" t="e">
        <v>#REF!</v>
      </c>
      <c r="AC354" s="49"/>
      <c r="AD354" s="49"/>
    </row>
    <row r="355" spans="1:30" hidden="1" x14ac:dyDescent="0.3">
      <c r="A355" s="49" t="s">
        <v>4753</v>
      </c>
      <c r="B355" s="49">
        <v>0</v>
      </c>
      <c r="C355" s="49"/>
      <c r="D355" s="72" t="s">
        <v>644</v>
      </c>
      <c r="E355" s="49" t="s">
        <v>3754</v>
      </c>
      <c r="F355" s="49"/>
      <c r="G355" s="49"/>
      <c r="H355" s="49" t="s">
        <v>4754</v>
      </c>
      <c r="I355" s="49" t="s">
        <v>4757</v>
      </c>
      <c r="J355" s="49" t="s">
        <v>4755</v>
      </c>
      <c r="K355" s="49" t="s">
        <v>4756</v>
      </c>
      <c r="L355" s="49">
        <v>0</v>
      </c>
      <c r="M355" s="49" t="s">
        <v>1826</v>
      </c>
      <c r="N355" s="49" t="s">
        <v>687</v>
      </c>
      <c r="O355" s="49">
        <v>1</v>
      </c>
      <c r="P355" s="49" t="s">
        <v>4758</v>
      </c>
      <c r="Q355" s="49">
        <v>0</v>
      </c>
      <c r="R355" s="49" t="s">
        <v>4759</v>
      </c>
      <c r="S355" s="49" t="s">
        <v>4760</v>
      </c>
      <c r="T355" s="49" t="s">
        <v>646</v>
      </c>
      <c r="U355" s="49" t="s">
        <v>670</v>
      </c>
      <c r="V355" s="49" t="e">
        <v>#REF!</v>
      </c>
      <c r="AC355" s="49"/>
      <c r="AD355" s="49"/>
    </row>
    <row r="356" spans="1:30" hidden="1" x14ac:dyDescent="0.3">
      <c r="A356" s="49" t="s">
        <v>4761</v>
      </c>
      <c r="B356" s="49">
        <v>0</v>
      </c>
      <c r="C356" s="49"/>
      <c r="D356" s="72" t="s">
        <v>644</v>
      </c>
      <c r="E356" s="49" t="s">
        <v>3754</v>
      </c>
      <c r="F356" s="49"/>
      <c r="G356" s="49"/>
      <c r="H356" s="49" t="s">
        <v>646</v>
      </c>
      <c r="I356" s="49" t="s">
        <v>4764</v>
      </c>
      <c r="J356" s="49" t="s">
        <v>4762</v>
      </c>
      <c r="K356" s="49" t="s">
        <v>4763</v>
      </c>
      <c r="L356" s="49">
        <v>0</v>
      </c>
      <c r="M356" s="49" t="s">
        <v>4084</v>
      </c>
      <c r="N356" s="49" t="s">
        <v>4765</v>
      </c>
      <c r="O356" s="49">
        <v>32</v>
      </c>
      <c r="P356" s="49" t="s">
        <v>4766</v>
      </c>
      <c r="Q356" s="49">
        <v>0</v>
      </c>
      <c r="R356" s="49" t="s">
        <v>4767</v>
      </c>
      <c r="S356" s="49" t="s">
        <v>4768</v>
      </c>
      <c r="T356" s="49" t="s">
        <v>646</v>
      </c>
      <c r="U356" s="49" t="s">
        <v>670</v>
      </c>
      <c r="V356" s="49" t="e">
        <v>#REF!</v>
      </c>
      <c r="AC356" s="49"/>
      <c r="AD356" s="49"/>
    </row>
    <row r="357" spans="1:30" hidden="1" x14ac:dyDescent="0.3">
      <c r="A357" s="49" t="s">
        <v>4769</v>
      </c>
      <c r="B357" s="49">
        <v>0</v>
      </c>
      <c r="C357" s="49"/>
      <c r="D357" s="72" t="s">
        <v>644</v>
      </c>
      <c r="E357" s="49" t="s">
        <v>3754</v>
      </c>
      <c r="F357" s="49"/>
      <c r="G357" s="49"/>
      <c r="H357" s="49" t="s">
        <v>4770</v>
      </c>
      <c r="I357" s="49" t="s">
        <v>4773</v>
      </c>
      <c r="J357" s="49" t="s">
        <v>4771</v>
      </c>
      <c r="K357" s="49" t="s">
        <v>4772</v>
      </c>
      <c r="L357" s="49">
        <v>0</v>
      </c>
      <c r="M357" s="49" t="s">
        <v>2220</v>
      </c>
      <c r="N357" s="49" t="s">
        <v>4774</v>
      </c>
      <c r="O357" s="49">
        <v>21</v>
      </c>
      <c r="P357" s="49" t="s">
        <v>4775</v>
      </c>
      <c r="Q357" s="49">
        <v>0</v>
      </c>
      <c r="R357" s="49" t="s">
        <v>4776</v>
      </c>
      <c r="S357" s="49" t="s">
        <v>4777</v>
      </c>
      <c r="T357" s="49" t="s">
        <v>646</v>
      </c>
      <c r="U357" s="49" t="s">
        <v>670</v>
      </c>
      <c r="V357" s="49" t="e">
        <v>#REF!</v>
      </c>
      <c r="AC357" s="49"/>
      <c r="AD357" s="49"/>
    </row>
    <row r="358" spans="1:30" hidden="1" x14ac:dyDescent="0.3">
      <c r="A358" s="49" t="s">
        <v>4778</v>
      </c>
      <c r="B358" s="49">
        <v>0</v>
      </c>
      <c r="C358" s="49"/>
      <c r="D358" s="72" t="s">
        <v>644</v>
      </c>
      <c r="E358" s="49" t="s">
        <v>3754</v>
      </c>
      <c r="F358" s="49"/>
      <c r="G358" s="49"/>
      <c r="H358" s="49" t="s">
        <v>4779</v>
      </c>
      <c r="I358" s="49" t="s">
        <v>4782</v>
      </c>
      <c r="J358" s="49" t="s">
        <v>4780</v>
      </c>
      <c r="K358" s="49" t="s">
        <v>4781</v>
      </c>
      <c r="L358" s="49">
        <v>0</v>
      </c>
      <c r="M358" s="49" t="s">
        <v>1777</v>
      </c>
      <c r="N358" s="49" t="s">
        <v>4783</v>
      </c>
      <c r="P358" s="49" t="s">
        <v>4784</v>
      </c>
      <c r="Q358" s="49">
        <v>0</v>
      </c>
      <c r="R358" s="49" t="s">
        <v>4785</v>
      </c>
      <c r="S358" s="49" t="s">
        <v>4786</v>
      </c>
      <c r="T358" s="49" t="s">
        <v>646</v>
      </c>
      <c r="U358" s="49" t="s">
        <v>670</v>
      </c>
      <c r="V358" s="49" t="e">
        <v>#REF!</v>
      </c>
      <c r="AC358" s="49"/>
      <c r="AD358" s="49"/>
    </row>
    <row r="359" spans="1:30" hidden="1" x14ac:dyDescent="0.3">
      <c r="A359" s="49" t="s">
        <v>4787</v>
      </c>
      <c r="B359" s="49">
        <v>0</v>
      </c>
      <c r="C359" s="49"/>
      <c r="D359" s="72" t="s">
        <v>644</v>
      </c>
      <c r="E359" s="49" t="s">
        <v>3754</v>
      </c>
      <c r="F359" s="49"/>
      <c r="G359" s="49"/>
      <c r="H359" s="49" t="s">
        <v>4788</v>
      </c>
      <c r="I359" s="49" t="s">
        <v>4791</v>
      </c>
      <c r="J359" s="49" t="s">
        <v>4789</v>
      </c>
      <c r="K359" s="49" t="s">
        <v>4790</v>
      </c>
      <c r="L359" s="49">
        <v>0</v>
      </c>
      <c r="M359" s="49" t="s">
        <v>1764</v>
      </c>
      <c r="N359" s="49" t="s">
        <v>2555</v>
      </c>
      <c r="O359" s="49">
        <v>7</v>
      </c>
      <c r="P359" s="49" t="s">
        <v>4792</v>
      </c>
      <c r="Q359" s="49">
        <v>0</v>
      </c>
      <c r="R359" s="49" t="s">
        <v>4793</v>
      </c>
      <c r="S359" s="49" t="s">
        <v>4794</v>
      </c>
      <c r="T359" s="49" t="s">
        <v>4795</v>
      </c>
      <c r="U359" s="49" t="s">
        <v>655</v>
      </c>
      <c r="V359" s="49" t="e">
        <v>#REF!</v>
      </c>
      <c r="AC359" s="49"/>
      <c r="AD359" s="49"/>
    </row>
    <row r="360" spans="1:30" hidden="1" x14ac:dyDescent="0.3">
      <c r="A360" s="49" t="s">
        <v>4796</v>
      </c>
      <c r="B360" s="49">
        <v>0</v>
      </c>
      <c r="C360" s="49"/>
      <c r="D360" s="72" t="s">
        <v>644</v>
      </c>
      <c r="E360" s="49" t="s">
        <v>3754</v>
      </c>
      <c r="F360" s="49"/>
      <c r="G360" s="49"/>
      <c r="H360" s="49" t="s">
        <v>4797</v>
      </c>
      <c r="I360" s="49" t="s">
        <v>4800</v>
      </c>
      <c r="J360" s="49" t="s">
        <v>4798</v>
      </c>
      <c r="K360" s="49" t="s">
        <v>4799</v>
      </c>
      <c r="L360" s="49">
        <v>0</v>
      </c>
      <c r="M360" s="49" t="s">
        <v>2636</v>
      </c>
      <c r="N360" s="49" t="s">
        <v>4801</v>
      </c>
      <c r="O360" s="49">
        <v>9</v>
      </c>
      <c r="P360" s="49" t="s">
        <v>4802</v>
      </c>
      <c r="Q360" s="49">
        <v>0</v>
      </c>
      <c r="R360" s="49" t="s">
        <v>4803</v>
      </c>
      <c r="S360" s="49" t="s">
        <v>4804</v>
      </c>
      <c r="T360" s="49" t="s">
        <v>4805</v>
      </c>
      <c r="U360" s="49" t="s">
        <v>670</v>
      </c>
      <c r="V360" s="49" t="e">
        <v>#REF!</v>
      </c>
      <c r="AC360" s="49"/>
      <c r="AD360" s="49"/>
    </row>
    <row r="361" spans="1:30" hidden="1" x14ac:dyDescent="0.3">
      <c r="A361" s="49" t="s">
        <v>4806</v>
      </c>
      <c r="B361" s="49">
        <v>0</v>
      </c>
      <c r="C361" s="49"/>
      <c r="D361" s="72" t="s">
        <v>644</v>
      </c>
      <c r="E361" s="49" t="s">
        <v>3754</v>
      </c>
      <c r="F361" s="49"/>
      <c r="G361" s="49"/>
      <c r="H361" s="49" t="s">
        <v>4807</v>
      </c>
      <c r="I361" s="49" t="s">
        <v>4810</v>
      </c>
      <c r="J361" s="49" t="s">
        <v>4808</v>
      </c>
      <c r="K361" s="49" t="s">
        <v>4809</v>
      </c>
      <c r="L361" s="49">
        <v>0</v>
      </c>
      <c r="M361" s="49" t="s">
        <v>1777</v>
      </c>
      <c r="N361" s="49" t="s">
        <v>4811</v>
      </c>
      <c r="O361" s="49">
        <v>10</v>
      </c>
      <c r="P361" s="49" t="s">
        <v>4812</v>
      </c>
      <c r="Q361" s="49">
        <v>0</v>
      </c>
      <c r="R361" s="49" t="s">
        <v>4813</v>
      </c>
      <c r="S361" s="49" t="s">
        <v>4814</v>
      </c>
      <c r="T361" s="49" t="s">
        <v>4815</v>
      </c>
      <c r="U361" s="49" t="s">
        <v>655</v>
      </c>
      <c r="V361" s="49" t="e">
        <v>#REF!</v>
      </c>
      <c r="AC361" s="49"/>
      <c r="AD361" s="49"/>
    </row>
    <row r="362" spans="1:30" hidden="1" x14ac:dyDescent="0.3">
      <c r="A362" s="49" t="s">
        <v>4816</v>
      </c>
      <c r="B362" s="49">
        <v>0</v>
      </c>
      <c r="C362" s="49"/>
      <c r="D362" s="72" t="s">
        <v>644</v>
      </c>
      <c r="E362" s="49" t="s">
        <v>3754</v>
      </c>
      <c r="F362" s="49"/>
      <c r="G362" s="49"/>
      <c r="H362" s="49" t="s">
        <v>4817</v>
      </c>
      <c r="I362" s="49" t="s">
        <v>4820</v>
      </c>
      <c r="J362" s="49" t="s">
        <v>4818</v>
      </c>
      <c r="K362" s="49" t="s">
        <v>4819</v>
      </c>
      <c r="L362" s="49">
        <v>0</v>
      </c>
      <c r="M362" s="49" t="s">
        <v>2456</v>
      </c>
      <c r="N362" s="49" t="s">
        <v>959</v>
      </c>
      <c r="O362" s="49">
        <v>10</v>
      </c>
      <c r="P362" s="49" t="s">
        <v>4821</v>
      </c>
      <c r="Q362" s="49">
        <v>0</v>
      </c>
      <c r="R362" s="49" t="s">
        <v>4822</v>
      </c>
      <c r="S362" s="49" t="s">
        <v>4823</v>
      </c>
      <c r="T362" s="49" t="s">
        <v>4824</v>
      </c>
      <c r="U362" s="49" t="s">
        <v>670</v>
      </c>
      <c r="V362" s="49" t="e">
        <v>#REF!</v>
      </c>
      <c r="AC362" s="49"/>
      <c r="AD362" s="49"/>
    </row>
    <row r="363" spans="1:30" hidden="1" x14ac:dyDescent="0.3">
      <c r="A363" s="49" t="s">
        <v>4825</v>
      </c>
      <c r="B363" s="49">
        <v>0</v>
      </c>
      <c r="C363" s="49"/>
      <c r="D363" s="72" t="s">
        <v>644</v>
      </c>
      <c r="E363" s="49" t="s">
        <v>3754</v>
      </c>
      <c r="F363" s="49"/>
      <c r="G363" s="49"/>
      <c r="H363" s="49" t="s">
        <v>4826</v>
      </c>
      <c r="I363" s="49" t="s">
        <v>4829</v>
      </c>
      <c r="J363" s="49" t="s">
        <v>4827</v>
      </c>
      <c r="K363" s="49" t="s">
        <v>4828</v>
      </c>
      <c r="L363" s="49">
        <v>0</v>
      </c>
      <c r="M363" s="49" t="s">
        <v>2484</v>
      </c>
      <c r="N363" s="49" t="s">
        <v>4830</v>
      </c>
      <c r="O363" s="49">
        <v>8</v>
      </c>
      <c r="P363" s="49" t="s">
        <v>4831</v>
      </c>
      <c r="Q363" s="49">
        <v>0</v>
      </c>
      <c r="R363" s="49" t="s">
        <v>4832</v>
      </c>
      <c r="S363" s="49" t="s">
        <v>4833</v>
      </c>
      <c r="T363" s="49" t="s">
        <v>4834</v>
      </c>
      <c r="U363" s="49" t="s">
        <v>655</v>
      </c>
      <c r="V363" s="49" t="e">
        <v>#REF!</v>
      </c>
      <c r="AC363" s="49"/>
      <c r="AD363" s="49"/>
    </row>
    <row r="364" spans="1:30" hidden="1" x14ac:dyDescent="0.3">
      <c r="A364" s="49" t="s">
        <v>4835</v>
      </c>
      <c r="B364" s="49">
        <v>0</v>
      </c>
      <c r="C364" s="49"/>
      <c r="D364" s="72" t="s">
        <v>644</v>
      </c>
      <c r="E364" s="49" t="s">
        <v>3754</v>
      </c>
      <c r="F364" s="49"/>
      <c r="G364" s="49"/>
      <c r="H364" s="49" t="s">
        <v>4836</v>
      </c>
      <c r="I364" s="49" t="s">
        <v>4839</v>
      </c>
      <c r="J364" s="49" t="s">
        <v>4837</v>
      </c>
      <c r="K364" s="49" t="s">
        <v>4838</v>
      </c>
      <c r="L364" s="49">
        <v>0</v>
      </c>
      <c r="M364" s="49" t="s">
        <v>1764</v>
      </c>
      <c r="N364" s="49" t="s">
        <v>4840</v>
      </c>
      <c r="O364" s="49">
        <v>14</v>
      </c>
      <c r="P364" s="49" t="s">
        <v>4841</v>
      </c>
      <c r="Q364" s="49">
        <v>0</v>
      </c>
      <c r="R364" s="49" t="s">
        <v>4842</v>
      </c>
      <c r="S364" s="49" t="s">
        <v>4843</v>
      </c>
      <c r="T364" s="49" t="s">
        <v>4844</v>
      </c>
      <c r="U364" s="49" t="s">
        <v>655</v>
      </c>
      <c r="V364" s="49" t="e">
        <v>#REF!</v>
      </c>
      <c r="AC364" s="49"/>
      <c r="AD364" s="49"/>
    </row>
    <row r="365" spans="1:30" hidden="1" x14ac:dyDescent="0.3">
      <c r="A365" s="49" t="s">
        <v>4845</v>
      </c>
      <c r="B365" s="49">
        <v>0</v>
      </c>
      <c r="C365" s="49"/>
      <c r="D365" s="72" t="s">
        <v>644</v>
      </c>
      <c r="E365" s="49" t="s">
        <v>3754</v>
      </c>
      <c r="F365" s="49"/>
      <c r="G365" s="49"/>
      <c r="H365" s="49" t="s">
        <v>4846</v>
      </c>
      <c r="I365" s="49" t="s">
        <v>4849</v>
      </c>
      <c r="J365" s="49" t="s">
        <v>4847</v>
      </c>
      <c r="K365" s="49" t="s">
        <v>4848</v>
      </c>
      <c r="L365" s="49">
        <v>0</v>
      </c>
      <c r="M365" s="49" t="s">
        <v>2142</v>
      </c>
      <c r="N365" s="49" t="s">
        <v>4850</v>
      </c>
      <c r="O365" s="49">
        <v>6</v>
      </c>
      <c r="P365" s="49" t="s">
        <v>4851</v>
      </c>
      <c r="Q365" s="49">
        <v>0</v>
      </c>
      <c r="R365" s="49" t="s">
        <v>4852</v>
      </c>
      <c r="S365" s="49" t="s">
        <v>4853</v>
      </c>
      <c r="T365" s="49" t="s">
        <v>4854</v>
      </c>
      <c r="U365" s="49" t="s">
        <v>655</v>
      </c>
      <c r="V365" s="49" t="e">
        <v>#REF!</v>
      </c>
      <c r="AC365" s="49"/>
      <c r="AD365" s="49"/>
    </row>
    <row r="366" spans="1:30" hidden="1" x14ac:dyDescent="0.3">
      <c r="A366" s="49" t="s">
        <v>4855</v>
      </c>
      <c r="B366" s="49">
        <v>0</v>
      </c>
      <c r="C366" s="49"/>
      <c r="D366" s="72" t="s">
        <v>644</v>
      </c>
      <c r="E366" s="49" t="s">
        <v>3754</v>
      </c>
      <c r="F366" s="49"/>
      <c r="G366" s="49"/>
      <c r="H366" s="49" t="s">
        <v>4856</v>
      </c>
      <c r="I366" s="49" t="s">
        <v>4859</v>
      </c>
      <c r="J366" s="49" t="s">
        <v>4857</v>
      </c>
      <c r="K366" s="49" t="s">
        <v>4858</v>
      </c>
      <c r="L366" s="49">
        <v>0</v>
      </c>
      <c r="M366" s="49" t="s">
        <v>1865</v>
      </c>
      <c r="N366" s="49" t="s">
        <v>3142</v>
      </c>
      <c r="O366" s="49">
        <v>4</v>
      </c>
      <c r="P366" s="49" t="s">
        <v>4860</v>
      </c>
      <c r="Q366" s="49">
        <v>0</v>
      </c>
      <c r="R366" s="49" t="s">
        <v>4861</v>
      </c>
      <c r="S366" s="49" t="s">
        <v>4862</v>
      </c>
      <c r="T366" s="49" t="s">
        <v>4863</v>
      </c>
      <c r="U366" s="49" t="s">
        <v>655</v>
      </c>
      <c r="V366" s="49" t="e">
        <v>#REF!</v>
      </c>
      <c r="AC366" s="49"/>
      <c r="AD366" s="49"/>
    </row>
    <row r="367" spans="1:30" hidden="1" x14ac:dyDescent="0.3">
      <c r="A367" s="49" t="s">
        <v>4864</v>
      </c>
      <c r="B367" s="49">
        <v>0</v>
      </c>
      <c r="C367" s="49"/>
      <c r="D367" s="72" t="s">
        <v>644</v>
      </c>
      <c r="E367" s="49" t="s">
        <v>3754</v>
      </c>
      <c r="F367" s="49"/>
      <c r="G367" s="49"/>
      <c r="H367" s="49" t="s">
        <v>646</v>
      </c>
      <c r="I367" s="49" t="s">
        <v>4867</v>
      </c>
      <c r="J367" s="49" t="s">
        <v>4865</v>
      </c>
      <c r="K367" s="49" t="s">
        <v>4866</v>
      </c>
      <c r="L367" s="49">
        <v>0</v>
      </c>
      <c r="M367" s="49" t="s">
        <v>2220</v>
      </c>
      <c r="N367" s="49" t="s">
        <v>4868</v>
      </c>
      <c r="O367" s="49">
        <v>70</v>
      </c>
      <c r="P367" s="49" t="s">
        <v>4869</v>
      </c>
      <c r="Q367" s="49">
        <v>0</v>
      </c>
      <c r="R367" s="49" t="s">
        <v>4870</v>
      </c>
      <c r="S367" s="49" t="s">
        <v>4871</v>
      </c>
      <c r="T367" s="49" t="s">
        <v>646</v>
      </c>
      <c r="U367" s="49" t="s">
        <v>670</v>
      </c>
      <c r="V367" s="49" t="e">
        <v>#REF!</v>
      </c>
      <c r="AC367" s="49"/>
      <c r="AD367" s="49"/>
    </row>
    <row r="368" spans="1:30" hidden="1" x14ac:dyDescent="0.3">
      <c r="A368" s="49" t="s">
        <v>4872</v>
      </c>
      <c r="B368" s="49">
        <v>0</v>
      </c>
      <c r="C368" s="49"/>
      <c r="D368" s="72" t="s">
        <v>644</v>
      </c>
      <c r="E368" s="49" t="s">
        <v>3754</v>
      </c>
      <c r="F368" s="49"/>
      <c r="G368" s="49"/>
      <c r="H368" s="49" t="s">
        <v>4873</v>
      </c>
      <c r="I368" s="49" t="s">
        <v>4876</v>
      </c>
      <c r="J368" s="49" t="s">
        <v>4874</v>
      </c>
      <c r="K368" s="49" t="s">
        <v>4875</v>
      </c>
      <c r="L368" s="49">
        <v>0</v>
      </c>
      <c r="M368" s="49" t="s">
        <v>4114</v>
      </c>
      <c r="N368" s="49" t="s">
        <v>4877</v>
      </c>
      <c r="O368" s="49">
        <v>3</v>
      </c>
      <c r="P368" s="49" t="s">
        <v>4878</v>
      </c>
      <c r="Q368" s="49">
        <v>0</v>
      </c>
      <c r="R368" s="49" t="s">
        <v>4879</v>
      </c>
      <c r="S368" s="49" t="s">
        <v>4880</v>
      </c>
      <c r="T368" s="49" t="s">
        <v>4881</v>
      </c>
      <c r="U368" s="49" t="s">
        <v>655</v>
      </c>
      <c r="V368" s="49" t="e">
        <v>#REF!</v>
      </c>
      <c r="AC368" s="49"/>
      <c r="AD368" s="49"/>
    </row>
    <row r="369" spans="1:30" hidden="1" x14ac:dyDescent="0.3">
      <c r="A369" s="49" t="s">
        <v>4882</v>
      </c>
      <c r="B369" s="49">
        <v>0</v>
      </c>
      <c r="C369" s="49"/>
      <c r="D369" s="72" t="s">
        <v>644</v>
      </c>
      <c r="E369" s="49" t="s">
        <v>3754</v>
      </c>
      <c r="F369" s="49"/>
      <c r="G369" s="49"/>
      <c r="H369" s="49" t="s">
        <v>4883</v>
      </c>
      <c r="I369" s="49" t="s">
        <v>4886</v>
      </c>
      <c r="J369" s="49" t="s">
        <v>4884</v>
      </c>
      <c r="K369" s="49" t="s">
        <v>4885</v>
      </c>
      <c r="L369" s="49">
        <v>0</v>
      </c>
      <c r="M369" s="49" t="s">
        <v>2142</v>
      </c>
      <c r="N369" s="49" t="s">
        <v>4887</v>
      </c>
      <c r="O369" s="49">
        <v>6</v>
      </c>
      <c r="P369" s="49" t="s">
        <v>4888</v>
      </c>
      <c r="Q369" s="49">
        <v>0</v>
      </c>
      <c r="R369" s="49" t="s">
        <v>4889</v>
      </c>
      <c r="S369" s="49" t="s">
        <v>4890</v>
      </c>
      <c r="T369" s="49" t="s">
        <v>646</v>
      </c>
      <c r="U369" s="49" t="s">
        <v>655</v>
      </c>
      <c r="V369" s="49" t="e">
        <v>#REF!</v>
      </c>
      <c r="AC369" s="49"/>
      <c r="AD369" s="49"/>
    </row>
    <row r="370" spans="1:30" hidden="1" x14ac:dyDescent="0.3">
      <c r="A370" s="49" t="s">
        <v>4891</v>
      </c>
      <c r="B370" s="49">
        <v>0</v>
      </c>
      <c r="C370" s="49"/>
      <c r="D370" s="72" t="s">
        <v>644</v>
      </c>
      <c r="E370" s="49" t="s">
        <v>3754</v>
      </c>
      <c r="F370" s="49"/>
      <c r="G370" s="49"/>
      <c r="H370" s="49" t="s">
        <v>4892</v>
      </c>
      <c r="I370" s="49" t="s">
        <v>4895</v>
      </c>
      <c r="J370" s="49" t="s">
        <v>4893</v>
      </c>
      <c r="K370" s="49" t="s">
        <v>4894</v>
      </c>
      <c r="L370" s="49">
        <v>0</v>
      </c>
      <c r="M370" s="49" t="s">
        <v>4114</v>
      </c>
      <c r="N370" s="49" t="s">
        <v>3690</v>
      </c>
      <c r="O370" s="49">
        <v>184</v>
      </c>
      <c r="P370" s="49" t="s">
        <v>4896</v>
      </c>
      <c r="Q370" s="49">
        <v>0</v>
      </c>
      <c r="R370" s="49" t="s">
        <v>4897</v>
      </c>
      <c r="S370" s="49" t="s">
        <v>4898</v>
      </c>
      <c r="T370" s="49" t="s">
        <v>646</v>
      </c>
      <c r="U370" s="49" t="s">
        <v>670</v>
      </c>
      <c r="V370" s="49" t="e">
        <v>#REF!</v>
      </c>
      <c r="AC370" s="49"/>
      <c r="AD370" s="49"/>
    </row>
    <row r="371" spans="1:30" hidden="1" x14ac:dyDescent="0.3">
      <c r="A371" s="49" t="s">
        <v>4899</v>
      </c>
      <c r="B371" s="49">
        <v>0</v>
      </c>
      <c r="C371" s="49"/>
      <c r="D371" s="72" t="s">
        <v>644</v>
      </c>
      <c r="E371" s="49" t="s">
        <v>3754</v>
      </c>
      <c r="F371" s="49"/>
      <c r="G371" s="49"/>
      <c r="H371" s="49" t="s">
        <v>4900</v>
      </c>
      <c r="I371" s="49" t="s">
        <v>4903</v>
      </c>
      <c r="J371" s="49" t="s">
        <v>4901</v>
      </c>
      <c r="K371" s="49" t="s">
        <v>4902</v>
      </c>
      <c r="L371" s="49">
        <v>0</v>
      </c>
      <c r="M371" s="49" t="s">
        <v>3570</v>
      </c>
      <c r="N371" s="49" t="s">
        <v>2741</v>
      </c>
      <c r="O371" s="49">
        <v>10</v>
      </c>
      <c r="P371" s="49" t="s">
        <v>4904</v>
      </c>
      <c r="Q371" s="49">
        <v>0</v>
      </c>
      <c r="R371" s="49" t="s">
        <v>4675</v>
      </c>
      <c r="S371" s="49" t="s">
        <v>4905</v>
      </c>
      <c r="T371" s="49" t="s">
        <v>4906</v>
      </c>
      <c r="U371" s="49" t="s">
        <v>670</v>
      </c>
      <c r="V371" s="49" t="e">
        <v>#REF!</v>
      </c>
      <c r="AC371" s="49"/>
      <c r="AD371" s="49"/>
    </row>
    <row r="372" spans="1:30" hidden="1" x14ac:dyDescent="0.3">
      <c r="A372" s="49" t="s">
        <v>4907</v>
      </c>
      <c r="B372" s="49">
        <v>0</v>
      </c>
      <c r="C372" s="49"/>
      <c r="D372" s="72" t="s">
        <v>644</v>
      </c>
      <c r="E372" s="49" t="s">
        <v>3754</v>
      </c>
      <c r="F372" s="49"/>
      <c r="G372" s="49"/>
      <c r="H372" s="49" t="s">
        <v>646</v>
      </c>
      <c r="I372" s="49" t="s">
        <v>4910</v>
      </c>
      <c r="J372" s="49" t="s">
        <v>4908</v>
      </c>
      <c r="K372" s="49" t="s">
        <v>4909</v>
      </c>
      <c r="L372" s="49">
        <v>0</v>
      </c>
      <c r="M372" s="49" t="s">
        <v>4084</v>
      </c>
      <c r="N372" s="49" t="s">
        <v>4911</v>
      </c>
      <c r="O372" s="49">
        <v>42</v>
      </c>
      <c r="P372" s="49" t="s">
        <v>4912</v>
      </c>
      <c r="Q372" s="49">
        <v>0</v>
      </c>
      <c r="R372" s="49" t="s">
        <v>4913</v>
      </c>
      <c r="S372" s="49" t="s">
        <v>4914</v>
      </c>
      <c r="T372" s="49" t="s">
        <v>4913</v>
      </c>
      <c r="U372" s="49" t="s">
        <v>670</v>
      </c>
      <c r="V372" s="49" t="e">
        <v>#REF!</v>
      </c>
      <c r="AC372" s="49"/>
      <c r="AD372" s="49"/>
    </row>
    <row r="373" spans="1:30" hidden="1" x14ac:dyDescent="0.3">
      <c r="A373" s="49" t="s">
        <v>4915</v>
      </c>
      <c r="B373" s="49">
        <v>0</v>
      </c>
      <c r="C373" s="49"/>
      <c r="D373" s="72" t="s">
        <v>644</v>
      </c>
      <c r="E373" s="49" t="s">
        <v>3754</v>
      </c>
      <c r="F373" s="49"/>
      <c r="G373" s="49"/>
      <c r="H373" s="49" t="s">
        <v>4916</v>
      </c>
      <c r="I373" s="49" t="s">
        <v>4919</v>
      </c>
      <c r="J373" s="49" t="s">
        <v>4917</v>
      </c>
      <c r="K373" s="49" t="s">
        <v>4918</v>
      </c>
      <c r="L373" s="49">
        <v>0</v>
      </c>
      <c r="M373" s="49" t="s">
        <v>1826</v>
      </c>
      <c r="N373" s="49" t="s">
        <v>4920</v>
      </c>
      <c r="O373" s="49">
        <v>1</v>
      </c>
      <c r="P373" s="49" t="s">
        <v>4921</v>
      </c>
      <c r="Q373" s="49">
        <v>0</v>
      </c>
      <c r="R373" s="49" t="s">
        <v>4922</v>
      </c>
      <c r="S373" s="49" t="s">
        <v>4923</v>
      </c>
      <c r="T373" s="49" t="s">
        <v>646</v>
      </c>
      <c r="U373" s="49" t="s">
        <v>655</v>
      </c>
      <c r="V373" s="49" t="e">
        <v>#REF!</v>
      </c>
      <c r="AC373" s="49"/>
      <c r="AD373" s="49"/>
    </row>
    <row r="374" spans="1:30" hidden="1" x14ac:dyDescent="0.3">
      <c r="A374" s="49" t="s">
        <v>4924</v>
      </c>
      <c r="B374" s="49">
        <v>0</v>
      </c>
      <c r="C374" s="49"/>
      <c r="D374" s="72" t="s">
        <v>644</v>
      </c>
      <c r="E374" s="49" t="s">
        <v>3754</v>
      </c>
      <c r="F374" s="49"/>
      <c r="G374" s="49"/>
      <c r="H374" s="49" t="s">
        <v>4925</v>
      </c>
      <c r="I374" s="49" t="s">
        <v>4928</v>
      </c>
      <c r="J374" s="49" t="s">
        <v>4926</v>
      </c>
      <c r="K374" s="49" t="s">
        <v>4927</v>
      </c>
      <c r="L374" s="49">
        <v>0</v>
      </c>
      <c r="M374" s="49" t="s">
        <v>2220</v>
      </c>
      <c r="N374" s="49" t="s">
        <v>4929</v>
      </c>
      <c r="O374" s="49">
        <v>3</v>
      </c>
      <c r="P374" s="49" t="s">
        <v>4930</v>
      </c>
      <c r="Q374" s="49">
        <v>0</v>
      </c>
      <c r="R374" s="49" t="s">
        <v>4931</v>
      </c>
      <c r="S374" s="49" t="s">
        <v>4932</v>
      </c>
      <c r="T374" s="49" t="s">
        <v>646</v>
      </c>
      <c r="U374" s="49" t="s">
        <v>670</v>
      </c>
      <c r="V374" s="49" t="e">
        <v>#REF!</v>
      </c>
      <c r="AC374" s="49"/>
      <c r="AD374" s="49"/>
    </row>
    <row r="375" spans="1:30" hidden="1" x14ac:dyDescent="0.3">
      <c r="A375" s="49" t="s">
        <v>4933</v>
      </c>
      <c r="B375" s="49">
        <v>0</v>
      </c>
      <c r="C375" s="49"/>
      <c r="D375" s="72" t="s">
        <v>644</v>
      </c>
      <c r="E375" s="49" t="s">
        <v>3754</v>
      </c>
      <c r="F375" s="49"/>
      <c r="G375" s="49"/>
      <c r="H375" s="49" t="s">
        <v>4934</v>
      </c>
      <c r="I375" s="49" t="s">
        <v>4937</v>
      </c>
      <c r="J375" s="49" t="s">
        <v>4935</v>
      </c>
      <c r="K375" s="49" t="s">
        <v>4936</v>
      </c>
      <c r="L375" s="49">
        <v>0</v>
      </c>
      <c r="M375" s="49" t="s">
        <v>1764</v>
      </c>
      <c r="N375" s="49" t="s">
        <v>4938</v>
      </c>
      <c r="O375" s="49">
        <v>5</v>
      </c>
      <c r="P375" s="49" t="s">
        <v>4939</v>
      </c>
      <c r="Q375" s="49">
        <v>0</v>
      </c>
      <c r="R375" s="49" t="s">
        <v>4940</v>
      </c>
      <c r="S375" s="49" t="s">
        <v>4941</v>
      </c>
      <c r="T375" s="49" t="s">
        <v>4942</v>
      </c>
      <c r="U375" s="49" t="s">
        <v>655</v>
      </c>
      <c r="V375" s="49" t="e">
        <v>#REF!</v>
      </c>
      <c r="AC375" s="49"/>
      <c r="AD375" s="49"/>
    </row>
    <row r="376" spans="1:30" hidden="1" x14ac:dyDescent="0.3">
      <c r="A376" s="49" t="s">
        <v>4943</v>
      </c>
      <c r="B376" s="49">
        <v>0</v>
      </c>
      <c r="C376" s="49"/>
      <c r="D376" s="72" t="s">
        <v>644</v>
      </c>
      <c r="E376" s="49" t="s">
        <v>3754</v>
      </c>
      <c r="F376" s="49"/>
      <c r="G376" s="49"/>
      <c r="H376" s="49" t="s">
        <v>646</v>
      </c>
      <c r="I376" s="49" t="s">
        <v>4946</v>
      </c>
      <c r="J376" s="49" t="s">
        <v>4944</v>
      </c>
      <c r="K376" s="49" t="s">
        <v>4945</v>
      </c>
      <c r="L376" s="49">
        <v>0</v>
      </c>
      <c r="M376" s="49" t="s">
        <v>2142</v>
      </c>
      <c r="N376" s="49" t="s">
        <v>4947</v>
      </c>
      <c r="O376" s="49">
        <v>2</v>
      </c>
      <c r="P376" s="49" t="s">
        <v>4948</v>
      </c>
      <c r="Q376" s="49">
        <v>0</v>
      </c>
      <c r="R376" s="49" t="s">
        <v>3458</v>
      </c>
      <c r="S376" s="49" t="s">
        <v>4949</v>
      </c>
      <c r="T376" s="49" t="s">
        <v>646</v>
      </c>
      <c r="U376" s="49" t="s">
        <v>670</v>
      </c>
      <c r="V376" s="49" t="e">
        <v>#REF!</v>
      </c>
      <c r="AC376" s="49"/>
      <c r="AD376" s="49"/>
    </row>
    <row r="377" spans="1:30" hidden="1" x14ac:dyDescent="0.3">
      <c r="A377" s="49" t="s">
        <v>4950</v>
      </c>
      <c r="B377" s="49">
        <v>0</v>
      </c>
      <c r="C377" s="49"/>
      <c r="D377" s="72" t="s">
        <v>644</v>
      </c>
      <c r="E377" s="49" t="s">
        <v>3754</v>
      </c>
      <c r="F377" s="49"/>
      <c r="G377" s="49"/>
      <c r="H377" s="49" t="s">
        <v>4951</v>
      </c>
      <c r="I377" s="49" t="s">
        <v>4954</v>
      </c>
      <c r="J377" s="49" t="s">
        <v>4952</v>
      </c>
      <c r="K377" s="49" t="s">
        <v>4953</v>
      </c>
      <c r="L377" s="49">
        <v>0</v>
      </c>
      <c r="M377" s="49" t="s">
        <v>4084</v>
      </c>
      <c r="N377" s="49" t="s">
        <v>4955</v>
      </c>
      <c r="O377" s="49">
        <v>40</v>
      </c>
      <c r="P377" s="49" t="s">
        <v>4956</v>
      </c>
      <c r="Q377" s="49">
        <v>0</v>
      </c>
      <c r="R377" s="49" t="s">
        <v>4957</v>
      </c>
      <c r="S377" s="49" t="s">
        <v>4958</v>
      </c>
      <c r="T377" s="49" t="s">
        <v>4959</v>
      </c>
      <c r="U377" s="49" t="s">
        <v>670</v>
      </c>
      <c r="V377" s="49" t="e">
        <v>#REF!</v>
      </c>
      <c r="AC377" s="49"/>
      <c r="AD377" s="49"/>
    </row>
    <row r="378" spans="1:30" hidden="1" x14ac:dyDescent="0.3">
      <c r="A378" s="49" t="s">
        <v>4960</v>
      </c>
      <c r="B378" s="49">
        <v>0</v>
      </c>
      <c r="C378" s="49"/>
      <c r="D378" s="72" t="s">
        <v>644</v>
      </c>
      <c r="E378" s="49" t="s">
        <v>3754</v>
      </c>
      <c r="F378" s="49"/>
      <c r="G378" s="49"/>
      <c r="H378" s="49" t="s">
        <v>4961</v>
      </c>
      <c r="I378" s="49" t="s">
        <v>4964</v>
      </c>
      <c r="J378" s="49" t="s">
        <v>4962</v>
      </c>
      <c r="K378" s="49" t="s">
        <v>4963</v>
      </c>
      <c r="L378" s="49">
        <v>0</v>
      </c>
      <c r="M378" s="49" t="s">
        <v>4084</v>
      </c>
      <c r="N378" s="49" t="s">
        <v>4965</v>
      </c>
      <c r="O378" s="49">
        <v>5</v>
      </c>
      <c r="P378" s="49" t="s">
        <v>4966</v>
      </c>
      <c r="Q378" s="49">
        <v>0</v>
      </c>
      <c r="R378" s="49" t="s">
        <v>907</v>
      </c>
      <c r="S378" s="49" t="s">
        <v>4967</v>
      </c>
      <c r="T378" s="49" t="s">
        <v>4968</v>
      </c>
      <c r="U378" s="49" t="s">
        <v>670</v>
      </c>
      <c r="V378" s="49" t="e">
        <v>#REF!</v>
      </c>
      <c r="AC378" s="49"/>
      <c r="AD378" s="49"/>
    </row>
    <row r="379" spans="1:30" hidden="1" x14ac:dyDescent="0.3">
      <c r="A379" s="49" t="s">
        <v>4969</v>
      </c>
      <c r="B379" s="49">
        <v>0</v>
      </c>
      <c r="C379" s="49"/>
      <c r="D379" s="72" t="s">
        <v>644</v>
      </c>
      <c r="E379" s="49" t="s">
        <v>3754</v>
      </c>
      <c r="F379" s="49"/>
      <c r="G379" s="49"/>
      <c r="H379" s="49" t="s">
        <v>4970</v>
      </c>
      <c r="I379" s="49" t="s">
        <v>4973</v>
      </c>
      <c r="J379" s="49" t="s">
        <v>4971</v>
      </c>
      <c r="K379" s="49" t="s">
        <v>4972</v>
      </c>
      <c r="L379" s="49">
        <v>0</v>
      </c>
      <c r="M379" s="49" t="s">
        <v>2142</v>
      </c>
      <c r="N379" s="49" t="s">
        <v>3142</v>
      </c>
      <c r="O379" s="49">
        <v>9</v>
      </c>
      <c r="P379" s="49" t="s">
        <v>4974</v>
      </c>
      <c r="Q379" s="49">
        <v>0</v>
      </c>
      <c r="R379" s="49" t="s">
        <v>4975</v>
      </c>
      <c r="S379" s="49" t="s">
        <v>4976</v>
      </c>
      <c r="T379" s="49" t="s">
        <v>4977</v>
      </c>
      <c r="U379" s="49" t="s">
        <v>655</v>
      </c>
      <c r="V379" s="49" t="e">
        <v>#REF!</v>
      </c>
      <c r="AC379" s="49"/>
      <c r="AD379" s="49"/>
    </row>
    <row r="380" spans="1:30" hidden="1" x14ac:dyDescent="0.3">
      <c r="A380" s="49" t="s">
        <v>4978</v>
      </c>
      <c r="B380" s="49">
        <v>0</v>
      </c>
      <c r="C380" s="49"/>
      <c r="D380" s="72" t="s">
        <v>644</v>
      </c>
      <c r="E380" s="49" t="s">
        <v>3754</v>
      </c>
      <c r="F380" s="49"/>
      <c r="G380" s="49"/>
      <c r="H380" s="49" t="s">
        <v>4979</v>
      </c>
      <c r="I380" s="49" t="s">
        <v>4982</v>
      </c>
      <c r="J380" s="49" t="s">
        <v>4980</v>
      </c>
      <c r="K380" s="49" t="s">
        <v>4981</v>
      </c>
      <c r="L380" s="49">
        <v>0</v>
      </c>
      <c r="M380" s="49" t="s">
        <v>1817</v>
      </c>
      <c r="N380" s="49" t="s">
        <v>818</v>
      </c>
      <c r="O380" s="49">
        <v>28</v>
      </c>
      <c r="P380" s="49" t="s">
        <v>4983</v>
      </c>
      <c r="Q380" s="49">
        <v>0</v>
      </c>
      <c r="R380" s="49" t="s">
        <v>4984</v>
      </c>
      <c r="S380" s="49" t="s">
        <v>4985</v>
      </c>
      <c r="T380" s="49" t="s">
        <v>4986</v>
      </c>
      <c r="U380" s="49" t="s">
        <v>670</v>
      </c>
      <c r="V380" s="49" t="e">
        <v>#REF!</v>
      </c>
      <c r="AC380" s="49"/>
      <c r="AD380" s="49"/>
    </row>
    <row r="381" spans="1:30" hidden="1" x14ac:dyDescent="0.3">
      <c r="A381" s="49" t="s">
        <v>4987</v>
      </c>
      <c r="B381" s="49">
        <v>0</v>
      </c>
      <c r="C381" s="49"/>
      <c r="D381" s="72" t="s">
        <v>644</v>
      </c>
      <c r="E381" s="49" t="s">
        <v>3754</v>
      </c>
      <c r="F381" s="49"/>
      <c r="G381" s="49"/>
      <c r="H381" s="49" t="s">
        <v>4988</v>
      </c>
      <c r="I381" s="49" t="s">
        <v>4991</v>
      </c>
      <c r="J381" s="49" t="s">
        <v>4989</v>
      </c>
      <c r="K381" s="49" t="s">
        <v>4990</v>
      </c>
      <c r="L381" s="49">
        <v>0</v>
      </c>
      <c r="M381" s="49" t="s">
        <v>4156</v>
      </c>
      <c r="N381" s="49" t="s">
        <v>4992</v>
      </c>
      <c r="O381" s="49">
        <v>81</v>
      </c>
      <c r="P381" s="49" t="s">
        <v>4993</v>
      </c>
      <c r="Q381" s="49">
        <v>0</v>
      </c>
      <c r="R381" s="49" t="s">
        <v>4994</v>
      </c>
      <c r="S381" s="49" t="s">
        <v>4995</v>
      </c>
      <c r="T381" s="49" t="s">
        <v>4996</v>
      </c>
      <c r="U381" s="49" t="s">
        <v>670</v>
      </c>
      <c r="V381" s="49" t="e">
        <v>#REF!</v>
      </c>
      <c r="AC381" s="49"/>
      <c r="AD381" s="49"/>
    </row>
    <row r="382" spans="1:30" hidden="1" x14ac:dyDescent="0.3">
      <c r="A382" s="49" t="s">
        <v>4997</v>
      </c>
      <c r="B382" s="49">
        <v>0</v>
      </c>
      <c r="C382" s="49"/>
      <c r="D382" s="72" t="s">
        <v>644</v>
      </c>
      <c r="E382" s="49" t="s">
        <v>3754</v>
      </c>
      <c r="F382" s="49"/>
      <c r="G382" s="49"/>
      <c r="H382" s="49" t="s">
        <v>4998</v>
      </c>
      <c r="I382" s="49" t="s">
        <v>5001</v>
      </c>
      <c r="J382" s="49" t="s">
        <v>4999</v>
      </c>
      <c r="K382" s="49" t="s">
        <v>5000</v>
      </c>
      <c r="L382" s="49">
        <v>0</v>
      </c>
      <c r="M382" s="49" t="s">
        <v>1764</v>
      </c>
      <c r="N382" s="49" t="s">
        <v>5002</v>
      </c>
      <c r="O382" s="49">
        <v>2</v>
      </c>
      <c r="P382" s="49" t="s">
        <v>5003</v>
      </c>
      <c r="Q382" s="49">
        <v>0</v>
      </c>
      <c r="R382" s="49" t="s">
        <v>5004</v>
      </c>
      <c r="S382" s="49" t="s">
        <v>5005</v>
      </c>
      <c r="T382" s="49" t="s">
        <v>646</v>
      </c>
      <c r="U382" s="49" t="s">
        <v>670</v>
      </c>
      <c r="V382" s="49" t="e">
        <v>#REF!</v>
      </c>
      <c r="AC382" s="49"/>
      <c r="AD382" s="49"/>
    </row>
    <row r="383" spans="1:30" hidden="1" x14ac:dyDescent="0.3">
      <c r="A383" s="49" t="s">
        <v>5006</v>
      </c>
      <c r="B383" s="49">
        <v>0</v>
      </c>
      <c r="C383" s="49"/>
      <c r="D383" s="72" t="s">
        <v>644</v>
      </c>
      <c r="E383" s="49" t="s">
        <v>3754</v>
      </c>
      <c r="F383" s="49"/>
      <c r="G383" s="49"/>
      <c r="H383" s="49" t="s">
        <v>5007</v>
      </c>
      <c r="I383" s="49" t="s">
        <v>5010</v>
      </c>
      <c r="J383" s="49" t="s">
        <v>5008</v>
      </c>
      <c r="K383" s="49" t="s">
        <v>5009</v>
      </c>
      <c r="L383" s="49">
        <v>0</v>
      </c>
      <c r="M383" s="49" t="s">
        <v>2456</v>
      </c>
      <c r="N383" s="49" t="s">
        <v>5011</v>
      </c>
      <c r="O383" s="49">
        <v>7</v>
      </c>
      <c r="P383" s="49" t="s">
        <v>5012</v>
      </c>
      <c r="Q383" s="49">
        <v>0</v>
      </c>
      <c r="R383" s="49" t="s">
        <v>5013</v>
      </c>
      <c r="S383" s="49" t="s">
        <v>5014</v>
      </c>
      <c r="T383" s="49" t="s">
        <v>5015</v>
      </c>
      <c r="U383" s="49" t="s">
        <v>670</v>
      </c>
      <c r="V383" s="49" t="e">
        <v>#REF!</v>
      </c>
      <c r="AC383" s="49"/>
      <c r="AD383" s="49"/>
    </row>
    <row r="384" spans="1:30" hidden="1" x14ac:dyDescent="0.3">
      <c r="A384" s="49" t="s">
        <v>5016</v>
      </c>
      <c r="B384" s="49">
        <v>0</v>
      </c>
      <c r="C384" s="49"/>
      <c r="D384" s="72" t="s">
        <v>644</v>
      </c>
      <c r="E384" s="49" t="s">
        <v>3754</v>
      </c>
      <c r="F384" s="49"/>
      <c r="G384" s="49"/>
      <c r="H384" s="49" t="s">
        <v>5017</v>
      </c>
      <c r="I384" s="49" t="s">
        <v>5010</v>
      </c>
      <c r="J384" s="49" t="s">
        <v>5008</v>
      </c>
      <c r="K384" s="49" t="s">
        <v>5018</v>
      </c>
      <c r="L384" s="49">
        <v>0</v>
      </c>
      <c r="M384" s="49" t="s">
        <v>2456</v>
      </c>
      <c r="N384" s="49" t="s">
        <v>5011</v>
      </c>
      <c r="O384" s="49">
        <v>30</v>
      </c>
      <c r="P384" s="49" t="s">
        <v>5019</v>
      </c>
      <c r="Q384" s="49">
        <v>0</v>
      </c>
      <c r="R384" s="49" t="s">
        <v>5020</v>
      </c>
      <c r="S384" s="49" t="s">
        <v>5021</v>
      </c>
      <c r="T384" s="49" t="s">
        <v>5022</v>
      </c>
      <c r="U384" s="49" t="s">
        <v>670</v>
      </c>
      <c r="V384" s="49" t="e">
        <v>#REF!</v>
      </c>
      <c r="AC384" s="49"/>
      <c r="AD384" s="49"/>
    </row>
    <row r="385" spans="1:30" hidden="1" x14ac:dyDescent="0.3">
      <c r="A385" s="49" t="s">
        <v>5023</v>
      </c>
      <c r="B385" s="49">
        <v>0</v>
      </c>
      <c r="C385" s="49"/>
      <c r="D385" s="72" t="s">
        <v>644</v>
      </c>
      <c r="E385" s="49" t="s">
        <v>3754</v>
      </c>
      <c r="F385" s="49"/>
      <c r="G385" s="49"/>
      <c r="H385" s="49" t="s">
        <v>5024</v>
      </c>
      <c r="I385" s="49" t="s">
        <v>5027</v>
      </c>
      <c r="J385" s="49" t="s">
        <v>5025</v>
      </c>
      <c r="K385" s="49" t="s">
        <v>5026</v>
      </c>
      <c r="L385" s="49">
        <v>0</v>
      </c>
      <c r="M385" s="49" t="s">
        <v>4084</v>
      </c>
      <c r="N385" s="49" t="s">
        <v>5028</v>
      </c>
      <c r="O385" s="49">
        <v>12</v>
      </c>
      <c r="P385" s="49" t="s">
        <v>5029</v>
      </c>
      <c r="Q385" s="49">
        <v>0</v>
      </c>
      <c r="R385" s="49" t="s">
        <v>5030</v>
      </c>
      <c r="S385" s="49" t="s">
        <v>5031</v>
      </c>
      <c r="T385" s="49" t="s">
        <v>5032</v>
      </c>
      <c r="U385" s="49" t="s">
        <v>655</v>
      </c>
      <c r="V385" s="49" t="e">
        <v>#REF!</v>
      </c>
      <c r="AC385" s="49"/>
      <c r="AD385" s="49"/>
    </row>
    <row r="386" spans="1:30" hidden="1" x14ac:dyDescent="0.3">
      <c r="A386" s="49" t="s">
        <v>5033</v>
      </c>
      <c r="B386" s="49">
        <v>0</v>
      </c>
      <c r="C386" s="49"/>
      <c r="D386" s="72" t="s">
        <v>644</v>
      </c>
      <c r="E386" s="49" t="s">
        <v>3754</v>
      </c>
      <c r="F386" s="49"/>
      <c r="G386" s="49"/>
      <c r="H386" s="49" t="s">
        <v>646</v>
      </c>
      <c r="I386" s="49" t="s">
        <v>5036</v>
      </c>
      <c r="J386" s="49" t="s">
        <v>5034</v>
      </c>
      <c r="K386" s="49" t="s">
        <v>5035</v>
      </c>
      <c r="L386" s="49">
        <v>0</v>
      </c>
      <c r="M386" s="49" t="s">
        <v>1777</v>
      </c>
      <c r="N386" s="49" t="s">
        <v>5037</v>
      </c>
      <c r="O386" s="49">
        <v>1</v>
      </c>
      <c r="P386" s="49" t="s">
        <v>5038</v>
      </c>
      <c r="Q386" s="49">
        <v>0</v>
      </c>
      <c r="R386" s="49" t="s">
        <v>5039</v>
      </c>
      <c r="S386" s="49" t="s">
        <v>5040</v>
      </c>
      <c r="T386" s="49" t="s">
        <v>646</v>
      </c>
      <c r="U386" s="49" t="s">
        <v>670</v>
      </c>
      <c r="V386" s="49" t="e">
        <v>#REF!</v>
      </c>
      <c r="AC386" s="49"/>
      <c r="AD386" s="49"/>
    </row>
    <row r="387" spans="1:30" hidden="1" x14ac:dyDescent="0.3">
      <c r="A387" s="49" t="s">
        <v>5041</v>
      </c>
      <c r="B387" s="49">
        <v>0</v>
      </c>
      <c r="C387" s="49"/>
      <c r="D387" s="72" t="s">
        <v>644</v>
      </c>
      <c r="E387" s="49" t="s">
        <v>3754</v>
      </c>
      <c r="F387" s="49"/>
      <c r="G387" s="49"/>
      <c r="H387" s="49" t="s">
        <v>5042</v>
      </c>
      <c r="I387" s="49" t="s">
        <v>5045</v>
      </c>
      <c r="J387" s="49" t="s">
        <v>5043</v>
      </c>
      <c r="K387" s="49" t="s">
        <v>5044</v>
      </c>
      <c r="L387" s="49">
        <v>0</v>
      </c>
      <c r="M387" s="49" t="s">
        <v>1826</v>
      </c>
      <c r="N387" s="49" t="s">
        <v>5046</v>
      </c>
      <c r="O387" s="49">
        <v>7</v>
      </c>
      <c r="P387" s="49" t="s">
        <v>5047</v>
      </c>
      <c r="Q387" s="49">
        <v>0</v>
      </c>
      <c r="R387" s="49" t="s">
        <v>5048</v>
      </c>
      <c r="S387" s="49" t="s">
        <v>5049</v>
      </c>
      <c r="T387" s="49" t="s">
        <v>5050</v>
      </c>
      <c r="U387" s="49" t="s">
        <v>655</v>
      </c>
      <c r="V387" s="49" t="e">
        <v>#REF!</v>
      </c>
      <c r="AC387" s="49"/>
      <c r="AD387" s="49"/>
    </row>
    <row r="388" spans="1:30" hidden="1" x14ac:dyDescent="0.3">
      <c r="A388" s="49" t="s">
        <v>5051</v>
      </c>
      <c r="B388" s="49">
        <v>0</v>
      </c>
      <c r="C388" s="49"/>
      <c r="D388" s="72" t="s">
        <v>644</v>
      </c>
      <c r="E388" s="49" t="s">
        <v>3754</v>
      </c>
      <c r="F388" s="49"/>
      <c r="G388" s="49"/>
      <c r="H388" s="49" t="s">
        <v>646</v>
      </c>
      <c r="I388" s="49" t="s">
        <v>5054</v>
      </c>
      <c r="J388" s="49" t="s">
        <v>5052</v>
      </c>
      <c r="K388" s="49" t="s">
        <v>5053</v>
      </c>
      <c r="L388" s="49">
        <v>0</v>
      </c>
      <c r="M388" s="49" t="s">
        <v>4156</v>
      </c>
      <c r="N388" s="49" t="s">
        <v>5055</v>
      </c>
      <c r="O388" s="49">
        <v>6</v>
      </c>
      <c r="P388" s="49" t="s">
        <v>5056</v>
      </c>
      <c r="Q388" s="49">
        <v>0</v>
      </c>
      <c r="R388" s="49" t="s">
        <v>5057</v>
      </c>
      <c r="S388" s="49" t="s">
        <v>5058</v>
      </c>
      <c r="T388" s="49" t="s">
        <v>5059</v>
      </c>
      <c r="U388" s="49" t="s">
        <v>655</v>
      </c>
      <c r="V388" s="49" t="e">
        <v>#REF!</v>
      </c>
      <c r="AC388" s="49"/>
      <c r="AD388" s="49"/>
    </row>
    <row r="389" spans="1:30" hidden="1" x14ac:dyDescent="0.3">
      <c r="A389" s="49" t="s">
        <v>691</v>
      </c>
      <c r="B389" s="49">
        <v>0</v>
      </c>
      <c r="C389" s="49"/>
      <c r="D389" s="72" t="s">
        <v>644</v>
      </c>
      <c r="E389" s="49" t="s">
        <v>3754</v>
      </c>
      <c r="F389" s="49"/>
      <c r="G389" s="49"/>
      <c r="H389" s="49" t="s">
        <v>693</v>
      </c>
      <c r="I389" s="49" t="s">
        <v>694</v>
      </c>
      <c r="J389" s="49" t="s">
        <v>695</v>
      </c>
      <c r="K389" s="49" t="s">
        <v>696</v>
      </c>
      <c r="L389" s="49">
        <v>0</v>
      </c>
      <c r="M389" s="49" t="s">
        <v>1777</v>
      </c>
      <c r="N389" s="49" t="s">
        <v>697</v>
      </c>
      <c r="O389" s="49">
        <v>201</v>
      </c>
      <c r="P389" s="49" t="s">
        <v>698</v>
      </c>
      <c r="Q389" s="49">
        <v>0</v>
      </c>
      <c r="R389" s="49" t="s">
        <v>699</v>
      </c>
      <c r="S389" s="49" t="s">
        <v>700</v>
      </c>
      <c r="T389" s="49" t="s">
        <v>646</v>
      </c>
      <c r="U389" s="49" t="s">
        <v>655</v>
      </c>
      <c r="V389" s="49" t="e">
        <v>#REF!</v>
      </c>
      <c r="AC389" s="49"/>
      <c r="AD389" s="49"/>
    </row>
    <row r="390" spans="1:30" hidden="1" x14ac:dyDescent="0.3">
      <c r="A390" s="49" t="s">
        <v>5060</v>
      </c>
      <c r="B390" s="49">
        <v>0</v>
      </c>
      <c r="C390" s="49"/>
      <c r="D390" s="72" t="s">
        <v>644</v>
      </c>
      <c r="E390" s="49" t="s">
        <v>3754</v>
      </c>
      <c r="F390" s="49"/>
      <c r="G390" s="49"/>
      <c r="H390" s="49" t="s">
        <v>5061</v>
      </c>
      <c r="I390" s="49" t="s">
        <v>5064</v>
      </c>
      <c r="J390" s="49" t="s">
        <v>5062</v>
      </c>
      <c r="K390" s="49" t="s">
        <v>5063</v>
      </c>
      <c r="L390" s="49">
        <v>0</v>
      </c>
      <c r="M390" s="49" t="s">
        <v>4114</v>
      </c>
      <c r="N390" s="49" t="s">
        <v>5065</v>
      </c>
      <c r="O390" s="49">
        <v>20</v>
      </c>
      <c r="P390" s="49" t="s">
        <v>5066</v>
      </c>
      <c r="Q390" s="49">
        <v>0</v>
      </c>
      <c r="R390" s="49" t="s">
        <v>5067</v>
      </c>
      <c r="S390" s="49" t="s">
        <v>5068</v>
      </c>
      <c r="T390" s="49" t="s">
        <v>646</v>
      </c>
      <c r="U390" s="49" t="s">
        <v>670</v>
      </c>
      <c r="V390" s="49" t="e">
        <v>#REF!</v>
      </c>
      <c r="AC390" s="49"/>
      <c r="AD390" s="49"/>
    </row>
    <row r="391" spans="1:30" hidden="1" x14ac:dyDescent="0.3">
      <c r="A391" s="49" t="s">
        <v>5069</v>
      </c>
      <c r="B391" s="49">
        <v>0</v>
      </c>
      <c r="C391" s="49"/>
      <c r="D391" s="72" t="s">
        <v>644</v>
      </c>
      <c r="E391" s="49" t="s">
        <v>3754</v>
      </c>
      <c r="F391" s="49"/>
      <c r="G391" s="49"/>
      <c r="H391" s="49" t="s">
        <v>646</v>
      </c>
      <c r="I391" s="49" t="s">
        <v>5072</v>
      </c>
      <c r="J391" s="49" t="s">
        <v>5070</v>
      </c>
      <c r="K391" s="49" t="s">
        <v>5071</v>
      </c>
      <c r="L391" s="49">
        <v>0</v>
      </c>
      <c r="M391" s="49" t="s">
        <v>2142</v>
      </c>
      <c r="N391" s="49" t="s">
        <v>5073</v>
      </c>
      <c r="P391" s="49" t="s">
        <v>5074</v>
      </c>
      <c r="Q391" s="49">
        <v>0</v>
      </c>
      <c r="R391" s="49" t="s">
        <v>5075</v>
      </c>
      <c r="S391" s="49" t="s">
        <v>5076</v>
      </c>
      <c r="T391" s="49" t="s">
        <v>5077</v>
      </c>
      <c r="U391" s="49" t="s">
        <v>670</v>
      </c>
      <c r="V391" s="49" t="e">
        <v>#REF!</v>
      </c>
      <c r="AC391" s="49"/>
      <c r="AD391" s="49"/>
    </row>
    <row r="392" spans="1:30" hidden="1" x14ac:dyDescent="0.3">
      <c r="A392" s="49" t="s">
        <v>5078</v>
      </c>
      <c r="B392" s="49">
        <v>0</v>
      </c>
      <c r="C392" s="49"/>
      <c r="D392" s="72" t="s">
        <v>644</v>
      </c>
      <c r="E392" s="49" t="s">
        <v>3754</v>
      </c>
      <c r="F392" s="49"/>
      <c r="G392" s="49"/>
      <c r="H392" s="49" t="s">
        <v>5079</v>
      </c>
      <c r="I392" s="49" t="s">
        <v>5082</v>
      </c>
      <c r="J392" s="49" t="s">
        <v>5080</v>
      </c>
      <c r="K392" s="49" t="s">
        <v>5081</v>
      </c>
      <c r="L392" s="49">
        <v>0</v>
      </c>
      <c r="M392" s="49" t="s">
        <v>4114</v>
      </c>
      <c r="N392" s="49" t="s">
        <v>818</v>
      </c>
      <c r="O392" s="49">
        <v>39</v>
      </c>
      <c r="P392" s="49" t="s">
        <v>5083</v>
      </c>
      <c r="Q392" s="49">
        <v>0</v>
      </c>
      <c r="R392" s="49" t="s">
        <v>5084</v>
      </c>
      <c r="S392" s="49" t="s">
        <v>5085</v>
      </c>
      <c r="T392" s="49" t="s">
        <v>5086</v>
      </c>
      <c r="U392" s="49" t="s">
        <v>670</v>
      </c>
      <c r="V392" s="49" t="e">
        <v>#REF!</v>
      </c>
      <c r="AC392" s="49"/>
      <c r="AD392" s="49"/>
    </row>
    <row r="393" spans="1:30" hidden="1" x14ac:dyDescent="0.3">
      <c r="A393" s="49" t="s">
        <v>5087</v>
      </c>
      <c r="B393" s="49">
        <v>0</v>
      </c>
      <c r="C393" s="49"/>
      <c r="D393" s="72" t="s">
        <v>644</v>
      </c>
      <c r="E393" s="49" t="s">
        <v>3754</v>
      </c>
      <c r="F393" s="49"/>
      <c r="G393" s="49"/>
      <c r="H393" s="49" t="s">
        <v>5088</v>
      </c>
      <c r="I393" s="49" t="s">
        <v>5091</v>
      </c>
      <c r="J393" s="49" t="s">
        <v>5089</v>
      </c>
      <c r="K393" s="49" t="s">
        <v>5090</v>
      </c>
      <c r="L393" s="49">
        <v>0</v>
      </c>
      <c r="M393" s="49" t="s">
        <v>1826</v>
      </c>
      <c r="N393" s="49" t="s">
        <v>5092</v>
      </c>
      <c r="O393" s="49">
        <v>2</v>
      </c>
      <c r="P393" s="49" t="s">
        <v>5093</v>
      </c>
      <c r="Q393" s="49">
        <v>0</v>
      </c>
      <c r="R393" s="49" t="s">
        <v>5094</v>
      </c>
      <c r="S393" s="49" t="s">
        <v>5095</v>
      </c>
      <c r="T393" s="49" t="s">
        <v>5096</v>
      </c>
      <c r="U393" s="49" t="s">
        <v>670</v>
      </c>
      <c r="V393" s="49" t="e">
        <v>#REF!</v>
      </c>
      <c r="AC393" s="49"/>
      <c r="AD393" s="49"/>
    </row>
    <row r="394" spans="1:30" hidden="1" x14ac:dyDescent="0.3">
      <c r="A394" s="49" t="s">
        <v>5097</v>
      </c>
      <c r="B394" s="49">
        <v>0</v>
      </c>
      <c r="C394" s="49"/>
      <c r="D394" s="72" t="s">
        <v>644</v>
      </c>
      <c r="E394" s="49" t="s">
        <v>3754</v>
      </c>
      <c r="F394" s="49"/>
      <c r="G394" s="49"/>
      <c r="H394" s="49" t="s">
        <v>5098</v>
      </c>
      <c r="I394" s="49" t="s">
        <v>5101</v>
      </c>
      <c r="J394" s="49" t="s">
        <v>5099</v>
      </c>
      <c r="K394" s="49" t="s">
        <v>5100</v>
      </c>
      <c r="L394" s="49">
        <v>0</v>
      </c>
      <c r="M394" s="49" t="s">
        <v>4114</v>
      </c>
      <c r="N394" s="49" t="s">
        <v>5102</v>
      </c>
      <c r="O394" s="49">
        <v>14</v>
      </c>
      <c r="P394" s="49" t="s">
        <v>5103</v>
      </c>
      <c r="Q394" s="49">
        <v>0</v>
      </c>
      <c r="R394" s="49" t="s">
        <v>5104</v>
      </c>
      <c r="S394" s="49" t="s">
        <v>5105</v>
      </c>
      <c r="T394" s="49" t="s">
        <v>5106</v>
      </c>
      <c r="U394" s="49" t="s">
        <v>655</v>
      </c>
      <c r="V394" s="49" t="e">
        <v>#REF!</v>
      </c>
      <c r="AC394" s="49"/>
      <c r="AD394" s="49"/>
    </row>
    <row r="395" spans="1:30" hidden="1" x14ac:dyDescent="0.3">
      <c r="A395" s="49" t="s">
        <v>5107</v>
      </c>
      <c r="B395" s="49">
        <v>0</v>
      </c>
      <c r="C395" s="49"/>
      <c r="D395" s="72" t="s">
        <v>644</v>
      </c>
      <c r="E395" s="49" t="s">
        <v>3754</v>
      </c>
      <c r="F395" s="49"/>
      <c r="G395" s="49"/>
      <c r="H395" s="49" t="s">
        <v>5108</v>
      </c>
      <c r="I395" s="49" t="s">
        <v>5111</v>
      </c>
      <c r="J395" s="49" t="s">
        <v>5109</v>
      </c>
      <c r="K395" s="49" t="s">
        <v>5110</v>
      </c>
      <c r="L395" s="49">
        <v>0</v>
      </c>
      <c r="M395" s="49" t="s">
        <v>1764</v>
      </c>
      <c r="N395" s="49" t="s">
        <v>5112</v>
      </c>
      <c r="O395" s="49">
        <v>20</v>
      </c>
      <c r="P395" s="49" t="s">
        <v>5113</v>
      </c>
      <c r="Q395" s="49">
        <v>0</v>
      </c>
      <c r="R395" s="49" t="s">
        <v>5114</v>
      </c>
      <c r="S395" s="49" t="s">
        <v>5115</v>
      </c>
      <c r="T395" s="49" t="s">
        <v>5116</v>
      </c>
      <c r="U395" s="49" t="s">
        <v>655</v>
      </c>
      <c r="V395" s="49" t="e">
        <v>#REF!</v>
      </c>
      <c r="AC395" s="49"/>
      <c r="AD395" s="49"/>
    </row>
    <row r="396" spans="1:30" hidden="1" x14ac:dyDescent="0.3">
      <c r="A396" s="49" t="s">
        <v>5117</v>
      </c>
      <c r="B396" s="49">
        <v>0</v>
      </c>
      <c r="C396" s="49"/>
      <c r="D396" s="72" t="s">
        <v>644</v>
      </c>
      <c r="E396" s="49" t="s">
        <v>3754</v>
      </c>
      <c r="F396" s="49"/>
      <c r="G396" s="49"/>
      <c r="H396" s="49" t="s">
        <v>5118</v>
      </c>
      <c r="I396" s="49" t="s">
        <v>5121</v>
      </c>
      <c r="J396" s="49" t="s">
        <v>5119</v>
      </c>
      <c r="K396" s="49" t="s">
        <v>5120</v>
      </c>
      <c r="L396" s="49">
        <v>0</v>
      </c>
      <c r="M396" s="49" t="s">
        <v>1826</v>
      </c>
      <c r="N396" s="49" t="s">
        <v>5122</v>
      </c>
      <c r="O396" s="49">
        <v>5</v>
      </c>
      <c r="P396" s="49" t="s">
        <v>5123</v>
      </c>
      <c r="Q396" s="49">
        <v>0</v>
      </c>
      <c r="R396" s="49" t="s">
        <v>5124</v>
      </c>
      <c r="S396" s="49" t="s">
        <v>5125</v>
      </c>
      <c r="T396" s="49" t="s">
        <v>5126</v>
      </c>
      <c r="U396" s="49" t="s">
        <v>655</v>
      </c>
      <c r="V396" s="49" t="e">
        <v>#REF!</v>
      </c>
      <c r="AC396" s="49"/>
      <c r="AD396" s="49"/>
    </row>
    <row r="397" spans="1:30" hidden="1" x14ac:dyDescent="0.3">
      <c r="A397" s="49" t="s">
        <v>5127</v>
      </c>
      <c r="B397" s="49">
        <v>0</v>
      </c>
      <c r="C397" s="49"/>
      <c r="D397" s="72" t="s">
        <v>644</v>
      </c>
      <c r="E397" s="49" t="s">
        <v>3754</v>
      </c>
      <c r="F397" s="49"/>
      <c r="G397" s="49"/>
      <c r="H397" s="49" t="s">
        <v>5128</v>
      </c>
      <c r="I397" s="49" t="s">
        <v>5131</v>
      </c>
      <c r="J397" s="49" t="s">
        <v>5129</v>
      </c>
      <c r="K397" s="49" t="s">
        <v>5130</v>
      </c>
      <c r="L397" s="49">
        <v>0</v>
      </c>
      <c r="M397" s="49" t="s">
        <v>1826</v>
      </c>
      <c r="N397" s="49" t="s">
        <v>5132</v>
      </c>
      <c r="O397" s="49">
        <v>2</v>
      </c>
      <c r="P397" s="49" t="s">
        <v>5133</v>
      </c>
      <c r="Q397" s="49">
        <v>0</v>
      </c>
      <c r="R397" s="49" t="s">
        <v>5134</v>
      </c>
      <c r="S397" s="49" t="s">
        <v>5135</v>
      </c>
      <c r="T397" s="49" t="s">
        <v>5136</v>
      </c>
      <c r="U397" s="49" t="s">
        <v>655</v>
      </c>
      <c r="V397" s="49" t="e">
        <v>#REF!</v>
      </c>
      <c r="AC397" s="49"/>
      <c r="AD397" s="49"/>
    </row>
    <row r="398" spans="1:30" hidden="1" x14ac:dyDescent="0.3">
      <c r="A398" s="49" t="s">
        <v>5137</v>
      </c>
      <c r="B398" s="49">
        <v>0</v>
      </c>
      <c r="C398" s="49"/>
      <c r="D398" s="72" t="s">
        <v>644</v>
      </c>
      <c r="E398" s="49" t="s">
        <v>3754</v>
      </c>
      <c r="F398" s="49"/>
      <c r="G398" s="49"/>
      <c r="H398" s="49" t="s">
        <v>5138</v>
      </c>
      <c r="I398" s="49" t="s">
        <v>5141</v>
      </c>
      <c r="J398" s="49" t="s">
        <v>5139</v>
      </c>
      <c r="K398" s="49" t="s">
        <v>5140</v>
      </c>
      <c r="L398" s="49">
        <v>0</v>
      </c>
      <c r="M398" s="49" t="s">
        <v>1826</v>
      </c>
      <c r="N398" s="49" t="s">
        <v>5142</v>
      </c>
      <c r="O398" s="49">
        <v>80</v>
      </c>
      <c r="P398" s="49" t="s">
        <v>5143</v>
      </c>
      <c r="Q398" s="49">
        <v>0</v>
      </c>
      <c r="R398" s="49" t="s">
        <v>646</v>
      </c>
      <c r="S398" s="49" t="s">
        <v>5144</v>
      </c>
      <c r="T398" s="49" t="s">
        <v>5145</v>
      </c>
      <c r="U398" s="49" t="s">
        <v>655</v>
      </c>
      <c r="V398" s="49" t="e">
        <v>#REF!</v>
      </c>
      <c r="AC398" s="49"/>
      <c r="AD398" s="49"/>
    </row>
    <row r="399" spans="1:30" hidden="1" x14ac:dyDescent="0.3">
      <c r="A399" s="49" t="s">
        <v>5146</v>
      </c>
      <c r="B399" s="49">
        <v>0</v>
      </c>
      <c r="C399" s="49"/>
      <c r="D399" s="72" t="s">
        <v>644</v>
      </c>
      <c r="E399" s="49" t="s">
        <v>3754</v>
      </c>
      <c r="F399" s="49"/>
      <c r="G399" s="49"/>
      <c r="H399" s="49" t="s">
        <v>5147</v>
      </c>
      <c r="I399" s="49" t="s">
        <v>5150</v>
      </c>
      <c r="J399" s="49" t="s">
        <v>5148</v>
      </c>
      <c r="K399" s="49" t="s">
        <v>5149</v>
      </c>
      <c r="L399" s="49">
        <v>0</v>
      </c>
      <c r="M399" s="49" t="s">
        <v>2484</v>
      </c>
      <c r="N399" s="49" t="s">
        <v>1766</v>
      </c>
      <c r="O399" s="49">
        <v>6</v>
      </c>
      <c r="P399" s="49" t="s">
        <v>5151</v>
      </c>
      <c r="Q399" s="49">
        <v>0</v>
      </c>
      <c r="R399" s="49" t="s">
        <v>5152</v>
      </c>
      <c r="S399" s="49" t="s">
        <v>5153</v>
      </c>
      <c r="T399" s="49" t="s">
        <v>5154</v>
      </c>
      <c r="U399" s="49" t="s">
        <v>655</v>
      </c>
      <c r="V399" s="49" t="e">
        <v>#REF!</v>
      </c>
      <c r="AC399" s="49"/>
      <c r="AD399" s="49"/>
    </row>
    <row r="400" spans="1:30" hidden="1" x14ac:dyDescent="0.3">
      <c r="A400" s="49" t="s">
        <v>5155</v>
      </c>
      <c r="B400" s="49">
        <v>0</v>
      </c>
      <c r="C400" s="49"/>
      <c r="D400" s="72" t="s">
        <v>644</v>
      </c>
      <c r="E400" s="49" t="s">
        <v>3754</v>
      </c>
      <c r="F400" s="49"/>
      <c r="G400" s="49"/>
      <c r="H400" s="49" t="s">
        <v>646</v>
      </c>
      <c r="I400" s="49" t="s">
        <v>2229</v>
      </c>
      <c r="J400" s="49" t="s">
        <v>2227</v>
      </c>
      <c r="K400" s="49" t="s">
        <v>5156</v>
      </c>
      <c r="L400" s="49">
        <v>0</v>
      </c>
      <c r="M400" s="49" t="s">
        <v>1865</v>
      </c>
      <c r="N400" s="49" t="s">
        <v>5157</v>
      </c>
      <c r="O400" s="49">
        <v>26</v>
      </c>
      <c r="P400" s="49" t="s">
        <v>5158</v>
      </c>
      <c r="Q400" s="49">
        <v>0</v>
      </c>
      <c r="R400" s="49" t="s">
        <v>2232</v>
      </c>
      <c r="S400" s="49" t="s">
        <v>2233</v>
      </c>
      <c r="T400" s="49" t="s">
        <v>646</v>
      </c>
      <c r="U400" s="49" t="s">
        <v>670</v>
      </c>
      <c r="V400" s="49" t="e">
        <v>#REF!</v>
      </c>
      <c r="AC400" s="49"/>
      <c r="AD400" s="49"/>
    </row>
    <row r="401" spans="1:30" hidden="1" x14ac:dyDescent="0.3">
      <c r="A401" s="49" t="s">
        <v>5159</v>
      </c>
      <c r="B401" s="49">
        <v>0</v>
      </c>
      <c r="C401" s="49"/>
      <c r="D401" s="72" t="s">
        <v>644</v>
      </c>
      <c r="E401" s="49" t="s">
        <v>3754</v>
      </c>
      <c r="F401" s="49"/>
      <c r="G401" s="49"/>
      <c r="H401" s="49" t="s">
        <v>5160</v>
      </c>
      <c r="I401" s="49" t="s">
        <v>5163</v>
      </c>
      <c r="J401" s="49" t="s">
        <v>5161</v>
      </c>
      <c r="K401" s="49" t="s">
        <v>5162</v>
      </c>
      <c r="L401" s="49">
        <v>0</v>
      </c>
      <c r="M401" s="49" t="s">
        <v>3864</v>
      </c>
      <c r="N401" s="49" t="s">
        <v>5164</v>
      </c>
      <c r="O401" s="49">
        <v>9</v>
      </c>
      <c r="P401" s="49" t="s">
        <v>5165</v>
      </c>
      <c r="Q401" s="49">
        <v>0</v>
      </c>
      <c r="R401" s="49" t="s">
        <v>5166</v>
      </c>
      <c r="S401" s="49" t="s">
        <v>5167</v>
      </c>
      <c r="T401" s="49" t="s">
        <v>5168</v>
      </c>
      <c r="U401" s="49" t="s">
        <v>655</v>
      </c>
      <c r="V401" s="49" t="e">
        <v>#REF!</v>
      </c>
      <c r="AC401" s="49"/>
      <c r="AD401" s="49"/>
    </row>
    <row r="402" spans="1:30" hidden="1" x14ac:dyDescent="0.3">
      <c r="A402" s="49" t="s">
        <v>5169</v>
      </c>
      <c r="B402" s="49">
        <v>0</v>
      </c>
      <c r="C402" s="49"/>
      <c r="D402" s="72" t="s">
        <v>644</v>
      </c>
      <c r="E402" s="49" t="s">
        <v>3754</v>
      </c>
      <c r="F402" s="49"/>
      <c r="G402" s="49"/>
      <c r="H402" s="49" t="s">
        <v>646</v>
      </c>
      <c r="I402" s="49" t="s">
        <v>826</v>
      </c>
      <c r="J402" s="49" t="s">
        <v>827</v>
      </c>
      <c r="K402" s="49" t="s">
        <v>5170</v>
      </c>
      <c r="L402" s="49">
        <v>0</v>
      </c>
      <c r="M402" s="49" t="s">
        <v>4064</v>
      </c>
      <c r="N402" s="49" t="s">
        <v>5171</v>
      </c>
      <c r="P402" s="49" t="s">
        <v>5172</v>
      </c>
      <c r="Q402" s="49">
        <v>0</v>
      </c>
      <c r="R402" s="49" t="s">
        <v>646</v>
      </c>
      <c r="S402" s="49" t="s">
        <v>646</v>
      </c>
      <c r="T402" s="49" t="s">
        <v>646</v>
      </c>
      <c r="U402" s="49" t="s">
        <v>791</v>
      </c>
      <c r="V402" s="49" t="e">
        <v>#REF!</v>
      </c>
      <c r="AC402" s="49"/>
      <c r="AD402" s="49"/>
    </row>
    <row r="403" spans="1:30" hidden="1" x14ac:dyDescent="0.3">
      <c r="A403" s="49" t="s">
        <v>5173</v>
      </c>
      <c r="B403" s="49">
        <v>0</v>
      </c>
      <c r="C403" s="49"/>
      <c r="D403" s="72" t="s">
        <v>644</v>
      </c>
      <c r="E403" s="49" t="s">
        <v>3754</v>
      </c>
      <c r="F403" s="49"/>
      <c r="G403" s="49"/>
      <c r="H403" s="49" t="s">
        <v>5174</v>
      </c>
      <c r="I403" s="49" t="s">
        <v>5177</v>
      </c>
      <c r="J403" s="49" t="s">
        <v>5175</v>
      </c>
      <c r="K403" s="49" t="s">
        <v>5176</v>
      </c>
      <c r="L403" s="49">
        <v>0</v>
      </c>
      <c r="M403" s="49" t="s">
        <v>4084</v>
      </c>
      <c r="N403" s="49" t="s">
        <v>5178</v>
      </c>
      <c r="O403" s="49">
        <v>69</v>
      </c>
      <c r="P403" s="49" t="s">
        <v>5179</v>
      </c>
      <c r="Q403" s="49">
        <v>0</v>
      </c>
      <c r="R403" s="49" t="s">
        <v>5180</v>
      </c>
      <c r="S403" s="49" t="s">
        <v>5181</v>
      </c>
      <c r="T403" s="49" t="s">
        <v>5182</v>
      </c>
      <c r="U403" s="49" t="s">
        <v>655</v>
      </c>
      <c r="V403" s="49" t="e">
        <v>#REF!</v>
      </c>
      <c r="AC403" s="49"/>
      <c r="AD403" s="49"/>
    </row>
    <row r="404" spans="1:30" hidden="1" x14ac:dyDescent="0.3">
      <c r="A404" s="49" t="s">
        <v>5183</v>
      </c>
      <c r="B404" s="49">
        <v>0</v>
      </c>
      <c r="C404" s="49"/>
      <c r="D404" s="72" t="s">
        <v>644</v>
      </c>
      <c r="E404" s="49" t="s">
        <v>3754</v>
      </c>
      <c r="F404" s="49"/>
      <c r="G404" s="49"/>
      <c r="H404" s="49" t="s">
        <v>646</v>
      </c>
      <c r="I404" s="49" t="s">
        <v>5186</v>
      </c>
      <c r="J404" s="49" t="s">
        <v>5184</v>
      </c>
      <c r="K404" s="49" t="s">
        <v>5185</v>
      </c>
      <c r="L404" s="49">
        <v>0</v>
      </c>
      <c r="M404" s="49" t="s">
        <v>2220</v>
      </c>
      <c r="N404" s="49" t="s">
        <v>4121</v>
      </c>
      <c r="O404" s="49">
        <v>2</v>
      </c>
      <c r="P404" s="49" t="s">
        <v>5187</v>
      </c>
      <c r="Q404" s="49">
        <v>0</v>
      </c>
      <c r="R404" s="49" t="s">
        <v>5188</v>
      </c>
      <c r="S404" s="49" t="s">
        <v>5189</v>
      </c>
      <c r="T404" s="49" t="s">
        <v>5190</v>
      </c>
      <c r="U404" s="49" t="s">
        <v>670</v>
      </c>
      <c r="V404" s="49" t="e">
        <v>#REF!</v>
      </c>
      <c r="AC404" s="49"/>
      <c r="AD404" s="49"/>
    </row>
    <row r="405" spans="1:30" hidden="1" x14ac:dyDescent="0.3">
      <c r="A405" s="49" t="s">
        <v>5191</v>
      </c>
      <c r="B405" s="49">
        <v>0</v>
      </c>
      <c r="C405" s="49"/>
      <c r="D405" s="72" t="s">
        <v>644</v>
      </c>
      <c r="E405" s="49" t="s">
        <v>3754</v>
      </c>
      <c r="F405" s="49"/>
      <c r="G405" s="49"/>
      <c r="H405" s="49" t="s">
        <v>646</v>
      </c>
      <c r="I405" s="49" t="s">
        <v>5194</v>
      </c>
      <c r="J405" s="49" t="s">
        <v>5192</v>
      </c>
      <c r="K405" s="49" t="s">
        <v>5193</v>
      </c>
      <c r="L405" s="49">
        <v>0</v>
      </c>
      <c r="M405" s="49" t="s">
        <v>4084</v>
      </c>
      <c r="N405" s="49" t="s">
        <v>5195</v>
      </c>
      <c r="O405" s="49">
        <v>1</v>
      </c>
      <c r="P405" s="49" t="s">
        <v>5196</v>
      </c>
      <c r="Q405" s="49">
        <v>0</v>
      </c>
      <c r="R405" s="49" t="s">
        <v>5197</v>
      </c>
      <c r="S405" s="49" t="s">
        <v>5198</v>
      </c>
      <c r="T405" s="49" t="s">
        <v>646</v>
      </c>
      <c r="U405" s="49" t="s">
        <v>670</v>
      </c>
      <c r="V405" s="49" t="e">
        <v>#REF!</v>
      </c>
      <c r="AC405" s="49"/>
      <c r="AD405" s="49"/>
    </row>
    <row r="406" spans="1:30" hidden="1" x14ac:dyDescent="0.3">
      <c r="A406" s="49" t="s">
        <v>5199</v>
      </c>
      <c r="B406" s="49">
        <v>0</v>
      </c>
      <c r="C406" s="49"/>
      <c r="D406" s="72" t="s">
        <v>644</v>
      </c>
      <c r="E406" s="49" t="s">
        <v>3754</v>
      </c>
      <c r="F406" s="49"/>
      <c r="G406" s="49"/>
      <c r="H406" s="49" t="s">
        <v>646</v>
      </c>
      <c r="I406" s="49" t="s">
        <v>5202</v>
      </c>
      <c r="J406" s="49" t="s">
        <v>5200</v>
      </c>
      <c r="K406" s="49" t="s">
        <v>5201</v>
      </c>
      <c r="L406" s="49">
        <v>0</v>
      </c>
      <c r="M406" s="49" t="s">
        <v>2484</v>
      </c>
      <c r="N406" s="49" t="s">
        <v>5203</v>
      </c>
      <c r="O406" s="49">
        <v>1</v>
      </c>
      <c r="P406" s="49" t="s">
        <v>5204</v>
      </c>
      <c r="Q406" s="49">
        <v>0</v>
      </c>
      <c r="R406" s="49" t="s">
        <v>5205</v>
      </c>
      <c r="S406" s="49" t="s">
        <v>5206</v>
      </c>
      <c r="T406" s="49" t="s">
        <v>646</v>
      </c>
      <c r="U406" s="49" t="s">
        <v>655</v>
      </c>
      <c r="V406" s="49" t="e">
        <v>#REF!</v>
      </c>
      <c r="AC406" s="49"/>
      <c r="AD406" s="49"/>
    </row>
    <row r="407" spans="1:30" hidden="1" x14ac:dyDescent="0.3">
      <c r="A407" s="49" t="s">
        <v>5207</v>
      </c>
      <c r="B407" s="49">
        <v>0</v>
      </c>
      <c r="C407" s="49"/>
      <c r="D407" s="72" t="s">
        <v>644</v>
      </c>
      <c r="E407" s="49" t="s">
        <v>3754</v>
      </c>
      <c r="F407" s="49"/>
      <c r="G407" s="49"/>
      <c r="H407" s="49" t="s">
        <v>5208</v>
      </c>
      <c r="I407" s="49" t="s">
        <v>5211</v>
      </c>
      <c r="J407" s="49" t="s">
        <v>5209</v>
      </c>
      <c r="K407" s="49" t="s">
        <v>5210</v>
      </c>
      <c r="L407" s="49">
        <v>0</v>
      </c>
      <c r="M407" s="49" t="s">
        <v>2220</v>
      </c>
      <c r="N407" s="49" t="s">
        <v>2239</v>
      </c>
      <c r="O407" s="49">
        <v>23</v>
      </c>
      <c r="P407" s="49" t="s">
        <v>5212</v>
      </c>
      <c r="Q407" s="49">
        <v>0</v>
      </c>
      <c r="R407" s="49" t="s">
        <v>5213</v>
      </c>
      <c r="S407" s="49" t="s">
        <v>5214</v>
      </c>
      <c r="T407" s="49" t="s">
        <v>646</v>
      </c>
      <c r="U407" s="49" t="s">
        <v>670</v>
      </c>
      <c r="V407" s="49" t="e">
        <v>#REF!</v>
      </c>
      <c r="AC407" s="49"/>
      <c r="AD407" s="49"/>
    </row>
    <row r="408" spans="1:30" hidden="1" x14ac:dyDescent="0.3">
      <c r="A408" s="49" t="s">
        <v>5215</v>
      </c>
      <c r="B408" s="49">
        <v>0</v>
      </c>
      <c r="C408" s="49"/>
      <c r="D408" s="72" t="s">
        <v>644</v>
      </c>
      <c r="E408" s="49" t="s">
        <v>3754</v>
      </c>
      <c r="F408" s="49"/>
      <c r="G408" s="49"/>
      <c r="H408" s="49" t="s">
        <v>5216</v>
      </c>
      <c r="I408" s="49" t="s">
        <v>5219</v>
      </c>
      <c r="J408" s="49" t="s">
        <v>5217</v>
      </c>
      <c r="K408" s="49" t="s">
        <v>5218</v>
      </c>
      <c r="L408" s="49">
        <v>0</v>
      </c>
      <c r="M408" s="49" t="s">
        <v>1777</v>
      </c>
      <c r="N408" s="49" t="s">
        <v>5220</v>
      </c>
      <c r="O408" s="49">
        <v>36</v>
      </c>
      <c r="P408" s="49" t="s">
        <v>5221</v>
      </c>
      <c r="Q408" s="49">
        <v>0</v>
      </c>
      <c r="R408" s="49" t="s">
        <v>5222</v>
      </c>
      <c r="S408" s="49" t="s">
        <v>5223</v>
      </c>
      <c r="T408" s="49" t="s">
        <v>5224</v>
      </c>
      <c r="U408" s="49" t="s">
        <v>655</v>
      </c>
      <c r="V408" s="49" t="e">
        <v>#REF!</v>
      </c>
      <c r="AC408" s="49"/>
      <c r="AD408" s="49"/>
    </row>
    <row r="409" spans="1:30" hidden="1" x14ac:dyDescent="0.3">
      <c r="A409" s="49" t="s">
        <v>5225</v>
      </c>
      <c r="B409" s="49">
        <v>0</v>
      </c>
      <c r="C409" s="49"/>
      <c r="D409" s="72" t="s">
        <v>644</v>
      </c>
      <c r="E409" s="49" t="s">
        <v>3754</v>
      </c>
      <c r="F409" s="49"/>
      <c r="G409" s="49"/>
      <c r="H409" s="49" t="s">
        <v>5226</v>
      </c>
      <c r="I409" s="49" t="s">
        <v>5229</v>
      </c>
      <c r="J409" s="49" t="s">
        <v>5227</v>
      </c>
      <c r="K409" s="49" t="s">
        <v>5228</v>
      </c>
      <c r="L409" s="49">
        <v>0</v>
      </c>
      <c r="M409" s="49" t="s">
        <v>1777</v>
      </c>
      <c r="N409" s="49" t="s">
        <v>5230</v>
      </c>
      <c r="O409" s="49">
        <v>56</v>
      </c>
      <c r="P409" s="49" t="s">
        <v>5231</v>
      </c>
      <c r="Q409" s="49">
        <v>0</v>
      </c>
      <c r="R409" s="49" t="s">
        <v>5232</v>
      </c>
      <c r="S409" s="49" t="s">
        <v>5233</v>
      </c>
      <c r="T409" s="49" t="s">
        <v>5234</v>
      </c>
      <c r="U409" s="49" t="s">
        <v>655</v>
      </c>
      <c r="V409" s="49" t="e">
        <v>#REF!</v>
      </c>
      <c r="AC409" s="49"/>
      <c r="AD409" s="49"/>
    </row>
    <row r="410" spans="1:30" hidden="1" x14ac:dyDescent="0.3">
      <c r="A410" s="49" t="s">
        <v>5235</v>
      </c>
      <c r="B410" s="49">
        <v>0</v>
      </c>
      <c r="C410" s="49"/>
      <c r="D410" s="72" t="s">
        <v>644</v>
      </c>
      <c r="E410" s="49" t="s">
        <v>3754</v>
      </c>
      <c r="F410" s="49"/>
      <c r="G410" s="49"/>
      <c r="H410" s="49" t="s">
        <v>5236</v>
      </c>
      <c r="I410" s="49" t="s">
        <v>5239</v>
      </c>
      <c r="J410" s="49" t="s">
        <v>5237</v>
      </c>
      <c r="K410" s="49" t="s">
        <v>5238</v>
      </c>
      <c r="L410" s="49">
        <v>0</v>
      </c>
      <c r="M410" s="49" t="s">
        <v>1826</v>
      </c>
      <c r="N410" s="49" t="s">
        <v>5230</v>
      </c>
      <c r="O410" s="49">
        <v>4</v>
      </c>
      <c r="P410" s="49" t="s">
        <v>5240</v>
      </c>
      <c r="Q410" s="49">
        <v>0</v>
      </c>
      <c r="R410" s="49" t="s">
        <v>5241</v>
      </c>
      <c r="S410" s="49" t="s">
        <v>5242</v>
      </c>
      <c r="T410" s="49" t="s">
        <v>5243</v>
      </c>
      <c r="U410" s="49" t="s">
        <v>655</v>
      </c>
      <c r="V410" s="49" t="e">
        <v>#REF!</v>
      </c>
      <c r="AC410" s="49"/>
      <c r="AD410" s="49"/>
    </row>
    <row r="411" spans="1:30" hidden="1" x14ac:dyDescent="0.3">
      <c r="A411" s="49" t="s">
        <v>5244</v>
      </c>
      <c r="B411" s="49">
        <v>0</v>
      </c>
      <c r="C411" s="49"/>
      <c r="D411" s="72" t="s">
        <v>644</v>
      </c>
      <c r="E411" s="49" t="s">
        <v>3754</v>
      </c>
      <c r="F411" s="49"/>
      <c r="G411" s="49"/>
      <c r="H411" s="49" t="s">
        <v>5245</v>
      </c>
      <c r="I411" s="49" t="s">
        <v>5248</v>
      </c>
      <c r="J411" s="49" t="s">
        <v>5246</v>
      </c>
      <c r="K411" s="49" t="s">
        <v>5247</v>
      </c>
      <c r="L411" s="49">
        <v>0</v>
      </c>
      <c r="M411" s="49" t="s">
        <v>2142</v>
      </c>
      <c r="N411" s="49" t="s">
        <v>818</v>
      </c>
      <c r="O411" s="49">
        <v>6</v>
      </c>
      <c r="P411" s="49" t="s">
        <v>5249</v>
      </c>
      <c r="Q411" s="49">
        <v>0</v>
      </c>
      <c r="R411" s="49" t="s">
        <v>5250</v>
      </c>
      <c r="S411" s="49" t="s">
        <v>5251</v>
      </c>
      <c r="T411" s="49" t="s">
        <v>5252</v>
      </c>
      <c r="U411" s="49" t="s">
        <v>670</v>
      </c>
      <c r="V411" s="49" t="e">
        <v>#REF!</v>
      </c>
      <c r="AC411" s="49"/>
      <c r="AD411" s="49"/>
    </row>
    <row r="412" spans="1:30" hidden="1" x14ac:dyDescent="0.3">
      <c r="A412" s="49" t="s">
        <v>5253</v>
      </c>
      <c r="B412" s="49">
        <v>0</v>
      </c>
      <c r="C412" s="49"/>
      <c r="D412" s="72" t="s">
        <v>644</v>
      </c>
      <c r="E412" s="49" t="s">
        <v>3754</v>
      </c>
      <c r="F412" s="49"/>
      <c r="G412" s="49"/>
      <c r="H412" s="49" t="s">
        <v>5254</v>
      </c>
      <c r="I412" s="49" t="s">
        <v>5257</v>
      </c>
      <c r="J412" s="49" t="s">
        <v>5255</v>
      </c>
      <c r="K412" s="49" t="s">
        <v>5256</v>
      </c>
      <c r="L412" s="49">
        <v>0</v>
      </c>
      <c r="M412" s="49" t="s">
        <v>1865</v>
      </c>
      <c r="N412" s="49" t="s">
        <v>5258</v>
      </c>
      <c r="O412" s="49">
        <v>3</v>
      </c>
      <c r="P412" s="49" t="s">
        <v>5259</v>
      </c>
      <c r="Q412" s="49">
        <v>0</v>
      </c>
      <c r="R412" s="49" t="s">
        <v>5260</v>
      </c>
      <c r="S412" s="49" t="s">
        <v>5261</v>
      </c>
      <c r="T412" s="49" t="s">
        <v>5262</v>
      </c>
      <c r="U412" s="49" t="s">
        <v>655</v>
      </c>
      <c r="V412" s="49" t="e">
        <v>#REF!</v>
      </c>
      <c r="AC412" s="49"/>
      <c r="AD412" s="49"/>
    </row>
    <row r="413" spans="1:30" hidden="1" x14ac:dyDescent="0.3">
      <c r="A413" s="49" t="s">
        <v>5263</v>
      </c>
      <c r="B413" s="49">
        <v>0</v>
      </c>
      <c r="C413" s="49"/>
      <c r="D413" s="72" t="s">
        <v>644</v>
      </c>
      <c r="E413" s="49" t="s">
        <v>3754</v>
      </c>
      <c r="F413" s="49"/>
      <c r="G413" s="49"/>
      <c r="H413" s="49" t="s">
        <v>5264</v>
      </c>
      <c r="I413" s="49" t="s">
        <v>5267</v>
      </c>
      <c r="J413" s="49" t="s">
        <v>5265</v>
      </c>
      <c r="K413" s="49" t="s">
        <v>5266</v>
      </c>
      <c r="L413" s="49">
        <v>0</v>
      </c>
      <c r="M413" s="49" t="s">
        <v>2142</v>
      </c>
      <c r="N413" s="49" t="s">
        <v>5178</v>
      </c>
      <c r="O413" s="49">
        <v>35</v>
      </c>
      <c r="P413" s="49" t="s">
        <v>5268</v>
      </c>
      <c r="Q413" s="49">
        <v>0</v>
      </c>
      <c r="R413" s="49" t="s">
        <v>5269</v>
      </c>
      <c r="S413" s="49" t="s">
        <v>5270</v>
      </c>
      <c r="T413" s="49" t="s">
        <v>646</v>
      </c>
      <c r="U413" s="49" t="s">
        <v>670</v>
      </c>
      <c r="V413" s="49" t="e">
        <v>#REF!</v>
      </c>
      <c r="AC413" s="49"/>
      <c r="AD413" s="49"/>
    </row>
    <row r="414" spans="1:30" hidden="1" x14ac:dyDescent="0.3">
      <c r="A414" s="49" t="s">
        <v>5271</v>
      </c>
      <c r="B414" s="49">
        <v>0</v>
      </c>
      <c r="C414" s="49"/>
      <c r="D414" s="72" t="s">
        <v>644</v>
      </c>
      <c r="E414" s="49" t="s">
        <v>3754</v>
      </c>
      <c r="F414" s="49"/>
      <c r="G414" s="49"/>
      <c r="H414" s="49" t="s">
        <v>5272</v>
      </c>
      <c r="I414" s="49" t="s">
        <v>5275</v>
      </c>
      <c r="J414" s="49" t="s">
        <v>5273</v>
      </c>
      <c r="K414" s="49" t="s">
        <v>5274</v>
      </c>
      <c r="L414" s="49">
        <v>0</v>
      </c>
      <c r="M414" s="49" t="s">
        <v>2456</v>
      </c>
      <c r="N414" s="49" t="s">
        <v>5276</v>
      </c>
      <c r="O414" s="49">
        <v>51</v>
      </c>
      <c r="P414" s="49" t="s">
        <v>5277</v>
      </c>
      <c r="Q414" s="49">
        <v>0</v>
      </c>
      <c r="R414" s="49" t="s">
        <v>5278</v>
      </c>
      <c r="S414" s="49" t="s">
        <v>5279</v>
      </c>
      <c r="T414" s="49" t="s">
        <v>5280</v>
      </c>
      <c r="U414" s="49" t="s">
        <v>670</v>
      </c>
      <c r="V414" s="49" t="e">
        <v>#REF!</v>
      </c>
      <c r="AC414" s="49"/>
      <c r="AD414" s="49"/>
    </row>
    <row r="415" spans="1:30" hidden="1" x14ac:dyDescent="0.3">
      <c r="A415" s="49" t="s">
        <v>5281</v>
      </c>
      <c r="B415" s="49">
        <v>0</v>
      </c>
      <c r="C415" s="49"/>
      <c r="D415" s="72" t="s">
        <v>644</v>
      </c>
      <c r="E415" s="49" t="s">
        <v>3754</v>
      </c>
      <c r="F415" s="49"/>
      <c r="G415" s="49"/>
      <c r="H415" s="49" t="s">
        <v>646</v>
      </c>
      <c r="I415" s="49" t="s">
        <v>5284</v>
      </c>
      <c r="J415" s="49" t="s">
        <v>5282</v>
      </c>
      <c r="K415" s="49" t="s">
        <v>5283</v>
      </c>
      <c r="L415" s="49">
        <v>0</v>
      </c>
      <c r="M415" s="49" t="s">
        <v>4084</v>
      </c>
      <c r="N415" s="49" t="s">
        <v>5285</v>
      </c>
      <c r="O415" s="49">
        <v>7</v>
      </c>
      <c r="P415" s="49" t="s">
        <v>5286</v>
      </c>
      <c r="Q415" s="49">
        <v>0</v>
      </c>
      <c r="R415" s="49" t="s">
        <v>5287</v>
      </c>
      <c r="S415" s="49" t="s">
        <v>5288</v>
      </c>
      <c r="T415" s="49" t="s">
        <v>5289</v>
      </c>
      <c r="U415" s="49" t="s">
        <v>670</v>
      </c>
      <c r="V415" s="49" t="e">
        <v>#REF!</v>
      </c>
      <c r="AC415" s="49"/>
      <c r="AD415" s="49"/>
    </row>
    <row r="416" spans="1:30" hidden="1" x14ac:dyDescent="0.3">
      <c r="A416" s="49" t="s">
        <v>5290</v>
      </c>
      <c r="B416" s="49">
        <v>0</v>
      </c>
      <c r="C416" s="49"/>
      <c r="D416" s="72" t="s">
        <v>644</v>
      </c>
      <c r="E416" s="49" t="s">
        <v>3754</v>
      </c>
      <c r="F416" s="49"/>
      <c r="G416" s="49"/>
      <c r="H416" s="49" t="s">
        <v>646</v>
      </c>
      <c r="I416" s="49" t="s">
        <v>5293</v>
      </c>
      <c r="J416" s="49" t="s">
        <v>5291</v>
      </c>
      <c r="K416" s="49" t="s">
        <v>5292</v>
      </c>
      <c r="L416" s="49">
        <v>0</v>
      </c>
      <c r="M416" s="49" t="s">
        <v>2220</v>
      </c>
      <c r="N416" s="49" t="s">
        <v>3543</v>
      </c>
      <c r="O416" s="49">
        <v>11</v>
      </c>
      <c r="P416" s="49" t="s">
        <v>5294</v>
      </c>
      <c r="Q416" s="49">
        <v>0</v>
      </c>
      <c r="R416" s="49" t="s">
        <v>5295</v>
      </c>
      <c r="S416" s="49" t="s">
        <v>5296</v>
      </c>
      <c r="T416" s="49" t="s">
        <v>646</v>
      </c>
      <c r="U416" s="49" t="s">
        <v>670</v>
      </c>
      <c r="V416" s="49" t="e">
        <v>#REF!</v>
      </c>
      <c r="AC416" s="49"/>
      <c r="AD416" s="49"/>
    </row>
    <row r="417" spans="1:30" hidden="1" x14ac:dyDescent="0.3">
      <c r="A417" s="49" t="s">
        <v>5297</v>
      </c>
      <c r="B417" s="49">
        <v>0</v>
      </c>
      <c r="C417" s="49"/>
      <c r="D417" s="72" t="s">
        <v>644</v>
      </c>
      <c r="E417" s="49" t="s">
        <v>3754</v>
      </c>
      <c r="F417" s="49"/>
      <c r="G417" s="49"/>
      <c r="H417" s="49" t="s">
        <v>646</v>
      </c>
      <c r="I417" s="49" t="s">
        <v>5300</v>
      </c>
      <c r="J417" s="49" t="s">
        <v>5298</v>
      </c>
      <c r="K417" s="49" t="s">
        <v>5299</v>
      </c>
      <c r="L417" s="49">
        <v>0</v>
      </c>
      <c r="M417" s="49" t="s">
        <v>1777</v>
      </c>
      <c r="N417" s="49" t="s">
        <v>3543</v>
      </c>
      <c r="P417" s="49" t="s">
        <v>5301</v>
      </c>
      <c r="Q417" s="49">
        <v>0</v>
      </c>
      <c r="R417" s="49" t="s">
        <v>5302</v>
      </c>
      <c r="S417" s="49" t="s">
        <v>5303</v>
      </c>
      <c r="T417" s="49" t="s">
        <v>646</v>
      </c>
      <c r="U417" s="49" t="s">
        <v>670</v>
      </c>
      <c r="V417" s="49" t="e">
        <v>#REF!</v>
      </c>
      <c r="AC417" s="49"/>
      <c r="AD417" s="49"/>
    </row>
    <row r="418" spans="1:30" hidden="1" x14ac:dyDescent="0.3">
      <c r="A418" s="49" t="s">
        <v>5304</v>
      </c>
      <c r="B418" s="49">
        <v>0</v>
      </c>
      <c r="C418" s="49"/>
      <c r="D418" s="72" t="s">
        <v>644</v>
      </c>
      <c r="E418" s="49" t="s">
        <v>3754</v>
      </c>
      <c r="F418" s="49"/>
      <c r="G418" s="49"/>
      <c r="H418" s="49" t="s">
        <v>646</v>
      </c>
      <c r="I418" s="49" t="s">
        <v>5307</v>
      </c>
      <c r="J418" s="49" t="s">
        <v>5305</v>
      </c>
      <c r="K418" s="49" t="s">
        <v>5306</v>
      </c>
      <c r="L418" s="49">
        <v>0</v>
      </c>
      <c r="M418" s="49" t="s">
        <v>2220</v>
      </c>
      <c r="N418" s="49" t="s">
        <v>3543</v>
      </c>
      <c r="O418" s="49">
        <v>9</v>
      </c>
      <c r="P418" s="49" t="s">
        <v>5308</v>
      </c>
      <c r="Q418" s="49">
        <v>0</v>
      </c>
      <c r="R418" s="49" t="s">
        <v>5309</v>
      </c>
      <c r="S418" s="49" t="s">
        <v>5310</v>
      </c>
      <c r="T418" s="49" t="s">
        <v>646</v>
      </c>
      <c r="U418" s="49" t="s">
        <v>670</v>
      </c>
      <c r="V418" s="49" t="e">
        <v>#REF!</v>
      </c>
      <c r="AC418" s="49"/>
      <c r="AD418" s="49"/>
    </row>
    <row r="419" spans="1:30" hidden="1" x14ac:dyDescent="0.3">
      <c r="A419" s="49" t="s">
        <v>5311</v>
      </c>
      <c r="B419" s="49">
        <v>0</v>
      </c>
      <c r="C419" s="49"/>
      <c r="D419" s="72" t="s">
        <v>644</v>
      </c>
      <c r="E419" s="49" t="s">
        <v>3754</v>
      </c>
      <c r="F419" s="49"/>
      <c r="G419" s="49"/>
      <c r="H419" s="49" t="s">
        <v>5312</v>
      </c>
      <c r="I419" s="49" t="s">
        <v>5315</v>
      </c>
      <c r="J419" s="49" t="s">
        <v>5313</v>
      </c>
      <c r="K419" s="49" t="s">
        <v>5314</v>
      </c>
      <c r="L419" s="49">
        <v>0</v>
      </c>
      <c r="M419" s="49" t="s">
        <v>4084</v>
      </c>
      <c r="N419" s="49" t="s">
        <v>5316</v>
      </c>
      <c r="O419" s="49">
        <v>81</v>
      </c>
      <c r="P419" s="49" t="s">
        <v>5317</v>
      </c>
      <c r="Q419" s="49">
        <v>0</v>
      </c>
      <c r="R419" s="49" t="s">
        <v>5318</v>
      </c>
      <c r="S419" s="49" t="s">
        <v>5319</v>
      </c>
      <c r="T419" s="49" t="s">
        <v>5320</v>
      </c>
      <c r="U419" s="49" t="s">
        <v>655</v>
      </c>
      <c r="V419" s="49" t="e">
        <v>#REF!</v>
      </c>
      <c r="AC419" s="49"/>
      <c r="AD419" s="49"/>
    </row>
    <row r="420" spans="1:30" hidden="1" x14ac:dyDescent="0.3">
      <c r="A420" s="49" t="s">
        <v>5321</v>
      </c>
      <c r="B420" s="49">
        <v>0</v>
      </c>
      <c r="C420" s="49"/>
      <c r="D420" s="72" t="s">
        <v>644</v>
      </c>
      <c r="E420" s="49" t="s">
        <v>3754</v>
      </c>
      <c r="F420" s="49"/>
      <c r="G420" s="49"/>
      <c r="H420" s="49" t="s">
        <v>5322</v>
      </c>
      <c r="I420" s="49" t="s">
        <v>5325</v>
      </c>
      <c r="J420" s="49" t="s">
        <v>5323</v>
      </c>
      <c r="K420" s="49" t="s">
        <v>5324</v>
      </c>
      <c r="L420" s="49">
        <v>0</v>
      </c>
      <c r="M420" s="49" t="s">
        <v>2456</v>
      </c>
      <c r="N420" s="49" t="s">
        <v>2239</v>
      </c>
      <c r="O420" s="49">
        <v>466</v>
      </c>
      <c r="P420" s="49" t="s">
        <v>5326</v>
      </c>
      <c r="Q420" s="49">
        <v>0</v>
      </c>
      <c r="R420" s="49" t="s">
        <v>5327</v>
      </c>
      <c r="S420" s="49" t="s">
        <v>5328</v>
      </c>
      <c r="T420" s="49" t="s">
        <v>5329</v>
      </c>
      <c r="U420" s="49" t="s">
        <v>670</v>
      </c>
      <c r="V420" s="49" t="e">
        <v>#REF!</v>
      </c>
      <c r="AC420" s="49"/>
      <c r="AD420" s="49"/>
    </row>
    <row r="421" spans="1:30" hidden="1" x14ac:dyDescent="0.3">
      <c r="A421" s="49" t="s">
        <v>5330</v>
      </c>
      <c r="B421" s="49">
        <v>0</v>
      </c>
      <c r="C421" s="49"/>
      <c r="D421" s="72" t="s">
        <v>644</v>
      </c>
      <c r="E421" s="49" t="s">
        <v>3754</v>
      </c>
      <c r="F421" s="49"/>
      <c r="G421" s="49"/>
      <c r="H421" s="49" t="s">
        <v>5331</v>
      </c>
      <c r="I421" s="49" t="s">
        <v>5334</v>
      </c>
      <c r="J421" s="49" t="s">
        <v>5332</v>
      </c>
      <c r="K421" s="49" t="s">
        <v>5333</v>
      </c>
      <c r="L421" s="49">
        <v>0</v>
      </c>
      <c r="M421" s="49" t="s">
        <v>4084</v>
      </c>
      <c r="N421" s="49" t="s">
        <v>5335</v>
      </c>
      <c r="O421" s="49">
        <v>18</v>
      </c>
      <c r="P421" s="49" t="s">
        <v>5336</v>
      </c>
      <c r="Q421" s="49">
        <v>0</v>
      </c>
      <c r="R421" s="49" t="s">
        <v>5337</v>
      </c>
      <c r="S421" s="49" t="s">
        <v>5338</v>
      </c>
      <c r="T421" s="49" t="s">
        <v>5339</v>
      </c>
      <c r="U421" s="49" t="s">
        <v>670</v>
      </c>
      <c r="V421" s="49" t="e">
        <v>#REF!</v>
      </c>
      <c r="AC421" s="49"/>
      <c r="AD421" s="49"/>
    </row>
    <row r="422" spans="1:30" hidden="1" x14ac:dyDescent="0.3">
      <c r="A422" s="49" t="s">
        <v>5340</v>
      </c>
      <c r="B422" s="49">
        <v>0</v>
      </c>
      <c r="C422" s="49"/>
      <c r="D422" s="72" t="s">
        <v>644</v>
      </c>
      <c r="E422" s="49" t="s">
        <v>3754</v>
      </c>
      <c r="F422" s="49"/>
      <c r="G422" s="49"/>
      <c r="H422" s="49" t="s">
        <v>646</v>
      </c>
      <c r="I422" s="49" t="s">
        <v>5343</v>
      </c>
      <c r="J422" s="49" t="s">
        <v>5341</v>
      </c>
      <c r="K422" s="49" t="s">
        <v>5342</v>
      </c>
      <c r="L422" s="49">
        <v>0</v>
      </c>
      <c r="M422" s="49" t="s">
        <v>2456</v>
      </c>
      <c r="N422" s="49" t="s">
        <v>5344</v>
      </c>
      <c r="O422" s="49">
        <v>36</v>
      </c>
      <c r="P422" s="49" t="s">
        <v>5345</v>
      </c>
      <c r="Q422" s="49">
        <v>0</v>
      </c>
      <c r="R422" s="49" t="s">
        <v>5346</v>
      </c>
      <c r="S422" s="49" t="s">
        <v>5347</v>
      </c>
      <c r="T422" s="49" t="s">
        <v>5348</v>
      </c>
      <c r="U422" s="49" t="s">
        <v>670</v>
      </c>
      <c r="V422" s="49" t="e">
        <v>#REF!</v>
      </c>
      <c r="AC422" s="49"/>
      <c r="AD422" s="49"/>
    </row>
    <row r="423" spans="1:30" hidden="1" x14ac:dyDescent="0.3">
      <c r="A423" s="49" t="s">
        <v>5349</v>
      </c>
      <c r="B423" s="49">
        <v>0</v>
      </c>
      <c r="C423" s="49"/>
      <c r="D423" s="72" t="s">
        <v>644</v>
      </c>
      <c r="E423" s="49" t="s">
        <v>3754</v>
      </c>
      <c r="F423" s="49"/>
      <c r="G423" s="49"/>
      <c r="H423" s="49" t="s">
        <v>5350</v>
      </c>
      <c r="I423" s="49" t="s">
        <v>5353</v>
      </c>
      <c r="J423" s="49" t="s">
        <v>5351</v>
      </c>
      <c r="K423" s="49" t="s">
        <v>5352</v>
      </c>
      <c r="L423" s="49">
        <v>0</v>
      </c>
      <c r="M423" s="49" t="s">
        <v>2220</v>
      </c>
      <c r="N423" s="49" t="s">
        <v>2239</v>
      </c>
      <c r="O423" s="49">
        <v>99</v>
      </c>
      <c r="P423" s="49" t="s">
        <v>5354</v>
      </c>
      <c r="Q423" s="49">
        <v>0</v>
      </c>
      <c r="R423" s="49" t="s">
        <v>5355</v>
      </c>
      <c r="S423" s="49" t="s">
        <v>5356</v>
      </c>
      <c r="T423" s="49" t="s">
        <v>5357</v>
      </c>
      <c r="U423" s="49" t="s">
        <v>670</v>
      </c>
      <c r="V423" s="49" t="e">
        <v>#REF!</v>
      </c>
      <c r="AC423" s="49"/>
      <c r="AD423" s="49"/>
    </row>
    <row r="424" spans="1:30" hidden="1" x14ac:dyDescent="0.3">
      <c r="A424" s="49" t="s">
        <v>5358</v>
      </c>
      <c r="B424" s="49">
        <v>0</v>
      </c>
      <c r="C424" s="49"/>
      <c r="D424" s="72" t="s">
        <v>644</v>
      </c>
      <c r="E424" s="49" t="s">
        <v>3754</v>
      </c>
      <c r="F424" s="49"/>
      <c r="G424" s="49"/>
      <c r="H424" s="49" t="s">
        <v>5359</v>
      </c>
      <c r="I424" s="49" t="s">
        <v>5362</v>
      </c>
      <c r="J424" s="49" t="s">
        <v>5360</v>
      </c>
      <c r="K424" s="49" t="s">
        <v>5361</v>
      </c>
      <c r="L424" s="49">
        <v>0</v>
      </c>
      <c r="M424" s="49" t="s">
        <v>4114</v>
      </c>
      <c r="N424" s="49" t="s">
        <v>818</v>
      </c>
      <c r="O424" s="49">
        <v>47</v>
      </c>
      <c r="P424" s="49" t="s">
        <v>5363</v>
      </c>
      <c r="Q424" s="49">
        <v>0</v>
      </c>
      <c r="R424" s="49" t="s">
        <v>5364</v>
      </c>
      <c r="S424" s="49" t="s">
        <v>5365</v>
      </c>
      <c r="T424" s="49" t="s">
        <v>5366</v>
      </c>
      <c r="U424" s="49" t="s">
        <v>655</v>
      </c>
      <c r="V424" s="49" t="e">
        <v>#REF!</v>
      </c>
      <c r="AC424" s="49"/>
      <c r="AD424" s="49"/>
    </row>
    <row r="425" spans="1:30" hidden="1" x14ac:dyDescent="0.3">
      <c r="A425" s="49" t="s">
        <v>5367</v>
      </c>
      <c r="B425" s="49">
        <v>0</v>
      </c>
      <c r="C425" s="49"/>
      <c r="D425" s="72" t="s">
        <v>644</v>
      </c>
      <c r="E425" s="49" t="s">
        <v>3754</v>
      </c>
      <c r="F425" s="49"/>
      <c r="G425" s="49"/>
      <c r="H425" s="49" t="s">
        <v>646</v>
      </c>
      <c r="I425" s="49" t="s">
        <v>5370</v>
      </c>
      <c r="J425" s="49" t="s">
        <v>5368</v>
      </c>
      <c r="K425" s="49" t="s">
        <v>5369</v>
      </c>
      <c r="L425" s="49">
        <v>0</v>
      </c>
      <c r="M425" s="49" t="s">
        <v>2220</v>
      </c>
      <c r="N425" s="49" t="s">
        <v>5371</v>
      </c>
      <c r="O425" s="49">
        <v>4</v>
      </c>
      <c r="P425" s="49" t="s">
        <v>5372</v>
      </c>
      <c r="Q425" s="49">
        <v>0</v>
      </c>
      <c r="R425" s="49" t="s">
        <v>5373</v>
      </c>
      <c r="S425" s="49" t="s">
        <v>5374</v>
      </c>
      <c r="T425" s="49" t="s">
        <v>646</v>
      </c>
      <c r="U425" s="49" t="s">
        <v>670</v>
      </c>
      <c r="V425" s="49" t="e">
        <v>#REF!</v>
      </c>
      <c r="AC425" s="49"/>
      <c r="AD425" s="49"/>
    </row>
    <row r="426" spans="1:30" hidden="1" x14ac:dyDescent="0.3">
      <c r="A426" s="49" t="s">
        <v>5375</v>
      </c>
      <c r="B426" s="49">
        <v>0</v>
      </c>
      <c r="C426" s="49"/>
      <c r="D426" s="72" t="s">
        <v>644</v>
      </c>
      <c r="E426" s="49" t="s">
        <v>3754</v>
      </c>
      <c r="F426" s="49"/>
      <c r="G426" s="49"/>
      <c r="H426" s="49" t="s">
        <v>5376</v>
      </c>
      <c r="I426" s="49" t="s">
        <v>5379</v>
      </c>
      <c r="J426" s="49" t="s">
        <v>5377</v>
      </c>
      <c r="K426" s="49" t="s">
        <v>5378</v>
      </c>
      <c r="L426" s="49">
        <v>0</v>
      </c>
      <c r="M426" s="49" t="s">
        <v>2484</v>
      </c>
      <c r="N426" s="49" t="s">
        <v>5380</v>
      </c>
      <c r="O426" s="49">
        <v>42</v>
      </c>
      <c r="P426" s="49" t="s">
        <v>5381</v>
      </c>
      <c r="Q426" s="49">
        <v>0</v>
      </c>
      <c r="R426" s="49" t="s">
        <v>5382</v>
      </c>
      <c r="S426" s="49" t="s">
        <v>5383</v>
      </c>
      <c r="T426" s="49" t="s">
        <v>5384</v>
      </c>
      <c r="U426" s="49" t="s">
        <v>655</v>
      </c>
      <c r="V426" s="49" t="e">
        <v>#REF!</v>
      </c>
      <c r="AC426" s="49"/>
      <c r="AD426" s="49"/>
    </row>
    <row r="427" spans="1:30" hidden="1" x14ac:dyDescent="0.3">
      <c r="A427" s="49" t="s">
        <v>5385</v>
      </c>
      <c r="B427" s="49">
        <v>0</v>
      </c>
      <c r="C427" s="49"/>
      <c r="D427" s="72" t="s">
        <v>644</v>
      </c>
      <c r="E427" s="49" t="s">
        <v>3754</v>
      </c>
      <c r="F427" s="49"/>
      <c r="G427" s="49"/>
      <c r="H427" s="49" t="s">
        <v>5386</v>
      </c>
      <c r="I427" s="49" t="s">
        <v>5389</v>
      </c>
      <c r="J427" s="49" t="s">
        <v>5387</v>
      </c>
      <c r="K427" s="49" t="s">
        <v>5388</v>
      </c>
      <c r="L427" s="49">
        <v>0</v>
      </c>
      <c r="M427" s="49" t="s">
        <v>3570</v>
      </c>
      <c r="N427" s="49" t="s">
        <v>2239</v>
      </c>
      <c r="O427" s="49">
        <v>1235</v>
      </c>
      <c r="P427" s="49" t="s">
        <v>5390</v>
      </c>
      <c r="Q427" s="49">
        <v>0</v>
      </c>
      <c r="R427" s="49" t="s">
        <v>5391</v>
      </c>
      <c r="S427" s="49" t="s">
        <v>5392</v>
      </c>
      <c r="T427" s="49" t="s">
        <v>5393</v>
      </c>
      <c r="U427" s="49" t="s">
        <v>670</v>
      </c>
      <c r="V427" s="49" t="e">
        <v>#REF!</v>
      </c>
      <c r="AC427" s="49"/>
      <c r="AD427" s="49"/>
    </row>
    <row r="428" spans="1:30" hidden="1" x14ac:dyDescent="0.3">
      <c r="A428" s="49" t="s">
        <v>5394</v>
      </c>
      <c r="B428" s="49">
        <v>0</v>
      </c>
      <c r="C428" s="49"/>
      <c r="D428" s="72" t="s">
        <v>644</v>
      </c>
      <c r="E428" s="49" t="s">
        <v>3754</v>
      </c>
      <c r="F428" s="49"/>
      <c r="G428" s="49"/>
      <c r="H428" s="49" t="s">
        <v>5395</v>
      </c>
      <c r="I428" s="49" t="s">
        <v>5398</v>
      </c>
      <c r="J428" s="49" t="s">
        <v>5396</v>
      </c>
      <c r="K428" s="49" t="s">
        <v>5397</v>
      </c>
      <c r="L428" s="49">
        <v>0</v>
      </c>
      <c r="M428" s="49" t="s">
        <v>1764</v>
      </c>
      <c r="N428" s="49" t="s">
        <v>5399</v>
      </c>
      <c r="O428" s="49">
        <v>2</v>
      </c>
      <c r="P428" s="49" t="s">
        <v>5400</v>
      </c>
      <c r="Q428" s="49">
        <v>0</v>
      </c>
      <c r="R428" s="49" t="s">
        <v>5401</v>
      </c>
      <c r="S428" s="49" t="s">
        <v>5402</v>
      </c>
      <c r="T428" s="49" t="s">
        <v>5403</v>
      </c>
      <c r="U428" s="49" t="s">
        <v>655</v>
      </c>
      <c r="V428" s="49" t="e">
        <v>#REF!</v>
      </c>
      <c r="AC428" s="49"/>
      <c r="AD428" s="49"/>
    </row>
    <row r="429" spans="1:30" hidden="1" x14ac:dyDescent="0.3">
      <c r="A429" s="49" t="s">
        <v>5404</v>
      </c>
      <c r="B429" s="49">
        <v>0</v>
      </c>
      <c r="C429" s="49"/>
      <c r="D429" s="72" t="s">
        <v>644</v>
      </c>
      <c r="E429" s="49" t="s">
        <v>3754</v>
      </c>
      <c r="F429" s="49"/>
      <c r="G429" s="49"/>
      <c r="H429" s="49" t="s">
        <v>646</v>
      </c>
      <c r="I429" s="49" t="s">
        <v>5407</v>
      </c>
      <c r="J429" s="49" t="s">
        <v>5405</v>
      </c>
      <c r="K429" s="49" t="s">
        <v>5406</v>
      </c>
      <c r="L429" s="49">
        <v>0</v>
      </c>
      <c r="M429" s="49" t="s">
        <v>2456</v>
      </c>
      <c r="N429" s="49" t="s">
        <v>5408</v>
      </c>
      <c r="O429" s="49">
        <v>13</v>
      </c>
      <c r="P429" s="49" t="s">
        <v>5409</v>
      </c>
      <c r="Q429" s="49">
        <v>0</v>
      </c>
      <c r="R429" s="49" t="s">
        <v>5410</v>
      </c>
      <c r="S429" s="49" t="s">
        <v>5411</v>
      </c>
      <c r="T429" s="49" t="s">
        <v>646</v>
      </c>
      <c r="U429" s="49" t="s">
        <v>670</v>
      </c>
      <c r="V429" s="49" t="e">
        <v>#REF!</v>
      </c>
      <c r="AC429" s="49"/>
      <c r="AD429" s="49"/>
    </row>
    <row r="430" spans="1:30" hidden="1" x14ac:dyDescent="0.3">
      <c r="A430" s="49" t="s">
        <v>5412</v>
      </c>
      <c r="B430" s="49">
        <v>0</v>
      </c>
      <c r="C430" s="49"/>
      <c r="D430" s="72" t="s">
        <v>644</v>
      </c>
      <c r="E430" s="49" t="s">
        <v>3754</v>
      </c>
      <c r="F430" s="49"/>
      <c r="G430" s="49"/>
      <c r="H430" s="49" t="s">
        <v>646</v>
      </c>
      <c r="I430" s="49" t="s">
        <v>5415</v>
      </c>
      <c r="J430" s="49" t="s">
        <v>5413</v>
      </c>
      <c r="K430" s="49" t="s">
        <v>5414</v>
      </c>
      <c r="L430" s="49">
        <v>0</v>
      </c>
      <c r="M430" s="49" t="s">
        <v>2142</v>
      </c>
      <c r="N430" s="49" t="s">
        <v>5416</v>
      </c>
      <c r="O430" s="49">
        <v>6</v>
      </c>
      <c r="P430" s="49" t="s">
        <v>5417</v>
      </c>
      <c r="Q430" s="49">
        <v>0</v>
      </c>
      <c r="R430" s="49" t="s">
        <v>5418</v>
      </c>
      <c r="S430" s="49" t="s">
        <v>5419</v>
      </c>
      <c r="T430" s="49" t="s">
        <v>646</v>
      </c>
      <c r="U430" s="49" t="s">
        <v>670</v>
      </c>
      <c r="V430" s="49" t="e">
        <v>#REF!</v>
      </c>
      <c r="AC430" s="49"/>
      <c r="AD430" s="49"/>
    </row>
    <row r="431" spans="1:30" hidden="1" x14ac:dyDescent="0.3">
      <c r="A431" s="49" t="s">
        <v>5420</v>
      </c>
      <c r="B431" s="49">
        <v>0</v>
      </c>
      <c r="C431" s="49"/>
      <c r="D431" s="72" t="s">
        <v>644</v>
      </c>
      <c r="E431" s="49" t="s">
        <v>3754</v>
      </c>
      <c r="F431" s="49"/>
      <c r="G431" s="49"/>
      <c r="H431" s="49" t="s">
        <v>5421</v>
      </c>
      <c r="I431" s="49" t="s">
        <v>5424</v>
      </c>
      <c r="J431" s="49" t="s">
        <v>5422</v>
      </c>
      <c r="K431" s="49" t="s">
        <v>5423</v>
      </c>
      <c r="L431" s="49">
        <v>0</v>
      </c>
      <c r="M431" s="49" t="s">
        <v>1826</v>
      </c>
      <c r="N431" s="49" t="s">
        <v>5425</v>
      </c>
      <c r="O431" s="49">
        <v>38</v>
      </c>
      <c r="P431" s="49" t="s">
        <v>5426</v>
      </c>
      <c r="Q431" s="49">
        <v>0</v>
      </c>
      <c r="R431" s="49" t="s">
        <v>5427</v>
      </c>
      <c r="S431" s="49" t="s">
        <v>5428</v>
      </c>
      <c r="T431" s="49" t="s">
        <v>5429</v>
      </c>
      <c r="U431" s="49" t="s">
        <v>655</v>
      </c>
      <c r="V431" s="49" t="e">
        <v>#REF!</v>
      </c>
      <c r="AC431" s="49"/>
      <c r="AD431" s="49"/>
    </row>
    <row r="432" spans="1:30" hidden="1" x14ac:dyDescent="0.3">
      <c r="A432" s="49" t="s">
        <v>5430</v>
      </c>
      <c r="B432" s="49">
        <v>0</v>
      </c>
      <c r="C432" s="49"/>
      <c r="D432" s="72" t="s">
        <v>644</v>
      </c>
      <c r="E432" s="49" t="s">
        <v>3754</v>
      </c>
      <c r="F432" s="49"/>
      <c r="G432" s="49"/>
      <c r="H432" s="49" t="s">
        <v>5431</v>
      </c>
      <c r="I432" s="49" t="s">
        <v>5434</v>
      </c>
      <c r="J432" s="49" t="s">
        <v>5432</v>
      </c>
      <c r="K432" s="49" t="s">
        <v>5433</v>
      </c>
      <c r="L432" s="49">
        <v>0</v>
      </c>
      <c r="M432" s="49" t="s">
        <v>1826</v>
      </c>
      <c r="N432" s="49" t="s">
        <v>5425</v>
      </c>
      <c r="O432" s="49">
        <v>36</v>
      </c>
      <c r="P432" s="49" t="s">
        <v>5435</v>
      </c>
      <c r="Q432" s="49">
        <v>0</v>
      </c>
      <c r="R432" s="49" t="s">
        <v>5436</v>
      </c>
      <c r="S432" s="49" t="s">
        <v>5437</v>
      </c>
      <c r="T432" s="49" t="s">
        <v>5438</v>
      </c>
      <c r="U432" s="49" t="s">
        <v>655</v>
      </c>
      <c r="V432" s="49" t="e">
        <v>#REF!</v>
      </c>
      <c r="AC432" s="49"/>
      <c r="AD432" s="49"/>
    </row>
    <row r="433" spans="1:30" hidden="1" x14ac:dyDescent="0.3">
      <c r="A433" s="49" t="s">
        <v>5439</v>
      </c>
      <c r="B433" s="49">
        <v>0</v>
      </c>
      <c r="C433" s="49"/>
      <c r="D433" s="72" t="s">
        <v>644</v>
      </c>
      <c r="E433" s="49" t="s">
        <v>3754</v>
      </c>
      <c r="F433" s="49"/>
      <c r="G433" s="49"/>
      <c r="H433" s="49" t="s">
        <v>5440</v>
      </c>
      <c r="I433" s="49" t="s">
        <v>5443</v>
      </c>
      <c r="J433" s="49" t="s">
        <v>5441</v>
      </c>
      <c r="K433" s="49" t="s">
        <v>5442</v>
      </c>
      <c r="L433" s="49">
        <v>0</v>
      </c>
      <c r="M433" s="49" t="s">
        <v>2142</v>
      </c>
      <c r="N433" s="49" t="s">
        <v>5444</v>
      </c>
      <c r="O433" s="49">
        <v>4</v>
      </c>
      <c r="P433" s="49" t="s">
        <v>5445</v>
      </c>
      <c r="Q433" s="49">
        <v>0</v>
      </c>
      <c r="R433" s="49" t="s">
        <v>5446</v>
      </c>
      <c r="S433" s="49" t="s">
        <v>5447</v>
      </c>
      <c r="T433" s="49" t="s">
        <v>646</v>
      </c>
      <c r="U433" s="49" t="s">
        <v>670</v>
      </c>
      <c r="V433" s="49" t="e">
        <v>#REF!</v>
      </c>
      <c r="AC433" s="49"/>
      <c r="AD433" s="49"/>
    </row>
    <row r="434" spans="1:30" hidden="1" x14ac:dyDescent="0.3">
      <c r="A434" s="49" t="s">
        <v>5448</v>
      </c>
      <c r="B434" s="49">
        <v>0</v>
      </c>
      <c r="C434" s="49"/>
      <c r="D434" s="72" t="s">
        <v>644</v>
      </c>
      <c r="E434" s="49" t="s">
        <v>3754</v>
      </c>
      <c r="F434" s="49"/>
      <c r="G434" s="49"/>
      <c r="H434" s="49" t="s">
        <v>5449</v>
      </c>
      <c r="I434" s="49" t="s">
        <v>5452</v>
      </c>
      <c r="J434" s="49" t="s">
        <v>5450</v>
      </c>
      <c r="K434" s="49" t="s">
        <v>5451</v>
      </c>
      <c r="L434" s="49">
        <v>0</v>
      </c>
      <c r="M434" s="49" t="s">
        <v>2456</v>
      </c>
      <c r="N434" s="49" t="s">
        <v>5453</v>
      </c>
      <c r="O434" s="49">
        <v>4</v>
      </c>
      <c r="P434" s="49" t="s">
        <v>5454</v>
      </c>
      <c r="Q434" s="49">
        <v>0</v>
      </c>
      <c r="R434" s="49" t="s">
        <v>5455</v>
      </c>
      <c r="S434" s="49" t="s">
        <v>5456</v>
      </c>
      <c r="T434" s="49" t="s">
        <v>5457</v>
      </c>
      <c r="U434" s="49" t="s">
        <v>670</v>
      </c>
      <c r="V434" s="49" t="e">
        <v>#REF!</v>
      </c>
      <c r="AC434" s="49"/>
      <c r="AD434" s="49"/>
    </row>
    <row r="435" spans="1:30" hidden="1" x14ac:dyDescent="0.3">
      <c r="A435" s="49" t="s">
        <v>5458</v>
      </c>
      <c r="B435" s="49">
        <v>0</v>
      </c>
      <c r="C435" s="49"/>
      <c r="D435" s="72" t="s">
        <v>644</v>
      </c>
      <c r="E435" s="49" t="s">
        <v>3754</v>
      </c>
      <c r="F435" s="49"/>
      <c r="G435" s="49"/>
      <c r="H435" s="49" t="s">
        <v>5459</v>
      </c>
      <c r="I435" s="49" t="s">
        <v>5462</v>
      </c>
      <c r="J435" s="49" t="s">
        <v>5460</v>
      </c>
      <c r="K435" s="49" t="s">
        <v>5461</v>
      </c>
      <c r="L435" s="49">
        <v>0</v>
      </c>
      <c r="M435" s="49" t="s">
        <v>4114</v>
      </c>
      <c r="N435" s="49" t="s">
        <v>5463</v>
      </c>
      <c r="O435" s="49">
        <v>235</v>
      </c>
      <c r="P435" s="49" t="s">
        <v>5464</v>
      </c>
      <c r="Q435" s="49">
        <v>0</v>
      </c>
      <c r="R435" s="49" t="s">
        <v>5465</v>
      </c>
      <c r="S435" s="49" t="s">
        <v>5466</v>
      </c>
      <c r="T435" s="49" t="s">
        <v>646</v>
      </c>
      <c r="U435" s="49" t="s">
        <v>791</v>
      </c>
      <c r="V435" s="49" t="e">
        <v>#REF!</v>
      </c>
      <c r="AC435" s="49"/>
      <c r="AD435" s="49"/>
    </row>
    <row r="436" spans="1:30" hidden="1" x14ac:dyDescent="0.3">
      <c r="A436" s="49" t="s">
        <v>5467</v>
      </c>
      <c r="B436" s="49">
        <v>0</v>
      </c>
      <c r="C436" s="49"/>
      <c r="D436" s="72" t="s">
        <v>644</v>
      </c>
      <c r="E436" s="49" t="s">
        <v>3754</v>
      </c>
      <c r="F436" s="49"/>
      <c r="G436" s="49"/>
      <c r="H436" s="49" t="s">
        <v>5468</v>
      </c>
      <c r="I436" s="49" t="s">
        <v>5471</v>
      </c>
      <c r="J436" s="49" t="s">
        <v>5469</v>
      </c>
      <c r="K436" s="49" t="s">
        <v>5470</v>
      </c>
      <c r="L436" s="49">
        <v>0</v>
      </c>
      <c r="M436" s="49" t="s">
        <v>2636</v>
      </c>
      <c r="N436" s="49" t="s">
        <v>818</v>
      </c>
      <c r="O436" s="49">
        <v>3</v>
      </c>
      <c r="P436" s="49" t="s">
        <v>5472</v>
      </c>
      <c r="Q436" s="49">
        <v>0</v>
      </c>
      <c r="R436" s="49" t="s">
        <v>5473</v>
      </c>
      <c r="S436" s="49" t="s">
        <v>5474</v>
      </c>
      <c r="T436" s="49" t="s">
        <v>5475</v>
      </c>
      <c r="U436" s="49" t="s">
        <v>670</v>
      </c>
      <c r="V436" s="49" t="e">
        <v>#REF!</v>
      </c>
      <c r="AC436" s="49"/>
      <c r="AD436" s="49"/>
    </row>
    <row r="437" spans="1:30" hidden="1" x14ac:dyDescent="0.3">
      <c r="A437" s="49" t="s">
        <v>5476</v>
      </c>
      <c r="B437" s="49">
        <v>0</v>
      </c>
      <c r="C437" s="49"/>
      <c r="D437" s="72" t="s">
        <v>644</v>
      </c>
      <c r="E437" s="49" t="s">
        <v>3754</v>
      </c>
      <c r="F437" s="49"/>
      <c r="G437" s="49"/>
      <c r="H437" s="49" t="s">
        <v>5477</v>
      </c>
      <c r="I437" s="49" t="s">
        <v>5480</v>
      </c>
      <c r="J437" s="49" t="s">
        <v>5478</v>
      </c>
      <c r="K437" s="49" t="s">
        <v>5479</v>
      </c>
      <c r="L437" s="49">
        <v>0</v>
      </c>
      <c r="M437" s="49" t="s">
        <v>4156</v>
      </c>
      <c r="N437" s="49" t="s">
        <v>5481</v>
      </c>
      <c r="O437" s="49">
        <v>8</v>
      </c>
      <c r="P437" s="49" t="s">
        <v>5482</v>
      </c>
      <c r="Q437" s="49">
        <v>0</v>
      </c>
      <c r="R437" s="49" t="s">
        <v>5483</v>
      </c>
      <c r="S437" s="49" t="s">
        <v>5484</v>
      </c>
      <c r="T437" s="49" t="s">
        <v>5485</v>
      </c>
      <c r="U437" s="49" t="s">
        <v>791</v>
      </c>
      <c r="V437" s="49" t="e">
        <v>#REF!</v>
      </c>
      <c r="AC437" s="49"/>
      <c r="AD437" s="49"/>
    </row>
    <row r="438" spans="1:30" hidden="1" x14ac:dyDescent="0.3">
      <c r="A438" s="49" t="s">
        <v>5486</v>
      </c>
      <c r="B438" s="49">
        <v>0</v>
      </c>
      <c r="C438" s="49"/>
      <c r="D438" s="72" t="s">
        <v>644</v>
      </c>
      <c r="E438" s="49" t="s">
        <v>3754</v>
      </c>
      <c r="F438" s="49"/>
      <c r="G438" s="49"/>
      <c r="H438" s="49" t="s">
        <v>5487</v>
      </c>
      <c r="I438" s="49" t="s">
        <v>5490</v>
      </c>
      <c r="J438" s="49" t="s">
        <v>5488</v>
      </c>
      <c r="K438" s="49" t="s">
        <v>5489</v>
      </c>
      <c r="L438" s="49">
        <v>0</v>
      </c>
      <c r="M438" s="49" t="s">
        <v>2484</v>
      </c>
      <c r="N438" s="49" t="s">
        <v>2780</v>
      </c>
      <c r="O438" s="49">
        <v>19</v>
      </c>
      <c r="P438" s="49" t="s">
        <v>5491</v>
      </c>
      <c r="Q438" s="49">
        <v>0</v>
      </c>
      <c r="R438" s="49" t="s">
        <v>5492</v>
      </c>
      <c r="S438" s="49" t="s">
        <v>5493</v>
      </c>
      <c r="T438" s="49" t="s">
        <v>5494</v>
      </c>
      <c r="U438" s="49" t="s">
        <v>655</v>
      </c>
      <c r="V438" s="49" t="e">
        <v>#REF!</v>
      </c>
      <c r="AC438" s="49"/>
      <c r="AD438" s="49"/>
    </row>
    <row r="439" spans="1:30" hidden="1" x14ac:dyDescent="0.3">
      <c r="A439" s="49" t="s">
        <v>5495</v>
      </c>
      <c r="B439" s="49">
        <v>0</v>
      </c>
      <c r="C439" s="49"/>
      <c r="D439" s="72" t="s">
        <v>644</v>
      </c>
      <c r="E439" s="49" t="s">
        <v>3754</v>
      </c>
      <c r="F439" s="49"/>
      <c r="G439" s="49"/>
      <c r="H439" s="49" t="s">
        <v>5496</v>
      </c>
      <c r="I439" s="49" t="s">
        <v>5499</v>
      </c>
      <c r="J439" s="49" t="s">
        <v>5497</v>
      </c>
      <c r="K439" s="49" t="s">
        <v>5498</v>
      </c>
      <c r="L439" s="49">
        <v>0</v>
      </c>
      <c r="M439" s="49" t="s">
        <v>2142</v>
      </c>
      <c r="N439" s="49" t="s">
        <v>5500</v>
      </c>
      <c r="O439" s="49">
        <v>8</v>
      </c>
      <c r="P439" s="49" t="s">
        <v>5501</v>
      </c>
      <c r="Q439" s="49">
        <v>0</v>
      </c>
      <c r="R439" s="49" t="s">
        <v>5502</v>
      </c>
      <c r="S439" s="49" t="s">
        <v>5503</v>
      </c>
      <c r="T439" s="49" t="s">
        <v>646</v>
      </c>
      <c r="U439" s="49" t="s">
        <v>655</v>
      </c>
      <c r="V439" s="49" t="e">
        <v>#REF!</v>
      </c>
      <c r="AC439" s="49"/>
      <c r="AD439" s="49"/>
    </row>
    <row r="440" spans="1:30" hidden="1" x14ac:dyDescent="0.3">
      <c r="A440" s="49" t="s">
        <v>5504</v>
      </c>
      <c r="B440" s="49">
        <v>0</v>
      </c>
      <c r="C440" s="49"/>
      <c r="D440" s="72" t="s">
        <v>644</v>
      </c>
      <c r="E440" s="49" t="s">
        <v>3754</v>
      </c>
      <c r="F440" s="49"/>
      <c r="G440" s="49"/>
      <c r="H440" s="49" t="s">
        <v>5505</v>
      </c>
      <c r="I440" s="49" t="s">
        <v>5508</v>
      </c>
      <c r="J440" s="49" t="s">
        <v>5506</v>
      </c>
      <c r="K440" s="49" t="s">
        <v>5507</v>
      </c>
      <c r="L440" s="49">
        <v>0</v>
      </c>
      <c r="M440" s="49" t="s">
        <v>1764</v>
      </c>
      <c r="N440" s="49" t="s">
        <v>5509</v>
      </c>
      <c r="P440" s="49" t="s">
        <v>5510</v>
      </c>
      <c r="Q440" s="49">
        <v>0</v>
      </c>
      <c r="R440" s="49" t="s">
        <v>5511</v>
      </c>
      <c r="S440" s="49" t="s">
        <v>5512</v>
      </c>
      <c r="T440" s="49" t="s">
        <v>5513</v>
      </c>
      <c r="U440" s="49" t="s">
        <v>655</v>
      </c>
      <c r="V440" s="49" t="e">
        <v>#REF!</v>
      </c>
      <c r="AC440" s="49"/>
      <c r="AD440" s="49"/>
    </row>
    <row r="441" spans="1:30" hidden="1" x14ac:dyDescent="0.3">
      <c r="A441" s="49" t="s">
        <v>5514</v>
      </c>
      <c r="B441" s="49">
        <v>0</v>
      </c>
      <c r="C441" s="49"/>
      <c r="D441" s="72" t="s">
        <v>644</v>
      </c>
      <c r="E441" s="49" t="s">
        <v>3754</v>
      </c>
      <c r="F441" s="49"/>
      <c r="G441" s="49"/>
      <c r="H441" s="49" t="s">
        <v>5515</v>
      </c>
      <c r="I441" s="49" t="s">
        <v>5518</v>
      </c>
      <c r="J441" s="49" t="s">
        <v>5516</v>
      </c>
      <c r="K441" s="49" t="s">
        <v>5517</v>
      </c>
      <c r="L441" s="49">
        <v>0</v>
      </c>
      <c r="M441" s="49" t="s">
        <v>4084</v>
      </c>
      <c r="N441" s="49" t="s">
        <v>2741</v>
      </c>
      <c r="O441" s="49">
        <v>5</v>
      </c>
      <c r="P441" s="49" t="s">
        <v>5519</v>
      </c>
      <c r="Q441" s="49">
        <v>0</v>
      </c>
      <c r="R441" s="49" t="s">
        <v>4675</v>
      </c>
      <c r="S441" s="49" t="s">
        <v>5520</v>
      </c>
      <c r="T441" s="49" t="s">
        <v>5521</v>
      </c>
      <c r="U441" s="49" t="s">
        <v>670</v>
      </c>
      <c r="V441" s="49" t="e">
        <v>#REF!</v>
      </c>
      <c r="AC441" s="49"/>
      <c r="AD441" s="49"/>
    </row>
    <row r="442" spans="1:30" hidden="1" x14ac:dyDescent="0.3">
      <c r="A442" s="49" t="s">
        <v>5522</v>
      </c>
      <c r="B442" s="49">
        <v>0</v>
      </c>
      <c r="C442" s="49"/>
      <c r="D442" s="72" t="s">
        <v>644</v>
      </c>
      <c r="E442" s="49" t="s">
        <v>3754</v>
      </c>
      <c r="F442" s="49"/>
      <c r="G442" s="49"/>
      <c r="H442" s="49" t="s">
        <v>5523</v>
      </c>
      <c r="I442" s="49" t="s">
        <v>5526</v>
      </c>
      <c r="J442" s="49" t="s">
        <v>5524</v>
      </c>
      <c r="K442" s="49" t="s">
        <v>5525</v>
      </c>
      <c r="L442" s="49">
        <v>0</v>
      </c>
      <c r="M442" s="49" t="s">
        <v>2636</v>
      </c>
      <c r="N442" s="49" t="s">
        <v>5527</v>
      </c>
      <c r="O442" s="49">
        <v>2</v>
      </c>
      <c r="P442" s="49" t="s">
        <v>5528</v>
      </c>
      <c r="Q442" s="49">
        <v>0</v>
      </c>
      <c r="R442" s="49" t="s">
        <v>5529</v>
      </c>
      <c r="S442" s="49" t="s">
        <v>5530</v>
      </c>
      <c r="T442" s="49" t="s">
        <v>5531</v>
      </c>
      <c r="U442" s="49" t="s">
        <v>670</v>
      </c>
      <c r="V442" s="49" t="e">
        <v>#REF!</v>
      </c>
      <c r="AC442" s="49"/>
      <c r="AD442" s="49"/>
    </row>
    <row r="443" spans="1:30" hidden="1" x14ac:dyDescent="0.3">
      <c r="A443" s="49" t="s">
        <v>5532</v>
      </c>
      <c r="B443" s="49">
        <v>0</v>
      </c>
      <c r="C443" s="49"/>
      <c r="D443" s="72" t="s">
        <v>644</v>
      </c>
      <c r="E443" s="49" t="s">
        <v>3754</v>
      </c>
      <c r="F443" s="49"/>
      <c r="G443" s="49"/>
      <c r="H443" s="49" t="s">
        <v>5533</v>
      </c>
      <c r="I443" s="49" t="s">
        <v>5536</v>
      </c>
      <c r="J443" s="49" t="s">
        <v>5534</v>
      </c>
      <c r="K443" s="49" t="s">
        <v>5535</v>
      </c>
      <c r="L443" s="49">
        <v>0</v>
      </c>
      <c r="M443" s="49" t="s">
        <v>4114</v>
      </c>
      <c r="N443" s="49" t="s">
        <v>5537</v>
      </c>
      <c r="O443" s="49">
        <v>5</v>
      </c>
      <c r="P443" s="49" t="s">
        <v>5538</v>
      </c>
      <c r="Q443" s="49">
        <v>0</v>
      </c>
      <c r="R443" s="49" t="s">
        <v>5539</v>
      </c>
      <c r="S443" s="49" t="s">
        <v>5540</v>
      </c>
      <c r="T443" s="49" t="s">
        <v>5541</v>
      </c>
      <c r="U443" s="49" t="s">
        <v>655</v>
      </c>
      <c r="V443" s="49" t="e">
        <v>#REF!</v>
      </c>
      <c r="AC443" s="49"/>
      <c r="AD443" s="49"/>
    </row>
    <row r="444" spans="1:30" hidden="1" x14ac:dyDescent="0.3">
      <c r="A444" s="49" t="s">
        <v>5542</v>
      </c>
      <c r="B444" s="49">
        <v>0</v>
      </c>
      <c r="C444" s="49"/>
      <c r="D444" s="72" t="s">
        <v>644</v>
      </c>
      <c r="E444" s="49" t="s">
        <v>3754</v>
      </c>
      <c r="F444" s="49"/>
      <c r="G444" s="49"/>
      <c r="H444" s="49" t="s">
        <v>5543</v>
      </c>
      <c r="I444" s="49" t="s">
        <v>5546</v>
      </c>
      <c r="J444" s="49" t="s">
        <v>5544</v>
      </c>
      <c r="K444" s="49" t="s">
        <v>5545</v>
      </c>
      <c r="L444" s="49">
        <v>0</v>
      </c>
      <c r="M444" s="49" t="s">
        <v>4114</v>
      </c>
      <c r="N444" s="49" t="s">
        <v>5547</v>
      </c>
      <c r="O444" s="49">
        <v>11</v>
      </c>
      <c r="P444" s="49" t="s">
        <v>5548</v>
      </c>
      <c r="Q444" s="49">
        <v>0</v>
      </c>
      <c r="R444" s="49" t="s">
        <v>5549</v>
      </c>
      <c r="S444" s="49" t="s">
        <v>5550</v>
      </c>
      <c r="T444" s="49" t="s">
        <v>5551</v>
      </c>
      <c r="U444" s="49" t="s">
        <v>655</v>
      </c>
      <c r="V444" s="49" t="e">
        <v>#REF!</v>
      </c>
      <c r="AC444" s="49"/>
      <c r="AD444" s="49"/>
    </row>
    <row r="445" spans="1:30" hidden="1" x14ac:dyDescent="0.3">
      <c r="A445" s="49" t="s">
        <v>5552</v>
      </c>
      <c r="B445" s="49">
        <v>0</v>
      </c>
      <c r="C445" s="49"/>
      <c r="D445" s="72" t="s">
        <v>644</v>
      </c>
      <c r="E445" s="49" t="s">
        <v>3754</v>
      </c>
      <c r="F445" s="49"/>
      <c r="G445" s="49"/>
      <c r="H445" s="49" t="s">
        <v>5553</v>
      </c>
      <c r="I445" s="49" t="s">
        <v>5556</v>
      </c>
      <c r="J445" s="49" t="s">
        <v>5554</v>
      </c>
      <c r="K445" s="49" t="s">
        <v>5555</v>
      </c>
      <c r="L445" s="49">
        <v>0</v>
      </c>
      <c r="M445" s="49" t="s">
        <v>2636</v>
      </c>
      <c r="N445" s="49" t="s">
        <v>5557</v>
      </c>
      <c r="O445" s="49">
        <v>32</v>
      </c>
      <c r="P445" s="49" t="s">
        <v>5558</v>
      </c>
      <c r="Q445" s="49">
        <v>0</v>
      </c>
      <c r="R445" s="49" t="s">
        <v>5559</v>
      </c>
      <c r="S445" s="49" t="s">
        <v>5560</v>
      </c>
      <c r="T445" s="49" t="s">
        <v>5561</v>
      </c>
      <c r="U445" s="49" t="s">
        <v>655</v>
      </c>
      <c r="V445" s="49" t="e">
        <v>#REF!</v>
      </c>
      <c r="AC445" s="49"/>
      <c r="AD445" s="49"/>
    </row>
    <row r="446" spans="1:30" hidden="1" x14ac:dyDescent="0.3">
      <c r="A446" s="49" t="s">
        <v>5562</v>
      </c>
      <c r="B446" s="49">
        <v>0</v>
      </c>
      <c r="C446" s="49"/>
      <c r="D446" s="72" t="s">
        <v>644</v>
      </c>
      <c r="E446" s="49" t="s">
        <v>3754</v>
      </c>
      <c r="F446" s="49"/>
      <c r="G446" s="49"/>
      <c r="H446" s="49" t="s">
        <v>5563</v>
      </c>
      <c r="I446" s="49" t="s">
        <v>5566</v>
      </c>
      <c r="J446" s="49" t="s">
        <v>5564</v>
      </c>
      <c r="K446" s="49" t="s">
        <v>5565</v>
      </c>
      <c r="L446" s="49">
        <v>0</v>
      </c>
      <c r="M446" s="49" t="s">
        <v>4114</v>
      </c>
      <c r="N446" s="49" t="s">
        <v>818</v>
      </c>
      <c r="O446" s="49">
        <v>4</v>
      </c>
      <c r="P446" s="49" t="s">
        <v>5567</v>
      </c>
      <c r="Q446" s="49">
        <v>0</v>
      </c>
      <c r="R446" s="49" t="s">
        <v>5568</v>
      </c>
      <c r="S446" s="49" t="s">
        <v>5569</v>
      </c>
      <c r="T446" s="49" t="s">
        <v>646</v>
      </c>
      <c r="U446" s="49" t="s">
        <v>670</v>
      </c>
      <c r="V446" s="49" t="e">
        <v>#REF!</v>
      </c>
      <c r="AC446" s="49"/>
      <c r="AD446" s="49"/>
    </row>
    <row r="447" spans="1:30" hidden="1" x14ac:dyDescent="0.3">
      <c r="A447" s="49" t="s">
        <v>5570</v>
      </c>
      <c r="B447" s="49">
        <v>0</v>
      </c>
      <c r="C447" s="49"/>
      <c r="D447" s="72" t="s">
        <v>644</v>
      </c>
      <c r="E447" s="49" t="s">
        <v>3754</v>
      </c>
      <c r="F447" s="49"/>
      <c r="G447" s="49"/>
      <c r="H447" s="49" t="s">
        <v>5571</v>
      </c>
      <c r="I447" s="49" t="s">
        <v>5574</v>
      </c>
      <c r="J447" s="49" t="s">
        <v>5572</v>
      </c>
      <c r="K447" s="49" t="s">
        <v>5573</v>
      </c>
      <c r="L447" s="49">
        <v>0</v>
      </c>
      <c r="M447" s="49" t="s">
        <v>4114</v>
      </c>
      <c r="N447" s="49" t="s">
        <v>5575</v>
      </c>
      <c r="P447" s="49" t="s">
        <v>5576</v>
      </c>
      <c r="Q447" s="49">
        <v>0</v>
      </c>
      <c r="R447" s="49" t="s">
        <v>5577</v>
      </c>
      <c r="S447" s="49" t="s">
        <v>5578</v>
      </c>
      <c r="T447" s="49" t="s">
        <v>5579</v>
      </c>
      <c r="U447" s="49" t="s">
        <v>655</v>
      </c>
      <c r="V447" s="49" t="e">
        <v>#REF!</v>
      </c>
      <c r="AC447" s="49"/>
      <c r="AD447" s="49"/>
    </row>
    <row r="448" spans="1:30" hidden="1" x14ac:dyDescent="0.3">
      <c r="A448" s="49" t="s">
        <v>5580</v>
      </c>
      <c r="B448" s="49">
        <v>0</v>
      </c>
      <c r="C448" s="49"/>
      <c r="D448" s="72" t="s">
        <v>644</v>
      </c>
      <c r="E448" s="49" t="s">
        <v>3754</v>
      </c>
      <c r="F448" s="49"/>
      <c r="G448" s="49"/>
      <c r="H448" s="49" t="s">
        <v>5581</v>
      </c>
      <c r="I448" s="49" t="s">
        <v>5584</v>
      </c>
      <c r="J448" s="49" t="s">
        <v>5582</v>
      </c>
      <c r="K448" s="49" t="s">
        <v>5583</v>
      </c>
      <c r="L448" s="49">
        <v>0</v>
      </c>
      <c r="M448" s="49" t="s">
        <v>4084</v>
      </c>
      <c r="N448" s="49" t="s">
        <v>5585</v>
      </c>
      <c r="O448" s="49">
        <v>33</v>
      </c>
      <c r="P448" s="49" t="s">
        <v>5586</v>
      </c>
      <c r="Q448" s="49">
        <v>0</v>
      </c>
      <c r="R448" s="49" t="s">
        <v>5587</v>
      </c>
      <c r="S448" s="49" t="s">
        <v>5588</v>
      </c>
      <c r="T448" s="49" t="s">
        <v>5589</v>
      </c>
      <c r="U448" s="49" t="s">
        <v>791</v>
      </c>
      <c r="V448" s="49" t="e">
        <v>#REF!</v>
      </c>
      <c r="AC448" s="49"/>
      <c r="AD448" s="49"/>
    </row>
    <row r="449" spans="1:30" hidden="1" x14ac:dyDescent="0.3">
      <c r="A449" s="49" t="s">
        <v>5590</v>
      </c>
      <c r="B449" s="49">
        <v>0</v>
      </c>
      <c r="C449" s="49"/>
      <c r="D449" s="72" t="s">
        <v>644</v>
      </c>
      <c r="E449" s="49" t="s">
        <v>3754</v>
      </c>
      <c r="F449" s="49"/>
      <c r="G449" s="49"/>
      <c r="H449" s="49" t="s">
        <v>5591</v>
      </c>
      <c r="I449" s="49" t="s">
        <v>5594</v>
      </c>
      <c r="J449" s="49" t="s">
        <v>5592</v>
      </c>
      <c r="K449" s="49" t="s">
        <v>5593</v>
      </c>
      <c r="L449" s="49">
        <v>0</v>
      </c>
      <c r="M449" s="49" t="s">
        <v>2484</v>
      </c>
      <c r="N449" s="49" t="s">
        <v>3771</v>
      </c>
      <c r="O449" s="49">
        <v>3</v>
      </c>
      <c r="P449" s="49" t="s">
        <v>5595</v>
      </c>
      <c r="Q449" s="49">
        <v>0</v>
      </c>
      <c r="R449" s="49" t="s">
        <v>5596</v>
      </c>
      <c r="S449" s="49" t="s">
        <v>5597</v>
      </c>
      <c r="T449" s="49" t="s">
        <v>646</v>
      </c>
      <c r="U449" s="49" t="s">
        <v>655</v>
      </c>
      <c r="V449" s="49" t="e">
        <v>#REF!</v>
      </c>
      <c r="AC449" s="49"/>
      <c r="AD449" s="49"/>
    </row>
    <row r="450" spans="1:30" hidden="1" x14ac:dyDescent="0.3">
      <c r="A450" s="49" t="s">
        <v>5598</v>
      </c>
      <c r="B450" s="49">
        <v>0</v>
      </c>
      <c r="C450" s="49"/>
      <c r="D450" s="72" t="s">
        <v>644</v>
      </c>
      <c r="E450" s="49" t="s">
        <v>3754</v>
      </c>
      <c r="F450" s="49"/>
      <c r="G450" s="49"/>
      <c r="H450" s="49" t="s">
        <v>646</v>
      </c>
      <c r="I450" s="49" t="s">
        <v>826</v>
      </c>
      <c r="J450" s="49" t="s">
        <v>827</v>
      </c>
      <c r="K450" s="49" t="s">
        <v>5599</v>
      </c>
      <c r="L450" s="49">
        <v>0</v>
      </c>
      <c r="M450" s="49" t="s">
        <v>5600</v>
      </c>
      <c r="N450" s="49" t="s">
        <v>5601</v>
      </c>
      <c r="O450" s="49">
        <v>6</v>
      </c>
      <c r="P450" s="49" t="s">
        <v>5602</v>
      </c>
      <c r="Q450" s="49">
        <v>0</v>
      </c>
      <c r="R450" s="49" t="s">
        <v>646</v>
      </c>
      <c r="S450" s="49" t="s">
        <v>646</v>
      </c>
      <c r="T450" s="49" t="s">
        <v>646</v>
      </c>
      <c r="U450" s="49" t="s">
        <v>655</v>
      </c>
      <c r="V450" s="49" t="e">
        <v>#REF!</v>
      </c>
      <c r="AC450" s="49"/>
      <c r="AD450" s="49"/>
    </row>
    <row r="451" spans="1:30" hidden="1" x14ac:dyDescent="0.3">
      <c r="A451" s="49" t="s">
        <v>5603</v>
      </c>
      <c r="B451" s="49">
        <v>0</v>
      </c>
      <c r="C451" s="49"/>
      <c r="D451" s="72" t="s">
        <v>644</v>
      </c>
      <c r="E451" s="49" t="s">
        <v>3754</v>
      </c>
      <c r="F451" s="49"/>
      <c r="G451" s="49"/>
      <c r="H451" s="49" t="s">
        <v>5604</v>
      </c>
      <c r="I451" s="49" t="s">
        <v>5607</v>
      </c>
      <c r="J451" s="49" t="s">
        <v>5605</v>
      </c>
      <c r="K451" s="49" t="s">
        <v>5606</v>
      </c>
      <c r="L451" s="49">
        <v>0</v>
      </c>
      <c r="M451" s="49" t="s">
        <v>1826</v>
      </c>
      <c r="N451" s="49" t="s">
        <v>5608</v>
      </c>
      <c r="O451" s="49">
        <v>3</v>
      </c>
      <c r="P451" s="49" t="s">
        <v>5609</v>
      </c>
      <c r="Q451" s="49">
        <v>0</v>
      </c>
      <c r="R451" s="49" t="s">
        <v>5610</v>
      </c>
      <c r="S451" s="49" t="s">
        <v>5611</v>
      </c>
      <c r="T451" s="49" t="s">
        <v>646</v>
      </c>
      <c r="U451" s="49" t="s">
        <v>670</v>
      </c>
      <c r="V451" s="49" t="e">
        <v>#REF!</v>
      </c>
      <c r="AC451" s="49"/>
      <c r="AD451" s="49"/>
    </row>
    <row r="452" spans="1:30" hidden="1" x14ac:dyDescent="0.3">
      <c r="A452" s="49" t="s">
        <v>5612</v>
      </c>
      <c r="B452" s="49">
        <v>0</v>
      </c>
      <c r="C452" s="49"/>
      <c r="D452" s="72" t="s">
        <v>644</v>
      </c>
      <c r="E452" s="49" t="s">
        <v>3754</v>
      </c>
      <c r="F452" s="49"/>
      <c r="G452" s="49"/>
      <c r="H452" s="49" t="s">
        <v>5613</v>
      </c>
      <c r="I452" s="49" t="s">
        <v>5616</v>
      </c>
      <c r="J452" s="49" t="s">
        <v>5614</v>
      </c>
      <c r="K452" s="49" t="s">
        <v>5615</v>
      </c>
      <c r="L452" s="49">
        <v>0</v>
      </c>
      <c r="M452" s="49" t="s">
        <v>1826</v>
      </c>
      <c r="N452" s="49" t="s">
        <v>2123</v>
      </c>
      <c r="O452" s="49">
        <v>45</v>
      </c>
      <c r="P452" s="49" t="s">
        <v>5617</v>
      </c>
      <c r="Q452" s="49">
        <v>0</v>
      </c>
      <c r="R452" s="49" t="s">
        <v>5618</v>
      </c>
      <c r="S452" s="49" t="s">
        <v>5619</v>
      </c>
      <c r="T452" s="49" t="s">
        <v>5620</v>
      </c>
      <c r="U452" s="49" t="s">
        <v>655</v>
      </c>
      <c r="V452" s="49" t="e">
        <v>#REF!</v>
      </c>
      <c r="AC452" s="49"/>
      <c r="AD452" s="49"/>
    </row>
    <row r="453" spans="1:30" hidden="1" x14ac:dyDescent="0.3">
      <c r="A453" s="49" t="s">
        <v>5621</v>
      </c>
      <c r="B453" s="49">
        <v>0</v>
      </c>
      <c r="C453" s="49"/>
      <c r="D453" s="72" t="s">
        <v>644</v>
      </c>
      <c r="E453" s="49" t="s">
        <v>3754</v>
      </c>
      <c r="F453" s="49"/>
      <c r="G453" s="49"/>
      <c r="H453" s="49" t="s">
        <v>5622</v>
      </c>
      <c r="I453" s="49" t="s">
        <v>5625</v>
      </c>
      <c r="J453" s="49" t="s">
        <v>5623</v>
      </c>
      <c r="K453" s="49" t="s">
        <v>5624</v>
      </c>
      <c r="L453" s="49">
        <v>0</v>
      </c>
      <c r="M453" s="49" t="s">
        <v>2484</v>
      </c>
      <c r="N453" s="49" t="s">
        <v>5626</v>
      </c>
      <c r="O453" s="49">
        <v>8</v>
      </c>
      <c r="P453" s="49" t="s">
        <v>5627</v>
      </c>
      <c r="Q453" s="49">
        <v>0</v>
      </c>
      <c r="R453" s="49" t="s">
        <v>5628</v>
      </c>
      <c r="S453" s="49" t="s">
        <v>5629</v>
      </c>
      <c r="T453" s="49" t="s">
        <v>5630</v>
      </c>
      <c r="U453" s="49" t="s">
        <v>655</v>
      </c>
      <c r="V453" s="49" t="e">
        <v>#REF!</v>
      </c>
      <c r="AC453" s="49"/>
      <c r="AD453" s="49"/>
    </row>
    <row r="454" spans="1:30" hidden="1" x14ac:dyDescent="0.3">
      <c r="A454" s="49" t="s">
        <v>5631</v>
      </c>
      <c r="B454" s="49">
        <v>0</v>
      </c>
      <c r="C454" s="49"/>
      <c r="D454" s="72" t="s">
        <v>644</v>
      </c>
      <c r="E454" s="49" t="s">
        <v>3754</v>
      </c>
      <c r="F454" s="49"/>
      <c r="G454" s="49"/>
      <c r="H454" s="49" t="s">
        <v>5632</v>
      </c>
      <c r="I454" s="49" t="s">
        <v>5635</v>
      </c>
      <c r="J454" s="49" t="s">
        <v>5633</v>
      </c>
      <c r="K454" s="49" t="s">
        <v>5634</v>
      </c>
      <c r="L454" s="49">
        <v>0</v>
      </c>
      <c r="M454" s="49" t="s">
        <v>1826</v>
      </c>
      <c r="N454" s="49" t="s">
        <v>5636</v>
      </c>
      <c r="O454" s="49">
        <v>68</v>
      </c>
      <c r="P454" s="49" t="s">
        <v>5637</v>
      </c>
      <c r="Q454" s="49">
        <v>0</v>
      </c>
      <c r="R454" s="49" t="s">
        <v>5638</v>
      </c>
      <c r="S454" s="49" t="s">
        <v>5639</v>
      </c>
      <c r="T454" s="49" t="s">
        <v>646</v>
      </c>
      <c r="U454" s="49" t="s">
        <v>670</v>
      </c>
      <c r="V454" s="49" t="e">
        <v>#REF!</v>
      </c>
      <c r="AC454" s="49"/>
      <c r="AD454" s="49"/>
    </row>
    <row r="455" spans="1:30" hidden="1" x14ac:dyDescent="0.3">
      <c r="A455" s="49" t="s">
        <v>5640</v>
      </c>
      <c r="B455" s="49">
        <v>0</v>
      </c>
      <c r="C455" s="49"/>
      <c r="D455" s="72" t="s">
        <v>644</v>
      </c>
      <c r="E455" s="49" t="s">
        <v>3754</v>
      </c>
      <c r="F455" s="49"/>
      <c r="G455" s="49"/>
      <c r="H455" s="49" t="s">
        <v>5641</v>
      </c>
      <c r="I455" s="49" t="s">
        <v>5644</v>
      </c>
      <c r="J455" s="49" t="s">
        <v>5642</v>
      </c>
      <c r="K455" s="49" t="s">
        <v>5643</v>
      </c>
      <c r="L455" s="49">
        <v>0</v>
      </c>
      <c r="M455" s="49" t="s">
        <v>1826</v>
      </c>
      <c r="N455" s="49" t="s">
        <v>5645</v>
      </c>
      <c r="O455" s="49">
        <v>3</v>
      </c>
      <c r="P455" s="49" t="s">
        <v>5646</v>
      </c>
      <c r="Q455" s="49">
        <v>0</v>
      </c>
      <c r="R455" s="49" t="s">
        <v>5647</v>
      </c>
      <c r="S455" s="49" t="s">
        <v>5648</v>
      </c>
      <c r="T455" s="49" t="s">
        <v>5649</v>
      </c>
      <c r="U455" s="49" t="s">
        <v>670</v>
      </c>
      <c r="V455" s="49" t="e">
        <v>#REF!</v>
      </c>
      <c r="AC455" s="49"/>
      <c r="AD455" s="49"/>
    </row>
    <row r="456" spans="1:30" hidden="1" x14ac:dyDescent="0.3">
      <c r="A456" s="49" t="s">
        <v>5650</v>
      </c>
      <c r="B456" s="49">
        <v>0</v>
      </c>
      <c r="C456" s="49"/>
      <c r="D456" s="72" t="s">
        <v>644</v>
      </c>
      <c r="E456" s="49" t="s">
        <v>3754</v>
      </c>
      <c r="F456" s="49"/>
      <c r="G456" s="49"/>
      <c r="H456" s="49" t="s">
        <v>5651</v>
      </c>
      <c r="I456" s="49" t="s">
        <v>5654</v>
      </c>
      <c r="J456" s="49" t="s">
        <v>5652</v>
      </c>
      <c r="K456" s="49" t="s">
        <v>5653</v>
      </c>
      <c r="L456" s="49">
        <v>0</v>
      </c>
      <c r="M456" s="49" t="s">
        <v>4701</v>
      </c>
      <c r="N456" s="49" t="s">
        <v>5655</v>
      </c>
      <c r="O456" s="49">
        <v>1235</v>
      </c>
      <c r="P456" s="49" t="s">
        <v>5656</v>
      </c>
      <c r="Q456" s="49">
        <v>0</v>
      </c>
      <c r="R456" s="49" t="s">
        <v>5657</v>
      </c>
      <c r="S456" s="49" t="s">
        <v>5658</v>
      </c>
      <c r="T456" s="49" t="s">
        <v>646</v>
      </c>
      <c r="U456" s="49" t="s">
        <v>655</v>
      </c>
      <c r="V456" s="49" t="e">
        <v>#REF!</v>
      </c>
      <c r="AC456" s="49"/>
      <c r="AD456" s="49"/>
    </row>
    <row r="457" spans="1:30" hidden="1" x14ac:dyDescent="0.3">
      <c r="A457" s="49" t="s">
        <v>5659</v>
      </c>
      <c r="B457" s="49">
        <v>0</v>
      </c>
      <c r="C457" s="49"/>
      <c r="D457" s="72" t="s">
        <v>644</v>
      </c>
      <c r="E457" s="49" t="s">
        <v>3754</v>
      </c>
      <c r="F457" s="49"/>
      <c r="G457" s="49"/>
      <c r="H457" s="49" t="s">
        <v>5660</v>
      </c>
      <c r="I457" s="49" t="s">
        <v>5663</v>
      </c>
      <c r="J457" s="49" t="s">
        <v>5661</v>
      </c>
      <c r="K457" s="49" t="s">
        <v>5662</v>
      </c>
      <c r="L457" s="49">
        <v>0</v>
      </c>
      <c r="M457" s="49" t="s">
        <v>1826</v>
      </c>
      <c r="N457" s="49" t="s">
        <v>818</v>
      </c>
      <c r="O457" s="49">
        <v>9</v>
      </c>
      <c r="P457" s="49" t="s">
        <v>5664</v>
      </c>
      <c r="Q457" s="49">
        <v>0</v>
      </c>
      <c r="R457" s="49" t="s">
        <v>5665</v>
      </c>
      <c r="S457" s="49" t="s">
        <v>5666</v>
      </c>
      <c r="T457" s="49" t="s">
        <v>5667</v>
      </c>
      <c r="U457" s="49" t="s">
        <v>670</v>
      </c>
      <c r="V457" s="49" t="e">
        <v>#REF!</v>
      </c>
      <c r="AC457" s="49"/>
      <c r="AD457" s="49"/>
    </row>
    <row r="458" spans="1:30" hidden="1" x14ac:dyDescent="0.3">
      <c r="A458" s="49" t="s">
        <v>5668</v>
      </c>
      <c r="B458" s="49">
        <v>0</v>
      </c>
      <c r="C458" s="49"/>
      <c r="D458" s="72" t="s">
        <v>644</v>
      </c>
      <c r="E458" s="49" t="s">
        <v>3754</v>
      </c>
      <c r="F458" s="49"/>
      <c r="G458" s="49"/>
      <c r="H458" s="49" t="s">
        <v>646</v>
      </c>
      <c r="I458" s="49" t="s">
        <v>5671</v>
      </c>
      <c r="J458" s="49" t="s">
        <v>5669</v>
      </c>
      <c r="K458" s="49" t="s">
        <v>5670</v>
      </c>
      <c r="L458" s="49">
        <v>0</v>
      </c>
      <c r="M458" s="49" t="s">
        <v>4103</v>
      </c>
      <c r="N458" s="49" t="s">
        <v>5672</v>
      </c>
      <c r="O458" s="49">
        <v>9</v>
      </c>
      <c r="P458" s="49" t="s">
        <v>5673</v>
      </c>
      <c r="Q458" s="49">
        <v>0</v>
      </c>
      <c r="R458" s="49" t="s">
        <v>5674</v>
      </c>
      <c r="S458" s="49" t="s">
        <v>5675</v>
      </c>
      <c r="T458" s="49" t="s">
        <v>5676</v>
      </c>
      <c r="U458" s="49" t="s">
        <v>670</v>
      </c>
      <c r="V458" s="49" t="e">
        <v>#REF!</v>
      </c>
      <c r="AC458" s="49"/>
      <c r="AD458" s="49"/>
    </row>
    <row r="459" spans="1:30" hidden="1" x14ac:dyDescent="0.3">
      <c r="A459" s="49" t="s">
        <v>5677</v>
      </c>
      <c r="B459" s="49">
        <v>0</v>
      </c>
      <c r="C459" s="49"/>
      <c r="D459" s="72" t="s">
        <v>644</v>
      </c>
      <c r="E459" s="49" t="s">
        <v>3754</v>
      </c>
      <c r="F459" s="49"/>
      <c r="G459" s="49"/>
      <c r="H459" s="49" t="s">
        <v>5678</v>
      </c>
      <c r="I459" s="49" t="s">
        <v>5681</v>
      </c>
      <c r="J459" s="49" t="s">
        <v>5679</v>
      </c>
      <c r="K459" s="49" t="s">
        <v>5680</v>
      </c>
      <c r="L459" s="49">
        <v>0</v>
      </c>
      <c r="M459" s="49" t="s">
        <v>2142</v>
      </c>
      <c r="N459" s="49" t="s">
        <v>708</v>
      </c>
      <c r="O459" s="49">
        <v>8</v>
      </c>
      <c r="P459" s="49" t="s">
        <v>5682</v>
      </c>
      <c r="Q459" s="49">
        <v>0</v>
      </c>
      <c r="R459" s="49" t="s">
        <v>5683</v>
      </c>
      <c r="S459" s="49" t="s">
        <v>5684</v>
      </c>
      <c r="T459" s="49" t="s">
        <v>5685</v>
      </c>
      <c r="U459" s="49" t="s">
        <v>655</v>
      </c>
      <c r="V459" s="49" t="e">
        <v>#REF!</v>
      </c>
      <c r="AC459" s="49"/>
      <c r="AD459" s="49"/>
    </row>
    <row r="460" spans="1:30" hidden="1" x14ac:dyDescent="0.3">
      <c r="A460" s="49" t="s">
        <v>5686</v>
      </c>
      <c r="B460" s="49">
        <v>0</v>
      </c>
      <c r="C460" s="49"/>
      <c r="D460" s="72" t="s">
        <v>644</v>
      </c>
      <c r="E460" s="49" t="s">
        <v>3754</v>
      </c>
      <c r="F460" s="49"/>
      <c r="G460" s="49"/>
      <c r="H460" s="49" t="s">
        <v>646</v>
      </c>
      <c r="I460" s="49" t="s">
        <v>5689</v>
      </c>
      <c r="J460" s="49" t="s">
        <v>5687</v>
      </c>
      <c r="K460" s="49" t="s">
        <v>5688</v>
      </c>
      <c r="L460" s="49">
        <v>0</v>
      </c>
      <c r="M460" s="49" t="s">
        <v>1817</v>
      </c>
      <c r="N460" s="49" t="s">
        <v>5690</v>
      </c>
      <c r="P460" s="49" t="s">
        <v>5691</v>
      </c>
      <c r="Q460" s="49">
        <v>0</v>
      </c>
      <c r="R460" s="49" t="s">
        <v>5692</v>
      </c>
      <c r="S460" s="49" t="s">
        <v>5693</v>
      </c>
      <c r="T460" s="49" t="s">
        <v>5694</v>
      </c>
      <c r="U460" s="49" t="s">
        <v>655</v>
      </c>
      <c r="V460" s="49" t="e">
        <v>#REF!</v>
      </c>
      <c r="AC460" s="49"/>
      <c r="AD460" s="49"/>
    </row>
    <row r="461" spans="1:30" hidden="1" x14ac:dyDescent="0.3">
      <c r="A461" s="49" t="s">
        <v>5695</v>
      </c>
      <c r="B461" s="49">
        <v>0</v>
      </c>
      <c r="C461" s="49"/>
      <c r="D461" s="72" t="s">
        <v>644</v>
      </c>
      <c r="E461" s="49" t="s">
        <v>3754</v>
      </c>
      <c r="F461" s="49"/>
      <c r="G461" s="49"/>
      <c r="H461" s="49" t="s">
        <v>5696</v>
      </c>
      <c r="I461" s="49" t="s">
        <v>5699</v>
      </c>
      <c r="J461" s="49" t="s">
        <v>5697</v>
      </c>
      <c r="K461" s="49" t="s">
        <v>5698</v>
      </c>
      <c r="L461" s="49">
        <v>0</v>
      </c>
      <c r="M461" s="49" t="s">
        <v>2484</v>
      </c>
      <c r="N461" s="49" t="s">
        <v>5700</v>
      </c>
      <c r="O461" s="49">
        <v>1</v>
      </c>
      <c r="P461" s="49" t="s">
        <v>5701</v>
      </c>
      <c r="Q461" s="49">
        <v>0</v>
      </c>
      <c r="R461" s="49" t="s">
        <v>5702</v>
      </c>
      <c r="S461" s="49" t="s">
        <v>5703</v>
      </c>
      <c r="T461" s="49" t="s">
        <v>646</v>
      </c>
      <c r="U461" s="49" t="s">
        <v>655</v>
      </c>
      <c r="V461" s="49" t="e">
        <v>#REF!</v>
      </c>
      <c r="AC461" s="49"/>
      <c r="AD461" s="49"/>
    </row>
    <row r="462" spans="1:30" hidden="1" x14ac:dyDescent="0.3">
      <c r="A462" s="49" t="s">
        <v>5704</v>
      </c>
      <c r="B462" s="49">
        <v>0</v>
      </c>
      <c r="C462" s="49"/>
      <c r="D462" s="72" t="s">
        <v>644</v>
      </c>
      <c r="E462" s="49" t="s">
        <v>3754</v>
      </c>
      <c r="F462" s="49"/>
      <c r="G462" s="49"/>
      <c r="H462" s="49" t="s">
        <v>5705</v>
      </c>
      <c r="I462" s="49" t="s">
        <v>5708</v>
      </c>
      <c r="J462" s="49" t="s">
        <v>5706</v>
      </c>
      <c r="K462" s="49" t="s">
        <v>5707</v>
      </c>
      <c r="L462" s="49">
        <v>0</v>
      </c>
      <c r="M462" s="49" t="s">
        <v>2142</v>
      </c>
      <c r="N462" s="49" t="s">
        <v>5178</v>
      </c>
      <c r="O462" s="49">
        <v>83</v>
      </c>
      <c r="P462" s="49" t="s">
        <v>5709</v>
      </c>
      <c r="Q462" s="49">
        <v>0</v>
      </c>
      <c r="R462" s="49" t="s">
        <v>5710</v>
      </c>
      <c r="S462" s="49" t="s">
        <v>5711</v>
      </c>
      <c r="T462" s="49" t="s">
        <v>5712</v>
      </c>
      <c r="U462" s="49" t="s">
        <v>670</v>
      </c>
      <c r="V462" s="49" t="e">
        <v>#REF!</v>
      </c>
      <c r="AC462" s="49"/>
      <c r="AD462" s="49"/>
    </row>
    <row r="463" spans="1:30" hidden="1" x14ac:dyDescent="0.3">
      <c r="A463" s="49" t="s">
        <v>5713</v>
      </c>
      <c r="B463" s="49">
        <v>0</v>
      </c>
      <c r="C463" s="49"/>
      <c r="D463" s="72" t="s">
        <v>644</v>
      </c>
      <c r="E463" s="49" t="s">
        <v>3754</v>
      </c>
      <c r="F463" s="49"/>
      <c r="G463" s="49"/>
      <c r="H463" s="49" t="s">
        <v>5714</v>
      </c>
      <c r="I463" s="49" t="s">
        <v>5717</v>
      </c>
      <c r="J463" s="49" t="s">
        <v>5715</v>
      </c>
      <c r="K463" s="49" t="s">
        <v>5716</v>
      </c>
      <c r="L463" s="49">
        <v>0</v>
      </c>
      <c r="M463" s="49" t="s">
        <v>3570</v>
      </c>
      <c r="N463" s="49" t="s">
        <v>927</v>
      </c>
      <c r="O463" s="49">
        <v>29</v>
      </c>
      <c r="P463" s="49" t="s">
        <v>5718</v>
      </c>
      <c r="Q463" s="49">
        <v>0</v>
      </c>
      <c r="R463" s="49" t="s">
        <v>5719</v>
      </c>
      <c r="S463" s="49" t="s">
        <v>5720</v>
      </c>
      <c r="T463" s="49" t="s">
        <v>5721</v>
      </c>
      <c r="U463" s="49" t="s">
        <v>655</v>
      </c>
      <c r="V463" s="49" t="e">
        <v>#REF!</v>
      </c>
      <c r="AC463" s="49"/>
      <c r="AD463" s="49"/>
    </row>
    <row r="464" spans="1:30" hidden="1" x14ac:dyDescent="0.3">
      <c r="A464" s="49" t="s">
        <v>5722</v>
      </c>
      <c r="B464" s="49">
        <v>0</v>
      </c>
      <c r="C464" s="49"/>
      <c r="D464" s="72" t="s">
        <v>644</v>
      </c>
      <c r="E464" s="49" t="s">
        <v>3754</v>
      </c>
      <c r="F464" s="49"/>
      <c r="G464" s="49"/>
      <c r="H464" s="49" t="s">
        <v>646</v>
      </c>
      <c r="I464" s="49" t="s">
        <v>5725</v>
      </c>
      <c r="J464" s="49" t="s">
        <v>5723</v>
      </c>
      <c r="K464" s="49" t="s">
        <v>5724</v>
      </c>
      <c r="L464" s="49">
        <v>0</v>
      </c>
      <c r="M464" s="49" t="s">
        <v>1865</v>
      </c>
      <c r="N464" s="49" t="s">
        <v>5726</v>
      </c>
      <c r="O464" s="49">
        <v>1</v>
      </c>
      <c r="P464" s="49" t="s">
        <v>5727</v>
      </c>
      <c r="Q464" s="49">
        <v>0</v>
      </c>
      <c r="R464" s="49" t="s">
        <v>5728</v>
      </c>
      <c r="S464" s="49" t="s">
        <v>5729</v>
      </c>
      <c r="T464" s="49" t="s">
        <v>646</v>
      </c>
      <c r="U464" s="49" t="s">
        <v>655</v>
      </c>
      <c r="V464" s="49" t="e">
        <v>#REF!</v>
      </c>
      <c r="AC464" s="49"/>
      <c r="AD464" s="49"/>
    </row>
    <row r="465" spans="1:30" hidden="1" x14ac:dyDescent="0.3">
      <c r="A465" s="49" t="s">
        <v>5730</v>
      </c>
      <c r="B465" s="49">
        <v>0</v>
      </c>
      <c r="C465" s="49"/>
      <c r="D465" s="72" t="s">
        <v>644</v>
      </c>
      <c r="E465" s="49" t="s">
        <v>3754</v>
      </c>
      <c r="F465" s="49"/>
      <c r="G465" s="49"/>
      <c r="H465" s="49" t="s">
        <v>5731</v>
      </c>
      <c r="I465" s="49" t="s">
        <v>5734</v>
      </c>
      <c r="J465" s="49" t="s">
        <v>5732</v>
      </c>
      <c r="K465" s="49" t="s">
        <v>5733</v>
      </c>
      <c r="L465" s="49">
        <v>0</v>
      </c>
      <c r="M465" s="49" t="s">
        <v>1826</v>
      </c>
      <c r="N465" s="49" t="s">
        <v>1340</v>
      </c>
      <c r="O465" s="49">
        <v>1</v>
      </c>
      <c r="P465" s="49" t="s">
        <v>5735</v>
      </c>
      <c r="Q465" s="49">
        <v>0</v>
      </c>
      <c r="R465" s="49" t="s">
        <v>5736</v>
      </c>
      <c r="S465" s="49" t="s">
        <v>5737</v>
      </c>
      <c r="T465" s="49" t="s">
        <v>646</v>
      </c>
      <c r="U465" s="49" t="s">
        <v>670</v>
      </c>
      <c r="V465" s="49" t="e">
        <v>#REF!</v>
      </c>
      <c r="AC465" s="49"/>
      <c r="AD465" s="49"/>
    </row>
    <row r="466" spans="1:30" hidden="1" x14ac:dyDescent="0.3">
      <c r="A466" s="49" t="s">
        <v>5738</v>
      </c>
      <c r="B466" s="49">
        <v>0</v>
      </c>
      <c r="C466" s="49"/>
      <c r="D466" s="72" t="s">
        <v>644</v>
      </c>
      <c r="E466" s="49" t="s">
        <v>3754</v>
      </c>
      <c r="F466" s="49"/>
      <c r="G466" s="49"/>
      <c r="H466" s="49" t="s">
        <v>646</v>
      </c>
      <c r="I466" s="49" t="s">
        <v>5741</v>
      </c>
      <c r="J466" s="49" t="s">
        <v>5739</v>
      </c>
      <c r="K466" s="49" t="s">
        <v>5740</v>
      </c>
      <c r="L466" s="49">
        <v>0</v>
      </c>
      <c r="M466" s="49" t="s">
        <v>4114</v>
      </c>
      <c r="N466" s="49" t="s">
        <v>3543</v>
      </c>
      <c r="O466" s="49">
        <v>6</v>
      </c>
      <c r="P466" s="49" t="s">
        <v>5742</v>
      </c>
      <c r="Q466" s="49">
        <v>0</v>
      </c>
      <c r="R466" s="49" t="s">
        <v>5743</v>
      </c>
      <c r="S466" s="49" t="s">
        <v>5744</v>
      </c>
      <c r="T466" s="49" t="s">
        <v>646</v>
      </c>
      <c r="U466" s="49" t="s">
        <v>670</v>
      </c>
      <c r="V466" s="49" t="e">
        <v>#REF!</v>
      </c>
      <c r="AC466" s="49"/>
      <c r="AD466" s="49"/>
    </row>
    <row r="467" spans="1:30" hidden="1" x14ac:dyDescent="0.3">
      <c r="A467" s="49" t="s">
        <v>5745</v>
      </c>
      <c r="B467" s="49">
        <v>0</v>
      </c>
      <c r="C467" s="49"/>
      <c r="D467" s="72" t="s">
        <v>644</v>
      </c>
      <c r="E467" s="49" t="s">
        <v>3754</v>
      </c>
      <c r="F467" s="49"/>
      <c r="G467" s="49"/>
      <c r="H467" s="49" t="s">
        <v>5746</v>
      </c>
      <c r="I467" s="49" t="s">
        <v>5749</v>
      </c>
      <c r="J467" s="49" t="s">
        <v>5747</v>
      </c>
      <c r="K467" s="49" t="s">
        <v>5748</v>
      </c>
      <c r="L467" s="49">
        <v>0</v>
      </c>
      <c r="M467" s="49" t="s">
        <v>1826</v>
      </c>
      <c r="N467" s="49" t="s">
        <v>5750</v>
      </c>
      <c r="O467" s="49">
        <v>12</v>
      </c>
      <c r="P467" s="49" t="s">
        <v>5751</v>
      </c>
      <c r="Q467" s="49">
        <v>0</v>
      </c>
      <c r="R467" s="49" t="s">
        <v>5752</v>
      </c>
      <c r="S467" s="49" t="s">
        <v>5753</v>
      </c>
      <c r="T467" s="49" t="s">
        <v>5754</v>
      </c>
      <c r="U467" s="49" t="s">
        <v>655</v>
      </c>
      <c r="V467" s="49" t="e">
        <v>#REF!</v>
      </c>
      <c r="AC467" s="49"/>
      <c r="AD467" s="49"/>
    </row>
    <row r="468" spans="1:30" hidden="1" x14ac:dyDescent="0.3">
      <c r="A468" s="49" t="s">
        <v>5755</v>
      </c>
      <c r="B468" s="49">
        <v>0</v>
      </c>
      <c r="C468" s="49"/>
      <c r="D468" s="72" t="s">
        <v>644</v>
      </c>
      <c r="E468" s="49" t="s">
        <v>3754</v>
      </c>
      <c r="F468" s="49"/>
      <c r="G468" s="49"/>
      <c r="H468" s="49" t="s">
        <v>5756</v>
      </c>
      <c r="I468" s="49" t="s">
        <v>5759</v>
      </c>
      <c r="J468" s="49" t="s">
        <v>5757</v>
      </c>
      <c r="K468" s="49" t="s">
        <v>5758</v>
      </c>
      <c r="L468" s="49">
        <v>0</v>
      </c>
      <c r="M468" s="49" t="s">
        <v>2636</v>
      </c>
      <c r="N468" s="49" t="s">
        <v>5760</v>
      </c>
      <c r="P468" s="49" t="s">
        <v>5761</v>
      </c>
      <c r="Q468" s="49">
        <v>0</v>
      </c>
      <c r="R468" s="49" t="s">
        <v>5762</v>
      </c>
      <c r="S468" s="49" t="s">
        <v>5763</v>
      </c>
      <c r="T468" s="49" t="s">
        <v>5764</v>
      </c>
      <c r="U468" s="49" t="s">
        <v>670</v>
      </c>
      <c r="V468" s="49" t="e">
        <v>#REF!</v>
      </c>
      <c r="AC468" s="49"/>
      <c r="AD468" s="49"/>
    </row>
    <row r="469" spans="1:30" hidden="1" x14ac:dyDescent="0.3">
      <c r="A469" s="49" t="s">
        <v>5765</v>
      </c>
      <c r="B469" s="49">
        <v>0</v>
      </c>
      <c r="C469" s="49"/>
      <c r="D469" s="72" t="s">
        <v>644</v>
      </c>
      <c r="E469" s="49" t="s">
        <v>3754</v>
      </c>
      <c r="F469" s="49"/>
      <c r="G469" s="49"/>
      <c r="H469" s="49" t="s">
        <v>5766</v>
      </c>
      <c r="I469" s="49" t="s">
        <v>5769</v>
      </c>
      <c r="J469" s="49" t="s">
        <v>5767</v>
      </c>
      <c r="K469" s="49" t="s">
        <v>5768</v>
      </c>
      <c r="L469" s="49">
        <v>0</v>
      </c>
      <c r="M469" s="49" t="s">
        <v>1826</v>
      </c>
      <c r="N469" s="49" t="s">
        <v>5770</v>
      </c>
      <c r="O469" s="49">
        <v>1</v>
      </c>
      <c r="P469" s="49" t="s">
        <v>5771</v>
      </c>
      <c r="Q469" s="49">
        <v>0</v>
      </c>
      <c r="R469" s="49" t="s">
        <v>5772</v>
      </c>
      <c r="S469" s="49" t="s">
        <v>5773</v>
      </c>
      <c r="T469" s="49" t="s">
        <v>646</v>
      </c>
      <c r="U469" s="49" t="s">
        <v>655</v>
      </c>
      <c r="V469" s="49" t="e">
        <v>#REF!</v>
      </c>
      <c r="AC469" s="49"/>
      <c r="AD469" s="49"/>
    </row>
    <row r="470" spans="1:30" hidden="1" x14ac:dyDescent="0.3">
      <c r="A470" s="49" t="s">
        <v>5774</v>
      </c>
      <c r="B470" s="49">
        <v>0</v>
      </c>
      <c r="C470" s="49"/>
      <c r="D470" s="72" t="s">
        <v>644</v>
      </c>
      <c r="E470" s="49" t="s">
        <v>3754</v>
      </c>
      <c r="F470" s="49"/>
      <c r="G470" s="49"/>
      <c r="H470" s="49" t="s">
        <v>5775</v>
      </c>
      <c r="I470" s="49" t="s">
        <v>5778</v>
      </c>
      <c r="J470" s="49" t="s">
        <v>5776</v>
      </c>
      <c r="K470" s="49" t="s">
        <v>5777</v>
      </c>
      <c r="L470" s="49">
        <v>0</v>
      </c>
      <c r="M470" s="49" t="s">
        <v>1865</v>
      </c>
      <c r="N470" s="49" t="s">
        <v>5779</v>
      </c>
      <c r="O470" s="49">
        <v>1</v>
      </c>
      <c r="P470" s="49" t="s">
        <v>5780</v>
      </c>
      <c r="Q470" s="49">
        <v>0</v>
      </c>
      <c r="R470" s="49" t="s">
        <v>5781</v>
      </c>
      <c r="S470" s="49" t="s">
        <v>5782</v>
      </c>
      <c r="T470" s="49" t="s">
        <v>5783</v>
      </c>
      <c r="U470" s="49" t="s">
        <v>655</v>
      </c>
      <c r="V470" s="49" t="e">
        <v>#REF!</v>
      </c>
      <c r="AC470" s="49"/>
      <c r="AD470" s="49"/>
    </row>
    <row r="471" spans="1:30" hidden="1" x14ac:dyDescent="0.3">
      <c r="A471" s="49" t="s">
        <v>5784</v>
      </c>
      <c r="B471" s="49">
        <v>0</v>
      </c>
      <c r="C471" s="49"/>
      <c r="D471" s="72" t="s">
        <v>644</v>
      </c>
      <c r="E471" s="49" t="s">
        <v>3754</v>
      </c>
      <c r="F471" s="49"/>
      <c r="G471" s="49"/>
      <c r="H471" s="49" t="s">
        <v>646</v>
      </c>
      <c r="I471" s="49" t="s">
        <v>5787</v>
      </c>
      <c r="J471" s="49" t="s">
        <v>5785</v>
      </c>
      <c r="K471" s="49" t="s">
        <v>5786</v>
      </c>
      <c r="L471" s="49">
        <v>0</v>
      </c>
      <c r="M471" s="49" t="s">
        <v>1817</v>
      </c>
      <c r="N471" s="49" t="s">
        <v>5788</v>
      </c>
      <c r="O471" s="49">
        <v>1</v>
      </c>
      <c r="P471" s="49" t="s">
        <v>5789</v>
      </c>
      <c r="Q471" s="49">
        <v>0</v>
      </c>
      <c r="R471" s="49" t="s">
        <v>5790</v>
      </c>
      <c r="S471" s="49" t="s">
        <v>5791</v>
      </c>
      <c r="T471" s="49" t="s">
        <v>5792</v>
      </c>
      <c r="U471" s="49" t="s">
        <v>670</v>
      </c>
      <c r="V471" s="49" t="e">
        <v>#REF!</v>
      </c>
      <c r="AC471" s="49"/>
      <c r="AD471" s="49"/>
    </row>
    <row r="472" spans="1:30" hidden="1" x14ac:dyDescent="0.3">
      <c r="A472" s="49" t="s">
        <v>5793</v>
      </c>
      <c r="B472" s="49">
        <v>0</v>
      </c>
      <c r="C472" s="49"/>
      <c r="D472" s="72" t="s">
        <v>644</v>
      </c>
      <c r="E472" s="49" t="s">
        <v>3754</v>
      </c>
      <c r="F472" s="49"/>
      <c r="G472" s="49"/>
      <c r="H472" s="49" t="s">
        <v>5794</v>
      </c>
      <c r="I472" s="49" t="s">
        <v>5797</v>
      </c>
      <c r="J472" s="49" t="s">
        <v>5795</v>
      </c>
      <c r="K472" s="49" t="s">
        <v>5796</v>
      </c>
      <c r="L472" s="49">
        <v>0</v>
      </c>
      <c r="M472" s="49" t="s">
        <v>1764</v>
      </c>
      <c r="N472" s="49" t="s">
        <v>5798</v>
      </c>
      <c r="O472" s="49">
        <v>43</v>
      </c>
      <c r="P472" s="49" t="s">
        <v>5799</v>
      </c>
      <c r="Q472" s="49">
        <v>0</v>
      </c>
      <c r="R472" s="49" t="s">
        <v>5800</v>
      </c>
      <c r="S472" s="49" t="s">
        <v>5801</v>
      </c>
      <c r="T472" s="49" t="s">
        <v>5802</v>
      </c>
      <c r="U472" s="49" t="s">
        <v>655</v>
      </c>
      <c r="V472" s="49" t="e">
        <v>#REF!</v>
      </c>
      <c r="AC472" s="49"/>
      <c r="AD472" s="49"/>
    </row>
    <row r="473" spans="1:30" hidden="1" x14ac:dyDescent="0.3">
      <c r="A473" s="49" t="s">
        <v>5803</v>
      </c>
      <c r="B473" s="49">
        <v>0</v>
      </c>
      <c r="C473" s="49"/>
      <c r="D473" s="72" t="s">
        <v>644</v>
      </c>
      <c r="E473" s="49" t="s">
        <v>3754</v>
      </c>
      <c r="F473" s="49"/>
      <c r="G473" s="49"/>
      <c r="H473" s="49" t="s">
        <v>5804</v>
      </c>
      <c r="I473" s="49" t="s">
        <v>5807</v>
      </c>
      <c r="J473" s="49" t="s">
        <v>5805</v>
      </c>
      <c r="K473" s="49" t="s">
        <v>5806</v>
      </c>
      <c r="L473" s="49">
        <v>0</v>
      </c>
      <c r="M473" s="49" t="s">
        <v>2484</v>
      </c>
      <c r="N473" s="49" t="s">
        <v>5808</v>
      </c>
      <c r="O473" s="49">
        <v>1</v>
      </c>
      <c r="P473" s="49" t="s">
        <v>5809</v>
      </c>
      <c r="Q473" s="49">
        <v>0</v>
      </c>
      <c r="R473" s="49" t="s">
        <v>5810</v>
      </c>
      <c r="S473" s="49" t="s">
        <v>5811</v>
      </c>
      <c r="T473" s="49" t="s">
        <v>5812</v>
      </c>
      <c r="U473" s="49" t="s">
        <v>655</v>
      </c>
      <c r="V473" s="49" t="e">
        <v>#REF!</v>
      </c>
      <c r="AC473" s="49"/>
      <c r="AD473" s="49"/>
    </row>
    <row r="474" spans="1:30" hidden="1" x14ac:dyDescent="0.3">
      <c r="A474" s="49" t="s">
        <v>5813</v>
      </c>
      <c r="B474" s="49">
        <v>0</v>
      </c>
      <c r="C474" s="49"/>
      <c r="D474" s="72" t="s">
        <v>644</v>
      </c>
      <c r="E474" s="49" t="s">
        <v>3754</v>
      </c>
      <c r="F474" s="49"/>
      <c r="G474" s="49"/>
      <c r="H474" s="49" t="s">
        <v>5814</v>
      </c>
      <c r="I474" s="49" t="s">
        <v>5817</v>
      </c>
      <c r="J474" s="49" t="s">
        <v>5815</v>
      </c>
      <c r="K474" s="49" t="s">
        <v>5816</v>
      </c>
      <c r="L474" s="49">
        <v>0</v>
      </c>
      <c r="M474" s="49" t="s">
        <v>2456</v>
      </c>
      <c r="N474" s="49" t="s">
        <v>5818</v>
      </c>
      <c r="O474" s="49">
        <v>3</v>
      </c>
      <c r="P474" s="49" t="s">
        <v>5819</v>
      </c>
      <c r="Q474" s="49">
        <v>0</v>
      </c>
      <c r="R474" s="49" t="s">
        <v>5820</v>
      </c>
      <c r="S474" s="49" t="s">
        <v>5821</v>
      </c>
      <c r="T474" s="49" t="s">
        <v>5822</v>
      </c>
      <c r="U474" s="49" t="s">
        <v>670</v>
      </c>
      <c r="V474" s="49" t="e">
        <v>#REF!</v>
      </c>
      <c r="AC474" s="49"/>
      <c r="AD474" s="49"/>
    </row>
    <row r="475" spans="1:30" hidden="1" x14ac:dyDescent="0.3">
      <c r="A475" s="49" t="s">
        <v>5823</v>
      </c>
      <c r="B475" s="49">
        <v>0</v>
      </c>
      <c r="C475" s="49"/>
      <c r="D475" s="72" t="s">
        <v>644</v>
      </c>
      <c r="E475" s="49" t="s">
        <v>3754</v>
      </c>
      <c r="F475" s="49"/>
      <c r="G475" s="49"/>
      <c r="H475" s="49" t="s">
        <v>5824</v>
      </c>
      <c r="I475" s="49" t="s">
        <v>5827</v>
      </c>
      <c r="J475" s="49" t="s">
        <v>5825</v>
      </c>
      <c r="K475" s="49" t="s">
        <v>5826</v>
      </c>
      <c r="L475" s="49">
        <v>0</v>
      </c>
      <c r="M475" s="49" t="s">
        <v>2220</v>
      </c>
      <c r="N475" s="49" t="s">
        <v>5828</v>
      </c>
      <c r="O475" s="49">
        <v>86</v>
      </c>
      <c r="P475" s="49" t="s">
        <v>5829</v>
      </c>
      <c r="Q475" s="49">
        <v>0</v>
      </c>
      <c r="R475" s="49" t="s">
        <v>5830</v>
      </c>
      <c r="S475" s="49" t="s">
        <v>5831</v>
      </c>
      <c r="T475" s="49" t="s">
        <v>5832</v>
      </c>
      <c r="U475" s="49" t="s">
        <v>670</v>
      </c>
      <c r="V475" s="49" t="e">
        <v>#REF!</v>
      </c>
      <c r="AC475" s="49"/>
      <c r="AD475" s="49"/>
    </row>
    <row r="476" spans="1:30" hidden="1" x14ac:dyDescent="0.3">
      <c r="A476" s="49" t="s">
        <v>5833</v>
      </c>
      <c r="B476" s="49">
        <v>0</v>
      </c>
      <c r="C476" s="49"/>
      <c r="D476" s="72" t="s">
        <v>644</v>
      </c>
      <c r="E476" s="49" t="s">
        <v>3754</v>
      </c>
      <c r="F476" s="49"/>
      <c r="G476" s="49"/>
      <c r="H476" s="49" t="s">
        <v>5834</v>
      </c>
      <c r="I476" s="49" t="s">
        <v>5837</v>
      </c>
      <c r="J476" s="49" t="s">
        <v>5835</v>
      </c>
      <c r="K476" s="49" t="s">
        <v>5836</v>
      </c>
      <c r="L476" s="49">
        <v>0</v>
      </c>
      <c r="M476" s="49" t="s">
        <v>1817</v>
      </c>
      <c r="N476" s="49" t="s">
        <v>5838</v>
      </c>
      <c r="O476" s="49">
        <v>165</v>
      </c>
      <c r="P476" s="49" t="s">
        <v>5839</v>
      </c>
      <c r="Q476" s="49">
        <v>0</v>
      </c>
      <c r="R476" s="49" t="s">
        <v>5840</v>
      </c>
      <c r="S476" s="49" t="s">
        <v>5841</v>
      </c>
      <c r="T476" s="49" t="s">
        <v>5842</v>
      </c>
      <c r="U476" s="49" t="s">
        <v>670</v>
      </c>
      <c r="V476" s="49" t="e">
        <v>#REF!</v>
      </c>
      <c r="AC476" s="49"/>
      <c r="AD476" s="49"/>
    </row>
    <row r="477" spans="1:30" hidden="1" x14ac:dyDescent="0.3">
      <c r="A477" s="49" t="s">
        <v>5843</v>
      </c>
      <c r="B477" s="49">
        <v>0</v>
      </c>
      <c r="C477" s="49"/>
      <c r="D477" s="72" t="s">
        <v>644</v>
      </c>
      <c r="E477" s="49" t="s">
        <v>3754</v>
      </c>
      <c r="F477" s="49"/>
      <c r="G477" s="49"/>
      <c r="H477" s="49" t="s">
        <v>5844</v>
      </c>
      <c r="I477" s="49" t="s">
        <v>5847</v>
      </c>
      <c r="J477" s="49" t="s">
        <v>5845</v>
      </c>
      <c r="K477" s="49" t="s">
        <v>5846</v>
      </c>
      <c r="L477" s="49">
        <v>0</v>
      </c>
      <c r="M477" s="49" t="s">
        <v>2456</v>
      </c>
      <c r="N477" s="49" t="s">
        <v>4410</v>
      </c>
      <c r="O477" s="49">
        <v>21</v>
      </c>
      <c r="P477" s="49" t="s">
        <v>5848</v>
      </c>
      <c r="Q477" s="49">
        <v>0</v>
      </c>
      <c r="R477" s="49" t="s">
        <v>5849</v>
      </c>
      <c r="S477" s="49" t="s">
        <v>5850</v>
      </c>
      <c r="T477" s="49" t="s">
        <v>5851</v>
      </c>
      <c r="U477" s="49" t="s">
        <v>670</v>
      </c>
      <c r="V477" s="49" t="e">
        <v>#REF!</v>
      </c>
      <c r="AC477" s="49"/>
      <c r="AD477" s="49"/>
    </row>
    <row r="478" spans="1:30" hidden="1" x14ac:dyDescent="0.3">
      <c r="A478" s="49" t="s">
        <v>5852</v>
      </c>
      <c r="B478" s="49">
        <v>0</v>
      </c>
      <c r="C478" s="49"/>
      <c r="D478" s="72" t="s">
        <v>644</v>
      </c>
      <c r="E478" s="49" t="s">
        <v>3754</v>
      </c>
      <c r="F478" s="49"/>
      <c r="G478" s="49"/>
      <c r="H478" s="49" t="s">
        <v>646</v>
      </c>
      <c r="I478" s="49" t="s">
        <v>5855</v>
      </c>
      <c r="J478" s="49" t="s">
        <v>5853</v>
      </c>
      <c r="K478" s="49" t="s">
        <v>5854</v>
      </c>
      <c r="L478" s="49">
        <v>0</v>
      </c>
      <c r="M478" s="49" t="s">
        <v>4114</v>
      </c>
      <c r="N478" s="49" t="s">
        <v>3543</v>
      </c>
      <c r="O478" s="49">
        <v>16</v>
      </c>
      <c r="P478" s="49" t="s">
        <v>5856</v>
      </c>
      <c r="Q478" s="49">
        <v>0</v>
      </c>
      <c r="R478" s="49" t="s">
        <v>5857</v>
      </c>
      <c r="S478" s="49" t="s">
        <v>5858</v>
      </c>
      <c r="T478" s="49" t="s">
        <v>5859</v>
      </c>
      <c r="U478" s="49" t="s">
        <v>670</v>
      </c>
      <c r="V478" s="49" t="e">
        <v>#REF!</v>
      </c>
      <c r="AC478" s="49"/>
      <c r="AD478" s="49"/>
    </row>
    <row r="479" spans="1:30" hidden="1" x14ac:dyDescent="0.3">
      <c r="A479" s="49" t="s">
        <v>5860</v>
      </c>
      <c r="B479" s="49">
        <v>0</v>
      </c>
      <c r="C479" s="49"/>
      <c r="D479" s="72" t="s">
        <v>644</v>
      </c>
      <c r="E479" s="49" t="s">
        <v>3754</v>
      </c>
      <c r="F479" s="49"/>
      <c r="G479" s="49"/>
      <c r="H479" s="49" t="s">
        <v>5861</v>
      </c>
      <c r="I479" s="49" t="s">
        <v>5864</v>
      </c>
      <c r="J479" s="49" t="s">
        <v>5862</v>
      </c>
      <c r="K479" s="49" t="s">
        <v>5863</v>
      </c>
      <c r="L479" s="49">
        <v>0</v>
      </c>
      <c r="M479" s="49" t="s">
        <v>1826</v>
      </c>
      <c r="N479" s="49" t="s">
        <v>5865</v>
      </c>
      <c r="O479" s="49">
        <v>18</v>
      </c>
      <c r="P479" s="49" t="s">
        <v>5866</v>
      </c>
      <c r="Q479" s="49">
        <v>0</v>
      </c>
      <c r="R479" s="49" t="s">
        <v>5867</v>
      </c>
      <c r="S479" s="49" t="s">
        <v>5868</v>
      </c>
      <c r="T479" s="49" t="s">
        <v>5869</v>
      </c>
      <c r="U479" s="49" t="s">
        <v>655</v>
      </c>
      <c r="V479" s="49" t="e">
        <v>#REF!</v>
      </c>
      <c r="AC479" s="49"/>
      <c r="AD479" s="49"/>
    </row>
    <row r="480" spans="1:30" hidden="1" x14ac:dyDescent="0.3">
      <c r="A480" s="49" t="s">
        <v>5870</v>
      </c>
      <c r="B480" s="49">
        <v>0</v>
      </c>
      <c r="C480" s="49"/>
      <c r="D480" s="72" t="s">
        <v>644</v>
      </c>
      <c r="E480" s="49" t="s">
        <v>3754</v>
      </c>
      <c r="F480" s="49"/>
      <c r="G480" s="49"/>
      <c r="H480" s="49" t="s">
        <v>5871</v>
      </c>
      <c r="I480" s="49" t="s">
        <v>5874</v>
      </c>
      <c r="J480" s="49" t="s">
        <v>5872</v>
      </c>
      <c r="K480" s="49" t="s">
        <v>5873</v>
      </c>
      <c r="L480" s="49">
        <v>0</v>
      </c>
      <c r="M480" s="49" t="s">
        <v>1745</v>
      </c>
      <c r="N480" s="49" t="s">
        <v>5875</v>
      </c>
      <c r="O480" s="49">
        <v>10</v>
      </c>
      <c r="P480" s="49" t="s">
        <v>5876</v>
      </c>
      <c r="Q480" s="49">
        <v>0</v>
      </c>
      <c r="R480" s="49" t="s">
        <v>5877</v>
      </c>
      <c r="S480" s="49" t="s">
        <v>5878</v>
      </c>
      <c r="T480" s="49" t="s">
        <v>5879</v>
      </c>
      <c r="U480" s="49" t="s">
        <v>655</v>
      </c>
      <c r="V480" s="49" t="e">
        <v>#REF!</v>
      </c>
      <c r="AC480" s="49"/>
      <c r="AD480" s="49"/>
    </row>
    <row r="481" spans="1:30" hidden="1" x14ac:dyDescent="0.3">
      <c r="A481" s="49" t="s">
        <v>5880</v>
      </c>
      <c r="B481" s="49">
        <v>0</v>
      </c>
      <c r="C481" s="49"/>
      <c r="D481" s="72" t="s">
        <v>644</v>
      </c>
      <c r="E481" s="49" t="s">
        <v>3754</v>
      </c>
      <c r="F481" s="49"/>
      <c r="G481" s="49"/>
      <c r="H481" s="49" t="s">
        <v>5881</v>
      </c>
      <c r="I481" s="49" t="s">
        <v>5883</v>
      </c>
      <c r="J481" s="49" t="s">
        <v>1289</v>
      </c>
      <c r="K481" s="49" t="s">
        <v>5882</v>
      </c>
      <c r="L481" s="49">
        <v>0</v>
      </c>
      <c r="M481" s="49" t="s">
        <v>2484</v>
      </c>
      <c r="N481" s="49" t="s">
        <v>5884</v>
      </c>
      <c r="O481" s="49">
        <v>18</v>
      </c>
      <c r="P481" s="49" t="s">
        <v>5885</v>
      </c>
      <c r="Q481" s="49">
        <v>0</v>
      </c>
      <c r="R481" s="49" t="s">
        <v>1293</v>
      </c>
      <c r="S481" s="49" t="s">
        <v>5886</v>
      </c>
      <c r="T481" s="49" t="s">
        <v>5887</v>
      </c>
      <c r="U481" s="49" t="s">
        <v>655</v>
      </c>
      <c r="V481" s="49" t="e">
        <v>#REF!</v>
      </c>
      <c r="AC481" s="49"/>
      <c r="AD481" s="49"/>
    </row>
    <row r="482" spans="1:30" hidden="1" x14ac:dyDescent="0.3">
      <c r="A482" s="49" t="s">
        <v>5888</v>
      </c>
      <c r="B482" s="49">
        <v>0</v>
      </c>
      <c r="C482" s="49"/>
      <c r="D482" s="72" t="s">
        <v>644</v>
      </c>
      <c r="E482" s="49" t="s">
        <v>3754</v>
      </c>
      <c r="F482" s="49"/>
      <c r="G482" s="49"/>
      <c r="H482" s="49" t="s">
        <v>5889</v>
      </c>
      <c r="I482" s="49" t="s">
        <v>5892</v>
      </c>
      <c r="J482" s="49" t="s">
        <v>5890</v>
      </c>
      <c r="K482" s="49" t="s">
        <v>5891</v>
      </c>
      <c r="L482" s="49">
        <v>0</v>
      </c>
      <c r="M482" s="49" t="s">
        <v>4064</v>
      </c>
      <c r="N482" s="49" t="s">
        <v>5893</v>
      </c>
      <c r="O482" s="49">
        <v>84</v>
      </c>
      <c r="P482" s="49" t="s">
        <v>5894</v>
      </c>
      <c r="Q482" s="49">
        <v>0</v>
      </c>
      <c r="R482" s="49" t="s">
        <v>5895</v>
      </c>
      <c r="S482" s="49" t="s">
        <v>5896</v>
      </c>
      <c r="T482" s="49" t="s">
        <v>5897</v>
      </c>
      <c r="U482" s="49" t="s">
        <v>655</v>
      </c>
      <c r="V482" s="49" t="e">
        <v>#REF!</v>
      </c>
      <c r="AC482" s="49"/>
      <c r="AD482" s="49"/>
    </row>
    <row r="483" spans="1:30" hidden="1" x14ac:dyDescent="0.3">
      <c r="A483" s="49" t="s">
        <v>5898</v>
      </c>
      <c r="B483" s="49">
        <v>0</v>
      </c>
      <c r="C483" s="49"/>
      <c r="D483" s="72" t="s">
        <v>644</v>
      </c>
      <c r="E483" s="49" t="s">
        <v>3754</v>
      </c>
      <c r="F483" s="49"/>
      <c r="G483" s="49"/>
      <c r="H483" s="49" t="s">
        <v>646</v>
      </c>
      <c r="I483" s="49" t="s">
        <v>5901</v>
      </c>
      <c r="J483" s="49" t="s">
        <v>5899</v>
      </c>
      <c r="K483" s="49" t="s">
        <v>5900</v>
      </c>
      <c r="L483" s="49">
        <v>0</v>
      </c>
      <c r="M483" s="49" t="s">
        <v>1826</v>
      </c>
      <c r="N483" s="49" t="s">
        <v>5902</v>
      </c>
      <c r="O483" s="49">
        <v>11</v>
      </c>
      <c r="P483" s="49" t="s">
        <v>5903</v>
      </c>
      <c r="Q483" s="49">
        <v>0</v>
      </c>
      <c r="R483" s="49" t="s">
        <v>5904</v>
      </c>
      <c r="S483" s="49" t="s">
        <v>5905</v>
      </c>
      <c r="T483" s="49" t="s">
        <v>646</v>
      </c>
      <c r="U483" s="49" t="s">
        <v>670</v>
      </c>
      <c r="V483" s="49" t="e">
        <v>#REF!</v>
      </c>
      <c r="AC483" s="49"/>
      <c r="AD483" s="49"/>
    </row>
    <row r="484" spans="1:30" hidden="1" x14ac:dyDescent="0.3">
      <c r="A484" s="49" t="s">
        <v>5906</v>
      </c>
      <c r="B484" s="49">
        <v>0</v>
      </c>
      <c r="C484" s="49"/>
      <c r="D484" s="72" t="s">
        <v>644</v>
      </c>
      <c r="E484" s="49" t="s">
        <v>3754</v>
      </c>
      <c r="F484" s="49"/>
      <c r="G484" s="49"/>
      <c r="H484" s="49" t="s">
        <v>5907</v>
      </c>
      <c r="I484" s="49" t="s">
        <v>5910</v>
      </c>
      <c r="J484" s="49" t="s">
        <v>5908</v>
      </c>
      <c r="K484" s="49" t="s">
        <v>5909</v>
      </c>
      <c r="L484" s="49">
        <v>0</v>
      </c>
      <c r="M484" s="49" t="s">
        <v>2484</v>
      </c>
      <c r="N484" s="49" t="s">
        <v>697</v>
      </c>
      <c r="O484" s="49">
        <v>8</v>
      </c>
      <c r="P484" s="49" t="s">
        <v>5911</v>
      </c>
      <c r="Q484" s="49">
        <v>0</v>
      </c>
      <c r="R484" s="49" t="s">
        <v>5912</v>
      </c>
      <c r="S484" s="49" t="s">
        <v>5913</v>
      </c>
      <c r="T484" s="49" t="s">
        <v>5914</v>
      </c>
      <c r="U484" s="49" t="s">
        <v>655</v>
      </c>
      <c r="V484" s="49" t="e">
        <v>#REF!</v>
      </c>
      <c r="AC484" s="49"/>
      <c r="AD484" s="49"/>
    </row>
    <row r="485" spans="1:30" hidden="1" x14ac:dyDescent="0.3">
      <c r="A485" s="49" t="s">
        <v>5915</v>
      </c>
      <c r="B485" s="49">
        <v>0</v>
      </c>
      <c r="C485" s="49"/>
      <c r="D485" s="72" t="s">
        <v>644</v>
      </c>
      <c r="E485" s="49" t="s">
        <v>3754</v>
      </c>
      <c r="F485" s="49"/>
      <c r="G485" s="49"/>
      <c r="H485" s="49" t="s">
        <v>5916</v>
      </c>
      <c r="I485" s="49" t="s">
        <v>5919</v>
      </c>
      <c r="J485" s="49" t="s">
        <v>5917</v>
      </c>
      <c r="K485" s="49" t="s">
        <v>5918</v>
      </c>
      <c r="L485" s="49">
        <v>0</v>
      </c>
      <c r="M485" s="49" t="s">
        <v>4114</v>
      </c>
      <c r="N485" s="49" t="s">
        <v>3983</v>
      </c>
      <c r="O485" s="49">
        <v>14</v>
      </c>
      <c r="P485" s="49" t="s">
        <v>5920</v>
      </c>
      <c r="Q485" s="49">
        <v>0</v>
      </c>
      <c r="R485" s="49" t="s">
        <v>5921</v>
      </c>
      <c r="S485" s="49" t="s">
        <v>5922</v>
      </c>
      <c r="T485" s="49" t="s">
        <v>5923</v>
      </c>
      <c r="U485" s="49" t="s">
        <v>655</v>
      </c>
      <c r="V485" s="49" t="e">
        <v>#REF!</v>
      </c>
      <c r="AC485" s="49"/>
      <c r="AD485" s="49"/>
    </row>
    <row r="486" spans="1:30" hidden="1" x14ac:dyDescent="0.3">
      <c r="A486" s="49" t="s">
        <v>5924</v>
      </c>
      <c r="B486" s="49">
        <v>0</v>
      </c>
      <c r="C486" s="49"/>
      <c r="D486" s="72" t="s">
        <v>644</v>
      </c>
      <c r="E486" s="49" t="s">
        <v>3754</v>
      </c>
      <c r="F486" s="49"/>
      <c r="G486" s="49"/>
      <c r="H486" s="49" t="s">
        <v>646</v>
      </c>
      <c r="I486" s="49" t="s">
        <v>5927</v>
      </c>
      <c r="J486" s="49" t="s">
        <v>5925</v>
      </c>
      <c r="K486" s="49" t="s">
        <v>5926</v>
      </c>
      <c r="L486" s="49">
        <v>0</v>
      </c>
      <c r="M486" s="49" t="s">
        <v>1865</v>
      </c>
      <c r="N486" s="49" t="s">
        <v>5928</v>
      </c>
      <c r="O486" s="49">
        <v>1</v>
      </c>
      <c r="P486" s="49" t="s">
        <v>5929</v>
      </c>
      <c r="Q486" s="49">
        <v>0</v>
      </c>
      <c r="R486" s="49" t="s">
        <v>5930</v>
      </c>
      <c r="S486" s="49" t="s">
        <v>5931</v>
      </c>
      <c r="T486" s="49" t="s">
        <v>646</v>
      </c>
      <c r="U486" s="49" t="s">
        <v>655</v>
      </c>
      <c r="V486" s="49" t="e">
        <v>#REF!</v>
      </c>
      <c r="AC486" s="49"/>
      <c r="AD486" s="49"/>
    </row>
    <row r="487" spans="1:30" hidden="1" x14ac:dyDescent="0.3">
      <c r="A487" s="49" t="s">
        <v>5932</v>
      </c>
      <c r="B487" s="49">
        <v>0</v>
      </c>
      <c r="C487" s="49"/>
      <c r="D487" s="72" t="s">
        <v>644</v>
      </c>
      <c r="E487" s="49" t="s">
        <v>3754</v>
      </c>
      <c r="F487" s="49"/>
      <c r="G487" s="49"/>
      <c r="H487" s="49" t="s">
        <v>5933</v>
      </c>
      <c r="I487" s="49" t="s">
        <v>5936</v>
      </c>
      <c r="J487" s="49" t="s">
        <v>5934</v>
      </c>
      <c r="K487" s="49" t="s">
        <v>5935</v>
      </c>
      <c r="L487" s="49">
        <v>0</v>
      </c>
      <c r="M487" s="49" t="s">
        <v>1764</v>
      </c>
      <c r="N487" s="49" t="s">
        <v>3661</v>
      </c>
      <c r="O487" s="49">
        <v>12</v>
      </c>
      <c r="P487" s="49" t="s">
        <v>5937</v>
      </c>
      <c r="Q487" s="49">
        <v>0</v>
      </c>
      <c r="R487" s="49" t="s">
        <v>5938</v>
      </c>
      <c r="S487" s="49" t="s">
        <v>5939</v>
      </c>
      <c r="T487" s="49" t="s">
        <v>5940</v>
      </c>
      <c r="U487" s="49" t="s">
        <v>655</v>
      </c>
      <c r="V487" s="49" t="e">
        <v>#REF!</v>
      </c>
      <c r="AC487" s="49"/>
      <c r="AD487" s="49"/>
    </row>
    <row r="488" spans="1:30" hidden="1" x14ac:dyDescent="0.3">
      <c r="A488" s="49" t="s">
        <v>5941</v>
      </c>
      <c r="B488" s="49">
        <v>0</v>
      </c>
      <c r="C488" s="49"/>
      <c r="D488" s="72" t="s">
        <v>644</v>
      </c>
      <c r="E488" s="49" t="s">
        <v>3754</v>
      </c>
      <c r="F488" s="49"/>
      <c r="G488" s="49"/>
      <c r="H488" s="49" t="s">
        <v>5942</v>
      </c>
      <c r="I488" s="49" t="s">
        <v>5945</v>
      </c>
      <c r="J488" s="49" t="s">
        <v>5943</v>
      </c>
      <c r="K488" s="49" t="s">
        <v>5944</v>
      </c>
      <c r="L488" s="49">
        <v>0</v>
      </c>
      <c r="M488" s="49" t="s">
        <v>2484</v>
      </c>
      <c r="N488" s="49" t="s">
        <v>5122</v>
      </c>
      <c r="O488" s="49">
        <v>21</v>
      </c>
      <c r="P488" s="49" t="s">
        <v>5946</v>
      </c>
      <c r="Q488" s="49">
        <v>0</v>
      </c>
      <c r="R488" s="49" t="s">
        <v>5947</v>
      </c>
      <c r="S488" s="49" t="s">
        <v>5948</v>
      </c>
      <c r="T488" s="49" t="s">
        <v>5949</v>
      </c>
      <c r="U488" s="49" t="s">
        <v>655</v>
      </c>
      <c r="V488" s="49" t="e">
        <v>#REF!</v>
      </c>
      <c r="AC488" s="49"/>
      <c r="AD488" s="49"/>
    </row>
    <row r="489" spans="1:30" hidden="1" x14ac:dyDescent="0.3">
      <c r="A489" s="49" t="s">
        <v>5950</v>
      </c>
      <c r="B489" s="49">
        <v>0</v>
      </c>
      <c r="C489" s="49"/>
      <c r="D489" s="72" t="s">
        <v>644</v>
      </c>
      <c r="E489" s="49" t="s">
        <v>3754</v>
      </c>
      <c r="F489" s="49"/>
      <c r="G489" s="49"/>
      <c r="H489" s="49" t="s">
        <v>5951</v>
      </c>
      <c r="I489" s="49" t="s">
        <v>5954</v>
      </c>
      <c r="J489" s="49" t="s">
        <v>5952</v>
      </c>
      <c r="K489" s="49" t="s">
        <v>5953</v>
      </c>
      <c r="L489" s="49">
        <v>0</v>
      </c>
      <c r="M489" s="49" t="s">
        <v>4114</v>
      </c>
      <c r="N489" s="49" t="s">
        <v>5955</v>
      </c>
      <c r="O489" s="49">
        <v>4</v>
      </c>
      <c r="P489" s="49" t="s">
        <v>5956</v>
      </c>
      <c r="Q489" s="49">
        <v>0</v>
      </c>
      <c r="R489" s="49" t="s">
        <v>5957</v>
      </c>
      <c r="S489" s="49" t="s">
        <v>5958</v>
      </c>
      <c r="T489" s="49" t="s">
        <v>646</v>
      </c>
      <c r="U489" s="49" t="s">
        <v>670</v>
      </c>
      <c r="V489" s="49" t="e">
        <v>#REF!</v>
      </c>
      <c r="AC489" s="49"/>
      <c r="AD489" s="49"/>
    </row>
    <row r="490" spans="1:30" hidden="1" x14ac:dyDescent="0.3">
      <c r="A490" s="49" t="s">
        <v>5959</v>
      </c>
      <c r="B490" s="49">
        <v>0</v>
      </c>
      <c r="C490" s="49"/>
      <c r="D490" s="72" t="s">
        <v>644</v>
      </c>
      <c r="E490" s="49" t="s">
        <v>3754</v>
      </c>
      <c r="F490" s="49"/>
      <c r="G490" s="49"/>
      <c r="H490" s="49" t="s">
        <v>5960</v>
      </c>
      <c r="I490" s="49" t="s">
        <v>5963</v>
      </c>
      <c r="J490" s="49" t="s">
        <v>5961</v>
      </c>
      <c r="K490" s="49" t="s">
        <v>5962</v>
      </c>
      <c r="L490" s="49">
        <v>0</v>
      </c>
      <c r="M490" s="49" t="s">
        <v>4156</v>
      </c>
      <c r="N490" s="49" t="s">
        <v>5964</v>
      </c>
      <c r="O490" s="49">
        <v>18</v>
      </c>
      <c r="P490" s="49" t="s">
        <v>5965</v>
      </c>
      <c r="Q490" s="49">
        <v>0</v>
      </c>
      <c r="R490" s="49" t="s">
        <v>5966</v>
      </c>
      <c r="S490" s="49" t="s">
        <v>5967</v>
      </c>
      <c r="T490" s="49" t="s">
        <v>5968</v>
      </c>
      <c r="U490" s="49" t="s">
        <v>670</v>
      </c>
      <c r="V490" s="49" t="e">
        <v>#REF!</v>
      </c>
      <c r="AC490" s="49"/>
      <c r="AD490" s="49"/>
    </row>
    <row r="491" spans="1:30" hidden="1" x14ac:dyDescent="0.3">
      <c r="A491" s="49" t="s">
        <v>1156</v>
      </c>
      <c r="B491" s="49">
        <v>0</v>
      </c>
      <c r="C491" s="49"/>
      <c r="D491" s="72" t="s">
        <v>644</v>
      </c>
      <c r="E491" s="49" t="s">
        <v>3754</v>
      </c>
      <c r="F491" s="49"/>
      <c r="G491" s="49"/>
      <c r="H491" s="49" t="s">
        <v>646</v>
      </c>
      <c r="I491" s="49" t="s">
        <v>728</v>
      </c>
      <c r="J491" s="49" t="s">
        <v>729</v>
      </c>
      <c r="K491" s="49" t="s">
        <v>1158</v>
      </c>
      <c r="L491" s="49">
        <v>0</v>
      </c>
      <c r="M491" s="49" t="s">
        <v>1764</v>
      </c>
      <c r="N491" s="49" t="s">
        <v>1159</v>
      </c>
      <c r="O491" s="49">
        <v>2</v>
      </c>
      <c r="P491" s="49" t="s">
        <v>1160</v>
      </c>
      <c r="Q491" s="49">
        <v>0</v>
      </c>
      <c r="R491" s="49" t="s">
        <v>1161</v>
      </c>
      <c r="S491" s="49" t="s">
        <v>1162</v>
      </c>
      <c r="T491" s="49" t="s">
        <v>646</v>
      </c>
      <c r="U491" s="49" t="s">
        <v>670</v>
      </c>
      <c r="V491" s="49" t="e">
        <v>#REF!</v>
      </c>
      <c r="AC491" s="49"/>
      <c r="AD491" s="49"/>
    </row>
    <row r="492" spans="1:30" hidden="1" x14ac:dyDescent="0.3">
      <c r="A492" s="49" t="s">
        <v>5969</v>
      </c>
      <c r="B492" s="49">
        <v>0</v>
      </c>
      <c r="C492" s="49"/>
      <c r="D492" s="72" t="s">
        <v>644</v>
      </c>
      <c r="E492" s="49" t="s">
        <v>3754</v>
      </c>
      <c r="F492" s="49"/>
      <c r="G492" s="49"/>
      <c r="H492" s="49" t="s">
        <v>5970</v>
      </c>
      <c r="I492" s="49" t="s">
        <v>5973</v>
      </c>
      <c r="J492" s="49" t="s">
        <v>5971</v>
      </c>
      <c r="K492" s="49" t="s">
        <v>5972</v>
      </c>
      <c r="L492" s="49">
        <v>0</v>
      </c>
      <c r="M492" s="49" t="s">
        <v>1777</v>
      </c>
      <c r="N492" s="49" t="s">
        <v>5974</v>
      </c>
      <c r="O492" s="49">
        <v>5</v>
      </c>
      <c r="P492" s="49" t="s">
        <v>5975</v>
      </c>
      <c r="Q492" s="49">
        <v>0</v>
      </c>
      <c r="R492" s="49" t="s">
        <v>5976</v>
      </c>
      <c r="S492" s="49" t="s">
        <v>5977</v>
      </c>
      <c r="T492" s="49" t="s">
        <v>646</v>
      </c>
      <c r="U492" s="49" t="s">
        <v>670</v>
      </c>
      <c r="V492" s="49" t="e">
        <v>#REF!</v>
      </c>
      <c r="AC492" s="49"/>
      <c r="AD492" s="49"/>
    </row>
    <row r="493" spans="1:30" hidden="1" x14ac:dyDescent="0.3">
      <c r="A493" s="49" t="s">
        <v>5978</v>
      </c>
      <c r="B493" s="49">
        <v>0</v>
      </c>
      <c r="C493" s="49"/>
      <c r="D493" s="72" t="s">
        <v>644</v>
      </c>
      <c r="E493" s="49" t="s">
        <v>3754</v>
      </c>
      <c r="F493" s="49"/>
      <c r="G493" s="49"/>
      <c r="H493" s="49" t="s">
        <v>5979</v>
      </c>
      <c r="I493" s="49" t="s">
        <v>5982</v>
      </c>
      <c r="J493" s="49" t="s">
        <v>5980</v>
      </c>
      <c r="K493" s="49" t="s">
        <v>5981</v>
      </c>
      <c r="L493" s="49">
        <v>0</v>
      </c>
      <c r="M493" s="49" t="s">
        <v>1745</v>
      </c>
      <c r="N493" s="49" t="s">
        <v>5983</v>
      </c>
      <c r="O493" s="49">
        <v>5</v>
      </c>
      <c r="P493" s="49" t="s">
        <v>5984</v>
      </c>
      <c r="Q493" s="49">
        <v>0</v>
      </c>
      <c r="R493" s="49" t="s">
        <v>5985</v>
      </c>
      <c r="S493" s="49" t="s">
        <v>5986</v>
      </c>
      <c r="T493" s="49" t="s">
        <v>5987</v>
      </c>
      <c r="U493" s="49" t="s">
        <v>655</v>
      </c>
      <c r="V493" s="49" t="e">
        <v>#REF!</v>
      </c>
      <c r="AC493" s="49"/>
      <c r="AD493" s="49"/>
    </row>
    <row r="494" spans="1:30" hidden="1" x14ac:dyDescent="0.3">
      <c r="A494" s="49" t="s">
        <v>5988</v>
      </c>
      <c r="B494" s="49">
        <v>0</v>
      </c>
      <c r="C494" s="49"/>
      <c r="D494" s="72" t="s">
        <v>644</v>
      </c>
      <c r="E494" s="49" t="s">
        <v>3754</v>
      </c>
      <c r="F494" s="49"/>
      <c r="G494" s="49"/>
      <c r="H494" s="49" t="s">
        <v>5989</v>
      </c>
      <c r="I494" s="49" t="s">
        <v>5992</v>
      </c>
      <c r="J494" s="49" t="s">
        <v>5990</v>
      </c>
      <c r="K494" s="49" t="s">
        <v>5991</v>
      </c>
      <c r="L494" s="49">
        <v>0</v>
      </c>
      <c r="M494" s="49" t="s">
        <v>4114</v>
      </c>
      <c r="N494" s="49" t="s">
        <v>5993</v>
      </c>
      <c r="P494" s="49" t="s">
        <v>5994</v>
      </c>
      <c r="Q494" s="49">
        <v>0</v>
      </c>
      <c r="R494" s="49" t="s">
        <v>5995</v>
      </c>
      <c r="S494" s="49" t="s">
        <v>5996</v>
      </c>
      <c r="T494" s="49" t="s">
        <v>5997</v>
      </c>
      <c r="U494" s="49" t="s">
        <v>655</v>
      </c>
      <c r="V494" s="49" t="e">
        <v>#REF!</v>
      </c>
      <c r="AC494" s="49"/>
      <c r="AD494" s="49"/>
    </row>
    <row r="495" spans="1:30" hidden="1" x14ac:dyDescent="0.3">
      <c r="A495" s="49" t="s">
        <v>5998</v>
      </c>
      <c r="B495" s="49">
        <v>0</v>
      </c>
      <c r="C495" s="49"/>
      <c r="D495" s="72" t="s">
        <v>644</v>
      </c>
      <c r="E495" s="49" t="s">
        <v>3754</v>
      </c>
      <c r="F495" s="49"/>
      <c r="G495" s="49"/>
      <c r="H495" s="49" t="s">
        <v>5999</v>
      </c>
      <c r="I495" s="49" t="s">
        <v>6002</v>
      </c>
      <c r="J495" s="49" t="s">
        <v>6000</v>
      </c>
      <c r="K495" s="49" t="s">
        <v>6001</v>
      </c>
      <c r="L495" s="49">
        <v>0</v>
      </c>
      <c r="M495" s="49" t="s">
        <v>2484</v>
      </c>
      <c r="N495" s="49" t="s">
        <v>6003</v>
      </c>
      <c r="O495" s="49">
        <v>23</v>
      </c>
      <c r="P495" s="49" t="s">
        <v>6004</v>
      </c>
      <c r="Q495" s="49">
        <v>0</v>
      </c>
      <c r="R495" s="49" t="s">
        <v>6005</v>
      </c>
      <c r="S495" s="49" t="s">
        <v>6006</v>
      </c>
      <c r="T495" s="49" t="s">
        <v>6007</v>
      </c>
      <c r="U495" s="49" t="s">
        <v>655</v>
      </c>
      <c r="V495" s="49" t="e">
        <v>#REF!</v>
      </c>
      <c r="AC495" s="49"/>
      <c r="AD495" s="49"/>
    </row>
    <row r="496" spans="1:30" hidden="1" x14ac:dyDescent="0.3">
      <c r="A496" s="49" t="s">
        <v>6008</v>
      </c>
      <c r="B496" s="49">
        <v>0</v>
      </c>
      <c r="C496" s="49"/>
      <c r="D496" s="72" t="s">
        <v>644</v>
      </c>
      <c r="E496" s="49" t="s">
        <v>3754</v>
      </c>
      <c r="F496" s="49"/>
      <c r="G496" s="49"/>
      <c r="H496" s="49" t="s">
        <v>6009</v>
      </c>
      <c r="I496" s="49" t="s">
        <v>6012</v>
      </c>
      <c r="J496" s="49" t="s">
        <v>6010</v>
      </c>
      <c r="K496" s="49" t="s">
        <v>6011</v>
      </c>
      <c r="L496" s="49">
        <v>0</v>
      </c>
      <c r="M496" s="49" t="s">
        <v>1826</v>
      </c>
      <c r="N496" s="49" t="s">
        <v>6013</v>
      </c>
      <c r="O496" s="49">
        <v>1</v>
      </c>
      <c r="P496" s="49" t="s">
        <v>6014</v>
      </c>
      <c r="Q496" s="49">
        <v>0</v>
      </c>
      <c r="R496" s="49" t="s">
        <v>6015</v>
      </c>
      <c r="S496" s="49" t="s">
        <v>6016</v>
      </c>
      <c r="T496" s="49" t="s">
        <v>6017</v>
      </c>
      <c r="U496" s="49" t="s">
        <v>655</v>
      </c>
      <c r="V496" s="49" t="e">
        <v>#REF!</v>
      </c>
      <c r="AC496" s="49"/>
      <c r="AD496" s="49"/>
    </row>
    <row r="497" spans="1:30" hidden="1" x14ac:dyDescent="0.3">
      <c r="A497" s="49" t="s">
        <v>6018</v>
      </c>
      <c r="B497" s="49">
        <v>0</v>
      </c>
      <c r="C497" s="49"/>
      <c r="D497" s="72" t="s">
        <v>644</v>
      </c>
      <c r="E497" s="49" t="s">
        <v>3754</v>
      </c>
      <c r="F497" s="49"/>
      <c r="G497" s="49"/>
      <c r="H497" s="49" t="s">
        <v>6019</v>
      </c>
      <c r="I497" s="49" t="s">
        <v>6022</v>
      </c>
      <c r="J497" s="49" t="s">
        <v>6020</v>
      </c>
      <c r="K497" s="49" t="s">
        <v>6021</v>
      </c>
      <c r="L497" s="49">
        <v>0</v>
      </c>
      <c r="M497" s="49" t="s">
        <v>2484</v>
      </c>
      <c r="N497" s="49" t="s">
        <v>2555</v>
      </c>
      <c r="O497" s="49">
        <v>4</v>
      </c>
      <c r="P497" s="49" t="s">
        <v>6023</v>
      </c>
      <c r="Q497" s="49">
        <v>0</v>
      </c>
      <c r="R497" s="49" t="s">
        <v>6024</v>
      </c>
      <c r="S497" s="49" t="s">
        <v>6025</v>
      </c>
      <c r="T497" s="49" t="s">
        <v>6026</v>
      </c>
      <c r="U497" s="49" t="s">
        <v>655</v>
      </c>
      <c r="V497" s="49" t="e">
        <v>#REF!</v>
      </c>
      <c r="AC497" s="49"/>
      <c r="AD497" s="49"/>
    </row>
    <row r="498" spans="1:30" hidden="1" x14ac:dyDescent="0.3">
      <c r="A498" s="49" t="s">
        <v>6027</v>
      </c>
      <c r="B498" s="49">
        <v>0</v>
      </c>
      <c r="C498" s="49"/>
      <c r="D498" s="72" t="s">
        <v>644</v>
      </c>
      <c r="E498" s="49" t="s">
        <v>3754</v>
      </c>
      <c r="F498" s="49"/>
      <c r="G498" s="49"/>
      <c r="H498" s="49" t="s">
        <v>6028</v>
      </c>
      <c r="I498" s="49" t="s">
        <v>6031</v>
      </c>
      <c r="J498" s="49" t="s">
        <v>6029</v>
      </c>
      <c r="K498" s="49" t="s">
        <v>6030</v>
      </c>
      <c r="L498" s="49">
        <v>0</v>
      </c>
      <c r="M498" s="49" t="s">
        <v>2484</v>
      </c>
      <c r="N498" s="49" t="s">
        <v>6032</v>
      </c>
      <c r="O498" s="49">
        <v>5</v>
      </c>
      <c r="P498" s="49" t="s">
        <v>6033</v>
      </c>
      <c r="Q498" s="49">
        <v>0</v>
      </c>
      <c r="R498" s="49" t="s">
        <v>6034</v>
      </c>
      <c r="S498" s="49" t="s">
        <v>6035</v>
      </c>
      <c r="T498" s="49" t="s">
        <v>6036</v>
      </c>
      <c r="U498" s="49" t="s">
        <v>655</v>
      </c>
      <c r="V498" s="49" t="e">
        <v>#REF!</v>
      </c>
      <c r="AC498" s="49"/>
      <c r="AD498" s="49"/>
    </row>
    <row r="499" spans="1:30" hidden="1" x14ac:dyDescent="0.3">
      <c r="A499" s="49" t="s">
        <v>6037</v>
      </c>
      <c r="B499" s="49">
        <v>0</v>
      </c>
      <c r="C499" s="49"/>
      <c r="D499" s="72" t="s">
        <v>644</v>
      </c>
      <c r="E499" s="49" t="s">
        <v>3754</v>
      </c>
      <c r="F499" s="49"/>
      <c r="G499" s="49"/>
      <c r="H499" s="49" t="s">
        <v>6038</v>
      </c>
      <c r="I499" s="49" t="s">
        <v>6041</v>
      </c>
      <c r="J499" s="49" t="s">
        <v>6039</v>
      </c>
      <c r="K499" s="49" t="s">
        <v>6040</v>
      </c>
      <c r="L499" s="49">
        <v>0</v>
      </c>
      <c r="M499" s="49" t="s">
        <v>1826</v>
      </c>
      <c r="N499" s="49" t="s">
        <v>6042</v>
      </c>
      <c r="O499" s="49">
        <v>2</v>
      </c>
      <c r="P499" s="49" t="s">
        <v>6043</v>
      </c>
      <c r="Q499" s="49">
        <v>0</v>
      </c>
      <c r="R499" s="49" t="s">
        <v>6044</v>
      </c>
      <c r="S499" s="49" t="s">
        <v>6045</v>
      </c>
      <c r="T499" s="49" t="s">
        <v>6046</v>
      </c>
      <c r="U499" s="49" t="s">
        <v>655</v>
      </c>
      <c r="V499" s="49" t="e">
        <v>#REF!</v>
      </c>
      <c r="AC499" s="49"/>
      <c r="AD499" s="49"/>
    </row>
    <row r="500" spans="1:30" hidden="1" x14ac:dyDescent="0.3">
      <c r="A500" s="49" t="s">
        <v>6047</v>
      </c>
      <c r="B500" s="49">
        <v>0</v>
      </c>
      <c r="C500" s="49"/>
      <c r="D500" s="72" t="s">
        <v>644</v>
      </c>
      <c r="E500" s="49" t="s">
        <v>3754</v>
      </c>
      <c r="F500" s="49"/>
      <c r="G500" s="49"/>
      <c r="H500" s="49" t="s">
        <v>6048</v>
      </c>
      <c r="I500" s="49" t="s">
        <v>6051</v>
      </c>
      <c r="J500" s="49" t="s">
        <v>6049</v>
      </c>
      <c r="K500" s="49" t="s">
        <v>6050</v>
      </c>
      <c r="L500" s="49">
        <v>0</v>
      </c>
      <c r="M500" s="49" t="s">
        <v>1865</v>
      </c>
      <c r="N500" s="49" t="s">
        <v>6052</v>
      </c>
      <c r="O500" s="49">
        <v>4</v>
      </c>
      <c r="P500" s="49" t="s">
        <v>6053</v>
      </c>
      <c r="Q500" s="49">
        <v>0</v>
      </c>
      <c r="R500" s="49" t="s">
        <v>6054</v>
      </c>
      <c r="S500" s="49" t="s">
        <v>6055</v>
      </c>
      <c r="T500" s="49" t="s">
        <v>6056</v>
      </c>
      <c r="U500" s="49" t="s">
        <v>655</v>
      </c>
      <c r="V500" s="49" t="e">
        <v>#REF!</v>
      </c>
      <c r="AC500" s="49"/>
      <c r="AD500" s="49"/>
    </row>
    <row r="501" spans="1:30" hidden="1" x14ac:dyDescent="0.3">
      <c r="A501" s="49" t="s">
        <v>6057</v>
      </c>
      <c r="B501" s="49">
        <v>0</v>
      </c>
      <c r="C501" s="49"/>
      <c r="D501" s="72" t="s">
        <v>644</v>
      </c>
      <c r="E501" s="49" t="s">
        <v>3754</v>
      </c>
      <c r="F501" s="49"/>
      <c r="G501" s="49"/>
      <c r="H501" s="49" t="s">
        <v>6058</v>
      </c>
      <c r="I501" s="49" t="s">
        <v>6061</v>
      </c>
      <c r="J501" s="49" t="s">
        <v>6059</v>
      </c>
      <c r="K501" s="49" t="s">
        <v>6060</v>
      </c>
      <c r="L501" s="49">
        <v>0</v>
      </c>
      <c r="M501" s="49" t="s">
        <v>1734</v>
      </c>
      <c r="N501" s="49" t="s">
        <v>2016</v>
      </c>
      <c r="O501" s="49">
        <v>4</v>
      </c>
      <c r="P501" s="49" t="s">
        <v>6062</v>
      </c>
      <c r="Q501" s="49">
        <v>0</v>
      </c>
      <c r="R501" s="49" t="s">
        <v>6063</v>
      </c>
      <c r="S501" s="49" t="s">
        <v>6064</v>
      </c>
      <c r="T501" s="49" t="s">
        <v>6065</v>
      </c>
      <c r="U501" s="49" t="s">
        <v>655</v>
      </c>
      <c r="V501" s="49" t="e">
        <v>#REF!</v>
      </c>
      <c r="AC501" s="49"/>
      <c r="AD501" s="49"/>
    </row>
    <row r="502" spans="1:30" hidden="1" x14ac:dyDescent="0.3">
      <c r="A502" s="49" t="s">
        <v>6066</v>
      </c>
      <c r="B502" s="49">
        <v>0</v>
      </c>
      <c r="C502" s="49"/>
      <c r="D502" s="72" t="s">
        <v>644</v>
      </c>
      <c r="E502" s="49" t="s">
        <v>3754</v>
      </c>
      <c r="F502" s="49"/>
      <c r="G502" s="49"/>
      <c r="H502" s="49" t="s">
        <v>6067</v>
      </c>
      <c r="I502" s="49" t="s">
        <v>6070</v>
      </c>
      <c r="J502" s="49" t="s">
        <v>6068</v>
      </c>
      <c r="K502" s="49" t="s">
        <v>6069</v>
      </c>
      <c r="L502" s="49">
        <v>0</v>
      </c>
      <c r="M502" s="49" t="s">
        <v>1777</v>
      </c>
      <c r="N502" s="49" t="s">
        <v>6071</v>
      </c>
      <c r="O502" s="49">
        <v>17</v>
      </c>
      <c r="P502" s="49" t="s">
        <v>6072</v>
      </c>
      <c r="Q502" s="49">
        <v>0</v>
      </c>
      <c r="R502" s="49" t="s">
        <v>6073</v>
      </c>
      <c r="S502" s="49" t="s">
        <v>6074</v>
      </c>
      <c r="T502" s="49" t="s">
        <v>6075</v>
      </c>
      <c r="U502" s="49" t="s">
        <v>655</v>
      </c>
      <c r="V502" s="49" t="e">
        <v>#REF!</v>
      </c>
      <c r="AC502" s="49"/>
      <c r="AD502" s="49"/>
    </row>
    <row r="503" spans="1:30" hidden="1" x14ac:dyDescent="0.3">
      <c r="A503" s="49" t="s">
        <v>6076</v>
      </c>
      <c r="B503" s="49">
        <v>0</v>
      </c>
      <c r="C503" s="49"/>
      <c r="D503" s="72" t="s">
        <v>644</v>
      </c>
      <c r="E503" s="49" t="s">
        <v>3754</v>
      </c>
      <c r="F503" s="49"/>
      <c r="G503" s="49"/>
      <c r="H503" s="49" t="s">
        <v>6077</v>
      </c>
      <c r="I503" s="49" t="s">
        <v>6080</v>
      </c>
      <c r="J503" s="49" t="s">
        <v>6078</v>
      </c>
      <c r="K503" s="49" t="s">
        <v>6079</v>
      </c>
      <c r="L503" s="49">
        <v>0</v>
      </c>
      <c r="M503" s="49" t="s">
        <v>2220</v>
      </c>
      <c r="N503" s="49" t="s">
        <v>6081</v>
      </c>
      <c r="O503" s="49">
        <v>49</v>
      </c>
      <c r="P503" s="49" t="s">
        <v>6082</v>
      </c>
      <c r="Q503" s="49">
        <v>0</v>
      </c>
      <c r="R503" s="49" t="s">
        <v>6083</v>
      </c>
      <c r="S503" s="49" t="s">
        <v>6084</v>
      </c>
      <c r="T503" s="49" t="s">
        <v>646</v>
      </c>
      <c r="U503" s="49" t="s">
        <v>670</v>
      </c>
      <c r="V503" s="49" t="e">
        <v>#REF!</v>
      </c>
      <c r="AC503" s="49"/>
      <c r="AD503" s="49"/>
    </row>
    <row r="504" spans="1:30" hidden="1" x14ac:dyDescent="0.3">
      <c r="A504" s="49" t="s">
        <v>6085</v>
      </c>
      <c r="B504" s="49">
        <v>0</v>
      </c>
      <c r="C504" s="49"/>
      <c r="D504" s="72" t="s">
        <v>644</v>
      </c>
      <c r="E504" s="49" t="s">
        <v>3754</v>
      </c>
      <c r="F504" s="49"/>
      <c r="G504" s="49"/>
      <c r="H504" s="49" t="s">
        <v>6086</v>
      </c>
      <c r="I504" s="49" t="s">
        <v>6089</v>
      </c>
      <c r="J504" s="49" t="s">
        <v>6087</v>
      </c>
      <c r="K504" s="49" t="s">
        <v>6088</v>
      </c>
      <c r="L504" s="49">
        <v>0</v>
      </c>
      <c r="M504" s="49" t="s">
        <v>3570</v>
      </c>
      <c r="N504" s="49" t="s">
        <v>6090</v>
      </c>
      <c r="O504" s="49">
        <v>13</v>
      </c>
      <c r="P504" s="49" t="s">
        <v>6091</v>
      </c>
      <c r="Q504" s="49">
        <v>0</v>
      </c>
      <c r="R504" s="49" t="s">
        <v>6092</v>
      </c>
      <c r="S504" s="49" t="s">
        <v>6093</v>
      </c>
      <c r="T504" s="49" t="s">
        <v>6094</v>
      </c>
      <c r="U504" s="49" t="s">
        <v>670</v>
      </c>
      <c r="V504" s="49" t="e">
        <v>#REF!</v>
      </c>
      <c r="AC504" s="49"/>
      <c r="AD504" s="49"/>
    </row>
    <row r="505" spans="1:30" hidden="1" x14ac:dyDescent="0.3">
      <c r="A505" s="49" t="s">
        <v>6095</v>
      </c>
      <c r="B505" s="49">
        <v>0</v>
      </c>
      <c r="C505" s="49"/>
      <c r="D505" s="72" t="s">
        <v>644</v>
      </c>
      <c r="E505" s="49" t="s">
        <v>3754</v>
      </c>
      <c r="F505" s="49"/>
      <c r="G505" s="49"/>
      <c r="H505" s="49" t="s">
        <v>6096</v>
      </c>
      <c r="I505" s="49" t="s">
        <v>6099</v>
      </c>
      <c r="J505" s="49" t="s">
        <v>6097</v>
      </c>
      <c r="K505" s="49" t="s">
        <v>6098</v>
      </c>
      <c r="L505" s="49">
        <v>0</v>
      </c>
      <c r="M505" s="49" t="s">
        <v>2484</v>
      </c>
      <c r="N505" s="49" t="s">
        <v>6100</v>
      </c>
      <c r="O505" s="49">
        <v>99</v>
      </c>
      <c r="P505" s="49" t="s">
        <v>6101</v>
      </c>
      <c r="Q505" s="49">
        <v>0</v>
      </c>
      <c r="R505" s="49" t="s">
        <v>6102</v>
      </c>
      <c r="S505" s="49" t="s">
        <v>6103</v>
      </c>
      <c r="T505" s="49" t="s">
        <v>6104</v>
      </c>
      <c r="U505" s="49" t="s">
        <v>655</v>
      </c>
      <c r="V505" s="49" t="e">
        <v>#REF!</v>
      </c>
      <c r="AC505" s="49"/>
      <c r="AD505" s="49"/>
    </row>
    <row r="506" spans="1:30" hidden="1" x14ac:dyDescent="0.3">
      <c r="A506" s="49" t="s">
        <v>6105</v>
      </c>
      <c r="B506" s="49">
        <v>0</v>
      </c>
      <c r="C506" s="49"/>
      <c r="D506" s="72" t="s">
        <v>644</v>
      </c>
      <c r="E506" s="49" t="s">
        <v>3754</v>
      </c>
      <c r="F506" s="49"/>
      <c r="G506" s="49"/>
      <c r="H506" s="49" t="s">
        <v>646</v>
      </c>
      <c r="I506" s="49" t="s">
        <v>6108</v>
      </c>
      <c r="J506" s="49" t="s">
        <v>6106</v>
      </c>
      <c r="K506" s="49" t="s">
        <v>6107</v>
      </c>
      <c r="L506" s="49">
        <v>0</v>
      </c>
      <c r="M506" s="49" t="s">
        <v>1764</v>
      </c>
      <c r="N506" s="49" t="s">
        <v>3543</v>
      </c>
      <c r="P506" s="49" t="s">
        <v>6109</v>
      </c>
      <c r="Q506" s="49">
        <v>0</v>
      </c>
      <c r="R506" s="49" t="s">
        <v>6110</v>
      </c>
      <c r="S506" s="49" t="s">
        <v>6111</v>
      </c>
      <c r="T506" s="49" t="s">
        <v>646</v>
      </c>
      <c r="U506" s="49" t="s">
        <v>670</v>
      </c>
      <c r="V506" s="49" t="e">
        <v>#REF!</v>
      </c>
      <c r="AC506" s="49"/>
      <c r="AD506" s="49"/>
    </row>
    <row r="507" spans="1:30" hidden="1" x14ac:dyDescent="0.3">
      <c r="A507" s="49" t="s">
        <v>6112</v>
      </c>
      <c r="B507" s="49">
        <v>0</v>
      </c>
      <c r="C507" s="49"/>
      <c r="D507" s="72" t="s">
        <v>644</v>
      </c>
      <c r="E507" s="49" t="s">
        <v>3754</v>
      </c>
      <c r="F507" s="49"/>
      <c r="G507" s="49"/>
      <c r="H507" s="49" t="s">
        <v>6113</v>
      </c>
      <c r="I507" s="49" t="s">
        <v>6116</v>
      </c>
      <c r="J507" s="49" t="s">
        <v>6114</v>
      </c>
      <c r="K507" s="49" t="s">
        <v>6115</v>
      </c>
      <c r="L507" s="49">
        <v>0</v>
      </c>
      <c r="M507" s="49" t="s">
        <v>2484</v>
      </c>
      <c r="N507" s="49" t="s">
        <v>2997</v>
      </c>
      <c r="O507" s="49">
        <v>4</v>
      </c>
      <c r="P507" s="49" t="s">
        <v>6117</v>
      </c>
      <c r="Q507" s="49">
        <v>0</v>
      </c>
      <c r="R507" s="49" t="s">
        <v>6118</v>
      </c>
      <c r="S507" s="49" t="s">
        <v>6119</v>
      </c>
      <c r="T507" s="49" t="s">
        <v>6120</v>
      </c>
      <c r="U507" s="49" t="s">
        <v>655</v>
      </c>
      <c r="V507" s="49" t="e">
        <v>#REF!</v>
      </c>
      <c r="AC507" s="49"/>
      <c r="AD507" s="49"/>
    </row>
    <row r="508" spans="1:30" hidden="1" x14ac:dyDescent="0.3">
      <c r="A508" s="49" t="s">
        <v>6121</v>
      </c>
      <c r="B508" s="49">
        <v>0</v>
      </c>
      <c r="C508" s="49"/>
      <c r="D508" s="72" t="s">
        <v>644</v>
      </c>
      <c r="E508" s="49" t="s">
        <v>3754</v>
      </c>
      <c r="F508" s="49"/>
      <c r="G508" s="49"/>
      <c r="H508" s="49" t="s">
        <v>646</v>
      </c>
      <c r="I508" s="49" t="s">
        <v>4616</v>
      </c>
      <c r="J508" s="49" t="s">
        <v>4614</v>
      </c>
      <c r="K508" s="49" t="s">
        <v>6122</v>
      </c>
      <c r="L508" s="49">
        <v>0</v>
      </c>
      <c r="M508" s="49" t="s">
        <v>2220</v>
      </c>
      <c r="N508" s="49" t="s">
        <v>4617</v>
      </c>
      <c r="O508" s="49">
        <v>4</v>
      </c>
      <c r="P508" s="49" t="s">
        <v>6123</v>
      </c>
      <c r="Q508" s="49">
        <v>0</v>
      </c>
      <c r="R508" s="49" t="s">
        <v>4619</v>
      </c>
      <c r="S508" s="49" t="s">
        <v>4620</v>
      </c>
      <c r="T508" s="49" t="s">
        <v>646</v>
      </c>
      <c r="U508" s="49" t="s">
        <v>670</v>
      </c>
      <c r="V508" s="49" t="e">
        <v>#REF!</v>
      </c>
      <c r="AC508" s="49"/>
      <c r="AD508" s="49"/>
    </row>
    <row r="509" spans="1:30" hidden="1" x14ac:dyDescent="0.3">
      <c r="A509" s="49" t="s">
        <v>6124</v>
      </c>
      <c r="B509" s="49">
        <v>0</v>
      </c>
      <c r="C509" s="49"/>
      <c r="D509" s="72" t="s">
        <v>644</v>
      </c>
      <c r="E509" s="49" t="s">
        <v>3754</v>
      </c>
      <c r="F509" s="49"/>
      <c r="G509" s="49"/>
      <c r="H509" s="49" t="s">
        <v>6125</v>
      </c>
      <c r="I509" s="49" t="s">
        <v>6128</v>
      </c>
      <c r="J509" s="49" t="s">
        <v>6126</v>
      </c>
      <c r="K509" s="49" t="s">
        <v>6127</v>
      </c>
      <c r="L509" s="49">
        <v>0</v>
      </c>
      <c r="M509" s="49" t="s">
        <v>2484</v>
      </c>
      <c r="N509" s="49" t="s">
        <v>2307</v>
      </c>
      <c r="O509" s="49">
        <v>13</v>
      </c>
      <c r="P509" s="49" t="s">
        <v>6129</v>
      </c>
      <c r="Q509" s="49">
        <v>0</v>
      </c>
      <c r="R509" s="49" t="s">
        <v>6130</v>
      </c>
      <c r="S509" s="49" t="s">
        <v>6131</v>
      </c>
      <c r="T509" s="49" t="s">
        <v>6132</v>
      </c>
      <c r="U509" s="49" t="s">
        <v>655</v>
      </c>
      <c r="V509" s="49" t="e">
        <v>#REF!</v>
      </c>
      <c r="AC509" s="49"/>
      <c r="AD509" s="49"/>
    </row>
    <row r="510" spans="1:30" hidden="1" x14ac:dyDescent="0.3">
      <c r="A510" s="49" t="s">
        <v>6133</v>
      </c>
      <c r="B510" s="49">
        <v>0</v>
      </c>
      <c r="C510" s="49"/>
      <c r="D510" s="72" t="s">
        <v>644</v>
      </c>
      <c r="E510" s="49" t="s">
        <v>3754</v>
      </c>
      <c r="F510" s="49"/>
      <c r="G510" s="49"/>
      <c r="H510" s="49" t="s">
        <v>646</v>
      </c>
      <c r="I510" s="49" t="s">
        <v>6136</v>
      </c>
      <c r="J510" s="49" t="s">
        <v>6134</v>
      </c>
      <c r="K510" s="49" t="s">
        <v>6135</v>
      </c>
      <c r="L510" s="49">
        <v>0</v>
      </c>
      <c r="M510" s="49" t="s">
        <v>2636</v>
      </c>
      <c r="N510" s="49" t="s">
        <v>4249</v>
      </c>
      <c r="O510" s="49">
        <v>42</v>
      </c>
      <c r="P510" s="49" t="s">
        <v>6137</v>
      </c>
      <c r="Q510" s="49">
        <v>0</v>
      </c>
      <c r="R510" s="49" t="s">
        <v>6138</v>
      </c>
      <c r="S510" s="49" t="s">
        <v>6139</v>
      </c>
      <c r="T510" s="49" t="s">
        <v>6140</v>
      </c>
      <c r="U510" s="49" t="s">
        <v>670</v>
      </c>
      <c r="V510" s="49" t="e">
        <v>#REF!</v>
      </c>
      <c r="AC510" s="49"/>
      <c r="AD510" s="49"/>
    </row>
    <row r="511" spans="1:30" hidden="1" x14ac:dyDescent="0.3">
      <c r="A511" s="49" t="s">
        <v>6141</v>
      </c>
      <c r="B511" s="49">
        <v>0</v>
      </c>
      <c r="C511" s="49"/>
      <c r="D511" s="72" t="s">
        <v>644</v>
      </c>
      <c r="E511" s="49" t="s">
        <v>3754</v>
      </c>
      <c r="F511" s="49"/>
      <c r="G511" s="49"/>
      <c r="H511" s="49" t="s">
        <v>6142</v>
      </c>
      <c r="I511" s="49" t="s">
        <v>6145</v>
      </c>
      <c r="J511" s="49" t="s">
        <v>6143</v>
      </c>
      <c r="K511" s="49" t="s">
        <v>6144</v>
      </c>
      <c r="L511" s="49">
        <v>0</v>
      </c>
      <c r="M511" s="49" t="s">
        <v>1777</v>
      </c>
      <c r="N511" s="49" t="s">
        <v>6146</v>
      </c>
      <c r="O511" s="49">
        <v>3</v>
      </c>
      <c r="P511" s="49" t="s">
        <v>6147</v>
      </c>
      <c r="Q511" s="49">
        <v>0</v>
      </c>
      <c r="R511" s="49" t="s">
        <v>6148</v>
      </c>
      <c r="S511" s="49" t="s">
        <v>6149</v>
      </c>
      <c r="T511" s="49" t="s">
        <v>646</v>
      </c>
      <c r="U511" s="49" t="s">
        <v>670</v>
      </c>
      <c r="V511" s="49" t="e">
        <v>#REF!</v>
      </c>
      <c r="AC511" s="49"/>
      <c r="AD511" s="49"/>
    </row>
    <row r="512" spans="1:30" hidden="1" x14ac:dyDescent="0.3">
      <c r="A512" s="49" t="s">
        <v>932</v>
      </c>
      <c r="B512" s="49">
        <v>0</v>
      </c>
      <c r="C512" s="49"/>
      <c r="D512" s="72" t="s">
        <v>644</v>
      </c>
      <c r="E512" s="49" t="s">
        <v>3754</v>
      </c>
      <c r="F512" s="49"/>
      <c r="G512" s="49"/>
      <c r="H512" s="49" t="s">
        <v>934</v>
      </c>
      <c r="I512" s="49" t="s">
        <v>935</v>
      </c>
      <c r="J512" s="49" t="s">
        <v>936</v>
      </c>
      <c r="K512" s="49" t="s">
        <v>937</v>
      </c>
      <c r="L512" s="49">
        <v>0</v>
      </c>
      <c r="M512" s="49" t="s">
        <v>4156</v>
      </c>
      <c r="N512" s="49" t="s">
        <v>938</v>
      </c>
      <c r="O512" s="49">
        <v>3</v>
      </c>
      <c r="P512" s="49" t="s">
        <v>939</v>
      </c>
      <c r="Q512" s="49">
        <v>0</v>
      </c>
      <c r="R512" s="49" t="s">
        <v>940</v>
      </c>
      <c r="S512" s="49" t="s">
        <v>941</v>
      </c>
      <c r="T512" s="49" t="s">
        <v>942</v>
      </c>
      <c r="U512" s="49" t="s">
        <v>670</v>
      </c>
      <c r="V512" s="49" t="e">
        <v>#REF!</v>
      </c>
      <c r="AC512" s="49"/>
      <c r="AD512" s="49"/>
    </row>
    <row r="513" spans="1:30" hidden="1" x14ac:dyDescent="0.3">
      <c r="A513" s="49" t="s">
        <v>6150</v>
      </c>
      <c r="B513" s="49">
        <v>0</v>
      </c>
      <c r="C513" s="49"/>
      <c r="D513" s="72" t="s">
        <v>644</v>
      </c>
      <c r="E513" s="49" t="s">
        <v>3754</v>
      </c>
      <c r="F513" s="49"/>
      <c r="G513" s="49"/>
      <c r="H513" s="49" t="s">
        <v>6151</v>
      </c>
      <c r="I513" s="49" t="s">
        <v>6154</v>
      </c>
      <c r="J513" s="49" t="s">
        <v>6152</v>
      </c>
      <c r="K513" s="49" t="s">
        <v>6153</v>
      </c>
      <c r="L513" s="49">
        <v>0</v>
      </c>
      <c r="M513" s="49" t="s">
        <v>1734</v>
      </c>
      <c r="N513" s="49" t="s">
        <v>2016</v>
      </c>
      <c r="O513" s="49">
        <v>2</v>
      </c>
      <c r="P513" s="49" t="s">
        <v>6155</v>
      </c>
      <c r="Q513" s="49">
        <v>0</v>
      </c>
      <c r="R513" s="49" t="s">
        <v>6156</v>
      </c>
      <c r="S513" s="49" t="s">
        <v>6157</v>
      </c>
      <c r="T513" s="49" t="s">
        <v>6158</v>
      </c>
      <c r="U513" s="49" t="s">
        <v>655</v>
      </c>
      <c r="V513" s="49" t="e">
        <v>#REF!</v>
      </c>
      <c r="AC513" s="49"/>
      <c r="AD513" s="49"/>
    </row>
    <row r="514" spans="1:30" hidden="1" x14ac:dyDescent="0.3">
      <c r="A514" s="49" t="s">
        <v>642</v>
      </c>
      <c r="B514" s="49">
        <v>0</v>
      </c>
      <c r="C514" s="49"/>
      <c r="D514" s="72" t="s">
        <v>644</v>
      </c>
      <c r="E514" s="49" t="s">
        <v>3754</v>
      </c>
      <c r="F514" s="49"/>
      <c r="G514" s="49"/>
      <c r="H514" s="49" t="s">
        <v>646</v>
      </c>
      <c r="I514" s="49" t="s">
        <v>647</v>
      </c>
      <c r="J514" s="49" t="s">
        <v>648</v>
      </c>
      <c r="K514" s="49" t="s">
        <v>649</v>
      </c>
      <c r="L514" s="49">
        <v>0</v>
      </c>
      <c r="M514" s="49" t="s">
        <v>4084</v>
      </c>
      <c r="N514" s="49" t="s">
        <v>650</v>
      </c>
      <c r="O514" s="49">
        <v>12</v>
      </c>
      <c r="P514" s="49" t="s">
        <v>651</v>
      </c>
      <c r="Q514" s="49">
        <v>0</v>
      </c>
      <c r="R514" s="49" t="s">
        <v>652</v>
      </c>
      <c r="S514" s="49" t="s">
        <v>653</v>
      </c>
      <c r="T514" s="49" t="s">
        <v>6159</v>
      </c>
      <c r="U514" s="49" t="s">
        <v>655</v>
      </c>
      <c r="V514" s="49" t="e">
        <v>#REF!</v>
      </c>
      <c r="AC514" s="49"/>
      <c r="AD514" s="49"/>
    </row>
    <row r="515" spans="1:30" hidden="1" x14ac:dyDescent="0.3">
      <c r="A515" s="49" t="s">
        <v>6160</v>
      </c>
      <c r="B515" s="49">
        <v>0</v>
      </c>
      <c r="C515" s="49"/>
      <c r="D515" s="72" t="s">
        <v>644</v>
      </c>
      <c r="E515" s="49" t="s">
        <v>3754</v>
      </c>
      <c r="F515" s="49"/>
      <c r="G515" s="49"/>
      <c r="H515" s="49" t="s">
        <v>6161</v>
      </c>
      <c r="I515" s="49" t="s">
        <v>6164</v>
      </c>
      <c r="J515" s="49" t="s">
        <v>6162</v>
      </c>
      <c r="K515" s="49" t="s">
        <v>6163</v>
      </c>
      <c r="L515" s="49">
        <v>0</v>
      </c>
      <c r="M515" s="49" t="s">
        <v>1826</v>
      </c>
      <c r="N515" s="49" t="s">
        <v>6165</v>
      </c>
      <c r="O515" s="49">
        <v>98</v>
      </c>
      <c r="P515" s="49" t="s">
        <v>6166</v>
      </c>
      <c r="Q515" s="49">
        <v>0</v>
      </c>
      <c r="R515" s="49" t="s">
        <v>6167</v>
      </c>
      <c r="S515" s="49" t="s">
        <v>6168</v>
      </c>
      <c r="T515" s="49" t="s">
        <v>6169</v>
      </c>
      <c r="U515" s="49" t="s">
        <v>655</v>
      </c>
      <c r="V515" s="49" t="e">
        <v>#REF!</v>
      </c>
      <c r="AC515" s="49"/>
      <c r="AD515" s="49"/>
    </row>
    <row r="516" spans="1:30" hidden="1" x14ac:dyDescent="0.3">
      <c r="A516" s="49" t="s">
        <v>6170</v>
      </c>
      <c r="B516" s="49">
        <v>0</v>
      </c>
      <c r="C516" s="49"/>
      <c r="D516" s="72" t="s">
        <v>644</v>
      </c>
      <c r="E516" s="49" t="s">
        <v>3754</v>
      </c>
      <c r="F516" s="49"/>
      <c r="G516" s="49"/>
      <c r="H516" s="49" t="s">
        <v>6171</v>
      </c>
      <c r="I516" s="49" t="s">
        <v>6174</v>
      </c>
      <c r="J516" s="49" t="s">
        <v>6172</v>
      </c>
      <c r="K516" s="49" t="s">
        <v>6173</v>
      </c>
      <c r="L516" s="49">
        <v>0</v>
      </c>
      <c r="M516" s="49" t="s">
        <v>2456</v>
      </c>
      <c r="N516" s="49" t="s">
        <v>4577</v>
      </c>
      <c r="O516" s="49">
        <v>60</v>
      </c>
      <c r="P516" s="49" t="s">
        <v>6175</v>
      </c>
      <c r="Q516" s="49">
        <v>0</v>
      </c>
      <c r="R516" s="49" t="s">
        <v>6176</v>
      </c>
      <c r="S516" s="49" t="s">
        <v>6177</v>
      </c>
      <c r="T516" s="49" t="s">
        <v>6178</v>
      </c>
      <c r="U516" s="49" t="s">
        <v>670</v>
      </c>
      <c r="V516" s="49" t="e">
        <v>#REF!</v>
      </c>
      <c r="AC516" s="49"/>
      <c r="AD516" s="49"/>
    </row>
    <row r="517" spans="1:30" hidden="1" x14ac:dyDescent="0.3">
      <c r="A517" s="49" t="s">
        <v>6179</v>
      </c>
      <c r="B517" s="49">
        <v>0</v>
      </c>
      <c r="C517" s="49"/>
      <c r="D517" s="72" t="s">
        <v>644</v>
      </c>
      <c r="E517" s="49" t="s">
        <v>3754</v>
      </c>
      <c r="F517" s="49"/>
      <c r="G517" s="49"/>
      <c r="H517" s="49" t="s">
        <v>6180</v>
      </c>
      <c r="I517" s="49" t="s">
        <v>6183</v>
      </c>
      <c r="J517" s="49" t="s">
        <v>6181</v>
      </c>
      <c r="K517" s="49" t="s">
        <v>6182</v>
      </c>
      <c r="L517" s="49">
        <v>0</v>
      </c>
      <c r="M517" s="49" t="s">
        <v>2484</v>
      </c>
      <c r="N517" s="49" t="s">
        <v>6184</v>
      </c>
      <c r="O517" s="49">
        <v>3</v>
      </c>
      <c r="P517" s="49" t="s">
        <v>6185</v>
      </c>
      <c r="Q517" s="49">
        <v>0</v>
      </c>
      <c r="R517" s="49" t="s">
        <v>6186</v>
      </c>
      <c r="S517" s="49" t="s">
        <v>6187</v>
      </c>
      <c r="T517" s="49" t="s">
        <v>6188</v>
      </c>
      <c r="U517" s="49" t="s">
        <v>655</v>
      </c>
      <c r="V517" s="49" t="e">
        <v>#REF!</v>
      </c>
      <c r="AC517" s="49"/>
      <c r="AD517" s="49"/>
    </row>
    <row r="518" spans="1:30" hidden="1" x14ac:dyDescent="0.3">
      <c r="A518" s="49" t="s">
        <v>6189</v>
      </c>
      <c r="B518" s="49">
        <v>0</v>
      </c>
      <c r="C518" s="49"/>
      <c r="D518" s="72" t="s">
        <v>644</v>
      </c>
      <c r="E518" s="49" t="s">
        <v>3754</v>
      </c>
      <c r="F518" s="49"/>
      <c r="G518" s="49"/>
      <c r="H518" s="49" t="s">
        <v>6190</v>
      </c>
      <c r="I518" s="49" t="s">
        <v>6193</v>
      </c>
      <c r="J518" s="49" t="s">
        <v>6191</v>
      </c>
      <c r="K518" s="49" t="s">
        <v>6192</v>
      </c>
      <c r="L518" s="49">
        <v>0</v>
      </c>
      <c r="M518" s="49" t="s">
        <v>1764</v>
      </c>
      <c r="N518" s="49" t="s">
        <v>1766</v>
      </c>
      <c r="O518" s="49">
        <v>4</v>
      </c>
      <c r="P518" s="49" t="s">
        <v>6194</v>
      </c>
      <c r="Q518" s="49">
        <v>0</v>
      </c>
      <c r="R518" s="49" t="s">
        <v>6195</v>
      </c>
      <c r="S518" s="49" t="s">
        <v>6196</v>
      </c>
      <c r="T518" s="49" t="s">
        <v>6197</v>
      </c>
      <c r="U518" s="49" t="s">
        <v>655</v>
      </c>
      <c r="V518" s="49" t="e">
        <v>#REF!</v>
      </c>
      <c r="AC518" s="49"/>
      <c r="AD518" s="49"/>
    </row>
    <row r="519" spans="1:30" hidden="1" x14ac:dyDescent="0.3">
      <c r="A519" s="49" t="s">
        <v>6198</v>
      </c>
      <c r="B519" s="49">
        <v>0</v>
      </c>
      <c r="C519" s="49"/>
      <c r="D519" s="72" t="s">
        <v>644</v>
      </c>
      <c r="E519" s="49" t="s">
        <v>3754</v>
      </c>
      <c r="F519" s="49"/>
      <c r="G519" s="49"/>
      <c r="H519" s="49" t="s">
        <v>6199</v>
      </c>
      <c r="I519" s="49" t="s">
        <v>6202</v>
      </c>
      <c r="J519" s="49" t="s">
        <v>6200</v>
      </c>
      <c r="K519" s="49" t="s">
        <v>6201</v>
      </c>
      <c r="L519" s="49">
        <v>0</v>
      </c>
      <c r="M519" s="49" t="s">
        <v>2142</v>
      </c>
      <c r="N519" s="49" t="s">
        <v>6203</v>
      </c>
      <c r="O519" s="49">
        <v>1</v>
      </c>
      <c r="P519" s="49" t="s">
        <v>6204</v>
      </c>
      <c r="Q519" s="49">
        <v>0</v>
      </c>
      <c r="R519" s="49" t="s">
        <v>6205</v>
      </c>
      <c r="S519" s="49" t="s">
        <v>6206</v>
      </c>
      <c r="T519" s="49" t="s">
        <v>6207</v>
      </c>
      <c r="U519" s="49" t="s">
        <v>655</v>
      </c>
      <c r="V519" s="49" t="e">
        <v>#REF!</v>
      </c>
      <c r="AC519" s="49"/>
      <c r="AD519" s="49"/>
    </row>
    <row r="520" spans="1:30" hidden="1" x14ac:dyDescent="0.3">
      <c r="A520" s="49" t="s">
        <v>6208</v>
      </c>
      <c r="B520" s="49">
        <v>0</v>
      </c>
      <c r="C520" s="49"/>
      <c r="D520" s="72" t="s">
        <v>644</v>
      </c>
      <c r="E520" s="49" t="s">
        <v>3754</v>
      </c>
      <c r="F520" s="49"/>
      <c r="G520" s="49"/>
      <c r="H520" s="49" t="s">
        <v>6209</v>
      </c>
      <c r="I520" s="49" t="s">
        <v>6212</v>
      </c>
      <c r="J520" s="49" t="s">
        <v>6210</v>
      </c>
      <c r="K520" s="49" t="s">
        <v>6211</v>
      </c>
      <c r="L520" s="49">
        <v>0</v>
      </c>
      <c r="M520" s="49" t="s">
        <v>2220</v>
      </c>
      <c r="N520" s="49" t="s">
        <v>6213</v>
      </c>
      <c r="O520" s="49">
        <v>15</v>
      </c>
      <c r="P520" s="49" t="s">
        <v>6214</v>
      </c>
      <c r="Q520" s="49">
        <v>0</v>
      </c>
      <c r="R520" s="49" t="s">
        <v>6215</v>
      </c>
      <c r="S520" s="49" t="s">
        <v>6216</v>
      </c>
      <c r="T520" s="49" t="s">
        <v>6217</v>
      </c>
      <c r="U520" s="49" t="s">
        <v>670</v>
      </c>
      <c r="V520" s="49" t="e">
        <v>#REF!</v>
      </c>
      <c r="AC520" s="49"/>
      <c r="AD520" s="49"/>
    </row>
    <row r="521" spans="1:30" hidden="1" x14ac:dyDescent="0.3">
      <c r="A521" s="49" t="s">
        <v>6218</v>
      </c>
      <c r="B521" s="49">
        <v>0</v>
      </c>
      <c r="C521" s="49"/>
      <c r="D521" s="72" t="s">
        <v>644</v>
      </c>
      <c r="E521" s="49" t="s">
        <v>3754</v>
      </c>
      <c r="F521" s="49"/>
      <c r="G521" s="49"/>
      <c r="H521" s="49" t="s">
        <v>646</v>
      </c>
      <c r="I521" s="49" t="s">
        <v>6221</v>
      </c>
      <c r="J521" s="49" t="s">
        <v>6219</v>
      </c>
      <c r="K521" s="49" t="s">
        <v>6220</v>
      </c>
      <c r="L521" s="49">
        <v>0</v>
      </c>
      <c r="M521" s="49" t="s">
        <v>1817</v>
      </c>
      <c r="N521" s="49" t="s">
        <v>6222</v>
      </c>
      <c r="O521" s="49">
        <v>310</v>
      </c>
      <c r="P521" s="49" t="s">
        <v>6223</v>
      </c>
      <c r="Q521" s="49">
        <v>0</v>
      </c>
      <c r="R521" s="49" t="s">
        <v>6224</v>
      </c>
      <c r="S521" s="49" t="s">
        <v>6225</v>
      </c>
      <c r="T521" s="49" t="s">
        <v>6226</v>
      </c>
      <c r="U521" s="49" t="s">
        <v>670</v>
      </c>
      <c r="V521" s="49" t="e">
        <v>#REF!</v>
      </c>
      <c r="AC521" s="49"/>
      <c r="AD521" s="49"/>
    </row>
    <row r="522" spans="1:30" hidden="1" x14ac:dyDescent="0.3">
      <c r="A522" s="49" t="s">
        <v>6227</v>
      </c>
      <c r="B522" s="49">
        <v>0</v>
      </c>
      <c r="C522" s="49"/>
      <c r="D522" s="72" t="s">
        <v>644</v>
      </c>
      <c r="E522" s="49" t="s">
        <v>3754</v>
      </c>
      <c r="F522" s="49"/>
      <c r="G522" s="49"/>
      <c r="H522" s="49" t="s">
        <v>6228</v>
      </c>
      <c r="I522" s="49" t="s">
        <v>6231</v>
      </c>
      <c r="J522" s="49" t="s">
        <v>6229</v>
      </c>
      <c r="K522" s="49" t="s">
        <v>6230</v>
      </c>
      <c r="L522" s="49">
        <v>0</v>
      </c>
      <c r="M522" s="49" t="s">
        <v>1764</v>
      </c>
      <c r="N522" s="49" t="s">
        <v>6232</v>
      </c>
      <c r="O522" s="49">
        <v>56</v>
      </c>
      <c r="P522" s="49" t="s">
        <v>6233</v>
      </c>
      <c r="Q522" s="49">
        <v>0</v>
      </c>
      <c r="R522" s="49" t="s">
        <v>6234</v>
      </c>
      <c r="S522" s="49" t="s">
        <v>6235</v>
      </c>
      <c r="T522" s="49" t="s">
        <v>6236</v>
      </c>
      <c r="U522" s="49" t="s">
        <v>655</v>
      </c>
      <c r="V522" s="49" t="e">
        <v>#REF!</v>
      </c>
      <c r="AC522" s="49"/>
      <c r="AD522" s="49"/>
    </row>
    <row r="523" spans="1:30" hidden="1" x14ac:dyDescent="0.3">
      <c r="A523" s="49" t="s">
        <v>6237</v>
      </c>
      <c r="B523" s="49">
        <v>0</v>
      </c>
      <c r="C523" s="49"/>
      <c r="D523" s="72" t="s">
        <v>644</v>
      </c>
      <c r="E523" s="49" t="s">
        <v>3754</v>
      </c>
      <c r="F523" s="49"/>
      <c r="G523" s="49"/>
      <c r="H523" s="49" t="s">
        <v>6238</v>
      </c>
      <c r="I523" s="49" t="s">
        <v>6241</v>
      </c>
      <c r="J523" s="49" t="s">
        <v>6239</v>
      </c>
      <c r="K523" s="49" t="s">
        <v>6240</v>
      </c>
      <c r="L523" s="49">
        <v>0</v>
      </c>
      <c r="M523" s="49" t="s">
        <v>1734</v>
      </c>
      <c r="N523" s="49" t="s">
        <v>6242</v>
      </c>
      <c r="O523" s="49">
        <v>58</v>
      </c>
      <c r="P523" s="49" t="s">
        <v>6243</v>
      </c>
      <c r="Q523" s="49">
        <v>0</v>
      </c>
      <c r="R523" s="49" t="s">
        <v>6244</v>
      </c>
      <c r="S523" s="49" t="s">
        <v>6245</v>
      </c>
      <c r="T523" s="49" t="s">
        <v>6246</v>
      </c>
      <c r="U523" s="49" t="s">
        <v>655</v>
      </c>
      <c r="V523" s="49" t="e">
        <v>#REF!</v>
      </c>
      <c r="AC523" s="49"/>
      <c r="AD523" s="49"/>
    </row>
    <row r="524" spans="1:30" hidden="1" x14ac:dyDescent="0.3">
      <c r="A524" s="49" t="s">
        <v>6247</v>
      </c>
      <c r="B524" s="49">
        <v>0</v>
      </c>
      <c r="C524" s="49"/>
      <c r="D524" s="72" t="s">
        <v>644</v>
      </c>
      <c r="E524" s="49" t="s">
        <v>3754</v>
      </c>
      <c r="F524" s="49"/>
      <c r="G524" s="49"/>
      <c r="H524" s="49" t="s">
        <v>6248</v>
      </c>
      <c r="I524" s="49" t="s">
        <v>6251</v>
      </c>
      <c r="J524" s="49" t="s">
        <v>6249</v>
      </c>
      <c r="K524" s="49" t="s">
        <v>6250</v>
      </c>
      <c r="L524" s="49">
        <v>0</v>
      </c>
      <c r="M524" s="49" t="s">
        <v>1764</v>
      </c>
      <c r="N524" s="49" t="s">
        <v>6252</v>
      </c>
      <c r="O524" s="49">
        <v>11</v>
      </c>
      <c r="P524" s="49" t="s">
        <v>6253</v>
      </c>
      <c r="Q524" s="49">
        <v>0</v>
      </c>
      <c r="R524" s="49" t="s">
        <v>6254</v>
      </c>
      <c r="S524" s="49" t="s">
        <v>6255</v>
      </c>
      <c r="T524" s="49" t="s">
        <v>646</v>
      </c>
      <c r="U524" s="49" t="s">
        <v>670</v>
      </c>
      <c r="V524" s="49" t="e">
        <v>#REF!</v>
      </c>
      <c r="AC524" s="49"/>
      <c r="AD524" s="49"/>
    </row>
    <row r="525" spans="1:30" hidden="1" x14ac:dyDescent="0.3">
      <c r="A525" s="49" t="s">
        <v>6256</v>
      </c>
      <c r="B525" s="49">
        <v>0</v>
      </c>
      <c r="C525" s="49"/>
      <c r="D525" s="72" t="s">
        <v>644</v>
      </c>
      <c r="E525" s="49" t="s">
        <v>3754</v>
      </c>
      <c r="F525" s="49"/>
      <c r="G525" s="49"/>
      <c r="H525" s="49" t="s">
        <v>6257</v>
      </c>
      <c r="I525" s="49" t="s">
        <v>6260</v>
      </c>
      <c r="J525" s="49" t="s">
        <v>6258</v>
      </c>
      <c r="K525" s="49" t="s">
        <v>6259</v>
      </c>
      <c r="L525" s="49">
        <v>0</v>
      </c>
      <c r="M525" s="49" t="s">
        <v>1745</v>
      </c>
      <c r="N525" s="49" t="s">
        <v>6261</v>
      </c>
      <c r="O525" s="49">
        <v>1</v>
      </c>
      <c r="P525" s="49" t="s">
        <v>6262</v>
      </c>
      <c r="Q525" s="49">
        <v>0</v>
      </c>
      <c r="R525" s="49" t="s">
        <v>6263</v>
      </c>
      <c r="S525" s="49" t="s">
        <v>6264</v>
      </c>
      <c r="T525" s="49" t="s">
        <v>6265</v>
      </c>
      <c r="U525" s="49" t="s">
        <v>655</v>
      </c>
      <c r="V525" s="49" t="e">
        <v>#REF!</v>
      </c>
      <c r="AC525" s="49"/>
      <c r="AD525" s="49"/>
    </row>
    <row r="526" spans="1:30" hidden="1" x14ac:dyDescent="0.3">
      <c r="A526" s="49" t="s">
        <v>6266</v>
      </c>
      <c r="B526" s="49">
        <v>0</v>
      </c>
      <c r="C526" s="49"/>
      <c r="D526" s="72" t="s">
        <v>644</v>
      </c>
      <c r="E526" s="49" t="s">
        <v>3754</v>
      </c>
      <c r="F526" s="49"/>
      <c r="G526" s="49"/>
      <c r="H526" s="49" t="s">
        <v>6267</v>
      </c>
      <c r="I526" s="49" t="s">
        <v>6270</v>
      </c>
      <c r="J526" s="49" t="s">
        <v>6268</v>
      </c>
      <c r="K526" s="49" t="s">
        <v>6269</v>
      </c>
      <c r="L526" s="49">
        <v>0</v>
      </c>
      <c r="M526" s="49" t="s">
        <v>1826</v>
      </c>
      <c r="N526" s="49" t="s">
        <v>6271</v>
      </c>
      <c r="O526" s="49">
        <v>4</v>
      </c>
      <c r="P526" s="49" t="s">
        <v>6272</v>
      </c>
      <c r="Q526" s="49">
        <v>0</v>
      </c>
      <c r="R526" s="49" t="s">
        <v>6273</v>
      </c>
      <c r="S526" s="49" t="s">
        <v>6274</v>
      </c>
      <c r="T526" s="49" t="s">
        <v>6275</v>
      </c>
      <c r="U526" s="49" t="s">
        <v>655</v>
      </c>
      <c r="V526" s="49" t="e">
        <v>#REF!</v>
      </c>
      <c r="AC526" s="49"/>
      <c r="AD526" s="49"/>
    </row>
    <row r="527" spans="1:30" hidden="1" x14ac:dyDescent="0.3">
      <c r="A527" s="49" t="s">
        <v>6276</v>
      </c>
      <c r="B527" s="49">
        <v>0</v>
      </c>
      <c r="C527" s="49"/>
      <c r="D527" s="72" t="s">
        <v>644</v>
      </c>
      <c r="E527" s="49" t="s">
        <v>3754</v>
      </c>
      <c r="F527" s="49"/>
      <c r="G527" s="49"/>
      <c r="H527" s="49" t="s">
        <v>6277</v>
      </c>
      <c r="I527" s="49" t="s">
        <v>6280</v>
      </c>
      <c r="J527" s="49" t="s">
        <v>6278</v>
      </c>
      <c r="K527" s="49" t="s">
        <v>6279</v>
      </c>
      <c r="L527" s="49">
        <v>0</v>
      </c>
      <c r="M527" s="49" t="s">
        <v>1764</v>
      </c>
      <c r="N527" s="49" t="s">
        <v>6281</v>
      </c>
      <c r="O527" s="49">
        <v>30</v>
      </c>
      <c r="P527" s="49" t="s">
        <v>6282</v>
      </c>
      <c r="Q527" s="49">
        <v>0</v>
      </c>
      <c r="R527" s="49" t="s">
        <v>6283</v>
      </c>
      <c r="S527" s="49" t="s">
        <v>6284</v>
      </c>
      <c r="T527" s="49" t="s">
        <v>6285</v>
      </c>
      <c r="U527" s="49" t="s">
        <v>655</v>
      </c>
      <c r="V527" s="49" t="e">
        <v>#REF!</v>
      </c>
      <c r="AC527" s="49"/>
      <c r="AD527" s="49"/>
    </row>
    <row r="528" spans="1:30" hidden="1" x14ac:dyDescent="0.3">
      <c r="A528" s="49" t="s">
        <v>6286</v>
      </c>
      <c r="B528" s="49">
        <v>0</v>
      </c>
      <c r="C528" s="49"/>
      <c r="D528" s="72" t="s">
        <v>644</v>
      </c>
      <c r="E528" s="49" t="s">
        <v>3754</v>
      </c>
      <c r="F528" s="49"/>
      <c r="G528" s="49"/>
      <c r="H528" s="49" t="s">
        <v>6287</v>
      </c>
      <c r="I528" s="49" t="s">
        <v>6290</v>
      </c>
      <c r="J528" s="49" t="s">
        <v>6288</v>
      </c>
      <c r="K528" s="49" t="s">
        <v>6289</v>
      </c>
      <c r="L528" s="49">
        <v>0</v>
      </c>
      <c r="M528" s="49" t="s">
        <v>2636</v>
      </c>
      <c r="N528" s="49" t="s">
        <v>6291</v>
      </c>
      <c r="O528" s="49">
        <v>4</v>
      </c>
      <c r="P528" s="49" t="s">
        <v>6292</v>
      </c>
      <c r="Q528" s="49">
        <v>0</v>
      </c>
      <c r="R528" s="49" t="s">
        <v>897</v>
      </c>
      <c r="S528" s="49" t="s">
        <v>6293</v>
      </c>
      <c r="T528" s="49" t="s">
        <v>6294</v>
      </c>
      <c r="U528" s="49" t="s">
        <v>670</v>
      </c>
      <c r="V528" s="49" t="e">
        <v>#REF!</v>
      </c>
      <c r="AC528" s="49"/>
      <c r="AD528" s="49"/>
    </row>
    <row r="529" spans="1:30" hidden="1" x14ac:dyDescent="0.3">
      <c r="A529" s="49" t="s">
        <v>6295</v>
      </c>
      <c r="B529" s="49">
        <v>0</v>
      </c>
      <c r="C529" s="49"/>
      <c r="D529" s="72" t="s">
        <v>644</v>
      </c>
      <c r="E529" s="49" t="s">
        <v>3754</v>
      </c>
      <c r="F529" s="49"/>
      <c r="G529" s="49"/>
      <c r="H529" s="49" t="s">
        <v>6296</v>
      </c>
      <c r="I529" s="49" t="s">
        <v>6299</v>
      </c>
      <c r="J529" s="49" t="s">
        <v>6297</v>
      </c>
      <c r="K529" s="49" t="s">
        <v>6298</v>
      </c>
      <c r="L529" s="49">
        <v>0</v>
      </c>
      <c r="M529" s="49" t="s">
        <v>1865</v>
      </c>
      <c r="N529" s="49" t="s">
        <v>6300</v>
      </c>
      <c r="O529" s="49">
        <v>53</v>
      </c>
      <c r="P529" s="49" t="s">
        <v>6301</v>
      </c>
      <c r="Q529" s="49">
        <v>0</v>
      </c>
      <c r="R529" s="49" t="s">
        <v>6302</v>
      </c>
      <c r="S529" s="49" t="s">
        <v>6303</v>
      </c>
      <c r="T529" s="49" t="s">
        <v>6304</v>
      </c>
      <c r="U529" s="49" t="s">
        <v>655</v>
      </c>
      <c r="V529" s="49" t="e">
        <v>#REF!</v>
      </c>
      <c r="AC529" s="49"/>
      <c r="AD529" s="49"/>
    </row>
    <row r="530" spans="1:30" hidden="1" x14ac:dyDescent="0.3">
      <c r="A530" s="49" t="s">
        <v>6305</v>
      </c>
      <c r="B530" s="49">
        <v>0</v>
      </c>
      <c r="C530" s="49"/>
      <c r="D530" s="72" t="s">
        <v>644</v>
      </c>
      <c r="E530" s="49" t="s">
        <v>3754</v>
      </c>
      <c r="F530" s="49"/>
      <c r="G530" s="49"/>
      <c r="H530" s="49" t="s">
        <v>6306</v>
      </c>
      <c r="I530" s="49" t="s">
        <v>6309</v>
      </c>
      <c r="J530" s="49" t="s">
        <v>6307</v>
      </c>
      <c r="K530" s="49" t="s">
        <v>6308</v>
      </c>
      <c r="L530" s="49">
        <v>0</v>
      </c>
      <c r="M530" s="49" t="s">
        <v>1826</v>
      </c>
      <c r="N530" s="49" t="s">
        <v>6310</v>
      </c>
      <c r="P530" s="49" t="s">
        <v>6311</v>
      </c>
      <c r="Q530" s="49">
        <v>0</v>
      </c>
      <c r="R530" s="49" t="s">
        <v>6312</v>
      </c>
      <c r="S530" s="49" t="s">
        <v>6313</v>
      </c>
      <c r="T530" s="49" t="s">
        <v>646</v>
      </c>
      <c r="U530" s="49" t="s">
        <v>670</v>
      </c>
      <c r="V530" s="49" t="e">
        <v>#REF!</v>
      </c>
      <c r="AC530" s="49"/>
      <c r="AD530" s="49"/>
    </row>
    <row r="531" spans="1:30" hidden="1" x14ac:dyDescent="0.3">
      <c r="A531" s="49" t="s">
        <v>6314</v>
      </c>
      <c r="B531" s="49">
        <v>0</v>
      </c>
      <c r="C531" s="49"/>
      <c r="D531" s="72" t="s">
        <v>644</v>
      </c>
      <c r="E531" s="49" t="s">
        <v>3754</v>
      </c>
      <c r="F531" s="49"/>
      <c r="G531" s="49"/>
      <c r="H531" s="49" t="s">
        <v>6315</v>
      </c>
      <c r="I531" s="49" t="s">
        <v>6318</v>
      </c>
      <c r="J531" s="49" t="s">
        <v>6316</v>
      </c>
      <c r="K531" s="49" t="s">
        <v>6317</v>
      </c>
      <c r="L531" s="49">
        <v>0</v>
      </c>
      <c r="M531" s="49" t="s">
        <v>4084</v>
      </c>
      <c r="N531" s="49" t="s">
        <v>6319</v>
      </c>
      <c r="O531" s="49">
        <v>11</v>
      </c>
      <c r="P531" s="49" t="s">
        <v>6320</v>
      </c>
      <c r="Q531" s="49">
        <v>0</v>
      </c>
      <c r="R531" s="49" t="s">
        <v>6321</v>
      </c>
      <c r="S531" s="49" t="s">
        <v>6322</v>
      </c>
      <c r="T531" s="49" t="s">
        <v>6323</v>
      </c>
      <c r="U531" s="49" t="s">
        <v>670</v>
      </c>
      <c r="V531" s="49" t="e">
        <v>#REF!</v>
      </c>
      <c r="AC531" s="49"/>
      <c r="AD531" s="49"/>
    </row>
    <row r="532" spans="1:30" hidden="1" x14ac:dyDescent="0.3">
      <c r="A532" s="49" t="s">
        <v>6324</v>
      </c>
      <c r="B532" s="49">
        <v>0</v>
      </c>
      <c r="C532" s="49"/>
      <c r="D532" s="72" t="s">
        <v>644</v>
      </c>
      <c r="E532" s="49" t="s">
        <v>3754</v>
      </c>
      <c r="F532" s="49"/>
      <c r="G532" s="49"/>
      <c r="H532" s="49" t="s">
        <v>6325</v>
      </c>
      <c r="I532" s="49" t="s">
        <v>6328</v>
      </c>
      <c r="J532" s="49" t="s">
        <v>6326</v>
      </c>
      <c r="K532" s="49" t="s">
        <v>6327</v>
      </c>
      <c r="L532" s="49">
        <v>0</v>
      </c>
      <c r="M532" s="49" t="s">
        <v>4114</v>
      </c>
      <c r="N532" s="49" t="s">
        <v>6329</v>
      </c>
      <c r="O532" s="49">
        <v>7</v>
      </c>
      <c r="P532" s="49" t="s">
        <v>6330</v>
      </c>
      <c r="Q532" s="49">
        <v>0</v>
      </c>
      <c r="R532" s="49" t="s">
        <v>6331</v>
      </c>
      <c r="S532" s="49" t="s">
        <v>6332</v>
      </c>
      <c r="T532" s="49" t="s">
        <v>646</v>
      </c>
      <c r="U532" s="49" t="s">
        <v>670</v>
      </c>
      <c r="V532" s="49" t="e">
        <v>#REF!</v>
      </c>
      <c r="AC532" s="49"/>
      <c r="AD532" s="49"/>
    </row>
    <row r="533" spans="1:30" hidden="1" x14ac:dyDescent="0.3">
      <c r="A533" s="49" t="s">
        <v>6333</v>
      </c>
      <c r="B533" s="49">
        <v>0</v>
      </c>
      <c r="C533" s="49"/>
      <c r="D533" s="72" t="s">
        <v>644</v>
      </c>
      <c r="E533" s="49" t="s">
        <v>3754</v>
      </c>
      <c r="F533" s="49"/>
      <c r="G533" s="49"/>
      <c r="H533" s="49" t="s">
        <v>646</v>
      </c>
      <c r="I533" s="49" t="s">
        <v>6336</v>
      </c>
      <c r="J533" s="49" t="s">
        <v>6334</v>
      </c>
      <c r="K533" s="49" t="s">
        <v>6335</v>
      </c>
      <c r="L533" s="49">
        <v>0</v>
      </c>
      <c r="M533" s="49" t="s">
        <v>2220</v>
      </c>
      <c r="N533" s="49" t="s">
        <v>5371</v>
      </c>
      <c r="O533" s="49">
        <v>2</v>
      </c>
      <c r="P533" s="49" t="s">
        <v>6337</v>
      </c>
      <c r="Q533" s="49">
        <v>0</v>
      </c>
      <c r="R533" s="49" t="s">
        <v>5346</v>
      </c>
      <c r="S533" s="49" t="s">
        <v>6338</v>
      </c>
      <c r="T533" s="49" t="s">
        <v>646</v>
      </c>
      <c r="U533" s="49" t="s">
        <v>670</v>
      </c>
      <c r="V533" s="49" t="e">
        <v>#REF!</v>
      </c>
      <c r="AC533" s="49"/>
      <c r="AD533" s="49"/>
    </row>
    <row r="534" spans="1:30" hidden="1" x14ac:dyDescent="0.3">
      <c r="A534" s="49" t="s">
        <v>6339</v>
      </c>
      <c r="B534" s="49">
        <v>0</v>
      </c>
      <c r="C534" s="49"/>
      <c r="D534" s="72" t="s">
        <v>644</v>
      </c>
      <c r="E534" s="49" t="s">
        <v>3754</v>
      </c>
      <c r="F534" s="49"/>
      <c r="G534" s="49"/>
      <c r="H534" s="49" t="s">
        <v>6340</v>
      </c>
      <c r="I534" s="49" t="s">
        <v>6343</v>
      </c>
      <c r="J534" s="49" t="s">
        <v>6341</v>
      </c>
      <c r="K534" s="49" t="s">
        <v>6342</v>
      </c>
      <c r="L534" s="49">
        <v>0</v>
      </c>
      <c r="M534" s="49" t="s">
        <v>2636</v>
      </c>
      <c r="N534" s="49" t="s">
        <v>6344</v>
      </c>
      <c r="O534" s="49">
        <v>5</v>
      </c>
      <c r="P534" s="49" t="s">
        <v>6345</v>
      </c>
      <c r="Q534" s="49">
        <v>0</v>
      </c>
      <c r="R534" s="49" t="s">
        <v>6346</v>
      </c>
      <c r="S534" s="49" t="s">
        <v>6347</v>
      </c>
      <c r="T534" s="49" t="s">
        <v>6348</v>
      </c>
      <c r="U534" s="49" t="s">
        <v>655</v>
      </c>
      <c r="V534" s="49" t="e">
        <v>#REF!</v>
      </c>
      <c r="AC534" s="49"/>
      <c r="AD534" s="49"/>
    </row>
    <row r="535" spans="1:30" hidden="1" x14ac:dyDescent="0.3">
      <c r="A535" s="49" t="s">
        <v>6349</v>
      </c>
      <c r="B535" s="49">
        <v>0</v>
      </c>
      <c r="C535" s="49"/>
      <c r="D535" s="72" t="s">
        <v>644</v>
      </c>
      <c r="E535" s="49" t="s">
        <v>3754</v>
      </c>
      <c r="F535" s="49"/>
      <c r="G535" s="49"/>
      <c r="H535" s="49" t="s">
        <v>6350</v>
      </c>
      <c r="I535" s="49" t="s">
        <v>6353</v>
      </c>
      <c r="J535" s="49" t="s">
        <v>6351</v>
      </c>
      <c r="K535" s="49" t="s">
        <v>6352</v>
      </c>
      <c r="L535" s="49">
        <v>0</v>
      </c>
      <c r="M535" s="49" t="s">
        <v>4084</v>
      </c>
      <c r="N535" s="49" t="s">
        <v>895</v>
      </c>
      <c r="O535" s="49">
        <v>25</v>
      </c>
      <c r="P535" s="49" t="s">
        <v>6354</v>
      </c>
      <c r="Q535" s="49">
        <v>0</v>
      </c>
      <c r="R535" s="49" t="s">
        <v>6355</v>
      </c>
      <c r="S535" s="49" t="s">
        <v>6356</v>
      </c>
      <c r="T535" s="49" t="s">
        <v>6357</v>
      </c>
      <c r="U535" s="49" t="s">
        <v>670</v>
      </c>
      <c r="V535" s="49" t="e">
        <v>#REF!</v>
      </c>
      <c r="AC535" s="49"/>
      <c r="AD535" s="49"/>
    </row>
    <row r="536" spans="1:30" hidden="1" x14ac:dyDescent="0.3">
      <c r="A536" s="49" t="s">
        <v>6358</v>
      </c>
      <c r="B536" s="49">
        <v>0</v>
      </c>
      <c r="C536" s="49"/>
      <c r="D536" s="72" t="s">
        <v>644</v>
      </c>
      <c r="E536" s="49" t="s">
        <v>3754</v>
      </c>
      <c r="F536" s="49"/>
      <c r="G536" s="49"/>
      <c r="H536" s="49" t="s">
        <v>6359</v>
      </c>
      <c r="I536" s="49" t="s">
        <v>6362</v>
      </c>
      <c r="J536" s="49" t="s">
        <v>6360</v>
      </c>
      <c r="K536" s="49" t="s">
        <v>6361</v>
      </c>
      <c r="L536" s="49">
        <v>0</v>
      </c>
      <c r="M536" s="49" t="s">
        <v>1764</v>
      </c>
      <c r="N536" s="49" t="s">
        <v>6363</v>
      </c>
      <c r="P536" s="49" t="s">
        <v>6364</v>
      </c>
      <c r="Q536" s="49">
        <v>0</v>
      </c>
      <c r="R536" s="49" t="s">
        <v>6365</v>
      </c>
      <c r="S536" s="49" t="s">
        <v>6366</v>
      </c>
      <c r="T536" s="49" t="s">
        <v>6367</v>
      </c>
      <c r="U536" s="49" t="s">
        <v>655</v>
      </c>
      <c r="V536" s="49" t="e">
        <v>#REF!</v>
      </c>
      <c r="AC536" s="49"/>
      <c r="AD536" s="49"/>
    </row>
    <row r="537" spans="1:30" hidden="1" x14ac:dyDescent="0.3">
      <c r="A537" s="49" t="s">
        <v>6368</v>
      </c>
      <c r="B537" s="49">
        <v>0</v>
      </c>
      <c r="C537" s="49"/>
      <c r="D537" s="72" t="s">
        <v>644</v>
      </c>
      <c r="E537" s="49" t="s">
        <v>3754</v>
      </c>
      <c r="F537" s="49"/>
      <c r="G537" s="49"/>
      <c r="H537" s="49" t="s">
        <v>6369</v>
      </c>
      <c r="I537" s="49" t="s">
        <v>6372</v>
      </c>
      <c r="J537" s="49" t="s">
        <v>6370</v>
      </c>
      <c r="K537" s="49" t="s">
        <v>6371</v>
      </c>
      <c r="L537" s="49">
        <v>0</v>
      </c>
      <c r="M537" s="49" t="s">
        <v>2142</v>
      </c>
      <c r="N537" s="49" t="s">
        <v>4381</v>
      </c>
      <c r="O537" s="49">
        <v>47</v>
      </c>
      <c r="P537" s="49" t="s">
        <v>6373</v>
      </c>
      <c r="Q537" s="49">
        <v>0</v>
      </c>
      <c r="R537" s="49" t="s">
        <v>6374</v>
      </c>
      <c r="S537" s="49" t="s">
        <v>6375</v>
      </c>
      <c r="T537" s="49" t="s">
        <v>6376</v>
      </c>
      <c r="U537" s="49" t="s">
        <v>655</v>
      </c>
      <c r="V537" s="49" t="e">
        <v>#REF!</v>
      </c>
      <c r="AC537" s="49"/>
      <c r="AD537" s="49"/>
    </row>
    <row r="538" spans="1:30" hidden="1" x14ac:dyDescent="0.3">
      <c r="A538" s="49" t="s">
        <v>6377</v>
      </c>
      <c r="B538" s="49">
        <v>0</v>
      </c>
      <c r="C538" s="49"/>
      <c r="D538" s="72" t="s">
        <v>644</v>
      </c>
      <c r="E538" s="49" t="s">
        <v>3754</v>
      </c>
      <c r="F538" s="49"/>
      <c r="G538" s="49"/>
      <c r="H538" s="49" t="s">
        <v>6378</v>
      </c>
      <c r="I538" s="49" t="s">
        <v>6381</v>
      </c>
      <c r="J538" s="49" t="s">
        <v>6379</v>
      </c>
      <c r="K538" s="49" t="s">
        <v>6380</v>
      </c>
      <c r="L538" s="49">
        <v>0</v>
      </c>
      <c r="M538" s="49" t="s">
        <v>1826</v>
      </c>
      <c r="N538" s="49" t="s">
        <v>2657</v>
      </c>
      <c r="O538" s="49">
        <v>1</v>
      </c>
      <c r="P538" s="49" t="s">
        <v>6382</v>
      </c>
      <c r="Q538" s="49">
        <v>0</v>
      </c>
      <c r="R538" s="49" t="s">
        <v>6383</v>
      </c>
      <c r="S538" s="49" t="s">
        <v>6384</v>
      </c>
      <c r="T538" s="49" t="s">
        <v>6385</v>
      </c>
      <c r="U538" s="49" t="s">
        <v>655</v>
      </c>
      <c r="V538" s="49" t="e">
        <v>#REF!</v>
      </c>
      <c r="AC538" s="49"/>
      <c r="AD538" s="49"/>
    </row>
    <row r="539" spans="1:30" hidden="1" x14ac:dyDescent="0.3">
      <c r="A539" s="49" t="s">
        <v>6386</v>
      </c>
      <c r="B539" s="49">
        <v>0</v>
      </c>
      <c r="C539" s="49"/>
      <c r="D539" s="72" t="s">
        <v>644</v>
      </c>
      <c r="E539" s="49" t="s">
        <v>3754</v>
      </c>
      <c r="F539" s="49"/>
      <c r="G539" s="49"/>
      <c r="H539" s="49" t="s">
        <v>6387</v>
      </c>
      <c r="I539" s="49" t="s">
        <v>6390</v>
      </c>
      <c r="J539" s="49" t="s">
        <v>6388</v>
      </c>
      <c r="K539" s="49" t="s">
        <v>6389</v>
      </c>
      <c r="L539" s="49">
        <v>0</v>
      </c>
      <c r="M539" s="49" t="s">
        <v>2484</v>
      </c>
      <c r="N539" s="49" t="s">
        <v>6391</v>
      </c>
      <c r="O539" s="49">
        <v>3</v>
      </c>
      <c r="P539" s="49" t="s">
        <v>6392</v>
      </c>
      <c r="Q539" s="49">
        <v>0</v>
      </c>
      <c r="R539" s="49" t="s">
        <v>6393</v>
      </c>
      <c r="S539" s="49" t="s">
        <v>6394</v>
      </c>
      <c r="T539" s="49" t="s">
        <v>646</v>
      </c>
      <c r="U539" s="49" t="s">
        <v>670</v>
      </c>
      <c r="V539" s="49" t="e">
        <v>#REF!</v>
      </c>
      <c r="AC539" s="49"/>
      <c r="AD539" s="49"/>
    </row>
    <row r="540" spans="1:30" hidden="1" x14ac:dyDescent="0.3">
      <c r="A540" s="49" t="s">
        <v>6395</v>
      </c>
      <c r="B540" s="49">
        <v>0</v>
      </c>
      <c r="C540" s="49"/>
      <c r="D540" s="72" t="s">
        <v>644</v>
      </c>
      <c r="E540" s="49" t="s">
        <v>3754</v>
      </c>
      <c r="F540" s="49"/>
      <c r="G540" s="49"/>
      <c r="H540" s="49" t="s">
        <v>6396</v>
      </c>
      <c r="I540" s="49" t="s">
        <v>6399</v>
      </c>
      <c r="J540" s="49" t="s">
        <v>6397</v>
      </c>
      <c r="K540" s="49" t="s">
        <v>6398</v>
      </c>
      <c r="L540" s="49">
        <v>0</v>
      </c>
      <c r="M540" s="49" t="s">
        <v>4084</v>
      </c>
      <c r="N540" s="49" t="s">
        <v>6400</v>
      </c>
      <c r="O540" s="49">
        <v>17</v>
      </c>
      <c r="P540" s="49" t="s">
        <v>6401</v>
      </c>
      <c r="Q540" s="49">
        <v>0</v>
      </c>
      <c r="R540" s="49" t="s">
        <v>6402</v>
      </c>
      <c r="S540" s="49" t="s">
        <v>6403</v>
      </c>
      <c r="T540" s="49" t="s">
        <v>6404</v>
      </c>
      <c r="U540" s="49" t="s">
        <v>670</v>
      </c>
      <c r="V540" s="49" t="e">
        <v>#REF!</v>
      </c>
      <c r="AC540" s="49"/>
      <c r="AD540" s="49"/>
    </row>
    <row r="541" spans="1:30" hidden="1" x14ac:dyDescent="0.3">
      <c r="A541" s="49" t="s">
        <v>6405</v>
      </c>
      <c r="B541" s="49">
        <v>0</v>
      </c>
      <c r="C541" s="49"/>
      <c r="D541" s="72" t="s">
        <v>644</v>
      </c>
      <c r="E541" s="49" t="s">
        <v>3754</v>
      </c>
      <c r="F541" s="49"/>
      <c r="G541" s="49"/>
      <c r="H541" s="49" t="s">
        <v>6406</v>
      </c>
      <c r="I541" s="49" t="s">
        <v>6409</v>
      </c>
      <c r="J541" s="49" t="s">
        <v>6407</v>
      </c>
      <c r="K541" s="49" t="s">
        <v>6408</v>
      </c>
      <c r="L541" s="49">
        <v>0</v>
      </c>
      <c r="M541" s="49" t="s">
        <v>2636</v>
      </c>
      <c r="N541" s="49" t="s">
        <v>3761</v>
      </c>
      <c r="O541" s="49">
        <v>5</v>
      </c>
      <c r="P541" s="49" t="s">
        <v>6410</v>
      </c>
      <c r="Q541" s="49">
        <v>0</v>
      </c>
      <c r="R541" s="49" t="s">
        <v>6411</v>
      </c>
      <c r="S541" s="49" t="s">
        <v>6412</v>
      </c>
      <c r="T541" s="49" t="s">
        <v>6413</v>
      </c>
      <c r="U541" s="49" t="s">
        <v>655</v>
      </c>
      <c r="V541" s="49" t="e">
        <v>#REF!</v>
      </c>
      <c r="AC541" s="49"/>
      <c r="AD541" s="49"/>
    </row>
    <row r="542" spans="1:30" hidden="1" x14ac:dyDescent="0.3">
      <c r="A542" s="49" t="s">
        <v>6414</v>
      </c>
      <c r="B542" s="49">
        <v>0</v>
      </c>
      <c r="C542" s="49"/>
      <c r="D542" s="72" t="s">
        <v>644</v>
      </c>
      <c r="E542" s="49" t="s">
        <v>3754</v>
      </c>
      <c r="F542" s="49"/>
      <c r="G542" s="49"/>
      <c r="H542" s="49" t="s">
        <v>6415</v>
      </c>
      <c r="I542" s="49" t="s">
        <v>6418</v>
      </c>
      <c r="J542" s="49" t="s">
        <v>6416</v>
      </c>
      <c r="K542" s="49" t="s">
        <v>6417</v>
      </c>
      <c r="L542" s="49">
        <v>0</v>
      </c>
      <c r="M542" s="49" t="s">
        <v>3570</v>
      </c>
      <c r="N542" s="49" t="s">
        <v>5838</v>
      </c>
      <c r="O542" s="49">
        <v>755</v>
      </c>
      <c r="P542" s="49" t="s">
        <v>6419</v>
      </c>
      <c r="Q542" s="49">
        <v>0</v>
      </c>
      <c r="R542" s="49" t="s">
        <v>6420</v>
      </c>
      <c r="S542" s="49" t="s">
        <v>6421</v>
      </c>
      <c r="T542" s="49" t="s">
        <v>6422</v>
      </c>
      <c r="U542" s="49" t="s">
        <v>670</v>
      </c>
      <c r="V542" s="49" t="e">
        <v>#REF!</v>
      </c>
      <c r="AC542" s="49"/>
      <c r="AD542" s="49"/>
    </row>
    <row r="543" spans="1:30" hidden="1" x14ac:dyDescent="0.3">
      <c r="A543" s="49" t="s">
        <v>6423</v>
      </c>
      <c r="B543" s="49">
        <v>0</v>
      </c>
      <c r="C543" s="49"/>
      <c r="D543" s="72" t="s">
        <v>644</v>
      </c>
      <c r="E543" s="49" t="s">
        <v>3754</v>
      </c>
      <c r="F543" s="49"/>
      <c r="G543" s="49"/>
      <c r="H543" s="49" t="s">
        <v>6424</v>
      </c>
      <c r="I543" s="49" t="s">
        <v>6427</v>
      </c>
      <c r="J543" s="49" t="s">
        <v>6425</v>
      </c>
      <c r="K543" s="49" t="s">
        <v>6426</v>
      </c>
      <c r="L543" s="49">
        <v>0</v>
      </c>
      <c r="M543" s="49" t="s">
        <v>2456</v>
      </c>
      <c r="N543" s="49" t="s">
        <v>6428</v>
      </c>
      <c r="O543" s="49">
        <v>6</v>
      </c>
      <c r="P543" s="49" t="s">
        <v>6429</v>
      </c>
      <c r="Q543" s="49">
        <v>0</v>
      </c>
      <c r="R543" s="49" t="s">
        <v>6430</v>
      </c>
      <c r="S543" s="49" t="s">
        <v>6431</v>
      </c>
      <c r="T543" s="49" t="s">
        <v>6432</v>
      </c>
      <c r="U543" s="49" t="s">
        <v>670</v>
      </c>
      <c r="V543" s="49" t="e">
        <v>#REF!</v>
      </c>
      <c r="AC543" s="49"/>
      <c r="AD543" s="49"/>
    </row>
    <row r="544" spans="1:30" hidden="1" x14ac:dyDescent="0.3">
      <c r="A544" s="49" t="s">
        <v>671</v>
      </c>
      <c r="B544" s="49">
        <v>0</v>
      </c>
      <c r="C544" s="49"/>
      <c r="D544" s="72" t="s">
        <v>644</v>
      </c>
      <c r="E544" s="49" t="s">
        <v>3754</v>
      </c>
      <c r="F544" s="49"/>
      <c r="G544" s="49"/>
      <c r="H544" s="49" t="s">
        <v>673</v>
      </c>
      <c r="I544" s="49" t="s">
        <v>674</v>
      </c>
      <c r="J544" s="49" t="s">
        <v>675</v>
      </c>
      <c r="K544" s="49" t="s">
        <v>676</v>
      </c>
      <c r="L544" s="49">
        <v>0</v>
      </c>
      <c r="M544" s="49" t="s">
        <v>2484</v>
      </c>
      <c r="N544" s="49" t="s">
        <v>677</v>
      </c>
      <c r="O544" s="49">
        <v>5</v>
      </c>
      <c r="P544" s="49" t="s">
        <v>678</v>
      </c>
      <c r="Q544" s="49">
        <v>0</v>
      </c>
      <c r="R544" s="49" t="s">
        <v>679</v>
      </c>
      <c r="S544" s="49" t="s">
        <v>680</v>
      </c>
      <c r="T544" s="49" t="s">
        <v>646</v>
      </c>
      <c r="U544" s="49" t="s">
        <v>670</v>
      </c>
      <c r="V544" s="49" t="e">
        <v>#REF!</v>
      </c>
      <c r="AC544" s="49"/>
      <c r="AD544" s="49"/>
    </row>
    <row r="545" spans="1:30" hidden="1" x14ac:dyDescent="0.3">
      <c r="A545" s="49" t="s">
        <v>6433</v>
      </c>
      <c r="B545" s="49">
        <v>0</v>
      </c>
      <c r="C545" s="49"/>
      <c r="D545" s="72" t="s">
        <v>644</v>
      </c>
      <c r="E545" s="49" t="s">
        <v>3754</v>
      </c>
      <c r="F545" s="49"/>
      <c r="G545" s="49"/>
      <c r="H545" s="49" t="s">
        <v>6434</v>
      </c>
      <c r="I545" s="49" t="s">
        <v>6437</v>
      </c>
      <c r="J545" s="49" t="s">
        <v>6435</v>
      </c>
      <c r="K545" s="49" t="s">
        <v>6436</v>
      </c>
      <c r="L545" s="49">
        <v>0</v>
      </c>
      <c r="M545" s="49" t="s">
        <v>3570</v>
      </c>
      <c r="N545" s="49" t="s">
        <v>6090</v>
      </c>
      <c r="O545" s="49">
        <v>76</v>
      </c>
      <c r="P545" s="49" t="s">
        <v>6438</v>
      </c>
      <c r="Q545" s="49">
        <v>0</v>
      </c>
      <c r="R545" s="49" t="s">
        <v>6439</v>
      </c>
      <c r="S545" s="49" t="s">
        <v>6440</v>
      </c>
      <c r="T545" s="49" t="s">
        <v>6441</v>
      </c>
      <c r="U545" s="49" t="s">
        <v>670</v>
      </c>
      <c r="V545" s="49" t="e">
        <v>#REF!</v>
      </c>
      <c r="AC545" s="49"/>
      <c r="AD545" s="49"/>
    </row>
    <row r="546" spans="1:30" hidden="1" x14ac:dyDescent="0.3">
      <c r="A546" s="49" t="s">
        <v>1182</v>
      </c>
      <c r="B546" s="49">
        <v>0</v>
      </c>
      <c r="C546" s="49"/>
      <c r="D546" s="72" t="s">
        <v>644</v>
      </c>
      <c r="E546" s="49" t="s">
        <v>3754</v>
      </c>
      <c r="F546" s="49"/>
      <c r="G546" s="49"/>
      <c r="H546" s="49" t="s">
        <v>1184</v>
      </c>
      <c r="I546" s="49" t="s">
        <v>1185</v>
      </c>
      <c r="J546" s="49" t="s">
        <v>1186</v>
      </c>
      <c r="K546" s="49" t="s">
        <v>1187</v>
      </c>
      <c r="L546" s="49">
        <v>0</v>
      </c>
      <c r="M546" s="49" t="s">
        <v>1826</v>
      </c>
      <c r="N546" s="49" t="s">
        <v>1188</v>
      </c>
      <c r="O546" s="49">
        <v>1</v>
      </c>
      <c r="P546" s="49" t="s">
        <v>1189</v>
      </c>
      <c r="Q546" s="49">
        <v>0</v>
      </c>
      <c r="R546" s="49" t="s">
        <v>1191</v>
      </c>
      <c r="S546" s="49" t="s">
        <v>1192</v>
      </c>
      <c r="T546" s="49" t="s">
        <v>646</v>
      </c>
      <c r="U546" s="49" t="s">
        <v>670</v>
      </c>
      <c r="V546" s="49" t="e">
        <v>#REF!</v>
      </c>
      <c r="AC546" s="49"/>
      <c r="AD546" s="49"/>
    </row>
    <row r="547" spans="1:30" hidden="1" x14ac:dyDescent="0.3">
      <c r="A547" s="49" t="s">
        <v>6442</v>
      </c>
      <c r="B547" s="49">
        <v>0</v>
      </c>
      <c r="C547" s="49"/>
      <c r="D547" s="72" t="s">
        <v>644</v>
      </c>
      <c r="E547" s="49" t="s">
        <v>3754</v>
      </c>
      <c r="F547" s="49"/>
      <c r="G547" s="49"/>
      <c r="H547" s="49" t="s">
        <v>646</v>
      </c>
      <c r="I547" s="49" t="s">
        <v>6446</v>
      </c>
      <c r="J547" s="49" t="s">
        <v>6443</v>
      </c>
      <c r="K547" s="49" t="s">
        <v>6444</v>
      </c>
      <c r="L547" s="49">
        <v>0</v>
      </c>
      <c r="M547" s="49" t="s">
        <v>6445</v>
      </c>
      <c r="N547" s="49" t="s">
        <v>6447</v>
      </c>
      <c r="P547" s="49" t="s">
        <v>6448</v>
      </c>
      <c r="Q547" s="49">
        <v>0</v>
      </c>
      <c r="R547" s="49" t="s">
        <v>6449</v>
      </c>
      <c r="S547" s="49" t="s">
        <v>6450</v>
      </c>
      <c r="T547" s="49" t="s">
        <v>6451</v>
      </c>
      <c r="U547" s="49" t="s">
        <v>670</v>
      </c>
      <c r="V547" s="49" t="e">
        <v>#REF!</v>
      </c>
      <c r="AC547" s="49"/>
      <c r="AD547" s="49"/>
    </row>
    <row r="548" spans="1:30" hidden="1" x14ac:dyDescent="0.3">
      <c r="A548" s="49" t="s">
        <v>6452</v>
      </c>
      <c r="B548" s="49">
        <v>0</v>
      </c>
      <c r="C548" s="49"/>
      <c r="D548" s="72" t="s">
        <v>644</v>
      </c>
      <c r="E548" s="49" t="s">
        <v>3754</v>
      </c>
      <c r="F548" s="49"/>
      <c r="G548" s="49"/>
      <c r="H548" s="49" t="s">
        <v>646</v>
      </c>
      <c r="I548" s="49" t="s">
        <v>6455</v>
      </c>
      <c r="J548" s="49" t="s">
        <v>6453</v>
      </c>
      <c r="K548" s="49" t="s">
        <v>6454</v>
      </c>
      <c r="L548" s="49">
        <v>0</v>
      </c>
      <c r="M548" s="49" t="s">
        <v>5600</v>
      </c>
      <c r="N548" s="49" t="s">
        <v>2239</v>
      </c>
      <c r="O548" s="49">
        <v>51</v>
      </c>
      <c r="P548" s="49" t="s">
        <v>6456</v>
      </c>
      <c r="Q548" s="49">
        <v>0</v>
      </c>
      <c r="R548" s="49" t="s">
        <v>6457</v>
      </c>
      <c r="S548" s="49" t="s">
        <v>6458</v>
      </c>
      <c r="T548" s="49" t="s">
        <v>6459</v>
      </c>
      <c r="U548" s="49" t="s">
        <v>670</v>
      </c>
      <c r="V548" s="49" t="e">
        <v>#REF!</v>
      </c>
      <c r="AC548" s="49"/>
      <c r="AD548" s="49"/>
    </row>
    <row r="549" spans="1:30" hidden="1" x14ac:dyDescent="0.3">
      <c r="A549" s="49" t="s">
        <v>6460</v>
      </c>
      <c r="B549" s="49">
        <v>0</v>
      </c>
      <c r="C549" s="49"/>
      <c r="D549" s="72" t="s">
        <v>644</v>
      </c>
      <c r="E549" s="49" t="s">
        <v>3754</v>
      </c>
      <c r="F549" s="49"/>
      <c r="G549" s="49"/>
      <c r="H549" s="49" t="s">
        <v>6461</v>
      </c>
      <c r="I549" s="49" t="s">
        <v>6464</v>
      </c>
      <c r="J549" s="49" t="s">
        <v>6462</v>
      </c>
      <c r="K549" s="49" t="s">
        <v>6463</v>
      </c>
      <c r="L549" s="49">
        <v>0</v>
      </c>
      <c r="M549" s="49" t="s">
        <v>2142</v>
      </c>
      <c r="N549" s="49" t="s">
        <v>6465</v>
      </c>
      <c r="O549" s="49">
        <v>15</v>
      </c>
      <c r="P549" s="49" t="s">
        <v>6466</v>
      </c>
      <c r="Q549" s="49">
        <v>0</v>
      </c>
      <c r="R549" s="49" t="s">
        <v>6467</v>
      </c>
      <c r="S549" s="49" t="s">
        <v>6468</v>
      </c>
      <c r="T549" s="49" t="s">
        <v>646</v>
      </c>
      <c r="U549" s="49" t="s">
        <v>655</v>
      </c>
      <c r="V549" s="49" t="e">
        <v>#REF!</v>
      </c>
      <c r="AC549" s="49"/>
      <c r="AD549" s="49"/>
    </row>
    <row r="550" spans="1:30" hidden="1" x14ac:dyDescent="0.3">
      <c r="A550" s="49" t="s">
        <v>6469</v>
      </c>
      <c r="B550" s="49">
        <v>0</v>
      </c>
      <c r="C550" s="49"/>
      <c r="D550" s="72" t="s">
        <v>644</v>
      </c>
      <c r="E550" s="49" t="s">
        <v>3754</v>
      </c>
      <c r="F550" s="49"/>
      <c r="G550" s="49"/>
      <c r="H550" s="49" t="s">
        <v>646</v>
      </c>
      <c r="I550" s="49" t="s">
        <v>6472</v>
      </c>
      <c r="J550" s="49" t="s">
        <v>6470</v>
      </c>
      <c r="K550" s="49" t="s">
        <v>6471</v>
      </c>
      <c r="L550" s="49">
        <v>0</v>
      </c>
      <c r="M550" s="49" t="s">
        <v>4114</v>
      </c>
      <c r="N550" s="49" t="s">
        <v>6473</v>
      </c>
      <c r="O550" s="49">
        <v>22</v>
      </c>
      <c r="P550" s="49" t="s">
        <v>6474</v>
      </c>
      <c r="Q550" s="49">
        <v>0</v>
      </c>
      <c r="R550" s="49" t="s">
        <v>6475</v>
      </c>
      <c r="S550" s="49" t="s">
        <v>6476</v>
      </c>
      <c r="T550" s="49" t="s">
        <v>646</v>
      </c>
      <c r="U550" s="49" t="s">
        <v>670</v>
      </c>
      <c r="V550" s="49" t="e">
        <v>#REF!</v>
      </c>
      <c r="AC550" s="49"/>
      <c r="AD550" s="49"/>
    </row>
    <row r="551" spans="1:30" hidden="1" x14ac:dyDescent="0.3">
      <c r="A551" s="49" t="s">
        <v>6477</v>
      </c>
      <c r="B551" s="49">
        <v>0</v>
      </c>
      <c r="C551" s="49"/>
      <c r="D551" s="72" t="s">
        <v>644</v>
      </c>
      <c r="E551" s="49" t="s">
        <v>3754</v>
      </c>
      <c r="F551" s="49"/>
      <c r="G551" s="49"/>
      <c r="H551" s="49" t="s">
        <v>646</v>
      </c>
      <c r="I551" s="49" t="s">
        <v>6480</v>
      </c>
      <c r="J551" s="49" t="s">
        <v>6478</v>
      </c>
      <c r="K551" s="49" t="s">
        <v>6479</v>
      </c>
      <c r="L551" s="49">
        <v>0</v>
      </c>
      <c r="M551" s="49" t="s">
        <v>1817</v>
      </c>
      <c r="N551" s="49" t="s">
        <v>6481</v>
      </c>
      <c r="P551" s="49" t="s">
        <v>6482</v>
      </c>
      <c r="Q551" s="49">
        <v>0</v>
      </c>
      <c r="R551" s="49" t="s">
        <v>6483</v>
      </c>
      <c r="S551" s="49" t="s">
        <v>6484</v>
      </c>
      <c r="T551" s="49" t="s">
        <v>6485</v>
      </c>
      <c r="U551" s="49" t="s">
        <v>670</v>
      </c>
      <c r="V551" s="49" t="e">
        <v>#REF!</v>
      </c>
      <c r="AC551" s="49"/>
      <c r="AD551" s="49"/>
    </row>
    <row r="552" spans="1:30" hidden="1" x14ac:dyDescent="0.3">
      <c r="A552" s="49" t="s">
        <v>6486</v>
      </c>
      <c r="B552" s="49">
        <v>0</v>
      </c>
      <c r="C552" s="49"/>
      <c r="D552" s="72" t="s">
        <v>644</v>
      </c>
      <c r="E552" s="49" t="s">
        <v>3754</v>
      </c>
      <c r="F552" s="49"/>
      <c r="G552" s="49"/>
      <c r="H552" s="49" t="s">
        <v>646</v>
      </c>
      <c r="I552" s="49" t="s">
        <v>6480</v>
      </c>
      <c r="J552" s="49" t="s">
        <v>6478</v>
      </c>
      <c r="K552" s="49" t="s">
        <v>6487</v>
      </c>
      <c r="L552" s="49">
        <v>0</v>
      </c>
      <c r="M552" s="49" t="s">
        <v>1817</v>
      </c>
      <c r="N552" s="49" t="s">
        <v>6488</v>
      </c>
      <c r="O552" s="49">
        <v>4</v>
      </c>
      <c r="P552" s="49" t="s">
        <v>6489</v>
      </c>
      <c r="Q552" s="49">
        <v>0</v>
      </c>
      <c r="R552" s="49" t="s">
        <v>646</v>
      </c>
      <c r="S552" s="49" t="s">
        <v>6490</v>
      </c>
      <c r="T552" s="49" t="s">
        <v>6491</v>
      </c>
      <c r="U552" s="49" t="s">
        <v>670</v>
      </c>
      <c r="V552" s="49" t="e">
        <v>#REF!</v>
      </c>
      <c r="AC552" s="49"/>
      <c r="AD552" s="49"/>
    </row>
    <row r="553" spans="1:30" hidden="1" x14ac:dyDescent="0.3">
      <c r="A553" s="49" t="s">
        <v>6492</v>
      </c>
      <c r="B553" s="49">
        <v>0</v>
      </c>
      <c r="C553" s="49"/>
      <c r="D553" s="72" t="s">
        <v>644</v>
      </c>
      <c r="E553" s="49" t="s">
        <v>3754</v>
      </c>
      <c r="F553" s="49"/>
      <c r="G553" s="49"/>
      <c r="H553" s="49" t="s">
        <v>6493</v>
      </c>
      <c r="I553" s="49" t="s">
        <v>6496</v>
      </c>
      <c r="J553" s="49" t="s">
        <v>6494</v>
      </c>
      <c r="K553" s="49" t="s">
        <v>6495</v>
      </c>
      <c r="L553" s="49">
        <v>0</v>
      </c>
      <c r="M553" s="49" t="s">
        <v>1817</v>
      </c>
      <c r="N553" s="49" t="s">
        <v>5178</v>
      </c>
      <c r="O553" s="49">
        <v>298</v>
      </c>
      <c r="P553" s="49" t="s">
        <v>6497</v>
      </c>
      <c r="Q553" s="49">
        <v>0</v>
      </c>
      <c r="R553" s="49" t="s">
        <v>6498</v>
      </c>
      <c r="S553" s="49" t="s">
        <v>6499</v>
      </c>
      <c r="T553" s="49" t="s">
        <v>6500</v>
      </c>
      <c r="U553" s="49" t="s">
        <v>655</v>
      </c>
      <c r="V553" s="49" t="e">
        <v>#REF!</v>
      </c>
      <c r="AC553" s="49"/>
      <c r="AD553" s="49"/>
    </row>
    <row r="554" spans="1:30" hidden="1" x14ac:dyDescent="0.3">
      <c r="A554" s="49" t="s">
        <v>6501</v>
      </c>
      <c r="B554" s="49">
        <v>0</v>
      </c>
      <c r="C554" s="49"/>
      <c r="D554" s="72" t="s">
        <v>644</v>
      </c>
      <c r="E554" s="49" t="s">
        <v>3754</v>
      </c>
      <c r="F554" s="49"/>
      <c r="G554" s="49"/>
      <c r="H554" s="49" t="s">
        <v>6502</v>
      </c>
      <c r="I554" s="49" t="s">
        <v>6505</v>
      </c>
      <c r="J554" s="49" t="s">
        <v>6503</v>
      </c>
      <c r="K554" s="49" t="s">
        <v>6504</v>
      </c>
      <c r="L554" s="49">
        <v>0</v>
      </c>
      <c r="M554" s="49" t="s">
        <v>2456</v>
      </c>
      <c r="N554" s="49" t="s">
        <v>5893</v>
      </c>
      <c r="O554" s="49">
        <v>10</v>
      </c>
      <c r="P554" s="49" t="s">
        <v>6506</v>
      </c>
      <c r="Q554" s="49">
        <v>0</v>
      </c>
      <c r="R554" s="49" t="s">
        <v>6507</v>
      </c>
      <c r="S554" s="49" t="s">
        <v>6508</v>
      </c>
      <c r="T554" s="49" t="s">
        <v>6509</v>
      </c>
      <c r="U554" s="49" t="s">
        <v>791</v>
      </c>
      <c r="V554" s="49" t="e">
        <v>#REF!</v>
      </c>
      <c r="AC554" s="49"/>
      <c r="AD554" s="49"/>
    </row>
    <row r="555" spans="1:30" hidden="1" x14ac:dyDescent="0.3">
      <c r="A555" s="49" t="s">
        <v>1144</v>
      </c>
      <c r="B555" s="49">
        <v>0</v>
      </c>
      <c r="C555" s="49"/>
      <c r="D555" s="72" t="s">
        <v>644</v>
      </c>
      <c r="E555" s="49" t="s">
        <v>3754</v>
      </c>
      <c r="F555" s="49"/>
      <c r="G555" s="49"/>
      <c r="H555" s="49" t="s">
        <v>1146</v>
      </c>
      <c r="I555" s="49" t="s">
        <v>1147</v>
      </c>
      <c r="J555" s="49" t="s">
        <v>1148</v>
      </c>
      <c r="K555" s="49" t="s">
        <v>1149</v>
      </c>
      <c r="L555" s="49">
        <v>0</v>
      </c>
      <c r="M555" s="49" t="s">
        <v>1865</v>
      </c>
      <c r="N555" s="49" t="s">
        <v>687</v>
      </c>
      <c r="O555" s="49">
        <v>11</v>
      </c>
      <c r="P555" s="49" t="s">
        <v>1151</v>
      </c>
      <c r="Q555" s="49">
        <v>0</v>
      </c>
      <c r="R555" s="49" t="s">
        <v>1153</v>
      </c>
      <c r="S555" s="49" t="s">
        <v>1154</v>
      </c>
      <c r="T555" s="49" t="s">
        <v>6510</v>
      </c>
      <c r="U555" s="49" t="s">
        <v>670</v>
      </c>
      <c r="V555" s="49" t="e">
        <v>#REF!</v>
      </c>
      <c r="AC555" s="49"/>
      <c r="AD555" s="49"/>
    </row>
    <row r="556" spans="1:30" hidden="1" x14ac:dyDescent="0.3">
      <c r="A556" s="49" t="s">
        <v>1521</v>
      </c>
      <c r="B556" s="49">
        <v>0</v>
      </c>
      <c r="C556" s="49"/>
      <c r="D556" s="72" t="s">
        <v>644</v>
      </c>
      <c r="E556" s="49" t="s">
        <v>3754</v>
      </c>
      <c r="F556" s="49"/>
      <c r="G556" s="49"/>
      <c r="H556" s="49" t="s">
        <v>1523</v>
      </c>
      <c r="I556" s="49" t="s">
        <v>1524</v>
      </c>
      <c r="J556" s="49" t="s">
        <v>1525</v>
      </c>
      <c r="K556" s="49" t="s">
        <v>1526</v>
      </c>
      <c r="L556" s="49">
        <v>0</v>
      </c>
      <c r="M556" s="49" t="s">
        <v>1826</v>
      </c>
      <c r="N556" s="49" t="s">
        <v>1527</v>
      </c>
      <c r="O556" s="49">
        <v>2</v>
      </c>
      <c r="P556" s="49" t="s">
        <v>1528</v>
      </c>
      <c r="Q556" s="49">
        <v>0</v>
      </c>
      <c r="R556" s="49" t="s">
        <v>1529</v>
      </c>
      <c r="S556" s="49" t="s">
        <v>1530</v>
      </c>
      <c r="T556" s="49" t="s">
        <v>6511</v>
      </c>
      <c r="U556" s="49" t="s">
        <v>655</v>
      </c>
      <c r="V556" s="49" t="e">
        <v>#REF!</v>
      </c>
      <c r="AC556" s="49"/>
      <c r="AD556" s="49"/>
    </row>
    <row r="557" spans="1:30" hidden="1" x14ac:dyDescent="0.3">
      <c r="A557" s="49" t="s">
        <v>6512</v>
      </c>
      <c r="B557" s="49">
        <v>0</v>
      </c>
      <c r="C557" s="49"/>
      <c r="D557" s="72" t="s">
        <v>644</v>
      </c>
      <c r="E557" s="49" t="s">
        <v>3754</v>
      </c>
      <c r="F557" s="49"/>
      <c r="G557" s="49"/>
      <c r="H557" s="49" t="s">
        <v>6513</v>
      </c>
      <c r="I557" s="49" t="s">
        <v>6516</v>
      </c>
      <c r="J557" s="49" t="s">
        <v>6514</v>
      </c>
      <c r="K557" s="49" t="s">
        <v>6515</v>
      </c>
      <c r="L557" s="49">
        <v>0</v>
      </c>
      <c r="M557" s="49" t="s">
        <v>1826</v>
      </c>
      <c r="N557" s="49" t="s">
        <v>6517</v>
      </c>
      <c r="O557" s="49">
        <v>2</v>
      </c>
      <c r="P557" s="49" t="s">
        <v>6518</v>
      </c>
      <c r="Q557" s="49">
        <v>0</v>
      </c>
      <c r="R557" s="49" t="s">
        <v>6519</v>
      </c>
      <c r="S557" s="49" t="s">
        <v>6520</v>
      </c>
      <c r="T557" s="49" t="s">
        <v>2137</v>
      </c>
      <c r="U557" s="49" t="s">
        <v>655</v>
      </c>
      <c r="V557" s="49" t="e">
        <v>#REF!</v>
      </c>
      <c r="AC557" s="49"/>
      <c r="AD557" s="49"/>
    </row>
    <row r="558" spans="1:30" hidden="1" x14ac:dyDescent="0.3">
      <c r="A558" s="49" t="s">
        <v>6521</v>
      </c>
      <c r="B558" s="49">
        <v>0</v>
      </c>
      <c r="C558" s="49"/>
      <c r="D558" s="72" t="s">
        <v>644</v>
      </c>
      <c r="E558" s="49" t="s">
        <v>3754</v>
      </c>
      <c r="F558" s="49"/>
      <c r="G558" s="49"/>
      <c r="H558" s="49" t="s">
        <v>646</v>
      </c>
      <c r="I558" s="49" t="s">
        <v>6524</v>
      </c>
      <c r="J558" s="49" t="s">
        <v>6522</v>
      </c>
      <c r="K558" s="49" t="s">
        <v>6523</v>
      </c>
      <c r="L558" s="49">
        <v>0</v>
      </c>
      <c r="M558" s="49" t="s">
        <v>1826</v>
      </c>
      <c r="N558" s="49" t="s">
        <v>6525</v>
      </c>
      <c r="P558" s="49" t="s">
        <v>6526</v>
      </c>
      <c r="Q558" s="49">
        <v>0</v>
      </c>
      <c r="R558" s="49" t="s">
        <v>6527</v>
      </c>
      <c r="S558" s="49" t="s">
        <v>6528</v>
      </c>
      <c r="T558" s="49" t="s">
        <v>646</v>
      </c>
      <c r="U558" s="49" t="s">
        <v>655</v>
      </c>
      <c r="V558" s="49" t="e">
        <v>#REF!</v>
      </c>
      <c r="AC558" s="49"/>
      <c r="AD558" s="49"/>
    </row>
    <row r="559" spans="1:30" hidden="1" x14ac:dyDescent="0.3">
      <c r="A559" s="49" t="s">
        <v>6529</v>
      </c>
      <c r="B559" s="49">
        <v>0</v>
      </c>
      <c r="C559" s="49"/>
      <c r="D559" s="72" t="s">
        <v>644</v>
      </c>
      <c r="E559" s="49" t="s">
        <v>3754</v>
      </c>
      <c r="F559" s="49"/>
      <c r="G559" s="49"/>
      <c r="H559" s="49" t="s">
        <v>6530</v>
      </c>
      <c r="I559" s="49" t="s">
        <v>6533</v>
      </c>
      <c r="J559" s="49" t="s">
        <v>6531</v>
      </c>
      <c r="K559" s="49" t="s">
        <v>6532</v>
      </c>
      <c r="L559" s="49">
        <v>0</v>
      </c>
      <c r="M559" s="49" t="s">
        <v>1826</v>
      </c>
      <c r="N559" s="49" t="s">
        <v>6534</v>
      </c>
      <c r="P559" s="49" t="s">
        <v>6535</v>
      </c>
      <c r="Q559" s="49">
        <v>0</v>
      </c>
      <c r="R559" s="49" t="s">
        <v>6536</v>
      </c>
      <c r="S559" s="49" t="s">
        <v>6537</v>
      </c>
      <c r="T559" s="49" t="s">
        <v>6538</v>
      </c>
      <c r="U559" s="49" t="s">
        <v>655</v>
      </c>
      <c r="V559" s="49" t="e">
        <v>#REF!</v>
      </c>
      <c r="AC559" s="49"/>
      <c r="AD559" s="49"/>
    </row>
    <row r="560" spans="1:30" hidden="1" x14ac:dyDescent="0.3">
      <c r="A560" s="49" t="s">
        <v>6539</v>
      </c>
      <c r="B560" s="49">
        <v>0</v>
      </c>
      <c r="C560" s="49"/>
      <c r="D560" s="72" t="s">
        <v>644</v>
      </c>
      <c r="E560" s="49" t="s">
        <v>3754</v>
      </c>
      <c r="F560" s="49"/>
      <c r="G560" s="49"/>
      <c r="H560" s="49" t="s">
        <v>646</v>
      </c>
      <c r="I560" s="49" t="s">
        <v>6542</v>
      </c>
      <c r="J560" s="49" t="s">
        <v>6540</v>
      </c>
      <c r="K560" s="49" t="s">
        <v>6541</v>
      </c>
      <c r="L560" s="49">
        <v>0</v>
      </c>
      <c r="M560" s="49" t="s">
        <v>2484</v>
      </c>
      <c r="N560" s="49" t="s">
        <v>6543</v>
      </c>
      <c r="O560" s="49">
        <v>3</v>
      </c>
      <c r="P560" s="49" t="s">
        <v>6544</v>
      </c>
      <c r="Q560" s="49">
        <v>0</v>
      </c>
      <c r="R560" s="49" t="s">
        <v>6545</v>
      </c>
      <c r="S560" s="49" t="s">
        <v>6546</v>
      </c>
      <c r="T560" s="49" t="s">
        <v>646</v>
      </c>
      <c r="U560" s="49" t="s">
        <v>670</v>
      </c>
      <c r="V560" s="49" t="e">
        <v>#REF!</v>
      </c>
      <c r="AC560" s="49"/>
      <c r="AD560" s="49"/>
    </row>
    <row r="561" spans="1:30" hidden="1" x14ac:dyDescent="0.3">
      <c r="A561" s="49" t="s">
        <v>6547</v>
      </c>
      <c r="B561" s="49">
        <v>0</v>
      </c>
      <c r="C561" s="49"/>
      <c r="D561" s="72" t="s">
        <v>644</v>
      </c>
      <c r="E561" s="49" t="s">
        <v>3754</v>
      </c>
      <c r="F561" s="49"/>
      <c r="G561" s="49"/>
      <c r="H561" s="49" t="s">
        <v>6548</v>
      </c>
      <c r="I561" s="49" t="s">
        <v>6552</v>
      </c>
      <c r="J561" s="49" t="s">
        <v>6549</v>
      </c>
      <c r="K561" s="49" t="s">
        <v>6550</v>
      </c>
      <c r="L561" s="49">
        <v>0</v>
      </c>
      <c r="M561" s="49" t="s">
        <v>6551</v>
      </c>
      <c r="N561" s="49" t="s">
        <v>6553</v>
      </c>
      <c r="P561" s="49" t="s">
        <v>6554</v>
      </c>
      <c r="Q561" s="49">
        <v>0</v>
      </c>
      <c r="R561" s="49" t="s">
        <v>6555</v>
      </c>
      <c r="S561" s="49" t="s">
        <v>6556</v>
      </c>
      <c r="T561" s="49" t="s">
        <v>6557</v>
      </c>
      <c r="U561" s="49" t="s">
        <v>655</v>
      </c>
      <c r="V561" s="49" t="e">
        <v>#REF!</v>
      </c>
      <c r="AC561" s="49"/>
      <c r="AD561" s="49"/>
    </row>
    <row r="562" spans="1:30" hidden="1" x14ac:dyDescent="0.3">
      <c r="A562" s="49" t="s">
        <v>6558</v>
      </c>
      <c r="B562" s="49">
        <v>0</v>
      </c>
      <c r="C562" s="49"/>
      <c r="D562" s="72" t="s">
        <v>644</v>
      </c>
      <c r="E562" s="49" t="s">
        <v>3754</v>
      </c>
      <c r="F562" s="49"/>
      <c r="G562" s="49"/>
      <c r="H562" s="49" t="s">
        <v>6559</v>
      </c>
      <c r="I562" s="49" t="s">
        <v>6562</v>
      </c>
      <c r="J562" s="49" t="s">
        <v>6560</v>
      </c>
      <c r="K562" s="49" t="s">
        <v>6561</v>
      </c>
      <c r="L562" s="49">
        <v>0</v>
      </c>
      <c r="M562" s="49" t="s">
        <v>2636</v>
      </c>
      <c r="N562" s="49" t="s">
        <v>4401</v>
      </c>
      <c r="O562" s="49">
        <v>10</v>
      </c>
      <c r="P562" s="49" t="s">
        <v>6563</v>
      </c>
      <c r="Q562" s="49">
        <v>0</v>
      </c>
      <c r="R562" s="49" t="s">
        <v>6564</v>
      </c>
      <c r="S562" s="49" t="s">
        <v>6565</v>
      </c>
      <c r="T562" s="49" t="s">
        <v>6566</v>
      </c>
      <c r="U562" s="49" t="s">
        <v>670</v>
      </c>
      <c r="V562" s="49" t="e">
        <v>#REF!</v>
      </c>
      <c r="AC562" s="49"/>
      <c r="AD562" s="49"/>
    </row>
    <row r="563" spans="1:30" hidden="1" x14ac:dyDescent="0.3">
      <c r="A563" s="49" t="s">
        <v>6567</v>
      </c>
      <c r="B563" s="49">
        <v>0</v>
      </c>
      <c r="C563" s="49"/>
      <c r="D563" s="72" t="s">
        <v>644</v>
      </c>
      <c r="E563" s="49" t="s">
        <v>3754</v>
      </c>
      <c r="F563" s="49"/>
      <c r="G563" s="49"/>
      <c r="H563" s="49" t="s">
        <v>6568</v>
      </c>
      <c r="I563" s="49" t="s">
        <v>6571</v>
      </c>
      <c r="J563" s="49" t="s">
        <v>6569</v>
      </c>
      <c r="K563" s="49" t="s">
        <v>6570</v>
      </c>
      <c r="L563" s="49">
        <v>0</v>
      </c>
      <c r="M563" s="49" t="s">
        <v>2456</v>
      </c>
      <c r="N563" s="49" t="s">
        <v>6572</v>
      </c>
      <c r="O563" s="49">
        <v>152</v>
      </c>
      <c r="P563" s="49" t="s">
        <v>6573</v>
      </c>
      <c r="Q563" s="49">
        <v>0</v>
      </c>
      <c r="R563" s="49" t="s">
        <v>6574</v>
      </c>
      <c r="S563" s="49" t="s">
        <v>6575</v>
      </c>
      <c r="T563" s="49" t="s">
        <v>6576</v>
      </c>
      <c r="U563" s="49" t="s">
        <v>670</v>
      </c>
      <c r="V563" s="49" t="e">
        <v>#REF!</v>
      </c>
      <c r="AC563" s="49"/>
      <c r="AD563" s="49"/>
    </row>
    <row r="564" spans="1:30" hidden="1" x14ac:dyDescent="0.3">
      <c r="A564" s="49" t="s">
        <v>6577</v>
      </c>
      <c r="B564" s="49">
        <v>0</v>
      </c>
      <c r="C564" s="49"/>
      <c r="D564" s="72" t="s">
        <v>644</v>
      </c>
      <c r="E564" s="49" t="s">
        <v>3754</v>
      </c>
      <c r="F564" s="49"/>
      <c r="G564" s="49"/>
      <c r="H564" s="49" t="s">
        <v>6578</v>
      </c>
      <c r="I564" s="49" t="s">
        <v>6581</v>
      </c>
      <c r="J564" s="49" t="s">
        <v>6579</v>
      </c>
      <c r="K564" s="49" t="s">
        <v>6580</v>
      </c>
      <c r="L564" s="49">
        <v>0</v>
      </c>
      <c r="M564" s="49" t="s">
        <v>4114</v>
      </c>
      <c r="N564" s="49" t="s">
        <v>6582</v>
      </c>
      <c r="O564" s="49">
        <v>96</v>
      </c>
      <c r="P564" s="49" t="s">
        <v>6583</v>
      </c>
      <c r="Q564" s="49">
        <v>0</v>
      </c>
      <c r="R564" s="49" t="s">
        <v>6584</v>
      </c>
      <c r="S564" s="49" t="s">
        <v>6585</v>
      </c>
      <c r="T564" s="49" t="s">
        <v>6586</v>
      </c>
      <c r="U564" s="49" t="s">
        <v>655</v>
      </c>
      <c r="V564" s="49" t="e">
        <v>#REF!</v>
      </c>
      <c r="AC564" s="49"/>
      <c r="AD564" s="49"/>
    </row>
    <row r="565" spans="1:30" hidden="1" x14ac:dyDescent="0.3">
      <c r="A565" s="49" t="s">
        <v>6587</v>
      </c>
      <c r="B565" s="49">
        <v>0</v>
      </c>
      <c r="C565" s="49"/>
      <c r="D565" s="72" t="s">
        <v>644</v>
      </c>
      <c r="E565" s="49" t="s">
        <v>3754</v>
      </c>
      <c r="F565" s="49"/>
      <c r="G565" s="49"/>
      <c r="H565" s="49" t="s">
        <v>6588</v>
      </c>
      <c r="I565" s="49" t="s">
        <v>6591</v>
      </c>
      <c r="J565" s="49" t="s">
        <v>6589</v>
      </c>
      <c r="K565" s="49" t="s">
        <v>6590</v>
      </c>
      <c r="L565" s="49">
        <v>0</v>
      </c>
      <c r="M565" s="49" t="s">
        <v>1826</v>
      </c>
      <c r="N565" s="49" t="s">
        <v>6592</v>
      </c>
      <c r="O565" s="49">
        <v>1</v>
      </c>
      <c r="P565" s="49" t="s">
        <v>6593</v>
      </c>
      <c r="Q565" s="49">
        <v>0</v>
      </c>
      <c r="R565" s="49" t="s">
        <v>6594</v>
      </c>
      <c r="S565" s="49" t="s">
        <v>6595</v>
      </c>
      <c r="T565" s="49" t="s">
        <v>6596</v>
      </c>
      <c r="U565" s="49" t="s">
        <v>655</v>
      </c>
      <c r="V565" s="49" t="e">
        <v>#REF!</v>
      </c>
      <c r="AC565" s="49"/>
      <c r="AD565" s="49"/>
    </row>
    <row r="566" spans="1:30" hidden="1" x14ac:dyDescent="0.3">
      <c r="A566" s="49" t="s">
        <v>6597</v>
      </c>
      <c r="B566" s="49">
        <v>0</v>
      </c>
      <c r="C566" s="49"/>
      <c r="D566" s="72" t="s">
        <v>644</v>
      </c>
      <c r="E566" s="49" t="s">
        <v>3754</v>
      </c>
      <c r="F566" s="49"/>
      <c r="G566" s="49"/>
      <c r="H566" s="49" t="s">
        <v>6598</v>
      </c>
      <c r="I566" s="49" t="s">
        <v>6601</v>
      </c>
      <c r="J566" s="49" t="s">
        <v>6599</v>
      </c>
      <c r="K566" s="49" t="s">
        <v>6600</v>
      </c>
      <c r="L566" s="49">
        <v>0</v>
      </c>
      <c r="M566" s="49" t="s">
        <v>1764</v>
      </c>
      <c r="N566" s="49" t="s">
        <v>4381</v>
      </c>
      <c r="O566" s="49">
        <v>24</v>
      </c>
      <c r="P566" s="49" t="s">
        <v>6602</v>
      </c>
      <c r="Q566" s="49">
        <v>0</v>
      </c>
      <c r="R566" s="49" t="s">
        <v>6603</v>
      </c>
      <c r="S566" s="49" t="s">
        <v>6604</v>
      </c>
      <c r="T566" s="49" t="s">
        <v>6605</v>
      </c>
      <c r="U566" s="49" t="s">
        <v>655</v>
      </c>
      <c r="V566" s="49" t="e">
        <v>#REF!</v>
      </c>
      <c r="AC566" s="49"/>
      <c r="AD566" s="49"/>
    </row>
    <row r="567" spans="1:30" hidden="1" x14ac:dyDescent="0.3">
      <c r="A567" s="49" t="s">
        <v>6606</v>
      </c>
      <c r="B567" s="49">
        <v>0</v>
      </c>
      <c r="C567" s="49"/>
      <c r="D567" s="72" t="s">
        <v>644</v>
      </c>
      <c r="E567" s="49" t="s">
        <v>3754</v>
      </c>
      <c r="F567" s="49"/>
      <c r="G567" s="49"/>
      <c r="H567" s="49" t="s">
        <v>6607</v>
      </c>
      <c r="I567" s="49" t="s">
        <v>6610</v>
      </c>
      <c r="J567" s="49" t="s">
        <v>6608</v>
      </c>
      <c r="K567" s="49" t="s">
        <v>6609</v>
      </c>
      <c r="L567" s="49">
        <v>0</v>
      </c>
      <c r="M567" s="49" t="s">
        <v>4114</v>
      </c>
      <c r="N567" s="49" t="s">
        <v>6611</v>
      </c>
      <c r="O567" s="49">
        <v>5</v>
      </c>
      <c r="P567" s="49" t="s">
        <v>6612</v>
      </c>
      <c r="Q567" s="49">
        <v>0</v>
      </c>
      <c r="R567" s="49" t="s">
        <v>6613</v>
      </c>
      <c r="S567" s="49" t="s">
        <v>6614</v>
      </c>
      <c r="T567" s="49" t="s">
        <v>646</v>
      </c>
      <c r="U567" s="49" t="s">
        <v>670</v>
      </c>
      <c r="V567" s="49" t="e">
        <v>#REF!</v>
      </c>
      <c r="AC567" s="49"/>
      <c r="AD567" s="49"/>
    </row>
    <row r="568" spans="1:30" hidden="1" x14ac:dyDescent="0.3">
      <c r="A568" s="49" t="s">
        <v>6615</v>
      </c>
      <c r="B568" s="49">
        <v>0</v>
      </c>
      <c r="C568" s="49"/>
      <c r="D568" s="72" t="s">
        <v>644</v>
      </c>
      <c r="E568" s="49" t="s">
        <v>3754</v>
      </c>
      <c r="F568" s="49"/>
      <c r="G568" s="49"/>
      <c r="H568" s="49" t="s">
        <v>6616</v>
      </c>
      <c r="I568" s="49" t="s">
        <v>6619</v>
      </c>
      <c r="J568" s="49" t="s">
        <v>6617</v>
      </c>
      <c r="K568" s="49" t="s">
        <v>6618</v>
      </c>
      <c r="L568" s="49">
        <v>0</v>
      </c>
      <c r="M568" s="49" t="s">
        <v>4084</v>
      </c>
      <c r="N568" s="49" t="s">
        <v>2307</v>
      </c>
      <c r="O568" s="49">
        <v>145</v>
      </c>
      <c r="P568" s="49" t="s">
        <v>6620</v>
      </c>
      <c r="Q568" s="49">
        <v>0</v>
      </c>
      <c r="R568" s="49" t="s">
        <v>6621</v>
      </c>
      <c r="S568" s="49" t="s">
        <v>6622</v>
      </c>
      <c r="T568" s="49" t="s">
        <v>6623</v>
      </c>
      <c r="U568" s="49" t="s">
        <v>655</v>
      </c>
      <c r="V568" s="49" t="e">
        <v>#REF!</v>
      </c>
      <c r="AC568" s="49"/>
      <c r="AD568" s="49"/>
    </row>
    <row r="569" spans="1:30" hidden="1" x14ac:dyDescent="0.3">
      <c r="A569" s="49" t="s">
        <v>6624</v>
      </c>
      <c r="B569" s="49">
        <v>0</v>
      </c>
      <c r="C569" s="49"/>
      <c r="D569" s="72" t="s">
        <v>644</v>
      </c>
      <c r="E569" s="49" t="s">
        <v>3754</v>
      </c>
      <c r="F569" s="49"/>
      <c r="G569" s="49"/>
      <c r="H569" s="49" t="s">
        <v>646</v>
      </c>
      <c r="I569" s="49" t="s">
        <v>826</v>
      </c>
      <c r="J569" s="49" t="s">
        <v>827</v>
      </c>
      <c r="K569" s="49" t="s">
        <v>6625</v>
      </c>
      <c r="L569" s="49">
        <v>0</v>
      </c>
      <c r="M569" s="49" t="s">
        <v>2220</v>
      </c>
      <c r="N569" s="49" t="s">
        <v>5371</v>
      </c>
      <c r="P569" s="49" t="s">
        <v>6626</v>
      </c>
      <c r="Q569" s="49">
        <v>0</v>
      </c>
      <c r="R569" s="49" t="s">
        <v>646</v>
      </c>
      <c r="S569" s="49" t="s">
        <v>646</v>
      </c>
      <c r="T569" s="49" t="s">
        <v>646</v>
      </c>
      <c r="U569" s="49" t="s">
        <v>830</v>
      </c>
      <c r="V569" s="49" t="e">
        <v>#REF!</v>
      </c>
      <c r="AC569" s="49"/>
      <c r="AD569" s="49"/>
    </row>
    <row r="570" spans="1:30" hidden="1" x14ac:dyDescent="0.3">
      <c r="A570" s="49" t="s">
        <v>6627</v>
      </c>
      <c r="B570" s="49">
        <v>0</v>
      </c>
      <c r="C570" s="49"/>
      <c r="D570" s="72" t="s">
        <v>644</v>
      </c>
      <c r="E570" s="49" t="s">
        <v>3754</v>
      </c>
      <c r="F570" s="49"/>
      <c r="G570" s="49"/>
      <c r="H570" s="49" t="s">
        <v>6628</v>
      </c>
      <c r="I570" s="49" t="s">
        <v>6631</v>
      </c>
      <c r="J570" s="49" t="s">
        <v>6629</v>
      </c>
      <c r="K570" s="49" t="s">
        <v>6630</v>
      </c>
      <c r="L570" s="49">
        <v>0</v>
      </c>
      <c r="M570" s="49" t="s">
        <v>2636</v>
      </c>
      <c r="N570" s="49" t="s">
        <v>5178</v>
      </c>
      <c r="O570" s="49">
        <v>186</v>
      </c>
      <c r="P570" s="49" t="s">
        <v>6632</v>
      </c>
      <c r="Q570" s="49">
        <v>0</v>
      </c>
      <c r="R570" s="49" t="s">
        <v>5180</v>
      </c>
      <c r="S570" s="49" t="s">
        <v>6633</v>
      </c>
      <c r="T570" s="49" t="s">
        <v>5182</v>
      </c>
      <c r="U570" s="49" t="s">
        <v>655</v>
      </c>
      <c r="V570" s="49" t="e">
        <v>#REF!</v>
      </c>
      <c r="AC570" s="49"/>
      <c r="AD570" s="49"/>
    </row>
    <row r="571" spans="1:30" hidden="1" x14ac:dyDescent="0.3">
      <c r="A571" s="49" t="s">
        <v>6634</v>
      </c>
      <c r="B571" s="49">
        <v>0</v>
      </c>
      <c r="C571" s="49"/>
      <c r="D571" s="72" t="s">
        <v>644</v>
      </c>
      <c r="E571" s="49" t="s">
        <v>3754</v>
      </c>
      <c r="F571" s="49"/>
      <c r="G571" s="49"/>
      <c r="H571" s="49" t="s">
        <v>6635</v>
      </c>
      <c r="I571" s="49" t="s">
        <v>6638</v>
      </c>
      <c r="J571" s="49" t="s">
        <v>6636</v>
      </c>
      <c r="K571" s="49" t="s">
        <v>6637</v>
      </c>
      <c r="L571" s="49">
        <v>0</v>
      </c>
      <c r="M571" s="49" t="s">
        <v>1777</v>
      </c>
      <c r="N571" s="49" t="s">
        <v>3761</v>
      </c>
      <c r="O571" s="49">
        <v>6</v>
      </c>
      <c r="P571" s="49" t="s">
        <v>6639</v>
      </c>
      <c r="Q571" s="49">
        <v>0</v>
      </c>
      <c r="R571" s="49" t="s">
        <v>6640</v>
      </c>
      <c r="S571" s="49" t="s">
        <v>6641</v>
      </c>
      <c r="T571" s="49" t="s">
        <v>6642</v>
      </c>
      <c r="U571" s="49" t="s">
        <v>670</v>
      </c>
      <c r="V571" s="49" t="e">
        <v>#REF!</v>
      </c>
      <c r="AC571" s="49"/>
      <c r="AD571" s="49"/>
    </row>
    <row r="572" spans="1:30" hidden="1" x14ac:dyDescent="0.3">
      <c r="A572" s="49" t="s">
        <v>6643</v>
      </c>
      <c r="B572" s="49">
        <v>0</v>
      </c>
      <c r="C572" s="49"/>
      <c r="D572" s="72" t="s">
        <v>644</v>
      </c>
      <c r="E572" s="49" t="s">
        <v>3754</v>
      </c>
      <c r="F572" s="49"/>
      <c r="G572" s="49"/>
      <c r="H572" s="49" t="s">
        <v>6644</v>
      </c>
      <c r="I572" s="49" t="s">
        <v>6647</v>
      </c>
      <c r="J572" s="49" t="s">
        <v>6645</v>
      </c>
      <c r="K572" s="49" t="s">
        <v>6646</v>
      </c>
      <c r="L572" s="49">
        <v>0</v>
      </c>
      <c r="M572" s="49" t="s">
        <v>2484</v>
      </c>
      <c r="N572" s="49" t="s">
        <v>6648</v>
      </c>
      <c r="O572" s="49">
        <v>13</v>
      </c>
      <c r="P572" s="49" t="s">
        <v>6649</v>
      </c>
      <c r="Q572" s="49">
        <v>0</v>
      </c>
      <c r="R572" s="49" t="s">
        <v>6650</v>
      </c>
      <c r="S572" s="49" t="s">
        <v>6651</v>
      </c>
      <c r="T572" s="49" t="s">
        <v>6652</v>
      </c>
      <c r="U572" s="49" t="s">
        <v>655</v>
      </c>
      <c r="V572" s="49" t="e">
        <v>#REF!</v>
      </c>
      <c r="AC572" s="49"/>
      <c r="AD572" s="49"/>
    </row>
    <row r="573" spans="1:30" hidden="1" x14ac:dyDescent="0.3">
      <c r="A573" s="49" t="s">
        <v>6653</v>
      </c>
      <c r="B573" s="49">
        <v>0</v>
      </c>
      <c r="C573" s="49"/>
      <c r="D573" s="72" t="s">
        <v>644</v>
      </c>
      <c r="E573" s="49" t="s">
        <v>3754</v>
      </c>
      <c r="F573" s="49"/>
      <c r="G573" s="49"/>
      <c r="H573" s="49" t="s">
        <v>646</v>
      </c>
      <c r="I573" s="49" t="s">
        <v>6656</v>
      </c>
      <c r="J573" s="49" t="s">
        <v>6654</v>
      </c>
      <c r="K573" s="49" t="s">
        <v>6655</v>
      </c>
      <c r="L573" s="49">
        <v>0</v>
      </c>
      <c r="M573" s="49" t="s">
        <v>4114</v>
      </c>
      <c r="N573" s="49" t="s">
        <v>5285</v>
      </c>
      <c r="O573" s="49">
        <v>40</v>
      </c>
      <c r="P573" s="49" t="s">
        <v>6657</v>
      </c>
      <c r="Q573" s="49">
        <v>0</v>
      </c>
      <c r="R573" s="49" t="s">
        <v>6658</v>
      </c>
      <c r="S573" s="49" t="s">
        <v>6659</v>
      </c>
      <c r="T573" s="49" t="s">
        <v>646</v>
      </c>
      <c r="U573" s="49" t="s">
        <v>670</v>
      </c>
      <c r="V573" s="49" t="e">
        <v>#REF!</v>
      </c>
      <c r="AC573" s="49"/>
      <c r="AD573" s="49"/>
    </row>
    <row r="574" spans="1:30" hidden="1" x14ac:dyDescent="0.3">
      <c r="A574" s="49" t="s">
        <v>6660</v>
      </c>
      <c r="B574" s="49">
        <v>0</v>
      </c>
      <c r="C574" s="49"/>
      <c r="D574" s="72" t="s">
        <v>644</v>
      </c>
      <c r="E574" s="49" t="s">
        <v>3754</v>
      </c>
      <c r="F574" s="49"/>
      <c r="G574" s="49"/>
      <c r="H574" s="49" t="s">
        <v>6661</v>
      </c>
      <c r="I574" s="49" t="s">
        <v>6664</v>
      </c>
      <c r="J574" s="49" t="s">
        <v>6662</v>
      </c>
      <c r="K574" s="49" t="s">
        <v>6663</v>
      </c>
      <c r="L574" s="49">
        <v>0</v>
      </c>
      <c r="M574" s="49" t="s">
        <v>2484</v>
      </c>
      <c r="N574" s="49" t="s">
        <v>6665</v>
      </c>
      <c r="P574" s="49" t="s">
        <v>6666</v>
      </c>
      <c r="Q574" s="49">
        <v>0</v>
      </c>
      <c r="R574" s="49" t="s">
        <v>6667</v>
      </c>
      <c r="S574" s="49" t="s">
        <v>6668</v>
      </c>
      <c r="T574" s="49" t="s">
        <v>6669</v>
      </c>
      <c r="U574" s="49" t="s">
        <v>655</v>
      </c>
      <c r="V574" s="49" t="e">
        <v>#REF!</v>
      </c>
      <c r="AC574" s="49"/>
      <c r="AD574" s="49"/>
    </row>
    <row r="575" spans="1:30" hidden="1" x14ac:dyDescent="0.3">
      <c r="A575" s="49" t="s">
        <v>6670</v>
      </c>
      <c r="B575" s="49">
        <v>0</v>
      </c>
      <c r="C575" s="49"/>
      <c r="D575" s="72" t="s">
        <v>644</v>
      </c>
      <c r="E575" s="49" t="s">
        <v>3754</v>
      </c>
      <c r="F575" s="49"/>
      <c r="G575" s="49"/>
      <c r="H575" s="49" t="s">
        <v>646</v>
      </c>
      <c r="I575" s="49" t="s">
        <v>6673</v>
      </c>
      <c r="J575" s="49" t="s">
        <v>6671</v>
      </c>
      <c r="K575" s="49" t="s">
        <v>6672</v>
      </c>
      <c r="L575" s="49">
        <v>0</v>
      </c>
      <c r="M575" s="49" t="s">
        <v>2220</v>
      </c>
      <c r="N575" s="49" t="s">
        <v>6674</v>
      </c>
      <c r="P575" s="49" t="s">
        <v>6675</v>
      </c>
      <c r="Q575" s="49">
        <v>0</v>
      </c>
      <c r="R575" s="49" t="s">
        <v>6676</v>
      </c>
      <c r="S575" s="49" t="s">
        <v>6677</v>
      </c>
      <c r="T575" s="49" t="s">
        <v>646</v>
      </c>
      <c r="U575" s="49" t="s">
        <v>670</v>
      </c>
      <c r="V575" s="49" t="e">
        <v>#REF!</v>
      </c>
      <c r="AC575" s="49"/>
      <c r="AD575" s="49"/>
    </row>
    <row r="576" spans="1:30" hidden="1" x14ac:dyDescent="0.3">
      <c r="A576" s="49" t="s">
        <v>6678</v>
      </c>
      <c r="B576" s="49">
        <v>0</v>
      </c>
      <c r="C576" s="49"/>
      <c r="D576" s="72" t="s">
        <v>644</v>
      </c>
      <c r="E576" s="49" t="s">
        <v>3754</v>
      </c>
      <c r="F576" s="49"/>
      <c r="G576" s="49"/>
      <c r="H576" s="49" t="s">
        <v>646</v>
      </c>
      <c r="I576" s="49" t="s">
        <v>6681</v>
      </c>
      <c r="J576" s="49" t="s">
        <v>6679</v>
      </c>
      <c r="K576" s="49" t="s">
        <v>6680</v>
      </c>
      <c r="L576" s="49">
        <v>0</v>
      </c>
      <c r="M576" s="49" t="s">
        <v>1764</v>
      </c>
      <c r="N576" s="49" t="s">
        <v>6682</v>
      </c>
      <c r="O576" s="49">
        <v>2</v>
      </c>
      <c r="P576" s="49" t="s">
        <v>6683</v>
      </c>
      <c r="Q576" s="49">
        <v>0</v>
      </c>
      <c r="R576" s="49" t="s">
        <v>6684</v>
      </c>
      <c r="S576" s="49" t="s">
        <v>6685</v>
      </c>
      <c r="T576" s="49" t="s">
        <v>646</v>
      </c>
      <c r="U576" s="49" t="s">
        <v>670</v>
      </c>
      <c r="V576" s="49" t="e">
        <v>#REF!</v>
      </c>
      <c r="AC576" s="49"/>
      <c r="AD576" s="49"/>
    </row>
    <row r="577" spans="1:30" hidden="1" x14ac:dyDescent="0.3">
      <c r="A577" s="49" t="s">
        <v>6686</v>
      </c>
      <c r="B577" s="49">
        <v>0</v>
      </c>
      <c r="C577" s="49"/>
      <c r="D577" s="72" t="s">
        <v>644</v>
      </c>
      <c r="E577" s="49" t="s">
        <v>3754</v>
      </c>
      <c r="F577" s="49"/>
      <c r="G577" s="49"/>
      <c r="H577" s="49" t="s">
        <v>6687</v>
      </c>
      <c r="I577" s="49" t="s">
        <v>6690</v>
      </c>
      <c r="J577" s="49" t="s">
        <v>6688</v>
      </c>
      <c r="K577" s="49" t="s">
        <v>6689</v>
      </c>
      <c r="L577" s="49">
        <v>0</v>
      </c>
      <c r="M577" s="49" t="s">
        <v>4084</v>
      </c>
      <c r="N577" s="49" t="s">
        <v>6691</v>
      </c>
      <c r="O577" s="49">
        <v>5</v>
      </c>
      <c r="P577" s="49" t="s">
        <v>6692</v>
      </c>
      <c r="Q577" s="49">
        <v>0</v>
      </c>
      <c r="R577" s="49" t="s">
        <v>6693</v>
      </c>
      <c r="S577" s="49" t="s">
        <v>6694</v>
      </c>
      <c r="T577" s="49" t="s">
        <v>6695</v>
      </c>
      <c r="U577" s="49" t="s">
        <v>655</v>
      </c>
      <c r="V577" s="49" t="e">
        <v>#REF!</v>
      </c>
      <c r="AC577" s="49"/>
      <c r="AD577" s="49"/>
    </row>
    <row r="578" spans="1:30" hidden="1" x14ac:dyDescent="0.3">
      <c r="A578" s="49" t="s">
        <v>6696</v>
      </c>
      <c r="B578" s="49">
        <v>0</v>
      </c>
      <c r="C578" s="49"/>
      <c r="D578" s="72" t="s">
        <v>644</v>
      </c>
      <c r="E578" s="49" t="s">
        <v>3754</v>
      </c>
      <c r="F578" s="49"/>
      <c r="G578" s="49"/>
      <c r="H578" s="49" t="s">
        <v>6697</v>
      </c>
      <c r="I578" s="49" t="s">
        <v>6700</v>
      </c>
      <c r="J578" s="49" t="s">
        <v>6698</v>
      </c>
      <c r="K578" s="49" t="s">
        <v>6699</v>
      </c>
      <c r="L578" s="49">
        <v>0</v>
      </c>
      <c r="M578" s="49" t="s">
        <v>4064</v>
      </c>
      <c r="N578" s="49" t="s">
        <v>6701</v>
      </c>
      <c r="O578" s="49">
        <v>4</v>
      </c>
      <c r="P578" s="49" t="s">
        <v>6702</v>
      </c>
      <c r="Q578" s="49">
        <v>0</v>
      </c>
      <c r="R578" s="49" t="s">
        <v>6703</v>
      </c>
      <c r="S578" s="49" t="s">
        <v>6704</v>
      </c>
      <c r="T578" s="49" t="s">
        <v>6705</v>
      </c>
      <c r="U578" s="49" t="s">
        <v>655</v>
      </c>
      <c r="V578" s="49" t="e">
        <v>#REF!</v>
      </c>
      <c r="AC578" s="49"/>
      <c r="AD578" s="49"/>
    </row>
    <row r="579" spans="1:30" hidden="1" x14ac:dyDescent="0.3">
      <c r="A579" s="49" t="s">
        <v>6706</v>
      </c>
      <c r="B579" s="49">
        <v>0</v>
      </c>
      <c r="C579" s="49"/>
      <c r="D579" s="72" t="s">
        <v>644</v>
      </c>
      <c r="E579" s="49" t="s">
        <v>3754</v>
      </c>
      <c r="F579" s="49"/>
      <c r="G579" s="49"/>
      <c r="H579" s="49" t="s">
        <v>6707</v>
      </c>
      <c r="I579" s="49" t="s">
        <v>6710</v>
      </c>
      <c r="J579" s="49" t="s">
        <v>6708</v>
      </c>
      <c r="K579" s="49" t="s">
        <v>6709</v>
      </c>
      <c r="L579" s="49">
        <v>0</v>
      </c>
      <c r="M579" s="49" t="s">
        <v>2220</v>
      </c>
      <c r="N579" s="49" t="s">
        <v>6711</v>
      </c>
      <c r="O579" s="49">
        <v>4</v>
      </c>
      <c r="P579" s="49" t="s">
        <v>6712</v>
      </c>
      <c r="Q579" s="49">
        <v>0</v>
      </c>
      <c r="R579" s="49" t="s">
        <v>6713</v>
      </c>
      <c r="S579" s="49" t="s">
        <v>6714</v>
      </c>
      <c r="T579" s="49" t="s">
        <v>6715</v>
      </c>
      <c r="U579" s="49" t="s">
        <v>655</v>
      </c>
      <c r="V579" s="49" t="e">
        <v>#REF!</v>
      </c>
      <c r="AC579" s="49"/>
      <c r="AD579" s="49"/>
    </row>
    <row r="580" spans="1:30" hidden="1" x14ac:dyDescent="0.3">
      <c r="A580" s="49" t="s">
        <v>660</v>
      </c>
      <c r="B580" s="49">
        <v>0</v>
      </c>
      <c r="C580" s="49"/>
      <c r="D580" s="72" t="s">
        <v>644</v>
      </c>
      <c r="E580" s="49" t="s">
        <v>3754</v>
      </c>
      <c r="F580" s="49"/>
      <c r="G580" s="49"/>
      <c r="H580" s="49" t="s">
        <v>662</v>
      </c>
      <c r="I580" s="49" t="s">
        <v>663</v>
      </c>
      <c r="J580" s="49" t="s">
        <v>664</v>
      </c>
      <c r="K580" s="49" t="s">
        <v>665</v>
      </c>
      <c r="L580" s="49">
        <v>0</v>
      </c>
      <c r="M580" s="49" t="s">
        <v>1826</v>
      </c>
      <c r="N580" s="49" t="s">
        <v>666</v>
      </c>
      <c r="O580" s="49">
        <v>4</v>
      </c>
      <c r="P580" s="49" t="s">
        <v>667</v>
      </c>
      <c r="Q580" s="49">
        <v>0</v>
      </c>
      <c r="R580" s="49" t="s">
        <v>668</v>
      </c>
      <c r="S580" s="49" t="s">
        <v>669</v>
      </c>
      <c r="T580" s="49" t="s">
        <v>646</v>
      </c>
      <c r="U580" s="49" t="s">
        <v>670</v>
      </c>
      <c r="V580" s="49" t="e">
        <v>#REF!</v>
      </c>
      <c r="AC580" s="49"/>
      <c r="AD580" s="49"/>
    </row>
    <row r="581" spans="1:30" hidden="1" x14ac:dyDescent="0.3">
      <c r="A581" s="49" t="s">
        <v>1070</v>
      </c>
      <c r="B581" s="49">
        <v>0</v>
      </c>
      <c r="C581" s="49"/>
      <c r="D581" s="72" t="s">
        <v>644</v>
      </c>
      <c r="E581" s="49" t="s">
        <v>3754</v>
      </c>
      <c r="F581" s="49"/>
      <c r="G581" s="49"/>
      <c r="H581" s="49" t="s">
        <v>1072</v>
      </c>
      <c r="I581" s="49" t="s">
        <v>1073</v>
      </c>
      <c r="J581" s="49" t="s">
        <v>1074</v>
      </c>
      <c r="K581" s="49" t="s">
        <v>1075</v>
      </c>
      <c r="L581" s="49">
        <v>0</v>
      </c>
      <c r="M581" s="49" t="s">
        <v>2142</v>
      </c>
      <c r="N581" s="49" t="s">
        <v>1076</v>
      </c>
      <c r="O581" s="49">
        <v>3</v>
      </c>
      <c r="P581" s="49" t="s">
        <v>1077</v>
      </c>
      <c r="Q581" s="49">
        <v>0</v>
      </c>
      <c r="R581" s="49" t="s">
        <v>1078</v>
      </c>
      <c r="S581" s="49" t="s">
        <v>1079</v>
      </c>
      <c r="T581" s="49" t="s">
        <v>6716</v>
      </c>
      <c r="U581" s="49" t="s">
        <v>670</v>
      </c>
      <c r="V581" s="49" t="e">
        <v>#REF!</v>
      </c>
      <c r="AC581" s="49"/>
      <c r="AD581" s="49"/>
    </row>
    <row r="582" spans="1:30" hidden="1" x14ac:dyDescent="0.3">
      <c r="A582" s="49" t="s">
        <v>6717</v>
      </c>
      <c r="B582" s="49">
        <v>0</v>
      </c>
      <c r="C582" s="49"/>
      <c r="D582" s="72" t="s">
        <v>644</v>
      </c>
      <c r="E582" s="49" t="s">
        <v>3754</v>
      </c>
      <c r="F582" s="49"/>
      <c r="G582" s="49"/>
      <c r="H582" s="49" t="s">
        <v>6718</v>
      </c>
      <c r="I582" s="49" t="s">
        <v>6721</v>
      </c>
      <c r="J582" s="49" t="s">
        <v>6719</v>
      </c>
      <c r="K582" s="49" t="s">
        <v>6720</v>
      </c>
      <c r="L582" s="49">
        <v>0</v>
      </c>
      <c r="M582" s="49" t="s">
        <v>2484</v>
      </c>
      <c r="N582" s="49" t="s">
        <v>1076</v>
      </c>
      <c r="O582" s="49">
        <v>2</v>
      </c>
      <c r="P582" s="49" t="s">
        <v>6722</v>
      </c>
      <c r="Q582" s="49">
        <v>0</v>
      </c>
      <c r="R582" s="49" t="s">
        <v>6723</v>
      </c>
      <c r="S582" s="49" t="s">
        <v>6724</v>
      </c>
      <c r="T582" s="49" t="s">
        <v>6725</v>
      </c>
      <c r="U582" s="49" t="s">
        <v>670</v>
      </c>
      <c r="V582" s="49" t="e">
        <v>#REF!</v>
      </c>
      <c r="AC582" s="49"/>
      <c r="AD582" s="49"/>
    </row>
    <row r="583" spans="1:30" hidden="1" x14ac:dyDescent="0.3">
      <c r="A583" s="49" t="s">
        <v>6726</v>
      </c>
      <c r="B583" s="49">
        <v>0</v>
      </c>
      <c r="C583" s="49"/>
      <c r="D583" s="72" t="s">
        <v>644</v>
      </c>
      <c r="E583" s="49" t="s">
        <v>3754</v>
      </c>
      <c r="F583" s="49"/>
      <c r="G583" s="49"/>
      <c r="H583" s="49" t="s">
        <v>6727</v>
      </c>
      <c r="I583" s="49" t="s">
        <v>6729</v>
      </c>
      <c r="J583" s="49" t="s">
        <v>6728</v>
      </c>
      <c r="K583" s="49" t="s">
        <v>2426</v>
      </c>
      <c r="L583" s="49">
        <v>0</v>
      </c>
      <c r="M583" s="49" t="s">
        <v>4519</v>
      </c>
      <c r="N583" s="49" t="s">
        <v>6553</v>
      </c>
      <c r="P583" s="49" t="s">
        <v>6730</v>
      </c>
      <c r="Q583" s="49">
        <v>0</v>
      </c>
      <c r="R583" s="49" t="s">
        <v>6731</v>
      </c>
      <c r="S583" s="49" t="s">
        <v>6732</v>
      </c>
      <c r="T583" s="49" t="s">
        <v>646</v>
      </c>
      <c r="U583" s="49" t="s">
        <v>655</v>
      </c>
      <c r="V583" s="49" t="e">
        <v>#REF!</v>
      </c>
      <c r="AC583" s="49"/>
      <c r="AD583" s="49"/>
    </row>
    <row r="584" spans="1:30" hidden="1" x14ac:dyDescent="0.3">
      <c r="A584" s="49" t="s">
        <v>6733</v>
      </c>
      <c r="B584" s="49">
        <v>0</v>
      </c>
      <c r="C584" s="49"/>
      <c r="D584" s="72" t="s">
        <v>644</v>
      </c>
      <c r="E584" s="49" t="s">
        <v>3754</v>
      </c>
      <c r="F584" s="49"/>
      <c r="G584" s="49"/>
      <c r="H584" s="49" t="s">
        <v>646</v>
      </c>
      <c r="I584" s="49" t="s">
        <v>6736</v>
      </c>
      <c r="J584" s="49" t="s">
        <v>6734</v>
      </c>
      <c r="K584" s="49" t="s">
        <v>6735</v>
      </c>
      <c r="L584" s="49">
        <v>0</v>
      </c>
      <c r="M584" s="49" t="s">
        <v>2456</v>
      </c>
      <c r="N584" s="49" t="s">
        <v>6737</v>
      </c>
      <c r="P584" s="49" t="s">
        <v>6738</v>
      </c>
      <c r="Q584" s="49">
        <v>0</v>
      </c>
      <c r="R584" s="49" t="s">
        <v>6739</v>
      </c>
      <c r="S584" s="49" t="s">
        <v>6740</v>
      </c>
      <c r="T584" s="49" t="s">
        <v>6741</v>
      </c>
      <c r="U584" s="49" t="s">
        <v>655</v>
      </c>
      <c r="V584" s="49" t="e">
        <v>#REF!</v>
      </c>
      <c r="AC584" s="49"/>
      <c r="AD584" s="49"/>
    </row>
    <row r="585" spans="1:30" hidden="1" x14ac:dyDescent="0.3">
      <c r="A585" s="49" t="s">
        <v>6742</v>
      </c>
      <c r="B585" s="49">
        <v>0</v>
      </c>
      <c r="C585" s="49"/>
      <c r="D585" s="72" t="s">
        <v>644</v>
      </c>
      <c r="E585" s="49" t="s">
        <v>3754</v>
      </c>
      <c r="F585" s="49"/>
      <c r="G585" s="49"/>
      <c r="H585" s="49" t="s">
        <v>6743</v>
      </c>
      <c r="I585" s="49" t="s">
        <v>6746</v>
      </c>
      <c r="J585" s="49" t="s">
        <v>6744</v>
      </c>
      <c r="K585" s="49" t="s">
        <v>6745</v>
      </c>
      <c r="L585" s="49">
        <v>0</v>
      </c>
      <c r="M585" s="49" t="s">
        <v>2484</v>
      </c>
      <c r="N585" s="49" t="s">
        <v>4168</v>
      </c>
      <c r="O585" s="49">
        <v>6</v>
      </c>
      <c r="P585" s="49" t="s">
        <v>6747</v>
      </c>
      <c r="Q585" s="49">
        <v>0</v>
      </c>
      <c r="R585" s="49" t="s">
        <v>6748</v>
      </c>
      <c r="S585" s="49" t="s">
        <v>6749</v>
      </c>
      <c r="T585" s="49" t="s">
        <v>6750</v>
      </c>
      <c r="U585" s="49" t="s">
        <v>670</v>
      </c>
      <c r="V585" s="49" t="e">
        <v>#REF!</v>
      </c>
      <c r="AC585" s="49"/>
      <c r="AD585" s="49"/>
    </row>
    <row r="586" spans="1:30" hidden="1" x14ac:dyDescent="0.3">
      <c r="A586" s="49" t="s">
        <v>6751</v>
      </c>
      <c r="B586" s="49">
        <v>0</v>
      </c>
      <c r="C586" s="49"/>
      <c r="D586" s="72" t="s">
        <v>644</v>
      </c>
      <c r="E586" s="49" t="s">
        <v>3754</v>
      </c>
      <c r="F586" s="49"/>
      <c r="G586" s="49"/>
      <c r="H586" s="49" t="s">
        <v>6752</v>
      </c>
      <c r="I586" s="49" t="s">
        <v>6755</v>
      </c>
      <c r="J586" s="49" t="s">
        <v>6753</v>
      </c>
      <c r="K586" s="49" t="s">
        <v>6754</v>
      </c>
      <c r="L586" s="49">
        <v>0</v>
      </c>
      <c r="M586" s="49" t="s">
        <v>1865</v>
      </c>
      <c r="N586" s="49" t="s">
        <v>3152</v>
      </c>
      <c r="O586" s="49">
        <v>1</v>
      </c>
      <c r="P586" s="49" t="s">
        <v>6756</v>
      </c>
      <c r="Q586" s="49">
        <v>0</v>
      </c>
      <c r="R586" s="49" t="s">
        <v>6757</v>
      </c>
      <c r="S586" s="49" t="s">
        <v>6758</v>
      </c>
      <c r="T586" s="49" t="s">
        <v>6759</v>
      </c>
      <c r="U586" s="49" t="s">
        <v>655</v>
      </c>
      <c r="V586" s="49" t="e">
        <v>#REF!</v>
      </c>
      <c r="AC586" s="49"/>
      <c r="AD586" s="49"/>
    </row>
    <row r="587" spans="1:30" hidden="1" x14ac:dyDescent="0.3">
      <c r="A587" s="49" t="s">
        <v>6760</v>
      </c>
      <c r="B587" s="49">
        <v>0</v>
      </c>
      <c r="C587" s="49"/>
      <c r="D587" s="72" t="s">
        <v>644</v>
      </c>
      <c r="E587" s="49" t="s">
        <v>3754</v>
      </c>
      <c r="F587" s="49"/>
      <c r="G587" s="49"/>
      <c r="H587" s="49" t="s">
        <v>6761</v>
      </c>
      <c r="I587" s="49" t="s">
        <v>6764</v>
      </c>
      <c r="J587" s="49" t="s">
        <v>6762</v>
      </c>
      <c r="K587" s="49" t="s">
        <v>6763</v>
      </c>
      <c r="L587" s="49">
        <v>0</v>
      </c>
      <c r="M587" s="49" t="s">
        <v>4114</v>
      </c>
      <c r="N587" s="49" t="s">
        <v>3690</v>
      </c>
      <c r="O587" s="49">
        <v>33</v>
      </c>
      <c r="P587" s="49" t="s">
        <v>6765</v>
      </c>
      <c r="Q587" s="49">
        <v>0</v>
      </c>
      <c r="R587" s="49" t="s">
        <v>6766</v>
      </c>
      <c r="S587" s="49" t="s">
        <v>6767</v>
      </c>
      <c r="T587" s="49" t="s">
        <v>646</v>
      </c>
      <c r="U587" s="49" t="s">
        <v>670</v>
      </c>
      <c r="V587" s="49" t="e">
        <v>#REF!</v>
      </c>
      <c r="AC587" s="49"/>
      <c r="AD587" s="49"/>
    </row>
    <row r="588" spans="1:30" hidden="1" x14ac:dyDescent="0.3">
      <c r="A588" s="49" t="s">
        <v>6768</v>
      </c>
      <c r="B588" s="49">
        <v>0</v>
      </c>
      <c r="C588" s="49"/>
      <c r="D588" s="72" t="s">
        <v>644</v>
      </c>
      <c r="E588" s="49" t="s">
        <v>3754</v>
      </c>
      <c r="F588" s="49"/>
      <c r="G588" s="49"/>
      <c r="H588" s="49" t="s">
        <v>646</v>
      </c>
      <c r="I588" s="49" t="s">
        <v>6771</v>
      </c>
      <c r="J588" s="49" t="s">
        <v>6769</v>
      </c>
      <c r="K588" s="49" t="s">
        <v>6770</v>
      </c>
      <c r="L588" s="49">
        <v>0</v>
      </c>
      <c r="M588" s="49" t="s">
        <v>1826</v>
      </c>
      <c r="N588" s="49" t="s">
        <v>6772</v>
      </c>
      <c r="O588" s="49">
        <v>1</v>
      </c>
      <c r="P588" s="49" t="s">
        <v>6773</v>
      </c>
      <c r="Q588" s="49">
        <v>0</v>
      </c>
      <c r="R588" s="49" t="s">
        <v>6774</v>
      </c>
      <c r="S588" s="49" t="s">
        <v>6775</v>
      </c>
      <c r="T588" s="49" t="s">
        <v>646</v>
      </c>
      <c r="U588" s="49" t="s">
        <v>670</v>
      </c>
      <c r="V588" s="49" t="e">
        <v>#REF!</v>
      </c>
      <c r="AC588" s="49"/>
      <c r="AD588" s="49"/>
    </row>
    <row r="589" spans="1:30" hidden="1" x14ac:dyDescent="0.3">
      <c r="A589" s="49" t="s">
        <v>6776</v>
      </c>
      <c r="B589" s="49">
        <v>0</v>
      </c>
      <c r="C589" s="49"/>
      <c r="D589" s="72" t="s">
        <v>644</v>
      </c>
      <c r="E589" s="49" t="s">
        <v>3754</v>
      </c>
      <c r="F589" s="49"/>
      <c r="G589" s="49"/>
      <c r="H589" s="49" t="s">
        <v>6777</v>
      </c>
      <c r="I589" s="49" t="s">
        <v>6780</v>
      </c>
      <c r="J589" s="49" t="s">
        <v>6778</v>
      </c>
      <c r="K589" s="49" t="s">
        <v>6779</v>
      </c>
      <c r="L589" s="49">
        <v>0</v>
      </c>
      <c r="M589" s="49" t="s">
        <v>2484</v>
      </c>
      <c r="N589" s="49" t="s">
        <v>2123</v>
      </c>
      <c r="O589" s="49">
        <v>81</v>
      </c>
      <c r="P589" s="49" t="s">
        <v>6781</v>
      </c>
      <c r="Q589" s="49">
        <v>0</v>
      </c>
      <c r="R589" s="49" t="s">
        <v>6782</v>
      </c>
      <c r="S589" s="49" t="s">
        <v>6783</v>
      </c>
      <c r="T589" s="49" t="s">
        <v>6784</v>
      </c>
      <c r="U589" s="49" t="s">
        <v>655</v>
      </c>
      <c r="V589" s="49" t="e">
        <v>#REF!</v>
      </c>
      <c r="AC589" s="49"/>
      <c r="AD589" s="49"/>
    </row>
    <row r="590" spans="1:30" hidden="1" x14ac:dyDescent="0.3">
      <c r="A590" s="49" t="s">
        <v>6785</v>
      </c>
      <c r="B590" s="49">
        <v>0</v>
      </c>
      <c r="C590" s="49"/>
      <c r="D590" s="72" t="s">
        <v>644</v>
      </c>
      <c r="E590" s="49" t="s">
        <v>3754</v>
      </c>
      <c r="F590" s="49"/>
      <c r="G590" s="49"/>
      <c r="H590" s="49" t="s">
        <v>646</v>
      </c>
      <c r="I590" s="49" t="s">
        <v>6788</v>
      </c>
      <c r="J590" s="49" t="s">
        <v>6786</v>
      </c>
      <c r="K590" s="49" t="s">
        <v>6787</v>
      </c>
      <c r="L590" s="49">
        <v>0</v>
      </c>
      <c r="M590" s="49" t="s">
        <v>1777</v>
      </c>
      <c r="N590" s="49" t="s">
        <v>6789</v>
      </c>
      <c r="P590" s="49" t="s">
        <v>6790</v>
      </c>
      <c r="Q590" s="49">
        <v>0</v>
      </c>
      <c r="R590" s="49" t="s">
        <v>6791</v>
      </c>
      <c r="S590" s="49" t="s">
        <v>6792</v>
      </c>
      <c r="T590" s="49" t="s">
        <v>646</v>
      </c>
      <c r="U590" s="49" t="s">
        <v>655</v>
      </c>
      <c r="V590" s="49" t="e">
        <v>#REF!</v>
      </c>
      <c r="AC590" s="49"/>
      <c r="AD590" s="49"/>
    </row>
    <row r="591" spans="1:30" hidden="1" x14ac:dyDescent="0.3">
      <c r="A591" s="49" t="s">
        <v>6793</v>
      </c>
      <c r="B591" s="49">
        <v>0</v>
      </c>
      <c r="C591" s="49"/>
      <c r="D591" s="72" t="s">
        <v>644</v>
      </c>
      <c r="E591" s="49" t="s">
        <v>3754</v>
      </c>
      <c r="F591" s="49"/>
      <c r="G591" s="49"/>
      <c r="H591" s="49" t="s">
        <v>6794</v>
      </c>
      <c r="I591" s="49" t="s">
        <v>6797</v>
      </c>
      <c r="J591" s="49" t="s">
        <v>6795</v>
      </c>
      <c r="K591" s="49" t="s">
        <v>6796</v>
      </c>
      <c r="L591" s="49">
        <v>0</v>
      </c>
      <c r="M591" s="49" t="s">
        <v>3570</v>
      </c>
      <c r="N591" s="49" t="s">
        <v>6090</v>
      </c>
      <c r="O591" s="49">
        <v>17</v>
      </c>
      <c r="P591" s="49" t="s">
        <v>6798</v>
      </c>
      <c r="Q591" s="49">
        <v>0</v>
      </c>
      <c r="R591" s="49" t="s">
        <v>6799</v>
      </c>
      <c r="S591" s="49" t="s">
        <v>6800</v>
      </c>
      <c r="T591" s="49" t="s">
        <v>6801</v>
      </c>
      <c r="U591" s="49" t="s">
        <v>670</v>
      </c>
      <c r="V591" s="49" t="e">
        <v>#REF!</v>
      </c>
      <c r="AC591" s="49"/>
      <c r="AD591" s="49"/>
    </row>
    <row r="592" spans="1:30" hidden="1" x14ac:dyDescent="0.3">
      <c r="A592" s="49" t="s">
        <v>6802</v>
      </c>
      <c r="B592" s="49">
        <v>0</v>
      </c>
      <c r="C592" s="49"/>
      <c r="D592" s="72" t="s">
        <v>644</v>
      </c>
      <c r="E592" s="49" t="s">
        <v>3754</v>
      </c>
      <c r="F592" s="49"/>
      <c r="G592" s="49"/>
      <c r="H592" s="49" t="s">
        <v>646</v>
      </c>
      <c r="I592" s="49" t="s">
        <v>826</v>
      </c>
      <c r="J592" s="49" t="s">
        <v>827</v>
      </c>
      <c r="K592" s="49" t="s">
        <v>6803</v>
      </c>
      <c r="L592" s="49">
        <v>0</v>
      </c>
      <c r="M592" s="49" t="s">
        <v>4084</v>
      </c>
      <c r="N592" s="49" t="s">
        <v>4911</v>
      </c>
      <c r="P592" s="49" t="s">
        <v>6804</v>
      </c>
      <c r="Q592" s="49">
        <v>0</v>
      </c>
      <c r="R592" s="49" t="s">
        <v>646</v>
      </c>
      <c r="S592" s="49" t="s">
        <v>646</v>
      </c>
      <c r="T592" s="49" t="s">
        <v>646</v>
      </c>
      <c r="U592" s="49" t="s">
        <v>830</v>
      </c>
      <c r="V592" s="49" t="e">
        <v>#REF!</v>
      </c>
      <c r="AC592" s="49"/>
      <c r="AD592" s="49"/>
    </row>
    <row r="593" spans="1:30" hidden="1" x14ac:dyDescent="0.3">
      <c r="A593" s="49" t="s">
        <v>6805</v>
      </c>
      <c r="B593" s="49">
        <v>0</v>
      </c>
      <c r="C593" s="49"/>
      <c r="D593" s="72" t="s">
        <v>644</v>
      </c>
      <c r="E593" s="49" t="s">
        <v>3754</v>
      </c>
      <c r="F593" s="49"/>
      <c r="G593" s="49"/>
      <c r="H593" s="49" t="s">
        <v>646</v>
      </c>
      <c r="I593" s="49" t="s">
        <v>826</v>
      </c>
      <c r="J593" s="49" t="s">
        <v>827</v>
      </c>
      <c r="K593" s="49" t="s">
        <v>6803</v>
      </c>
      <c r="L593" s="49">
        <v>0</v>
      </c>
      <c r="M593" s="49" t="s">
        <v>4084</v>
      </c>
      <c r="N593" s="49" t="s">
        <v>4911</v>
      </c>
      <c r="P593" s="49" t="s">
        <v>6806</v>
      </c>
      <c r="Q593" s="49">
        <v>0</v>
      </c>
      <c r="R593" s="49" t="s">
        <v>646</v>
      </c>
      <c r="S593" s="49" t="s">
        <v>646</v>
      </c>
      <c r="T593" s="49" t="s">
        <v>646</v>
      </c>
      <c r="U593" s="49" t="s">
        <v>830</v>
      </c>
      <c r="V593" s="49" t="e">
        <v>#REF!</v>
      </c>
      <c r="AC593" s="49"/>
      <c r="AD593" s="49"/>
    </row>
    <row r="594" spans="1:30" hidden="1" x14ac:dyDescent="0.3">
      <c r="A594" s="49" t="s">
        <v>6807</v>
      </c>
      <c r="B594" s="49">
        <v>0</v>
      </c>
      <c r="C594" s="49"/>
      <c r="D594" s="72" t="s">
        <v>644</v>
      </c>
      <c r="E594" s="49" t="s">
        <v>3754</v>
      </c>
      <c r="F594" s="49"/>
      <c r="G594" s="49"/>
      <c r="H594" s="49" t="s">
        <v>646</v>
      </c>
      <c r="I594" s="49" t="s">
        <v>826</v>
      </c>
      <c r="J594" s="49" t="s">
        <v>827</v>
      </c>
      <c r="K594" s="49" t="s">
        <v>6803</v>
      </c>
      <c r="L594" s="49">
        <v>0</v>
      </c>
      <c r="M594" s="49" t="s">
        <v>4084</v>
      </c>
      <c r="N594" s="49" t="s">
        <v>4911</v>
      </c>
      <c r="P594" s="49" t="s">
        <v>6808</v>
      </c>
      <c r="Q594" s="49">
        <v>0</v>
      </c>
      <c r="R594" s="49" t="s">
        <v>646</v>
      </c>
      <c r="S594" s="49" t="s">
        <v>646</v>
      </c>
      <c r="T594" s="49" t="s">
        <v>646</v>
      </c>
      <c r="U594" s="49" t="s">
        <v>830</v>
      </c>
      <c r="V594" s="49" t="e">
        <v>#REF!</v>
      </c>
      <c r="AC594" s="49"/>
      <c r="AD594" s="49"/>
    </row>
    <row r="595" spans="1:30" hidden="1" x14ac:dyDescent="0.3">
      <c r="A595" s="49" t="s">
        <v>6809</v>
      </c>
      <c r="B595" s="49">
        <v>0</v>
      </c>
      <c r="C595" s="49"/>
      <c r="D595" s="72" t="s">
        <v>644</v>
      </c>
      <c r="E595" s="49" t="s">
        <v>3754</v>
      </c>
      <c r="F595" s="49"/>
      <c r="G595" s="49"/>
      <c r="H595" s="49" t="s">
        <v>646</v>
      </c>
      <c r="I595" s="49" t="s">
        <v>826</v>
      </c>
      <c r="J595" s="49" t="s">
        <v>827</v>
      </c>
      <c r="K595" s="49" t="s">
        <v>6803</v>
      </c>
      <c r="L595" s="49">
        <v>0</v>
      </c>
      <c r="M595" s="49" t="s">
        <v>4084</v>
      </c>
      <c r="N595" s="49" t="s">
        <v>4911</v>
      </c>
      <c r="P595" s="49" t="s">
        <v>6810</v>
      </c>
      <c r="Q595" s="49">
        <v>0</v>
      </c>
      <c r="R595" s="49" t="s">
        <v>646</v>
      </c>
      <c r="S595" s="49" t="s">
        <v>646</v>
      </c>
      <c r="T595" s="49" t="s">
        <v>646</v>
      </c>
      <c r="U595" s="49" t="s">
        <v>830</v>
      </c>
      <c r="V595" s="49" t="e">
        <v>#REF!</v>
      </c>
      <c r="AC595" s="49"/>
      <c r="AD595" s="49"/>
    </row>
    <row r="596" spans="1:30" hidden="1" x14ac:dyDescent="0.3">
      <c r="A596" s="49" t="s">
        <v>6811</v>
      </c>
      <c r="B596" s="49">
        <v>0</v>
      </c>
      <c r="C596" s="49"/>
      <c r="D596" s="72" t="s">
        <v>644</v>
      </c>
      <c r="E596" s="49" t="s">
        <v>3754</v>
      </c>
      <c r="F596" s="49"/>
      <c r="G596" s="49"/>
      <c r="H596" s="49" t="s">
        <v>646</v>
      </c>
      <c r="I596" s="49" t="s">
        <v>826</v>
      </c>
      <c r="J596" s="49" t="s">
        <v>827</v>
      </c>
      <c r="K596" s="49" t="s">
        <v>6803</v>
      </c>
      <c r="L596" s="49">
        <v>0</v>
      </c>
      <c r="M596" s="49" t="s">
        <v>4084</v>
      </c>
      <c r="N596" s="49" t="s">
        <v>4911</v>
      </c>
      <c r="P596" s="49" t="s">
        <v>6812</v>
      </c>
      <c r="Q596" s="49">
        <v>0</v>
      </c>
      <c r="R596" s="49" t="s">
        <v>646</v>
      </c>
      <c r="S596" s="49" t="s">
        <v>646</v>
      </c>
      <c r="T596" s="49" t="s">
        <v>646</v>
      </c>
      <c r="U596" s="49" t="s">
        <v>830</v>
      </c>
      <c r="V596" s="49" t="e">
        <v>#REF!</v>
      </c>
      <c r="AC596" s="49"/>
      <c r="AD596" s="49"/>
    </row>
    <row r="597" spans="1:30" hidden="1" x14ac:dyDescent="0.3">
      <c r="A597" s="49" t="s">
        <v>6813</v>
      </c>
      <c r="B597" s="49">
        <v>0</v>
      </c>
      <c r="C597" s="49"/>
      <c r="D597" s="72" t="s">
        <v>644</v>
      </c>
      <c r="E597" s="49" t="s">
        <v>3754</v>
      </c>
      <c r="F597" s="49"/>
      <c r="G597" s="49"/>
      <c r="H597" s="49" t="s">
        <v>646</v>
      </c>
      <c r="I597" s="49" t="s">
        <v>826</v>
      </c>
      <c r="J597" s="49" t="s">
        <v>827</v>
      </c>
      <c r="K597" s="49" t="s">
        <v>6814</v>
      </c>
      <c r="L597" s="49">
        <v>0</v>
      </c>
      <c r="M597" s="49" t="s">
        <v>2636</v>
      </c>
      <c r="N597" s="49" t="s">
        <v>6310</v>
      </c>
      <c r="P597" s="49" t="s">
        <v>6815</v>
      </c>
      <c r="Q597" s="49">
        <v>0</v>
      </c>
      <c r="R597" s="49" t="s">
        <v>646</v>
      </c>
      <c r="S597" s="49" t="s">
        <v>646</v>
      </c>
      <c r="T597" s="49" t="s">
        <v>646</v>
      </c>
      <c r="U597" s="49" t="s">
        <v>830</v>
      </c>
      <c r="V597" s="49" t="e">
        <v>#REF!</v>
      </c>
      <c r="AC597" s="49"/>
      <c r="AD597" s="49"/>
    </row>
    <row r="598" spans="1:30" hidden="1" x14ac:dyDescent="0.3">
      <c r="A598" s="49" t="s">
        <v>6816</v>
      </c>
      <c r="B598" s="49">
        <v>0</v>
      </c>
      <c r="C598" s="49"/>
      <c r="D598" s="72" t="s">
        <v>644</v>
      </c>
      <c r="E598" s="49" t="s">
        <v>3754</v>
      </c>
      <c r="F598" s="49"/>
      <c r="G598" s="49"/>
      <c r="H598" s="49" t="s">
        <v>6817</v>
      </c>
      <c r="I598" s="49" t="s">
        <v>6820</v>
      </c>
      <c r="J598" s="49" t="s">
        <v>6818</v>
      </c>
      <c r="K598" s="49" t="s">
        <v>6819</v>
      </c>
      <c r="L598" s="49">
        <v>0</v>
      </c>
      <c r="M598" s="49" t="s">
        <v>2636</v>
      </c>
      <c r="N598" s="49" t="s">
        <v>818</v>
      </c>
      <c r="O598" s="49">
        <v>21</v>
      </c>
      <c r="P598" s="49" t="s">
        <v>6821</v>
      </c>
      <c r="Q598" s="49">
        <v>0</v>
      </c>
      <c r="R598" s="49" t="s">
        <v>6822</v>
      </c>
      <c r="S598" s="49" t="s">
        <v>6823</v>
      </c>
      <c r="T598" s="49" t="s">
        <v>6824</v>
      </c>
      <c r="U598" s="49" t="s">
        <v>670</v>
      </c>
      <c r="V598" s="49" t="e">
        <v>#REF!</v>
      </c>
      <c r="AC598" s="49"/>
      <c r="AD598" s="49"/>
    </row>
    <row r="599" spans="1:30" hidden="1" x14ac:dyDescent="0.3">
      <c r="A599" s="49" t="s">
        <v>6825</v>
      </c>
      <c r="B599" s="49">
        <v>0</v>
      </c>
      <c r="C599" s="49"/>
      <c r="D599" s="72" t="s">
        <v>644</v>
      </c>
      <c r="E599" s="49" t="s">
        <v>3754</v>
      </c>
      <c r="F599" s="49"/>
      <c r="G599" s="49"/>
      <c r="H599" s="49" t="s">
        <v>6826</v>
      </c>
      <c r="I599" s="49" t="s">
        <v>6829</v>
      </c>
      <c r="J599" s="49" t="s">
        <v>6827</v>
      </c>
      <c r="K599" s="49" t="s">
        <v>6828</v>
      </c>
      <c r="L599" s="49">
        <v>0</v>
      </c>
      <c r="M599" s="49" t="s">
        <v>1865</v>
      </c>
      <c r="N599" s="49" t="s">
        <v>1076</v>
      </c>
      <c r="O599" s="49">
        <v>2</v>
      </c>
      <c r="P599" s="49" t="s">
        <v>6830</v>
      </c>
      <c r="Q599" s="49">
        <v>0</v>
      </c>
      <c r="R599" s="49" t="s">
        <v>6831</v>
      </c>
      <c r="S599" s="49" t="s">
        <v>6832</v>
      </c>
      <c r="T599" s="49" t="s">
        <v>6833</v>
      </c>
      <c r="U599" s="49" t="s">
        <v>670</v>
      </c>
      <c r="V599" s="49" t="e">
        <v>#REF!</v>
      </c>
      <c r="AC599" s="49"/>
      <c r="AD599" s="49"/>
    </row>
    <row r="600" spans="1:30" hidden="1" x14ac:dyDescent="0.3">
      <c r="A600" s="49" t="s">
        <v>6834</v>
      </c>
      <c r="B600" s="49">
        <v>0</v>
      </c>
      <c r="C600" s="49"/>
      <c r="D600" s="72" t="s">
        <v>644</v>
      </c>
      <c r="E600" s="49" t="s">
        <v>3754</v>
      </c>
      <c r="F600" s="49"/>
      <c r="G600" s="49"/>
      <c r="H600" s="49" t="s">
        <v>6835</v>
      </c>
      <c r="I600" s="49" t="s">
        <v>6838</v>
      </c>
      <c r="J600" s="49" t="s">
        <v>6836</v>
      </c>
      <c r="K600" s="49" t="s">
        <v>6837</v>
      </c>
      <c r="L600" s="49">
        <v>0</v>
      </c>
      <c r="M600" s="49" t="s">
        <v>1826</v>
      </c>
      <c r="N600" s="49" t="s">
        <v>6839</v>
      </c>
      <c r="O600" s="49">
        <v>11</v>
      </c>
      <c r="P600" s="49" t="s">
        <v>6840</v>
      </c>
      <c r="Q600" s="49">
        <v>0</v>
      </c>
      <c r="R600" s="49" t="s">
        <v>6841</v>
      </c>
      <c r="S600" s="49" t="s">
        <v>6842</v>
      </c>
      <c r="T600" s="49" t="s">
        <v>6843</v>
      </c>
      <c r="U600" s="49" t="s">
        <v>655</v>
      </c>
      <c r="V600" s="49" t="e">
        <v>#REF!</v>
      </c>
      <c r="AC600" s="49"/>
      <c r="AD600" s="49"/>
    </row>
    <row r="601" spans="1:30" hidden="1" x14ac:dyDescent="0.3">
      <c r="A601" s="49" t="s">
        <v>6844</v>
      </c>
      <c r="B601" s="49">
        <v>0</v>
      </c>
      <c r="C601" s="49"/>
      <c r="D601" s="72" t="s">
        <v>644</v>
      </c>
      <c r="E601" s="49" t="s">
        <v>3754</v>
      </c>
      <c r="F601" s="49"/>
      <c r="G601" s="49"/>
      <c r="H601" s="49" t="s">
        <v>6845</v>
      </c>
      <c r="I601" s="49" t="s">
        <v>6848</v>
      </c>
      <c r="J601" s="49" t="s">
        <v>6846</v>
      </c>
      <c r="K601" s="49" t="s">
        <v>6847</v>
      </c>
      <c r="L601" s="49">
        <v>0</v>
      </c>
      <c r="M601" s="49" t="s">
        <v>1826</v>
      </c>
      <c r="N601" s="49" t="s">
        <v>2535</v>
      </c>
      <c r="O601" s="49">
        <v>26</v>
      </c>
      <c r="P601" s="49" t="s">
        <v>6849</v>
      </c>
      <c r="Q601" s="49">
        <v>0</v>
      </c>
      <c r="R601" s="49" t="s">
        <v>646</v>
      </c>
      <c r="S601" s="49" t="s">
        <v>6850</v>
      </c>
      <c r="T601" s="49" t="s">
        <v>6851</v>
      </c>
      <c r="U601" s="49" t="s">
        <v>655</v>
      </c>
      <c r="V601" s="49" t="e">
        <v>#REF!</v>
      </c>
      <c r="AC601" s="49"/>
      <c r="AD601" s="49"/>
    </row>
    <row r="602" spans="1:30" hidden="1" x14ac:dyDescent="0.3">
      <c r="A602" s="49" t="s">
        <v>6852</v>
      </c>
      <c r="B602" s="49">
        <v>0</v>
      </c>
      <c r="C602" s="49"/>
      <c r="D602" s="72" t="s">
        <v>644</v>
      </c>
      <c r="E602" s="49" t="s">
        <v>3754</v>
      </c>
      <c r="F602" s="49"/>
      <c r="G602" s="49"/>
      <c r="H602" s="49" t="s">
        <v>6853</v>
      </c>
      <c r="I602" s="49" t="s">
        <v>6856</v>
      </c>
      <c r="J602" s="49" t="s">
        <v>6854</v>
      </c>
      <c r="K602" s="49" t="s">
        <v>6855</v>
      </c>
      <c r="L602" s="49">
        <v>0</v>
      </c>
      <c r="M602" s="49" t="s">
        <v>1826</v>
      </c>
      <c r="N602" s="49" t="s">
        <v>6857</v>
      </c>
      <c r="O602" s="49">
        <v>2</v>
      </c>
      <c r="P602" s="49" t="s">
        <v>6858</v>
      </c>
      <c r="Q602" s="49">
        <v>0</v>
      </c>
      <c r="R602" s="49" t="s">
        <v>6859</v>
      </c>
      <c r="S602" s="49" t="s">
        <v>6860</v>
      </c>
      <c r="T602" s="49" t="s">
        <v>6861</v>
      </c>
      <c r="U602" s="49" t="s">
        <v>655</v>
      </c>
      <c r="V602" s="49" t="e">
        <v>#REF!</v>
      </c>
      <c r="AC602" s="49"/>
      <c r="AD602" s="49"/>
    </row>
    <row r="603" spans="1:30" hidden="1" x14ac:dyDescent="0.3">
      <c r="A603" s="49" t="s">
        <v>6862</v>
      </c>
      <c r="B603" s="49">
        <v>0</v>
      </c>
      <c r="C603" s="49"/>
      <c r="D603" s="72" t="s">
        <v>644</v>
      </c>
      <c r="E603" s="49" t="s">
        <v>3754</v>
      </c>
      <c r="F603" s="49"/>
      <c r="G603" s="49"/>
      <c r="H603" s="49" t="s">
        <v>6863</v>
      </c>
      <c r="I603" s="49" t="s">
        <v>6866</v>
      </c>
      <c r="J603" s="49" t="s">
        <v>6864</v>
      </c>
      <c r="K603" s="49" t="s">
        <v>6865</v>
      </c>
      <c r="L603" s="49">
        <v>0</v>
      </c>
      <c r="M603" s="49" t="s">
        <v>1826</v>
      </c>
      <c r="N603" s="49" t="s">
        <v>5425</v>
      </c>
      <c r="O603" s="49">
        <v>4</v>
      </c>
      <c r="P603" s="49" t="s">
        <v>6867</v>
      </c>
      <c r="Q603" s="49">
        <v>0</v>
      </c>
      <c r="R603" s="49" t="s">
        <v>6868</v>
      </c>
      <c r="S603" s="49" t="s">
        <v>6869</v>
      </c>
      <c r="T603" s="49" t="s">
        <v>6870</v>
      </c>
      <c r="U603" s="49" t="s">
        <v>655</v>
      </c>
      <c r="V603" s="49" t="e">
        <v>#REF!</v>
      </c>
      <c r="AC603" s="49"/>
      <c r="AD603" s="49"/>
    </row>
    <row r="604" spans="1:30" hidden="1" x14ac:dyDescent="0.3">
      <c r="A604" s="49" t="s">
        <v>6871</v>
      </c>
      <c r="B604" s="49">
        <v>0</v>
      </c>
      <c r="C604" s="49"/>
      <c r="D604" s="72" t="s">
        <v>644</v>
      </c>
      <c r="E604" s="49" t="s">
        <v>3754</v>
      </c>
      <c r="F604" s="49"/>
      <c r="G604" s="49"/>
      <c r="H604" s="49" t="s">
        <v>6872</v>
      </c>
      <c r="I604" s="49" t="s">
        <v>6875</v>
      </c>
      <c r="J604" s="49" t="s">
        <v>6873</v>
      </c>
      <c r="K604" s="49" t="s">
        <v>6874</v>
      </c>
      <c r="L604" s="49">
        <v>0</v>
      </c>
      <c r="M604" s="49" t="s">
        <v>4114</v>
      </c>
      <c r="N604" s="49" t="s">
        <v>6876</v>
      </c>
      <c r="O604" s="49">
        <v>5</v>
      </c>
      <c r="P604" s="49" t="s">
        <v>6877</v>
      </c>
      <c r="Q604" s="49">
        <v>0</v>
      </c>
      <c r="R604" s="49" t="s">
        <v>6878</v>
      </c>
      <c r="S604" s="49" t="s">
        <v>6879</v>
      </c>
      <c r="T604" s="49" t="s">
        <v>646</v>
      </c>
      <c r="U604" s="49" t="s">
        <v>670</v>
      </c>
      <c r="V604" s="49" t="e">
        <v>#REF!</v>
      </c>
      <c r="AC604" s="49"/>
      <c r="AD604" s="49"/>
    </row>
    <row r="605" spans="1:30" hidden="1" x14ac:dyDescent="0.3">
      <c r="A605" s="49" t="s">
        <v>6880</v>
      </c>
      <c r="B605" s="49">
        <v>0</v>
      </c>
      <c r="C605" s="49"/>
      <c r="D605" s="72" t="s">
        <v>644</v>
      </c>
      <c r="E605" s="49" t="s">
        <v>3754</v>
      </c>
      <c r="F605" s="49"/>
      <c r="G605" s="49"/>
      <c r="H605" s="49" t="s">
        <v>646</v>
      </c>
      <c r="I605" s="49" t="s">
        <v>6883</v>
      </c>
      <c r="J605" s="49" t="s">
        <v>6881</v>
      </c>
      <c r="K605" s="49" t="s">
        <v>6882</v>
      </c>
      <c r="L605" s="49">
        <v>0</v>
      </c>
      <c r="M605" s="49" t="s">
        <v>4084</v>
      </c>
      <c r="N605" s="49" t="s">
        <v>6884</v>
      </c>
      <c r="P605" s="49" t="s">
        <v>6885</v>
      </c>
      <c r="Q605" s="49">
        <v>0</v>
      </c>
      <c r="R605" s="49" t="s">
        <v>6886</v>
      </c>
      <c r="S605" s="49" t="s">
        <v>6887</v>
      </c>
      <c r="T605" s="49" t="s">
        <v>6888</v>
      </c>
      <c r="U605" s="49" t="s">
        <v>655</v>
      </c>
      <c r="V605" s="49" t="e">
        <v>#REF!</v>
      </c>
      <c r="AC605" s="49"/>
      <c r="AD605" s="49"/>
    </row>
    <row r="606" spans="1:30" hidden="1" x14ac:dyDescent="0.3">
      <c r="A606" s="49" t="s">
        <v>1387</v>
      </c>
      <c r="B606" s="49">
        <v>0</v>
      </c>
      <c r="C606" s="49"/>
      <c r="D606" s="72" t="s">
        <v>644</v>
      </c>
      <c r="E606" s="49" t="s">
        <v>3754</v>
      </c>
      <c r="F606" s="49"/>
      <c r="G606" s="49"/>
      <c r="H606" s="49" t="s">
        <v>646</v>
      </c>
      <c r="I606" s="49" t="s">
        <v>1389</v>
      </c>
      <c r="J606" s="49" t="s">
        <v>1390</v>
      </c>
      <c r="K606" s="49" t="s">
        <v>1391</v>
      </c>
      <c r="L606" s="49">
        <v>0</v>
      </c>
      <c r="M606" s="49" t="s">
        <v>2636</v>
      </c>
      <c r="N606" s="49" t="s">
        <v>1393</v>
      </c>
      <c r="O606" s="49">
        <v>9</v>
      </c>
      <c r="P606" s="49" t="s">
        <v>1394</v>
      </c>
      <c r="Q606" s="49">
        <v>0</v>
      </c>
      <c r="R606" s="49" t="s">
        <v>1396</v>
      </c>
      <c r="S606" s="49" t="s">
        <v>1397</v>
      </c>
      <c r="T606" s="49" t="s">
        <v>6889</v>
      </c>
      <c r="U606" s="49" t="s">
        <v>670</v>
      </c>
      <c r="V606" s="49" t="e">
        <v>#REF!</v>
      </c>
      <c r="AC606" s="49"/>
      <c r="AD606" s="49"/>
    </row>
    <row r="607" spans="1:30" hidden="1" x14ac:dyDescent="0.3">
      <c r="A607" s="49" t="s">
        <v>6890</v>
      </c>
      <c r="B607" s="49">
        <v>0</v>
      </c>
      <c r="C607" s="49"/>
      <c r="D607" s="72" t="s">
        <v>644</v>
      </c>
      <c r="E607" s="49" t="s">
        <v>3754</v>
      </c>
      <c r="F607" s="49"/>
      <c r="G607" s="49"/>
      <c r="H607" s="49" t="s">
        <v>6891</v>
      </c>
      <c r="I607" s="49" t="s">
        <v>6894</v>
      </c>
      <c r="J607" s="49" t="s">
        <v>6892</v>
      </c>
      <c r="K607" s="49" t="s">
        <v>6893</v>
      </c>
      <c r="L607" s="49">
        <v>0</v>
      </c>
      <c r="M607" s="49" t="s">
        <v>1826</v>
      </c>
      <c r="N607" s="49" t="s">
        <v>6895</v>
      </c>
      <c r="O607" s="49">
        <v>18</v>
      </c>
      <c r="P607" s="49" t="s">
        <v>6896</v>
      </c>
      <c r="Q607" s="49">
        <v>0</v>
      </c>
      <c r="R607" s="49" t="s">
        <v>6897</v>
      </c>
      <c r="S607" s="49" t="s">
        <v>6898</v>
      </c>
      <c r="T607" s="49" t="s">
        <v>6899</v>
      </c>
      <c r="U607" s="49" t="s">
        <v>655</v>
      </c>
      <c r="V607" s="49" t="e">
        <v>#REF!</v>
      </c>
      <c r="AC607" s="49"/>
      <c r="AD607" s="49"/>
    </row>
    <row r="608" spans="1:30" hidden="1" x14ac:dyDescent="0.3">
      <c r="A608" s="49" t="s">
        <v>6900</v>
      </c>
      <c r="B608" s="49">
        <v>0</v>
      </c>
      <c r="C608" s="49"/>
      <c r="D608" s="72" t="s">
        <v>644</v>
      </c>
      <c r="E608" s="49" t="s">
        <v>3754</v>
      </c>
      <c r="F608" s="49"/>
      <c r="G608" s="49"/>
      <c r="H608" s="49" t="s">
        <v>6901</v>
      </c>
      <c r="I608" s="49" t="s">
        <v>6904</v>
      </c>
      <c r="J608" s="49" t="s">
        <v>6902</v>
      </c>
      <c r="K608" s="49" t="s">
        <v>6903</v>
      </c>
      <c r="L608" s="49">
        <v>0</v>
      </c>
      <c r="M608" s="49" t="s">
        <v>4114</v>
      </c>
      <c r="N608" s="49" t="s">
        <v>6905</v>
      </c>
      <c r="O608" s="49">
        <v>23</v>
      </c>
      <c r="P608" s="49" t="s">
        <v>6906</v>
      </c>
      <c r="Q608" s="49">
        <v>0</v>
      </c>
      <c r="R608" s="49" t="s">
        <v>6907</v>
      </c>
      <c r="S608" s="49" t="s">
        <v>6908</v>
      </c>
      <c r="T608" s="49" t="s">
        <v>646</v>
      </c>
      <c r="U608" s="49" t="s">
        <v>670</v>
      </c>
      <c r="V608" s="49" t="e">
        <v>#REF!</v>
      </c>
      <c r="AC608" s="49"/>
      <c r="AD608" s="49"/>
    </row>
    <row r="609" spans="1:30" hidden="1" x14ac:dyDescent="0.3">
      <c r="A609" s="49" t="s">
        <v>852</v>
      </c>
      <c r="B609" s="49">
        <v>0</v>
      </c>
      <c r="C609" s="49"/>
      <c r="D609" s="72" t="s">
        <v>644</v>
      </c>
      <c r="E609" s="49" t="s">
        <v>3754</v>
      </c>
      <c r="F609" s="49"/>
      <c r="G609" s="49"/>
      <c r="H609" s="49" t="s">
        <v>854</v>
      </c>
      <c r="I609" s="49" t="s">
        <v>855</v>
      </c>
      <c r="J609" s="49" t="s">
        <v>856</v>
      </c>
      <c r="K609" s="49" t="s">
        <v>857</v>
      </c>
      <c r="L609" s="49">
        <v>0</v>
      </c>
      <c r="M609" s="49" t="s">
        <v>2484</v>
      </c>
      <c r="N609" s="49" t="s">
        <v>858</v>
      </c>
      <c r="O609" s="49">
        <v>7</v>
      </c>
      <c r="P609" s="49" t="s">
        <v>859</v>
      </c>
      <c r="Q609" s="49">
        <v>0</v>
      </c>
      <c r="R609" s="49" t="s">
        <v>860</v>
      </c>
      <c r="S609" s="49" t="s">
        <v>861</v>
      </c>
      <c r="T609" s="49" t="s">
        <v>646</v>
      </c>
      <c r="U609" s="49" t="s">
        <v>670</v>
      </c>
      <c r="V609" s="49" t="e">
        <v>#REF!</v>
      </c>
      <c r="AC609" s="49"/>
      <c r="AD609" s="49"/>
    </row>
    <row r="610" spans="1:30" hidden="1" x14ac:dyDescent="0.3">
      <c r="A610" s="49" t="s">
        <v>6909</v>
      </c>
      <c r="B610" s="49">
        <v>0</v>
      </c>
      <c r="C610" s="49"/>
      <c r="D610" s="72" t="s">
        <v>644</v>
      </c>
      <c r="E610" s="49" t="s">
        <v>3754</v>
      </c>
      <c r="F610" s="49"/>
      <c r="G610" s="49"/>
      <c r="H610" s="49" t="s">
        <v>6910</v>
      </c>
      <c r="I610" s="49" t="s">
        <v>6913</v>
      </c>
      <c r="J610" s="49" t="s">
        <v>6911</v>
      </c>
      <c r="K610" s="49" t="s">
        <v>6912</v>
      </c>
      <c r="L610" s="49">
        <v>0</v>
      </c>
      <c r="M610" s="49" t="s">
        <v>2456</v>
      </c>
      <c r="N610" s="49" t="s">
        <v>6914</v>
      </c>
      <c r="O610" s="49">
        <v>3</v>
      </c>
      <c r="P610" s="49" t="s">
        <v>6915</v>
      </c>
      <c r="Q610" s="49">
        <v>0</v>
      </c>
      <c r="R610" s="49" t="s">
        <v>6916</v>
      </c>
      <c r="S610" s="49" t="s">
        <v>6917</v>
      </c>
      <c r="T610" s="49" t="s">
        <v>6918</v>
      </c>
      <c r="U610" s="49" t="s">
        <v>670</v>
      </c>
      <c r="V610" s="49" t="e">
        <v>#REF!</v>
      </c>
      <c r="AC610" s="49"/>
      <c r="AD610" s="49"/>
    </row>
    <row r="611" spans="1:30" hidden="1" x14ac:dyDescent="0.3">
      <c r="A611" s="49" t="s">
        <v>6919</v>
      </c>
      <c r="B611" s="49">
        <v>0</v>
      </c>
      <c r="C611" s="49"/>
      <c r="D611" s="72" t="s">
        <v>644</v>
      </c>
      <c r="E611" s="49" t="s">
        <v>3754</v>
      </c>
      <c r="F611" s="49"/>
      <c r="G611" s="49"/>
      <c r="H611" s="49" t="s">
        <v>6920</v>
      </c>
      <c r="I611" s="49" t="s">
        <v>6923</v>
      </c>
      <c r="J611" s="49" t="s">
        <v>6921</v>
      </c>
      <c r="K611" s="49" t="s">
        <v>6922</v>
      </c>
      <c r="L611" s="49">
        <v>0</v>
      </c>
      <c r="M611" s="49" t="s">
        <v>1826</v>
      </c>
      <c r="N611" s="49" t="s">
        <v>6924</v>
      </c>
      <c r="O611" s="49">
        <v>3</v>
      </c>
      <c r="P611" s="49" t="s">
        <v>6925</v>
      </c>
      <c r="Q611" s="49">
        <v>0</v>
      </c>
      <c r="R611" s="49" t="s">
        <v>6926</v>
      </c>
      <c r="S611" s="49" t="s">
        <v>6927</v>
      </c>
      <c r="T611" s="49" t="s">
        <v>646</v>
      </c>
      <c r="U611" s="49" t="s">
        <v>670</v>
      </c>
      <c r="V611" s="49" t="e">
        <v>#REF!</v>
      </c>
      <c r="AC611" s="49"/>
      <c r="AD611" s="49"/>
    </row>
    <row r="612" spans="1:30" hidden="1" x14ac:dyDescent="0.3">
      <c r="A612" s="49" t="s">
        <v>6928</v>
      </c>
      <c r="B612" s="49">
        <v>0</v>
      </c>
      <c r="C612" s="49"/>
      <c r="D612" s="72" t="s">
        <v>644</v>
      </c>
      <c r="E612" s="49" t="s">
        <v>3754</v>
      </c>
      <c r="F612" s="49"/>
      <c r="G612" s="49"/>
      <c r="H612" s="49" t="s">
        <v>6929</v>
      </c>
      <c r="I612" s="49" t="s">
        <v>6932</v>
      </c>
      <c r="J612" s="49" t="s">
        <v>6930</v>
      </c>
      <c r="K612" s="49" t="s">
        <v>6931</v>
      </c>
      <c r="L612" s="49">
        <v>0</v>
      </c>
      <c r="M612" s="49" t="s">
        <v>1734</v>
      </c>
      <c r="N612" s="49" t="s">
        <v>2780</v>
      </c>
      <c r="O612" s="49">
        <v>1</v>
      </c>
      <c r="P612" s="49" t="s">
        <v>6933</v>
      </c>
      <c r="Q612" s="49">
        <v>0</v>
      </c>
      <c r="R612" s="49" t="s">
        <v>6934</v>
      </c>
      <c r="S612" s="49" t="s">
        <v>6935</v>
      </c>
      <c r="T612" s="49" t="s">
        <v>6936</v>
      </c>
      <c r="U612" s="49" t="s">
        <v>655</v>
      </c>
      <c r="V612" s="49" t="e">
        <v>#REF!</v>
      </c>
      <c r="AC612" s="49"/>
      <c r="AD612" s="49"/>
    </row>
    <row r="613" spans="1:30" hidden="1" x14ac:dyDescent="0.3">
      <c r="A613" s="49" t="s">
        <v>6937</v>
      </c>
      <c r="B613" s="49">
        <v>0</v>
      </c>
      <c r="C613" s="49"/>
      <c r="D613" s="72" t="s">
        <v>644</v>
      </c>
      <c r="E613" s="49" t="s">
        <v>3754</v>
      </c>
      <c r="F613" s="49"/>
      <c r="G613" s="49"/>
      <c r="H613" s="49" t="s">
        <v>6938</v>
      </c>
      <c r="I613" s="49" t="s">
        <v>6941</v>
      </c>
      <c r="J613" s="49" t="s">
        <v>6939</v>
      </c>
      <c r="K613" s="49" t="s">
        <v>6940</v>
      </c>
      <c r="L613" s="49">
        <v>0</v>
      </c>
      <c r="M613" s="49" t="s">
        <v>1777</v>
      </c>
      <c r="N613" s="49" t="s">
        <v>6942</v>
      </c>
      <c r="O613" s="49">
        <v>39</v>
      </c>
      <c r="P613" s="49" t="s">
        <v>6943</v>
      </c>
      <c r="Q613" s="49">
        <v>0</v>
      </c>
      <c r="R613" s="49" t="s">
        <v>6944</v>
      </c>
      <c r="S613" s="49" t="s">
        <v>6945</v>
      </c>
      <c r="T613" s="49" t="s">
        <v>6946</v>
      </c>
      <c r="U613" s="49" t="s">
        <v>655</v>
      </c>
      <c r="V613" s="49" t="e">
        <v>#REF!</v>
      </c>
      <c r="AC613" s="49"/>
      <c r="AD613" s="49"/>
    </row>
    <row r="614" spans="1:30" hidden="1" x14ac:dyDescent="0.3">
      <c r="A614" s="49" t="s">
        <v>6947</v>
      </c>
      <c r="B614" s="49">
        <v>0</v>
      </c>
      <c r="C614" s="49"/>
      <c r="D614" s="72" t="s">
        <v>644</v>
      </c>
      <c r="E614" s="49" t="s">
        <v>3754</v>
      </c>
      <c r="F614" s="49"/>
      <c r="G614" s="49"/>
      <c r="H614" s="49" t="s">
        <v>6948</v>
      </c>
      <c r="I614" s="49" t="s">
        <v>6951</v>
      </c>
      <c r="J614" s="49" t="s">
        <v>6949</v>
      </c>
      <c r="K614" s="49" t="s">
        <v>6950</v>
      </c>
      <c r="L614" s="49">
        <v>0</v>
      </c>
      <c r="M614" s="49" t="s">
        <v>2484</v>
      </c>
      <c r="N614" s="49" t="s">
        <v>6952</v>
      </c>
      <c r="O614" s="49">
        <v>13</v>
      </c>
      <c r="P614" s="49" t="s">
        <v>6953</v>
      </c>
      <c r="Q614" s="49">
        <v>0</v>
      </c>
      <c r="R614" s="49" t="s">
        <v>6954</v>
      </c>
      <c r="S614" s="49" t="s">
        <v>6955</v>
      </c>
      <c r="T614" s="49" t="s">
        <v>6956</v>
      </c>
      <c r="U614" s="49" t="s">
        <v>655</v>
      </c>
      <c r="V614" s="49" t="e">
        <v>#REF!</v>
      </c>
      <c r="AC614" s="49"/>
      <c r="AD614" s="49"/>
    </row>
    <row r="615" spans="1:30" hidden="1" x14ac:dyDescent="0.3">
      <c r="A615" s="49" t="s">
        <v>6957</v>
      </c>
      <c r="B615" s="49">
        <v>0</v>
      </c>
      <c r="C615" s="49"/>
      <c r="D615" s="72" t="s">
        <v>644</v>
      </c>
      <c r="E615" s="49" t="s">
        <v>3754</v>
      </c>
      <c r="F615" s="49"/>
      <c r="G615" s="49"/>
      <c r="H615" s="49" t="s">
        <v>6958</v>
      </c>
      <c r="I615" s="49" t="s">
        <v>6961</v>
      </c>
      <c r="J615" s="49" t="s">
        <v>6959</v>
      </c>
      <c r="K615" s="49" t="s">
        <v>6960</v>
      </c>
      <c r="L615" s="49">
        <v>0</v>
      </c>
      <c r="M615" s="49" t="s">
        <v>4114</v>
      </c>
      <c r="N615" s="49" t="s">
        <v>6962</v>
      </c>
      <c r="O615" s="49">
        <v>82</v>
      </c>
      <c r="P615" s="49" t="s">
        <v>6963</v>
      </c>
      <c r="Q615" s="49">
        <v>0</v>
      </c>
      <c r="R615" s="49" t="s">
        <v>6964</v>
      </c>
      <c r="S615" s="49" t="s">
        <v>6965</v>
      </c>
      <c r="T615" s="49" t="s">
        <v>646</v>
      </c>
      <c r="U615" s="49" t="s">
        <v>670</v>
      </c>
      <c r="V615" s="49" t="e">
        <v>#REF!</v>
      </c>
      <c r="AC615" s="49"/>
      <c r="AD615" s="49"/>
    </row>
    <row r="616" spans="1:30" hidden="1" x14ac:dyDescent="0.3">
      <c r="A616" s="49" t="s">
        <v>6966</v>
      </c>
      <c r="B616" s="49">
        <v>0</v>
      </c>
      <c r="C616" s="49"/>
      <c r="D616" s="72" t="s">
        <v>644</v>
      </c>
      <c r="E616" s="49" t="s">
        <v>3754</v>
      </c>
      <c r="F616" s="49"/>
      <c r="G616" s="49"/>
      <c r="H616" s="49" t="s">
        <v>646</v>
      </c>
      <c r="I616" s="49" t="s">
        <v>6969</v>
      </c>
      <c r="J616" s="49" t="s">
        <v>6967</v>
      </c>
      <c r="K616" s="49" t="s">
        <v>6968</v>
      </c>
      <c r="L616" s="49">
        <v>0</v>
      </c>
      <c r="M616" s="49" t="s">
        <v>2220</v>
      </c>
      <c r="N616" s="49" t="s">
        <v>6970</v>
      </c>
      <c r="O616" s="49">
        <v>21</v>
      </c>
      <c r="P616" s="49" t="s">
        <v>6971</v>
      </c>
      <c r="Q616" s="49">
        <v>0</v>
      </c>
      <c r="R616" s="49" t="s">
        <v>6972</v>
      </c>
      <c r="S616" s="49" t="s">
        <v>6973</v>
      </c>
      <c r="T616" s="49" t="s">
        <v>6974</v>
      </c>
      <c r="U616" s="49" t="s">
        <v>670</v>
      </c>
      <c r="V616" s="49" t="e">
        <v>#REF!</v>
      </c>
      <c r="AC616" s="49"/>
      <c r="AD616" s="49"/>
    </row>
    <row r="617" spans="1:30" hidden="1" x14ac:dyDescent="0.3">
      <c r="A617" s="49" t="s">
        <v>6975</v>
      </c>
      <c r="B617" s="49">
        <v>0</v>
      </c>
      <c r="C617" s="49"/>
      <c r="D617" s="72" t="s">
        <v>644</v>
      </c>
      <c r="E617" s="49" t="s">
        <v>3754</v>
      </c>
      <c r="F617" s="49"/>
      <c r="G617" s="49"/>
      <c r="H617" s="49" t="s">
        <v>6976</v>
      </c>
      <c r="I617" s="49" t="s">
        <v>6979</v>
      </c>
      <c r="J617" s="49" t="s">
        <v>6977</v>
      </c>
      <c r="K617" s="49" t="s">
        <v>6978</v>
      </c>
      <c r="L617" s="49">
        <v>0</v>
      </c>
      <c r="M617" s="49" t="s">
        <v>1865</v>
      </c>
      <c r="N617" s="49" t="s">
        <v>4168</v>
      </c>
      <c r="P617" s="49" t="s">
        <v>6980</v>
      </c>
      <c r="Q617" s="49">
        <v>0</v>
      </c>
      <c r="R617" s="49" t="s">
        <v>6981</v>
      </c>
      <c r="S617" s="49" t="s">
        <v>6982</v>
      </c>
      <c r="T617" s="49" t="s">
        <v>6983</v>
      </c>
      <c r="U617" s="49" t="s">
        <v>670</v>
      </c>
      <c r="V617" s="49" t="e">
        <v>#REF!</v>
      </c>
      <c r="AC617" s="49"/>
      <c r="AD617" s="49"/>
    </row>
    <row r="618" spans="1:30" hidden="1" x14ac:dyDescent="0.3">
      <c r="A618" s="49" t="s">
        <v>6984</v>
      </c>
      <c r="B618" s="49">
        <v>0</v>
      </c>
      <c r="C618" s="49"/>
      <c r="D618" s="72" t="s">
        <v>644</v>
      </c>
      <c r="E618" s="49" t="s">
        <v>3754</v>
      </c>
      <c r="F618" s="49"/>
      <c r="G618" s="49"/>
      <c r="H618" s="49" t="s">
        <v>6985</v>
      </c>
      <c r="I618" s="49" t="s">
        <v>6988</v>
      </c>
      <c r="J618" s="49" t="s">
        <v>6986</v>
      </c>
      <c r="K618" s="49" t="s">
        <v>6987</v>
      </c>
      <c r="L618" s="49">
        <v>0</v>
      </c>
      <c r="M618" s="49" t="s">
        <v>1817</v>
      </c>
      <c r="N618" s="49" t="s">
        <v>6989</v>
      </c>
      <c r="O618" s="49">
        <v>13</v>
      </c>
      <c r="P618" s="49" t="s">
        <v>6990</v>
      </c>
      <c r="Q618" s="49">
        <v>0</v>
      </c>
      <c r="R618" s="49" t="s">
        <v>6991</v>
      </c>
      <c r="S618" s="49" t="s">
        <v>6992</v>
      </c>
      <c r="T618" s="49" t="s">
        <v>6993</v>
      </c>
      <c r="U618" s="49" t="s">
        <v>655</v>
      </c>
      <c r="V618" s="49" t="e">
        <v>#REF!</v>
      </c>
      <c r="AC618" s="49"/>
      <c r="AD618" s="49"/>
    </row>
    <row r="619" spans="1:30" hidden="1" x14ac:dyDescent="0.3">
      <c r="A619" s="49" t="s">
        <v>6994</v>
      </c>
      <c r="B619" s="49">
        <v>0</v>
      </c>
      <c r="C619" s="49"/>
      <c r="D619" s="72" t="s">
        <v>644</v>
      </c>
      <c r="E619" s="49" t="s">
        <v>3754</v>
      </c>
      <c r="F619" s="49"/>
      <c r="G619" s="49"/>
      <c r="H619" s="49" t="s">
        <v>6995</v>
      </c>
      <c r="I619" s="49" t="s">
        <v>6998</v>
      </c>
      <c r="J619" s="49" t="s">
        <v>6996</v>
      </c>
      <c r="K619" s="49" t="s">
        <v>6997</v>
      </c>
      <c r="L619" s="49">
        <v>0</v>
      </c>
      <c r="M619" s="49" t="s">
        <v>2220</v>
      </c>
      <c r="N619" s="49" t="s">
        <v>818</v>
      </c>
      <c r="P619" s="49" t="s">
        <v>6999</v>
      </c>
      <c r="Q619" s="49">
        <v>0</v>
      </c>
      <c r="R619" s="49" t="s">
        <v>7000</v>
      </c>
      <c r="S619" s="49" t="s">
        <v>7001</v>
      </c>
      <c r="T619" s="49" t="s">
        <v>7002</v>
      </c>
      <c r="U619" s="49" t="s">
        <v>670</v>
      </c>
      <c r="V619" s="49" t="e">
        <v>#REF!</v>
      </c>
      <c r="AC619" s="49"/>
      <c r="AD619" s="49"/>
    </row>
    <row r="620" spans="1:30" hidden="1" x14ac:dyDescent="0.3">
      <c r="A620" s="49" t="s">
        <v>7003</v>
      </c>
      <c r="B620" s="49">
        <v>0</v>
      </c>
      <c r="C620" s="49"/>
      <c r="D620" s="72" t="s">
        <v>644</v>
      </c>
      <c r="E620" s="49" t="s">
        <v>3754</v>
      </c>
      <c r="F620" s="49"/>
      <c r="G620" s="49"/>
      <c r="H620" s="49" t="s">
        <v>7004</v>
      </c>
      <c r="I620" s="49" t="s">
        <v>7007</v>
      </c>
      <c r="J620" s="49" t="s">
        <v>7005</v>
      </c>
      <c r="K620" s="49" t="s">
        <v>7006</v>
      </c>
      <c r="L620" s="49">
        <v>0</v>
      </c>
      <c r="M620" s="49" t="s">
        <v>2484</v>
      </c>
      <c r="N620" s="49" t="s">
        <v>7008</v>
      </c>
      <c r="O620" s="49">
        <v>9</v>
      </c>
      <c r="P620" s="49" t="s">
        <v>7009</v>
      </c>
      <c r="Q620" s="49">
        <v>0</v>
      </c>
      <c r="R620" s="49" t="s">
        <v>7010</v>
      </c>
      <c r="S620" s="49" t="s">
        <v>7011</v>
      </c>
      <c r="T620" s="49" t="s">
        <v>7012</v>
      </c>
      <c r="U620" s="49" t="s">
        <v>655</v>
      </c>
      <c r="V620" s="49" t="e">
        <v>#REF!</v>
      </c>
      <c r="AC620" s="49"/>
      <c r="AD620" s="49"/>
    </row>
    <row r="621" spans="1:30" hidden="1" x14ac:dyDescent="0.3">
      <c r="A621" s="49" t="s">
        <v>7013</v>
      </c>
      <c r="B621" s="49">
        <v>0</v>
      </c>
      <c r="C621" s="49"/>
      <c r="D621" s="72" t="s">
        <v>644</v>
      </c>
      <c r="E621" s="49" t="s">
        <v>3754</v>
      </c>
      <c r="F621" s="49"/>
      <c r="G621" s="49"/>
      <c r="H621" s="49" t="s">
        <v>7014</v>
      </c>
      <c r="I621" s="49" t="s">
        <v>7017</v>
      </c>
      <c r="J621" s="49" t="s">
        <v>7015</v>
      </c>
      <c r="K621" s="49" t="s">
        <v>7016</v>
      </c>
      <c r="L621" s="49">
        <v>0</v>
      </c>
      <c r="M621" s="49" t="s">
        <v>1777</v>
      </c>
      <c r="N621" s="49" t="s">
        <v>7018</v>
      </c>
      <c r="O621" s="49">
        <v>9</v>
      </c>
      <c r="P621" s="49" t="s">
        <v>7019</v>
      </c>
      <c r="Q621" s="49">
        <v>0</v>
      </c>
      <c r="R621" s="49" t="s">
        <v>7020</v>
      </c>
      <c r="S621" s="49" t="s">
        <v>7021</v>
      </c>
      <c r="T621" s="49" t="s">
        <v>646</v>
      </c>
      <c r="U621" s="49" t="s">
        <v>670</v>
      </c>
      <c r="V621" s="49" t="e">
        <v>#REF!</v>
      </c>
      <c r="AC621" s="49"/>
      <c r="AD621" s="49"/>
    </row>
    <row r="622" spans="1:30" hidden="1" x14ac:dyDescent="0.3">
      <c r="A622" s="49" t="s">
        <v>7022</v>
      </c>
      <c r="B622" s="49">
        <v>0</v>
      </c>
      <c r="C622" s="49"/>
      <c r="D622" s="72" t="s">
        <v>644</v>
      </c>
      <c r="E622" s="49" t="s">
        <v>3754</v>
      </c>
      <c r="F622" s="49"/>
      <c r="G622" s="49"/>
      <c r="H622" s="49" t="s">
        <v>646</v>
      </c>
      <c r="I622" s="49" t="s">
        <v>7025</v>
      </c>
      <c r="J622" s="49" t="s">
        <v>7023</v>
      </c>
      <c r="K622" s="49" t="s">
        <v>7024</v>
      </c>
      <c r="L622" s="49">
        <v>0</v>
      </c>
      <c r="M622" s="49" t="s">
        <v>4084</v>
      </c>
      <c r="N622" s="49" t="s">
        <v>5371</v>
      </c>
      <c r="O622" s="49">
        <v>7</v>
      </c>
      <c r="P622" s="49" t="s">
        <v>7026</v>
      </c>
      <c r="Q622" s="49">
        <v>0</v>
      </c>
      <c r="R622" s="49" t="s">
        <v>7027</v>
      </c>
      <c r="S622" s="49" t="s">
        <v>7028</v>
      </c>
      <c r="T622" s="49" t="s">
        <v>7029</v>
      </c>
      <c r="U622" s="49" t="s">
        <v>670</v>
      </c>
      <c r="V622" s="49" t="e">
        <v>#REF!</v>
      </c>
      <c r="AC622" s="49"/>
      <c r="AD622" s="49"/>
    </row>
    <row r="623" spans="1:30" hidden="1" x14ac:dyDescent="0.3">
      <c r="A623" s="49" t="s">
        <v>7030</v>
      </c>
      <c r="B623" s="49">
        <v>0</v>
      </c>
      <c r="C623" s="49"/>
      <c r="D623" s="72" t="s">
        <v>644</v>
      </c>
      <c r="E623" s="49" t="s">
        <v>3754</v>
      </c>
      <c r="F623" s="49"/>
      <c r="G623" s="49"/>
      <c r="H623" s="49" t="s">
        <v>7031</v>
      </c>
      <c r="I623" s="49" t="s">
        <v>7034</v>
      </c>
      <c r="J623" s="49" t="s">
        <v>7032</v>
      </c>
      <c r="K623" s="49" t="s">
        <v>7033</v>
      </c>
      <c r="L623" s="49">
        <v>0</v>
      </c>
      <c r="M623" s="49" t="s">
        <v>6551</v>
      </c>
      <c r="N623" s="49" t="s">
        <v>7035</v>
      </c>
      <c r="O623" s="49">
        <v>3</v>
      </c>
      <c r="P623" s="49" t="s">
        <v>7036</v>
      </c>
      <c r="Q623" s="49">
        <v>0</v>
      </c>
      <c r="R623" s="49" t="s">
        <v>7037</v>
      </c>
      <c r="S623" s="49" t="s">
        <v>7038</v>
      </c>
      <c r="T623" s="49" t="s">
        <v>646</v>
      </c>
      <c r="U623" s="49" t="s">
        <v>655</v>
      </c>
      <c r="V623" s="49" t="e">
        <v>#REF!</v>
      </c>
      <c r="AC623" s="49"/>
      <c r="AD623" s="49"/>
    </row>
    <row r="624" spans="1:30" hidden="1" x14ac:dyDescent="0.3">
      <c r="A624" s="49" t="s">
        <v>7039</v>
      </c>
      <c r="B624" s="49">
        <v>0</v>
      </c>
      <c r="C624" s="49"/>
      <c r="D624" s="72" t="s">
        <v>644</v>
      </c>
      <c r="E624" s="49" t="s">
        <v>3754</v>
      </c>
      <c r="F624" s="49"/>
      <c r="G624" s="49"/>
      <c r="H624" s="49" t="s">
        <v>7040</v>
      </c>
      <c r="I624" s="49" t="s">
        <v>7043</v>
      </c>
      <c r="J624" s="49" t="s">
        <v>7041</v>
      </c>
      <c r="K624" s="49" t="s">
        <v>7042</v>
      </c>
      <c r="L624" s="49">
        <v>0</v>
      </c>
      <c r="M624" s="49" t="s">
        <v>1826</v>
      </c>
      <c r="N624" s="49" t="s">
        <v>5425</v>
      </c>
      <c r="O624" s="49">
        <v>27</v>
      </c>
      <c r="P624" s="49" t="s">
        <v>7044</v>
      </c>
      <c r="Q624" s="49">
        <v>0</v>
      </c>
      <c r="R624" s="49" t="s">
        <v>7045</v>
      </c>
      <c r="S624" s="49" t="s">
        <v>7046</v>
      </c>
      <c r="T624" s="49" t="s">
        <v>646</v>
      </c>
      <c r="U624" s="49" t="s">
        <v>655</v>
      </c>
      <c r="V624" s="49" t="e">
        <v>#REF!</v>
      </c>
      <c r="AC624" s="49"/>
      <c r="AD624" s="49"/>
    </row>
    <row r="625" spans="1:30" hidden="1" x14ac:dyDescent="0.3">
      <c r="A625" s="49" t="s">
        <v>7047</v>
      </c>
      <c r="B625" s="49">
        <v>0</v>
      </c>
      <c r="C625" s="49"/>
      <c r="D625" s="72" t="s">
        <v>644</v>
      </c>
      <c r="E625" s="49" t="s">
        <v>3754</v>
      </c>
      <c r="F625" s="49"/>
      <c r="G625" s="49"/>
      <c r="H625" s="49" t="s">
        <v>7048</v>
      </c>
      <c r="I625" s="49" t="s">
        <v>7051</v>
      </c>
      <c r="J625" s="49" t="s">
        <v>7049</v>
      </c>
      <c r="K625" s="49" t="s">
        <v>7050</v>
      </c>
      <c r="L625" s="49">
        <v>0</v>
      </c>
      <c r="M625" s="49" t="s">
        <v>4519</v>
      </c>
      <c r="N625" s="49" t="s">
        <v>7052</v>
      </c>
      <c r="P625" s="49" t="s">
        <v>7053</v>
      </c>
      <c r="Q625" s="49">
        <v>0</v>
      </c>
      <c r="R625" s="49" t="s">
        <v>7054</v>
      </c>
      <c r="S625" s="49" t="s">
        <v>7055</v>
      </c>
      <c r="T625" s="49" t="s">
        <v>7056</v>
      </c>
      <c r="U625" s="49" t="s">
        <v>791</v>
      </c>
      <c r="V625" s="49" t="e">
        <v>#REF!</v>
      </c>
      <c r="AC625" s="49"/>
      <c r="AD625" s="49"/>
    </row>
    <row r="626" spans="1:30" hidden="1" x14ac:dyDescent="0.3">
      <c r="A626" s="49" t="s">
        <v>7057</v>
      </c>
      <c r="B626" s="49">
        <v>0</v>
      </c>
      <c r="C626" s="49"/>
      <c r="D626" s="72" t="s">
        <v>644</v>
      </c>
      <c r="E626" s="49" t="s">
        <v>3754</v>
      </c>
      <c r="F626" s="49"/>
      <c r="G626" s="49"/>
      <c r="H626" s="49" t="s">
        <v>7058</v>
      </c>
      <c r="I626" s="49" t="s">
        <v>7061</v>
      </c>
      <c r="J626" s="49" t="s">
        <v>7059</v>
      </c>
      <c r="K626" s="49" t="s">
        <v>7060</v>
      </c>
      <c r="L626" s="49">
        <v>0</v>
      </c>
      <c r="M626" s="49" t="s">
        <v>2456</v>
      </c>
      <c r="N626" s="49" t="s">
        <v>1382</v>
      </c>
      <c r="P626" s="49" t="s">
        <v>7062</v>
      </c>
      <c r="Q626" s="49">
        <v>0</v>
      </c>
      <c r="R626" s="49" t="s">
        <v>7063</v>
      </c>
      <c r="S626" s="49" t="s">
        <v>7064</v>
      </c>
      <c r="T626" s="49" t="s">
        <v>7065</v>
      </c>
      <c r="U626" s="49" t="s">
        <v>670</v>
      </c>
      <c r="V626" s="49" t="e">
        <v>#REF!</v>
      </c>
      <c r="AC626" s="49"/>
      <c r="AD626" s="49"/>
    </row>
    <row r="627" spans="1:30" hidden="1" x14ac:dyDescent="0.3">
      <c r="A627" s="49" t="s">
        <v>7066</v>
      </c>
      <c r="B627" s="49">
        <v>0</v>
      </c>
      <c r="C627" s="49"/>
      <c r="D627" s="72" t="s">
        <v>644</v>
      </c>
      <c r="E627" s="49" t="s">
        <v>3754</v>
      </c>
      <c r="F627" s="49"/>
      <c r="G627" s="49"/>
      <c r="H627" s="49" t="s">
        <v>7067</v>
      </c>
      <c r="I627" s="49" t="s">
        <v>7070</v>
      </c>
      <c r="J627" s="49" t="s">
        <v>7068</v>
      </c>
      <c r="K627" s="49" t="s">
        <v>7069</v>
      </c>
      <c r="L627" s="49">
        <v>0</v>
      </c>
      <c r="M627" s="49" t="s">
        <v>1865</v>
      </c>
      <c r="N627" s="49" t="s">
        <v>7071</v>
      </c>
      <c r="O627" s="49">
        <v>5</v>
      </c>
      <c r="P627" s="49" t="s">
        <v>7072</v>
      </c>
      <c r="Q627" s="49">
        <v>0</v>
      </c>
      <c r="R627" s="49" t="s">
        <v>7073</v>
      </c>
      <c r="S627" s="49" t="s">
        <v>7074</v>
      </c>
      <c r="T627" s="49" t="s">
        <v>7075</v>
      </c>
      <c r="U627" s="49" t="s">
        <v>655</v>
      </c>
      <c r="V627" s="49" t="e">
        <v>#REF!</v>
      </c>
      <c r="AC627" s="49"/>
      <c r="AD627" s="49"/>
    </row>
    <row r="628" spans="1:30" hidden="1" x14ac:dyDescent="0.3">
      <c r="A628" s="49" t="s">
        <v>879</v>
      </c>
      <c r="B628" s="49">
        <v>0</v>
      </c>
      <c r="C628" s="49"/>
      <c r="D628" s="72" t="s">
        <v>644</v>
      </c>
      <c r="E628" s="49" t="s">
        <v>3754</v>
      </c>
      <c r="F628" s="49"/>
      <c r="G628" s="49"/>
      <c r="H628" s="49" t="s">
        <v>881</v>
      </c>
      <c r="I628" s="49" t="s">
        <v>882</v>
      </c>
      <c r="J628" s="49" t="s">
        <v>883</v>
      </c>
      <c r="K628" s="49" t="s">
        <v>884</v>
      </c>
      <c r="L628" s="49">
        <v>0</v>
      </c>
      <c r="M628" s="49" t="s">
        <v>2220</v>
      </c>
      <c r="N628" s="49" t="s">
        <v>885</v>
      </c>
      <c r="O628" s="49">
        <v>2</v>
      </c>
      <c r="P628" s="49" t="s">
        <v>886</v>
      </c>
      <c r="Q628" s="49">
        <v>0</v>
      </c>
      <c r="R628" s="49" t="s">
        <v>887</v>
      </c>
      <c r="S628" s="49" t="s">
        <v>888</v>
      </c>
      <c r="T628" s="49" t="s">
        <v>646</v>
      </c>
      <c r="U628" s="49" t="s">
        <v>670</v>
      </c>
      <c r="V628" s="49" t="e">
        <v>#REF!</v>
      </c>
      <c r="AC628" s="49"/>
      <c r="AD628" s="49"/>
    </row>
    <row r="629" spans="1:30" hidden="1" x14ac:dyDescent="0.3">
      <c r="A629" s="49" t="s">
        <v>7076</v>
      </c>
      <c r="B629" s="49">
        <v>0</v>
      </c>
      <c r="C629" s="49"/>
      <c r="D629" s="72" t="s">
        <v>644</v>
      </c>
      <c r="E629" s="49" t="s">
        <v>3754</v>
      </c>
      <c r="F629" s="49"/>
      <c r="G629" s="49"/>
      <c r="H629" s="49" t="s">
        <v>7077</v>
      </c>
      <c r="I629" s="49" t="s">
        <v>7080</v>
      </c>
      <c r="J629" s="49" t="s">
        <v>7078</v>
      </c>
      <c r="K629" s="49" t="s">
        <v>7079</v>
      </c>
      <c r="L629" s="49">
        <v>0</v>
      </c>
      <c r="M629" s="49" t="s">
        <v>2142</v>
      </c>
      <c r="N629" s="49" t="s">
        <v>7081</v>
      </c>
      <c r="O629" s="49">
        <v>18</v>
      </c>
      <c r="P629" s="49" t="s">
        <v>7082</v>
      </c>
      <c r="Q629" s="49">
        <v>0</v>
      </c>
      <c r="R629" s="49" t="s">
        <v>7083</v>
      </c>
      <c r="S629" s="49" t="s">
        <v>7084</v>
      </c>
      <c r="T629" s="49" t="s">
        <v>7085</v>
      </c>
      <c r="U629" s="49" t="s">
        <v>655</v>
      </c>
      <c r="V629" s="49" t="e">
        <v>#REF!</v>
      </c>
      <c r="AC629" s="49"/>
      <c r="AD629" s="49"/>
    </row>
    <row r="630" spans="1:30" hidden="1" x14ac:dyDescent="0.3">
      <c r="A630" s="49" t="s">
        <v>1193</v>
      </c>
      <c r="B630" s="49">
        <v>0</v>
      </c>
      <c r="C630" s="49"/>
      <c r="D630" s="72" t="s">
        <v>644</v>
      </c>
      <c r="E630" s="49" t="s">
        <v>3754</v>
      </c>
      <c r="F630" s="49"/>
      <c r="G630" s="49"/>
      <c r="H630" s="49" t="s">
        <v>1195</v>
      </c>
      <c r="I630" s="49" t="s">
        <v>1196</v>
      </c>
      <c r="J630" s="49" t="s">
        <v>7086</v>
      </c>
      <c r="K630" s="49" t="s">
        <v>1198</v>
      </c>
      <c r="L630" s="49">
        <v>0</v>
      </c>
      <c r="M630" s="49" t="s">
        <v>1826</v>
      </c>
      <c r="N630" s="49" t="s">
        <v>1199</v>
      </c>
      <c r="O630" s="49">
        <v>3</v>
      </c>
      <c r="P630" s="49" t="s">
        <v>1200</v>
      </c>
      <c r="Q630" s="49">
        <v>0</v>
      </c>
      <c r="R630" s="49" t="s">
        <v>1201</v>
      </c>
      <c r="S630" s="49" t="s">
        <v>1202</v>
      </c>
      <c r="T630" s="49" t="s">
        <v>646</v>
      </c>
      <c r="U630" s="49" t="s">
        <v>655</v>
      </c>
      <c r="V630" s="49" t="e">
        <v>#REF!</v>
      </c>
      <c r="AC630" s="49"/>
      <c r="AD630" s="49"/>
    </row>
    <row r="631" spans="1:30" hidden="1" x14ac:dyDescent="0.3">
      <c r="A631" s="49" t="s">
        <v>7087</v>
      </c>
      <c r="B631" s="49">
        <v>0</v>
      </c>
      <c r="C631" s="49"/>
      <c r="D631" s="72" t="s">
        <v>644</v>
      </c>
      <c r="E631" s="49" t="s">
        <v>3754</v>
      </c>
      <c r="F631" s="49"/>
      <c r="G631" s="49"/>
      <c r="H631" s="49" t="s">
        <v>7088</v>
      </c>
      <c r="I631" s="49" t="s">
        <v>7091</v>
      </c>
      <c r="J631" s="49" t="s">
        <v>7089</v>
      </c>
      <c r="K631" s="49" t="s">
        <v>7090</v>
      </c>
      <c r="L631" s="49">
        <v>0</v>
      </c>
      <c r="M631" s="49" t="s">
        <v>2220</v>
      </c>
      <c r="N631" s="49" t="s">
        <v>6081</v>
      </c>
      <c r="O631" s="49">
        <v>36</v>
      </c>
      <c r="P631" s="49" t="s">
        <v>7092</v>
      </c>
      <c r="Q631" s="49">
        <v>0</v>
      </c>
      <c r="R631" s="49" t="s">
        <v>7093</v>
      </c>
      <c r="S631" s="49" t="s">
        <v>7094</v>
      </c>
      <c r="T631" s="49" t="s">
        <v>646</v>
      </c>
      <c r="U631" s="49" t="s">
        <v>670</v>
      </c>
      <c r="V631" s="49" t="e">
        <v>#REF!</v>
      </c>
      <c r="AC631" s="49"/>
      <c r="AD631" s="49"/>
    </row>
    <row r="632" spans="1:30" hidden="1" x14ac:dyDescent="0.3">
      <c r="A632" s="49" t="s">
        <v>7095</v>
      </c>
      <c r="B632" s="49">
        <v>0</v>
      </c>
      <c r="C632" s="49"/>
      <c r="D632" s="72" t="s">
        <v>644</v>
      </c>
      <c r="E632" s="49" t="s">
        <v>3754</v>
      </c>
      <c r="F632" s="49"/>
      <c r="G632" s="49"/>
      <c r="H632" s="49" t="s">
        <v>7096</v>
      </c>
      <c r="I632" s="49" t="s">
        <v>7099</v>
      </c>
      <c r="J632" s="49" t="s">
        <v>7097</v>
      </c>
      <c r="K632" s="49" t="s">
        <v>7098</v>
      </c>
      <c r="L632" s="49">
        <v>0</v>
      </c>
      <c r="M632" s="49" t="s">
        <v>1764</v>
      </c>
      <c r="N632" s="49" t="s">
        <v>7100</v>
      </c>
      <c r="O632" s="49">
        <v>8</v>
      </c>
      <c r="P632" s="49" t="s">
        <v>7101</v>
      </c>
      <c r="Q632" s="49">
        <v>0</v>
      </c>
      <c r="R632" s="49" t="s">
        <v>7102</v>
      </c>
      <c r="S632" s="49" t="s">
        <v>7103</v>
      </c>
      <c r="T632" s="49" t="s">
        <v>7104</v>
      </c>
      <c r="U632" s="49" t="s">
        <v>655</v>
      </c>
      <c r="V632" s="49" t="e">
        <v>#REF!</v>
      </c>
      <c r="AC632" s="49"/>
      <c r="AD632" s="49"/>
    </row>
    <row r="633" spans="1:30" hidden="1" x14ac:dyDescent="0.3">
      <c r="A633" s="49" t="s">
        <v>7105</v>
      </c>
      <c r="B633" s="49">
        <v>0</v>
      </c>
      <c r="C633" s="49"/>
      <c r="D633" s="72" t="s">
        <v>644</v>
      </c>
      <c r="E633" s="49" t="s">
        <v>3754</v>
      </c>
      <c r="F633" s="49"/>
      <c r="G633" s="49"/>
      <c r="H633" s="49" t="s">
        <v>7106</v>
      </c>
      <c r="I633" s="49" t="s">
        <v>7109</v>
      </c>
      <c r="J633" s="49" t="s">
        <v>7107</v>
      </c>
      <c r="K633" s="49" t="s">
        <v>7108</v>
      </c>
      <c r="L633" s="49">
        <v>0</v>
      </c>
      <c r="M633" s="49" t="s">
        <v>4114</v>
      </c>
      <c r="N633" s="49" t="s">
        <v>7110</v>
      </c>
      <c r="O633" s="49">
        <v>3</v>
      </c>
      <c r="P633" s="49" t="s">
        <v>7111</v>
      </c>
      <c r="Q633" s="49">
        <v>0</v>
      </c>
      <c r="R633" s="49" t="s">
        <v>7112</v>
      </c>
      <c r="S633" s="49" t="s">
        <v>7113</v>
      </c>
      <c r="T633" s="49" t="s">
        <v>646</v>
      </c>
      <c r="U633" s="49" t="s">
        <v>670</v>
      </c>
      <c r="V633" s="49" t="e">
        <v>#REF!</v>
      </c>
      <c r="AC633" s="49"/>
      <c r="AD633" s="49"/>
    </row>
    <row r="634" spans="1:30" hidden="1" x14ac:dyDescent="0.3">
      <c r="A634" s="49" t="s">
        <v>7114</v>
      </c>
      <c r="B634" s="49">
        <v>0</v>
      </c>
      <c r="C634" s="49"/>
      <c r="D634" s="72" t="s">
        <v>644</v>
      </c>
      <c r="E634" s="49" t="s">
        <v>3754</v>
      </c>
      <c r="F634" s="49"/>
      <c r="G634" s="49"/>
      <c r="H634" s="49" t="s">
        <v>646</v>
      </c>
      <c r="I634" s="49" t="s">
        <v>7117</v>
      </c>
      <c r="J634" s="49" t="s">
        <v>7115</v>
      </c>
      <c r="K634" s="49" t="s">
        <v>7116</v>
      </c>
      <c r="L634" s="49">
        <v>0</v>
      </c>
      <c r="M634" s="49" t="s">
        <v>1777</v>
      </c>
      <c r="N634" s="49" t="s">
        <v>7118</v>
      </c>
      <c r="O634" s="49">
        <v>29</v>
      </c>
      <c r="P634" s="49" t="s">
        <v>7119</v>
      </c>
      <c r="Q634" s="49">
        <v>0</v>
      </c>
      <c r="R634" s="49" t="s">
        <v>7120</v>
      </c>
      <c r="S634" s="49" t="s">
        <v>7121</v>
      </c>
      <c r="T634" s="49" t="s">
        <v>7122</v>
      </c>
      <c r="U634" s="49" t="s">
        <v>670</v>
      </c>
      <c r="V634" s="49" t="e">
        <v>#REF!</v>
      </c>
      <c r="AC634" s="49"/>
      <c r="AD634" s="49"/>
    </row>
    <row r="635" spans="1:30" hidden="1" x14ac:dyDescent="0.3">
      <c r="A635" s="49" t="s">
        <v>7123</v>
      </c>
      <c r="B635" s="49">
        <v>0</v>
      </c>
      <c r="C635" s="49"/>
      <c r="D635" s="72" t="s">
        <v>644</v>
      </c>
      <c r="E635" s="49" t="s">
        <v>3754</v>
      </c>
      <c r="F635" s="49"/>
      <c r="G635" s="49"/>
      <c r="H635" s="49" t="s">
        <v>7124</v>
      </c>
      <c r="I635" s="49" t="s">
        <v>7127</v>
      </c>
      <c r="J635" s="49" t="s">
        <v>7125</v>
      </c>
      <c r="K635" s="49" t="s">
        <v>7126</v>
      </c>
      <c r="L635" s="49">
        <v>0</v>
      </c>
      <c r="M635" s="49" t="s">
        <v>1777</v>
      </c>
      <c r="N635" s="49" t="s">
        <v>687</v>
      </c>
      <c r="O635" s="49">
        <v>2</v>
      </c>
      <c r="P635" s="49" t="s">
        <v>7128</v>
      </c>
      <c r="Q635" s="49">
        <v>0</v>
      </c>
      <c r="R635" s="49" t="s">
        <v>7129</v>
      </c>
      <c r="S635" s="49" t="s">
        <v>7130</v>
      </c>
      <c r="T635" s="49" t="s">
        <v>646</v>
      </c>
      <c r="U635" s="49" t="s">
        <v>670</v>
      </c>
      <c r="V635" s="49" t="e">
        <v>#REF!</v>
      </c>
      <c r="AC635" s="49"/>
      <c r="AD635" s="49"/>
    </row>
    <row r="636" spans="1:30" hidden="1" x14ac:dyDescent="0.3">
      <c r="A636" s="49" t="s">
        <v>7131</v>
      </c>
      <c r="B636" s="49">
        <v>0</v>
      </c>
      <c r="C636" s="49"/>
      <c r="D636" s="72" t="s">
        <v>644</v>
      </c>
      <c r="E636" s="49" t="s">
        <v>3754</v>
      </c>
      <c r="F636" s="49"/>
      <c r="G636" s="49"/>
      <c r="H636" s="49" t="s">
        <v>7132</v>
      </c>
      <c r="I636" s="49" t="s">
        <v>7135</v>
      </c>
      <c r="J636" s="49" t="s">
        <v>7133</v>
      </c>
      <c r="K636" s="49" t="s">
        <v>7134</v>
      </c>
      <c r="L636" s="49">
        <v>0</v>
      </c>
      <c r="M636" s="49" t="s">
        <v>2142</v>
      </c>
      <c r="N636" s="49" t="s">
        <v>7136</v>
      </c>
      <c r="O636" s="49">
        <v>2</v>
      </c>
      <c r="P636" s="49" t="s">
        <v>7137</v>
      </c>
      <c r="Q636" s="49">
        <v>0</v>
      </c>
      <c r="R636" s="49" t="s">
        <v>7138</v>
      </c>
      <c r="S636" s="49" t="s">
        <v>7139</v>
      </c>
      <c r="T636" s="49" t="s">
        <v>646</v>
      </c>
      <c r="U636" s="49" t="s">
        <v>670</v>
      </c>
      <c r="V636" s="49" t="e">
        <v>#REF!</v>
      </c>
      <c r="AC636" s="49"/>
      <c r="AD636" s="49"/>
    </row>
    <row r="637" spans="1:30" hidden="1" x14ac:dyDescent="0.3">
      <c r="A637" s="49" t="s">
        <v>7140</v>
      </c>
      <c r="B637" s="49">
        <v>0</v>
      </c>
      <c r="C637" s="49"/>
      <c r="D637" s="72" t="s">
        <v>644</v>
      </c>
      <c r="E637" s="49" t="s">
        <v>3754</v>
      </c>
      <c r="F637" s="49"/>
      <c r="G637" s="49"/>
      <c r="H637" s="49" t="s">
        <v>646</v>
      </c>
      <c r="I637" s="49" t="s">
        <v>7143</v>
      </c>
      <c r="J637" s="49" t="s">
        <v>7141</v>
      </c>
      <c r="K637" s="49" t="s">
        <v>7142</v>
      </c>
      <c r="L637" s="49">
        <v>0</v>
      </c>
      <c r="M637" s="49" t="s">
        <v>1826</v>
      </c>
      <c r="N637" s="49" t="s">
        <v>7144</v>
      </c>
      <c r="O637" s="49">
        <v>2</v>
      </c>
      <c r="P637" s="49" t="s">
        <v>7145</v>
      </c>
      <c r="Q637" s="49">
        <v>0</v>
      </c>
      <c r="R637" s="49" t="s">
        <v>7146</v>
      </c>
      <c r="S637" s="49" t="s">
        <v>7147</v>
      </c>
      <c r="T637" s="49" t="s">
        <v>646</v>
      </c>
      <c r="U637" s="49" t="s">
        <v>670</v>
      </c>
      <c r="V637" s="49" t="e">
        <v>#REF!</v>
      </c>
      <c r="AC637" s="49"/>
      <c r="AD637" s="49"/>
    </row>
    <row r="638" spans="1:30" hidden="1" x14ac:dyDescent="0.3">
      <c r="A638" s="49" t="s">
        <v>7148</v>
      </c>
      <c r="B638" s="49">
        <v>0</v>
      </c>
      <c r="C638" s="49"/>
      <c r="D638" s="72" t="s">
        <v>644</v>
      </c>
      <c r="E638" s="49" t="s">
        <v>3754</v>
      </c>
      <c r="F638" s="49"/>
      <c r="G638" s="49"/>
      <c r="H638" s="49" t="s">
        <v>7149</v>
      </c>
      <c r="I638" s="49" t="s">
        <v>7152</v>
      </c>
      <c r="J638" s="49" t="s">
        <v>7150</v>
      </c>
      <c r="K638" s="49" t="s">
        <v>7151</v>
      </c>
      <c r="L638" s="49">
        <v>0</v>
      </c>
      <c r="M638" s="49" t="s">
        <v>2484</v>
      </c>
      <c r="N638" s="49" t="s">
        <v>5425</v>
      </c>
      <c r="O638" s="49">
        <v>5</v>
      </c>
      <c r="P638" s="49" t="s">
        <v>7153</v>
      </c>
      <c r="Q638" s="49">
        <v>0</v>
      </c>
      <c r="R638" s="49" t="s">
        <v>7154</v>
      </c>
      <c r="S638" s="49" t="s">
        <v>7155</v>
      </c>
      <c r="T638" s="49" t="s">
        <v>7156</v>
      </c>
      <c r="U638" s="49" t="s">
        <v>655</v>
      </c>
      <c r="V638" s="49" t="e">
        <v>#REF!</v>
      </c>
      <c r="AC638" s="49"/>
      <c r="AD638" s="49"/>
    </row>
    <row r="639" spans="1:30" hidden="1" x14ac:dyDescent="0.3">
      <c r="A639" s="49" t="s">
        <v>7157</v>
      </c>
      <c r="B639" s="49">
        <v>0</v>
      </c>
      <c r="C639" s="49"/>
      <c r="D639" s="72" t="s">
        <v>644</v>
      </c>
      <c r="E639" s="49" t="s">
        <v>3754</v>
      </c>
      <c r="F639" s="49"/>
      <c r="G639" s="49"/>
      <c r="H639" s="49" t="s">
        <v>7158</v>
      </c>
      <c r="I639" s="49" t="s">
        <v>7161</v>
      </c>
      <c r="J639" s="49" t="s">
        <v>7159</v>
      </c>
      <c r="K639" s="49" t="s">
        <v>7160</v>
      </c>
      <c r="L639" s="49">
        <v>0</v>
      </c>
      <c r="M639" s="49" t="s">
        <v>2456</v>
      </c>
      <c r="N639" s="49" t="s">
        <v>7162</v>
      </c>
      <c r="O639" s="49">
        <v>1</v>
      </c>
      <c r="P639" s="49" t="s">
        <v>7163</v>
      </c>
      <c r="Q639" s="49">
        <v>0</v>
      </c>
      <c r="R639" s="49" t="s">
        <v>7164</v>
      </c>
      <c r="S639" s="49" t="s">
        <v>7165</v>
      </c>
      <c r="T639" s="49" t="s">
        <v>7166</v>
      </c>
      <c r="U639" s="49" t="s">
        <v>791</v>
      </c>
      <c r="V639" s="49" t="e">
        <v>#REF!</v>
      </c>
      <c r="AC639" s="49"/>
      <c r="AD639" s="49"/>
    </row>
    <row r="640" spans="1:30" hidden="1" x14ac:dyDescent="0.3">
      <c r="A640" s="49" t="s">
        <v>7167</v>
      </c>
      <c r="B640" s="49">
        <v>0</v>
      </c>
      <c r="C640" s="49"/>
      <c r="D640" s="72" t="s">
        <v>644</v>
      </c>
      <c r="E640" s="49" t="s">
        <v>3754</v>
      </c>
      <c r="F640" s="49"/>
      <c r="G640" s="49"/>
      <c r="H640" s="49" t="s">
        <v>7168</v>
      </c>
      <c r="I640" s="49" t="s">
        <v>7171</v>
      </c>
      <c r="J640" s="49" t="s">
        <v>7169</v>
      </c>
      <c r="K640" s="49" t="s">
        <v>7170</v>
      </c>
      <c r="L640" s="49">
        <v>0</v>
      </c>
      <c r="M640" s="49" t="s">
        <v>2636</v>
      </c>
      <c r="N640" s="49" t="s">
        <v>4401</v>
      </c>
      <c r="O640" s="49">
        <v>11</v>
      </c>
      <c r="P640" s="49" t="s">
        <v>7172</v>
      </c>
      <c r="Q640" s="49">
        <v>0</v>
      </c>
      <c r="R640" s="49" t="s">
        <v>7173</v>
      </c>
      <c r="S640" s="49" t="s">
        <v>7174</v>
      </c>
      <c r="T640" s="49" t="s">
        <v>7175</v>
      </c>
      <c r="U640" s="49" t="s">
        <v>670</v>
      </c>
      <c r="V640" s="49" t="e">
        <v>#REF!</v>
      </c>
      <c r="AC640" s="49"/>
      <c r="AD640" s="49"/>
    </row>
    <row r="641" spans="1:30" hidden="1" x14ac:dyDescent="0.3">
      <c r="A641" s="49" t="s">
        <v>7176</v>
      </c>
      <c r="B641" s="49">
        <v>0</v>
      </c>
      <c r="C641" s="49"/>
      <c r="D641" s="72" t="s">
        <v>644</v>
      </c>
      <c r="E641" s="49" t="s">
        <v>3754</v>
      </c>
      <c r="F641" s="49"/>
      <c r="G641" s="49"/>
      <c r="H641" s="49" t="s">
        <v>7177</v>
      </c>
      <c r="I641" s="49" t="s">
        <v>7180</v>
      </c>
      <c r="J641" s="49" t="s">
        <v>7178</v>
      </c>
      <c r="K641" s="49" t="s">
        <v>7179</v>
      </c>
      <c r="L641" s="49">
        <v>0</v>
      </c>
      <c r="M641" s="49" t="s">
        <v>1826</v>
      </c>
      <c r="N641" s="49" t="s">
        <v>697</v>
      </c>
      <c r="O641" s="49">
        <v>4</v>
      </c>
      <c r="P641" s="49" t="s">
        <v>7181</v>
      </c>
      <c r="Q641" s="49">
        <v>0</v>
      </c>
      <c r="R641" s="49" t="s">
        <v>7182</v>
      </c>
      <c r="S641" s="49" t="s">
        <v>7183</v>
      </c>
      <c r="T641" s="49" t="s">
        <v>7184</v>
      </c>
      <c r="U641" s="49" t="s">
        <v>655</v>
      </c>
      <c r="V641" s="49" t="e">
        <v>#REF!</v>
      </c>
      <c r="AC641" s="49"/>
      <c r="AD641" s="49"/>
    </row>
    <row r="642" spans="1:30" hidden="1" x14ac:dyDescent="0.3">
      <c r="A642" s="49" t="s">
        <v>7185</v>
      </c>
      <c r="B642" s="49">
        <v>0</v>
      </c>
      <c r="C642" s="49"/>
      <c r="D642" s="72" t="s">
        <v>644</v>
      </c>
      <c r="E642" s="49" t="s">
        <v>3754</v>
      </c>
      <c r="F642" s="49"/>
      <c r="G642" s="49"/>
      <c r="H642" s="49" t="s">
        <v>7186</v>
      </c>
      <c r="I642" s="49" t="s">
        <v>7189</v>
      </c>
      <c r="J642" s="49" t="s">
        <v>7187</v>
      </c>
      <c r="K642" s="49" t="s">
        <v>7188</v>
      </c>
      <c r="L642" s="49">
        <v>0</v>
      </c>
      <c r="M642" s="49" t="s">
        <v>1764</v>
      </c>
      <c r="N642" s="49" t="s">
        <v>7190</v>
      </c>
      <c r="O642" s="49">
        <v>24</v>
      </c>
      <c r="P642" s="49" t="s">
        <v>7191</v>
      </c>
      <c r="Q642" s="49">
        <v>0</v>
      </c>
      <c r="R642" s="49" t="s">
        <v>7192</v>
      </c>
      <c r="S642" s="49" t="s">
        <v>7193</v>
      </c>
      <c r="T642" s="49" t="s">
        <v>7194</v>
      </c>
      <c r="U642" s="49" t="s">
        <v>655</v>
      </c>
      <c r="V642" s="49" t="e">
        <v>#REF!</v>
      </c>
      <c r="AC642" s="49"/>
      <c r="AD642" s="49"/>
    </row>
    <row r="643" spans="1:30" hidden="1" x14ac:dyDescent="0.3">
      <c r="A643" s="49" t="s">
        <v>7195</v>
      </c>
      <c r="B643" s="49">
        <v>0</v>
      </c>
      <c r="C643" s="49"/>
      <c r="D643" s="72" t="s">
        <v>644</v>
      </c>
      <c r="E643" s="49" t="s">
        <v>3754</v>
      </c>
      <c r="F643" s="49"/>
      <c r="G643" s="49"/>
      <c r="H643" s="49" t="s">
        <v>7196</v>
      </c>
      <c r="I643" s="49" t="s">
        <v>7199</v>
      </c>
      <c r="J643" s="49" t="s">
        <v>7197</v>
      </c>
      <c r="K643" s="49" t="s">
        <v>7198</v>
      </c>
      <c r="L643" s="49">
        <v>0</v>
      </c>
      <c r="M643" s="49" t="s">
        <v>4084</v>
      </c>
      <c r="N643" s="49" t="s">
        <v>7200</v>
      </c>
      <c r="O643" s="49">
        <v>31</v>
      </c>
      <c r="P643" s="49" t="s">
        <v>7201</v>
      </c>
      <c r="Q643" s="49">
        <v>0</v>
      </c>
      <c r="R643" s="49" t="s">
        <v>7202</v>
      </c>
      <c r="S643" s="49" t="s">
        <v>7203</v>
      </c>
      <c r="T643" s="49" t="s">
        <v>7204</v>
      </c>
      <c r="U643" s="49" t="s">
        <v>791</v>
      </c>
      <c r="V643" s="49" t="e">
        <v>#REF!</v>
      </c>
      <c r="AC643" s="49"/>
      <c r="AD643" s="49"/>
    </row>
    <row r="644" spans="1:30" hidden="1" x14ac:dyDescent="0.3">
      <c r="A644" s="49" t="s">
        <v>7205</v>
      </c>
      <c r="B644" s="49">
        <v>0</v>
      </c>
      <c r="C644" s="49"/>
      <c r="D644" s="72" t="s">
        <v>644</v>
      </c>
      <c r="E644" s="49" t="s">
        <v>3754</v>
      </c>
      <c r="F644" s="49"/>
      <c r="G644" s="49"/>
      <c r="H644" s="49" t="s">
        <v>7206</v>
      </c>
      <c r="I644" s="49" t="s">
        <v>7209</v>
      </c>
      <c r="J644" s="49" t="s">
        <v>7207</v>
      </c>
      <c r="K644" s="49" t="s">
        <v>7208</v>
      </c>
      <c r="L644" s="49">
        <v>0</v>
      </c>
      <c r="M644" s="49" t="s">
        <v>1817</v>
      </c>
      <c r="N644" s="49" t="s">
        <v>7210</v>
      </c>
      <c r="O644" s="49">
        <v>5</v>
      </c>
      <c r="P644" s="49" t="s">
        <v>7211</v>
      </c>
      <c r="Q644" s="49">
        <v>0</v>
      </c>
      <c r="R644" s="49" t="s">
        <v>7212</v>
      </c>
      <c r="S644" s="49" t="s">
        <v>7213</v>
      </c>
      <c r="T644" s="49" t="s">
        <v>7214</v>
      </c>
      <c r="U644" s="49" t="s">
        <v>670</v>
      </c>
      <c r="V644" s="49" t="e">
        <v>#REF!</v>
      </c>
      <c r="AC644" s="49"/>
      <c r="AD644" s="49"/>
    </row>
    <row r="645" spans="1:30" hidden="1" x14ac:dyDescent="0.3">
      <c r="A645" s="49" t="s">
        <v>7215</v>
      </c>
      <c r="B645" s="49">
        <v>0</v>
      </c>
      <c r="C645" s="49"/>
      <c r="D645" s="72" t="s">
        <v>644</v>
      </c>
      <c r="E645" s="49" t="s">
        <v>3754</v>
      </c>
      <c r="F645" s="49"/>
      <c r="G645" s="49"/>
      <c r="H645" s="49" t="s">
        <v>646</v>
      </c>
      <c r="I645" s="49" t="s">
        <v>7218</v>
      </c>
      <c r="J645" s="49" t="s">
        <v>7216</v>
      </c>
      <c r="K645" s="49" t="s">
        <v>7217</v>
      </c>
      <c r="L645" s="49">
        <v>0</v>
      </c>
      <c r="M645" s="49" t="s">
        <v>2456</v>
      </c>
      <c r="N645" s="49" t="s">
        <v>7219</v>
      </c>
      <c r="O645" s="49">
        <v>2</v>
      </c>
      <c r="P645" s="49" t="s">
        <v>7220</v>
      </c>
      <c r="Q645" s="49">
        <v>0</v>
      </c>
      <c r="R645" s="49" t="s">
        <v>7221</v>
      </c>
      <c r="S645" s="49" t="s">
        <v>7222</v>
      </c>
      <c r="T645" s="49" t="s">
        <v>646</v>
      </c>
      <c r="U645" s="49" t="s">
        <v>670</v>
      </c>
      <c r="V645" s="49" t="e">
        <v>#REF!</v>
      </c>
      <c r="AC645" s="49"/>
      <c r="AD645" s="49"/>
    </row>
    <row r="646" spans="1:30" hidden="1" x14ac:dyDescent="0.3">
      <c r="A646" s="49" t="s">
        <v>7223</v>
      </c>
      <c r="B646" s="49">
        <v>0</v>
      </c>
      <c r="C646" s="49"/>
      <c r="D646" s="72" t="s">
        <v>644</v>
      </c>
      <c r="E646" s="49" t="s">
        <v>3754</v>
      </c>
      <c r="F646" s="49"/>
      <c r="G646" s="49"/>
      <c r="H646" s="49" t="s">
        <v>646</v>
      </c>
      <c r="I646" s="49" t="s">
        <v>7226</v>
      </c>
      <c r="J646" s="49" t="s">
        <v>7224</v>
      </c>
      <c r="K646" s="49" t="s">
        <v>7225</v>
      </c>
      <c r="L646" s="49">
        <v>0</v>
      </c>
      <c r="M646" s="49" t="s">
        <v>2220</v>
      </c>
      <c r="N646" s="49" t="s">
        <v>7227</v>
      </c>
      <c r="O646" s="49">
        <v>2</v>
      </c>
      <c r="P646" s="49" t="s">
        <v>7228</v>
      </c>
      <c r="Q646" s="49">
        <v>0</v>
      </c>
      <c r="R646" s="49" t="s">
        <v>7229</v>
      </c>
      <c r="S646" s="49" t="s">
        <v>7230</v>
      </c>
      <c r="T646" s="49" t="s">
        <v>7231</v>
      </c>
      <c r="U646" s="49" t="s">
        <v>655</v>
      </c>
      <c r="V646" s="49" t="e">
        <v>#REF!</v>
      </c>
      <c r="AC646" s="49"/>
      <c r="AD646" s="49"/>
    </row>
    <row r="647" spans="1:30" hidden="1" x14ac:dyDescent="0.3">
      <c r="A647" s="49" t="s">
        <v>7232</v>
      </c>
      <c r="B647" s="49">
        <v>0</v>
      </c>
      <c r="C647" s="49"/>
      <c r="D647" s="72" t="s">
        <v>644</v>
      </c>
      <c r="E647" s="49" t="s">
        <v>3754</v>
      </c>
      <c r="F647" s="49"/>
      <c r="G647" s="49"/>
      <c r="H647" s="49" t="s">
        <v>7233</v>
      </c>
      <c r="I647" s="49" t="s">
        <v>7235</v>
      </c>
      <c r="J647" s="49" t="s">
        <v>3980</v>
      </c>
      <c r="K647" s="49" t="s">
        <v>7234</v>
      </c>
      <c r="L647" s="49">
        <v>0</v>
      </c>
      <c r="M647" s="49" t="s">
        <v>1826</v>
      </c>
      <c r="N647" s="49" t="s">
        <v>3876</v>
      </c>
      <c r="O647" s="49">
        <v>2</v>
      </c>
      <c r="P647" s="49" t="s">
        <v>7236</v>
      </c>
      <c r="Q647" s="49">
        <v>0</v>
      </c>
      <c r="R647" s="49" t="s">
        <v>3985</v>
      </c>
      <c r="S647" s="49" t="s">
        <v>7237</v>
      </c>
      <c r="T647" s="49" t="s">
        <v>7238</v>
      </c>
      <c r="U647" s="49" t="s">
        <v>655</v>
      </c>
      <c r="V647" s="49" t="e">
        <v>#REF!</v>
      </c>
      <c r="AC647" s="49"/>
      <c r="AD647" s="49"/>
    </row>
    <row r="648" spans="1:30" hidden="1" x14ac:dyDescent="0.3">
      <c r="A648" s="49" t="s">
        <v>7239</v>
      </c>
      <c r="B648" s="49">
        <v>0</v>
      </c>
      <c r="C648" s="49"/>
      <c r="D648" s="72" t="s">
        <v>644</v>
      </c>
      <c r="E648" s="49" t="s">
        <v>3754</v>
      </c>
      <c r="F648" s="49"/>
      <c r="G648" s="49"/>
      <c r="H648" s="49" t="s">
        <v>7240</v>
      </c>
      <c r="I648" s="49" t="s">
        <v>7243</v>
      </c>
      <c r="J648" s="49" t="s">
        <v>7241</v>
      </c>
      <c r="K648" s="49" t="s">
        <v>7242</v>
      </c>
      <c r="L648" s="49">
        <v>0</v>
      </c>
      <c r="M648" s="49" t="s">
        <v>1764</v>
      </c>
      <c r="N648" s="49" t="s">
        <v>7244</v>
      </c>
      <c r="O648" s="49">
        <v>54</v>
      </c>
      <c r="P648" s="49" t="s">
        <v>7245</v>
      </c>
      <c r="Q648" s="49">
        <v>0</v>
      </c>
      <c r="R648" s="49" t="s">
        <v>7246</v>
      </c>
      <c r="S648" s="49" t="s">
        <v>7247</v>
      </c>
      <c r="T648" s="49" t="s">
        <v>646</v>
      </c>
      <c r="U648" s="49" t="s">
        <v>670</v>
      </c>
      <c r="V648" s="49" t="e">
        <v>#REF!</v>
      </c>
      <c r="AC648" s="49"/>
      <c r="AD648" s="49"/>
    </row>
    <row r="649" spans="1:30" hidden="1" x14ac:dyDescent="0.3">
      <c r="A649" s="49" t="s">
        <v>7248</v>
      </c>
      <c r="B649" s="49">
        <v>0</v>
      </c>
      <c r="C649" s="49"/>
      <c r="D649" s="72" t="s">
        <v>644</v>
      </c>
      <c r="E649" s="49" t="s">
        <v>3754</v>
      </c>
      <c r="F649" s="49"/>
      <c r="G649" s="49"/>
      <c r="H649" s="49" t="s">
        <v>7249</v>
      </c>
      <c r="I649" s="49" t="s">
        <v>7252</v>
      </c>
      <c r="J649" s="49" t="s">
        <v>7250</v>
      </c>
      <c r="K649" s="49" t="s">
        <v>7251</v>
      </c>
      <c r="L649" s="49">
        <v>0</v>
      </c>
      <c r="M649" s="49" t="s">
        <v>1734</v>
      </c>
      <c r="N649" s="49" t="s">
        <v>7253</v>
      </c>
      <c r="P649" s="49" t="s">
        <v>7254</v>
      </c>
      <c r="Q649" s="49">
        <v>0</v>
      </c>
      <c r="R649" s="49" t="s">
        <v>7255</v>
      </c>
      <c r="S649" s="49" t="s">
        <v>7256</v>
      </c>
      <c r="T649" s="49" t="s">
        <v>7257</v>
      </c>
      <c r="U649" s="49" t="s">
        <v>655</v>
      </c>
      <c r="V649" s="49" t="e">
        <v>#REF!</v>
      </c>
      <c r="AC649" s="49"/>
      <c r="AD649" s="49"/>
    </row>
    <row r="650" spans="1:30" hidden="1" x14ac:dyDescent="0.3">
      <c r="A650" s="49" t="s">
        <v>7258</v>
      </c>
      <c r="B650" s="49">
        <v>0</v>
      </c>
      <c r="C650" s="49"/>
      <c r="D650" s="72" t="s">
        <v>644</v>
      </c>
      <c r="E650" s="49" t="s">
        <v>3754</v>
      </c>
      <c r="F650" s="49"/>
      <c r="G650" s="49"/>
      <c r="H650" s="49" t="s">
        <v>7259</v>
      </c>
      <c r="I650" s="49" t="s">
        <v>7262</v>
      </c>
      <c r="J650" s="49" t="s">
        <v>7260</v>
      </c>
      <c r="K650" s="49" t="s">
        <v>7261</v>
      </c>
      <c r="L650" s="49">
        <v>0</v>
      </c>
      <c r="M650" s="49" t="s">
        <v>3570</v>
      </c>
      <c r="N650" s="49" t="s">
        <v>7263</v>
      </c>
      <c r="O650" s="49">
        <v>52</v>
      </c>
      <c r="P650" s="49" t="s">
        <v>7264</v>
      </c>
      <c r="Q650" s="49">
        <v>0</v>
      </c>
      <c r="R650" s="49" t="s">
        <v>7265</v>
      </c>
      <c r="S650" s="49" t="s">
        <v>7266</v>
      </c>
      <c r="T650" s="49" t="s">
        <v>7267</v>
      </c>
      <c r="U650" s="49" t="s">
        <v>655</v>
      </c>
      <c r="V650" s="49" t="e">
        <v>#REF!</v>
      </c>
      <c r="AC650" s="49"/>
      <c r="AD650" s="49"/>
    </row>
    <row r="651" spans="1:30" hidden="1" x14ac:dyDescent="0.3">
      <c r="A651" s="49" t="s">
        <v>7268</v>
      </c>
      <c r="B651" s="49">
        <v>0</v>
      </c>
      <c r="C651" s="49"/>
      <c r="D651" s="72" t="s">
        <v>644</v>
      </c>
      <c r="E651" s="49" t="s">
        <v>3754</v>
      </c>
      <c r="F651" s="49"/>
      <c r="G651" s="49"/>
      <c r="H651" s="49" t="s">
        <v>7269</v>
      </c>
      <c r="I651" s="49" t="s">
        <v>7272</v>
      </c>
      <c r="J651" s="49" t="s">
        <v>7270</v>
      </c>
      <c r="K651" s="49" t="s">
        <v>7271</v>
      </c>
      <c r="L651" s="49">
        <v>0</v>
      </c>
      <c r="M651" s="49" t="s">
        <v>1777</v>
      </c>
      <c r="N651" s="49" t="s">
        <v>7273</v>
      </c>
      <c r="O651" s="49">
        <v>7</v>
      </c>
      <c r="P651" s="49" t="s">
        <v>7274</v>
      </c>
      <c r="Q651" s="49">
        <v>0</v>
      </c>
      <c r="R651" s="49" t="s">
        <v>7275</v>
      </c>
      <c r="S651" s="49" t="s">
        <v>7276</v>
      </c>
      <c r="T651" s="49" t="s">
        <v>646</v>
      </c>
      <c r="U651" s="49" t="s">
        <v>670</v>
      </c>
      <c r="V651" s="49" t="e">
        <v>#REF!</v>
      </c>
      <c r="AC651" s="49"/>
      <c r="AD651" s="49"/>
    </row>
    <row r="652" spans="1:30" hidden="1" x14ac:dyDescent="0.3">
      <c r="A652" s="49" t="s">
        <v>7277</v>
      </c>
      <c r="B652" s="49">
        <v>0</v>
      </c>
      <c r="C652" s="49"/>
      <c r="D652" s="72" t="s">
        <v>644</v>
      </c>
      <c r="E652" s="49" t="s">
        <v>3754</v>
      </c>
      <c r="F652" s="49"/>
      <c r="G652" s="49"/>
      <c r="H652" s="49" t="s">
        <v>7278</v>
      </c>
      <c r="I652" s="49" t="s">
        <v>7281</v>
      </c>
      <c r="J652" s="49" t="s">
        <v>7279</v>
      </c>
      <c r="K652" s="49" t="s">
        <v>7280</v>
      </c>
      <c r="L652" s="49">
        <v>0</v>
      </c>
      <c r="M652" s="49" t="s">
        <v>2484</v>
      </c>
      <c r="N652" s="49" t="s">
        <v>3065</v>
      </c>
      <c r="O652" s="49">
        <v>19</v>
      </c>
      <c r="P652" s="49" t="s">
        <v>7282</v>
      </c>
      <c r="Q652" s="49">
        <v>0</v>
      </c>
      <c r="R652" s="49" t="s">
        <v>7283</v>
      </c>
      <c r="S652" s="49" t="s">
        <v>7284</v>
      </c>
      <c r="T652" s="49" t="s">
        <v>7285</v>
      </c>
      <c r="U652" s="49" t="s">
        <v>655</v>
      </c>
      <c r="V652" s="49" t="e">
        <v>#REF!</v>
      </c>
      <c r="AC652" s="49"/>
      <c r="AD652" s="49"/>
    </row>
    <row r="653" spans="1:30" hidden="1" x14ac:dyDescent="0.3">
      <c r="A653" s="49" t="s">
        <v>7286</v>
      </c>
      <c r="B653" s="49">
        <v>0</v>
      </c>
      <c r="C653" s="49"/>
      <c r="D653" s="72" t="s">
        <v>644</v>
      </c>
      <c r="E653" s="49" t="s">
        <v>3754</v>
      </c>
      <c r="F653" s="49"/>
      <c r="G653" s="49"/>
      <c r="H653" s="49" t="s">
        <v>7287</v>
      </c>
      <c r="I653" s="49" t="s">
        <v>7290</v>
      </c>
      <c r="J653" s="49" t="s">
        <v>7288</v>
      </c>
      <c r="K653" s="49" t="s">
        <v>7289</v>
      </c>
      <c r="L653" s="49">
        <v>0</v>
      </c>
      <c r="M653" s="49" t="s">
        <v>1734</v>
      </c>
      <c r="N653" s="49" t="s">
        <v>7291</v>
      </c>
      <c r="P653" s="49" t="s">
        <v>7292</v>
      </c>
      <c r="Q653" s="49">
        <v>0</v>
      </c>
      <c r="R653" s="49" t="s">
        <v>7293</v>
      </c>
      <c r="S653" s="49" t="s">
        <v>7294</v>
      </c>
      <c r="T653" s="49" t="s">
        <v>7295</v>
      </c>
      <c r="U653" s="49" t="s">
        <v>655</v>
      </c>
      <c r="V653" s="49" t="e">
        <v>#REF!</v>
      </c>
      <c r="AC653" s="49"/>
      <c r="AD653" s="49"/>
    </row>
    <row r="654" spans="1:30" hidden="1" x14ac:dyDescent="0.3">
      <c r="A654" s="49" t="s">
        <v>7296</v>
      </c>
      <c r="B654" s="49">
        <v>0</v>
      </c>
      <c r="C654" s="49"/>
      <c r="D654" s="72" t="s">
        <v>644</v>
      </c>
      <c r="E654" s="49" t="s">
        <v>3754</v>
      </c>
      <c r="F654" s="49"/>
      <c r="G654" s="49"/>
      <c r="H654" s="49" t="s">
        <v>7297</v>
      </c>
      <c r="I654" s="49" t="s">
        <v>7300</v>
      </c>
      <c r="J654" s="49" t="s">
        <v>7298</v>
      </c>
      <c r="K654" s="49" t="s">
        <v>7299</v>
      </c>
      <c r="L654" s="49">
        <v>0</v>
      </c>
      <c r="M654" s="49" t="s">
        <v>4064</v>
      </c>
      <c r="N654" s="49" t="s">
        <v>7301</v>
      </c>
      <c r="O654" s="49">
        <v>7</v>
      </c>
      <c r="P654" s="49" t="s">
        <v>7302</v>
      </c>
      <c r="Q654" s="49">
        <v>0</v>
      </c>
      <c r="R654" s="49" t="s">
        <v>7303</v>
      </c>
      <c r="S654" s="49" t="s">
        <v>7304</v>
      </c>
      <c r="T654" s="49" t="s">
        <v>7305</v>
      </c>
      <c r="U654" s="49" t="s">
        <v>670</v>
      </c>
      <c r="V654" s="49" t="e">
        <v>#REF!</v>
      </c>
      <c r="AC654" s="49"/>
      <c r="AD654" s="49"/>
    </row>
    <row r="655" spans="1:30" hidden="1" x14ac:dyDescent="0.3">
      <c r="A655" s="49" t="s">
        <v>7306</v>
      </c>
      <c r="B655" s="49">
        <v>0</v>
      </c>
      <c r="C655" s="49"/>
      <c r="D655" s="72" t="s">
        <v>644</v>
      </c>
      <c r="E655" s="49" t="s">
        <v>3754</v>
      </c>
      <c r="F655" s="49"/>
      <c r="G655" s="49"/>
      <c r="H655" s="49" t="s">
        <v>7307</v>
      </c>
      <c r="I655" s="49" t="s">
        <v>7310</v>
      </c>
      <c r="J655" s="49" t="s">
        <v>7308</v>
      </c>
      <c r="K655" s="49" t="s">
        <v>7309</v>
      </c>
      <c r="L655" s="49">
        <v>0</v>
      </c>
      <c r="M655" s="49" t="s">
        <v>2636</v>
      </c>
      <c r="N655" s="49" t="s">
        <v>7311</v>
      </c>
      <c r="O655" s="49">
        <v>18</v>
      </c>
      <c r="P655" s="49" t="s">
        <v>7312</v>
      </c>
      <c r="Q655" s="49">
        <v>0</v>
      </c>
      <c r="R655" s="49" t="s">
        <v>7313</v>
      </c>
      <c r="S655" s="49" t="s">
        <v>7314</v>
      </c>
      <c r="T655" s="49" t="s">
        <v>7315</v>
      </c>
      <c r="U655" s="49" t="s">
        <v>670</v>
      </c>
      <c r="V655" s="49" t="e">
        <v>#REF!</v>
      </c>
      <c r="AC655" s="49"/>
      <c r="AD655" s="49"/>
    </row>
    <row r="656" spans="1:30" hidden="1" x14ac:dyDescent="0.3">
      <c r="A656" s="49" t="s">
        <v>7316</v>
      </c>
      <c r="B656" s="49">
        <v>0</v>
      </c>
      <c r="C656" s="49"/>
      <c r="D656" s="72" t="s">
        <v>644</v>
      </c>
      <c r="E656" s="49" t="s">
        <v>3754</v>
      </c>
      <c r="F656" s="49"/>
      <c r="G656" s="49"/>
      <c r="H656" s="49" t="s">
        <v>646</v>
      </c>
      <c r="I656" s="49" t="s">
        <v>7318</v>
      </c>
      <c r="J656" s="49" t="s">
        <v>7317</v>
      </c>
      <c r="K656" s="49" t="s">
        <v>2426</v>
      </c>
      <c r="L656" s="49">
        <v>0</v>
      </c>
      <c r="M656" s="49" t="s">
        <v>6445</v>
      </c>
      <c r="N656" s="49" t="s">
        <v>7319</v>
      </c>
      <c r="P656" s="49" t="s">
        <v>7320</v>
      </c>
      <c r="Q656" s="49">
        <v>0</v>
      </c>
      <c r="R656" s="49" t="s">
        <v>646</v>
      </c>
      <c r="S656" s="49" t="s">
        <v>7321</v>
      </c>
      <c r="T656" s="49" t="s">
        <v>7321</v>
      </c>
      <c r="U656" s="49" t="s">
        <v>655</v>
      </c>
      <c r="V656" s="49" t="e">
        <v>#REF!</v>
      </c>
      <c r="AC656" s="49"/>
      <c r="AD656" s="49"/>
    </row>
    <row r="657" spans="1:30" hidden="1" x14ac:dyDescent="0.3">
      <c r="A657" s="49" t="s">
        <v>7322</v>
      </c>
      <c r="B657" s="49">
        <v>0</v>
      </c>
      <c r="C657" s="49"/>
      <c r="D657" s="72" t="s">
        <v>644</v>
      </c>
      <c r="E657" s="49" t="s">
        <v>3754</v>
      </c>
      <c r="F657" s="49"/>
      <c r="G657" s="49"/>
      <c r="H657" s="49" t="s">
        <v>7323</v>
      </c>
      <c r="I657" s="49" t="s">
        <v>7326</v>
      </c>
      <c r="J657" s="49" t="s">
        <v>7324</v>
      </c>
      <c r="K657" s="49" t="s">
        <v>7325</v>
      </c>
      <c r="L657" s="49">
        <v>0</v>
      </c>
      <c r="M657" s="49" t="s">
        <v>1826</v>
      </c>
      <c r="N657" s="49" t="s">
        <v>7327</v>
      </c>
      <c r="O657" s="49">
        <v>9</v>
      </c>
      <c r="P657" s="49" t="s">
        <v>7328</v>
      </c>
      <c r="Q657" s="49">
        <v>0</v>
      </c>
      <c r="R657" s="49" t="s">
        <v>7329</v>
      </c>
      <c r="S657" s="49" t="s">
        <v>7330</v>
      </c>
      <c r="T657" s="49" t="s">
        <v>6596</v>
      </c>
      <c r="U657" s="49" t="s">
        <v>655</v>
      </c>
      <c r="V657" s="49" t="e">
        <v>#REF!</v>
      </c>
      <c r="AC657" s="49"/>
      <c r="AD657" s="49"/>
    </row>
    <row r="658" spans="1:30" hidden="1" x14ac:dyDescent="0.3">
      <c r="A658" s="49" t="s">
        <v>7331</v>
      </c>
      <c r="B658" s="49">
        <v>0</v>
      </c>
      <c r="C658" s="49"/>
      <c r="D658" s="72" t="s">
        <v>644</v>
      </c>
      <c r="E658" s="49" t="s">
        <v>3754</v>
      </c>
      <c r="F658" s="49"/>
      <c r="G658" s="49"/>
      <c r="H658" s="49" t="s">
        <v>7332</v>
      </c>
      <c r="I658" s="49" t="s">
        <v>7335</v>
      </c>
      <c r="J658" s="49" t="s">
        <v>7333</v>
      </c>
      <c r="K658" s="49" t="s">
        <v>7334</v>
      </c>
      <c r="L658" s="49">
        <v>0</v>
      </c>
      <c r="M658" s="49" t="s">
        <v>2636</v>
      </c>
      <c r="N658" s="49" t="s">
        <v>7336</v>
      </c>
      <c r="O658" s="49">
        <v>181</v>
      </c>
      <c r="P658" s="49" t="s">
        <v>7337</v>
      </c>
      <c r="Q658" s="49">
        <v>0</v>
      </c>
      <c r="R658" s="49" t="s">
        <v>7338</v>
      </c>
      <c r="S658" s="49" t="s">
        <v>7339</v>
      </c>
      <c r="T658" s="49" t="s">
        <v>7340</v>
      </c>
      <c r="U658" s="49" t="s">
        <v>670</v>
      </c>
      <c r="V658" s="49" t="e">
        <v>#REF!</v>
      </c>
      <c r="AC658" s="49"/>
      <c r="AD658" s="49"/>
    </row>
    <row r="659" spans="1:30" hidden="1" x14ac:dyDescent="0.3">
      <c r="A659" s="49" t="s">
        <v>7341</v>
      </c>
      <c r="B659" s="49">
        <v>0</v>
      </c>
      <c r="C659" s="49"/>
      <c r="D659" s="72" t="s">
        <v>644</v>
      </c>
      <c r="E659" s="49" t="s">
        <v>3754</v>
      </c>
      <c r="F659" s="49"/>
      <c r="G659" s="49"/>
      <c r="H659" s="49" t="s">
        <v>7342</v>
      </c>
      <c r="I659" s="49" t="s">
        <v>7345</v>
      </c>
      <c r="J659" s="49" t="s">
        <v>7343</v>
      </c>
      <c r="K659" s="49" t="s">
        <v>7344</v>
      </c>
      <c r="L659" s="49">
        <v>0</v>
      </c>
      <c r="M659" s="49" t="s">
        <v>1865</v>
      </c>
      <c r="N659" s="49" t="s">
        <v>4184</v>
      </c>
      <c r="O659" s="49">
        <v>4</v>
      </c>
      <c r="P659" s="49" t="s">
        <v>7346</v>
      </c>
      <c r="Q659" s="49">
        <v>0</v>
      </c>
      <c r="R659" s="49" t="s">
        <v>7347</v>
      </c>
      <c r="S659" s="49" t="s">
        <v>7348</v>
      </c>
      <c r="T659" s="49" t="s">
        <v>7349</v>
      </c>
      <c r="U659" s="49" t="s">
        <v>655</v>
      </c>
      <c r="V659" s="49" t="e">
        <v>#REF!</v>
      </c>
      <c r="AC659" s="49"/>
      <c r="AD659" s="49"/>
    </row>
    <row r="660" spans="1:30" hidden="1" x14ac:dyDescent="0.3">
      <c r="A660" s="49" t="s">
        <v>7350</v>
      </c>
      <c r="B660" s="49">
        <v>0</v>
      </c>
      <c r="C660" s="49"/>
      <c r="D660" s="72" t="s">
        <v>644</v>
      </c>
      <c r="E660" s="49" t="s">
        <v>3754</v>
      </c>
      <c r="F660" s="49"/>
      <c r="G660" s="49"/>
      <c r="H660" s="49" t="s">
        <v>7351</v>
      </c>
      <c r="I660" s="49" t="s">
        <v>7354</v>
      </c>
      <c r="J660" s="49" t="s">
        <v>7352</v>
      </c>
      <c r="K660" s="49" t="s">
        <v>7353</v>
      </c>
      <c r="L660" s="49">
        <v>0</v>
      </c>
      <c r="M660" s="49" t="s">
        <v>2142</v>
      </c>
      <c r="N660" s="49" t="s">
        <v>3771</v>
      </c>
      <c r="O660" s="49">
        <v>36</v>
      </c>
      <c r="P660" s="49" t="s">
        <v>7355</v>
      </c>
      <c r="Q660" s="49">
        <v>0</v>
      </c>
      <c r="R660" s="49" t="s">
        <v>7356</v>
      </c>
      <c r="S660" s="49" t="s">
        <v>7357</v>
      </c>
      <c r="T660" s="49" t="s">
        <v>646</v>
      </c>
      <c r="U660" s="49" t="s">
        <v>791</v>
      </c>
      <c r="V660" s="49" t="e">
        <v>#REF!</v>
      </c>
      <c r="AC660" s="49"/>
      <c r="AD660" s="49"/>
    </row>
    <row r="661" spans="1:30" hidden="1" x14ac:dyDescent="0.3">
      <c r="A661" s="49" t="s">
        <v>7358</v>
      </c>
      <c r="B661" s="49">
        <v>0</v>
      </c>
      <c r="C661" s="49"/>
      <c r="D661" s="72" t="s">
        <v>644</v>
      </c>
      <c r="E661" s="49" t="s">
        <v>3754</v>
      </c>
      <c r="F661" s="49"/>
      <c r="G661" s="49"/>
      <c r="H661" s="49" t="s">
        <v>7359</v>
      </c>
      <c r="I661" s="49" t="s">
        <v>7362</v>
      </c>
      <c r="J661" s="49" t="s">
        <v>7360</v>
      </c>
      <c r="K661" s="49" t="s">
        <v>7361</v>
      </c>
      <c r="L661" s="49">
        <v>0</v>
      </c>
      <c r="M661" s="49" t="s">
        <v>2142</v>
      </c>
      <c r="N661" s="49" t="s">
        <v>7363</v>
      </c>
      <c r="O661" s="49">
        <v>4</v>
      </c>
      <c r="P661" s="49" t="s">
        <v>7364</v>
      </c>
      <c r="Q661" s="49">
        <v>0</v>
      </c>
      <c r="R661" s="49" t="s">
        <v>7365</v>
      </c>
      <c r="S661" s="49" t="s">
        <v>7366</v>
      </c>
      <c r="T661" s="49" t="s">
        <v>646</v>
      </c>
      <c r="U661" s="49" t="s">
        <v>655</v>
      </c>
      <c r="V661" s="49" t="e">
        <v>#REF!</v>
      </c>
      <c r="AC661" s="49"/>
      <c r="AD661" s="49"/>
    </row>
    <row r="662" spans="1:30" hidden="1" x14ac:dyDescent="0.3">
      <c r="A662" s="49" t="s">
        <v>7367</v>
      </c>
      <c r="B662" s="49">
        <v>0</v>
      </c>
      <c r="C662" s="49"/>
      <c r="D662" s="72" t="s">
        <v>644</v>
      </c>
      <c r="E662" s="49" t="s">
        <v>3754</v>
      </c>
      <c r="F662" s="49"/>
      <c r="G662" s="49"/>
      <c r="H662" s="49" t="s">
        <v>646</v>
      </c>
      <c r="I662" s="49" t="s">
        <v>7370</v>
      </c>
      <c r="J662" s="49" t="s">
        <v>7368</v>
      </c>
      <c r="K662" s="49" t="s">
        <v>7369</v>
      </c>
      <c r="L662" s="49">
        <v>0</v>
      </c>
      <c r="M662" s="49" t="s">
        <v>4084</v>
      </c>
      <c r="N662" s="49" t="s">
        <v>4765</v>
      </c>
      <c r="O662" s="49">
        <v>13</v>
      </c>
      <c r="P662" s="49" t="s">
        <v>7371</v>
      </c>
      <c r="Q662" s="49">
        <v>0</v>
      </c>
      <c r="R662" s="49" t="s">
        <v>7372</v>
      </c>
      <c r="S662" s="49" t="s">
        <v>7373</v>
      </c>
      <c r="T662" s="49" t="s">
        <v>646</v>
      </c>
      <c r="U662" s="49" t="s">
        <v>670</v>
      </c>
      <c r="V662" s="49" t="e">
        <v>#REF!</v>
      </c>
      <c r="AC662" s="49"/>
      <c r="AD662" s="49"/>
    </row>
    <row r="663" spans="1:30" hidden="1" x14ac:dyDescent="0.3">
      <c r="A663" s="49" t="s">
        <v>7374</v>
      </c>
      <c r="B663" s="49">
        <v>0</v>
      </c>
      <c r="C663" s="49"/>
      <c r="D663" s="72" t="s">
        <v>644</v>
      </c>
      <c r="E663" s="49" t="s">
        <v>3754</v>
      </c>
      <c r="F663" s="49"/>
      <c r="G663" s="49"/>
      <c r="H663" s="49" t="s">
        <v>7375</v>
      </c>
      <c r="I663" s="49" t="s">
        <v>7378</v>
      </c>
      <c r="J663" s="49" t="s">
        <v>7376</v>
      </c>
      <c r="K663" s="49" t="s">
        <v>7377</v>
      </c>
      <c r="L663" s="49">
        <v>0</v>
      </c>
      <c r="M663" s="49" t="s">
        <v>1865</v>
      </c>
      <c r="N663" s="49" t="s">
        <v>7379</v>
      </c>
      <c r="O663" s="49">
        <v>8</v>
      </c>
      <c r="P663" s="49" t="s">
        <v>7380</v>
      </c>
      <c r="Q663" s="49">
        <v>0</v>
      </c>
      <c r="R663" s="49" t="s">
        <v>7381</v>
      </c>
      <c r="S663" s="49" t="s">
        <v>7382</v>
      </c>
      <c r="T663" s="49" t="s">
        <v>7383</v>
      </c>
      <c r="U663" s="49" t="s">
        <v>655</v>
      </c>
      <c r="V663" s="49" t="e">
        <v>#REF!</v>
      </c>
      <c r="AC663" s="49"/>
      <c r="AD663" s="49"/>
    </row>
    <row r="664" spans="1:30" hidden="1" x14ac:dyDescent="0.3">
      <c r="A664" s="49" t="s">
        <v>7384</v>
      </c>
      <c r="B664" s="49">
        <v>0</v>
      </c>
      <c r="C664" s="49"/>
      <c r="D664" s="72" t="s">
        <v>644</v>
      </c>
      <c r="E664" s="49" t="s">
        <v>3754</v>
      </c>
      <c r="F664" s="49"/>
      <c r="G664" s="49"/>
      <c r="H664" s="49" t="s">
        <v>646</v>
      </c>
      <c r="I664" s="49" t="s">
        <v>826</v>
      </c>
      <c r="J664" s="49" t="s">
        <v>827</v>
      </c>
      <c r="K664" s="49" t="s">
        <v>7385</v>
      </c>
      <c r="L664" s="49">
        <v>0</v>
      </c>
      <c r="M664" s="49" t="s">
        <v>1817</v>
      </c>
      <c r="N664" s="49" t="s">
        <v>7384</v>
      </c>
      <c r="P664" s="49" t="s">
        <v>7386</v>
      </c>
      <c r="Q664" s="49">
        <v>0</v>
      </c>
      <c r="R664" s="49" t="s">
        <v>646</v>
      </c>
      <c r="S664" s="49" t="s">
        <v>646</v>
      </c>
      <c r="T664" s="49" t="s">
        <v>646</v>
      </c>
      <c r="U664" s="49" t="s">
        <v>830</v>
      </c>
      <c r="V664" s="49" t="e">
        <v>#REF!</v>
      </c>
      <c r="AC664" s="49"/>
      <c r="AD664" s="49"/>
    </row>
    <row r="665" spans="1:30" hidden="1" x14ac:dyDescent="0.3">
      <c r="A665" s="49" t="s">
        <v>895</v>
      </c>
      <c r="B665" s="49">
        <v>0</v>
      </c>
      <c r="C665" s="49"/>
      <c r="D665" s="72" t="s">
        <v>644</v>
      </c>
      <c r="E665" s="49" t="s">
        <v>3754</v>
      </c>
      <c r="F665" s="49"/>
      <c r="G665" s="49"/>
      <c r="H665" s="49" t="s">
        <v>646</v>
      </c>
      <c r="I665" s="49" t="s">
        <v>826</v>
      </c>
      <c r="J665" s="49" t="s">
        <v>827</v>
      </c>
      <c r="K665" s="49" t="s">
        <v>7387</v>
      </c>
      <c r="L665" s="49">
        <v>0</v>
      </c>
      <c r="M665" s="49" t="s">
        <v>4084</v>
      </c>
      <c r="N665" s="49" t="s">
        <v>895</v>
      </c>
      <c r="P665" s="49" t="s">
        <v>7388</v>
      </c>
      <c r="Q665" s="49">
        <v>0</v>
      </c>
      <c r="R665" s="49" t="s">
        <v>646</v>
      </c>
      <c r="S665" s="49" t="s">
        <v>646</v>
      </c>
      <c r="T665" s="49" t="s">
        <v>646</v>
      </c>
      <c r="U665" s="49" t="s">
        <v>830</v>
      </c>
      <c r="V665" s="49" t="e">
        <v>#REF!</v>
      </c>
      <c r="AC665" s="49"/>
      <c r="AD665" s="49"/>
    </row>
    <row r="666" spans="1:30" hidden="1" x14ac:dyDescent="0.3">
      <c r="A666" s="49" t="s">
        <v>7389</v>
      </c>
      <c r="B666" s="49">
        <v>0</v>
      </c>
      <c r="C666" s="49"/>
      <c r="D666" s="72" t="s">
        <v>644</v>
      </c>
      <c r="E666" s="49" t="s">
        <v>3754</v>
      </c>
      <c r="F666" s="49"/>
      <c r="G666" s="49"/>
      <c r="H666" s="49" t="s">
        <v>646</v>
      </c>
      <c r="I666" s="49" t="s">
        <v>826</v>
      </c>
      <c r="J666" s="49" t="s">
        <v>827</v>
      </c>
      <c r="K666" s="49" t="s">
        <v>7390</v>
      </c>
      <c r="L666" s="49">
        <v>0</v>
      </c>
      <c r="M666" s="49" t="s">
        <v>1764</v>
      </c>
      <c r="N666" s="49" t="s">
        <v>7389</v>
      </c>
      <c r="P666" s="49" t="s">
        <v>7391</v>
      </c>
      <c r="Q666" s="49">
        <v>0</v>
      </c>
      <c r="R666" s="49" t="s">
        <v>646</v>
      </c>
      <c r="S666" s="49" t="s">
        <v>646</v>
      </c>
      <c r="T666" s="49" t="s">
        <v>646</v>
      </c>
      <c r="U666" s="49" t="s">
        <v>830</v>
      </c>
      <c r="V666" s="49" t="e">
        <v>#REF!</v>
      </c>
      <c r="AC666" s="49"/>
      <c r="AD666" s="49"/>
    </row>
    <row r="667" spans="1:30" hidden="1" x14ac:dyDescent="0.3">
      <c r="A667" s="49" t="s">
        <v>885</v>
      </c>
      <c r="B667" s="49">
        <v>0</v>
      </c>
      <c r="C667" s="49"/>
      <c r="D667" s="72" t="s">
        <v>644</v>
      </c>
      <c r="E667" s="49" t="s">
        <v>3754</v>
      </c>
      <c r="F667" s="49"/>
      <c r="G667" s="49"/>
      <c r="H667" s="49" t="s">
        <v>646</v>
      </c>
      <c r="I667" s="49" t="s">
        <v>826</v>
      </c>
      <c r="J667" s="49" t="s">
        <v>827</v>
      </c>
      <c r="K667" s="49" t="s">
        <v>7392</v>
      </c>
      <c r="L667" s="49">
        <v>0</v>
      </c>
      <c r="M667" s="49" t="s">
        <v>2220</v>
      </c>
      <c r="N667" s="49" t="s">
        <v>885</v>
      </c>
      <c r="P667" s="49" t="s">
        <v>7393</v>
      </c>
      <c r="Q667" s="49">
        <v>0</v>
      </c>
      <c r="R667" s="49" t="s">
        <v>646</v>
      </c>
      <c r="S667" s="49" t="s">
        <v>646</v>
      </c>
      <c r="T667" s="49" t="s">
        <v>646</v>
      </c>
      <c r="U667" s="49" t="s">
        <v>830</v>
      </c>
      <c r="V667" s="49" t="e">
        <v>#REF!</v>
      </c>
      <c r="AC667" s="49"/>
      <c r="AD667" s="49"/>
    </row>
    <row r="668" spans="1:30" hidden="1" x14ac:dyDescent="0.3">
      <c r="A668" s="49" t="s">
        <v>7394</v>
      </c>
      <c r="B668" s="49">
        <v>0</v>
      </c>
      <c r="C668" s="49"/>
      <c r="D668" s="72" t="s">
        <v>644</v>
      </c>
      <c r="E668" s="49" t="s">
        <v>3754</v>
      </c>
      <c r="F668" s="49"/>
      <c r="G668" s="49"/>
      <c r="H668" s="49" t="s">
        <v>646</v>
      </c>
      <c r="I668" s="49" t="s">
        <v>826</v>
      </c>
      <c r="J668" s="49" t="s">
        <v>827</v>
      </c>
      <c r="K668" s="49" t="s">
        <v>7395</v>
      </c>
      <c r="L668" s="49">
        <v>0</v>
      </c>
      <c r="M668" s="49" t="s">
        <v>1817</v>
      </c>
      <c r="N668" s="49" t="s">
        <v>7394</v>
      </c>
      <c r="P668" s="49" t="s">
        <v>7396</v>
      </c>
      <c r="Q668" s="49">
        <v>0</v>
      </c>
      <c r="R668" s="49" t="s">
        <v>646</v>
      </c>
      <c r="S668" s="49" t="s">
        <v>646</v>
      </c>
      <c r="T668" s="49" t="s">
        <v>646</v>
      </c>
      <c r="U668" s="49" t="s">
        <v>830</v>
      </c>
      <c r="V668" s="49" t="e">
        <v>#REF!</v>
      </c>
      <c r="AC668" s="49"/>
      <c r="AD668" s="49"/>
    </row>
    <row r="669" spans="1:30" hidden="1" x14ac:dyDescent="0.3">
      <c r="A669" s="49" t="s">
        <v>7397</v>
      </c>
      <c r="B669" s="49">
        <v>0</v>
      </c>
      <c r="C669" s="49"/>
      <c r="D669" s="72" t="s">
        <v>644</v>
      </c>
      <c r="E669" s="49" t="s">
        <v>3754</v>
      </c>
      <c r="F669" s="49"/>
      <c r="G669" s="49"/>
      <c r="H669" s="49" t="s">
        <v>7398</v>
      </c>
      <c r="I669" s="49" t="s">
        <v>7401</v>
      </c>
      <c r="J669" s="49" t="s">
        <v>7399</v>
      </c>
      <c r="K669" s="49" t="s">
        <v>7400</v>
      </c>
      <c r="L669" s="49">
        <v>0</v>
      </c>
      <c r="M669" s="49" t="s">
        <v>2456</v>
      </c>
      <c r="N669" s="49" t="s">
        <v>7402</v>
      </c>
      <c r="O669" s="49">
        <v>12</v>
      </c>
      <c r="P669" s="49" t="s">
        <v>7403</v>
      </c>
      <c r="Q669" s="49">
        <v>0</v>
      </c>
      <c r="R669" s="49" t="s">
        <v>7404</v>
      </c>
      <c r="S669" s="49" t="s">
        <v>7405</v>
      </c>
      <c r="T669" s="49" t="s">
        <v>7406</v>
      </c>
      <c r="U669" s="49" t="s">
        <v>670</v>
      </c>
      <c r="V669" s="49" t="e">
        <v>#REF!</v>
      </c>
      <c r="AC669" s="49"/>
      <c r="AD669" s="49"/>
    </row>
    <row r="670" spans="1:30" hidden="1" x14ac:dyDescent="0.3">
      <c r="A670" s="49" t="s">
        <v>7407</v>
      </c>
      <c r="B670" s="49">
        <v>0</v>
      </c>
      <c r="C670" s="49"/>
      <c r="D670" s="72" t="s">
        <v>644</v>
      </c>
      <c r="E670" s="49" t="s">
        <v>3754</v>
      </c>
      <c r="F670" s="49"/>
      <c r="G670" s="49"/>
      <c r="H670" s="49" t="s">
        <v>646</v>
      </c>
      <c r="I670" s="49" t="s">
        <v>7410</v>
      </c>
      <c r="J670" s="49" t="s">
        <v>7408</v>
      </c>
      <c r="K670" s="49" t="s">
        <v>7409</v>
      </c>
      <c r="L670" s="49">
        <v>0</v>
      </c>
      <c r="M670" s="49" t="s">
        <v>1777</v>
      </c>
      <c r="N670" s="49" t="s">
        <v>7411</v>
      </c>
      <c r="O670" s="49">
        <v>1</v>
      </c>
      <c r="P670" s="49" t="s">
        <v>7412</v>
      </c>
      <c r="Q670" s="49">
        <v>0</v>
      </c>
      <c r="R670" s="49" t="s">
        <v>646</v>
      </c>
      <c r="S670" s="49" t="s">
        <v>7413</v>
      </c>
      <c r="T670" s="49" t="s">
        <v>646</v>
      </c>
      <c r="U670" s="49" t="s">
        <v>655</v>
      </c>
      <c r="V670" s="49" t="e">
        <v>#REF!</v>
      </c>
      <c r="AC670" s="49"/>
      <c r="AD670" s="49"/>
    </row>
    <row r="671" spans="1:30" hidden="1" x14ac:dyDescent="0.3">
      <c r="A671" s="49" t="s">
        <v>7414</v>
      </c>
      <c r="B671" s="49">
        <v>0</v>
      </c>
      <c r="C671" s="49"/>
      <c r="D671" s="72" t="s">
        <v>644</v>
      </c>
      <c r="E671" s="49" t="s">
        <v>3754</v>
      </c>
      <c r="F671" s="49"/>
      <c r="G671" s="49"/>
      <c r="H671" s="49" t="s">
        <v>7415</v>
      </c>
      <c r="I671" s="49" t="s">
        <v>7418</v>
      </c>
      <c r="J671" s="49" t="s">
        <v>7416</v>
      </c>
      <c r="K671" s="49" t="s">
        <v>7417</v>
      </c>
      <c r="L671" s="49">
        <v>0</v>
      </c>
      <c r="M671" s="49" t="s">
        <v>4103</v>
      </c>
      <c r="N671" s="49" t="s">
        <v>7419</v>
      </c>
      <c r="O671" s="49">
        <v>11</v>
      </c>
      <c r="P671" s="49" t="s">
        <v>7420</v>
      </c>
      <c r="Q671" s="49">
        <v>0</v>
      </c>
      <c r="R671" s="49" t="s">
        <v>7421</v>
      </c>
      <c r="S671" s="49" t="s">
        <v>7422</v>
      </c>
      <c r="T671" s="49" t="s">
        <v>7423</v>
      </c>
      <c r="U671" s="49" t="s">
        <v>655</v>
      </c>
      <c r="V671" s="49" t="e">
        <v>#REF!</v>
      </c>
      <c r="AC671" s="49"/>
      <c r="AD671" s="49"/>
    </row>
    <row r="672" spans="1:30" hidden="1" x14ac:dyDescent="0.3">
      <c r="A672" s="49" t="s">
        <v>1550</v>
      </c>
      <c r="B672" s="49">
        <v>0</v>
      </c>
      <c r="C672" s="49"/>
      <c r="D672" s="72" t="s">
        <v>644</v>
      </c>
      <c r="E672" s="49" t="s">
        <v>3754</v>
      </c>
      <c r="F672" s="49"/>
      <c r="G672" s="49"/>
      <c r="H672" s="49" t="s">
        <v>1552</v>
      </c>
      <c r="I672" s="49" t="s">
        <v>1553</v>
      </c>
      <c r="J672" s="49" t="s">
        <v>1554</v>
      </c>
      <c r="K672" s="49" t="s">
        <v>1555</v>
      </c>
      <c r="L672" s="49">
        <v>0</v>
      </c>
      <c r="M672" s="49" t="s">
        <v>4084</v>
      </c>
      <c r="N672" s="49" t="s">
        <v>818</v>
      </c>
      <c r="O672" s="49">
        <v>4</v>
      </c>
      <c r="P672" s="49" t="s">
        <v>1556</v>
      </c>
      <c r="Q672" s="49">
        <v>0</v>
      </c>
      <c r="R672" s="49" t="s">
        <v>1557</v>
      </c>
      <c r="S672" s="49" t="s">
        <v>1558</v>
      </c>
      <c r="T672" s="49" t="s">
        <v>7424</v>
      </c>
      <c r="U672" s="49" t="s">
        <v>670</v>
      </c>
      <c r="V672" s="49" t="e">
        <v>#REF!</v>
      </c>
      <c r="AC672" s="49"/>
      <c r="AD672" s="49"/>
    </row>
    <row r="673" spans="1:30" hidden="1" x14ac:dyDescent="0.3">
      <c r="A673" s="49" t="s">
        <v>7425</v>
      </c>
      <c r="B673" s="49">
        <v>0</v>
      </c>
      <c r="C673" s="49"/>
      <c r="D673" s="72" t="s">
        <v>644</v>
      </c>
      <c r="E673" s="49" t="s">
        <v>3754</v>
      </c>
      <c r="F673" s="49"/>
      <c r="G673" s="49"/>
      <c r="H673" s="49" t="s">
        <v>7426</v>
      </c>
      <c r="I673" s="49" t="s">
        <v>7429</v>
      </c>
      <c r="J673" s="49" t="s">
        <v>7427</v>
      </c>
      <c r="K673" s="49" t="s">
        <v>7428</v>
      </c>
      <c r="L673" s="49">
        <v>0</v>
      </c>
      <c r="M673" s="49" t="s">
        <v>1826</v>
      </c>
      <c r="N673" s="49" t="s">
        <v>7430</v>
      </c>
      <c r="O673" s="49">
        <v>4</v>
      </c>
      <c r="P673" s="49" t="s">
        <v>7431</v>
      </c>
      <c r="Q673" s="49">
        <v>0</v>
      </c>
      <c r="R673" s="49" t="s">
        <v>7432</v>
      </c>
      <c r="S673" s="49" t="s">
        <v>7433</v>
      </c>
      <c r="T673" s="49" t="s">
        <v>7434</v>
      </c>
      <c r="U673" s="49" t="s">
        <v>655</v>
      </c>
      <c r="V673" s="49" t="e">
        <v>#REF!</v>
      </c>
      <c r="AC673" s="49"/>
      <c r="AD673" s="49"/>
    </row>
    <row r="674" spans="1:30" hidden="1" x14ac:dyDescent="0.3">
      <c r="A674" s="49" t="s">
        <v>7435</v>
      </c>
      <c r="B674" s="49">
        <v>0</v>
      </c>
      <c r="C674" s="49"/>
      <c r="D674" s="72" t="s">
        <v>644</v>
      </c>
      <c r="E674" s="49" t="s">
        <v>3754</v>
      </c>
      <c r="F674" s="49"/>
      <c r="G674" s="49"/>
      <c r="H674" s="49" t="s">
        <v>7436</v>
      </c>
      <c r="I674" s="49" t="s">
        <v>7439</v>
      </c>
      <c r="J674" s="49" t="s">
        <v>7437</v>
      </c>
      <c r="K674" s="49" t="s">
        <v>7438</v>
      </c>
      <c r="L674" s="49">
        <v>0</v>
      </c>
      <c r="M674" s="49" t="s">
        <v>1764</v>
      </c>
      <c r="N674" s="49" t="s">
        <v>4381</v>
      </c>
      <c r="O674" s="49">
        <v>38</v>
      </c>
      <c r="P674" s="49" t="s">
        <v>7440</v>
      </c>
      <c r="Q674" s="49">
        <v>0</v>
      </c>
      <c r="R674" s="49" t="s">
        <v>7441</v>
      </c>
      <c r="S674" s="49" t="s">
        <v>7442</v>
      </c>
      <c r="T674" s="49" t="s">
        <v>7443</v>
      </c>
      <c r="U674" s="49" t="s">
        <v>655</v>
      </c>
      <c r="V674" s="49" t="e">
        <v>#REF!</v>
      </c>
      <c r="AC674" s="49"/>
      <c r="AD674" s="49"/>
    </row>
    <row r="675" spans="1:30" hidden="1" x14ac:dyDescent="0.3">
      <c r="A675" s="49" t="s">
        <v>7444</v>
      </c>
      <c r="B675" s="49">
        <v>0</v>
      </c>
      <c r="C675" s="49"/>
      <c r="D675" s="72" t="s">
        <v>644</v>
      </c>
      <c r="E675" s="49" t="s">
        <v>3754</v>
      </c>
      <c r="F675" s="49"/>
      <c r="G675" s="49"/>
      <c r="H675" s="49" t="s">
        <v>7445</v>
      </c>
      <c r="I675" s="49" t="s">
        <v>7448</v>
      </c>
      <c r="J675" s="49" t="s">
        <v>7446</v>
      </c>
      <c r="K675" s="49" t="s">
        <v>7447</v>
      </c>
      <c r="L675" s="49">
        <v>0</v>
      </c>
      <c r="M675" s="49" t="s">
        <v>1826</v>
      </c>
      <c r="N675" s="49" t="s">
        <v>687</v>
      </c>
      <c r="P675" s="49" t="s">
        <v>7449</v>
      </c>
      <c r="Q675" s="49">
        <v>0</v>
      </c>
      <c r="R675" s="49" t="s">
        <v>7450</v>
      </c>
      <c r="S675" s="49" t="s">
        <v>7451</v>
      </c>
      <c r="T675" s="49" t="s">
        <v>7452</v>
      </c>
      <c r="U675" s="49" t="s">
        <v>670</v>
      </c>
      <c r="V675" s="49" t="e">
        <v>#REF!</v>
      </c>
      <c r="AC675" s="49"/>
      <c r="AD675" s="49"/>
    </row>
    <row r="676" spans="1:30" hidden="1" x14ac:dyDescent="0.3">
      <c r="A676" s="49" t="s">
        <v>7453</v>
      </c>
      <c r="B676" s="49">
        <v>0</v>
      </c>
      <c r="C676" s="49"/>
      <c r="D676" s="72" t="s">
        <v>644</v>
      </c>
      <c r="E676" s="49" t="s">
        <v>3754</v>
      </c>
      <c r="F676" s="49"/>
      <c r="G676" s="49"/>
      <c r="H676" s="49" t="s">
        <v>646</v>
      </c>
      <c r="I676" s="49" t="s">
        <v>7456</v>
      </c>
      <c r="J676" s="49" t="s">
        <v>7454</v>
      </c>
      <c r="K676" s="49" t="s">
        <v>7455</v>
      </c>
      <c r="L676" s="49">
        <v>0</v>
      </c>
      <c r="M676" s="49" t="s">
        <v>2636</v>
      </c>
      <c r="N676" s="49" t="s">
        <v>5371</v>
      </c>
      <c r="P676" s="49" t="s">
        <v>7457</v>
      </c>
      <c r="Q676" s="49">
        <v>0</v>
      </c>
      <c r="R676" s="49" t="s">
        <v>7458</v>
      </c>
      <c r="S676" s="49" t="s">
        <v>7459</v>
      </c>
      <c r="T676" s="49" t="s">
        <v>7460</v>
      </c>
      <c r="U676" s="49" t="s">
        <v>670</v>
      </c>
      <c r="V676" s="49" t="e">
        <v>#REF!</v>
      </c>
      <c r="AC676" s="49"/>
      <c r="AD676" s="49"/>
    </row>
    <row r="677" spans="1:30" hidden="1" x14ac:dyDescent="0.3">
      <c r="A677" s="49" t="s">
        <v>7461</v>
      </c>
      <c r="B677" s="49">
        <v>0</v>
      </c>
      <c r="C677" s="49"/>
      <c r="D677" s="72" t="s">
        <v>644</v>
      </c>
      <c r="E677" s="49" t="s">
        <v>3754</v>
      </c>
      <c r="F677" s="49"/>
      <c r="G677" s="49"/>
      <c r="H677" s="49" t="s">
        <v>646</v>
      </c>
      <c r="I677" s="49" t="s">
        <v>7464</v>
      </c>
      <c r="J677" s="49" t="s">
        <v>7462</v>
      </c>
      <c r="K677" s="49" t="s">
        <v>7463</v>
      </c>
      <c r="L677" s="49">
        <v>0</v>
      </c>
      <c r="M677" s="49" t="s">
        <v>4084</v>
      </c>
      <c r="N677" s="49" t="s">
        <v>7465</v>
      </c>
      <c r="O677" s="49">
        <v>12</v>
      </c>
      <c r="P677" s="49" t="s">
        <v>7466</v>
      </c>
      <c r="Q677" s="49">
        <v>0</v>
      </c>
      <c r="R677" s="49" t="s">
        <v>7467</v>
      </c>
      <c r="S677" s="49" t="s">
        <v>7468</v>
      </c>
      <c r="T677" s="49" t="s">
        <v>7469</v>
      </c>
      <c r="U677" s="49" t="s">
        <v>670</v>
      </c>
      <c r="V677" s="49" t="e">
        <v>#REF!</v>
      </c>
      <c r="AC677" s="49"/>
      <c r="AD677" s="49"/>
    </row>
    <row r="678" spans="1:30" hidden="1" x14ac:dyDescent="0.3">
      <c r="A678" s="49" t="s">
        <v>7470</v>
      </c>
      <c r="B678" s="49">
        <v>0</v>
      </c>
      <c r="C678" s="49"/>
      <c r="D678" s="72" t="s">
        <v>644</v>
      </c>
      <c r="E678" s="49" t="s">
        <v>3754</v>
      </c>
      <c r="F678" s="49"/>
      <c r="G678" s="49"/>
      <c r="H678" s="49" t="s">
        <v>7471</v>
      </c>
      <c r="I678" s="49" t="s">
        <v>7474</v>
      </c>
      <c r="J678" s="49" t="s">
        <v>7472</v>
      </c>
      <c r="K678" s="49" t="s">
        <v>7473</v>
      </c>
      <c r="L678" s="49">
        <v>0</v>
      </c>
      <c r="M678" s="49" t="s">
        <v>1817</v>
      </c>
      <c r="N678" s="49" t="s">
        <v>7384</v>
      </c>
      <c r="O678" s="49">
        <v>12</v>
      </c>
      <c r="P678" s="49" t="s">
        <v>7475</v>
      </c>
      <c r="Q678" s="49">
        <v>0</v>
      </c>
      <c r="R678" s="49" t="s">
        <v>7476</v>
      </c>
      <c r="S678" s="49" t="s">
        <v>7477</v>
      </c>
      <c r="T678" s="49" t="s">
        <v>7478</v>
      </c>
      <c r="U678" s="49" t="s">
        <v>670</v>
      </c>
      <c r="V678" s="49" t="e">
        <v>#REF!</v>
      </c>
      <c r="AC678" s="49"/>
      <c r="AD678" s="49"/>
    </row>
    <row r="679" spans="1:30" hidden="1" x14ac:dyDescent="0.3">
      <c r="A679" s="49" t="s">
        <v>7479</v>
      </c>
      <c r="B679" s="49">
        <v>0</v>
      </c>
      <c r="C679" s="49"/>
      <c r="D679" s="72" t="s">
        <v>644</v>
      </c>
      <c r="E679" s="49" t="s">
        <v>3754</v>
      </c>
      <c r="F679" s="49"/>
      <c r="G679" s="49"/>
      <c r="H679" s="49" t="s">
        <v>7480</v>
      </c>
      <c r="I679" s="49" t="s">
        <v>7483</v>
      </c>
      <c r="J679" s="49" t="s">
        <v>7481</v>
      </c>
      <c r="K679" s="49" t="s">
        <v>7482</v>
      </c>
      <c r="L679" s="49">
        <v>0</v>
      </c>
      <c r="M679" s="49" t="s">
        <v>3570</v>
      </c>
      <c r="N679" s="49" t="s">
        <v>7484</v>
      </c>
      <c r="O679" s="49">
        <v>4</v>
      </c>
      <c r="P679" s="49" t="s">
        <v>7485</v>
      </c>
      <c r="Q679" s="49">
        <v>0</v>
      </c>
      <c r="R679" s="49" t="s">
        <v>7486</v>
      </c>
      <c r="S679" s="49" t="s">
        <v>7487</v>
      </c>
      <c r="T679" s="49" t="s">
        <v>6801</v>
      </c>
      <c r="U679" s="49" t="s">
        <v>670</v>
      </c>
      <c r="V679" s="49" t="e">
        <v>#REF!</v>
      </c>
      <c r="AC679" s="49"/>
      <c r="AD679" s="49"/>
    </row>
    <row r="680" spans="1:30" hidden="1" x14ac:dyDescent="0.3">
      <c r="A680" s="49" t="s">
        <v>7488</v>
      </c>
      <c r="B680" s="49">
        <v>0</v>
      </c>
      <c r="C680" s="49"/>
      <c r="D680" s="72" t="s">
        <v>644</v>
      </c>
      <c r="E680" s="49" t="s">
        <v>3754</v>
      </c>
      <c r="F680" s="49"/>
      <c r="G680" s="49"/>
      <c r="H680" s="49" t="s">
        <v>646</v>
      </c>
      <c r="I680" s="49" t="s">
        <v>7491</v>
      </c>
      <c r="J680" s="49" t="s">
        <v>7489</v>
      </c>
      <c r="K680" s="49" t="s">
        <v>7490</v>
      </c>
      <c r="L680" s="49">
        <v>0</v>
      </c>
      <c r="M680" s="49" t="s">
        <v>2220</v>
      </c>
      <c r="N680" s="49" t="s">
        <v>7492</v>
      </c>
      <c r="O680" s="49">
        <v>19</v>
      </c>
      <c r="P680" s="49" t="s">
        <v>7493</v>
      </c>
      <c r="Q680" s="49">
        <v>0</v>
      </c>
      <c r="R680" s="49" t="s">
        <v>7494</v>
      </c>
      <c r="S680" s="49" t="s">
        <v>7495</v>
      </c>
      <c r="T680" s="49" t="s">
        <v>7496</v>
      </c>
      <c r="U680" s="49" t="s">
        <v>670</v>
      </c>
      <c r="V680" s="49" t="e">
        <v>#REF!</v>
      </c>
      <c r="AC680" s="49"/>
      <c r="AD680" s="49"/>
    </row>
    <row r="681" spans="1:30" hidden="1" x14ac:dyDescent="0.3">
      <c r="A681" s="49" t="s">
        <v>7497</v>
      </c>
      <c r="B681" s="49">
        <v>0</v>
      </c>
      <c r="C681" s="49"/>
      <c r="D681" s="72" t="s">
        <v>644</v>
      </c>
      <c r="E681" s="49" t="s">
        <v>3754</v>
      </c>
      <c r="F681" s="49"/>
      <c r="G681" s="49"/>
      <c r="H681" s="49" t="s">
        <v>7498</v>
      </c>
      <c r="I681" s="49" t="s">
        <v>7501</v>
      </c>
      <c r="J681" s="49" t="s">
        <v>7499</v>
      </c>
      <c r="K681" s="49" t="s">
        <v>7500</v>
      </c>
      <c r="L681" s="49">
        <v>0</v>
      </c>
      <c r="M681" s="49" t="s">
        <v>2220</v>
      </c>
      <c r="N681" s="49" t="s">
        <v>7502</v>
      </c>
      <c r="O681" s="49">
        <v>25</v>
      </c>
      <c r="P681" s="49" t="s">
        <v>7503</v>
      </c>
      <c r="Q681" s="49">
        <v>0</v>
      </c>
      <c r="R681" s="49" t="s">
        <v>7504</v>
      </c>
      <c r="S681" s="49" t="s">
        <v>7505</v>
      </c>
      <c r="T681" s="49" t="s">
        <v>7506</v>
      </c>
      <c r="U681" s="49" t="s">
        <v>655</v>
      </c>
      <c r="V681" s="49" t="e">
        <v>#REF!</v>
      </c>
      <c r="AC681" s="49"/>
      <c r="AD681" s="49"/>
    </row>
    <row r="682" spans="1:30" hidden="1" x14ac:dyDescent="0.3">
      <c r="A682" s="49" t="s">
        <v>7507</v>
      </c>
      <c r="B682" s="49">
        <v>0</v>
      </c>
      <c r="C682" s="49"/>
      <c r="D682" s="72" t="s">
        <v>644</v>
      </c>
      <c r="E682" s="49" t="s">
        <v>3754</v>
      </c>
      <c r="F682" s="49"/>
      <c r="G682" s="49"/>
      <c r="H682" s="49" t="s">
        <v>646</v>
      </c>
      <c r="I682" s="49" t="s">
        <v>7510</v>
      </c>
      <c r="J682" s="49" t="s">
        <v>7508</v>
      </c>
      <c r="K682" s="49" t="s">
        <v>7509</v>
      </c>
      <c r="L682" s="49">
        <v>0</v>
      </c>
      <c r="M682" s="49" t="s">
        <v>4114</v>
      </c>
      <c r="N682" s="49" t="s">
        <v>7511</v>
      </c>
      <c r="O682" s="49">
        <v>24</v>
      </c>
      <c r="P682" s="49" t="s">
        <v>7512</v>
      </c>
      <c r="Q682" s="49">
        <v>0</v>
      </c>
      <c r="R682" s="49" t="s">
        <v>7513</v>
      </c>
      <c r="S682" s="49" t="s">
        <v>7514</v>
      </c>
      <c r="T682" s="49" t="s">
        <v>646</v>
      </c>
      <c r="U682" s="49" t="s">
        <v>670</v>
      </c>
      <c r="V682" s="49" t="e">
        <v>#REF!</v>
      </c>
      <c r="AC682" s="49"/>
      <c r="AD682" s="49"/>
    </row>
    <row r="683" spans="1:30" hidden="1" x14ac:dyDescent="0.3">
      <c r="A683" s="49" t="s">
        <v>7515</v>
      </c>
      <c r="B683" s="49">
        <v>0</v>
      </c>
      <c r="C683" s="49"/>
      <c r="D683" s="72" t="s">
        <v>644</v>
      </c>
      <c r="E683" s="49" t="s">
        <v>3754</v>
      </c>
      <c r="F683" s="49"/>
      <c r="G683" s="49"/>
      <c r="H683" s="49" t="s">
        <v>7516</v>
      </c>
      <c r="I683" s="49" t="s">
        <v>7519</v>
      </c>
      <c r="J683" s="49" t="s">
        <v>7517</v>
      </c>
      <c r="K683" s="49" t="s">
        <v>7518</v>
      </c>
      <c r="L683" s="49">
        <v>0</v>
      </c>
      <c r="M683" s="49" t="s">
        <v>2484</v>
      </c>
      <c r="N683" s="49" t="s">
        <v>7520</v>
      </c>
      <c r="O683" s="49">
        <v>51</v>
      </c>
      <c r="P683" s="49" t="s">
        <v>7521</v>
      </c>
      <c r="Q683" s="49">
        <v>0</v>
      </c>
      <c r="R683" s="49" t="s">
        <v>7522</v>
      </c>
      <c r="S683" s="49" t="s">
        <v>7523</v>
      </c>
      <c r="T683" s="49" t="s">
        <v>7524</v>
      </c>
      <c r="U683" s="49" t="s">
        <v>655</v>
      </c>
      <c r="V683" s="49" t="e">
        <v>#REF!</v>
      </c>
      <c r="AC683" s="49"/>
      <c r="AD683" s="49"/>
    </row>
    <row r="684" spans="1:30" hidden="1" x14ac:dyDescent="0.3">
      <c r="A684" s="49" t="s">
        <v>7525</v>
      </c>
      <c r="B684" s="49">
        <v>0</v>
      </c>
      <c r="C684" s="49"/>
      <c r="D684" s="72" t="s">
        <v>644</v>
      </c>
      <c r="E684" s="49" t="s">
        <v>3754</v>
      </c>
      <c r="F684" s="49"/>
      <c r="G684" s="49"/>
      <c r="H684" s="49" t="s">
        <v>7526</v>
      </c>
      <c r="I684" s="49" t="s">
        <v>7529</v>
      </c>
      <c r="J684" s="49" t="s">
        <v>7527</v>
      </c>
      <c r="K684" s="49" t="s">
        <v>7528</v>
      </c>
      <c r="L684" s="49">
        <v>0</v>
      </c>
      <c r="M684" s="49" t="s">
        <v>1826</v>
      </c>
      <c r="N684" s="49" t="s">
        <v>3949</v>
      </c>
      <c r="P684" s="49" t="s">
        <v>7530</v>
      </c>
      <c r="Q684" s="49">
        <v>0</v>
      </c>
      <c r="R684" s="49" t="s">
        <v>7531</v>
      </c>
      <c r="S684" s="49" t="s">
        <v>7532</v>
      </c>
      <c r="T684" s="49" t="s">
        <v>7533</v>
      </c>
      <c r="U684" s="49" t="s">
        <v>655</v>
      </c>
      <c r="V684" s="49" t="e">
        <v>#REF!</v>
      </c>
      <c r="AC684" s="49"/>
      <c r="AD684" s="49"/>
    </row>
    <row r="685" spans="1:30" hidden="1" x14ac:dyDescent="0.3">
      <c r="A685" s="49" t="s">
        <v>7534</v>
      </c>
      <c r="B685" s="49">
        <v>0</v>
      </c>
      <c r="C685" s="49"/>
      <c r="D685" s="72" t="s">
        <v>644</v>
      </c>
      <c r="E685" s="49" t="s">
        <v>3754</v>
      </c>
      <c r="F685" s="49"/>
      <c r="G685" s="49"/>
      <c r="H685" s="49" t="s">
        <v>7535</v>
      </c>
      <c r="I685" s="49" t="s">
        <v>7538</v>
      </c>
      <c r="J685" s="49" t="s">
        <v>7536</v>
      </c>
      <c r="K685" s="49" t="s">
        <v>7537</v>
      </c>
      <c r="L685" s="49">
        <v>0</v>
      </c>
      <c r="M685" s="49" t="s">
        <v>2142</v>
      </c>
      <c r="N685" s="49" t="s">
        <v>6329</v>
      </c>
      <c r="O685" s="49">
        <v>2</v>
      </c>
      <c r="P685" s="49" t="s">
        <v>7539</v>
      </c>
      <c r="Q685" s="49">
        <v>0</v>
      </c>
      <c r="R685" s="49" t="s">
        <v>7540</v>
      </c>
      <c r="S685" s="49" t="s">
        <v>7541</v>
      </c>
      <c r="T685" s="49" t="s">
        <v>7542</v>
      </c>
      <c r="U685" s="49" t="s">
        <v>670</v>
      </c>
      <c r="V685" s="49" t="e">
        <v>#REF!</v>
      </c>
      <c r="AC685" s="49"/>
      <c r="AD685" s="49"/>
    </row>
    <row r="686" spans="1:30" hidden="1" x14ac:dyDescent="0.3">
      <c r="A686" s="49" t="s">
        <v>7543</v>
      </c>
      <c r="B686" s="49">
        <v>0</v>
      </c>
      <c r="C686" s="49"/>
      <c r="D686" s="72" t="s">
        <v>644</v>
      </c>
      <c r="E686" s="49" t="s">
        <v>3754</v>
      </c>
      <c r="F686" s="49"/>
      <c r="G686" s="49"/>
      <c r="H686" s="49" t="s">
        <v>646</v>
      </c>
      <c r="I686" s="49" t="s">
        <v>7546</v>
      </c>
      <c r="J686" s="49" t="s">
        <v>7544</v>
      </c>
      <c r="K686" s="49" t="s">
        <v>7545</v>
      </c>
      <c r="L686" s="49">
        <v>0</v>
      </c>
      <c r="M686" s="49" t="s">
        <v>3570</v>
      </c>
      <c r="N686" s="49" t="s">
        <v>7547</v>
      </c>
      <c r="P686" s="49" t="s">
        <v>7548</v>
      </c>
      <c r="Q686" s="49">
        <v>0</v>
      </c>
      <c r="R686" s="49" t="s">
        <v>7549</v>
      </c>
      <c r="S686" s="49" t="s">
        <v>7550</v>
      </c>
      <c r="T686" s="49" t="s">
        <v>7551</v>
      </c>
      <c r="U686" s="49" t="s">
        <v>670</v>
      </c>
      <c r="V686" s="49" t="e">
        <v>#REF!</v>
      </c>
      <c r="AC686" s="49"/>
      <c r="AD686" s="49"/>
    </row>
    <row r="687" spans="1:30" hidden="1" x14ac:dyDescent="0.3">
      <c r="A687" s="49" t="s">
        <v>7552</v>
      </c>
      <c r="B687" s="49">
        <v>0</v>
      </c>
      <c r="C687" s="49"/>
      <c r="D687" s="72" t="s">
        <v>644</v>
      </c>
      <c r="E687" s="49" t="s">
        <v>3754</v>
      </c>
      <c r="F687" s="49"/>
      <c r="G687" s="49"/>
      <c r="H687" s="49" t="s">
        <v>646</v>
      </c>
      <c r="I687" s="49" t="s">
        <v>7555</v>
      </c>
      <c r="J687" s="49" t="s">
        <v>7553</v>
      </c>
      <c r="K687" s="49" t="s">
        <v>7554</v>
      </c>
      <c r="L687" s="49">
        <v>0</v>
      </c>
      <c r="M687" s="49" t="s">
        <v>2220</v>
      </c>
      <c r="N687" s="49" t="s">
        <v>7556</v>
      </c>
      <c r="O687" s="49">
        <v>12</v>
      </c>
      <c r="P687" s="49" t="s">
        <v>7557</v>
      </c>
      <c r="Q687" s="49">
        <v>0</v>
      </c>
      <c r="R687" s="49" t="s">
        <v>7558</v>
      </c>
      <c r="S687" s="49" t="s">
        <v>7559</v>
      </c>
      <c r="T687" s="49" t="s">
        <v>7560</v>
      </c>
      <c r="U687" s="49" t="s">
        <v>655</v>
      </c>
      <c r="V687" s="49" t="e">
        <v>#REF!</v>
      </c>
      <c r="AC687" s="49"/>
      <c r="AD687" s="49"/>
    </row>
    <row r="688" spans="1:30" hidden="1" x14ac:dyDescent="0.3">
      <c r="A688" s="49" t="s">
        <v>7561</v>
      </c>
      <c r="B688" s="49">
        <v>0</v>
      </c>
      <c r="C688" s="49"/>
      <c r="D688" s="72" t="s">
        <v>644</v>
      </c>
      <c r="E688" s="49" t="s">
        <v>3754</v>
      </c>
      <c r="F688" s="49"/>
      <c r="G688" s="49"/>
      <c r="H688" s="49" t="s">
        <v>7562</v>
      </c>
      <c r="I688" s="49" t="s">
        <v>7565</v>
      </c>
      <c r="J688" s="49" t="s">
        <v>7563</v>
      </c>
      <c r="K688" s="49" t="s">
        <v>7564</v>
      </c>
      <c r="L688" s="49">
        <v>0</v>
      </c>
      <c r="M688" s="49" t="s">
        <v>2142</v>
      </c>
      <c r="N688" s="49" t="s">
        <v>7566</v>
      </c>
      <c r="O688" s="49">
        <v>12</v>
      </c>
      <c r="P688" s="49" t="s">
        <v>7567</v>
      </c>
      <c r="Q688" s="49">
        <v>0</v>
      </c>
      <c r="R688" s="49" t="s">
        <v>7568</v>
      </c>
      <c r="S688" s="49" t="s">
        <v>7569</v>
      </c>
      <c r="T688" s="49" t="s">
        <v>646</v>
      </c>
      <c r="U688" s="49" t="s">
        <v>655</v>
      </c>
      <c r="V688" s="49" t="e">
        <v>#REF!</v>
      </c>
      <c r="AC688" s="49"/>
      <c r="AD688" s="49"/>
    </row>
    <row r="689" spans="1:30" hidden="1" x14ac:dyDescent="0.3">
      <c r="A689" s="49" t="s">
        <v>1276</v>
      </c>
      <c r="B689" s="49">
        <v>0</v>
      </c>
      <c r="C689" s="49"/>
      <c r="D689" s="72" t="s">
        <v>644</v>
      </c>
      <c r="E689" s="49" t="s">
        <v>3754</v>
      </c>
      <c r="F689" s="49"/>
      <c r="G689" s="49"/>
      <c r="H689" s="49" t="s">
        <v>1278</v>
      </c>
      <c r="I689" s="49" t="s">
        <v>1279</v>
      </c>
      <c r="J689" s="49" t="s">
        <v>7570</v>
      </c>
      <c r="K689" s="49" t="s">
        <v>1281</v>
      </c>
      <c r="L689" s="49">
        <v>0</v>
      </c>
      <c r="M689" s="49" t="s">
        <v>1826</v>
      </c>
      <c r="N689" s="49" t="s">
        <v>687</v>
      </c>
      <c r="O689" s="49">
        <v>1</v>
      </c>
      <c r="P689" s="49" t="s">
        <v>1282</v>
      </c>
      <c r="Q689" s="49">
        <v>0</v>
      </c>
      <c r="R689" s="49" t="s">
        <v>1283</v>
      </c>
      <c r="S689" s="49" t="s">
        <v>1284</v>
      </c>
      <c r="T689" s="49" t="s">
        <v>646</v>
      </c>
      <c r="U689" s="49" t="s">
        <v>670</v>
      </c>
      <c r="V689" s="49" t="e">
        <v>#REF!</v>
      </c>
      <c r="AC689" s="49"/>
      <c r="AD689" s="49"/>
    </row>
    <row r="690" spans="1:30" hidden="1" x14ac:dyDescent="0.3">
      <c r="A690" s="49" t="s">
        <v>7571</v>
      </c>
      <c r="B690" s="49">
        <v>0</v>
      </c>
      <c r="C690" s="49"/>
      <c r="D690" s="72" t="s">
        <v>644</v>
      </c>
      <c r="E690" s="49" t="s">
        <v>3754</v>
      </c>
      <c r="F690" s="49"/>
      <c r="G690" s="49"/>
      <c r="H690" s="49" t="s">
        <v>7572</v>
      </c>
      <c r="I690" s="49" t="s">
        <v>7575</v>
      </c>
      <c r="J690" s="49" t="s">
        <v>7573</v>
      </c>
      <c r="K690" s="49" t="s">
        <v>7574</v>
      </c>
      <c r="L690" s="49">
        <v>0</v>
      </c>
      <c r="M690" s="49" t="s">
        <v>2456</v>
      </c>
      <c r="N690" s="49" t="s">
        <v>4410</v>
      </c>
      <c r="O690" s="49">
        <v>18</v>
      </c>
      <c r="P690" s="49" t="s">
        <v>7576</v>
      </c>
      <c r="Q690" s="49">
        <v>0</v>
      </c>
      <c r="R690" s="49" t="s">
        <v>7577</v>
      </c>
      <c r="S690" s="49" t="s">
        <v>7578</v>
      </c>
      <c r="T690" s="49" t="s">
        <v>7579</v>
      </c>
      <c r="U690" s="49" t="s">
        <v>670</v>
      </c>
      <c r="V690" s="49" t="e">
        <v>#REF!</v>
      </c>
      <c r="AC690" s="49"/>
      <c r="AD690" s="49"/>
    </row>
    <row r="691" spans="1:30" hidden="1" x14ac:dyDescent="0.3">
      <c r="A691" s="49" t="s">
        <v>7580</v>
      </c>
      <c r="B691" s="49">
        <v>0</v>
      </c>
      <c r="C691" s="49"/>
      <c r="D691" s="72" t="s">
        <v>644</v>
      </c>
      <c r="E691" s="49" t="s">
        <v>3754</v>
      </c>
      <c r="F691" s="49"/>
      <c r="G691" s="49"/>
      <c r="H691" s="49" t="s">
        <v>7581</v>
      </c>
      <c r="I691" s="49" t="s">
        <v>7584</v>
      </c>
      <c r="J691" s="49" t="s">
        <v>7582</v>
      </c>
      <c r="K691" s="49" t="s">
        <v>7583</v>
      </c>
      <c r="L691" s="49">
        <v>0</v>
      </c>
      <c r="M691" s="49" t="s">
        <v>2484</v>
      </c>
      <c r="N691" s="49" t="s">
        <v>7585</v>
      </c>
      <c r="O691" s="49">
        <v>24</v>
      </c>
      <c r="P691" s="49" t="s">
        <v>7586</v>
      </c>
      <c r="Q691" s="49">
        <v>0</v>
      </c>
      <c r="R691" s="49" t="s">
        <v>7587</v>
      </c>
      <c r="S691" s="49" t="s">
        <v>7588</v>
      </c>
      <c r="T691" s="49" t="s">
        <v>7589</v>
      </c>
      <c r="U691" s="49" t="s">
        <v>655</v>
      </c>
      <c r="V691" s="49" t="e">
        <v>#REF!</v>
      </c>
      <c r="AC691" s="49"/>
      <c r="AD691" s="49"/>
    </row>
    <row r="692" spans="1:30" hidden="1" x14ac:dyDescent="0.3">
      <c r="A692" s="49" t="s">
        <v>7590</v>
      </c>
      <c r="B692" s="49">
        <v>0</v>
      </c>
      <c r="C692" s="49"/>
      <c r="D692" s="72" t="s">
        <v>644</v>
      </c>
      <c r="E692" s="49" t="s">
        <v>3754</v>
      </c>
      <c r="F692" s="49"/>
      <c r="G692" s="49"/>
      <c r="H692" s="49" t="s">
        <v>7591</v>
      </c>
      <c r="I692" s="49" t="s">
        <v>7594</v>
      </c>
      <c r="J692" s="49" t="s">
        <v>7592</v>
      </c>
      <c r="K692" s="49" t="s">
        <v>7593</v>
      </c>
      <c r="L692" s="49">
        <v>0</v>
      </c>
      <c r="M692" s="49" t="s">
        <v>2456</v>
      </c>
      <c r="N692" s="49" t="s">
        <v>7595</v>
      </c>
      <c r="O692" s="49">
        <v>32</v>
      </c>
      <c r="P692" s="49" t="s">
        <v>7596</v>
      </c>
      <c r="Q692" s="49">
        <v>0</v>
      </c>
      <c r="R692" s="49" t="s">
        <v>7597</v>
      </c>
      <c r="S692" s="49" t="s">
        <v>7598</v>
      </c>
      <c r="T692" s="49" t="s">
        <v>7599</v>
      </c>
      <c r="U692" s="49" t="s">
        <v>655</v>
      </c>
      <c r="V692" s="49" t="e">
        <v>#REF!</v>
      </c>
      <c r="AC692" s="49"/>
      <c r="AD692" s="49"/>
    </row>
    <row r="693" spans="1:30" hidden="1" x14ac:dyDescent="0.3">
      <c r="A693" s="49" t="s">
        <v>7600</v>
      </c>
      <c r="B693" s="49">
        <v>0</v>
      </c>
      <c r="C693" s="49"/>
      <c r="D693" s="72" t="s">
        <v>644</v>
      </c>
      <c r="E693" s="49" t="s">
        <v>3754</v>
      </c>
      <c r="F693" s="49"/>
      <c r="G693" s="49"/>
      <c r="H693" s="49" t="s">
        <v>7601</v>
      </c>
      <c r="I693" s="49" t="s">
        <v>7604</v>
      </c>
      <c r="J693" s="49" t="s">
        <v>7602</v>
      </c>
      <c r="K693" s="49" t="s">
        <v>7603</v>
      </c>
      <c r="L693" s="49">
        <v>0</v>
      </c>
      <c r="M693" s="49" t="s">
        <v>1826</v>
      </c>
      <c r="N693" s="49" t="s">
        <v>7605</v>
      </c>
      <c r="O693" s="49">
        <v>3</v>
      </c>
      <c r="P693" s="49" t="s">
        <v>7606</v>
      </c>
      <c r="Q693" s="49">
        <v>0</v>
      </c>
      <c r="R693" s="49" t="s">
        <v>7607</v>
      </c>
      <c r="S693" s="49" t="s">
        <v>7608</v>
      </c>
      <c r="T693" s="49" t="s">
        <v>7609</v>
      </c>
      <c r="U693" s="49" t="s">
        <v>655</v>
      </c>
      <c r="V693" s="49" t="e">
        <v>#REF!</v>
      </c>
      <c r="AC693" s="49"/>
      <c r="AD693" s="49"/>
    </row>
    <row r="694" spans="1:30" hidden="1" x14ac:dyDescent="0.3">
      <c r="A694" s="49" t="s">
        <v>7610</v>
      </c>
      <c r="B694" s="49">
        <v>0</v>
      </c>
      <c r="C694" s="49"/>
      <c r="D694" s="72" t="s">
        <v>644</v>
      </c>
      <c r="E694" s="49" t="s">
        <v>3754</v>
      </c>
      <c r="F694" s="49"/>
      <c r="G694" s="49"/>
      <c r="H694" s="49" t="s">
        <v>7611</v>
      </c>
      <c r="I694" s="49" t="s">
        <v>7614</v>
      </c>
      <c r="J694" s="49" t="s">
        <v>7612</v>
      </c>
      <c r="K694" s="49" t="s">
        <v>7613</v>
      </c>
      <c r="L694" s="49">
        <v>0</v>
      </c>
      <c r="M694" s="49" t="s">
        <v>1826</v>
      </c>
      <c r="N694" s="49" t="s">
        <v>2555</v>
      </c>
      <c r="O694" s="49">
        <v>5</v>
      </c>
      <c r="P694" s="49" t="s">
        <v>7615</v>
      </c>
      <c r="Q694" s="49">
        <v>0</v>
      </c>
      <c r="R694" s="49" t="s">
        <v>7616</v>
      </c>
      <c r="S694" s="49" t="s">
        <v>7617</v>
      </c>
      <c r="T694" s="49" t="s">
        <v>7618</v>
      </c>
      <c r="U694" s="49" t="s">
        <v>655</v>
      </c>
      <c r="V694" s="49" t="e">
        <v>#REF!</v>
      </c>
      <c r="AC694" s="49"/>
      <c r="AD694" s="49"/>
    </row>
    <row r="695" spans="1:30" hidden="1" x14ac:dyDescent="0.3">
      <c r="A695" s="49" t="s">
        <v>7619</v>
      </c>
      <c r="B695" s="49">
        <v>0</v>
      </c>
      <c r="C695" s="49"/>
      <c r="D695" s="72" t="s">
        <v>644</v>
      </c>
      <c r="E695" s="49" t="s">
        <v>3754</v>
      </c>
      <c r="F695" s="49"/>
      <c r="G695" s="49"/>
      <c r="H695" s="49" t="s">
        <v>7620</v>
      </c>
      <c r="I695" s="49" t="s">
        <v>7623</v>
      </c>
      <c r="J695" s="49" t="s">
        <v>7621</v>
      </c>
      <c r="K695" s="49" t="s">
        <v>7622</v>
      </c>
      <c r="L695" s="49">
        <v>0</v>
      </c>
      <c r="M695" s="49" t="s">
        <v>1865</v>
      </c>
      <c r="N695" s="49" t="s">
        <v>7624</v>
      </c>
      <c r="O695" s="49">
        <v>7</v>
      </c>
      <c r="P695" s="49" t="s">
        <v>7625</v>
      </c>
      <c r="Q695" s="49">
        <v>0</v>
      </c>
      <c r="R695" s="49" t="s">
        <v>7626</v>
      </c>
      <c r="S695" s="49" t="s">
        <v>7627</v>
      </c>
      <c r="T695" s="49" t="s">
        <v>7628</v>
      </c>
      <c r="U695" s="49" t="s">
        <v>655</v>
      </c>
      <c r="V695" s="49" t="e">
        <v>#REF!</v>
      </c>
      <c r="AC695" s="49"/>
      <c r="AD695" s="49"/>
    </row>
    <row r="696" spans="1:30" hidden="1" x14ac:dyDescent="0.3">
      <c r="A696" s="49" t="s">
        <v>7629</v>
      </c>
      <c r="B696" s="49">
        <v>0</v>
      </c>
      <c r="C696" s="49"/>
      <c r="D696" s="72" t="s">
        <v>644</v>
      </c>
      <c r="E696" s="49" t="s">
        <v>3754</v>
      </c>
      <c r="F696" s="49"/>
      <c r="G696" s="49"/>
      <c r="H696" s="49" t="s">
        <v>7630</v>
      </c>
      <c r="I696" s="49" t="s">
        <v>7633</v>
      </c>
      <c r="J696" s="49" t="s">
        <v>7631</v>
      </c>
      <c r="K696" s="49" t="s">
        <v>7632</v>
      </c>
      <c r="L696" s="49">
        <v>0</v>
      </c>
      <c r="M696" s="49" t="s">
        <v>4114</v>
      </c>
      <c r="N696" s="49" t="s">
        <v>7634</v>
      </c>
      <c r="O696" s="49">
        <v>102</v>
      </c>
      <c r="P696" s="49" t="s">
        <v>7635</v>
      </c>
      <c r="Q696" s="49">
        <v>0</v>
      </c>
      <c r="R696" s="49" t="s">
        <v>7636</v>
      </c>
      <c r="S696" s="49" t="s">
        <v>7637</v>
      </c>
      <c r="T696" s="49" t="s">
        <v>7638</v>
      </c>
      <c r="U696" s="49" t="s">
        <v>655</v>
      </c>
      <c r="V696" s="49" t="e">
        <v>#REF!</v>
      </c>
      <c r="AC696" s="49"/>
      <c r="AD696" s="49"/>
    </row>
    <row r="697" spans="1:30" hidden="1" x14ac:dyDescent="0.3">
      <c r="A697" s="49" t="s">
        <v>7639</v>
      </c>
      <c r="B697" s="49">
        <v>0</v>
      </c>
      <c r="C697" s="49"/>
      <c r="D697" s="72" t="s">
        <v>644</v>
      </c>
      <c r="E697" s="49" t="s">
        <v>3754</v>
      </c>
      <c r="F697" s="49"/>
      <c r="G697" s="49"/>
      <c r="H697" s="49" t="s">
        <v>7640</v>
      </c>
      <c r="I697" s="49" t="s">
        <v>7643</v>
      </c>
      <c r="J697" s="49" t="s">
        <v>7641</v>
      </c>
      <c r="K697" s="49" t="s">
        <v>7642</v>
      </c>
      <c r="L697" s="49">
        <v>0</v>
      </c>
      <c r="M697" s="49" t="s">
        <v>1764</v>
      </c>
      <c r="N697" s="49" t="s">
        <v>7644</v>
      </c>
      <c r="O697" s="49">
        <v>29</v>
      </c>
      <c r="P697" s="49" t="s">
        <v>7645</v>
      </c>
      <c r="Q697" s="49">
        <v>0</v>
      </c>
      <c r="R697" s="49" t="s">
        <v>7646</v>
      </c>
      <c r="S697" s="49" t="s">
        <v>7647</v>
      </c>
      <c r="T697" s="49" t="s">
        <v>7648</v>
      </c>
      <c r="U697" s="49" t="s">
        <v>655</v>
      </c>
      <c r="V697" s="49" t="e">
        <v>#REF!</v>
      </c>
      <c r="AC697" s="49"/>
      <c r="AD697" s="49"/>
    </row>
    <row r="698" spans="1:30" hidden="1" x14ac:dyDescent="0.3">
      <c r="A698" s="49" t="s">
        <v>7649</v>
      </c>
      <c r="B698" s="49">
        <v>0</v>
      </c>
      <c r="C698" s="49"/>
      <c r="D698" s="72" t="s">
        <v>644</v>
      </c>
      <c r="E698" s="49" t="s">
        <v>3754</v>
      </c>
      <c r="F698" s="49"/>
      <c r="G698" s="49"/>
      <c r="H698" s="49" t="s">
        <v>7650</v>
      </c>
      <c r="I698" s="49" t="s">
        <v>7653</v>
      </c>
      <c r="J698" s="49" t="s">
        <v>7651</v>
      </c>
      <c r="K698" s="49" t="s">
        <v>7652</v>
      </c>
      <c r="L698" s="49">
        <v>0</v>
      </c>
      <c r="M698" s="49" t="s">
        <v>2636</v>
      </c>
      <c r="N698" s="49" t="s">
        <v>6291</v>
      </c>
      <c r="O698" s="49">
        <v>14</v>
      </c>
      <c r="P698" s="49" t="s">
        <v>7654</v>
      </c>
      <c r="Q698" s="49">
        <v>0</v>
      </c>
      <c r="R698" s="49" t="s">
        <v>7655</v>
      </c>
      <c r="S698" s="49" t="s">
        <v>7656</v>
      </c>
      <c r="T698" s="49" t="s">
        <v>7657</v>
      </c>
      <c r="U698" s="49" t="s">
        <v>670</v>
      </c>
      <c r="V698" s="49" t="e">
        <v>#REF!</v>
      </c>
      <c r="AC698" s="49"/>
      <c r="AD698" s="49"/>
    </row>
    <row r="699" spans="1:30" hidden="1" x14ac:dyDescent="0.3">
      <c r="A699" s="49" t="s">
        <v>7658</v>
      </c>
      <c r="B699" s="49">
        <v>0</v>
      </c>
      <c r="C699" s="49"/>
      <c r="D699" s="72" t="s">
        <v>644</v>
      </c>
      <c r="E699" s="49" t="s">
        <v>3754</v>
      </c>
      <c r="F699" s="49"/>
      <c r="G699" s="49"/>
      <c r="H699" s="49" t="s">
        <v>7659</v>
      </c>
      <c r="I699" s="49" t="s">
        <v>7662</v>
      </c>
      <c r="J699" s="49" t="s">
        <v>7660</v>
      </c>
      <c r="K699" s="49" t="s">
        <v>7661</v>
      </c>
      <c r="L699" s="49">
        <v>0</v>
      </c>
      <c r="M699" s="49" t="s">
        <v>1826</v>
      </c>
      <c r="N699" s="49" t="s">
        <v>7663</v>
      </c>
      <c r="O699" s="49">
        <v>3</v>
      </c>
      <c r="P699" s="49" t="s">
        <v>7664</v>
      </c>
      <c r="Q699" s="49">
        <v>0</v>
      </c>
      <c r="R699" s="49" t="s">
        <v>1153</v>
      </c>
      <c r="S699" s="49" t="s">
        <v>7665</v>
      </c>
      <c r="T699" s="49" t="s">
        <v>646</v>
      </c>
      <c r="U699" s="49" t="s">
        <v>670</v>
      </c>
      <c r="V699" s="49" t="e">
        <v>#REF!</v>
      </c>
      <c r="AC699" s="49"/>
      <c r="AD699" s="49"/>
    </row>
    <row r="700" spans="1:30" hidden="1" x14ac:dyDescent="0.3">
      <c r="A700" s="49" t="s">
        <v>7666</v>
      </c>
      <c r="B700" s="49">
        <v>0</v>
      </c>
      <c r="C700" s="49"/>
      <c r="D700" s="72" t="s">
        <v>644</v>
      </c>
      <c r="E700" s="49" t="s">
        <v>3754</v>
      </c>
      <c r="F700" s="49"/>
      <c r="G700" s="49"/>
      <c r="H700" s="49" t="s">
        <v>7667</v>
      </c>
      <c r="I700" s="49" t="s">
        <v>7670</v>
      </c>
      <c r="J700" s="49" t="s">
        <v>7668</v>
      </c>
      <c r="K700" s="49" t="s">
        <v>7669</v>
      </c>
      <c r="L700" s="49">
        <v>0</v>
      </c>
      <c r="M700" s="49" t="s">
        <v>2456</v>
      </c>
      <c r="N700" s="49" t="s">
        <v>7671</v>
      </c>
      <c r="P700" s="49" t="s">
        <v>7672</v>
      </c>
      <c r="Q700" s="49">
        <v>0</v>
      </c>
      <c r="R700" s="49" t="s">
        <v>7673</v>
      </c>
      <c r="S700" s="49" t="s">
        <v>7674</v>
      </c>
      <c r="T700" s="49" t="s">
        <v>7675</v>
      </c>
      <c r="U700" s="49" t="s">
        <v>670</v>
      </c>
      <c r="V700" s="49" t="e">
        <v>#REF!</v>
      </c>
      <c r="AC700" s="49"/>
      <c r="AD700" s="49"/>
    </row>
    <row r="701" spans="1:30" hidden="1" x14ac:dyDescent="0.3">
      <c r="A701" s="49" t="s">
        <v>1163</v>
      </c>
      <c r="B701" s="49">
        <v>0</v>
      </c>
      <c r="C701" s="49"/>
      <c r="D701" s="72" t="s">
        <v>644</v>
      </c>
      <c r="E701" s="49" t="s">
        <v>3754</v>
      </c>
      <c r="F701" s="49"/>
      <c r="G701" s="49"/>
      <c r="H701" s="49" t="s">
        <v>1165</v>
      </c>
      <c r="I701" s="49" t="s">
        <v>728</v>
      </c>
      <c r="J701" s="49" t="s">
        <v>729</v>
      </c>
      <c r="K701" s="49" t="s">
        <v>1166</v>
      </c>
      <c r="L701" s="49">
        <v>0</v>
      </c>
      <c r="M701" s="49" t="s">
        <v>1865</v>
      </c>
      <c r="N701" s="49" t="s">
        <v>1167</v>
      </c>
      <c r="P701" s="49" t="s">
        <v>1168</v>
      </c>
      <c r="Q701" s="49">
        <v>0</v>
      </c>
      <c r="R701" s="49" t="s">
        <v>1169</v>
      </c>
      <c r="S701" s="49" t="s">
        <v>1170</v>
      </c>
      <c r="T701" s="49" t="s">
        <v>646</v>
      </c>
      <c r="U701" s="49" t="s">
        <v>670</v>
      </c>
      <c r="V701" s="49" t="e">
        <v>#REF!</v>
      </c>
      <c r="AC701" s="49"/>
      <c r="AD701" s="49"/>
    </row>
    <row r="702" spans="1:30" hidden="1" x14ac:dyDescent="0.3">
      <c r="A702" s="49" t="s">
        <v>7676</v>
      </c>
      <c r="B702" s="49">
        <v>0</v>
      </c>
      <c r="C702" s="49"/>
      <c r="D702" s="72" t="s">
        <v>644</v>
      </c>
      <c r="E702" s="49" t="s">
        <v>3754</v>
      </c>
      <c r="F702" s="49"/>
      <c r="G702" s="49"/>
      <c r="H702" s="49" t="s">
        <v>7677</v>
      </c>
      <c r="I702" s="49" t="s">
        <v>7680</v>
      </c>
      <c r="J702" s="49" t="s">
        <v>7678</v>
      </c>
      <c r="K702" s="49" t="s">
        <v>7679</v>
      </c>
      <c r="L702" s="49">
        <v>0</v>
      </c>
      <c r="M702" s="49" t="s">
        <v>1777</v>
      </c>
      <c r="N702" s="49" t="s">
        <v>7681</v>
      </c>
      <c r="P702" s="49" t="s">
        <v>7682</v>
      </c>
      <c r="Q702" s="49">
        <v>0</v>
      </c>
      <c r="R702" s="49" t="s">
        <v>7683</v>
      </c>
      <c r="S702" s="49" t="s">
        <v>7684</v>
      </c>
      <c r="T702" s="49" t="s">
        <v>7685</v>
      </c>
      <c r="U702" s="49" t="s">
        <v>655</v>
      </c>
      <c r="V702" s="49" t="e">
        <v>#REF!</v>
      </c>
      <c r="AC702" s="49"/>
      <c r="AD702" s="49"/>
    </row>
    <row r="703" spans="1:30" hidden="1" x14ac:dyDescent="0.3">
      <c r="A703" s="49" t="s">
        <v>7686</v>
      </c>
      <c r="B703" s="49">
        <v>0</v>
      </c>
      <c r="C703" s="49"/>
      <c r="D703" s="72" t="s">
        <v>644</v>
      </c>
      <c r="E703" s="49" t="s">
        <v>3754</v>
      </c>
      <c r="F703" s="49"/>
      <c r="G703" s="49"/>
      <c r="H703" s="49" t="s">
        <v>7687</v>
      </c>
      <c r="I703" s="49" t="s">
        <v>7690</v>
      </c>
      <c r="J703" s="49" t="s">
        <v>7688</v>
      </c>
      <c r="K703" s="49" t="s">
        <v>7689</v>
      </c>
      <c r="L703" s="49">
        <v>0</v>
      </c>
      <c r="M703" s="49" t="s">
        <v>2142</v>
      </c>
      <c r="N703" s="49" t="s">
        <v>7691</v>
      </c>
      <c r="O703" s="49">
        <v>1</v>
      </c>
      <c r="P703" s="49" t="s">
        <v>7692</v>
      </c>
      <c r="Q703" s="49">
        <v>0</v>
      </c>
      <c r="R703" s="49" t="s">
        <v>7693</v>
      </c>
      <c r="S703" s="49" t="s">
        <v>7694</v>
      </c>
      <c r="T703" s="49" t="s">
        <v>7695</v>
      </c>
      <c r="U703" s="49" t="s">
        <v>655</v>
      </c>
      <c r="V703" s="49" t="e">
        <v>#REF!</v>
      </c>
      <c r="AC703" s="49"/>
      <c r="AD703" s="49"/>
    </row>
    <row r="704" spans="1:30" hidden="1" x14ac:dyDescent="0.3">
      <c r="A704" s="49" t="s">
        <v>7696</v>
      </c>
      <c r="B704" s="49">
        <v>0</v>
      </c>
      <c r="C704" s="49"/>
      <c r="D704" s="72" t="s">
        <v>644</v>
      </c>
      <c r="E704" s="49" t="s">
        <v>3754</v>
      </c>
      <c r="F704" s="49"/>
      <c r="G704" s="49"/>
      <c r="H704" s="49" t="s">
        <v>7697</v>
      </c>
      <c r="I704" s="49" t="s">
        <v>7700</v>
      </c>
      <c r="J704" s="49" t="s">
        <v>7698</v>
      </c>
      <c r="K704" s="49" t="s">
        <v>7699</v>
      </c>
      <c r="L704" s="49">
        <v>0</v>
      </c>
      <c r="M704" s="49" t="s">
        <v>2456</v>
      </c>
      <c r="N704" s="49" t="s">
        <v>959</v>
      </c>
      <c r="O704" s="49">
        <v>4</v>
      </c>
      <c r="P704" s="49" t="s">
        <v>7701</v>
      </c>
      <c r="Q704" s="49">
        <v>0</v>
      </c>
      <c r="R704" s="49" t="s">
        <v>7702</v>
      </c>
      <c r="S704" s="49" t="s">
        <v>7703</v>
      </c>
      <c r="T704" s="49" t="s">
        <v>7704</v>
      </c>
      <c r="U704" s="49" t="s">
        <v>670</v>
      </c>
      <c r="V704" s="49" t="e">
        <v>#REF!</v>
      </c>
      <c r="AC704" s="49"/>
      <c r="AD704" s="49"/>
    </row>
    <row r="705" spans="1:30" hidden="1" x14ac:dyDescent="0.3">
      <c r="A705" s="49" t="s">
        <v>7705</v>
      </c>
      <c r="B705" s="49">
        <v>0</v>
      </c>
      <c r="C705" s="49"/>
      <c r="D705" s="72" t="s">
        <v>644</v>
      </c>
      <c r="E705" s="49" t="s">
        <v>3754</v>
      </c>
      <c r="F705" s="49"/>
      <c r="G705" s="49"/>
      <c r="H705" s="49" t="s">
        <v>7706</v>
      </c>
      <c r="I705" s="49" t="s">
        <v>7709</v>
      </c>
      <c r="J705" s="49" t="s">
        <v>7707</v>
      </c>
      <c r="K705" s="49" t="s">
        <v>7708</v>
      </c>
      <c r="L705" s="49">
        <v>0</v>
      </c>
      <c r="M705" s="49" t="s">
        <v>1826</v>
      </c>
      <c r="N705" s="49" t="s">
        <v>7710</v>
      </c>
      <c r="O705" s="49">
        <v>7</v>
      </c>
      <c r="P705" s="49" t="s">
        <v>7711</v>
      </c>
      <c r="Q705" s="49">
        <v>0</v>
      </c>
      <c r="R705" s="49" t="s">
        <v>7712</v>
      </c>
      <c r="S705" s="49" t="s">
        <v>7713</v>
      </c>
      <c r="T705" s="49" t="s">
        <v>7714</v>
      </c>
      <c r="U705" s="49" t="s">
        <v>655</v>
      </c>
      <c r="V705" s="49" t="e">
        <v>#REF!</v>
      </c>
      <c r="AC705" s="49"/>
      <c r="AD705" s="49"/>
    </row>
    <row r="706" spans="1:30" hidden="1" x14ac:dyDescent="0.3">
      <c r="A706" s="49" t="s">
        <v>7715</v>
      </c>
      <c r="B706" s="49">
        <v>0</v>
      </c>
      <c r="C706" s="49"/>
      <c r="D706" s="72" t="s">
        <v>644</v>
      </c>
      <c r="E706" s="49" t="s">
        <v>3754</v>
      </c>
      <c r="F706" s="49"/>
      <c r="G706" s="49"/>
      <c r="H706" s="49" t="s">
        <v>646</v>
      </c>
      <c r="I706" s="49" t="s">
        <v>7718</v>
      </c>
      <c r="J706" s="49" t="s">
        <v>7716</v>
      </c>
      <c r="K706" s="49" t="s">
        <v>7717</v>
      </c>
      <c r="L706" s="49">
        <v>0</v>
      </c>
      <c r="M706" s="49" t="s">
        <v>2220</v>
      </c>
      <c r="N706" s="49" t="s">
        <v>7719</v>
      </c>
      <c r="O706" s="49">
        <v>2</v>
      </c>
      <c r="P706" s="49" t="s">
        <v>7720</v>
      </c>
      <c r="Q706" s="49">
        <v>0</v>
      </c>
      <c r="R706" s="49" t="s">
        <v>7721</v>
      </c>
      <c r="S706" s="49" t="s">
        <v>7722</v>
      </c>
      <c r="T706" s="49" t="s">
        <v>7723</v>
      </c>
      <c r="U706" s="49" t="s">
        <v>670</v>
      </c>
      <c r="V706" s="49" t="e">
        <v>#REF!</v>
      </c>
      <c r="AC706" s="49"/>
      <c r="AD706" s="49"/>
    </row>
    <row r="707" spans="1:30" hidden="1" x14ac:dyDescent="0.3">
      <c r="A707" s="49" t="s">
        <v>7724</v>
      </c>
      <c r="B707" s="49">
        <v>0</v>
      </c>
      <c r="C707" s="49"/>
      <c r="D707" s="72" t="s">
        <v>644</v>
      </c>
      <c r="E707" s="49" t="s">
        <v>3754</v>
      </c>
      <c r="F707" s="49"/>
      <c r="G707" s="49"/>
      <c r="H707" s="49" t="s">
        <v>646</v>
      </c>
      <c r="I707" s="49" t="s">
        <v>7727</v>
      </c>
      <c r="J707" s="49" t="s">
        <v>7725</v>
      </c>
      <c r="K707" s="49" t="s">
        <v>7726</v>
      </c>
      <c r="L707" s="49">
        <v>0</v>
      </c>
      <c r="M707" s="49" t="s">
        <v>2484</v>
      </c>
      <c r="N707" s="49" t="s">
        <v>6329</v>
      </c>
      <c r="O707" s="49">
        <v>1</v>
      </c>
      <c r="P707" s="49" t="s">
        <v>7728</v>
      </c>
      <c r="Q707" s="49">
        <v>0</v>
      </c>
      <c r="R707" s="49" t="s">
        <v>6331</v>
      </c>
      <c r="S707" s="49" t="s">
        <v>7729</v>
      </c>
      <c r="T707" s="49" t="s">
        <v>646</v>
      </c>
      <c r="U707" s="49" t="s">
        <v>670</v>
      </c>
      <c r="V707" s="49" t="e">
        <v>#REF!</v>
      </c>
      <c r="AC707" s="49"/>
      <c r="AD707" s="49"/>
    </row>
    <row r="708" spans="1:30" hidden="1" x14ac:dyDescent="0.3">
      <c r="A708" s="49" t="s">
        <v>7730</v>
      </c>
      <c r="B708" s="49">
        <v>0</v>
      </c>
      <c r="C708" s="49"/>
      <c r="D708" s="72" t="s">
        <v>644</v>
      </c>
      <c r="E708" s="49" t="s">
        <v>3754</v>
      </c>
      <c r="F708" s="49"/>
      <c r="G708" s="49"/>
      <c r="H708" s="49" t="s">
        <v>646</v>
      </c>
      <c r="I708" s="49" t="s">
        <v>7733</v>
      </c>
      <c r="J708" s="49" t="s">
        <v>7731</v>
      </c>
      <c r="K708" s="49" t="s">
        <v>7732</v>
      </c>
      <c r="L708" s="49">
        <v>0</v>
      </c>
      <c r="M708" s="49" t="s">
        <v>1777</v>
      </c>
      <c r="N708" s="49" t="s">
        <v>3543</v>
      </c>
      <c r="O708" s="49">
        <v>4</v>
      </c>
      <c r="P708" s="49" t="s">
        <v>7734</v>
      </c>
      <c r="Q708" s="49">
        <v>0</v>
      </c>
      <c r="R708" s="49" t="s">
        <v>7735</v>
      </c>
      <c r="S708" s="49" t="s">
        <v>7736</v>
      </c>
      <c r="T708" s="49" t="s">
        <v>646</v>
      </c>
      <c r="U708" s="49" t="s">
        <v>670</v>
      </c>
      <c r="V708" s="49" t="e">
        <v>#REF!</v>
      </c>
      <c r="AC708" s="49"/>
      <c r="AD708" s="49"/>
    </row>
    <row r="709" spans="1:30" hidden="1" x14ac:dyDescent="0.3">
      <c r="A709" s="49" t="s">
        <v>7737</v>
      </c>
      <c r="B709" s="49">
        <v>0</v>
      </c>
      <c r="C709" s="49"/>
      <c r="D709" s="72" t="s">
        <v>644</v>
      </c>
      <c r="E709" s="49" t="s">
        <v>3754</v>
      </c>
      <c r="F709" s="49"/>
      <c r="G709" s="49"/>
      <c r="H709" s="49" t="s">
        <v>7738</v>
      </c>
      <c r="I709" s="49" t="s">
        <v>7741</v>
      </c>
      <c r="J709" s="49" t="s">
        <v>7739</v>
      </c>
      <c r="K709" s="49" t="s">
        <v>7740</v>
      </c>
      <c r="L709" s="49">
        <v>0</v>
      </c>
      <c r="M709" s="49" t="s">
        <v>4084</v>
      </c>
      <c r="N709" s="49" t="s">
        <v>2741</v>
      </c>
      <c r="O709" s="49">
        <v>42</v>
      </c>
      <c r="P709" s="49" t="s">
        <v>7742</v>
      </c>
      <c r="Q709" s="49">
        <v>0</v>
      </c>
      <c r="R709" s="49" t="s">
        <v>7743</v>
      </c>
      <c r="S709" s="49" t="s">
        <v>7744</v>
      </c>
      <c r="T709" s="49" t="s">
        <v>7745</v>
      </c>
      <c r="U709" s="49" t="s">
        <v>670</v>
      </c>
      <c r="V709" s="49" t="e">
        <v>#REF!</v>
      </c>
      <c r="AC709" s="49"/>
      <c r="AD709" s="49"/>
    </row>
    <row r="710" spans="1:30" hidden="1" x14ac:dyDescent="0.3">
      <c r="A710" s="49" t="s">
        <v>831</v>
      </c>
      <c r="B710" s="49">
        <v>0</v>
      </c>
      <c r="C710" s="49"/>
      <c r="D710" s="72" t="s">
        <v>644</v>
      </c>
      <c r="E710" s="49" t="s">
        <v>3754</v>
      </c>
      <c r="F710" s="49"/>
      <c r="G710" s="49"/>
      <c r="H710" s="49" t="s">
        <v>833</v>
      </c>
      <c r="I710" s="49" t="s">
        <v>834</v>
      </c>
      <c r="J710" s="49" t="s">
        <v>7746</v>
      </c>
      <c r="K710" s="49" t="s">
        <v>836</v>
      </c>
      <c r="L710" s="49">
        <v>0</v>
      </c>
      <c r="M710" s="49" t="s">
        <v>2484</v>
      </c>
      <c r="N710" s="49" t="s">
        <v>837</v>
      </c>
      <c r="O710" s="49">
        <v>1</v>
      </c>
      <c r="P710" s="49" t="s">
        <v>838</v>
      </c>
      <c r="Q710" s="49">
        <v>0</v>
      </c>
      <c r="R710" s="49" t="s">
        <v>839</v>
      </c>
      <c r="S710" s="49" t="s">
        <v>840</v>
      </c>
      <c r="T710" s="49" t="s">
        <v>646</v>
      </c>
      <c r="U710" s="49" t="s">
        <v>670</v>
      </c>
      <c r="V710" s="49" t="e">
        <v>#REF!</v>
      </c>
      <c r="AC710" s="49"/>
      <c r="AD710" s="49"/>
    </row>
    <row r="711" spans="1:30" hidden="1" x14ac:dyDescent="0.3">
      <c r="A711" s="49" t="s">
        <v>7747</v>
      </c>
      <c r="B711" s="49">
        <v>0</v>
      </c>
      <c r="C711" s="49"/>
      <c r="D711" s="72" t="s">
        <v>644</v>
      </c>
      <c r="E711" s="49" t="s">
        <v>3754</v>
      </c>
      <c r="F711" s="49"/>
      <c r="G711" s="49"/>
      <c r="H711" s="49" t="s">
        <v>7748</v>
      </c>
      <c r="I711" s="49" t="s">
        <v>7751</v>
      </c>
      <c r="J711" s="49" t="s">
        <v>7749</v>
      </c>
      <c r="K711" s="49" t="s">
        <v>7750</v>
      </c>
      <c r="L711" s="49">
        <v>0</v>
      </c>
      <c r="M711" s="49" t="s">
        <v>1817</v>
      </c>
      <c r="N711" s="49" t="s">
        <v>7752</v>
      </c>
      <c r="O711" s="49">
        <v>11</v>
      </c>
      <c r="P711" s="49" t="s">
        <v>7753</v>
      </c>
      <c r="Q711" s="49">
        <v>0</v>
      </c>
      <c r="R711" s="49" t="s">
        <v>7754</v>
      </c>
      <c r="S711" s="49" t="s">
        <v>7755</v>
      </c>
      <c r="T711" s="49" t="s">
        <v>7756</v>
      </c>
      <c r="U711" s="49" t="s">
        <v>670</v>
      </c>
      <c r="V711" s="49" t="e">
        <v>#REF!</v>
      </c>
      <c r="AC711" s="49"/>
      <c r="AD711" s="49"/>
    </row>
    <row r="712" spans="1:30" hidden="1" x14ac:dyDescent="0.3">
      <c r="A712" s="49" t="s">
        <v>7757</v>
      </c>
      <c r="B712" s="49">
        <v>0</v>
      </c>
      <c r="C712" s="49"/>
      <c r="D712" s="72" t="s">
        <v>644</v>
      </c>
      <c r="E712" s="49" t="s">
        <v>3754</v>
      </c>
      <c r="F712" s="49"/>
      <c r="G712" s="49"/>
      <c r="H712" s="49" t="s">
        <v>7758</v>
      </c>
      <c r="I712" s="49" t="s">
        <v>7761</v>
      </c>
      <c r="J712" s="49" t="s">
        <v>7759</v>
      </c>
      <c r="K712" s="49" t="s">
        <v>7760</v>
      </c>
      <c r="L712" s="49">
        <v>0</v>
      </c>
      <c r="M712" s="49" t="s">
        <v>1817</v>
      </c>
      <c r="N712" s="49" t="s">
        <v>7762</v>
      </c>
      <c r="P712" s="49" t="s">
        <v>7763</v>
      </c>
      <c r="Q712" s="49">
        <v>0</v>
      </c>
      <c r="R712" s="49" t="s">
        <v>7764</v>
      </c>
      <c r="S712" s="49" t="s">
        <v>7765</v>
      </c>
      <c r="T712" s="49" t="s">
        <v>7766</v>
      </c>
      <c r="U712" s="49" t="s">
        <v>670</v>
      </c>
      <c r="V712" s="49" t="e">
        <v>#REF!</v>
      </c>
      <c r="AC712" s="49"/>
      <c r="AD712" s="49"/>
    </row>
    <row r="713" spans="1:30" hidden="1" x14ac:dyDescent="0.3">
      <c r="A713" s="49" t="s">
        <v>7767</v>
      </c>
      <c r="B713" s="49">
        <v>0</v>
      </c>
      <c r="C713" s="49"/>
      <c r="D713" s="72" t="s">
        <v>644</v>
      </c>
      <c r="E713" s="49" t="s">
        <v>3754</v>
      </c>
      <c r="F713" s="49"/>
      <c r="G713" s="49"/>
      <c r="H713" s="49" t="s">
        <v>7768</v>
      </c>
      <c r="I713" s="49" t="s">
        <v>7771</v>
      </c>
      <c r="J713" s="49" t="s">
        <v>7769</v>
      </c>
      <c r="K713" s="49" t="s">
        <v>7770</v>
      </c>
      <c r="L713" s="49">
        <v>0</v>
      </c>
      <c r="M713" s="49" t="s">
        <v>2484</v>
      </c>
      <c r="N713" s="49" t="s">
        <v>7772</v>
      </c>
      <c r="O713" s="49">
        <v>21</v>
      </c>
      <c r="P713" s="49" t="s">
        <v>7773</v>
      </c>
      <c r="Q713" s="49">
        <v>0</v>
      </c>
      <c r="R713" s="49" t="s">
        <v>7774</v>
      </c>
      <c r="S713" s="49" t="s">
        <v>7775</v>
      </c>
      <c r="T713" s="49" t="s">
        <v>7776</v>
      </c>
      <c r="U713" s="49" t="s">
        <v>655</v>
      </c>
      <c r="V713" s="49" t="e">
        <v>#REF!</v>
      </c>
      <c r="AC713" s="49"/>
      <c r="AD713" s="49"/>
    </row>
    <row r="714" spans="1:30" hidden="1" x14ac:dyDescent="0.3">
      <c r="A714" s="49" t="s">
        <v>7777</v>
      </c>
      <c r="B714" s="49">
        <v>0</v>
      </c>
      <c r="C714" s="49"/>
      <c r="D714" s="72" t="s">
        <v>644</v>
      </c>
      <c r="E714" s="49" t="s">
        <v>3754</v>
      </c>
      <c r="F714" s="49"/>
      <c r="G714" s="49"/>
      <c r="H714" s="49" t="s">
        <v>7778</v>
      </c>
      <c r="I714" s="49" t="s">
        <v>7781</v>
      </c>
      <c r="J714" s="49" t="s">
        <v>7779</v>
      </c>
      <c r="K714" s="49" t="s">
        <v>7780</v>
      </c>
      <c r="L714" s="49">
        <v>0</v>
      </c>
      <c r="M714" s="49" t="s">
        <v>1865</v>
      </c>
      <c r="N714" s="49" t="s">
        <v>1382</v>
      </c>
      <c r="P714" s="49" t="s">
        <v>7782</v>
      </c>
      <c r="Q714" s="49">
        <v>0</v>
      </c>
      <c r="R714" s="49" t="s">
        <v>7783</v>
      </c>
      <c r="S714" s="49" t="s">
        <v>7784</v>
      </c>
      <c r="T714" s="49" t="s">
        <v>7785</v>
      </c>
      <c r="U714" s="49" t="s">
        <v>670</v>
      </c>
      <c r="V714" s="49" t="e">
        <v>#REF!</v>
      </c>
      <c r="AC714" s="49"/>
      <c r="AD714" s="49"/>
    </row>
    <row r="715" spans="1:30" hidden="1" x14ac:dyDescent="0.3">
      <c r="A715" s="49" t="s">
        <v>7786</v>
      </c>
      <c r="B715" s="49">
        <v>0</v>
      </c>
      <c r="C715" s="49"/>
      <c r="D715" s="72" t="s">
        <v>644</v>
      </c>
      <c r="E715" s="49" t="s">
        <v>3754</v>
      </c>
      <c r="F715" s="49"/>
      <c r="G715" s="49"/>
      <c r="H715" s="49" t="s">
        <v>7787</v>
      </c>
      <c r="I715" s="49" t="s">
        <v>7790</v>
      </c>
      <c r="J715" s="49" t="s">
        <v>7788</v>
      </c>
      <c r="K715" s="49" t="s">
        <v>7789</v>
      </c>
      <c r="L715" s="49">
        <v>0</v>
      </c>
      <c r="M715" s="49" t="s">
        <v>4114</v>
      </c>
      <c r="N715" s="49" t="s">
        <v>7791</v>
      </c>
      <c r="O715" s="49">
        <v>6</v>
      </c>
      <c r="P715" s="49" t="s">
        <v>7792</v>
      </c>
      <c r="Q715" s="49">
        <v>0</v>
      </c>
      <c r="R715" s="49" t="s">
        <v>7793</v>
      </c>
      <c r="S715" s="49" t="s">
        <v>7794</v>
      </c>
      <c r="T715" s="49" t="s">
        <v>646</v>
      </c>
      <c r="U715" s="49" t="s">
        <v>655</v>
      </c>
      <c r="V715" s="49" t="e">
        <v>#REF!</v>
      </c>
      <c r="AC715" s="49"/>
      <c r="AD715" s="49"/>
    </row>
    <row r="716" spans="1:30" hidden="1" x14ac:dyDescent="0.3">
      <c r="A716" s="49" t="s">
        <v>7795</v>
      </c>
      <c r="B716" s="49">
        <v>0</v>
      </c>
      <c r="C716" s="49"/>
      <c r="D716" s="72" t="s">
        <v>644</v>
      </c>
      <c r="E716" s="49" t="s">
        <v>3754</v>
      </c>
      <c r="F716" s="49"/>
      <c r="G716" s="49"/>
      <c r="H716" s="49" t="s">
        <v>646</v>
      </c>
      <c r="I716" s="49" t="s">
        <v>7798</v>
      </c>
      <c r="J716" s="49" t="s">
        <v>7796</v>
      </c>
      <c r="K716" s="49" t="s">
        <v>7797</v>
      </c>
      <c r="L716" s="49">
        <v>0</v>
      </c>
      <c r="M716" s="49" t="s">
        <v>4084</v>
      </c>
      <c r="N716" s="49" t="s">
        <v>7799</v>
      </c>
      <c r="O716" s="49">
        <v>445</v>
      </c>
      <c r="P716" s="49" t="s">
        <v>7800</v>
      </c>
      <c r="Q716" s="49">
        <v>0</v>
      </c>
      <c r="R716" s="49" t="s">
        <v>7801</v>
      </c>
      <c r="S716" s="49" t="s">
        <v>7802</v>
      </c>
      <c r="T716" s="49" t="s">
        <v>646</v>
      </c>
      <c r="U716" s="49" t="s">
        <v>670</v>
      </c>
      <c r="V716" s="49" t="e">
        <v>#REF!</v>
      </c>
      <c r="AC716" s="49"/>
      <c r="AD716" s="49"/>
    </row>
    <row r="717" spans="1:30" hidden="1" x14ac:dyDescent="0.3">
      <c r="A717" s="49" t="s">
        <v>7803</v>
      </c>
      <c r="B717" s="49">
        <v>0</v>
      </c>
      <c r="C717" s="49"/>
      <c r="D717" s="72" t="s">
        <v>644</v>
      </c>
      <c r="E717" s="49" t="s">
        <v>3754</v>
      </c>
      <c r="F717" s="49"/>
      <c r="G717" s="49"/>
      <c r="H717" s="49" t="s">
        <v>646</v>
      </c>
      <c r="I717" s="49" t="s">
        <v>7806</v>
      </c>
      <c r="J717" s="49" t="s">
        <v>7804</v>
      </c>
      <c r="K717" s="49" t="s">
        <v>7805</v>
      </c>
      <c r="L717" s="49">
        <v>0</v>
      </c>
      <c r="M717" s="49" t="s">
        <v>2220</v>
      </c>
      <c r="N717" s="49" t="s">
        <v>7807</v>
      </c>
      <c r="O717" s="49">
        <v>252</v>
      </c>
      <c r="P717" s="49" t="s">
        <v>7808</v>
      </c>
      <c r="Q717" s="49">
        <v>0</v>
      </c>
      <c r="R717" s="49" t="s">
        <v>7809</v>
      </c>
      <c r="S717" s="49" t="s">
        <v>7810</v>
      </c>
      <c r="T717" s="49" t="s">
        <v>646</v>
      </c>
      <c r="U717" s="49" t="s">
        <v>670</v>
      </c>
      <c r="V717" s="49" t="e">
        <v>#REF!</v>
      </c>
      <c r="AC717" s="49"/>
      <c r="AD717" s="49"/>
    </row>
    <row r="718" spans="1:30" hidden="1" x14ac:dyDescent="0.3">
      <c r="A718" s="49" t="s">
        <v>7811</v>
      </c>
      <c r="B718" s="49">
        <v>0</v>
      </c>
      <c r="C718" s="49"/>
      <c r="D718" s="72" t="s">
        <v>644</v>
      </c>
      <c r="E718" s="49" t="s">
        <v>3754</v>
      </c>
      <c r="F718" s="49"/>
      <c r="G718" s="49"/>
      <c r="H718" s="49" t="s">
        <v>646</v>
      </c>
      <c r="I718" s="49" t="s">
        <v>7814</v>
      </c>
      <c r="J718" s="49" t="s">
        <v>7812</v>
      </c>
      <c r="K718" s="49" t="s">
        <v>7813</v>
      </c>
      <c r="L718" s="49">
        <v>0</v>
      </c>
      <c r="M718" s="49" t="s">
        <v>2220</v>
      </c>
      <c r="N718" s="49" t="s">
        <v>7807</v>
      </c>
      <c r="O718" s="49">
        <v>31</v>
      </c>
      <c r="P718" s="49" t="s">
        <v>7815</v>
      </c>
      <c r="Q718" s="49">
        <v>0</v>
      </c>
      <c r="R718" s="49" t="s">
        <v>7816</v>
      </c>
      <c r="S718" s="49" t="s">
        <v>7817</v>
      </c>
      <c r="T718" s="49" t="s">
        <v>646</v>
      </c>
      <c r="U718" s="49" t="s">
        <v>670</v>
      </c>
      <c r="V718" s="49" t="e">
        <v>#REF!</v>
      </c>
      <c r="AC718" s="49"/>
      <c r="AD718" s="49"/>
    </row>
    <row r="719" spans="1:30" hidden="1" x14ac:dyDescent="0.3">
      <c r="A719" s="49" t="s">
        <v>7818</v>
      </c>
      <c r="B719" s="49">
        <v>0</v>
      </c>
      <c r="C719" s="49"/>
      <c r="D719" s="72" t="s">
        <v>644</v>
      </c>
      <c r="E719" s="49" t="s">
        <v>3754</v>
      </c>
      <c r="F719" s="49"/>
      <c r="G719" s="49"/>
      <c r="H719" s="49" t="s">
        <v>7819</v>
      </c>
      <c r="I719" s="49" t="s">
        <v>7822</v>
      </c>
      <c r="J719" s="49" t="s">
        <v>7820</v>
      </c>
      <c r="K719" s="49" t="s">
        <v>7821</v>
      </c>
      <c r="L719" s="49">
        <v>0</v>
      </c>
      <c r="M719" s="49" t="s">
        <v>2456</v>
      </c>
      <c r="N719" s="49" t="s">
        <v>818</v>
      </c>
      <c r="O719" s="49">
        <v>10</v>
      </c>
      <c r="P719" s="49" t="s">
        <v>7823</v>
      </c>
      <c r="Q719" s="49">
        <v>0</v>
      </c>
      <c r="R719" s="49" t="s">
        <v>7824</v>
      </c>
      <c r="S719" s="49" t="s">
        <v>7825</v>
      </c>
      <c r="T719" s="49" t="s">
        <v>7826</v>
      </c>
      <c r="U719" s="49" t="s">
        <v>670</v>
      </c>
      <c r="V719" s="49" t="e">
        <v>#REF!</v>
      </c>
      <c r="AC719" s="49"/>
      <c r="AD719" s="49"/>
    </row>
    <row r="720" spans="1:30" hidden="1" x14ac:dyDescent="0.3">
      <c r="A720" s="49" t="s">
        <v>889</v>
      </c>
      <c r="B720" s="49">
        <v>0</v>
      </c>
      <c r="C720" s="49"/>
      <c r="D720" s="72" t="s">
        <v>644</v>
      </c>
      <c r="E720" s="49" t="s">
        <v>3754</v>
      </c>
      <c r="F720" s="49"/>
      <c r="G720" s="49"/>
      <c r="H720" s="49" t="s">
        <v>891</v>
      </c>
      <c r="I720" s="49" t="s">
        <v>892</v>
      </c>
      <c r="J720" s="49" t="s">
        <v>893</v>
      </c>
      <c r="K720" s="49" t="s">
        <v>894</v>
      </c>
      <c r="L720" s="49">
        <v>0</v>
      </c>
      <c r="M720" s="49" t="s">
        <v>4084</v>
      </c>
      <c r="N720" s="49" t="s">
        <v>895</v>
      </c>
      <c r="O720" s="49">
        <v>1</v>
      </c>
      <c r="P720" s="49" t="s">
        <v>896</v>
      </c>
      <c r="Q720" s="49">
        <v>0</v>
      </c>
      <c r="R720" s="49" t="s">
        <v>897</v>
      </c>
      <c r="S720" s="49" t="s">
        <v>898</v>
      </c>
      <c r="T720" s="49" t="s">
        <v>899</v>
      </c>
      <c r="U720" s="49" t="s">
        <v>670</v>
      </c>
      <c r="V720" s="49" t="e">
        <v>#REF!</v>
      </c>
      <c r="AC720" s="49"/>
      <c r="AD720" s="49"/>
    </row>
    <row r="721" spans="1:30" hidden="1" x14ac:dyDescent="0.3">
      <c r="A721" s="49" t="s">
        <v>7827</v>
      </c>
      <c r="B721" s="49">
        <v>0</v>
      </c>
      <c r="C721" s="49"/>
      <c r="D721" s="72" t="s">
        <v>644</v>
      </c>
      <c r="E721" s="49" t="s">
        <v>3754</v>
      </c>
      <c r="F721" s="49"/>
      <c r="G721" s="49"/>
      <c r="H721" s="49" t="s">
        <v>7828</v>
      </c>
      <c r="I721" s="49" t="s">
        <v>7831</v>
      </c>
      <c r="J721" s="49" t="s">
        <v>7829</v>
      </c>
      <c r="K721" s="49" t="s">
        <v>7830</v>
      </c>
      <c r="L721" s="49">
        <v>0</v>
      </c>
      <c r="M721" s="49" t="s">
        <v>4084</v>
      </c>
      <c r="N721" s="49" t="s">
        <v>7832</v>
      </c>
      <c r="O721" s="49">
        <v>2</v>
      </c>
      <c r="P721" s="49" t="s">
        <v>7833</v>
      </c>
      <c r="Q721" s="49">
        <v>0</v>
      </c>
      <c r="R721" s="49" t="s">
        <v>7834</v>
      </c>
      <c r="S721" s="49" t="s">
        <v>7835</v>
      </c>
      <c r="T721" s="49" t="s">
        <v>7836</v>
      </c>
      <c r="U721" s="49" t="s">
        <v>655</v>
      </c>
      <c r="V721" s="49" t="e">
        <v>#REF!</v>
      </c>
      <c r="AC721" s="49"/>
      <c r="AD721" s="49"/>
    </row>
    <row r="722" spans="1:30" hidden="1" x14ac:dyDescent="0.3">
      <c r="A722" s="49" t="s">
        <v>7837</v>
      </c>
      <c r="B722" s="49">
        <v>0</v>
      </c>
      <c r="C722" s="49"/>
      <c r="D722" s="72" t="s">
        <v>644</v>
      </c>
      <c r="E722" s="49" t="s">
        <v>3754</v>
      </c>
      <c r="F722" s="49"/>
      <c r="G722" s="49"/>
      <c r="H722" s="49" t="s">
        <v>7838</v>
      </c>
      <c r="I722" s="49" t="s">
        <v>7841</v>
      </c>
      <c r="J722" s="49" t="s">
        <v>7839</v>
      </c>
      <c r="K722" s="49" t="s">
        <v>7840</v>
      </c>
      <c r="L722" s="49">
        <v>0</v>
      </c>
      <c r="M722" s="49" t="s">
        <v>1764</v>
      </c>
      <c r="N722" s="49" t="s">
        <v>2255</v>
      </c>
      <c r="O722" s="49">
        <v>12</v>
      </c>
      <c r="P722" s="49" t="s">
        <v>7842</v>
      </c>
      <c r="Q722" s="49">
        <v>0</v>
      </c>
      <c r="R722" s="49" t="s">
        <v>7843</v>
      </c>
      <c r="S722" s="49" t="s">
        <v>7844</v>
      </c>
      <c r="T722" s="49" t="s">
        <v>646</v>
      </c>
      <c r="U722" s="49" t="s">
        <v>655</v>
      </c>
      <c r="V722" s="49" t="e">
        <v>#REF!</v>
      </c>
      <c r="AC722" s="49"/>
      <c r="AD722" s="49"/>
    </row>
    <row r="723" spans="1:30" hidden="1" x14ac:dyDescent="0.3">
      <c r="A723" s="49" t="s">
        <v>7845</v>
      </c>
      <c r="B723" s="49">
        <v>0</v>
      </c>
      <c r="C723" s="49"/>
      <c r="D723" s="72" t="s">
        <v>644</v>
      </c>
      <c r="E723" s="49" t="s">
        <v>3754</v>
      </c>
      <c r="F723" s="49"/>
      <c r="G723" s="49"/>
      <c r="H723" s="49" t="s">
        <v>646</v>
      </c>
      <c r="I723" s="49" t="s">
        <v>7848</v>
      </c>
      <c r="J723" s="49" t="s">
        <v>7846</v>
      </c>
      <c r="K723" s="49" t="s">
        <v>7847</v>
      </c>
      <c r="L723" s="49">
        <v>0</v>
      </c>
      <c r="M723" s="49" t="s">
        <v>1777</v>
      </c>
      <c r="N723" s="49" t="s">
        <v>3543</v>
      </c>
      <c r="O723" s="49">
        <v>1</v>
      </c>
      <c r="P723" s="49" t="s">
        <v>7849</v>
      </c>
      <c r="Q723" s="49">
        <v>0</v>
      </c>
      <c r="R723" s="49" t="s">
        <v>7850</v>
      </c>
      <c r="S723" s="49" t="s">
        <v>7851</v>
      </c>
      <c r="T723" s="49" t="s">
        <v>646</v>
      </c>
      <c r="U723" s="49" t="s">
        <v>670</v>
      </c>
      <c r="V723" s="49" t="e">
        <v>#REF!</v>
      </c>
      <c r="AC723" s="49"/>
      <c r="AD723" s="49"/>
    </row>
    <row r="724" spans="1:30" hidden="1" x14ac:dyDescent="0.3">
      <c r="A724" s="49" t="s">
        <v>7852</v>
      </c>
      <c r="B724" s="49">
        <v>0</v>
      </c>
      <c r="C724" s="49"/>
      <c r="D724" s="72" t="s">
        <v>644</v>
      </c>
      <c r="E724" s="49" t="s">
        <v>3754</v>
      </c>
      <c r="F724" s="49"/>
      <c r="G724" s="49"/>
      <c r="H724" s="49" t="s">
        <v>7853</v>
      </c>
      <c r="I724" s="49" t="s">
        <v>7856</v>
      </c>
      <c r="J724" s="49" t="s">
        <v>7854</v>
      </c>
      <c r="K724" s="49" t="s">
        <v>7855</v>
      </c>
      <c r="L724" s="49">
        <v>0</v>
      </c>
      <c r="M724" s="49" t="s">
        <v>2484</v>
      </c>
      <c r="N724" s="49" t="s">
        <v>7857</v>
      </c>
      <c r="O724" s="49">
        <v>1</v>
      </c>
      <c r="P724" s="49" t="s">
        <v>7858</v>
      </c>
      <c r="Q724" s="49">
        <v>0</v>
      </c>
      <c r="R724" s="49" t="s">
        <v>7859</v>
      </c>
      <c r="S724" s="49" t="s">
        <v>7860</v>
      </c>
      <c r="T724" s="49" t="s">
        <v>7861</v>
      </c>
      <c r="U724" s="49" t="s">
        <v>655</v>
      </c>
      <c r="V724" s="49" t="e">
        <v>#REF!</v>
      </c>
      <c r="AC724" s="49"/>
      <c r="AD724" s="49"/>
    </row>
    <row r="725" spans="1:30" hidden="1" x14ac:dyDescent="0.3">
      <c r="A725" s="49" t="s">
        <v>7862</v>
      </c>
      <c r="B725" s="49">
        <v>0</v>
      </c>
      <c r="C725" s="49"/>
      <c r="D725" s="72" t="s">
        <v>644</v>
      </c>
      <c r="E725" s="49" t="s">
        <v>3754</v>
      </c>
      <c r="F725" s="49"/>
      <c r="G725" s="49"/>
      <c r="H725" s="49" t="s">
        <v>7863</v>
      </c>
      <c r="I725" s="49" t="s">
        <v>7866</v>
      </c>
      <c r="J725" s="49" t="s">
        <v>7864</v>
      </c>
      <c r="K725" s="49" t="s">
        <v>7865</v>
      </c>
      <c r="L725" s="49">
        <v>0</v>
      </c>
      <c r="M725" s="49" t="s">
        <v>2484</v>
      </c>
      <c r="N725" s="49" t="s">
        <v>7867</v>
      </c>
      <c r="O725" s="49">
        <v>18</v>
      </c>
      <c r="P725" s="49" t="s">
        <v>7868</v>
      </c>
      <c r="Q725" s="49">
        <v>0</v>
      </c>
      <c r="R725" s="49" t="s">
        <v>7869</v>
      </c>
      <c r="S725" s="49" t="s">
        <v>7870</v>
      </c>
      <c r="T725" s="49" t="s">
        <v>646</v>
      </c>
      <c r="U725" s="49" t="s">
        <v>655</v>
      </c>
      <c r="V725" s="49" t="e">
        <v>#REF!</v>
      </c>
      <c r="AC725" s="49"/>
      <c r="AD725" s="49"/>
    </row>
    <row r="726" spans="1:30" hidden="1" x14ac:dyDescent="0.3">
      <c r="A726" s="49" t="s">
        <v>1376</v>
      </c>
      <c r="B726" s="49">
        <v>0</v>
      </c>
      <c r="C726" s="49"/>
      <c r="D726" s="72" t="s">
        <v>644</v>
      </c>
      <c r="E726" s="49" t="s">
        <v>3754</v>
      </c>
      <c r="F726" s="49"/>
      <c r="G726" s="49"/>
      <c r="H726" s="49" t="s">
        <v>1378</v>
      </c>
      <c r="I726" s="49" t="s">
        <v>1379</v>
      </c>
      <c r="J726" s="49" t="s">
        <v>1380</v>
      </c>
      <c r="K726" s="49" t="s">
        <v>1381</v>
      </c>
      <c r="L726" s="49">
        <v>0</v>
      </c>
      <c r="M726" s="49" t="s">
        <v>1764</v>
      </c>
      <c r="N726" s="49" t="s">
        <v>1382</v>
      </c>
      <c r="O726" s="49">
        <v>2</v>
      </c>
      <c r="P726" s="49" t="s">
        <v>1383</v>
      </c>
      <c r="Q726" s="49">
        <v>0</v>
      </c>
      <c r="R726" s="49" t="s">
        <v>1384</v>
      </c>
      <c r="S726" s="49" t="s">
        <v>1385</v>
      </c>
      <c r="T726" s="49" t="s">
        <v>1386</v>
      </c>
      <c r="U726" s="49" t="s">
        <v>670</v>
      </c>
      <c r="V726" s="49" t="e">
        <v>#REF!</v>
      </c>
      <c r="AC726" s="49"/>
      <c r="AD726" s="49"/>
    </row>
    <row r="727" spans="1:30" hidden="1" x14ac:dyDescent="0.3">
      <c r="A727" s="49" t="s">
        <v>681</v>
      </c>
      <c r="B727" s="49">
        <v>0</v>
      </c>
      <c r="C727" s="49"/>
      <c r="D727" s="72" t="s">
        <v>644</v>
      </c>
      <c r="E727" s="49" t="s">
        <v>3754</v>
      </c>
      <c r="F727" s="49"/>
      <c r="G727" s="49"/>
      <c r="H727" s="49" t="s">
        <v>683</v>
      </c>
      <c r="I727" s="49" t="s">
        <v>684</v>
      </c>
      <c r="J727" s="49" t="s">
        <v>7871</v>
      </c>
      <c r="K727" s="49" t="s">
        <v>686</v>
      </c>
      <c r="L727" s="49">
        <v>0</v>
      </c>
      <c r="M727" s="49" t="s">
        <v>1764</v>
      </c>
      <c r="N727" s="49" t="s">
        <v>687</v>
      </c>
      <c r="O727" s="49">
        <v>6</v>
      </c>
      <c r="P727" s="49" t="s">
        <v>688</v>
      </c>
      <c r="Q727" s="49">
        <v>0</v>
      </c>
      <c r="R727" s="49" t="s">
        <v>689</v>
      </c>
      <c r="S727" s="49" t="s">
        <v>690</v>
      </c>
      <c r="T727" s="49" t="s">
        <v>646</v>
      </c>
      <c r="U727" s="49" t="s">
        <v>670</v>
      </c>
      <c r="V727" s="49" t="e">
        <v>#REF!</v>
      </c>
      <c r="AC727" s="49"/>
      <c r="AD727" s="49"/>
    </row>
    <row r="728" spans="1:30" hidden="1" x14ac:dyDescent="0.3">
      <c r="A728" s="49" t="s">
        <v>7872</v>
      </c>
      <c r="B728" s="49">
        <v>0</v>
      </c>
      <c r="C728" s="49"/>
      <c r="D728" s="72" t="s">
        <v>644</v>
      </c>
      <c r="E728" s="49" t="s">
        <v>3754</v>
      </c>
      <c r="F728" s="49"/>
      <c r="G728" s="49"/>
      <c r="H728" s="49" t="s">
        <v>7873</v>
      </c>
      <c r="I728" s="49" t="s">
        <v>7876</v>
      </c>
      <c r="J728" s="49" t="s">
        <v>7874</v>
      </c>
      <c r="K728" s="49" t="s">
        <v>7875</v>
      </c>
      <c r="L728" s="49">
        <v>0</v>
      </c>
      <c r="M728" s="49" t="s">
        <v>4084</v>
      </c>
      <c r="N728" s="49" t="s">
        <v>7877</v>
      </c>
      <c r="O728" s="49">
        <v>31</v>
      </c>
      <c r="P728" s="49" t="s">
        <v>7878</v>
      </c>
      <c r="Q728" s="49">
        <v>0</v>
      </c>
      <c r="R728" s="49" t="s">
        <v>7879</v>
      </c>
      <c r="S728" s="49" t="s">
        <v>7880</v>
      </c>
      <c r="T728" s="49" t="s">
        <v>7881</v>
      </c>
      <c r="U728" s="49" t="s">
        <v>670</v>
      </c>
      <c r="V728" s="49" t="e">
        <v>#REF!</v>
      </c>
      <c r="AC728" s="49"/>
      <c r="AD728" s="49"/>
    </row>
    <row r="729" spans="1:30" hidden="1" x14ac:dyDescent="0.3">
      <c r="A729" s="49" t="s">
        <v>7882</v>
      </c>
      <c r="B729" s="49">
        <v>0</v>
      </c>
      <c r="C729" s="49"/>
      <c r="D729" s="72" t="s">
        <v>644</v>
      </c>
      <c r="E729" s="49" t="s">
        <v>3754</v>
      </c>
      <c r="F729" s="49"/>
      <c r="G729" s="49"/>
      <c r="H729" s="49" t="s">
        <v>7883</v>
      </c>
      <c r="I729" s="49" t="s">
        <v>7886</v>
      </c>
      <c r="J729" s="49" t="s">
        <v>7884</v>
      </c>
      <c r="K729" s="49" t="s">
        <v>7885</v>
      </c>
      <c r="L729" s="49">
        <v>0</v>
      </c>
      <c r="M729" s="49" t="s">
        <v>2636</v>
      </c>
      <c r="N729" s="49" t="s">
        <v>818</v>
      </c>
      <c r="O729" s="49">
        <v>2</v>
      </c>
      <c r="P729" s="49" t="s">
        <v>7887</v>
      </c>
      <c r="Q729" s="49">
        <v>0</v>
      </c>
      <c r="R729" s="49" t="s">
        <v>7888</v>
      </c>
      <c r="S729" s="49" t="s">
        <v>7889</v>
      </c>
      <c r="T729" s="49" t="s">
        <v>7890</v>
      </c>
      <c r="U729" s="49" t="s">
        <v>670</v>
      </c>
      <c r="V729" s="49" t="e">
        <v>#REF!</v>
      </c>
      <c r="AC729" s="49"/>
      <c r="AD729" s="49"/>
    </row>
    <row r="730" spans="1:30" hidden="1" x14ac:dyDescent="0.3">
      <c r="A730" s="49" t="s">
        <v>943</v>
      </c>
      <c r="B730" s="49">
        <v>0</v>
      </c>
      <c r="C730" s="49"/>
      <c r="D730" s="72" t="s">
        <v>644</v>
      </c>
      <c r="E730" s="49" t="s">
        <v>3754</v>
      </c>
      <c r="F730" s="49"/>
      <c r="G730" s="49"/>
      <c r="H730" s="49" t="s">
        <v>646</v>
      </c>
      <c r="I730" s="49" t="s">
        <v>945</v>
      </c>
      <c r="J730" s="49" t="s">
        <v>946</v>
      </c>
      <c r="K730" s="49" t="s">
        <v>947</v>
      </c>
      <c r="L730" s="49">
        <v>0</v>
      </c>
      <c r="M730" s="49" t="s">
        <v>4064</v>
      </c>
      <c r="N730" s="49" t="s">
        <v>948</v>
      </c>
      <c r="O730" s="49">
        <v>1</v>
      </c>
      <c r="P730" s="49" t="s">
        <v>949</v>
      </c>
      <c r="Q730" s="49">
        <v>0</v>
      </c>
      <c r="R730" s="49" t="s">
        <v>950</v>
      </c>
      <c r="S730" s="49" t="s">
        <v>951</v>
      </c>
      <c r="T730" s="49" t="s">
        <v>952</v>
      </c>
      <c r="U730" s="49" t="s">
        <v>655</v>
      </c>
      <c r="V730" s="49" t="e">
        <v>#REF!</v>
      </c>
      <c r="AC730" s="49"/>
      <c r="AD730" s="49"/>
    </row>
    <row r="731" spans="1:30" hidden="1" x14ac:dyDescent="0.3">
      <c r="A731" s="49" t="s">
        <v>7891</v>
      </c>
      <c r="B731" s="49">
        <v>0</v>
      </c>
      <c r="C731" s="49"/>
      <c r="D731" s="72" t="s">
        <v>644</v>
      </c>
      <c r="E731" s="49" t="s">
        <v>3754</v>
      </c>
      <c r="F731" s="49"/>
      <c r="G731" s="49"/>
      <c r="H731" s="49" t="s">
        <v>7892</v>
      </c>
      <c r="I731" s="49" t="s">
        <v>7895</v>
      </c>
      <c r="J731" s="49" t="s">
        <v>7893</v>
      </c>
      <c r="K731" s="49" t="s">
        <v>7894</v>
      </c>
      <c r="L731" s="49">
        <v>0</v>
      </c>
      <c r="M731" s="49" t="s">
        <v>2220</v>
      </c>
      <c r="N731" s="49" t="s">
        <v>4577</v>
      </c>
      <c r="O731" s="49">
        <v>4</v>
      </c>
      <c r="P731" s="49" t="s">
        <v>7896</v>
      </c>
      <c r="Q731" s="49">
        <v>0</v>
      </c>
      <c r="R731" s="49" t="s">
        <v>7897</v>
      </c>
      <c r="S731" s="49" t="s">
        <v>7898</v>
      </c>
      <c r="T731" s="49" t="s">
        <v>7897</v>
      </c>
      <c r="U731" s="49" t="s">
        <v>670</v>
      </c>
      <c r="V731" s="49" t="e">
        <v>#REF!</v>
      </c>
      <c r="AC731" s="49"/>
      <c r="AD731" s="49"/>
    </row>
    <row r="732" spans="1:30" hidden="1" x14ac:dyDescent="0.3">
      <c r="A732" s="49" t="s">
        <v>7899</v>
      </c>
      <c r="B732" s="49">
        <v>0</v>
      </c>
      <c r="C732" s="49"/>
      <c r="D732" s="72" t="s">
        <v>644</v>
      </c>
      <c r="E732" s="49" t="s">
        <v>3754</v>
      </c>
      <c r="F732" s="49"/>
      <c r="G732" s="49"/>
      <c r="H732" s="49" t="s">
        <v>7900</v>
      </c>
      <c r="I732" s="49" t="s">
        <v>7903</v>
      </c>
      <c r="J732" s="49" t="s">
        <v>7901</v>
      </c>
      <c r="K732" s="49" t="s">
        <v>7902</v>
      </c>
      <c r="L732" s="49">
        <v>0</v>
      </c>
      <c r="M732" s="49" t="s">
        <v>1826</v>
      </c>
      <c r="N732" s="49" t="s">
        <v>7904</v>
      </c>
      <c r="P732" s="49" t="s">
        <v>7905</v>
      </c>
      <c r="Q732" s="49">
        <v>0</v>
      </c>
      <c r="R732" s="49" t="s">
        <v>7906</v>
      </c>
      <c r="S732" s="49" t="s">
        <v>7907</v>
      </c>
      <c r="T732" s="49" t="s">
        <v>646</v>
      </c>
      <c r="U732" s="49" t="s">
        <v>670</v>
      </c>
      <c r="V732" s="49" t="e">
        <v>#REF!</v>
      </c>
      <c r="AC732" s="49"/>
      <c r="AD732" s="49"/>
    </row>
    <row r="733" spans="1:30" hidden="1" x14ac:dyDescent="0.3">
      <c r="A733" s="49" t="s">
        <v>7908</v>
      </c>
      <c r="B733" s="49">
        <v>0</v>
      </c>
      <c r="C733" s="49"/>
      <c r="D733" s="72" t="s">
        <v>644</v>
      </c>
      <c r="E733" s="49" t="s">
        <v>3754</v>
      </c>
      <c r="F733" s="49"/>
      <c r="G733" s="49"/>
      <c r="H733" s="49" t="s">
        <v>7909</v>
      </c>
      <c r="I733" s="49" t="s">
        <v>7912</v>
      </c>
      <c r="J733" s="49" t="s">
        <v>7910</v>
      </c>
      <c r="K733" s="49" t="s">
        <v>7911</v>
      </c>
      <c r="L733" s="49">
        <v>0</v>
      </c>
      <c r="M733" s="49" t="s">
        <v>1865</v>
      </c>
      <c r="N733" s="49" t="s">
        <v>2555</v>
      </c>
      <c r="O733" s="49">
        <v>9</v>
      </c>
      <c r="P733" s="49" t="s">
        <v>7913</v>
      </c>
      <c r="Q733" s="49">
        <v>0</v>
      </c>
      <c r="R733" s="49" t="s">
        <v>7914</v>
      </c>
      <c r="S733" s="49" t="s">
        <v>7915</v>
      </c>
      <c r="T733" s="49" t="s">
        <v>7916</v>
      </c>
      <c r="U733" s="49" t="s">
        <v>655</v>
      </c>
      <c r="V733" s="49" t="e">
        <v>#REF!</v>
      </c>
      <c r="AC733" s="49"/>
      <c r="AD733" s="49"/>
    </row>
    <row r="734" spans="1:30" hidden="1" x14ac:dyDescent="0.3">
      <c r="A734" s="49" t="s">
        <v>7917</v>
      </c>
      <c r="B734" s="49">
        <v>0</v>
      </c>
      <c r="C734" s="49"/>
      <c r="D734" s="72" t="s">
        <v>644</v>
      </c>
      <c r="E734" s="49" t="s">
        <v>3754</v>
      </c>
      <c r="F734" s="49"/>
      <c r="G734" s="49"/>
      <c r="H734" s="49" t="s">
        <v>7918</v>
      </c>
      <c r="I734" s="49" t="s">
        <v>6797</v>
      </c>
      <c r="J734" s="49" t="s">
        <v>6795</v>
      </c>
      <c r="K734" s="49" t="s">
        <v>7919</v>
      </c>
      <c r="L734" s="49">
        <v>0</v>
      </c>
      <c r="M734" s="49" t="s">
        <v>1817</v>
      </c>
      <c r="N734" s="49" t="s">
        <v>1382</v>
      </c>
      <c r="O734" s="49">
        <v>8</v>
      </c>
      <c r="P734" s="49" t="s">
        <v>7920</v>
      </c>
      <c r="Q734" s="49">
        <v>0</v>
      </c>
      <c r="R734" s="49" t="s">
        <v>7921</v>
      </c>
      <c r="S734" s="49" t="s">
        <v>7922</v>
      </c>
      <c r="T734" s="49" t="s">
        <v>7923</v>
      </c>
      <c r="U734" s="49" t="s">
        <v>670</v>
      </c>
      <c r="V734" s="49" t="e">
        <v>#REF!</v>
      </c>
      <c r="AC734" s="49"/>
      <c r="AD734" s="49"/>
    </row>
    <row r="735" spans="1:30" hidden="1" x14ac:dyDescent="0.3">
      <c r="A735" s="49" t="s">
        <v>7924</v>
      </c>
      <c r="B735" s="49">
        <v>0</v>
      </c>
      <c r="C735" s="49"/>
      <c r="D735" s="72" t="s">
        <v>644</v>
      </c>
      <c r="E735" s="49" t="s">
        <v>3754</v>
      </c>
      <c r="F735" s="49"/>
      <c r="G735" s="49"/>
      <c r="H735" s="49" t="s">
        <v>646</v>
      </c>
      <c r="I735" s="49" t="s">
        <v>7927</v>
      </c>
      <c r="J735" s="49" t="s">
        <v>7925</v>
      </c>
      <c r="K735" s="49" t="s">
        <v>7926</v>
      </c>
      <c r="L735" s="49">
        <v>0</v>
      </c>
      <c r="M735" s="49" t="s">
        <v>4084</v>
      </c>
      <c r="N735" s="49" t="s">
        <v>4765</v>
      </c>
      <c r="O735" s="49">
        <v>32</v>
      </c>
      <c r="P735" s="49" t="s">
        <v>7928</v>
      </c>
      <c r="Q735" s="49">
        <v>0</v>
      </c>
      <c r="R735" s="49" t="s">
        <v>7929</v>
      </c>
      <c r="S735" s="49" t="s">
        <v>7930</v>
      </c>
      <c r="T735" s="49" t="s">
        <v>646</v>
      </c>
      <c r="U735" s="49" t="s">
        <v>670</v>
      </c>
      <c r="V735" s="49" t="e">
        <v>#REF!</v>
      </c>
      <c r="AC735" s="49"/>
      <c r="AD735" s="49"/>
    </row>
    <row r="736" spans="1:30" hidden="1" x14ac:dyDescent="0.3">
      <c r="A736" s="49" t="s">
        <v>7931</v>
      </c>
      <c r="B736" s="49">
        <v>0</v>
      </c>
      <c r="C736" s="49"/>
      <c r="D736" s="72" t="s">
        <v>644</v>
      </c>
      <c r="E736" s="49" t="s">
        <v>3754</v>
      </c>
      <c r="F736" s="49"/>
      <c r="G736" s="49"/>
      <c r="H736" s="49" t="s">
        <v>7932</v>
      </c>
      <c r="I736" s="49" t="s">
        <v>7935</v>
      </c>
      <c r="J736" s="49" t="s">
        <v>7933</v>
      </c>
      <c r="K736" s="49" t="s">
        <v>7934</v>
      </c>
      <c r="L736" s="49">
        <v>0</v>
      </c>
      <c r="M736" s="49" t="s">
        <v>2220</v>
      </c>
      <c r="N736" s="49" t="s">
        <v>4635</v>
      </c>
      <c r="O736" s="49">
        <v>2</v>
      </c>
      <c r="P736" s="49" t="s">
        <v>7936</v>
      </c>
      <c r="Q736" s="49">
        <v>0</v>
      </c>
      <c r="R736" s="49" t="s">
        <v>7937</v>
      </c>
      <c r="S736" s="49" t="s">
        <v>7938</v>
      </c>
      <c r="T736" s="49" t="s">
        <v>7939</v>
      </c>
      <c r="U736" s="49" t="s">
        <v>670</v>
      </c>
      <c r="V736" s="49" t="e">
        <v>#REF!</v>
      </c>
      <c r="AC736" s="49"/>
      <c r="AD736" s="49"/>
    </row>
    <row r="737" spans="1:30" hidden="1" x14ac:dyDescent="0.3">
      <c r="A737" s="49" t="s">
        <v>7940</v>
      </c>
      <c r="B737" s="49">
        <v>0</v>
      </c>
      <c r="C737" s="49"/>
      <c r="D737" s="72" t="s">
        <v>644</v>
      </c>
      <c r="E737" s="49" t="s">
        <v>3754</v>
      </c>
      <c r="F737" s="49"/>
      <c r="G737" s="49"/>
      <c r="H737" s="49" t="s">
        <v>7941</v>
      </c>
      <c r="I737" s="49" t="s">
        <v>7944</v>
      </c>
      <c r="J737" s="49" t="s">
        <v>7942</v>
      </c>
      <c r="K737" s="49" t="s">
        <v>7943</v>
      </c>
      <c r="L737" s="49">
        <v>0</v>
      </c>
      <c r="M737" s="49" t="s">
        <v>1764</v>
      </c>
      <c r="N737" s="49" t="s">
        <v>7945</v>
      </c>
      <c r="O737" s="49">
        <v>18</v>
      </c>
      <c r="P737" s="49" t="s">
        <v>7946</v>
      </c>
      <c r="Q737" s="49">
        <v>0</v>
      </c>
      <c r="R737" s="49" t="s">
        <v>7947</v>
      </c>
      <c r="S737" s="49" t="s">
        <v>7948</v>
      </c>
      <c r="T737" s="49" t="s">
        <v>7949</v>
      </c>
      <c r="U737" s="49" t="s">
        <v>655</v>
      </c>
      <c r="V737" s="49" t="e">
        <v>#REF!</v>
      </c>
      <c r="AC737" s="49"/>
      <c r="AD737" s="49"/>
    </row>
    <row r="738" spans="1:30" hidden="1" x14ac:dyDescent="0.3">
      <c r="A738" s="49" t="s">
        <v>7950</v>
      </c>
      <c r="B738" s="49">
        <v>0</v>
      </c>
      <c r="C738" s="49"/>
      <c r="D738" s="72" t="s">
        <v>644</v>
      </c>
      <c r="E738" s="49" t="s">
        <v>3754</v>
      </c>
      <c r="F738" s="49"/>
      <c r="G738" s="49"/>
      <c r="H738" s="49" t="s">
        <v>7951</v>
      </c>
      <c r="I738" s="49" t="s">
        <v>7954</v>
      </c>
      <c r="J738" s="49" t="s">
        <v>7952</v>
      </c>
      <c r="K738" s="49" t="s">
        <v>7953</v>
      </c>
      <c r="L738" s="49">
        <v>0</v>
      </c>
      <c r="M738" s="49" t="s">
        <v>4114</v>
      </c>
      <c r="N738" s="49" t="s">
        <v>4887</v>
      </c>
      <c r="O738" s="49">
        <v>1</v>
      </c>
      <c r="P738" s="49" t="s">
        <v>7955</v>
      </c>
      <c r="Q738" s="49">
        <v>0</v>
      </c>
      <c r="R738" s="49" t="s">
        <v>7956</v>
      </c>
      <c r="S738" s="49" t="s">
        <v>7957</v>
      </c>
      <c r="T738" s="49" t="s">
        <v>646</v>
      </c>
      <c r="U738" s="49" t="s">
        <v>791</v>
      </c>
      <c r="V738" s="49" t="e">
        <v>#REF!</v>
      </c>
      <c r="AC738" s="49"/>
      <c r="AD738" s="49"/>
    </row>
    <row r="739" spans="1:30" hidden="1" x14ac:dyDescent="0.3">
      <c r="A739" s="49" t="s">
        <v>7958</v>
      </c>
      <c r="B739" s="49">
        <v>0</v>
      </c>
      <c r="C739" s="49"/>
      <c r="D739" s="72" t="s">
        <v>644</v>
      </c>
      <c r="E739" s="49" t="s">
        <v>3754</v>
      </c>
      <c r="F739" s="49"/>
      <c r="G739" s="49"/>
      <c r="H739" s="49" t="s">
        <v>7959</v>
      </c>
      <c r="I739" s="49" t="s">
        <v>7962</v>
      </c>
      <c r="J739" s="49" t="s">
        <v>7960</v>
      </c>
      <c r="K739" s="49" t="s">
        <v>7961</v>
      </c>
      <c r="L739" s="49">
        <v>0</v>
      </c>
      <c r="M739" s="49" t="s">
        <v>2484</v>
      </c>
      <c r="N739" s="49" t="s">
        <v>7071</v>
      </c>
      <c r="O739" s="49">
        <v>80</v>
      </c>
      <c r="P739" s="49" t="s">
        <v>7963</v>
      </c>
      <c r="Q739" s="49">
        <v>0</v>
      </c>
      <c r="R739" s="49" t="s">
        <v>7964</v>
      </c>
      <c r="S739" s="49" t="s">
        <v>7965</v>
      </c>
      <c r="T739" s="49" t="s">
        <v>7966</v>
      </c>
      <c r="U739" s="49" t="s">
        <v>655</v>
      </c>
      <c r="V739" s="49" t="e">
        <v>#REF!</v>
      </c>
      <c r="AC739" s="49"/>
      <c r="AD739" s="49"/>
    </row>
    <row r="740" spans="1:30" hidden="1" x14ac:dyDescent="0.3">
      <c r="A740" s="49" t="s">
        <v>7967</v>
      </c>
      <c r="B740" s="49">
        <v>0</v>
      </c>
      <c r="C740" s="49"/>
      <c r="D740" s="72" t="s">
        <v>644</v>
      </c>
      <c r="E740" s="49" t="s">
        <v>3754</v>
      </c>
      <c r="F740" s="49"/>
      <c r="G740" s="49"/>
      <c r="H740" s="49" t="s">
        <v>646</v>
      </c>
      <c r="I740" s="49" t="s">
        <v>7970</v>
      </c>
      <c r="J740" s="49" t="s">
        <v>7968</v>
      </c>
      <c r="K740" s="49" t="s">
        <v>7969</v>
      </c>
      <c r="L740" s="49">
        <v>0</v>
      </c>
      <c r="M740" s="49" t="s">
        <v>2220</v>
      </c>
      <c r="N740" s="49" t="s">
        <v>7971</v>
      </c>
      <c r="P740" s="49" t="s">
        <v>7972</v>
      </c>
      <c r="Q740" s="49">
        <v>0</v>
      </c>
      <c r="R740" s="49" t="s">
        <v>7973</v>
      </c>
      <c r="S740" s="49" t="s">
        <v>7974</v>
      </c>
      <c r="T740" s="49" t="s">
        <v>646</v>
      </c>
      <c r="U740" s="49" t="s">
        <v>670</v>
      </c>
      <c r="V740" s="49" t="e">
        <v>#REF!</v>
      </c>
      <c r="AC740" s="49"/>
      <c r="AD740" s="49"/>
    </row>
    <row r="741" spans="1:30" hidden="1" x14ac:dyDescent="0.3">
      <c r="A741" s="49" t="s">
        <v>7975</v>
      </c>
      <c r="B741" s="49">
        <v>0</v>
      </c>
      <c r="C741" s="49"/>
      <c r="D741" s="72" t="s">
        <v>644</v>
      </c>
      <c r="E741" s="49" t="s">
        <v>3754</v>
      </c>
      <c r="F741" s="49"/>
      <c r="G741" s="49"/>
      <c r="H741" s="49" t="s">
        <v>646</v>
      </c>
      <c r="I741" s="49" t="s">
        <v>7978</v>
      </c>
      <c r="J741" s="49" t="s">
        <v>7976</v>
      </c>
      <c r="K741" s="49" t="s">
        <v>7977</v>
      </c>
      <c r="L741" s="49">
        <v>0</v>
      </c>
      <c r="M741" s="49" t="s">
        <v>2484</v>
      </c>
      <c r="N741" s="49" t="s">
        <v>7979</v>
      </c>
      <c r="O741" s="49">
        <v>2</v>
      </c>
      <c r="P741" s="49" t="s">
        <v>7980</v>
      </c>
      <c r="Q741" s="49">
        <v>0</v>
      </c>
      <c r="R741" s="49" t="s">
        <v>7981</v>
      </c>
      <c r="S741" s="49" t="s">
        <v>7982</v>
      </c>
      <c r="T741" s="49" t="s">
        <v>646</v>
      </c>
      <c r="U741" s="49" t="s">
        <v>670</v>
      </c>
      <c r="V741" s="49" t="e">
        <v>#REF!</v>
      </c>
      <c r="AC741" s="49"/>
      <c r="AD741" s="49"/>
    </row>
    <row r="742" spans="1:30" hidden="1" x14ac:dyDescent="0.3">
      <c r="A742" s="49" t="s">
        <v>7983</v>
      </c>
      <c r="B742" s="49">
        <v>0</v>
      </c>
      <c r="C742" s="49"/>
      <c r="D742" s="72" t="s">
        <v>644</v>
      </c>
      <c r="E742" s="49" t="s">
        <v>3754</v>
      </c>
      <c r="F742" s="49"/>
      <c r="G742" s="49"/>
      <c r="H742" s="49" t="s">
        <v>7984</v>
      </c>
      <c r="I742" s="49" t="s">
        <v>7987</v>
      </c>
      <c r="J742" s="49" t="s">
        <v>7985</v>
      </c>
      <c r="K742" s="49" t="s">
        <v>7986</v>
      </c>
      <c r="L742" s="49">
        <v>0</v>
      </c>
      <c r="M742" s="49" t="s">
        <v>1817</v>
      </c>
      <c r="N742" s="49" t="s">
        <v>7384</v>
      </c>
      <c r="O742" s="49">
        <v>21</v>
      </c>
      <c r="P742" s="49" t="s">
        <v>7988</v>
      </c>
      <c r="Q742" s="49">
        <v>0</v>
      </c>
      <c r="R742" s="49" t="s">
        <v>7989</v>
      </c>
      <c r="S742" s="49" t="s">
        <v>7990</v>
      </c>
      <c r="T742" s="49" t="s">
        <v>7991</v>
      </c>
      <c r="U742" s="49" t="s">
        <v>670</v>
      </c>
      <c r="V742" s="49" t="e">
        <v>#REF!</v>
      </c>
      <c r="AC742" s="49"/>
      <c r="AD742" s="49"/>
    </row>
    <row r="743" spans="1:30" hidden="1" x14ac:dyDescent="0.3">
      <c r="A743" s="49" t="s">
        <v>7992</v>
      </c>
      <c r="B743" s="49">
        <v>0</v>
      </c>
      <c r="C743" s="49"/>
      <c r="D743" s="72" t="s">
        <v>644</v>
      </c>
      <c r="E743" s="49" t="s">
        <v>3754</v>
      </c>
      <c r="F743" s="49"/>
      <c r="G743" s="49"/>
      <c r="H743" s="49" t="s">
        <v>7993</v>
      </c>
      <c r="I743" s="49" t="s">
        <v>7996</v>
      </c>
      <c r="J743" s="49" t="s">
        <v>7994</v>
      </c>
      <c r="K743" s="49" t="s">
        <v>7995</v>
      </c>
      <c r="L743" s="49">
        <v>0</v>
      </c>
      <c r="M743" s="49" t="s">
        <v>1865</v>
      </c>
      <c r="N743" s="49" t="s">
        <v>7997</v>
      </c>
      <c r="O743" s="49">
        <v>1</v>
      </c>
      <c r="P743" s="49" t="s">
        <v>7998</v>
      </c>
      <c r="Q743" s="49">
        <v>0</v>
      </c>
      <c r="R743" s="49" t="s">
        <v>7999</v>
      </c>
      <c r="S743" s="49" t="s">
        <v>8000</v>
      </c>
      <c r="T743" s="49" t="s">
        <v>8001</v>
      </c>
      <c r="U743" s="49" t="s">
        <v>646</v>
      </c>
      <c r="V743" s="49" t="e">
        <v>#REF!</v>
      </c>
      <c r="AC743" s="49"/>
      <c r="AD743" s="49"/>
    </row>
    <row r="744" spans="1:30" hidden="1" x14ac:dyDescent="0.3">
      <c r="A744" s="49" t="s">
        <v>8002</v>
      </c>
      <c r="B744" s="49">
        <v>0</v>
      </c>
      <c r="C744" s="49"/>
      <c r="D744" s="72" t="s">
        <v>644</v>
      </c>
      <c r="E744" s="49" t="s">
        <v>3754</v>
      </c>
      <c r="F744" s="49"/>
      <c r="G744" s="49"/>
      <c r="H744" s="49" t="s">
        <v>8003</v>
      </c>
      <c r="I744" s="49" t="s">
        <v>8006</v>
      </c>
      <c r="J744" s="49" t="s">
        <v>8004</v>
      </c>
      <c r="K744" s="49" t="s">
        <v>8005</v>
      </c>
      <c r="L744" s="49">
        <v>0</v>
      </c>
      <c r="M744" s="49" t="s">
        <v>2456</v>
      </c>
      <c r="N744" s="49" t="s">
        <v>8007</v>
      </c>
      <c r="O744" s="49">
        <v>114</v>
      </c>
      <c r="P744" s="49" t="s">
        <v>8008</v>
      </c>
      <c r="Q744" s="49">
        <v>0</v>
      </c>
      <c r="R744" s="49" t="s">
        <v>8009</v>
      </c>
      <c r="S744" s="49" t="s">
        <v>8010</v>
      </c>
      <c r="T744" s="49" t="s">
        <v>8011</v>
      </c>
      <c r="U744" s="49" t="s">
        <v>670</v>
      </c>
      <c r="V744" s="49" t="e">
        <v>#REF!</v>
      </c>
      <c r="AC744" s="49"/>
      <c r="AD744" s="49"/>
    </row>
    <row r="745" spans="1:30" hidden="1" x14ac:dyDescent="0.3">
      <c r="A745" s="49" t="s">
        <v>8012</v>
      </c>
      <c r="B745" s="49">
        <v>0</v>
      </c>
      <c r="C745" s="49"/>
      <c r="D745" s="72" t="s">
        <v>644</v>
      </c>
      <c r="E745" s="49" t="s">
        <v>3754</v>
      </c>
      <c r="F745" s="49"/>
      <c r="G745" s="49"/>
      <c r="H745" s="49" t="s">
        <v>8013</v>
      </c>
      <c r="I745" s="49" t="s">
        <v>8016</v>
      </c>
      <c r="J745" s="49" t="s">
        <v>8014</v>
      </c>
      <c r="K745" s="49" t="s">
        <v>8015</v>
      </c>
      <c r="L745" s="49">
        <v>0</v>
      </c>
      <c r="M745" s="49" t="s">
        <v>1865</v>
      </c>
      <c r="N745" s="49" t="s">
        <v>2036</v>
      </c>
      <c r="O745" s="49">
        <v>3</v>
      </c>
      <c r="P745" s="49" t="s">
        <v>8017</v>
      </c>
      <c r="Q745" s="49">
        <v>0</v>
      </c>
      <c r="R745" s="49" t="s">
        <v>8018</v>
      </c>
      <c r="S745" s="49" t="s">
        <v>8019</v>
      </c>
      <c r="T745" s="49" t="s">
        <v>8020</v>
      </c>
      <c r="U745" s="49" t="s">
        <v>655</v>
      </c>
      <c r="V745" s="49" t="e">
        <v>#REF!</v>
      </c>
      <c r="AC745" s="49"/>
      <c r="AD745" s="49"/>
    </row>
    <row r="746" spans="1:30" hidden="1" x14ac:dyDescent="0.3">
      <c r="A746" s="49" t="s">
        <v>8021</v>
      </c>
      <c r="B746" s="49">
        <v>0</v>
      </c>
      <c r="C746" s="49"/>
      <c r="D746" s="72" t="s">
        <v>644</v>
      </c>
      <c r="E746" s="49" t="s">
        <v>3754</v>
      </c>
      <c r="F746" s="49"/>
      <c r="G746" s="49"/>
      <c r="H746" s="49" t="s">
        <v>8022</v>
      </c>
      <c r="I746" s="49" t="s">
        <v>8025</v>
      </c>
      <c r="J746" s="49" t="s">
        <v>8023</v>
      </c>
      <c r="K746" s="49" t="s">
        <v>8024</v>
      </c>
      <c r="L746" s="49">
        <v>0</v>
      </c>
      <c r="M746" s="49" t="s">
        <v>4084</v>
      </c>
      <c r="N746" s="49" t="s">
        <v>2939</v>
      </c>
      <c r="O746" s="49">
        <v>12</v>
      </c>
      <c r="P746" s="49" t="s">
        <v>8026</v>
      </c>
      <c r="Q746" s="49">
        <v>0</v>
      </c>
      <c r="R746" s="49" t="s">
        <v>8027</v>
      </c>
      <c r="S746" s="49" t="s">
        <v>8028</v>
      </c>
      <c r="T746" s="49" t="s">
        <v>646</v>
      </c>
      <c r="U746" s="49" t="s">
        <v>655</v>
      </c>
      <c r="V746" s="49" t="e">
        <v>#REF!</v>
      </c>
      <c r="AC746" s="49"/>
      <c r="AD746" s="49"/>
    </row>
    <row r="747" spans="1:30" hidden="1" x14ac:dyDescent="0.3">
      <c r="A747" s="49" t="s">
        <v>8029</v>
      </c>
      <c r="B747" s="49">
        <v>0</v>
      </c>
      <c r="C747" s="49"/>
      <c r="D747" s="72" t="s">
        <v>644</v>
      </c>
      <c r="E747" s="49" t="s">
        <v>3754</v>
      </c>
      <c r="F747" s="49"/>
      <c r="G747" s="49"/>
      <c r="H747" s="49" t="s">
        <v>8030</v>
      </c>
      <c r="I747" s="49" t="s">
        <v>8033</v>
      </c>
      <c r="J747" s="49" t="s">
        <v>8031</v>
      </c>
      <c r="K747" s="49" t="s">
        <v>8032</v>
      </c>
      <c r="L747" s="49">
        <v>0</v>
      </c>
      <c r="M747" s="49" t="s">
        <v>1777</v>
      </c>
      <c r="N747" s="49" t="s">
        <v>4381</v>
      </c>
      <c r="O747" s="49">
        <v>13</v>
      </c>
      <c r="P747" s="49" t="s">
        <v>8034</v>
      </c>
      <c r="Q747" s="49">
        <v>0</v>
      </c>
      <c r="R747" s="49" t="s">
        <v>8035</v>
      </c>
      <c r="S747" s="49" t="s">
        <v>8036</v>
      </c>
      <c r="T747" s="49" t="s">
        <v>8037</v>
      </c>
      <c r="U747" s="49" t="s">
        <v>655</v>
      </c>
      <c r="V747" s="49" t="e">
        <v>#REF!</v>
      </c>
      <c r="AC747" s="49"/>
      <c r="AD747" s="49"/>
    </row>
    <row r="748" spans="1:30" hidden="1" x14ac:dyDescent="0.3">
      <c r="A748" s="49" t="s">
        <v>8038</v>
      </c>
      <c r="B748" s="49">
        <v>0</v>
      </c>
      <c r="C748" s="49"/>
      <c r="D748" s="72" t="s">
        <v>644</v>
      </c>
      <c r="E748" s="49" t="s">
        <v>3754</v>
      </c>
      <c r="F748" s="49"/>
      <c r="G748" s="49"/>
      <c r="H748" s="49" t="s">
        <v>8039</v>
      </c>
      <c r="I748" s="49" t="s">
        <v>8042</v>
      </c>
      <c r="J748" s="49" t="s">
        <v>8040</v>
      </c>
      <c r="K748" s="49" t="s">
        <v>8041</v>
      </c>
      <c r="L748" s="49">
        <v>0</v>
      </c>
      <c r="M748" s="49" t="s">
        <v>1826</v>
      </c>
      <c r="N748" s="49" t="s">
        <v>8043</v>
      </c>
      <c r="P748" s="49" t="s">
        <v>8044</v>
      </c>
      <c r="Q748" s="49">
        <v>0</v>
      </c>
      <c r="R748" s="49" t="s">
        <v>8045</v>
      </c>
      <c r="S748" s="49" t="s">
        <v>8046</v>
      </c>
      <c r="T748" s="49" t="s">
        <v>8047</v>
      </c>
      <c r="U748" s="49" t="s">
        <v>655</v>
      </c>
      <c r="V748" s="49" t="e">
        <v>#REF!</v>
      </c>
      <c r="AC748" s="49"/>
      <c r="AD748" s="49"/>
    </row>
    <row r="749" spans="1:30" hidden="1" x14ac:dyDescent="0.3">
      <c r="A749" s="49" t="s">
        <v>8048</v>
      </c>
      <c r="B749" s="49">
        <v>0</v>
      </c>
      <c r="C749" s="49"/>
      <c r="D749" s="72" t="s">
        <v>644</v>
      </c>
      <c r="E749" s="49" t="s">
        <v>3754</v>
      </c>
      <c r="F749" s="49"/>
      <c r="G749" s="49"/>
      <c r="H749" s="49" t="s">
        <v>8049</v>
      </c>
      <c r="I749" s="49" t="s">
        <v>8052</v>
      </c>
      <c r="J749" s="49" t="s">
        <v>8050</v>
      </c>
      <c r="K749" s="49" t="s">
        <v>8051</v>
      </c>
      <c r="L749" s="49">
        <v>0</v>
      </c>
      <c r="M749" s="49" t="s">
        <v>2484</v>
      </c>
      <c r="N749" s="49" t="s">
        <v>8053</v>
      </c>
      <c r="O749" s="49">
        <v>5</v>
      </c>
      <c r="P749" s="49" t="s">
        <v>8054</v>
      </c>
      <c r="Q749" s="49">
        <v>0</v>
      </c>
      <c r="R749" s="49" t="s">
        <v>8055</v>
      </c>
      <c r="S749" s="49" t="s">
        <v>8056</v>
      </c>
      <c r="T749" s="49" t="s">
        <v>646</v>
      </c>
      <c r="U749" s="49" t="s">
        <v>655</v>
      </c>
      <c r="V749" s="49" t="e">
        <v>#REF!</v>
      </c>
      <c r="AC749" s="49"/>
      <c r="AD749" s="49"/>
    </row>
    <row r="750" spans="1:30" hidden="1" x14ac:dyDescent="0.3">
      <c r="A750" s="49" t="s">
        <v>8057</v>
      </c>
      <c r="B750" s="49">
        <v>0</v>
      </c>
      <c r="C750" s="49"/>
      <c r="D750" s="72" t="s">
        <v>644</v>
      </c>
      <c r="E750" s="49" t="s">
        <v>3754</v>
      </c>
      <c r="F750" s="49"/>
      <c r="G750" s="49"/>
      <c r="H750" s="49" t="s">
        <v>8058</v>
      </c>
      <c r="I750" s="49" t="s">
        <v>8061</v>
      </c>
      <c r="J750" s="49" t="s">
        <v>8059</v>
      </c>
      <c r="K750" s="49" t="s">
        <v>8060</v>
      </c>
      <c r="L750" s="49">
        <v>0</v>
      </c>
      <c r="M750" s="49" t="s">
        <v>1826</v>
      </c>
      <c r="N750" s="49" t="s">
        <v>3534</v>
      </c>
      <c r="O750" s="49">
        <v>18</v>
      </c>
      <c r="P750" s="49" t="s">
        <v>8062</v>
      </c>
      <c r="Q750" s="49">
        <v>0</v>
      </c>
      <c r="R750" s="49" t="s">
        <v>8063</v>
      </c>
      <c r="S750" s="49" t="s">
        <v>8064</v>
      </c>
      <c r="T750" s="49" t="s">
        <v>8065</v>
      </c>
      <c r="U750" s="49" t="s">
        <v>655</v>
      </c>
      <c r="V750" s="49" t="e">
        <v>#REF!</v>
      </c>
      <c r="AC750" s="49"/>
      <c r="AD750" s="49"/>
    </row>
    <row r="751" spans="1:30" hidden="1" x14ac:dyDescent="0.3">
      <c r="A751" s="49" t="s">
        <v>8066</v>
      </c>
      <c r="B751" s="49">
        <v>0</v>
      </c>
      <c r="C751" s="49"/>
      <c r="D751" s="72" t="s">
        <v>644</v>
      </c>
      <c r="E751" s="49" t="s">
        <v>3754</v>
      </c>
      <c r="F751" s="49"/>
      <c r="G751" s="49"/>
      <c r="H751" s="49" t="s">
        <v>646</v>
      </c>
      <c r="I751" s="49" t="s">
        <v>8069</v>
      </c>
      <c r="J751" s="49" t="s">
        <v>8067</v>
      </c>
      <c r="K751" s="49" t="s">
        <v>8068</v>
      </c>
      <c r="L751" s="49">
        <v>0</v>
      </c>
      <c r="M751" s="49" t="s">
        <v>1826</v>
      </c>
      <c r="N751" s="49" t="s">
        <v>3543</v>
      </c>
      <c r="O751" s="49">
        <v>10</v>
      </c>
      <c r="P751" s="49" t="s">
        <v>8070</v>
      </c>
      <c r="Q751" s="49">
        <v>0</v>
      </c>
      <c r="R751" s="49" t="s">
        <v>8071</v>
      </c>
      <c r="S751" s="49" t="s">
        <v>8072</v>
      </c>
      <c r="T751" s="49" t="s">
        <v>646</v>
      </c>
      <c r="U751" s="49" t="s">
        <v>670</v>
      </c>
      <c r="V751" s="49" t="e">
        <v>#REF!</v>
      </c>
      <c r="AC751" s="49"/>
      <c r="AD751" s="49"/>
    </row>
    <row r="752" spans="1:30" hidden="1" x14ac:dyDescent="0.3">
      <c r="A752" s="49" t="s">
        <v>8073</v>
      </c>
      <c r="B752" s="49">
        <v>0</v>
      </c>
      <c r="C752" s="49"/>
      <c r="D752" s="72" t="s">
        <v>644</v>
      </c>
      <c r="E752" s="49" t="s">
        <v>3754</v>
      </c>
      <c r="F752" s="49"/>
      <c r="G752" s="49"/>
      <c r="H752" s="49" t="s">
        <v>8074</v>
      </c>
      <c r="I752" s="49" t="s">
        <v>8077</v>
      </c>
      <c r="J752" s="49" t="s">
        <v>8075</v>
      </c>
      <c r="K752" s="49" t="s">
        <v>8076</v>
      </c>
      <c r="L752" s="49">
        <v>0</v>
      </c>
      <c r="M752" s="49" t="s">
        <v>4519</v>
      </c>
      <c r="N752" s="49" t="s">
        <v>8078</v>
      </c>
      <c r="O752" s="49">
        <v>11</v>
      </c>
      <c r="P752" s="49" t="s">
        <v>8079</v>
      </c>
      <c r="Q752" s="49">
        <v>0</v>
      </c>
      <c r="R752" s="49" t="s">
        <v>8080</v>
      </c>
      <c r="S752" s="49" t="s">
        <v>8081</v>
      </c>
      <c r="T752" s="49" t="s">
        <v>8082</v>
      </c>
      <c r="U752" s="49" t="s">
        <v>791</v>
      </c>
      <c r="V752" s="49" t="e">
        <v>#REF!</v>
      </c>
      <c r="AC752" s="49"/>
      <c r="AD752" s="49"/>
    </row>
    <row r="753" spans="1:30" hidden="1" x14ac:dyDescent="0.3">
      <c r="A753" s="49" t="s">
        <v>8083</v>
      </c>
      <c r="B753" s="49">
        <v>0</v>
      </c>
      <c r="C753" s="49"/>
      <c r="D753" s="72" t="s">
        <v>644</v>
      </c>
      <c r="E753" s="49" t="s">
        <v>3754</v>
      </c>
      <c r="F753" s="49"/>
      <c r="G753" s="49"/>
      <c r="H753" s="49" t="s">
        <v>8084</v>
      </c>
      <c r="I753" s="49" t="s">
        <v>8087</v>
      </c>
      <c r="J753" s="49" t="s">
        <v>8085</v>
      </c>
      <c r="K753" s="49" t="s">
        <v>8086</v>
      </c>
      <c r="L753" s="49">
        <v>0</v>
      </c>
      <c r="M753" s="49" t="s">
        <v>2142</v>
      </c>
      <c r="N753" s="49" t="s">
        <v>8088</v>
      </c>
      <c r="P753" s="49" t="s">
        <v>8089</v>
      </c>
      <c r="Q753" s="49">
        <v>0</v>
      </c>
      <c r="R753" s="49" t="s">
        <v>8090</v>
      </c>
      <c r="S753" s="49" t="s">
        <v>8091</v>
      </c>
      <c r="T753" s="49" t="s">
        <v>646</v>
      </c>
      <c r="U753" s="49" t="s">
        <v>655</v>
      </c>
      <c r="V753" s="49" t="e">
        <v>#REF!</v>
      </c>
      <c r="AC753" s="49"/>
      <c r="AD753" s="49"/>
    </row>
    <row r="754" spans="1:30" hidden="1" x14ac:dyDescent="0.3">
      <c r="A754" s="49" t="s">
        <v>8092</v>
      </c>
      <c r="B754" s="49">
        <v>0</v>
      </c>
      <c r="C754" s="49"/>
      <c r="D754" s="72" t="s">
        <v>644</v>
      </c>
      <c r="E754" s="49" t="s">
        <v>3754</v>
      </c>
      <c r="F754" s="49"/>
      <c r="G754" s="49"/>
      <c r="H754" s="49" t="s">
        <v>8093</v>
      </c>
      <c r="I754" s="49" t="s">
        <v>8096</v>
      </c>
      <c r="J754" s="49" t="s">
        <v>8094</v>
      </c>
      <c r="K754" s="49" t="s">
        <v>8095</v>
      </c>
      <c r="L754" s="49">
        <v>0</v>
      </c>
      <c r="M754" s="49" t="s">
        <v>5600</v>
      </c>
      <c r="N754" s="49" t="s">
        <v>8097</v>
      </c>
      <c r="O754" s="49">
        <v>3</v>
      </c>
      <c r="P754" s="49" t="s">
        <v>8098</v>
      </c>
      <c r="Q754" s="49">
        <v>0</v>
      </c>
      <c r="R754" s="49" t="s">
        <v>8099</v>
      </c>
      <c r="S754" s="49" t="s">
        <v>8100</v>
      </c>
      <c r="T754" s="49" t="s">
        <v>8101</v>
      </c>
      <c r="U754" s="49" t="s">
        <v>655</v>
      </c>
      <c r="V754" s="49" t="e">
        <v>#REF!</v>
      </c>
      <c r="AC754" s="49"/>
      <c r="AD754" s="49"/>
    </row>
    <row r="755" spans="1:30" hidden="1" x14ac:dyDescent="0.3">
      <c r="A755" s="49" t="s">
        <v>8102</v>
      </c>
      <c r="B755" s="49">
        <v>0</v>
      </c>
      <c r="C755" s="49"/>
      <c r="D755" s="72" t="s">
        <v>644</v>
      </c>
      <c r="E755" s="49" t="s">
        <v>3754</v>
      </c>
      <c r="F755" s="49"/>
      <c r="G755" s="49"/>
      <c r="H755" s="49" t="s">
        <v>8103</v>
      </c>
      <c r="I755" s="49" t="s">
        <v>8106</v>
      </c>
      <c r="J755" s="49" t="s">
        <v>8104</v>
      </c>
      <c r="K755" s="49" t="s">
        <v>8105</v>
      </c>
      <c r="L755" s="49">
        <v>0</v>
      </c>
      <c r="M755" s="49" t="s">
        <v>2142</v>
      </c>
      <c r="N755" s="49" t="s">
        <v>4661</v>
      </c>
      <c r="O755" s="49">
        <v>21</v>
      </c>
      <c r="P755" s="49" t="s">
        <v>8107</v>
      </c>
      <c r="Q755" s="49">
        <v>0</v>
      </c>
      <c r="R755" s="49" t="s">
        <v>8108</v>
      </c>
      <c r="S755" s="49" t="s">
        <v>8109</v>
      </c>
      <c r="T755" s="49" t="s">
        <v>8110</v>
      </c>
      <c r="U755" s="49" t="s">
        <v>655</v>
      </c>
      <c r="V755" s="49" t="e">
        <v>#REF!</v>
      </c>
      <c r="AC755" s="49"/>
      <c r="AD755" s="49"/>
    </row>
    <row r="756" spans="1:30" hidden="1" x14ac:dyDescent="0.3">
      <c r="A756" s="49" t="s">
        <v>8111</v>
      </c>
      <c r="B756" s="49">
        <v>0</v>
      </c>
      <c r="C756" s="49"/>
      <c r="D756" s="72" t="s">
        <v>644</v>
      </c>
      <c r="E756" s="49" t="s">
        <v>3754</v>
      </c>
      <c r="F756" s="49"/>
      <c r="G756" s="49"/>
      <c r="H756" s="49" t="s">
        <v>8112</v>
      </c>
      <c r="I756" s="49" t="s">
        <v>8115</v>
      </c>
      <c r="J756" s="49" t="s">
        <v>8113</v>
      </c>
      <c r="K756" s="49" t="s">
        <v>8114</v>
      </c>
      <c r="L756" s="49">
        <v>0</v>
      </c>
      <c r="M756" s="49" t="s">
        <v>2220</v>
      </c>
      <c r="N756" s="49" t="s">
        <v>818</v>
      </c>
      <c r="P756" s="49" t="s">
        <v>8116</v>
      </c>
      <c r="Q756" s="49">
        <v>0</v>
      </c>
      <c r="R756" s="49" t="s">
        <v>8117</v>
      </c>
      <c r="S756" s="49" t="s">
        <v>8118</v>
      </c>
      <c r="T756" s="49" t="s">
        <v>8119</v>
      </c>
      <c r="U756" s="49" t="s">
        <v>670</v>
      </c>
      <c r="V756" s="49" t="e">
        <v>#REF!</v>
      </c>
      <c r="AC756" s="49"/>
      <c r="AD756" s="49"/>
    </row>
    <row r="757" spans="1:30" hidden="1" x14ac:dyDescent="0.3">
      <c r="A757" s="49" t="s">
        <v>8120</v>
      </c>
      <c r="B757" s="49">
        <v>0</v>
      </c>
      <c r="C757" s="49"/>
      <c r="D757" s="72" t="s">
        <v>644</v>
      </c>
      <c r="E757" s="49" t="s">
        <v>3754</v>
      </c>
      <c r="F757" s="49"/>
      <c r="G757" s="49"/>
      <c r="H757" s="49" t="s">
        <v>8121</v>
      </c>
      <c r="I757" s="49" t="s">
        <v>8124</v>
      </c>
      <c r="J757" s="49" t="s">
        <v>8122</v>
      </c>
      <c r="K757" s="49" t="s">
        <v>8123</v>
      </c>
      <c r="L757" s="49">
        <v>0</v>
      </c>
      <c r="M757" s="49" t="s">
        <v>2142</v>
      </c>
      <c r="N757" s="49" t="s">
        <v>8125</v>
      </c>
      <c r="O757" s="49">
        <v>28</v>
      </c>
      <c r="P757" s="49" t="s">
        <v>8126</v>
      </c>
      <c r="Q757" s="49">
        <v>0</v>
      </c>
      <c r="R757" s="49" t="s">
        <v>8127</v>
      </c>
      <c r="S757" s="49" t="s">
        <v>8128</v>
      </c>
      <c r="T757" s="49" t="s">
        <v>8129</v>
      </c>
      <c r="U757" s="49" t="s">
        <v>655</v>
      </c>
      <c r="V757" s="49" t="e">
        <v>#REF!</v>
      </c>
      <c r="AC757" s="49"/>
      <c r="AD757" s="49"/>
    </row>
    <row r="758" spans="1:30" hidden="1" x14ac:dyDescent="0.3">
      <c r="A758" s="49" t="s">
        <v>8130</v>
      </c>
      <c r="B758" s="49">
        <v>0</v>
      </c>
      <c r="C758" s="49"/>
      <c r="D758" s="72" t="s">
        <v>644</v>
      </c>
      <c r="E758" s="49" t="s">
        <v>3754</v>
      </c>
      <c r="F758" s="49"/>
      <c r="G758" s="49"/>
      <c r="H758" s="49" t="s">
        <v>646</v>
      </c>
      <c r="I758" s="49" t="s">
        <v>8133</v>
      </c>
      <c r="J758" s="49" t="s">
        <v>8131</v>
      </c>
      <c r="K758" s="49" t="s">
        <v>8132</v>
      </c>
      <c r="L758" s="49">
        <v>0</v>
      </c>
      <c r="M758" s="49" t="s">
        <v>4064</v>
      </c>
      <c r="N758" s="49" t="s">
        <v>8134</v>
      </c>
      <c r="O758" s="49">
        <v>6</v>
      </c>
      <c r="P758" s="49" t="s">
        <v>8135</v>
      </c>
      <c r="Q758" s="49">
        <v>0</v>
      </c>
      <c r="R758" s="49" t="s">
        <v>8136</v>
      </c>
      <c r="S758" s="49" t="s">
        <v>8137</v>
      </c>
      <c r="T758" s="49" t="s">
        <v>8138</v>
      </c>
      <c r="U758" s="49" t="s">
        <v>670</v>
      </c>
      <c r="V758" s="49" t="e">
        <v>#REF!</v>
      </c>
      <c r="AC758" s="49"/>
      <c r="AD758" s="49"/>
    </row>
    <row r="759" spans="1:30" hidden="1" x14ac:dyDescent="0.3">
      <c r="A759" s="49" t="s">
        <v>8139</v>
      </c>
      <c r="B759" s="49">
        <v>0</v>
      </c>
      <c r="C759" s="49"/>
      <c r="D759" s="72" t="s">
        <v>644</v>
      </c>
      <c r="E759" s="49" t="s">
        <v>3754</v>
      </c>
      <c r="F759" s="49"/>
      <c r="G759" s="49"/>
      <c r="H759" s="49" t="s">
        <v>8140</v>
      </c>
      <c r="I759" s="49" t="s">
        <v>8143</v>
      </c>
      <c r="J759" s="49" t="s">
        <v>8141</v>
      </c>
      <c r="K759" s="49" t="s">
        <v>8142</v>
      </c>
      <c r="L759" s="49">
        <v>0</v>
      </c>
      <c r="M759" s="49" t="s">
        <v>2456</v>
      </c>
      <c r="N759" s="49" t="s">
        <v>5276</v>
      </c>
      <c r="O759" s="49">
        <v>69</v>
      </c>
      <c r="P759" s="49" t="s">
        <v>8144</v>
      </c>
      <c r="Q759" s="49">
        <v>0</v>
      </c>
      <c r="R759" s="49" t="s">
        <v>8145</v>
      </c>
      <c r="S759" s="49" t="s">
        <v>8146</v>
      </c>
      <c r="T759" s="49" t="s">
        <v>8147</v>
      </c>
      <c r="U759" s="49" t="s">
        <v>670</v>
      </c>
      <c r="V759" s="49" t="e">
        <v>#REF!</v>
      </c>
      <c r="AC759" s="49"/>
      <c r="AD759" s="49"/>
    </row>
    <row r="760" spans="1:30" hidden="1" x14ac:dyDescent="0.3">
      <c r="A760" s="49" t="s">
        <v>8148</v>
      </c>
      <c r="B760" s="49">
        <v>0</v>
      </c>
      <c r="C760" s="49"/>
      <c r="D760" s="72" t="s">
        <v>644</v>
      </c>
      <c r="E760" s="49" t="s">
        <v>3754</v>
      </c>
      <c r="F760" s="49"/>
      <c r="G760" s="49"/>
      <c r="H760" s="49" t="s">
        <v>8149</v>
      </c>
      <c r="I760" s="49" t="s">
        <v>8152</v>
      </c>
      <c r="J760" s="49" t="s">
        <v>8150</v>
      </c>
      <c r="K760" s="49" t="s">
        <v>8151</v>
      </c>
      <c r="L760" s="49">
        <v>0</v>
      </c>
      <c r="M760" s="49" t="s">
        <v>4103</v>
      </c>
      <c r="N760" s="49" t="s">
        <v>8153</v>
      </c>
      <c r="O760" s="49">
        <v>41</v>
      </c>
      <c r="P760" s="49" t="s">
        <v>8154</v>
      </c>
      <c r="Q760" s="49">
        <v>0</v>
      </c>
      <c r="R760" s="49" t="s">
        <v>8155</v>
      </c>
      <c r="S760" s="49" t="s">
        <v>8156</v>
      </c>
      <c r="T760" s="49" t="s">
        <v>8157</v>
      </c>
      <c r="U760" s="49" t="s">
        <v>670</v>
      </c>
      <c r="V760" s="49" t="e">
        <v>#REF!</v>
      </c>
      <c r="AC760" s="49"/>
      <c r="AD760" s="49"/>
    </row>
    <row r="761" spans="1:30" hidden="1" x14ac:dyDescent="0.3">
      <c r="A761" s="49" t="s">
        <v>8158</v>
      </c>
      <c r="B761" s="49">
        <v>0</v>
      </c>
      <c r="C761" s="49"/>
      <c r="D761" s="72" t="s">
        <v>644</v>
      </c>
      <c r="E761" s="49" t="s">
        <v>3754</v>
      </c>
      <c r="F761" s="49"/>
      <c r="G761" s="49"/>
      <c r="H761" s="49" t="s">
        <v>8159</v>
      </c>
      <c r="I761" s="49" t="s">
        <v>8162</v>
      </c>
      <c r="J761" s="49" t="s">
        <v>8160</v>
      </c>
      <c r="K761" s="49" t="s">
        <v>8161</v>
      </c>
      <c r="L761" s="49">
        <v>0</v>
      </c>
      <c r="M761" s="49" t="s">
        <v>2142</v>
      </c>
      <c r="N761" s="49" t="s">
        <v>3761</v>
      </c>
      <c r="O761" s="49">
        <v>4</v>
      </c>
      <c r="P761" s="49" t="s">
        <v>8163</v>
      </c>
      <c r="Q761" s="49">
        <v>0</v>
      </c>
      <c r="R761" s="49" t="s">
        <v>8164</v>
      </c>
      <c r="S761" s="49" t="s">
        <v>8165</v>
      </c>
      <c r="T761" s="49" t="s">
        <v>8166</v>
      </c>
      <c r="U761" s="49" t="s">
        <v>655</v>
      </c>
      <c r="V761" s="49" t="e">
        <v>#REF!</v>
      </c>
      <c r="AC761" s="49"/>
      <c r="AD761" s="49"/>
    </row>
    <row r="762" spans="1:30" hidden="1" x14ac:dyDescent="0.3">
      <c r="A762" s="49" t="s">
        <v>8167</v>
      </c>
      <c r="B762" s="49">
        <v>0</v>
      </c>
      <c r="C762" s="49"/>
      <c r="D762" s="72" t="s">
        <v>644</v>
      </c>
      <c r="E762" s="49" t="s">
        <v>3754</v>
      </c>
      <c r="F762" s="49"/>
      <c r="G762" s="49"/>
      <c r="H762" s="49" t="s">
        <v>8168</v>
      </c>
      <c r="I762" s="49" t="s">
        <v>8171</v>
      </c>
      <c r="J762" s="49" t="s">
        <v>8169</v>
      </c>
      <c r="K762" s="49" t="s">
        <v>8170</v>
      </c>
      <c r="L762" s="49">
        <v>0</v>
      </c>
      <c r="M762" s="49" t="s">
        <v>1764</v>
      </c>
      <c r="N762" s="49" t="s">
        <v>5884</v>
      </c>
      <c r="O762" s="49">
        <v>26</v>
      </c>
      <c r="P762" s="49" t="s">
        <v>8172</v>
      </c>
      <c r="Q762" s="49">
        <v>0</v>
      </c>
      <c r="R762" s="49" t="s">
        <v>8173</v>
      </c>
      <c r="S762" s="49" t="s">
        <v>8174</v>
      </c>
      <c r="T762" s="49" t="s">
        <v>8175</v>
      </c>
      <c r="U762" s="49" t="s">
        <v>655</v>
      </c>
      <c r="V762" s="49" t="e">
        <v>#REF!</v>
      </c>
      <c r="AC762" s="49"/>
      <c r="AD762" s="49"/>
    </row>
    <row r="763" spans="1:30" hidden="1" x14ac:dyDescent="0.3">
      <c r="A763" s="49" t="s">
        <v>8176</v>
      </c>
      <c r="B763" s="49">
        <v>0</v>
      </c>
      <c r="C763" s="49"/>
      <c r="D763" s="72" t="s">
        <v>644</v>
      </c>
      <c r="E763" s="49" t="s">
        <v>3754</v>
      </c>
      <c r="F763" s="49"/>
      <c r="G763" s="49"/>
      <c r="H763" s="49" t="s">
        <v>8177</v>
      </c>
      <c r="I763" s="49" t="s">
        <v>8180</v>
      </c>
      <c r="J763" s="49" t="s">
        <v>8178</v>
      </c>
      <c r="K763" s="49" t="s">
        <v>8179</v>
      </c>
      <c r="L763" s="49">
        <v>0</v>
      </c>
      <c r="M763" s="49" t="s">
        <v>2484</v>
      </c>
      <c r="N763" s="49" t="s">
        <v>5425</v>
      </c>
      <c r="O763" s="49">
        <v>13</v>
      </c>
      <c r="P763" s="49" t="s">
        <v>8181</v>
      </c>
      <c r="Q763" s="49">
        <v>0</v>
      </c>
      <c r="R763" s="49" t="s">
        <v>7154</v>
      </c>
      <c r="S763" s="49" t="s">
        <v>8182</v>
      </c>
      <c r="T763" s="49" t="s">
        <v>8183</v>
      </c>
      <c r="U763" s="49" t="s">
        <v>655</v>
      </c>
      <c r="V763" s="49" t="e">
        <v>#REF!</v>
      </c>
      <c r="AC763" s="49"/>
      <c r="AD763" s="49"/>
    </row>
    <row r="764" spans="1:30" hidden="1" x14ac:dyDescent="0.3">
      <c r="A764" s="49" t="s">
        <v>8184</v>
      </c>
      <c r="B764" s="49">
        <v>0</v>
      </c>
      <c r="C764" s="49"/>
      <c r="D764" s="72" t="s">
        <v>644</v>
      </c>
      <c r="E764" s="49" t="s">
        <v>3754</v>
      </c>
      <c r="F764" s="49"/>
      <c r="G764" s="49"/>
      <c r="H764" s="49" t="s">
        <v>646</v>
      </c>
      <c r="I764" s="49" t="s">
        <v>8187</v>
      </c>
      <c r="J764" s="49" t="s">
        <v>8185</v>
      </c>
      <c r="K764" s="49" t="s">
        <v>8186</v>
      </c>
      <c r="L764" s="49">
        <v>0</v>
      </c>
      <c r="M764" s="49" t="s">
        <v>1865</v>
      </c>
      <c r="N764" s="49" t="s">
        <v>8188</v>
      </c>
      <c r="O764" s="49">
        <v>1</v>
      </c>
      <c r="P764" s="49" t="s">
        <v>8189</v>
      </c>
      <c r="Q764" s="49">
        <v>0</v>
      </c>
      <c r="R764" s="49" t="s">
        <v>8190</v>
      </c>
      <c r="S764" s="49" t="s">
        <v>8191</v>
      </c>
      <c r="T764" s="49" t="s">
        <v>646</v>
      </c>
      <c r="U764" s="49" t="s">
        <v>670</v>
      </c>
      <c r="V764" s="49" t="e">
        <v>#REF!</v>
      </c>
      <c r="AC764" s="49"/>
      <c r="AD764" s="49"/>
    </row>
    <row r="765" spans="1:30" hidden="1" x14ac:dyDescent="0.3">
      <c r="A765" s="49" t="s">
        <v>8192</v>
      </c>
      <c r="B765" s="49">
        <v>0</v>
      </c>
      <c r="C765" s="49"/>
      <c r="D765" s="72" t="s">
        <v>644</v>
      </c>
      <c r="E765" s="49" t="s">
        <v>3754</v>
      </c>
      <c r="F765" s="49"/>
      <c r="G765" s="49"/>
      <c r="H765" s="49" t="s">
        <v>8193</v>
      </c>
      <c r="I765" s="49" t="s">
        <v>8196</v>
      </c>
      <c r="J765" s="49" t="s">
        <v>8194</v>
      </c>
      <c r="K765" s="49" t="s">
        <v>8195</v>
      </c>
      <c r="L765" s="49">
        <v>0</v>
      </c>
      <c r="M765" s="49" t="s">
        <v>1777</v>
      </c>
      <c r="N765" s="49" t="s">
        <v>8197</v>
      </c>
      <c r="O765" s="49">
        <v>583</v>
      </c>
      <c r="P765" s="49" t="s">
        <v>8198</v>
      </c>
      <c r="Q765" s="49">
        <v>0</v>
      </c>
      <c r="R765" s="49" t="s">
        <v>8199</v>
      </c>
      <c r="S765" s="49" t="s">
        <v>8200</v>
      </c>
      <c r="T765" s="49" t="s">
        <v>646</v>
      </c>
      <c r="U765" s="49" t="s">
        <v>655</v>
      </c>
      <c r="V765" s="49" t="e">
        <v>#REF!</v>
      </c>
      <c r="AC765" s="49"/>
      <c r="AD765" s="49"/>
    </row>
    <row r="766" spans="1:30" hidden="1" x14ac:dyDescent="0.3">
      <c r="A766" s="49" t="s">
        <v>8201</v>
      </c>
      <c r="B766" s="49">
        <v>0</v>
      </c>
      <c r="C766" s="49"/>
      <c r="D766" s="72" t="s">
        <v>644</v>
      </c>
      <c r="E766" s="49" t="s">
        <v>3754</v>
      </c>
      <c r="F766" s="49"/>
      <c r="G766" s="49"/>
      <c r="H766" s="49" t="s">
        <v>8202</v>
      </c>
      <c r="I766" s="49" t="s">
        <v>8205</v>
      </c>
      <c r="J766" s="49" t="s">
        <v>8203</v>
      </c>
      <c r="K766" s="49" t="s">
        <v>8204</v>
      </c>
      <c r="L766" s="49">
        <v>0</v>
      </c>
      <c r="M766" s="49" t="s">
        <v>1826</v>
      </c>
      <c r="N766" s="49" t="s">
        <v>818</v>
      </c>
      <c r="O766" s="49">
        <v>5</v>
      </c>
      <c r="P766" s="49" t="s">
        <v>8206</v>
      </c>
      <c r="Q766" s="49">
        <v>0</v>
      </c>
      <c r="R766" s="49" t="s">
        <v>8207</v>
      </c>
      <c r="S766" s="49" t="s">
        <v>8208</v>
      </c>
      <c r="T766" s="49" t="s">
        <v>8209</v>
      </c>
      <c r="U766" s="49" t="s">
        <v>670</v>
      </c>
      <c r="V766" s="49" t="e">
        <v>#REF!</v>
      </c>
      <c r="AC766" s="49"/>
      <c r="AD766" s="49"/>
    </row>
    <row r="767" spans="1:30" hidden="1" x14ac:dyDescent="0.3">
      <c r="A767" s="49" t="s">
        <v>8210</v>
      </c>
      <c r="B767" s="49">
        <v>0</v>
      </c>
      <c r="C767" s="49"/>
      <c r="D767" s="72" t="s">
        <v>644</v>
      </c>
      <c r="E767" s="49" t="s">
        <v>3754</v>
      </c>
      <c r="F767" s="49"/>
      <c r="G767" s="49"/>
      <c r="H767" s="49" t="s">
        <v>8211</v>
      </c>
      <c r="I767" s="49" t="s">
        <v>8214</v>
      </c>
      <c r="J767" s="49" t="s">
        <v>8212</v>
      </c>
      <c r="K767" s="49" t="s">
        <v>8213</v>
      </c>
      <c r="L767" s="49">
        <v>0</v>
      </c>
      <c r="M767" s="49" t="s">
        <v>1865</v>
      </c>
      <c r="N767" s="49" t="s">
        <v>8215</v>
      </c>
      <c r="O767" s="49">
        <v>2</v>
      </c>
      <c r="P767" s="49" t="s">
        <v>8216</v>
      </c>
      <c r="Q767" s="49">
        <v>0</v>
      </c>
      <c r="R767" s="49" t="s">
        <v>646</v>
      </c>
      <c r="S767" s="49" t="s">
        <v>8217</v>
      </c>
      <c r="T767" s="49" t="s">
        <v>8218</v>
      </c>
      <c r="U767" s="49" t="s">
        <v>655</v>
      </c>
      <c r="V767" s="49" t="e">
        <v>#REF!</v>
      </c>
      <c r="AC767" s="49"/>
      <c r="AD767" s="49"/>
    </row>
    <row r="768" spans="1:30" hidden="1" x14ac:dyDescent="0.3">
      <c r="A768" s="49" t="s">
        <v>8219</v>
      </c>
      <c r="B768" s="49">
        <v>0</v>
      </c>
      <c r="C768" s="49"/>
      <c r="D768" s="72" t="s">
        <v>644</v>
      </c>
      <c r="E768" s="49" t="s">
        <v>3754</v>
      </c>
      <c r="F768" s="49"/>
      <c r="G768" s="49"/>
      <c r="H768" s="49" t="s">
        <v>8220</v>
      </c>
      <c r="I768" s="49" t="s">
        <v>7474</v>
      </c>
      <c r="J768" s="49" t="s">
        <v>7472</v>
      </c>
      <c r="K768" s="49" t="s">
        <v>8221</v>
      </c>
      <c r="L768" s="49">
        <v>0</v>
      </c>
      <c r="M768" s="49" t="s">
        <v>4084</v>
      </c>
      <c r="N768" s="49" t="s">
        <v>1039</v>
      </c>
      <c r="O768" s="49">
        <v>21</v>
      </c>
      <c r="P768" s="49" t="s">
        <v>8222</v>
      </c>
      <c r="Q768" s="49">
        <v>0</v>
      </c>
      <c r="R768" s="49" t="s">
        <v>8223</v>
      </c>
      <c r="S768" s="49" t="s">
        <v>8224</v>
      </c>
      <c r="T768" s="49" t="s">
        <v>8225</v>
      </c>
      <c r="U768" s="49" t="s">
        <v>670</v>
      </c>
      <c r="V768" s="49" t="e">
        <v>#REF!</v>
      </c>
      <c r="AC768" s="49"/>
      <c r="AD768" s="49"/>
    </row>
    <row r="769" spans="1:30" hidden="1" x14ac:dyDescent="0.3">
      <c r="A769" s="49" t="s">
        <v>701</v>
      </c>
      <c r="B769" s="49">
        <v>0</v>
      </c>
      <c r="C769" s="49"/>
      <c r="D769" s="72" t="s">
        <v>644</v>
      </c>
      <c r="E769" s="49" t="s">
        <v>3754</v>
      </c>
      <c r="F769" s="49"/>
      <c r="G769" s="49"/>
      <c r="H769" s="49" t="s">
        <v>703</v>
      </c>
      <c r="I769" s="49" t="s">
        <v>704</v>
      </c>
      <c r="J769" s="49" t="s">
        <v>705</v>
      </c>
      <c r="K769" s="49" t="s">
        <v>706</v>
      </c>
      <c r="L769" s="49">
        <v>0</v>
      </c>
      <c r="M769" s="49" t="s">
        <v>1777</v>
      </c>
      <c r="N769" s="49" t="s">
        <v>708</v>
      </c>
      <c r="O769" s="49">
        <v>94</v>
      </c>
      <c r="P769" s="49" t="s">
        <v>709</v>
      </c>
      <c r="Q769" s="49">
        <v>0</v>
      </c>
      <c r="R769" s="49" t="s">
        <v>711</v>
      </c>
      <c r="S769" s="49" t="s">
        <v>712</v>
      </c>
      <c r="T769" s="49" t="s">
        <v>8226</v>
      </c>
      <c r="U769" s="49" t="s">
        <v>670</v>
      </c>
      <c r="V769" s="49" t="e">
        <v>#REF!</v>
      </c>
      <c r="AC769" s="49"/>
      <c r="AD769" s="49"/>
    </row>
    <row r="770" spans="1:30" hidden="1" x14ac:dyDescent="0.3">
      <c r="A770" s="49" t="s">
        <v>8227</v>
      </c>
      <c r="B770" s="49">
        <v>0</v>
      </c>
      <c r="C770" s="49"/>
      <c r="D770" s="72" t="s">
        <v>644</v>
      </c>
      <c r="E770" s="49" t="s">
        <v>3754</v>
      </c>
      <c r="F770" s="49"/>
      <c r="G770" s="49"/>
      <c r="H770" s="49" t="s">
        <v>646</v>
      </c>
      <c r="I770" s="49" t="s">
        <v>8230</v>
      </c>
      <c r="J770" s="49" t="s">
        <v>8228</v>
      </c>
      <c r="K770" s="49" t="s">
        <v>8229</v>
      </c>
      <c r="L770" s="49">
        <v>0</v>
      </c>
      <c r="M770" s="49" t="s">
        <v>1764</v>
      </c>
      <c r="N770" s="49" t="s">
        <v>2912</v>
      </c>
      <c r="O770" s="49">
        <v>2</v>
      </c>
      <c r="P770" s="49" t="s">
        <v>8231</v>
      </c>
      <c r="Q770" s="49">
        <v>0</v>
      </c>
      <c r="R770" s="49" t="s">
        <v>8232</v>
      </c>
      <c r="S770" s="49" t="s">
        <v>8233</v>
      </c>
      <c r="T770" s="49" t="s">
        <v>8234</v>
      </c>
      <c r="U770" s="49" t="s">
        <v>791</v>
      </c>
      <c r="V770" s="49" t="e">
        <v>#REF!</v>
      </c>
      <c r="AC770" s="49"/>
      <c r="AD770" s="49"/>
    </row>
    <row r="771" spans="1:30" hidden="1" x14ac:dyDescent="0.3">
      <c r="A771" s="49" t="s">
        <v>8235</v>
      </c>
      <c r="B771" s="49">
        <v>0</v>
      </c>
      <c r="C771" s="49"/>
      <c r="D771" s="72" t="s">
        <v>644</v>
      </c>
      <c r="E771" s="49" t="s">
        <v>3754</v>
      </c>
      <c r="F771" s="49"/>
      <c r="G771" s="49"/>
      <c r="H771" s="49" t="s">
        <v>8236</v>
      </c>
      <c r="I771" s="49" t="s">
        <v>8239</v>
      </c>
      <c r="J771" s="49" t="s">
        <v>8237</v>
      </c>
      <c r="K771" s="49" t="s">
        <v>8238</v>
      </c>
      <c r="L771" s="49">
        <v>0</v>
      </c>
      <c r="M771" s="49" t="s">
        <v>3570</v>
      </c>
      <c r="N771" s="49" t="s">
        <v>8240</v>
      </c>
      <c r="O771" s="49">
        <v>9</v>
      </c>
      <c r="P771" s="49" t="s">
        <v>8241</v>
      </c>
      <c r="Q771" s="49">
        <v>0</v>
      </c>
      <c r="R771" s="49" t="s">
        <v>8242</v>
      </c>
      <c r="S771" s="49" t="s">
        <v>8243</v>
      </c>
      <c r="T771" s="49" t="s">
        <v>8244</v>
      </c>
      <c r="U771" s="49" t="s">
        <v>655</v>
      </c>
      <c r="V771" s="49" t="e">
        <v>#REF!</v>
      </c>
      <c r="AC771" s="49"/>
      <c r="AD771" s="49"/>
    </row>
    <row r="772" spans="1:30" hidden="1" x14ac:dyDescent="0.3">
      <c r="A772" s="49" t="s">
        <v>8245</v>
      </c>
      <c r="B772" s="49">
        <v>0</v>
      </c>
      <c r="C772" s="49"/>
      <c r="D772" s="72" t="s">
        <v>644</v>
      </c>
      <c r="E772" s="49" t="s">
        <v>3754</v>
      </c>
      <c r="F772" s="49"/>
      <c r="G772" s="49"/>
      <c r="H772" s="49" t="s">
        <v>8246</v>
      </c>
      <c r="I772" s="49" t="s">
        <v>8249</v>
      </c>
      <c r="J772" s="49" t="s">
        <v>8247</v>
      </c>
      <c r="K772" s="49" t="s">
        <v>8248</v>
      </c>
      <c r="L772" s="49">
        <v>0</v>
      </c>
      <c r="M772" s="49" t="s">
        <v>1777</v>
      </c>
      <c r="N772" s="49" t="s">
        <v>3828</v>
      </c>
      <c r="O772" s="49">
        <v>30</v>
      </c>
      <c r="P772" s="49" t="s">
        <v>8250</v>
      </c>
      <c r="Q772" s="49">
        <v>0</v>
      </c>
      <c r="R772" s="49" t="s">
        <v>8251</v>
      </c>
      <c r="S772" s="49" t="s">
        <v>8252</v>
      </c>
      <c r="T772" s="49" t="s">
        <v>8253</v>
      </c>
      <c r="U772" s="49" t="s">
        <v>655</v>
      </c>
      <c r="V772" s="49" t="e">
        <v>#REF!</v>
      </c>
      <c r="AC772" s="49"/>
      <c r="AD772" s="49"/>
    </row>
    <row r="773" spans="1:30" hidden="1" x14ac:dyDescent="0.3">
      <c r="A773" s="49" t="s">
        <v>8254</v>
      </c>
      <c r="B773" s="49">
        <v>0</v>
      </c>
      <c r="C773" s="49"/>
      <c r="D773" s="72" t="s">
        <v>644</v>
      </c>
      <c r="E773" s="49" t="s">
        <v>3754</v>
      </c>
      <c r="F773" s="49"/>
      <c r="G773" s="49"/>
      <c r="H773" s="49" t="s">
        <v>8255</v>
      </c>
      <c r="I773" s="49" t="s">
        <v>8258</v>
      </c>
      <c r="J773" s="49" t="s">
        <v>8256</v>
      </c>
      <c r="K773" s="49" t="s">
        <v>8257</v>
      </c>
      <c r="L773" s="49">
        <v>0</v>
      </c>
      <c r="M773" s="49" t="s">
        <v>4114</v>
      </c>
      <c r="N773" s="49" t="s">
        <v>3949</v>
      </c>
      <c r="O773" s="49">
        <v>66</v>
      </c>
      <c r="P773" s="49" t="s">
        <v>8259</v>
      </c>
      <c r="Q773" s="49">
        <v>0</v>
      </c>
      <c r="R773" s="49" t="s">
        <v>8260</v>
      </c>
      <c r="S773" s="49" t="s">
        <v>8261</v>
      </c>
      <c r="T773" s="49" t="s">
        <v>8262</v>
      </c>
      <c r="U773" s="49" t="s">
        <v>655</v>
      </c>
      <c r="V773" s="49" t="e">
        <v>#REF!</v>
      </c>
      <c r="AC773" s="49"/>
      <c r="AD773" s="49"/>
    </row>
    <row r="774" spans="1:30" hidden="1" x14ac:dyDescent="0.3">
      <c r="A774" s="49" t="s">
        <v>8263</v>
      </c>
      <c r="B774" s="49">
        <v>0</v>
      </c>
      <c r="C774" s="49"/>
      <c r="D774" s="72" t="s">
        <v>644</v>
      </c>
      <c r="E774" s="49" t="s">
        <v>3754</v>
      </c>
      <c r="F774" s="49"/>
      <c r="G774" s="49"/>
      <c r="H774" s="49" t="s">
        <v>8264</v>
      </c>
      <c r="I774" s="49" t="s">
        <v>8267</v>
      </c>
      <c r="J774" s="49" t="s">
        <v>8265</v>
      </c>
      <c r="K774" s="49" t="s">
        <v>8266</v>
      </c>
      <c r="L774" s="49">
        <v>0</v>
      </c>
      <c r="M774" s="49" t="s">
        <v>4084</v>
      </c>
      <c r="N774" s="49" t="s">
        <v>818</v>
      </c>
      <c r="O774" s="49">
        <v>3</v>
      </c>
      <c r="P774" s="49" t="s">
        <v>8268</v>
      </c>
      <c r="Q774" s="49">
        <v>0</v>
      </c>
      <c r="R774" s="49" t="s">
        <v>8269</v>
      </c>
      <c r="S774" s="49" t="s">
        <v>8270</v>
      </c>
      <c r="T774" s="49" t="s">
        <v>8271</v>
      </c>
      <c r="U774" s="49" t="s">
        <v>670</v>
      </c>
      <c r="V774" s="49" t="e">
        <v>#REF!</v>
      </c>
      <c r="AC774" s="49"/>
      <c r="AD774" s="49"/>
    </row>
    <row r="775" spans="1:30" hidden="1" x14ac:dyDescent="0.3">
      <c r="A775" s="49" t="s">
        <v>8272</v>
      </c>
      <c r="B775" s="49">
        <v>0</v>
      </c>
      <c r="C775" s="49"/>
      <c r="D775" s="72" t="s">
        <v>644</v>
      </c>
      <c r="E775" s="49" t="s">
        <v>3754</v>
      </c>
      <c r="F775" s="49"/>
      <c r="G775" s="49"/>
      <c r="H775" s="49" t="s">
        <v>8273</v>
      </c>
      <c r="I775" s="49" t="s">
        <v>8276</v>
      </c>
      <c r="J775" s="49" t="s">
        <v>8274</v>
      </c>
      <c r="K775" s="49" t="s">
        <v>8275</v>
      </c>
      <c r="L775" s="49">
        <v>0</v>
      </c>
      <c r="M775" s="49" t="s">
        <v>1826</v>
      </c>
      <c r="N775" s="49" t="s">
        <v>8277</v>
      </c>
      <c r="O775" s="49">
        <v>3</v>
      </c>
      <c r="P775" s="49" t="s">
        <v>8278</v>
      </c>
      <c r="Q775" s="49">
        <v>0</v>
      </c>
      <c r="R775" s="49" t="s">
        <v>8279</v>
      </c>
      <c r="S775" s="49" t="s">
        <v>8280</v>
      </c>
      <c r="T775" s="49" t="s">
        <v>8281</v>
      </c>
      <c r="U775" s="49" t="s">
        <v>655</v>
      </c>
      <c r="V775" s="49" t="e">
        <v>#REF!</v>
      </c>
      <c r="AC775" s="49"/>
      <c r="AD775" s="49"/>
    </row>
    <row r="776" spans="1:30" hidden="1" x14ac:dyDescent="0.3">
      <c r="A776" s="49" t="s">
        <v>8282</v>
      </c>
      <c r="B776" s="49">
        <v>0</v>
      </c>
      <c r="C776" s="49"/>
      <c r="D776" s="72" t="s">
        <v>644</v>
      </c>
      <c r="E776" s="49" t="s">
        <v>3754</v>
      </c>
      <c r="F776" s="49"/>
      <c r="G776" s="49"/>
      <c r="H776" s="49" t="s">
        <v>646</v>
      </c>
      <c r="I776" s="49" t="s">
        <v>8285</v>
      </c>
      <c r="J776" s="49" t="s">
        <v>8283</v>
      </c>
      <c r="K776" s="49" t="s">
        <v>8284</v>
      </c>
      <c r="L776" s="49">
        <v>0</v>
      </c>
      <c r="M776" s="49" t="s">
        <v>2220</v>
      </c>
      <c r="N776" s="49" t="s">
        <v>3543</v>
      </c>
      <c r="O776" s="49">
        <v>2</v>
      </c>
      <c r="P776" s="49" t="s">
        <v>8286</v>
      </c>
      <c r="Q776" s="49">
        <v>0</v>
      </c>
      <c r="R776" s="49" t="s">
        <v>8287</v>
      </c>
      <c r="S776" s="49" t="s">
        <v>8288</v>
      </c>
      <c r="T776" s="49" t="s">
        <v>646</v>
      </c>
      <c r="U776" s="49" t="s">
        <v>670</v>
      </c>
      <c r="V776" s="49" t="e">
        <v>#REF!</v>
      </c>
      <c r="AC776" s="49"/>
      <c r="AD776" s="49"/>
    </row>
    <row r="777" spans="1:30" hidden="1" x14ac:dyDescent="0.3">
      <c r="A777" s="49" t="s">
        <v>8289</v>
      </c>
      <c r="B777" s="49">
        <v>0</v>
      </c>
      <c r="C777" s="49"/>
      <c r="D777" s="72" t="s">
        <v>644</v>
      </c>
      <c r="E777" s="49" t="s">
        <v>3754</v>
      </c>
      <c r="F777" s="49"/>
      <c r="G777" s="49"/>
      <c r="H777" s="49" t="s">
        <v>8290</v>
      </c>
      <c r="I777" s="49" t="s">
        <v>8293</v>
      </c>
      <c r="J777" s="49" t="s">
        <v>8291</v>
      </c>
      <c r="K777" s="49" t="s">
        <v>8292</v>
      </c>
      <c r="L777" s="49">
        <v>0</v>
      </c>
      <c r="M777" s="49" t="s">
        <v>1865</v>
      </c>
      <c r="N777" s="49" t="s">
        <v>2535</v>
      </c>
      <c r="O777" s="49">
        <v>5</v>
      </c>
      <c r="P777" s="49" t="s">
        <v>8294</v>
      </c>
      <c r="Q777" s="49">
        <v>0</v>
      </c>
      <c r="R777" s="49" t="s">
        <v>8295</v>
      </c>
      <c r="S777" s="49" t="s">
        <v>8296</v>
      </c>
      <c r="T777" s="49" t="s">
        <v>8297</v>
      </c>
      <c r="U777" s="49" t="s">
        <v>655</v>
      </c>
      <c r="V777" s="49" t="e">
        <v>#REF!</v>
      </c>
      <c r="AC777" s="49"/>
      <c r="AD777" s="49"/>
    </row>
    <row r="778" spans="1:30" hidden="1" x14ac:dyDescent="0.3">
      <c r="A778" s="49" t="s">
        <v>8298</v>
      </c>
      <c r="B778" s="49">
        <v>0</v>
      </c>
      <c r="C778" s="49"/>
      <c r="D778" s="72" t="s">
        <v>644</v>
      </c>
      <c r="E778" s="49" t="s">
        <v>3754</v>
      </c>
      <c r="F778" s="49"/>
      <c r="G778" s="49"/>
      <c r="H778" s="49" t="s">
        <v>8299</v>
      </c>
      <c r="I778" s="49" t="s">
        <v>8302</v>
      </c>
      <c r="J778" s="49" t="s">
        <v>8300</v>
      </c>
      <c r="K778" s="49" t="s">
        <v>8301</v>
      </c>
      <c r="L778" s="49">
        <v>0</v>
      </c>
      <c r="M778" s="49" t="s">
        <v>1777</v>
      </c>
      <c r="N778" s="49" t="s">
        <v>1789</v>
      </c>
      <c r="O778" s="49">
        <v>18</v>
      </c>
      <c r="P778" s="49" t="s">
        <v>8303</v>
      </c>
      <c r="Q778" s="49">
        <v>0</v>
      </c>
      <c r="R778" s="49" t="s">
        <v>8304</v>
      </c>
      <c r="S778" s="49" t="s">
        <v>8305</v>
      </c>
      <c r="T778" s="49" t="s">
        <v>8306</v>
      </c>
      <c r="U778" s="49" t="s">
        <v>655</v>
      </c>
      <c r="V778" s="49" t="e">
        <v>#REF!</v>
      </c>
      <c r="AC778" s="49"/>
      <c r="AD778" s="49"/>
    </row>
    <row r="779" spans="1:30" hidden="1" x14ac:dyDescent="0.3">
      <c r="A779" s="49" t="s">
        <v>8307</v>
      </c>
      <c r="B779" s="49">
        <v>0</v>
      </c>
      <c r="C779" s="49"/>
      <c r="D779" s="72" t="s">
        <v>644</v>
      </c>
      <c r="E779" s="49" t="s">
        <v>3754</v>
      </c>
      <c r="F779" s="49"/>
      <c r="G779" s="49"/>
      <c r="H779" s="49" t="s">
        <v>8308</v>
      </c>
      <c r="I779" s="49" t="s">
        <v>8311</v>
      </c>
      <c r="J779" s="49" t="s">
        <v>8309</v>
      </c>
      <c r="K779" s="49" t="s">
        <v>8310</v>
      </c>
      <c r="L779" s="49">
        <v>0</v>
      </c>
      <c r="M779" s="49" t="s">
        <v>1764</v>
      </c>
      <c r="N779" s="49" t="s">
        <v>8312</v>
      </c>
      <c r="O779" s="49">
        <v>32</v>
      </c>
      <c r="P779" s="49" t="s">
        <v>8313</v>
      </c>
      <c r="Q779" s="49">
        <v>0</v>
      </c>
      <c r="R779" s="49" t="s">
        <v>8314</v>
      </c>
      <c r="S779" s="49" t="s">
        <v>8315</v>
      </c>
      <c r="T779" s="49" t="s">
        <v>8316</v>
      </c>
      <c r="U779" s="49" t="s">
        <v>655</v>
      </c>
      <c r="V779" s="49" t="e">
        <v>#REF!</v>
      </c>
      <c r="AC779" s="49"/>
      <c r="AD779" s="49"/>
    </row>
    <row r="780" spans="1:30" hidden="1" x14ac:dyDescent="0.3">
      <c r="A780" s="49" t="s">
        <v>8317</v>
      </c>
      <c r="B780" s="49">
        <v>0</v>
      </c>
      <c r="C780" s="49"/>
      <c r="D780" s="72" t="s">
        <v>644</v>
      </c>
      <c r="E780" s="49" t="s">
        <v>3754</v>
      </c>
      <c r="F780" s="49"/>
      <c r="G780" s="49"/>
      <c r="H780" s="49" t="s">
        <v>8318</v>
      </c>
      <c r="I780" s="49" t="s">
        <v>8321</v>
      </c>
      <c r="J780" s="49" t="s">
        <v>8319</v>
      </c>
      <c r="K780" s="49" t="s">
        <v>8320</v>
      </c>
      <c r="L780" s="49">
        <v>0</v>
      </c>
      <c r="M780" s="49" t="s">
        <v>1764</v>
      </c>
      <c r="N780" s="49" t="s">
        <v>8322</v>
      </c>
      <c r="O780" s="49">
        <v>80</v>
      </c>
      <c r="P780" s="49" t="s">
        <v>8323</v>
      </c>
      <c r="Q780" s="49">
        <v>0</v>
      </c>
      <c r="R780" s="49" t="s">
        <v>8324</v>
      </c>
      <c r="S780" s="49" t="s">
        <v>8325</v>
      </c>
      <c r="T780" s="49" t="s">
        <v>646</v>
      </c>
      <c r="U780" s="49" t="s">
        <v>655</v>
      </c>
      <c r="V780" s="49" t="e">
        <v>#REF!</v>
      </c>
      <c r="AC780" s="49"/>
      <c r="AD780" s="49"/>
    </row>
    <row r="781" spans="1:30" hidden="1" x14ac:dyDescent="0.3">
      <c r="A781" s="49" t="s">
        <v>1560</v>
      </c>
      <c r="B781" s="49">
        <v>0</v>
      </c>
      <c r="C781" s="49"/>
      <c r="D781" s="72" t="s">
        <v>644</v>
      </c>
      <c r="E781" s="49" t="s">
        <v>3754</v>
      </c>
      <c r="F781" s="49"/>
      <c r="G781" s="49"/>
      <c r="H781" s="49" t="s">
        <v>1562</v>
      </c>
      <c r="I781" s="49" t="s">
        <v>1563</v>
      </c>
      <c r="J781" s="49" t="s">
        <v>1564</v>
      </c>
      <c r="K781" s="49" t="s">
        <v>1565</v>
      </c>
      <c r="L781" s="49">
        <v>0</v>
      </c>
      <c r="M781" s="49" t="s">
        <v>4064</v>
      </c>
      <c r="N781" s="49" t="s">
        <v>1566</v>
      </c>
      <c r="O781" s="49">
        <v>22</v>
      </c>
      <c r="P781" s="49" t="s">
        <v>1567</v>
      </c>
      <c r="Q781" s="49">
        <v>0</v>
      </c>
      <c r="R781" s="49" t="s">
        <v>1568</v>
      </c>
      <c r="S781" s="49" t="s">
        <v>1569</v>
      </c>
      <c r="T781" s="49" t="s">
        <v>8326</v>
      </c>
      <c r="U781" s="49" t="s">
        <v>655</v>
      </c>
      <c r="V781" s="49" t="e">
        <v>#REF!</v>
      </c>
      <c r="AC781" s="49"/>
      <c r="AD781" s="49"/>
    </row>
    <row r="782" spans="1:30" hidden="1" x14ac:dyDescent="0.3">
      <c r="A782" s="49" t="s">
        <v>8327</v>
      </c>
      <c r="B782" s="49">
        <v>0</v>
      </c>
      <c r="C782" s="49"/>
      <c r="D782" s="72" t="s">
        <v>644</v>
      </c>
      <c r="E782" s="49" t="s">
        <v>3754</v>
      </c>
      <c r="F782" s="49"/>
      <c r="G782" s="49"/>
      <c r="H782" s="49" t="s">
        <v>8328</v>
      </c>
      <c r="I782" s="49" t="s">
        <v>5635</v>
      </c>
      <c r="J782" s="49" t="s">
        <v>5633</v>
      </c>
      <c r="K782" s="49" t="s">
        <v>8329</v>
      </c>
      <c r="L782" s="49">
        <v>0</v>
      </c>
      <c r="M782" s="49" t="s">
        <v>1826</v>
      </c>
      <c r="N782" s="49" t="s">
        <v>2255</v>
      </c>
      <c r="O782" s="49">
        <v>66</v>
      </c>
      <c r="P782" s="49" t="s">
        <v>8330</v>
      </c>
      <c r="Q782" s="49">
        <v>0</v>
      </c>
      <c r="R782" s="49" t="s">
        <v>5638</v>
      </c>
      <c r="S782" s="49" t="s">
        <v>5639</v>
      </c>
      <c r="T782" s="49" t="s">
        <v>646</v>
      </c>
      <c r="U782" s="49" t="s">
        <v>655</v>
      </c>
      <c r="V782" s="49" t="e">
        <v>#REF!</v>
      </c>
      <c r="AC782" s="49"/>
      <c r="AD782" s="49"/>
    </row>
    <row r="783" spans="1:30" hidden="1" x14ac:dyDescent="0.3">
      <c r="A783" s="49" t="s">
        <v>8331</v>
      </c>
      <c r="B783" s="49">
        <v>0</v>
      </c>
      <c r="C783" s="49"/>
      <c r="D783" s="72" t="s">
        <v>644</v>
      </c>
      <c r="E783" s="49" t="s">
        <v>3754</v>
      </c>
      <c r="F783" s="49"/>
      <c r="G783" s="49"/>
      <c r="H783" s="49" t="s">
        <v>8332</v>
      </c>
      <c r="I783" s="49" t="s">
        <v>8335</v>
      </c>
      <c r="J783" s="49" t="s">
        <v>8333</v>
      </c>
      <c r="K783" s="49" t="s">
        <v>8334</v>
      </c>
      <c r="L783" s="49">
        <v>0</v>
      </c>
      <c r="M783" s="49" t="s">
        <v>2142</v>
      </c>
      <c r="N783" s="49" t="s">
        <v>8336</v>
      </c>
      <c r="O783" s="49">
        <v>27</v>
      </c>
      <c r="P783" s="49" t="s">
        <v>8337</v>
      </c>
      <c r="Q783" s="49">
        <v>0</v>
      </c>
      <c r="R783" s="49" t="s">
        <v>8338</v>
      </c>
      <c r="S783" s="49" t="s">
        <v>8339</v>
      </c>
      <c r="T783" s="49" t="s">
        <v>8340</v>
      </c>
      <c r="U783" s="49" t="s">
        <v>655</v>
      </c>
      <c r="V783" s="49" t="e">
        <v>#REF!</v>
      </c>
      <c r="AC783" s="49"/>
      <c r="AD783" s="49"/>
    </row>
    <row r="784" spans="1:30" hidden="1" x14ac:dyDescent="0.3">
      <c r="A784" s="49" t="s">
        <v>8341</v>
      </c>
      <c r="B784" s="49">
        <v>0</v>
      </c>
      <c r="C784" s="49"/>
      <c r="D784" s="72" t="s">
        <v>644</v>
      </c>
      <c r="E784" s="49" t="s">
        <v>3754</v>
      </c>
      <c r="F784" s="49"/>
      <c r="G784" s="49"/>
      <c r="H784" s="49" t="s">
        <v>646</v>
      </c>
      <c r="I784" s="49" t="s">
        <v>8344</v>
      </c>
      <c r="J784" s="49" t="s">
        <v>8342</v>
      </c>
      <c r="K784" s="49" t="s">
        <v>8343</v>
      </c>
      <c r="L784" s="49">
        <v>0</v>
      </c>
      <c r="M784" s="49" t="s">
        <v>2484</v>
      </c>
      <c r="N784" s="49" t="s">
        <v>6391</v>
      </c>
      <c r="O784" s="49">
        <v>1</v>
      </c>
      <c r="P784" s="49" t="s">
        <v>8345</v>
      </c>
      <c r="Q784" s="49">
        <v>0</v>
      </c>
      <c r="R784" s="49" t="s">
        <v>8346</v>
      </c>
      <c r="S784" s="49" t="s">
        <v>8347</v>
      </c>
      <c r="T784" s="49" t="s">
        <v>646</v>
      </c>
      <c r="U784" s="49" t="s">
        <v>670</v>
      </c>
      <c r="V784" s="49" t="e">
        <v>#REF!</v>
      </c>
      <c r="AC784" s="49"/>
      <c r="AD784" s="49"/>
    </row>
    <row r="785" spans="1:30" hidden="1" x14ac:dyDescent="0.3">
      <c r="A785" s="49" t="s">
        <v>8348</v>
      </c>
      <c r="B785" s="49">
        <v>0</v>
      </c>
      <c r="C785" s="49"/>
      <c r="D785" s="72" t="s">
        <v>644</v>
      </c>
      <c r="E785" s="49" t="s">
        <v>3754</v>
      </c>
      <c r="F785" s="49"/>
      <c r="G785" s="49"/>
      <c r="H785" s="49" t="s">
        <v>646</v>
      </c>
      <c r="I785" s="49" t="s">
        <v>8351</v>
      </c>
      <c r="J785" s="49" t="s">
        <v>8349</v>
      </c>
      <c r="K785" s="49" t="s">
        <v>8350</v>
      </c>
      <c r="L785" s="49">
        <v>0</v>
      </c>
      <c r="M785" s="49" t="s">
        <v>1865</v>
      </c>
      <c r="N785" s="49" t="s">
        <v>5726</v>
      </c>
      <c r="P785" s="49" t="s">
        <v>8352</v>
      </c>
      <c r="Q785" s="49">
        <v>0</v>
      </c>
      <c r="R785" s="49" t="s">
        <v>8353</v>
      </c>
      <c r="S785" s="49" t="s">
        <v>8354</v>
      </c>
      <c r="T785" s="49" t="s">
        <v>8355</v>
      </c>
      <c r="U785" s="49" t="s">
        <v>655</v>
      </c>
      <c r="V785" s="49" t="e">
        <v>#REF!</v>
      </c>
      <c r="AC785" s="49"/>
      <c r="AD785" s="49"/>
    </row>
    <row r="786" spans="1:30" hidden="1" x14ac:dyDescent="0.3">
      <c r="A786" s="49" t="s">
        <v>8356</v>
      </c>
      <c r="B786" s="49">
        <v>0</v>
      </c>
      <c r="C786" s="49"/>
      <c r="D786" s="72" t="s">
        <v>644</v>
      </c>
      <c r="E786" s="49" t="s">
        <v>3754</v>
      </c>
      <c r="F786" s="49"/>
      <c r="G786" s="49"/>
      <c r="H786" s="49" t="s">
        <v>8357</v>
      </c>
      <c r="I786" s="49" t="s">
        <v>8360</v>
      </c>
      <c r="J786" s="49" t="s">
        <v>8358</v>
      </c>
      <c r="K786" s="49" t="s">
        <v>8359</v>
      </c>
      <c r="L786" s="49">
        <v>0</v>
      </c>
      <c r="M786" s="49" t="s">
        <v>1826</v>
      </c>
      <c r="N786" s="49" t="s">
        <v>2317</v>
      </c>
      <c r="O786" s="49">
        <v>5</v>
      </c>
      <c r="P786" s="49" t="s">
        <v>8361</v>
      </c>
      <c r="Q786" s="49">
        <v>0</v>
      </c>
      <c r="R786" s="49" t="s">
        <v>8362</v>
      </c>
      <c r="S786" s="49" t="s">
        <v>8363</v>
      </c>
      <c r="T786" s="49" t="s">
        <v>8364</v>
      </c>
      <c r="U786" s="49" t="s">
        <v>655</v>
      </c>
      <c r="V786" s="49" t="e">
        <v>#REF!</v>
      </c>
      <c r="AC786" s="49"/>
      <c r="AD786" s="49"/>
    </row>
    <row r="787" spans="1:30" hidden="1" x14ac:dyDescent="0.3">
      <c r="A787" s="49" t="s">
        <v>8365</v>
      </c>
      <c r="B787" s="49">
        <v>0</v>
      </c>
      <c r="C787" s="49"/>
      <c r="D787" s="72" t="s">
        <v>644</v>
      </c>
      <c r="E787" s="49" t="s">
        <v>3754</v>
      </c>
      <c r="F787" s="49"/>
      <c r="G787" s="49"/>
      <c r="H787" s="49" t="s">
        <v>8366</v>
      </c>
      <c r="I787" s="49" t="s">
        <v>8369</v>
      </c>
      <c r="J787" s="49" t="s">
        <v>8367</v>
      </c>
      <c r="K787" s="49" t="s">
        <v>8368</v>
      </c>
      <c r="L787" s="49">
        <v>0</v>
      </c>
      <c r="M787" s="49" t="s">
        <v>1865</v>
      </c>
      <c r="N787" s="49" t="s">
        <v>8370</v>
      </c>
      <c r="O787" s="49">
        <v>147</v>
      </c>
      <c r="P787" s="49" t="s">
        <v>8371</v>
      </c>
      <c r="Q787" s="49">
        <v>0</v>
      </c>
      <c r="R787" s="49" t="s">
        <v>8372</v>
      </c>
      <c r="S787" s="49" t="s">
        <v>8373</v>
      </c>
      <c r="T787" s="49" t="s">
        <v>8374</v>
      </c>
      <c r="U787" s="49" t="s">
        <v>655</v>
      </c>
      <c r="V787" s="49" t="e">
        <v>#REF!</v>
      </c>
      <c r="AC787" s="49"/>
      <c r="AD787" s="49"/>
    </row>
    <row r="788" spans="1:30" hidden="1" x14ac:dyDescent="0.3">
      <c r="A788" s="49" t="s">
        <v>8375</v>
      </c>
      <c r="B788" s="49">
        <v>0</v>
      </c>
      <c r="C788" s="49"/>
      <c r="D788" s="72" t="s">
        <v>644</v>
      </c>
      <c r="E788" s="49" t="s">
        <v>3754</v>
      </c>
      <c r="F788" s="49"/>
      <c r="G788" s="49"/>
      <c r="H788" s="49" t="s">
        <v>8376</v>
      </c>
      <c r="I788" s="49" t="s">
        <v>8379</v>
      </c>
      <c r="J788" s="49" t="s">
        <v>8377</v>
      </c>
      <c r="K788" s="49" t="s">
        <v>8378</v>
      </c>
      <c r="L788" s="49">
        <v>0</v>
      </c>
      <c r="M788" s="49" t="s">
        <v>2142</v>
      </c>
      <c r="N788" s="49" t="s">
        <v>8380</v>
      </c>
      <c r="O788" s="49">
        <v>12</v>
      </c>
      <c r="P788" s="49" t="s">
        <v>8381</v>
      </c>
      <c r="Q788" s="49">
        <v>0</v>
      </c>
      <c r="R788" s="49" t="s">
        <v>8382</v>
      </c>
      <c r="S788" s="49" t="s">
        <v>8383</v>
      </c>
      <c r="T788" s="49" t="s">
        <v>8384</v>
      </c>
      <c r="U788" s="49" t="s">
        <v>655</v>
      </c>
      <c r="V788" s="49" t="e">
        <v>#REF!</v>
      </c>
      <c r="AC788" s="49"/>
      <c r="AD788" s="49"/>
    </row>
    <row r="789" spans="1:30" hidden="1" x14ac:dyDescent="0.3">
      <c r="A789" s="49" t="s">
        <v>8385</v>
      </c>
      <c r="B789" s="49">
        <v>0</v>
      </c>
      <c r="C789" s="49"/>
      <c r="D789" s="72" t="s">
        <v>644</v>
      </c>
      <c r="E789" s="49" t="s">
        <v>3754</v>
      </c>
      <c r="F789" s="49"/>
      <c r="G789" s="49"/>
      <c r="H789" s="49" t="s">
        <v>8386</v>
      </c>
      <c r="I789" s="49" t="s">
        <v>8389</v>
      </c>
      <c r="J789" s="49" t="s">
        <v>8387</v>
      </c>
      <c r="K789" s="49" t="s">
        <v>8388</v>
      </c>
      <c r="L789" s="49">
        <v>0</v>
      </c>
      <c r="M789" s="49" t="s">
        <v>1826</v>
      </c>
      <c r="N789" s="49" t="s">
        <v>2255</v>
      </c>
      <c r="O789" s="49">
        <v>10</v>
      </c>
      <c r="P789" s="49" t="s">
        <v>8390</v>
      </c>
      <c r="Q789" s="49">
        <v>0</v>
      </c>
      <c r="R789" s="49" t="s">
        <v>8391</v>
      </c>
      <c r="S789" s="49" t="s">
        <v>8392</v>
      </c>
      <c r="T789" s="49" t="s">
        <v>646</v>
      </c>
      <c r="U789" s="49" t="s">
        <v>655</v>
      </c>
      <c r="V789" s="49" t="e">
        <v>#REF!</v>
      </c>
      <c r="AC789" s="49"/>
      <c r="AD789" s="49"/>
    </row>
    <row r="790" spans="1:30" hidden="1" x14ac:dyDescent="0.3">
      <c r="A790" s="49" t="s">
        <v>8393</v>
      </c>
      <c r="B790" s="49">
        <v>0</v>
      </c>
      <c r="C790" s="49"/>
      <c r="D790" s="72" t="s">
        <v>644</v>
      </c>
      <c r="E790" s="49" t="s">
        <v>3754</v>
      </c>
      <c r="F790" s="49"/>
      <c r="G790" s="49"/>
      <c r="H790" s="49" t="s">
        <v>8394</v>
      </c>
      <c r="I790" s="49" t="s">
        <v>8397</v>
      </c>
      <c r="J790" s="49" t="s">
        <v>8395</v>
      </c>
      <c r="K790" s="49" t="s">
        <v>8396</v>
      </c>
      <c r="L790" s="49">
        <v>0</v>
      </c>
      <c r="M790" s="49" t="s">
        <v>1865</v>
      </c>
      <c r="N790" s="49" t="s">
        <v>8398</v>
      </c>
      <c r="O790" s="49">
        <v>54</v>
      </c>
      <c r="P790" s="49" t="s">
        <v>8399</v>
      </c>
      <c r="Q790" s="49">
        <v>0</v>
      </c>
      <c r="R790" s="49" t="s">
        <v>8400</v>
      </c>
      <c r="S790" s="49" t="s">
        <v>8401</v>
      </c>
      <c r="T790" s="49" t="s">
        <v>8402</v>
      </c>
      <c r="U790" s="49" t="s">
        <v>655</v>
      </c>
      <c r="V790" s="49" t="e">
        <v>#REF!</v>
      </c>
      <c r="AC790" s="49"/>
      <c r="AD790" s="49"/>
    </row>
    <row r="791" spans="1:30" hidden="1" x14ac:dyDescent="0.3">
      <c r="A791" s="49" t="s">
        <v>8403</v>
      </c>
      <c r="B791" s="49">
        <v>0</v>
      </c>
      <c r="C791" s="49"/>
      <c r="D791" s="72" t="s">
        <v>644</v>
      </c>
      <c r="E791" s="49" t="s">
        <v>3754</v>
      </c>
      <c r="F791" s="49"/>
      <c r="G791" s="49"/>
      <c r="H791" s="49" t="s">
        <v>646</v>
      </c>
      <c r="I791" s="49" t="s">
        <v>8406</v>
      </c>
      <c r="J791" s="49" t="s">
        <v>8404</v>
      </c>
      <c r="K791" s="49" t="s">
        <v>8405</v>
      </c>
      <c r="L791" s="49">
        <v>0</v>
      </c>
      <c r="M791" s="49" t="s">
        <v>2636</v>
      </c>
      <c r="N791" s="49" t="s">
        <v>8407</v>
      </c>
      <c r="O791" s="49">
        <v>2</v>
      </c>
      <c r="P791" s="49" t="s">
        <v>8408</v>
      </c>
      <c r="Q791" s="49">
        <v>0</v>
      </c>
      <c r="R791" s="49" t="s">
        <v>8409</v>
      </c>
      <c r="S791" s="49" t="s">
        <v>8410</v>
      </c>
      <c r="T791" s="49" t="s">
        <v>8411</v>
      </c>
      <c r="U791" s="49" t="s">
        <v>655</v>
      </c>
      <c r="V791" s="49" t="e">
        <v>#REF!</v>
      </c>
      <c r="AC791" s="49"/>
      <c r="AD791" s="49"/>
    </row>
    <row r="792" spans="1:30" hidden="1" x14ac:dyDescent="0.3">
      <c r="A792" s="49" t="s">
        <v>8412</v>
      </c>
      <c r="B792" s="49">
        <v>0</v>
      </c>
      <c r="C792" s="49"/>
      <c r="D792" s="72" t="s">
        <v>644</v>
      </c>
      <c r="E792" s="49" t="s">
        <v>3754</v>
      </c>
      <c r="F792" s="49"/>
      <c r="G792" s="49"/>
      <c r="H792" s="49" t="s">
        <v>8413</v>
      </c>
      <c r="I792" s="49" t="s">
        <v>8416</v>
      </c>
      <c r="J792" s="49" t="s">
        <v>8414</v>
      </c>
      <c r="K792" s="49" t="s">
        <v>8415</v>
      </c>
      <c r="L792" s="49">
        <v>0</v>
      </c>
      <c r="M792" s="49" t="s">
        <v>1764</v>
      </c>
      <c r="N792" s="49" t="s">
        <v>8417</v>
      </c>
      <c r="O792" s="49">
        <v>2</v>
      </c>
      <c r="P792" s="49" t="s">
        <v>8418</v>
      </c>
      <c r="Q792" s="49">
        <v>0</v>
      </c>
      <c r="R792" s="49" t="s">
        <v>8419</v>
      </c>
      <c r="S792" s="49" t="s">
        <v>8420</v>
      </c>
      <c r="T792" s="49" t="s">
        <v>646</v>
      </c>
      <c r="U792" s="49" t="s">
        <v>670</v>
      </c>
      <c r="V792" s="49" t="e">
        <v>#REF!</v>
      </c>
      <c r="AC792" s="49"/>
      <c r="AD792" s="49"/>
    </row>
    <row r="793" spans="1:30" hidden="1" x14ac:dyDescent="0.3">
      <c r="A793" s="49" t="s">
        <v>8421</v>
      </c>
      <c r="B793" s="49">
        <v>0</v>
      </c>
      <c r="C793" s="49"/>
      <c r="D793" s="72" t="s">
        <v>644</v>
      </c>
      <c r="E793" s="49" t="s">
        <v>3754</v>
      </c>
      <c r="F793" s="49"/>
      <c r="G793" s="49"/>
      <c r="H793" s="49" t="s">
        <v>646</v>
      </c>
      <c r="I793" s="49" t="s">
        <v>826</v>
      </c>
      <c r="J793" s="49" t="s">
        <v>827</v>
      </c>
      <c r="K793" s="49" t="s">
        <v>8422</v>
      </c>
      <c r="L793" s="49">
        <v>0</v>
      </c>
      <c r="M793" s="49" t="s">
        <v>5600</v>
      </c>
      <c r="N793" s="49" t="s">
        <v>818</v>
      </c>
      <c r="P793" s="49" t="s">
        <v>8423</v>
      </c>
      <c r="Q793" s="49">
        <v>0</v>
      </c>
      <c r="R793" s="49" t="s">
        <v>646</v>
      </c>
      <c r="S793" s="49" t="s">
        <v>646</v>
      </c>
      <c r="T793" s="49" t="s">
        <v>646</v>
      </c>
      <c r="U793" s="49" t="s">
        <v>830</v>
      </c>
      <c r="V793" s="49" t="e">
        <v>#REF!</v>
      </c>
      <c r="AC793" s="49"/>
      <c r="AD793" s="49"/>
    </row>
    <row r="794" spans="1:30" hidden="1" x14ac:dyDescent="0.3">
      <c r="A794" s="49" t="s">
        <v>8424</v>
      </c>
      <c r="B794" s="49">
        <v>0</v>
      </c>
      <c r="C794" s="49"/>
      <c r="D794" s="72" t="s">
        <v>644</v>
      </c>
      <c r="E794" s="49" t="s">
        <v>3754</v>
      </c>
      <c r="F794" s="49"/>
      <c r="G794" s="49"/>
      <c r="H794" s="49" t="s">
        <v>8425</v>
      </c>
      <c r="I794" s="49" t="s">
        <v>8428</v>
      </c>
      <c r="J794" s="49" t="s">
        <v>8426</v>
      </c>
      <c r="K794" s="49" t="s">
        <v>8427</v>
      </c>
      <c r="L794" s="49">
        <v>0</v>
      </c>
      <c r="M794" s="49" t="s">
        <v>1745</v>
      </c>
      <c r="N794" s="49" t="s">
        <v>8429</v>
      </c>
      <c r="O794" s="49">
        <v>4</v>
      </c>
      <c r="P794" s="49" t="s">
        <v>8430</v>
      </c>
      <c r="Q794" s="49">
        <v>0</v>
      </c>
      <c r="R794" s="49" t="s">
        <v>8431</v>
      </c>
      <c r="S794" s="49" t="s">
        <v>8432</v>
      </c>
      <c r="T794" s="49" t="s">
        <v>8433</v>
      </c>
      <c r="U794" s="49" t="s">
        <v>655</v>
      </c>
      <c r="V794" s="49" t="e">
        <v>#REF!</v>
      </c>
      <c r="AC794" s="49"/>
      <c r="AD794" s="49"/>
    </row>
    <row r="795" spans="1:30" hidden="1" x14ac:dyDescent="0.3">
      <c r="A795" s="49" t="s">
        <v>8434</v>
      </c>
      <c r="B795" s="49">
        <v>0</v>
      </c>
      <c r="C795" s="49"/>
      <c r="D795" s="72" t="s">
        <v>644</v>
      </c>
      <c r="E795" s="49" t="s">
        <v>3754</v>
      </c>
      <c r="F795" s="49"/>
      <c r="G795" s="49"/>
      <c r="H795" s="49" t="s">
        <v>8435</v>
      </c>
      <c r="I795" s="49" t="s">
        <v>8438</v>
      </c>
      <c r="J795" s="49" t="s">
        <v>8436</v>
      </c>
      <c r="K795" s="49" t="s">
        <v>8437</v>
      </c>
      <c r="L795" s="49">
        <v>0</v>
      </c>
      <c r="M795" s="49" t="s">
        <v>1826</v>
      </c>
      <c r="N795" s="49" t="s">
        <v>8439</v>
      </c>
      <c r="O795" s="49">
        <v>21</v>
      </c>
      <c r="P795" s="49" t="s">
        <v>8440</v>
      </c>
      <c r="Q795" s="49">
        <v>0</v>
      </c>
      <c r="R795" s="49" t="s">
        <v>8441</v>
      </c>
      <c r="S795" s="49" t="s">
        <v>8442</v>
      </c>
      <c r="T795" s="49" t="s">
        <v>8443</v>
      </c>
      <c r="U795" s="49" t="s">
        <v>655</v>
      </c>
      <c r="V795" s="49" t="e">
        <v>#REF!</v>
      </c>
      <c r="AC795" s="49"/>
      <c r="AD795" s="49"/>
    </row>
    <row r="796" spans="1:30" hidden="1" x14ac:dyDescent="0.3">
      <c r="A796" s="49" t="s">
        <v>8444</v>
      </c>
      <c r="B796" s="49">
        <v>0</v>
      </c>
      <c r="C796" s="49"/>
      <c r="D796" s="72" t="s">
        <v>644</v>
      </c>
      <c r="E796" s="49" t="s">
        <v>3754</v>
      </c>
      <c r="F796" s="49"/>
      <c r="G796" s="49"/>
      <c r="H796" s="49" t="s">
        <v>8445</v>
      </c>
      <c r="I796" s="49" t="s">
        <v>8448</v>
      </c>
      <c r="J796" s="49" t="s">
        <v>8446</v>
      </c>
      <c r="K796" s="49" t="s">
        <v>8447</v>
      </c>
      <c r="L796" s="49">
        <v>0</v>
      </c>
      <c r="M796" s="49" t="s">
        <v>6445</v>
      </c>
      <c r="N796" s="49" t="s">
        <v>818</v>
      </c>
      <c r="P796" s="49" t="s">
        <v>8449</v>
      </c>
      <c r="Q796" s="49">
        <v>0</v>
      </c>
      <c r="R796" s="49" t="s">
        <v>8450</v>
      </c>
      <c r="S796" s="49" t="s">
        <v>8451</v>
      </c>
      <c r="T796" s="49" t="s">
        <v>8452</v>
      </c>
      <c r="U796" s="49" t="s">
        <v>670</v>
      </c>
      <c r="V796" s="49" t="e">
        <v>#REF!</v>
      </c>
      <c r="AC796" s="49"/>
      <c r="AD796" s="49"/>
    </row>
    <row r="797" spans="1:30" hidden="1" x14ac:dyDescent="0.3">
      <c r="A797" s="49" t="s">
        <v>8453</v>
      </c>
      <c r="B797" s="49">
        <v>0</v>
      </c>
      <c r="C797" s="49"/>
      <c r="D797" s="72" t="s">
        <v>644</v>
      </c>
      <c r="E797" s="49" t="s">
        <v>3754</v>
      </c>
      <c r="F797" s="49"/>
      <c r="G797" s="49"/>
      <c r="H797" s="49" t="s">
        <v>8454</v>
      </c>
      <c r="I797" s="49" t="s">
        <v>8457</v>
      </c>
      <c r="J797" s="49" t="s">
        <v>8455</v>
      </c>
      <c r="K797" s="49" t="s">
        <v>8456</v>
      </c>
      <c r="L797" s="49">
        <v>0</v>
      </c>
      <c r="M797" s="49" t="s">
        <v>4084</v>
      </c>
      <c r="N797" s="49" t="s">
        <v>4801</v>
      </c>
      <c r="O797" s="49">
        <v>10</v>
      </c>
      <c r="P797" s="49" t="s">
        <v>8458</v>
      </c>
      <c r="Q797" s="49">
        <v>0</v>
      </c>
      <c r="R797" s="49" t="s">
        <v>8459</v>
      </c>
      <c r="S797" s="49" t="s">
        <v>8460</v>
      </c>
      <c r="T797" s="49" t="s">
        <v>8461</v>
      </c>
      <c r="U797" s="49" t="s">
        <v>670</v>
      </c>
      <c r="V797" s="49" t="e">
        <v>#REF!</v>
      </c>
      <c r="AC797" s="49"/>
      <c r="AD797" s="49"/>
    </row>
    <row r="798" spans="1:30" hidden="1" x14ac:dyDescent="0.3">
      <c r="A798" s="49" t="s">
        <v>8462</v>
      </c>
      <c r="B798" s="49">
        <v>0</v>
      </c>
      <c r="C798" s="49"/>
      <c r="D798" s="72" t="s">
        <v>644</v>
      </c>
      <c r="E798" s="49" t="s">
        <v>3754</v>
      </c>
      <c r="F798" s="49"/>
      <c r="G798" s="49"/>
      <c r="H798" s="49" t="s">
        <v>8463</v>
      </c>
      <c r="I798" s="49" t="s">
        <v>8466</v>
      </c>
      <c r="J798" s="49" t="s">
        <v>8464</v>
      </c>
      <c r="K798" s="49" t="s">
        <v>8465</v>
      </c>
      <c r="L798" s="49">
        <v>0</v>
      </c>
      <c r="M798" s="49" t="s">
        <v>2484</v>
      </c>
      <c r="N798" s="49" t="s">
        <v>8467</v>
      </c>
      <c r="P798" s="49" t="s">
        <v>8468</v>
      </c>
      <c r="Q798" s="49">
        <v>0</v>
      </c>
      <c r="R798" s="49" t="s">
        <v>8469</v>
      </c>
      <c r="S798" s="49" t="s">
        <v>8470</v>
      </c>
      <c r="T798" s="49" t="s">
        <v>646</v>
      </c>
      <c r="U798" s="49" t="s">
        <v>791</v>
      </c>
      <c r="V798" s="49" t="e">
        <v>#REF!</v>
      </c>
      <c r="AC798" s="49"/>
      <c r="AD798" s="49"/>
    </row>
    <row r="799" spans="1:30" hidden="1" x14ac:dyDescent="0.3">
      <c r="A799" s="49" t="s">
        <v>8471</v>
      </c>
      <c r="B799" s="49">
        <v>0</v>
      </c>
      <c r="C799" s="49"/>
      <c r="D799" s="72" t="s">
        <v>644</v>
      </c>
      <c r="E799" s="49" t="s">
        <v>3754</v>
      </c>
      <c r="F799" s="49"/>
      <c r="G799" s="49"/>
      <c r="H799" s="49" t="s">
        <v>8472</v>
      </c>
      <c r="I799" s="49" t="s">
        <v>8475</v>
      </c>
      <c r="J799" s="49" t="s">
        <v>8473</v>
      </c>
      <c r="K799" s="49" t="s">
        <v>8474</v>
      </c>
      <c r="L799" s="49">
        <v>0</v>
      </c>
      <c r="M799" s="49" t="s">
        <v>1865</v>
      </c>
      <c r="N799" s="49" t="s">
        <v>2997</v>
      </c>
      <c r="O799" s="49">
        <v>3</v>
      </c>
      <c r="P799" s="49" t="s">
        <v>8476</v>
      </c>
      <c r="Q799" s="49">
        <v>0</v>
      </c>
      <c r="R799" s="49" t="s">
        <v>8477</v>
      </c>
      <c r="S799" s="49" t="s">
        <v>8478</v>
      </c>
      <c r="T799" s="49" t="s">
        <v>8479</v>
      </c>
      <c r="U799" s="49" t="s">
        <v>655</v>
      </c>
      <c r="V799" s="49" t="e">
        <v>#REF!</v>
      </c>
      <c r="AC799" s="49"/>
      <c r="AD799" s="49"/>
    </row>
    <row r="800" spans="1:30" hidden="1" x14ac:dyDescent="0.3">
      <c r="A800" s="49" t="s">
        <v>8480</v>
      </c>
      <c r="B800" s="49">
        <v>0</v>
      </c>
      <c r="C800" s="49"/>
      <c r="D800" s="72" t="s">
        <v>644</v>
      </c>
      <c r="E800" s="49" t="s">
        <v>3754</v>
      </c>
      <c r="F800" s="49"/>
      <c r="G800" s="49"/>
      <c r="H800" s="49" t="s">
        <v>646</v>
      </c>
      <c r="I800" s="49" t="s">
        <v>8483</v>
      </c>
      <c r="J800" s="49" t="s">
        <v>8481</v>
      </c>
      <c r="K800" s="49" t="s">
        <v>8482</v>
      </c>
      <c r="L800" s="49">
        <v>0</v>
      </c>
      <c r="M800" s="49" t="s">
        <v>2636</v>
      </c>
      <c r="N800" s="49" t="s">
        <v>8484</v>
      </c>
      <c r="O800" s="49">
        <v>1</v>
      </c>
      <c r="P800" s="49" t="s">
        <v>8485</v>
      </c>
      <c r="Q800" s="49">
        <v>0</v>
      </c>
      <c r="R800" s="49" t="s">
        <v>8486</v>
      </c>
      <c r="S800" s="49" t="s">
        <v>8487</v>
      </c>
      <c r="T800" s="49" t="s">
        <v>8488</v>
      </c>
      <c r="U800" s="49" t="s">
        <v>655</v>
      </c>
      <c r="V800" s="49" t="e">
        <v>#REF!</v>
      </c>
      <c r="AC800" s="49"/>
      <c r="AD800" s="49"/>
    </row>
    <row r="801" spans="1:30" hidden="1" x14ac:dyDescent="0.3">
      <c r="A801" s="49" t="s">
        <v>8489</v>
      </c>
      <c r="B801" s="49">
        <v>0</v>
      </c>
      <c r="C801" s="49"/>
      <c r="D801" s="72" t="s">
        <v>644</v>
      </c>
      <c r="E801" s="49" t="s">
        <v>3754</v>
      </c>
      <c r="F801" s="49"/>
      <c r="G801" s="49"/>
      <c r="H801" s="49" t="s">
        <v>646</v>
      </c>
      <c r="I801" s="49" t="s">
        <v>8492</v>
      </c>
      <c r="J801" s="49" t="s">
        <v>8490</v>
      </c>
      <c r="K801" s="49" t="s">
        <v>8491</v>
      </c>
      <c r="L801" s="49">
        <v>0</v>
      </c>
      <c r="M801" s="49" t="s">
        <v>2142</v>
      </c>
      <c r="N801" s="49" t="s">
        <v>3543</v>
      </c>
      <c r="O801" s="49">
        <v>2</v>
      </c>
      <c r="P801" s="49" t="s">
        <v>8493</v>
      </c>
      <c r="Q801" s="49">
        <v>0</v>
      </c>
      <c r="R801" s="49" t="s">
        <v>8494</v>
      </c>
      <c r="S801" s="49" t="s">
        <v>8495</v>
      </c>
      <c r="T801" s="49" t="s">
        <v>646</v>
      </c>
      <c r="U801" s="49" t="s">
        <v>670</v>
      </c>
      <c r="V801" s="49" t="e">
        <v>#REF!</v>
      </c>
      <c r="AC801" s="49"/>
      <c r="AD801" s="49"/>
    </row>
    <row r="802" spans="1:30" hidden="1" x14ac:dyDescent="0.3">
      <c r="A802" s="49" t="s">
        <v>8496</v>
      </c>
      <c r="B802" s="49">
        <v>0</v>
      </c>
      <c r="C802" s="49"/>
      <c r="D802" s="72" t="s">
        <v>644</v>
      </c>
      <c r="E802" s="49" t="s">
        <v>3754</v>
      </c>
      <c r="F802" s="49"/>
      <c r="G802" s="49"/>
      <c r="H802" s="49" t="s">
        <v>8497</v>
      </c>
      <c r="I802" s="49" t="s">
        <v>8500</v>
      </c>
      <c r="J802" s="49" t="s">
        <v>8498</v>
      </c>
      <c r="K802" s="49" t="s">
        <v>8499</v>
      </c>
      <c r="L802" s="49">
        <v>0</v>
      </c>
      <c r="M802" s="49" t="s">
        <v>1826</v>
      </c>
      <c r="N802" s="49" t="s">
        <v>8501</v>
      </c>
      <c r="P802" s="49" t="s">
        <v>8502</v>
      </c>
      <c r="Q802" s="49">
        <v>0</v>
      </c>
      <c r="R802" s="49" t="s">
        <v>8503</v>
      </c>
      <c r="S802" s="49" t="s">
        <v>8504</v>
      </c>
      <c r="T802" s="49" t="s">
        <v>646</v>
      </c>
      <c r="U802" s="49" t="s">
        <v>670</v>
      </c>
      <c r="V802" s="49" t="e">
        <v>#REF!</v>
      </c>
      <c r="AC802" s="49"/>
      <c r="AD802" s="49"/>
    </row>
    <row r="803" spans="1:30" hidden="1" x14ac:dyDescent="0.3">
      <c r="A803" s="49" t="s">
        <v>8505</v>
      </c>
      <c r="B803" s="49">
        <v>0</v>
      </c>
      <c r="C803" s="49"/>
      <c r="D803" s="72" t="s">
        <v>644</v>
      </c>
      <c r="E803" s="49" t="s">
        <v>3754</v>
      </c>
      <c r="F803" s="49"/>
      <c r="G803" s="49"/>
      <c r="H803" s="49" t="s">
        <v>8506</v>
      </c>
      <c r="I803" s="49" t="s">
        <v>8509</v>
      </c>
      <c r="J803" s="49" t="s">
        <v>8507</v>
      </c>
      <c r="K803" s="49" t="s">
        <v>8508</v>
      </c>
      <c r="L803" s="49">
        <v>0</v>
      </c>
      <c r="M803" s="49" t="s">
        <v>1777</v>
      </c>
      <c r="N803" s="49" t="s">
        <v>650</v>
      </c>
      <c r="O803" s="49">
        <v>5</v>
      </c>
      <c r="P803" s="49" t="s">
        <v>8510</v>
      </c>
      <c r="Q803" s="49">
        <v>0</v>
      </c>
      <c r="R803" s="49" t="s">
        <v>8511</v>
      </c>
      <c r="S803" s="49" t="s">
        <v>8512</v>
      </c>
      <c r="T803" s="49" t="s">
        <v>646</v>
      </c>
      <c r="U803" s="49" t="s">
        <v>655</v>
      </c>
      <c r="V803" s="49" t="e">
        <v>#REF!</v>
      </c>
      <c r="AC803" s="49"/>
      <c r="AD803" s="49"/>
    </row>
    <row r="804" spans="1:30" hidden="1" x14ac:dyDescent="0.3">
      <c r="A804" s="49" t="s">
        <v>8513</v>
      </c>
      <c r="B804" s="49">
        <v>0</v>
      </c>
      <c r="C804" s="49"/>
      <c r="D804" s="72" t="s">
        <v>644</v>
      </c>
      <c r="E804" s="49" t="s">
        <v>3754</v>
      </c>
      <c r="F804" s="49"/>
      <c r="G804" s="49"/>
      <c r="H804" s="49" t="s">
        <v>8514</v>
      </c>
      <c r="I804" s="49" t="s">
        <v>8517</v>
      </c>
      <c r="J804" s="49" t="s">
        <v>8515</v>
      </c>
      <c r="K804" s="49" t="s">
        <v>8516</v>
      </c>
      <c r="L804" s="49">
        <v>0</v>
      </c>
      <c r="M804" s="49" t="s">
        <v>2456</v>
      </c>
      <c r="N804" s="49" t="s">
        <v>8518</v>
      </c>
      <c r="O804" s="49">
        <v>4</v>
      </c>
      <c r="P804" s="49" t="s">
        <v>8519</v>
      </c>
      <c r="Q804" s="49">
        <v>0</v>
      </c>
      <c r="R804" s="49" t="s">
        <v>8520</v>
      </c>
      <c r="S804" s="49" t="s">
        <v>8521</v>
      </c>
      <c r="T804" s="49" t="s">
        <v>8522</v>
      </c>
      <c r="U804" s="49" t="s">
        <v>670</v>
      </c>
      <c r="V804" s="49" t="e">
        <v>#REF!</v>
      </c>
      <c r="AC804" s="49"/>
      <c r="AD804" s="49"/>
    </row>
    <row r="805" spans="1:30" hidden="1" x14ac:dyDescent="0.3">
      <c r="A805" s="49" t="s">
        <v>8523</v>
      </c>
      <c r="B805" s="49">
        <v>0</v>
      </c>
      <c r="C805" s="49"/>
      <c r="D805" s="72" t="s">
        <v>644</v>
      </c>
      <c r="E805" s="49" t="s">
        <v>3754</v>
      </c>
      <c r="F805" s="49"/>
      <c r="G805" s="49"/>
      <c r="H805" s="49" t="s">
        <v>646</v>
      </c>
      <c r="I805" s="49" t="s">
        <v>8526</v>
      </c>
      <c r="J805" s="49" t="s">
        <v>8524</v>
      </c>
      <c r="K805" s="49" t="s">
        <v>8525</v>
      </c>
      <c r="L805" s="49">
        <v>0</v>
      </c>
      <c r="M805" s="49" t="s">
        <v>2636</v>
      </c>
      <c r="N805" s="49" t="s">
        <v>5371</v>
      </c>
      <c r="O805" s="49">
        <v>61</v>
      </c>
      <c r="P805" s="49" t="s">
        <v>8527</v>
      </c>
      <c r="Q805" s="49">
        <v>0</v>
      </c>
      <c r="R805" s="49" t="s">
        <v>8528</v>
      </c>
      <c r="S805" s="49" t="s">
        <v>8529</v>
      </c>
      <c r="T805" s="49" t="s">
        <v>8530</v>
      </c>
      <c r="U805" s="49" t="s">
        <v>670</v>
      </c>
      <c r="V805" s="49" t="e">
        <v>#REF!</v>
      </c>
      <c r="AC805" s="49"/>
      <c r="AD805" s="49"/>
    </row>
    <row r="806" spans="1:30" hidden="1" x14ac:dyDescent="0.3">
      <c r="A806" s="49" t="s">
        <v>8531</v>
      </c>
      <c r="B806" s="49">
        <v>0</v>
      </c>
      <c r="C806" s="49"/>
      <c r="D806" s="72" t="s">
        <v>644</v>
      </c>
      <c r="E806" s="49" t="s">
        <v>3754</v>
      </c>
      <c r="F806" s="49"/>
      <c r="G806" s="49"/>
      <c r="H806" s="49" t="s">
        <v>8532</v>
      </c>
      <c r="I806" s="49" t="s">
        <v>8535</v>
      </c>
      <c r="J806" s="49" t="s">
        <v>8533</v>
      </c>
      <c r="K806" s="49" t="s">
        <v>8534</v>
      </c>
      <c r="L806" s="49">
        <v>0</v>
      </c>
      <c r="M806" s="49" t="s">
        <v>2484</v>
      </c>
      <c r="N806" s="49" t="s">
        <v>8536</v>
      </c>
      <c r="O806" s="49">
        <v>5</v>
      </c>
      <c r="P806" s="49" t="s">
        <v>8537</v>
      </c>
      <c r="Q806" s="49">
        <v>0</v>
      </c>
      <c r="R806" s="49" t="s">
        <v>8538</v>
      </c>
      <c r="S806" s="49" t="s">
        <v>8539</v>
      </c>
      <c r="T806" s="49" t="s">
        <v>8540</v>
      </c>
      <c r="U806" s="49" t="s">
        <v>655</v>
      </c>
      <c r="V806" s="49" t="e">
        <v>#REF!</v>
      </c>
      <c r="AC806" s="49"/>
      <c r="AD806" s="49"/>
    </row>
    <row r="807" spans="1:30" hidden="1" x14ac:dyDescent="0.3">
      <c r="A807" s="49" t="s">
        <v>812</v>
      </c>
      <c r="B807" s="49">
        <v>0</v>
      </c>
      <c r="C807" s="49"/>
      <c r="D807" s="72" t="s">
        <v>644</v>
      </c>
      <c r="E807" s="49" t="s">
        <v>3754</v>
      </c>
      <c r="F807" s="49"/>
      <c r="G807" s="49"/>
      <c r="H807" s="49" t="s">
        <v>814</v>
      </c>
      <c r="I807" s="49" t="s">
        <v>815</v>
      </c>
      <c r="J807" s="49" t="s">
        <v>816</v>
      </c>
      <c r="K807" s="49" t="s">
        <v>817</v>
      </c>
      <c r="L807" s="49">
        <v>0</v>
      </c>
      <c r="M807" s="49" t="s">
        <v>1865</v>
      </c>
      <c r="N807" s="49" t="s">
        <v>818</v>
      </c>
      <c r="P807" s="49" t="s">
        <v>819</v>
      </c>
      <c r="Q807" s="49">
        <v>0</v>
      </c>
      <c r="R807" s="49" t="s">
        <v>821</v>
      </c>
      <c r="S807" s="49" t="s">
        <v>822</v>
      </c>
      <c r="T807" s="49" t="s">
        <v>8541</v>
      </c>
      <c r="U807" s="49" t="s">
        <v>670</v>
      </c>
      <c r="V807" s="49" t="e">
        <v>#REF!</v>
      </c>
      <c r="AC807" s="49"/>
      <c r="AD807" s="49"/>
    </row>
    <row r="808" spans="1:30" hidden="1" x14ac:dyDescent="0.3">
      <c r="A808" s="49" t="s">
        <v>8542</v>
      </c>
      <c r="B808" s="49">
        <v>0</v>
      </c>
      <c r="C808" s="49"/>
      <c r="D808" s="72" t="s">
        <v>644</v>
      </c>
      <c r="E808" s="49" t="s">
        <v>3754</v>
      </c>
      <c r="F808" s="49"/>
      <c r="G808" s="49"/>
      <c r="H808" s="49" t="s">
        <v>8543</v>
      </c>
      <c r="I808" s="49" t="s">
        <v>8546</v>
      </c>
      <c r="J808" s="49" t="s">
        <v>8544</v>
      </c>
      <c r="K808" s="49" t="s">
        <v>8545</v>
      </c>
      <c r="L808" s="49">
        <v>0</v>
      </c>
      <c r="M808" s="49" t="s">
        <v>1865</v>
      </c>
      <c r="N808" s="49" t="s">
        <v>8547</v>
      </c>
      <c r="O808" s="49">
        <v>23</v>
      </c>
      <c r="P808" s="49" t="s">
        <v>8548</v>
      </c>
      <c r="Q808" s="49">
        <v>0</v>
      </c>
      <c r="R808" s="49" t="s">
        <v>8549</v>
      </c>
      <c r="S808" s="49" t="s">
        <v>8550</v>
      </c>
      <c r="T808" s="49" t="s">
        <v>646</v>
      </c>
      <c r="U808" s="49" t="s">
        <v>655</v>
      </c>
      <c r="V808" s="49" t="e">
        <v>#REF!</v>
      </c>
      <c r="AC808" s="49"/>
      <c r="AD808" s="49"/>
    </row>
    <row r="809" spans="1:30" hidden="1" x14ac:dyDescent="0.3">
      <c r="A809" s="49" t="s">
        <v>921</v>
      </c>
      <c r="B809" s="49">
        <v>0</v>
      </c>
      <c r="C809" s="49"/>
      <c r="D809" s="72" t="s">
        <v>644</v>
      </c>
      <c r="E809" s="49" t="s">
        <v>3754</v>
      </c>
      <c r="F809" s="49"/>
      <c r="G809" s="49"/>
      <c r="H809" s="49" t="s">
        <v>923</v>
      </c>
      <c r="I809" s="49" t="s">
        <v>924</v>
      </c>
      <c r="J809" s="49" t="s">
        <v>925</v>
      </c>
      <c r="K809" s="49" t="s">
        <v>926</v>
      </c>
      <c r="L809" s="49">
        <v>0</v>
      </c>
      <c r="M809" s="49" t="s">
        <v>3570</v>
      </c>
      <c r="N809" s="49" t="s">
        <v>927</v>
      </c>
      <c r="O809" s="49">
        <v>106</v>
      </c>
      <c r="P809" s="49" t="s">
        <v>928</v>
      </c>
      <c r="Q809" s="49">
        <v>0</v>
      </c>
      <c r="R809" s="49" t="s">
        <v>929</v>
      </c>
      <c r="S809" s="49" t="s">
        <v>930</v>
      </c>
      <c r="T809" s="49" t="s">
        <v>931</v>
      </c>
      <c r="U809" s="49" t="s">
        <v>655</v>
      </c>
      <c r="V809" s="49" t="e">
        <v>#REF!</v>
      </c>
      <c r="AC809" s="49"/>
      <c r="AD809" s="49"/>
    </row>
    <row r="810" spans="1:30" hidden="1" x14ac:dyDescent="0.3">
      <c r="A810" s="49" t="s">
        <v>8551</v>
      </c>
      <c r="B810" s="49">
        <v>0</v>
      </c>
      <c r="C810" s="49"/>
      <c r="D810" s="72" t="s">
        <v>644</v>
      </c>
      <c r="E810" s="49" t="s">
        <v>3754</v>
      </c>
      <c r="F810" s="49"/>
      <c r="G810" s="49"/>
      <c r="H810" s="49" t="s">
        <v>646</v>
      </c>
      <c r="I810" s="49" t="s">
        <v>8554</v>
      </c>
      <c r="J810" s="49" t="s">
        <v>8552</v>
      </c>
      <c r="K810" s="49" t="s">
        <v>8553</v>
      </c>
      <c r="L810" s="49">
        <v>0</v>
      </c>
      <c r="M810" s="49" t="s">
        <v>1826</v>
      </c>
      <c r="N810" s="49" t="s">
        <v>4729</v>
      </c>
      <c r="P810" s="49" t="s">
        <v>8555</v>
      </c>
      <c r="Q810" s="49">
        <v>0</v>
      </c>
      <c r="R810" s="49" t="s">
        <v>8556</v>
      </c>
      <c r="S810" s="49" t="s">
        <v>8557</v>
      </c>
      <c r="T810" s="49" t="s">
        <v>8558</v>
      </c>
      <c r="U810" s="49" t="s">
        <v>670</v>
      </c>
      <c r="V810" s="49" t="e">
        <v>#REF!</v>
      </c>
      <c r="AC810" s="49"/>
      <c r="AD810" s="49"/>
    </row>
    <row r="811" spans="1:30" hidden="1" x14ac:dyDescent="0.3">
      <c r="A811" s="49" t="s">
        <v>8559</v>
      </c>
      <c r="B811" s="49">
        <v>0</v>
      </c>
      <c r="C811" s="49"/>
      <c r="D811" s="72" t="s">
        <v>644</v>
      </c>
      <c r="E811" s="49" t="s">
        <v>3754</v>
      </c>
      <c r="F811" s="49"/>
      <c r="G811" s="49"/>
      <c r="H811" s="49" t="s">
        <v>8560</v>
      </c>
      <c r="I811" s="49" t="s">
        <v>8563</v>
      </c>
      <c r="J811" s="49" t="s">
        <v>8561</v>
      </c>
      <c r="K811" s="49" t="s">
        <v>8562</v>
      </c>
      <c r="L811" s="49">
        <v>0</v>
      </c>
      <c r="M811" s="49" t="s">
        <v>1865</v>
      </c>
      <c r="N811" s="49" t="s">
        <v>4381</v>
      </c>
      <c r="O811" s="49">
        <v>19</v>
      </c>
      <c r="P811" s="49" t="s">
        <v>8564</v>
      </c>
      <c r="Q811" s="49">
        <v>0</v>
      </c>
      <c r="R811" s="49" t="s">
        <v>8565</v>
      </c>
      <c r="S811" s="49" t="s">
        <v>8566</v>
      </c>
      <c r="T811" s="49" t="s">
        <v>646</v>
      </c>
      <c r="U811" s="49" t="s">
        <v>655</v>
      </c>
      <c r="V811" s="49" t="e">
        <v>#REF!</v>
      </c>
      <c r="AC811" s="49"/>
      <c r="AD811" s="49"/>
    </row>
    <row r="812" spans="1:30" hidden="1" x14ac:dyDescent="0.3">
      <c r="A812" s="49" t="s">
        <v>8567</v>
      </c>
      <c r="B812" s="49">
        <v>0</v>
      </c>
      <c r="C812" s="49"/>
      <c r="D812" s="72" t="s">
        <v>644</v>
      </c>
      <c r="E812" s="49" t="s">
        <v>3754</v>
      </c>
      <c r="F812" s="49"/>
      <c r="G812" s="49"/>
      <c r="H812" s="49" t="s">
        <v>646</v>
      </c>
      <c r="I812" s="49" t="s">
        <v>8570</v>
      </c>
      <c r="J812" s="49" t="s">
        <v>8568</v>
      </c>
      <c r="K812" s="49" t="s">
        <v>8569</v>
      </c>
      <c r="L812" s="49">
        <v>0</v>
      </c>
      <c r="M812" s="49" t="s">
        <v>2142</v>
      </c>
      <c r="N812" s="49" t="s">
        <v>8571</v>
      </c>
      <c r="O812" s="49">
        <v>3</v>
      </c>
      <c r="P812" s="49" t="s">
        <v>8572</v>
      </c>
      <c r="Q812" s="49">
        <v>0</v>
      </c>
      <c r="R812" s="49" t="s">
        <v>8573</v>
      </c>
      <c r="S812" s="49" t="s">
        <v>8574</v>
      </c>
      <c r="T812" s="49" t="s">
        <v>646</v>
      </c>
      <c r="U812" s="49" t="s">
        <v>655</v>
      </c>
      <c r="V812" s="49" t="e">
        <v>#REF!</v>
      </c>
      <c r="AC812" s="49"/>
      <c r="AD812" s="49"/>
    </row>
    <row r="813" spans="1:30" hidden="1" x14ac:dyDescent="0.3">
      <c r="A813" s="49" t="s">
        <v>8575</v>
      </c>
      <c r="B813" s="49">
        <v>0</v>
      </c>
      <c r="C813" s="49"/>
      <c r="D813" s="72" t="s">
        <v>644</v>
      </c>
      <c r="E813" s="49" t="s">
        <v>3754</v>
      </c>
      <c r="F813" s="49"/>
      <c r="G813" s="49"/>
      <c r="H813" s="49" t="s">
        <v>8576</v>
      </c>
      <c r="I813" s="49" t="s">
        <v>8579</v>
      </c>
      <c r="J813" s="49" t="s">
        <v>8577</v>
      </c>
      <c r="K813" s="49" t="s">
        <v>8578</v>
      </c>
      <c r="L813" s="49">
        <v>0</v>
      </c>
      <c r="M813" s="49" t="s">
        <v>2484</v>
      </c>
      <c r="N813" s="49" t="s">
        <v>6013</v>
      </c>
      <c r="O813" s="49">
        <v>46</v>
      </c>
      <c r="P813" s="49" t="s">
        <v>8580</v>
      </c>
      <c r="Q813" s="49">
        <v>0</v>
      </c>
      <c r="R813" s="49" t="s">
        <v>8581</v>
      </c>
      <c r="S813" s="49" t="s">
        <v>8582</v>
      </c>
      <c r="T813" s="49" t="s">
        <v>8583</v>
      </c>
      <c r="U813" s="49" t="s">
        <v>655</v>
      </c>
      <c r="V813" s="49" t="e">
        <v>#REF!</v>
      </c>
      <c r="AC813" s="49"/>
      <c r="AD813" s="49"/>
    </row>
    <row r="814" spans="1:30" hidden="1" x14ac:dyDescent="0.3">
      <c r="A814" s="49" t="s">
        <v>8584</v>
      </c>
      <c r="B814" s="49">
        <v>0</v>
      </c>
      <c r="C814" s="49"/>
      <c r="D814" s="72" t="s">
        <v>644</v>
      </c>
      <c r="E814" s="49" t="s">
        <v>3754</v>
      </c>
      <c r="F814" s="49"/>
      <c r="G814" s="49"/>
      <c r="H814" s="49" t="s">
        <v>646</v>
      </c>
      <c r="I814" s="49" t="s">
        <v>8587</v>
      </c>
      <c r="J814" s="49" t="s">
        <v>8585</v>
      </c>
      <c r="K814" s="49" t="s">
        <v>8586</v>
      </c>
      <c r="L814" s="49">
        <v>0</v>
      </c>
      <c r="M814" s="49" t="s">
        <v>4114</v>
      </c>
      <c r="N814" s="49" t="s">
        <v>8588</v>
      </c>
      <c r="P814" s="49" t="s">
        <v>8589</v>
      </c>
      <c r="Q814" s="49">
        <v>0</v>
      </c>
      <c r="R814" s="49" t="s">
        <v>8590</v>
      </c>
      <c r="S814" s="49" t="s">
        <v>8591</v>
      </c>
      <c r="T814" s="49" t="s">
        <v>646</v>
      </c>
      <c r="U814" s="49" t="s">
        <v>670</v>
      </c>
      <c r="V814" s="49" t="e">
        <v>#REF!</v>
      </c>
      <c r="AC814" s="49"/>
      <c r="AD814" s="49"/>
    </row>
    <row r="815" spans="1:30" hidden="1" x14ac:dyDescent="0.3">
      <c r="A815" s="49" t="s">
        <v>8592</v>
      </c>
      <c r="B815" s="49">
        <v>0</v>
      </c>
      <c r="C815" s="49"/>
      <c r="D815" s="72" t="s">
        <v>644</v>
      </c>
      <c r="E815" s="49" t="s">
        <v>3754</v>
      </c>
      <c r="F815" s="49"/>
      <c r="G815" s="49"/>
      <c r="H815" s="49" t="s">
        <v>8593</v>
      </c>
      <c r="I815" s="49" t="s">
        <v>8596</v>
      </c>
      <c r="J815" s="49" t="s">
        <v>8594</v>
      </c>
      <c r="K815" s="49" t="s">
        <v>8595</v>
      </c>
      <c r="L815" s="49">
        <v>0</v>
      </c>
      <c r="M815" s="49" t="s">
        <v>2220</v>
      </c>
      <c r="N815" s="49" t="s">
        <v>3949</v>
      </c>
      <c r="O815" s="49">
        <v>47</v>
      </c>
      <c r="P815" s="49" t="s">
        <v>8597</v>
      </c>
      <c r="Q815" s="49">
        <v>0</v>
      </c>
      <c r="R815" s="49" t="s">
        <v>8598</v>
      </c>
      <c r="S815" s="49" t="s">
        <v>8599</v>
      </c>
      <c r="T815" s="49" t="s">
        <v>8600</v>
      </c>
      <c r="U815" s="49" t="s">
        <v>655</v>
      </c>
      <c r="V815" s="49" t="e">
        <v>#REF!</v>
      </c>
      <c r="AC815" s="49"/>
      <c r="AD815" s="49"/>
    </row>
    <row r="816" spans="1:30" hidden="1" x14ac:dyDescent="0.3">
      <c r="A816" s="49" t="s">
        <v>8601</v>
      </c>
      <c r="B816" s="49">
        <v>0</v>
      </c>
      <c r="C816" s="49"/>
      <c r="D816" s="72" t="s">
        <v>644</v>
      </c>
      <c r="E816" s="49" t="s">
        <v>3754</v>
      </c>
      <c r="F816" s="49"/>
      <c r="G816" s="49"/>
      <c r="H816" s="49" t="s">
        <v>8602</v>
      </c>
      <c r="I816" s="49" t="s">
        <v>8605</v>
      </c>
      <c r="J816" s="49" t="s">
        <v>8603</v>
      </c>
      <c r="K816" s="49" t="s">
        <v>8604</v>
      </c>
      <c r="L816" s="49">
        <v>0</v>
      </c>
      <c r="M816" s="49" t="s">
        <v>4084</v>
      </c>
      <c r="N816" s="49" t="s">
        <v>8606</v>
      </c>
      <c r="O816" s="49">
        <v>92</v>
      </c>
      <c r="P816" s="49" t="s">
        <v>8607</v>
      </c>
      <c r="Q816" s="49">
        <v>0</v>
      </c>
      <c r="R816" s="49" t="s">
        <v>8608</v>
      </c>
      <c r="S816" s="49" t="s">
        <v>8609</v>
      </c>
      <c r="T816" s="49" t="s">
        <v>8610</v>
      </c>
      <c r="U816" s="49" t="s">
        <v>655</v>
      </c>
      <c r="V816" s="49" t="e">
        <v>#REF!</v>
      </c>
      <c r="AC816" s="49"/>
      <c r="AD816" s="49"/>
    </row>
    <row r="817" spans="1:30" hidden="1" x14ac:dyDescent="0.3">
      <c r="A817" s="49" t="s">
        <v>8611</v>
      </c>
      <c r="B817" s="49">
        <v>0</v>
      </c>
      <c r="C817" s="49"/>
      <c r="D817" s="72" t="s">
        <v>644</v>
      </c>
      <c r="E817" s="49" t="s">
        <v>3754</v>
      </c>
      <c r="F817" s="49"/>
      <c r="G817" s="49"/>
      <c r="H817" s="49" t="s">
        <v>8612</v>
      </c>
      <c r="I817" s="49" t="s">
        <v>8615</v>
      </c>
      <c r="J817" s="49" t="s">
        <v>8613</v>
      </c>
      <c r="K817" s="49" t="s">
        <v>8614</v>
      </c>
      <c r="L817" s="49">
        <v>0</v>
      </c>
      <c r="M817" s="49" t="s">
        <v>1865</v>
      </c>
      <c r="N817" s="49" t="s">
        <v>8616</v>
      </c>
      <c r="P817" s="49" t="s">
        <v>8617</v>
      </c>
      <c r="Q817" s="49">
        <v>0</v>
      </c>
      <c r="R817" s="49" t="s">
        <v>8618</v>
      </c>
      <c r="S817" s="49" t="s">
        <v>8619</v>
      </c>
      <c r="T817" s="49" t="s">
        <v>8620</v>
      </c>
      <c r="U817" s="49" t="s">
        <v>655</v>
      </c>
      <c r="V817" s="49" t="e">
        <v>#REF!</v>
      </c>
      <c r="AC817" s="49"/>
      <c r="AD817" s="49"/>
    </row>
    <row r="818" spans="1:30" hidden="1" x14ac:dyDescent="0.3">
      <c r="A818" s="49" t="s">
        <v>8621</v>
      </c>
      <c r="B818" s="49">
        <v>0</v>
      </c>
      <c r="C818" s="49"/>
      <c r="D818" s="72" t="s">
        <v>644</v>
      </c>
      <c r="E818" s="49" t="s">
        <v>3754</v>
      </c>
      <c r="F818" s="49"/>
      <c r="G818" s="49"/>
      <c r="H818" s="49" t="s">
        <v>646</v>
      </c>
      <c r="I818" s="49" t="s">
        <v>8624</v>
      </c>
      <c r="J818" s="49" t="s">
        <v>8622</v>
      </c>
      <c r="K818" s="49" t="s">
        <v>8623</v>
      </c>
      <c r="L818" s="49">
        <v>0</v>
      </c>
      <c r="M818" s="49" t="s">
        <v>4084</v>
      </c>
      <c r="N818" s="49" t="s">
        <v>3543</v>
      </c>
      <c r="O818" s="49">
        <v>7</v>
      </c>
      <c r="P818" s="49" t="s">
        <v>8625</v>
      </c>
      <c r="Q818" s="49">
        <v>0</v>
      </c>
      <c r="R818" s="49" t="s">
        <v>8626</v>
      </c>
      <c r="S818" s="49" t="s">
        <v>8627</v>
      </c>
      <c r="T818" s="49" t="s">
        <v>8628</v>
      </c>
      <c r="U818" s="49" t="s">
        <v>670</v>
      </c>
      <c r="V818" s="49" t="e">
        <v>#REF!</v>
      </c>
      <c r="AC818" s="49"/>
      <c r="AD818" s="49"/>
    </row>
    <row r="819" spans="1:30" hidden="1" x14ac:dyDescent="0.3">
      <c r="A819" s="49" t="s">
        <v>8629</v>
      </c>
      <c r="B819" s="49">
        <v>0</v>
      </c>
      <c r="C819" s="49"/>
      <c r="D819" s="72" t="s">
        <v>644</v>
      </c>
      <c r="E819" s="49" t="s">
        <v>3754</v>
      </c>
      <c r="F819" s="49"/>
      <c r="G819" s="49"/>
      <c r="H819" s="49" t="s">
        <v>8630</v>
      </c>
      <c r="I819" s="49" t="s">
        <v>8633</v>
      </c>
      <c r="J819" s="49" t="s">
        <v>8631</v>
      </c>
      <c r="K819" s="49" t="s">
        <v>8632</v>
      </c>
      <c r="L819" s="49">
        <v>0</v>
      </c>
      <c r="M819" s="49" t="s">
        <v>4114</v>
      </c>
      <c r="N819" s="49" t="s">
        <v>697</v>
      </c>
      <c r="O819" s="49">
        <v>28</v>
      </c>
      <c r="P819" s="49" t="s">
        <v>8634</v>
      </c>
      <c r="Q819" s="49">
        <v>0</v>
      </c>
      <c r="R819" s="49" t="s">
        <v>8635</v>
      </c>
      <c r="S819" s="49" t="s">
        <v>8636</v>
      </c>
      <c r="T819" s="49" t="s">
        <v>646</v>
      </c>
      <c r="U819" s="49" t="s">
        <v>655</v>
      </c>
      <c r="V819" s="49" t="e">
        <v>#REF!</v>
      </c>
      <c r="AC819" s="49"/>
      <c r="AD819" s="49"/>
    </row>
    <row r="820" spans="1:30" hidden="1" x14ac:dyDescent="0.3">
      <c r="A820" s="49" t="s">
        <v>8637</v>
      </c>
      <c r="B820" s="49">
        <v>0</v>
      </c>
      <c r="C820" s="49"/>
      <c r="D820" s="72" t="s">
        <v>644</v>
      </c>
      <c r="E820" s="49" t="s">
        <v>3754</v>
      </c>
      <c r="F820" s="49"/>
      <c r="G820" s="49"/>
      <c r="H820" s="49" t="s">
        <v>8638</v>
      </c>
      <c r="I820" s="49" t="s">
        <v>8641</v>
      </c>
      <c r="J820" s="49" t="s">
        <v>8639</v>
      </c>
      <c r="K820" s="49" t="s">
        <v>8640</v>
      </c>
      <c r="L820" s="49">
        <v>0</v>
      </c>
      <c r="M820" s="49" t="s">
        <v>1764</v>
      </c>
      <c r="N820" s="49" t="s">
        <v>2036</v>
      </c>
      <c r="O820" s="49">
        <v>34</v>
      </c>
      <c r="P820" s="49" t="s">
        <v>8642</v>
      </c>
      <c r="Q820" s="49">
        <v>0</v>
      </c>
      <c r="R820" s="49" t="s">
        <v>8643</v>
      </c>
      <c r="S820" s="49" t="s">
        <v>8644</v>
      </c>
      <c r="T820" s="49" t="s">
        <v>8645</v>
      </c>
      <c r="U820" s="49" t="s">
        <v>655</v>
      </c>
      <c r="V820" s="49" t="e">
        <v>#REF!</v>
      </c>
      <c r="AC820" s="49"/>
      <c r="AD820" s="49"/>
    </row>
    <row r="821" spans="1:30" hidden="1" x14ac:dyDescent="0.3">
      <c r="A821" s="49" t="s">
        <v>8646</v>
      </c>
      <c r="B821" s="49">
        <v>0</v>
      </c>
      <c r="C821" s="49"/>
      <c r="D821" s="72" t="s">
        <v>644</v>
      </c>
      <c r="E821" s="49" t="s">
        <v>3754</v>
      </c>
      <c r="F821" s="49"/>
      <c r="G821" s="49"/>
      <c r="H821" s="49" t="s">
        <v>8647</v>
      </c>
      <c r="I821" s="49" t="s">
        <v>8650</v>
      </c>
      <c r="J821" s="49" t="s">
        <v>8648</v>
      </c>
      <c r="K821" s="49" t="s">
        <v>8649</v>
      </c>
      <c r="L821" s="49">
        <v>0</v>
      </c>
      <c r="M821" s="49" t="s">
        <v>1865</v>
      </c>
      <c r="N821" s="49" t="s">
        <v>697</v>
      </c>
      <c r="O821" s="49">
        <v>5</v>
      </c>
      <c r="P821" s="49" t="s">
        <v>8651</v>
      </c>
      <c r="Q821" s="49">
        <v>0</v>
      </c>
      <c r="R821" s="49" t="s">
        <v>8652</v>
      </c>
      <c r="S821" s="49" t="s">
        <v>8653</v>
      </c>
      <c r="T821" s="49" t="s">
        <v>8654</v>
      </c>
      <c r="U821" s="49" t="s">
        <v>655</v>
      </c>
      <c r="V821" s="49" t="e">
        <v>#REF!</v>
      </c>
      <c r="AC821" s="49"/>
      <c r="AD821" s="49"/>
    </row>
    <row r="822" spans="1:30" hidden="1" x14ac:dyDescent="0.3">
      <c r="A822" s="49" t="s">
        <v>8655</v>
      </c>
      <c r="B822" s="49">
        <v>0</v>
      </c>
      <c r="C822" s="49"/>
      <c r="D822" s="72" t="s">
        <v>644</v>
      </c>
      <c r="E822" s="49" t="s">
        <v>3754</v>
      </c>
      <c r="F822" s="49"/>
      <c r="G822" s="49"/>
      <c r="H822" s="49" t="s">
        <v>646</v>
      </c>
      <c r="I822" s="49" t="s">
        <v>8658</v>
      </c>
      <c r="J822" s="49" t="s">
        <v>8656</v>
      </c>
      <c r="K822" s="49" t="s">
        <v>8657</v>
      </c>
      <c r="L822" s="49">
        <v>0</v>
      </c>
      <c r="M822" s="49" t="s">
        <v>1826</v>
      </c>
      <c r="N822" s="49" t="s">
        <v>8659</v>
      </c>
      <c r="P822" s="49" t="s">
        <v>8660</v>
      </c>
      <c r="Q822" s="49">
        <v>0</v>
      </c>
      <c r="R822" s="49" t="s">
        <v>8661</v>
      </c>
      <c r="S822" s="49" t="s">
        <v>8662</v>
      </c>
      <c r="T822" s="49" t="s">
        <v>8663</v>
      </c>
      <c r="U822" s="49" t="s">
        <v>670</v>
      </c>
      <c r="V822" s="49" t="e">
        <v>#REF!</v>
      </c>
      <c r="AC822" s="49"/>
      <c r="AD822" s="49"/>
    </row>
    <row r="823" spans="1:30" hidden="1" x14ac:dyDescent="0.3">
      <c r="A823" s="49" t="s">
        <v>8664</v>
      </c>
      <c r="B823" s="49">
        <v>0</v>
      </c>
      <c r="C823" s="49"/>
      <c r="D823" s="72" t="s">
        <v>644</v>
      </c>
      <c r="E823" s="49" t="s">
        <v>3754</v>
      </c>
      <c r="F823" s="49"/>
      <c r="G823" s="49"/>
      <c r="H823" s="49" t="s">
        <v>8665</v>
      </c>
      <c r="I823" s="49" t="s">
        <v>8668</v>
      </c>
      <c r="J823" s="49" t="s">
        <v>8666</v>
      </c>
      <c r="K823" s="49" t="s">
        <v>8667</v>
      </c>
      <c r="L823" s="49">
        <v>0</v>
      </c>
      <c r="M823" s="49" t="s">
        <v>1764</v>
      </c>
      <c r="N823" s="49" t="s">
        <v>8669</v>
      </c>
      <c r="O823" s="49">
        <v>22</v>
      </c>
      <c r="P823" s="49" t="s">
        <v>8670</v>
      </c>
      <c r="Q823" s="49">
        <v>0</v>
      </c>
      <c r="R823" s="49" t="s">
        <v>8671</v>
      </c>
      <c r="S823" s="49" t="s">
        <v>8672</v>
      </c>
      <c r="T823" s="49" t="s">
        <v>8673</v>
      </c>
      <c r="U823" s="49" t="s">
        <v>655</v>
      </c>
      <c r="V823" s="49" t="e">
        <v>#REF!</v>
      </c>
      <c r="AC823" s="49"/>
      <c r="AD823" s="49"/>
    </row>
    <row r="824" spans="1:30" hidden="1" x14ac:dyDescent="0.3">
      <c r="A824" s="49" t="s">
        <v>8674</v>
      </c>
      <c r="B824" s="49">
        <v>0</v>
      </c>
      <c r="C824" s="49"/>
      <c r="D824" s="72" t="s">
        <v>644</v>
      </c>
      <c r="E824" s="49" t="s">
        <v>3754</v>
      </c>
      <c r="F824" s="49"/>
      <c r="G824" s="49"/>
      <c r="H824" s="49" t="s">
        <v>8675</v>
      </c>
      <c r="I824" s="49" t="s">
        <v>8678</v>
      </c>
      <c r="J824" s="49" t="s">
        <v>8676</v>
      </c>
      <c r="K824" s="49" t="s">
        <v>8677</v>
      </c>
      <c r="L824" s="49">
        <v>0</v>
      </c>
      <c r="M824" s="49" t="s">
        <v>1764</v>
      </c>
      <c r="N824" s="49" t="s">
        <v>8679</v>
      </c>
      <c r="O824" s="49">
        <v>39</v>
      </c>
      <c r="P824" s="49" t="s">
        <v>8680</v>
      </c>
      <c r="Q824" s="49">
        <v>0</v>
      </c>
      <c r="R824" s="49" t="s">
        <v>8681</v>
      </c>
      <c r="S824" s="49" t="s">
        <v>8682</v>
      </c>
      <c r="T824" s="49" t="s">
        <v>6596</v>
      </c>
      <c r="U824" s="49" t="s">
        <v>655</v>
      </c>
      <c r="V824" s="49" t="e">
        <v>#REF!</v>
      </c>
      <c r="AC824" s="49"/>
      <c r="AD824" s="49"/>
    </row>
    <row r="825" spans="1:30" hidden="1" x14ac:dyDescent="0.3">
      <c r="A825" s="49" t="s">
        <v>8683</v>
      </c>
      <c r="B825" s="49">
        <v>0</v>
      </c>
      <c r="C825" s="49"/>
      <c r="D825" s="72" t="s">
        <v>644</v>
      </c>
      <c r="E825" s="49" t="s">
        <v>3754</v>
      </c>
      <c r="F825" s="49"/>
      <c r="G825" s="49"/>
      <c r="H825" s="49" t="s">
        <v>8684</v>
      </c>
      <c r="I825" s="49" t="s">
        <v>8687</v>
      </c>
      <c r="J825" s="49" t="s">
        <v>8685</v>
      </c>
      <c r="K825" s="49" t="s">
        <v>8686</v>
      </c>
      <c r="L825" s="49">
        <v>0</v>
      </c>
      <c r="M825" s="49" t="s">
        <v>1777</v>
      </c>
      <c r="N825" s="49" t="s">
        <v>8688</v>
      </c>
      <c r="O825" s="49">
        <v>22</v>
      </c>
      <c r="P825" s="49" t="s">
        <v>8689</v>
      </c>
      <c r="Q825" s="49">
        <v>0</v>
      </c>
      <c r="R825" s="49" t="s">
        <v>8690</v>
      </c>
      <c r="S825" s="49" t="s">
        <v>8691</v>
      </c>
      <c r="T825" s="49" t="s">
        <v>8692</v>
      </c>
      <c r="U825" s="49" t="s">
        <v>655</v>
      </c>
      <c r="V825" s="49" t="e">
        <v>#REF!</v>
      </c>
      <c r="AC825" s="49"/>
      <c r="AD825" s="49"/>
    </row>
    <row r="826" spans="1:30" hidden="1" x14ac:dyDescent="0.3">
      <c r="A826" s="49" t="s">
        <v>8693</v>
      </c>
      <c r="B826" s="49">
        <v>0</v>
      </c>
      <c r="C826" s="49"/>
      <c r="D826" s="72" t="s">
        <v>644</v>
      </c>
      <c r="E826" s="49" t="s">
        <v>3754</v>
      </c>
      <c r="F826" s="49"/>
      <c r="G826" s="49"/>
      <c r="H826" s="49" t="s">
        <v>646</v>
      </c>
      <c r="I826" s="49" t="s">
        <v>8696</v>
      </c>
      <c r="J826" s="49" t="s">
        <v>8694</v>
      </c>
      <c r="K826" s="49" t="s">
        <v>8695</v>
      </c>
      <c r="L826" s="49">
        <v>0</v>
      </c>
      <c r="M826" s="49" t="s">
        <v>2636</v>
      </c>
      <c r="N826" s="49" t="s">
        <v>4249</v>
      </c>
      <c r="O826" s="49">
        <v>9</v>
      </c>
      <c r="P826" s="49" t="s">
        <v>8697</v>
      </c>
      <c r="Q826" s="49">
        <v>0</v>
      </c>
      <c r="R826" s="49" t="s">
        <v>8698</v>
      </c>
      <c r="S826" s="49" t="s">
        <v>8699</v>
      </c>
      <c r="T826" s="49" t="s">
        <v>8700</v>
      </c>
      <c r="U826" s="49" t="s">
        <v>670</v>
      </c>
      <c r="V826" s="49" t="e">
        <v>#REF!</v>
      </c>
      <c r="AC826" s="49"/>
      <c r="AD826" s="49"/>
    </row>
    <row r="827" spans="1:30" hidden="1" x14ac:dyDescent="0.3">
      <c r="A827" s="49" t="s">
        <v>8701</v>
      </c>
      <c r="B827" s="49">
        <v>0</v>
      </c>
      <c r="C827" s="49"/>
      <c r="D827" s="72" t="s">
        <v>644</v>
      </c>
      <c r="E827" s="49" t="s">
        <v>3754</v>
      </c>
      <c r="F827" s="49"/>
      <c r="G827" s="49"/>
      <c r="H827" s="49" t="s">
        <v>8702</v>
      </c>
      <c r="I827" s="49" t="s">
        <v>8705</v>
      </c>
      <c r="J827" s="49" t="s">
        <v>8703</v>
      </c>
      <c r="K827" s="49" t="s">
        <v>8704</v>
      </c>
      <c r="L827" s="49">
        <v>0</v>
      </c>
      <c r="M827" s="49" t="s">
        <v>1826</v>
      </c>
      <c r="N827" s="49" t="s">
        <v>1930</v>
      </c>
      <c r="O827" s="49">
        <v>223</v>
      </c>
      <c r="P827" s="49" t="s">
        <v>8706</v>
      </c>
      <c r="Q827" s="49">
        <v>0</v>
      </c>
      <c r="R827" s="49" t="s">
        <v>8707</v>
      </c>
      <c r="S827" s="49" t="s">
        <v>8708</v>
      </c>
      <c r="T827" s="49" t="s">
        <v>8709</v>
      </c>
      <c r="U827" s="49" t="s">
        <v>655</v>
      </c>
      <c r="V827" s="49" t="e">
        <v>#REF!</v>
      </c>
      <c r="AC827" s="49"/>
      <c r="AD827" s="49"/>
    </row>
    <row r="828" spans="1:30" hidden="1" x14ac:dyDescent="0.3">
      <c r="A828" s="49" t="s">
        <v>1355</v>
      </c>
      <c r="B828" s="49">
        <v>0</v>
      </c>
      <c r="C828" s="49"/>
      <c r="D828" s="72" t="s">
        <v>644</v>
      </c>
      <c r="E828" s="49" t="s">
        <v>3754</v>
      </c>
      <c r="F828" s="49"/>
      <c r="G828" s="49"/>
      <c r="H828" s="49" t="s">
        <v>1357</v>
      </c>
      <c r="I828" s="49" t="s">
        <v>1358</v>
      </c>
      <c r="J828" s="49" t="s">
        <v>8710</v>
      </c>
      <c r="K828" s="49" t="s">
        <v>1360</v>
      </c>
      <c r="L828" s="49">
        <v>0</v>
      </c>
      <c r="M828" s="49" t="s">
        <v>1826</v>
      </c>
      <c r="N828" s="49" t="s">
        <v>1361</v>
      </c>
      <c r="P828" s="49" t="s">
        <v>1362</v>
      </c>
      <c r="Q828" s="49">
        <v>0</v>
      </c>
      <c r="R828" s="49" t="s">
        <v>1363</v>
      </c>
      <c r="S828" s="49" t="s">
        <v>1364</v>
      </c>
      <c r="T828" s="49" t="s">
        <v>8711</v>
      </c>
      <c r="U828" s="49" t="s">
        <v>655</v>
      </c>
      <c r="V828" s="49" t="e">
        <v>#REF!</v>
      </c>
      <c r="AC828" s="49"/>
      <c r="AD828" s="49"/>
    </row>
    <row r="829" spans="1:30" hidden="1" x14ac:dyDescent="0.3">
      <c r="A829" s="49" t="s">
        <v>8712</v>
      </c>
      <c r="B829" s="49">
        <v>0</v>
      </c>
      <c r="C829" s="49"/>
      <c r="D829" s="72" t="s">
        <v>644</v>
      </c>
      <c r="E829" s="49" t="s">
        <v>3754</v>
      </c>
      <c r="F829" s="49"/>
      <c r="G829" s="49"/>
      <c r="H829" s="49" t="s">
        <v>8713</v>
      </c>
      <c r="I829" s="49" t="s">
        <v>8716</v>
      </c>
      <c r="J829" s="49" t="s">
        <v>8714</v>
      </c>
      <c r="K829" s="49" t="s">
        <v>8715</v>
      </c>
      <c r="L829" s="49">
        <v>0</v>
      </c>
      <c r="M829" s="49" t="s">
        <v>2484</v>
      </c>
      <c r="N829" s="49" t="s">
        <v>8717</v>
      </c>
      <c r="O829" s="49">
        <v>4</v>
      </c>
      <c r="P829" s="49" t="s">
        <v>8718</v>
      </c>
      <c r="Q829" s="49">
        <v>0</v>
      </c>
      <c r="R829" s="49" t="s">
        <v>8719</v>
      </c>
      <c r="S829" s="49" t="s">
        <v>8720</v>
      </c>
      <c r="T829" s="49" t="s">
        <v>8721</v>
      </c>
      <c r="U829" s="49" t="s">
        <v>655</v>
      </c>
      <c r="V829" s="49" t="e">
        <v>#REF!</v>
      </c>
      <c r="AC829" s="49"/>
      <c r="AD829" s="49"/>
    </row>
    <row r="830" spans="1:30" hidden="1" x14ac:dyDescent="0.3">
      <c r="A830" s="49" t="s">
        <v>8722</v>
      </c>
      <c r="B830" s="49">
        <v>0</v>
      </c>
      <c r="C830" s="49"/>
      <c r="D830" s="72" t="s">
        <v>644</v>
      </c>
      <c r="E830" s="49" t="s">
        <v>3754</v>
      </c>
      <c r="F830" s="49"/>
      <c r="G830" s="49"/>
      <c r="H830" s="49" t="s">
        <v>646</v>
      </c>
      <c r="I830" s="49" t="s">
        <v>8725</v>
      </c>
      <c r="J830" s="49" t="s">
        <v>8723</v>
      </c>
      <c r="K830" s="49" t="s">
        <v>8724</v>
      </c>
      <c r="L830" s="49">
        <v>0</v>
      </c>
      <c r="M830" s="49" t="s">
        <v>4084</v>
      </c>
      <c r="N830" s="49" t="s">
        <v>3543</v>
      </c>
      <c r="O830" s="49">
        <v>4</v>
      </c>
      <c r="P830" s="49" t="s">
        <v>8726</v>
      </c>
      <c r="Q830" s="49">
        <v>0</v>
      </c>
      <c r="R830" s="49" t="s">
        <v>8727</v>
      </c>
      <c r="S830" s="49" t="s">
        <v>8728</v>
      </c>
      <c r="T830" s="49" t="s">
        <v>8729</v>
      </c>
      <c r="U830" s="49" t="s">
        <v>670</v>
      </c>
      <c r="V830" s="49" t="e">
        <v>#REF!</v>
      </c>
      <c r="AC830" s="49"/>
      <c r="AD830" s="49"/>
    </row>
    <row r="831" spans="1:30" hidden="1" x14ac:dyDescent="0.3">
      <c r="A831" s="49" t="s">
        <v>1366</v>
      </c>
      <c r="B831" s="49">
        <v>0</v>
      </c>
      <c r="C831" s="49"/>
      <c r="D831" s="72" t="s">
        <v>644</v>
      </c>
      <c r="E831" s="49" t="s">
        <v>3754</v>
      </c>
      <c r="F831" s="49"/>
      <c r="G831" s="49"/>
      <c r="H831" s="49" t="s">
        <v>1368</v>
      </c>
      <c r="I831" s="49" t="s">
        <v>1369</v>
      </c>
      <c r="J831" s="49" t="s">
        <v>1370</v>
      </c>
      <c r="K831" s="49" t="s">
        <v>1371</v>
      </c>
      <c r="L831" s="49">
        <v>0</v>
      </c>
      <c r="M831" s="49" t="s">
        <v>2484</v>
      </c>
      <c r="N831" s="49" t="s">
        <v>1372</v>
      </c>
      <c r="P831" s="49" t="s">
        <v>1373</v>
      </c>
      <c r="Q831" s="49">
        <v>0</v>
      </c>
      <c r="R831" s="49" t="s">
        <v>1374</v>
      </c>
      <c r="S831" s="49" t="s">
        <v>1375</v>
      </c>
      <c r="T831" s="49" t="s">
        <v>646</v>
      </c>
      <c r="U831" s="49" t="s">
        <v>670</v>
      </c>
      <c r="V831" s="49" t="e">
        <v>#REF!</v>
      </c>
      <c r="AC831" s="49"/>
      <c r="AD831" s="49"/>
    </row>
    <row r="832" spans="1:30" hidden="1" x14ac:dyDescent="0.3">
      <c r="A832" s="49" t="s">
        <v>8730</v>
      </c>
      <c r="B832" s="49">
        <v>0</v>
      </c>
      <c r="C832" s="49"/>
      <c r="D832" s="72" t="s">
        <v>644</v>
      </c>
      <c r="E832" s="49" t="s">
        <v>3754</v>
      </c>
      <c r="F832" s="49"/>
      <c r="G832" s="49"/>
      <c r="H832" s="49" t="s">
        <v>8731</v>
      </c>
      <c r="I832" s="49" t="s">
        <v>8734</v>
      </c>
      <c r="J832" s="49" t="s">
        <v>8732</v>
      </c>
      <c r="K832" s="49" t="s">
        <v>8733</v>
      </c>
      <c r="L832" s="49">
        <v>0</v>
      </c>
      <c r="M832" s="49" t="s">
        <v>1826</v>
      </c>
      <c r="N832" s="49" t="s">
        <v>8735</v>
      </c>
      <c r="O832" s="49">
        <v>2</v>
      </c>
      <c r="P832" s="49" t="s">
        <v>8736</v>
      </c>
      <c r="Q832" s="49">
        <v>0</v>
      </c>
      <c r="R832" s="49" t="s">
        <v>8737</v>
      </c>
      <c r="S832" s="49" t="s">
        <v>8738</v>
      </c>
      <c r="T832" s="49" t="s">
        <v>8739</v>
      </c>
      <c r="U832" s="49" t="s">
        <v>670</v>
      </c>
      <c r="V832" s="49" t="e">
        <v>#REF!</v>
      </c>
      <c r="AC832" s="49"/>
      <c r="AD832" s="49"/>
    </row>
    <row r="833" spans="1:30" hidden="1" x14ac:dyDescent="0.3">
      <c r="A833" s="49" t="s">
        <v>8740</v>
      </c>
      <c r="B833" s="49">
        <v>0</v>
      </c>
      <c r="C833" s="49"/>
      <c r="D833" s="72" t="s">
        <v>644</v>
      </c>
      <c r="E833" s="49" t="s">
        <v>3754</v>
      </c>
      <c r="F833" s="49"/>
      <c r="G833" s="49"/>
      <c r="H833" s="49" t="s">
        <v>8741</v>
      </c>
      <c r="I833" s="49" t="s">
        <v>8744</v>
      </c>
      <c r="J833" s="49" t="s">
        <v>8742</v>
      </c>
      <c r="K833" s="49" t="s">
        <v>8743</v>
      </c>
      <c r="L833" s="49">
        <v>0</v>
      </c>
      <c r="M833" s="49" t="s">
        <v>1777</v>
      </c>
      <c r="N833" s="49" t="s">
        <v>3828</v>
      </c>
      <c r="O833" s="49">
        <v>18</v>
      </c>
      <c r="P833" s="49" t="s">
        <v>8745</v>
      </c>
      <c r="Q833" s="49">
        <v>0</v>
      </c>
      <c r="R833" s="49" t="s">
        <v>8746</v>
      </c>
      <c r="S833" s="49" t="s">
        <v>8747</v>
      </c>
      <c r="T833" s="49" t="s">
        <v>8748</v>
      </c>
      <c r="U833" s="49" t="s">
        <v>655</v>
      </c>
      <c r="V833" s="49" t="e">
        <v>#REF!</v>
      </c>
      <c r="AC833" s="49"/>
      <c r="AD833" s="49"/>
    </row>
    <row r="834" spans="1:30" hidden="1" x14ac:dyDescent="0.3">
      <c r="A834" s="49" t="s">
        <v>8749</v>
      </c>
      <c r="B834" s="49">
        <v>0</v>
      </c>
      <c r="C834" s="49"/>
      <c r="D834" s="72" t="s">
        <v>644</v>
      </c>
      <c r="E834" s="49" t="s">
        <v>3754</v>
      </c>
      <c r="F834" s="49"/>
      <c r="G834" s="49"/>
      <c r="H834" s="49" t="s">
        <v>8750</v>
      </c>
      <c r="I834" s="49" t="s">
        <v>8753</v>
      </c>
      <c r="J834" s="49" t="s">
        <v>8751</v>
      </c>
      <c r="K834" s="49" t="s">
        <v>8752</v>
      </c>
      <c r="L834" s="49">
        <v>0</v>
      </c>
      <c r="M834" s="49" t="s">
        <v>4114</v>
      </c>
      <c r="N834" s="49" t="s">
        <v>687</v>
      </c>
      <c r="O834" s="49">
        <v>2</v>
      </c>
      <c r="P834" s="49" t="s">
        <v>8754</v>
      </c>
      <c r="Q834" s="49">
        <v>0</v>
      </c>
      <c r="R834" s="49" t="s">
        <v>8755</v>
      </c>
      <c r="S834" s="49" t="s">
        <v>8756</v>
      </c>
      <c r="T834" s="49" t="s">
        <v>646</v>
      </c>
      <c r="U834" s="49" t="s">
        <v>670</v>
      </c>
      <c r="V834" s="49" t="e">
        <v>#REF!</v>
      </c>
      <c r="AC834" s="49"/>
      <c r="AD834" s="49"/>
    </row>
    <row r="835" spans="1:30" hidden="1" x14ac:dyDescent="0.3">
      <c r="A835" s="49" t="s">
        <v>8757</v>
      </c>
      <c r="B835" s="49">
        <v>0</v>
      </c>
      <c r="C835" s="49"/>
      <c r="D835" s="72" t="s">
        <v>644</v>
      </c>
      <c r="E835" s="49" t="s">
        <v>3754</v>
      </c>
      <c r="F835" s="49"/>
      <c r="G835" s="49"/>
      <c r="H835" s="49" t="s">
        <v>8758</v>
      </c>
      <c r="I835" s="49" t="s">
        <v>8761</v>
      </c>
      <c r="J835" s="49" t="s">
        <v>8759</v>
      </c>
      <c r="K835" s="49" t="s">
        <v>8760</v>
      </c>
      <c r="L835" s="49">
        <v>0</v>
      </c>
      <c r="M835" s="49" t="s">
        <v>1826</v>
      </c>
      <c r="N835" s="49" t="s">
        <v>8762</v>
      </c>
      <c r="O835" s="49">
        <v>10</v>
      </c>
      <c r="P835" s="49" t="s">
        <v>8763</v>
      </c>
      <c r="Q835" s="49">
        <v>0</v>
      </c>
      <c r="R835" s="49" t="s">
        <v>646</v>
      </c>
      <c r="S835" s="49" t="s">
        <v>8764</v>
      </c>
      <c r="T835" s="49" t="s">
        <v>8765</v>
      </c>
      <c r="U835" s="49" t="s">
        <v>655</v>
      </c>
      <c r="V835" s="49" t="e">
        <v>#REF!</v>
      </c>
      <c r="AC835" s="49"/>
      <c r="AD835" s="49"/>
    </row>
    <row r="836" spans="1:30" hidden="1" x14ac:dyDescent="0.3">
      <c r="A836" s="49" t="s">
        <v>8766</v>
      </c>
      <c r="B836" s="49">
        <v>0</v>
      </c>
      <c r="C836" s="49"/>
      <c r="D836" s="72" t="s">
        <v>644</v>
      </c>
      <c r="E836" s="49" t="s">
        <v>3754</v>
      </c>
      <c r="F836" s="49"/>
      <c r="G836" s="49"/>
      <c r="H836" s="49" t="s">
        <v>8767</v>
      </c>
      <c r="I836" s="49" t="s">
        <v>8770</v>
      </c>
      <c r="J836" s="49" t="s">
        <v>8768</v>
      </c>
      <c r="K836" s="49" t="s">
        <v>8769</v>
      </c>
      <c r="L836" s="49">
        <v>0</v>
      </c>
      <c r="M836" s="49" t="s">
        <v>2456</v>
      </c>
      <c r="N836" s="49" t="s">
        <v>4410</v>
      </c>
      <c r="O836" s="49">
        <v>10</v>
      </c>
      <c r="P836" s="49" t="s">
        <v>8771</v>
      </c>
      <c r="Q836" s="49">
        <v>0</v>
      </c>
      <c r="R836" s="49" t="s">
        <v>8772</v>
      </c>
      <c r="S836" s="49" t="s">
        <v>8773</v>
      </c>
      <c r="T836" s="49" t="s">
        <v>8774</v>
      </c>
      <c r="U836" s="49" t="s">
        <v>670</v>
      </c>
      <c r="V836" s="49" t="e">
        <v>#REF!</v>
      </c>
      <c r="AC836" s="49"/>
      <c r="AD836" s="49"/>
    </row>
    <row r="837" spans="1:30" hidden="1" x14ac:dyDescent="0.3">
      <c r="A837" s="49" t="s">
        <v>8775</v>
      </c>
      <c r="B837" s="49">
        <v>0</v>
      </c>
      <c r="C837" s="49"/>
      <c r="D837" s="72" t="s">
        <v>644</v>
      </c>
      <c r="E837" s="49" t="s">
        <v>3754</v>
      </c>
      <c r="F837" s="49"/>
      <c r="G837" s="49"/>
      <c r="H837" s="49" t="s">
        <v>8776</v>
      </c>
      <c r="I837" s="49" t="s">
        <v>8779</v>
      </c>
      <c r="J837" s="49" t="s">
        <v>8777</v>
      </c>
      <c r="K837" s="49" t="s">
        <v>8778</v>
      </c>
      <c r="L837" s="49">
        <v>0</v>
      </c>
      <c r="M837" s="49" t="s">
        <v>4064</v>
      </c>
      <c r="N837" s="49" t="s">
        <v>8780</v>
      </c>
      <c r="O837" s="49">
        <v>80</v>
      </c>
      <c r="P837" s="49" t="s">
        <v>8781</v>
      </c>
      <c r="Q837" s="49">
        <v>0</v>
      </c>
      <c r="R837" s="49" t="s">
        <v>8782</v>
      </c>
      <c r="S837" s="49" t="s">
        <v>8783</v>
      </c>
      <c r="T837" s="49" t="s">
        <v>8784</v>
      </c>
      <c r="U837" s="49" t="s">
        <v>655</v>
      </c>
      <c r="V837" s="49" t="e">
        <v>#REF!</v>
      </c>
      <c r="AC837" s="49"/>
      <c r="AD837" s="49"/>
    </row>
    <row r="838" spans="1:30" hidden="1" x14ac:dyDescent="0.3">
      <c r="A838" s="49" t="s">
        <v>8785</v>
      </c>
      <c r="B838" s="49">
        <v>0</v>
      </c>
      <c r="C838" s="49"/>
      <c r="D838" s="72" t="s">
        <v>644</v>
      </c>
      <c r="E838" s="49" t="s">
        <v>3754</v>
      </c>
      <c r="F838" s="49"/>
      <c r="G838" s="49"/>
      <c r="H838" s="49" t="s">
        <v>8786</v>
      </c>
      <c r="I838" s="49" t="s">
        <v>8789</v>
      </c>
      <c r="J838" s="49" t="s">
        <v>8787</v>
      </c>
      <c r="K838" s="49" t="s">
        <v>8788</v>
      </c>
      <c r="L838" s="49">
        <v>0</v>
      </c>
      <c r="M838" s="49" t="s">
        <v>1777</v>
      </c>
      <c r="N838" s="49" t="s">
        <v>818</v>
      </c>
      <c r="O838" s="49">
        <v>15</v>
      </c>
      <c r="P838" s="49" t="s">
        <v>8790</v>
      </c>
      <c r="Q838" s="49">
        <v>0</v>
      </c>
      <c r="R838" s="49" t="s">
        <v>8791</v>
      </c>
      <c r="S838" s="49" t="s">
        <v>8792</v>
      </c>
      <c r="T838" s="49" t="s">
        <v>8793</v>
      </c>
      <c r="U838" s="49" t="s">
        <v>670</v>
      </c>
      <c r="V838" s="49" t="e">
        <v>#REF!</v>
      </c>
      <c r="AC838" s="49"/>
      <c r="AD838" s="49"/>
    </row>
    <row r="839" spans="1:30" hidden="1" x14ac:dyDescent="0.3">
      <c r="A839" s="49" t="s">
        <v>8794</v>
      </c>
      <c r="B839" s="49">
        <v>0</v>
      </c>
      <c r="C839" s="49"/>
      <c r="D839" s="72" t="s">
        <v>644</v>
      </c>
      <c r="E839" s="49" t="s">
        <v>3754</v>
      </c>
      <c r="F839" s="49"/>
      <c r="G839" s="49"/>
      <c r="H839" s="49" t="s">
        <v>8795</v>
      </c>
      <c r="I839" s="49" t="s">
        <v>8798</v>
      </c>
      <c r="J839" s="49" t="s">
        <v>8796</v>
      </c>
      <c r="K839" s="49" t="s">
        <v>8797</v>
      </c>
      <c r="L839" s="49">
        <v>0</v>
      </c>
      <c r="M839" s="49" t="s">
        <v>4084</v>
      </c>
      <c r="N839" s="49" t="s">
        <v>8799</v>
      </c>
      <c r="P839" s="49" t="s">
        <v>8800</v>
      </c>
      <c r="Q839" s="49">
        <v>0</v>
      </c>
      <c r="R839" s="49" t="s">
        <v>8801</v>
      </c>
      <c r="S839" s="49" t="s">
        <v>8802</v>
      </c>
      <c r="T839" s="49" t="s">
        <v>8803</v>
      </c>
      <c r="U839" s="49" t="s">
        <v>670</v>
      </c>
      <c r="V839" s="49" t="e">
        <v>#REF!</v>
      </c>
      <c r="AC839" s="49"/>
      <c r="AD839" s="49"/>
    </row>
    <row r="840" spans="1:30" hidden="1" x14ac:dyDescent="0.3">
      <c r="A840" s="49" t="s">
        <v>8804</v>
      </c>
      <c r="B840" s="49">
        <v>0</v>
      </c>
      <c r="C840" s="49"/>
      <c r="D840" s="72" t="s">
        <v>644</v>
      </c>
      <c r="E840" s="49" t="s">
        <v>3754</v>
      </c>
      <c r="F840" s="49"/>
      <c r="G840" s="49"/>
      <c r="H840" s="49" t="s">
        <v>8805</v>
      </c>
      <c r="I840" s="49" t="s">
        <v>8808</v>
      </c>
      <c r="J840" s="49" t="s">
        <v>8806</v>
      </c>
      <c r="K840" s="49" t="s">
        <v>8807</v>
      </c>
      <c r="L840" s="49">
        <v>0</v>
      </c>
      <c r="M840" s="49" t="s">
        <v>1745</v>
      </c>
      <c r="N840" s="49" t="s">
        <v>8809</v>
      </c>
      <c r="O840" s="49">
        <v>5</v>
      </c>
      <c r="P840" s="49" t="s">
        <v>8810</v>
      </c>
      <c r="Q840" s="49">
        <v>0</v>
      </c>
      <c r="R840" s="49" t="s">
        <v>8811</v>
      </c>
      <c r="S840" s="49" t="s">
        <v>8812</v>
      </c>
      <c r="T840" s="49" t="s">
        <v>8813</v>
      </c>
      <c r="U840" s="49" t="s">
        <v>655</v>
      </c>
      <c r="V840" s="49" t="e">
        <v>#REF!</v>
      </c>
      <c r="AC840" s="49"/>
      <c r="AD840" s="49"/>
    </row>
    <row r="841" spans="1:30" hidden="1" x14ac:dyDescent="0.3">
      <c r="A841" s="49" t="s">
        <v>8814</v>
      </c>
      <c r="B841" s="49">
        <v>0</v>
      </c>
      <c r="C841" s="49"/>
      <c r="D841" s="72" t="s">
        <v>644</v>
      </c>
      <c r="E841" s="49" t="s">
        <v>3754</v>
      </c>
      <c r="F841" s="49"/>
      <c r="G841" s="49"/>
      <c r="H841" s="49" t="s">
        <v>8815</v>
      </c>
      <c r="I841" s="49" t="s">
        <v>8818</v>
      </c>
      <c r="J841" s="49" t="s">
        <v>8816</v>
      </c>
      <c r="K841" s="49" t="s">
        <v>8817</v>
      </c>
      <c r="L841" s="49">
        <v>0</v>
      </c>
      <c r="M841" s="49" t="s">
        <v>1865</v>
      </c>
      <c r="N841" s="49" t="s">
        <v>8819</v>
      </c>
      <c r="O841" s="49">
        <v>3</v>
      </c>
      <c r="P841" s="49" t="s">
        <v>8820</v>
      </c>
      <c r="Q841" s="49">
        <v>0</v>
      </c>
      <c r="R841" s="49" t="s">
        <v>8821</v>
      </c>
      <c r="S841" s="49" t="s">
        <v>8822</v>
      </c>
      <c r="T841" s="49" t="s">
        <v>8823</v>
      </c>
      <c r="U841" s="49" t="s">
        <v>655</v>
      </c>
      <c r="V841" s="49" t="e">
        <v>#REF!</v>
      </c>
      <c r="AC841" s="49"/>
      <c r="AD841" s="49"/>
    </row>
    <row r="842" spans="1:30" hidden="1" x14ac:dyDescent="0.3">
      <c r="A842" s="49" t="s">
        <v>8824</v>
      </c>
      <c r="B842" s="49">
        <v>0</v>
      </c>
      <c r="C842" s="49"/>
      <c r="D842" s="72" t="s">
        <v>644</v>
      </c>
      <c r="E842" s="49" t="s">
        <v>3754</v>
      </c>
      <c r="F842" s="49"/>
      <c r="G842" s="49"/>
      <c r="H842" s="49" t="s">
        <v>8825</v>
      </c>
      <c r="I842" s="49" t="s">
        <v>8828</v>
      </c>
      <c r="J842" s="49" t="s">
        <v>8826</v>
      </c>
      <c r="K842" s="49" t="s">
        <v>8827</v>
      </c>
      <c r="L842" s="49">
        <v>0</v>
      </c>
      <c r="M842" s="49" t="s">
        <v>1817</v>
      </c>
      <c r="N842" s="49" t="s">
        <v>7384</v>
      </c>
      <c r="O842" s="49">
        <v>2</v>
      </c>
      <c r="P842" s="49" t="s">
        <v>8829</v>
      </c>
      <c r="Q842" s="49">
        <v>0</v>
      </c>
      <c r="R842" s="49" t="s">
        <v>8830</v>
      </c>
      <c r="S842" s="49" t="s">
        <v>8831</v>
      </c>
      <c r="T842" s="49" t="s">
        <v>8832</v>
      </c>
      <c r="U842" s="49" t="s">
        <v>670</v>
      </c>
      <c r="V842" s="49" t="e">
        <v>#REF!</v>
      </c>
      <c r="AC842" s="49"/>
      <c r="AD842" s="49"/>
    </row>
    <row r="843" spans="1:30" hidden="1" x14ac:dyDescent="0.3">
      <c r="A843" s="49" t="s">
        <v>8833</v>
      </c>
      <c r="B843" s="49">
        <v>0</v>
      </c>
      <c r="C843" s="49"/>
      <c r="D843" s="72" t="s">
        <v>644</v>
      </c>
      <c r="E843" s="49" t="s">
        <v>3754</v>
      </c>
      <c r="F843" s="49"/>
      <c r="G843" s="49"/>
      <c r="H843" s="49" t="s">
        <v>646</v>
      </c>
      <c r="I843" s="49" t="s">
        <v>8836</v>
      </c>
      <c r="J843" s="49" t="s">
        <v>8834</v>
      </c>
      <c r="K843" s="49" t="s">
        <v>8835</v>
      </c>
      <c r="L843" s="49">
        <v>0</v>
      </c>
      <c r="M843" s="49" t="s">
        <v>2220</v>
      </c>
      <c r="N843" s="49" t="s">
        <v>8837</v>
      </c>
      <c r="O843" s="49">
        <v>18</v>
      </c>
      <c r="P843" s="49" t="s">
        <v>8838</v>
      </c>
      <c r="Q843" s="49">
        <v>0</v>
      </c>
      <c r="R843" s="49" t="s">
        <v>8839</v>
      </c>
      <c r="S843" s="49" t="s">
        <v>8840</v>
      </c>
      <c r="T843" s="49" t="s">
        <v>8841</v>
      </c>
      <c r="U843" s="49" t="s">
        <v>670</v>
      </c>
      <c r="V843" s="49" t="e">
        <v>#REF!</v>
      </c>
      <c r="AC843" s="49"/>
      <c r="AD843" s="49"/>
    </row>
    <row r="844" spans="1:30" hidden="1" x14ac:dyDescent="0.3">
      <c r="A844" s="49" t="s">
        <v>8842</v>
      </c>
      <c r="B844" s="49">
        <v>0</v>
      </c>
      <c r="C844" s="49"/>
      <c r="D844" s="72" t="s">
        <v>644</v>
      </c>
      <c r="E844" s="49" t="s">
        <v>3754</v>
      </c>
      <c r="F844" s="49"/>
      <c r="G844" s="49"/>
      <c r="H844" s="49" t="s">
        <v>8843</v>
      </c>
      <c r="I844" s="49" t="s">
        <v>8846</v>
      </c>
      <c r="J844" s="49" t="s">
        <v>8844</v>
      </c>
      <c r="K844" s="49" t="s">
        <v>8845</v>
      </c>
      <c r="L844" s="49">
        <v>0</v>
      </c>
      <c r="M844" s="49" t="s">
        <v>4084</v>
      </c>
      <c r="N844" s="49" t="s">
        <v>8847</v>
      </c>
      <c r="O844" s="49">
        <v>11</v>
      </c>
      <c r="P844" s="49" t="s">
        <v>8848</v>
      </c>
      <c r="Q844" s="49">
        <v>0</v>
      </c>
      <c r="R844" s="49" t="s">
        <v>8849</v>
      </c>
      <c r="S844" s="49" t="s">
        <v>8850</v>
      </c>
      <c r="T844" s="49" t="s">
        <v>8851</v>
      </c>
      <c r="U844" s="49" t="s">
        <v>655</v>
      </c>
      <c r="V844" s="49" t="e">
        <v>#REF!</v>
      </c>
      <c r="AC844" s="49"/>
      <c r="AD844" s="49"/>
    </row>
    <row r="845" spans="1:30" hidden="1" x14ac:dyDescent="0.3">
      <c r="A845" s="49" t="s">
        <v>8852</v>
      </c>
      <c r="B845" s="49">
        <v>0</v>
      </c>
      <c r="C845" s="49"/>
      <c r="D845" s="72" t="s">
        <v>644</v>
      </c>
      <c r="E845" s="49" t="s">
        <v>3754</v>
      </c>
      <c r="F845" s="49"/>
      <c r="G845" s="49"/>
      <c r="H845" s="49" t="s">
        <v>8853</v>
      </c>
      <c r="I845" s="49" t="s">
        <v>8856</v>
      </c>
      <c r="J845" s="49" t="s">
        <v>8854</v>
      </c>
      <c r="K845" s="49" t="s">
        <v>8855</v>
      </c>
      <c r="L845" s="49">
        <v>0</v>
      </c>
      <c r="M845" s="49" t="s">
        <v>2636</v>
      </c>
      <c r="N845" s="49" t="s">
        <v>8857</v>
      </c>
      <c r="O845" s="49">
        <v>1</v>
      </c>
      <c r="P845" s="49" t="s">
        <v>8858</v>
      </c>
      <c r="Q845" s="49">
        <v>0</v>
      </c>
      <c r="R845" s="49" t="s">
        <v>8859</v>
      </c>
      <c r="S845" s="49" t="s">
        <v>8860</v>
      </c>
      <c r="T845" s="49" t="s">
        <v>8861</v>
      </c>
      <c r="U845" s="49" t="s">
        <v>655</v>
      </c>
      <c r="V845" s="49" t="e">
        <v>#REF!</v>
      </c>
      <c r="AC845" s="49"/>
      <c r="AD845" s="49"/>
    </row>
    <row r="846" spans="1:30" hidden="1" x14ac:dyDescent="0.3">
      <c r="A846" s="49" t="s">
        <v>8862</v>
      </c>
      <c r="B846" s="49">
        <v>0</v>
      </c>
      <c r="C846" s="49"/>
      <c r="D846" s="72" t="s">
        <v>644</v>
      </c>
      <c r="E846" s="49" t="s">
        <v>3754</v>
      </c>
      <c r="F846" s="49"/>
      <c r="G846" s="49"/>
      <c r="H846" s="49" t="s">
        <v>8863</v>
      </c>
      <c r="I846" s="49" t="s">
        <v>8866</v>
      </c>
      <c r="J846" s="49" t="s">
        <v>8864</v>
      </c>
      <c r="K846" s="49" t="s">
        <v>8865</v>
      </c>
      <c r="L846" s="49">
        <v>0</v>
      </c>
      <c r="M846" s="49" t="s">
        <v>2484</v>
      </c>
      <c r="N846" s="49" t="s">
        <v>2255</v>
      </c>
      <c r="O846" s="49">
        <v>25</v>
      </c>
      <c r="P846" s="49" t="s">
        <v>8867</v>
      </c>
      <c r="Q846" s="49">
        <v>0</v>
      </c>
      <c r="R846" s="49" t="s">
        <v>8868</v>
      </c>
      <c r="S846" s="49" t="s">
        <v>8869</v>
      </c>
      <c r="T846" s="49" t="s">
        <v>646</v>
      </c>
      <c r="U846" s="49" t="s">
        <v>655</v>
      </c>
      <c r="V846" s="49" t="e">
        <v>#REF!</v>
      </c>
      <c r="AC846" s="49"/>
      <c r="AD846" s="49"/>
    </row>
    <row r="847" spans="1:30" hidden="1" x14ac:dyDescent="0.3">
      <c r="A847" s="49" t="s">
        <v>8870</v>
      </c>
      <c r="B847" s="49">
        <v>0</v>
      </c>
      <c r="C847" s="49"/>
      <c r="D847" s="72" t="s">
        <v>644</v>
      </c>
      <c r="E847" s="49" t="s">
        <v>3754</v>
      </c>
      <c r="F847" s="49"/>
      <c r="G847" s="49"/>
      <c r="H847" s="49" t="s">
        <v>646</v>
      </c>
      <c r="I847" s="49" t="s">
        <v>8873</v>
      </c>
      <c r="J847" s="49" t="s">
        <v>8871</v>
      </c>
      <c r="K847" s="49" t="s">
        <v>8872</v>
      </c>
      <c r="L847" s="49">
        <v>0</v>
      </c>
      <c r="M847" s="49" t="s">
        <v>1777</v>
      </c>
      <c r="N847" s="49" t="s">
        <v>8874</v>
      </c>
      <c r="O847" s="49">
        <v>5</v>
      </c>
      <c r="P847" s="49" t="s">
        <v>8875</v>
      </c>
      <c r="Q847" s="49">
        <v>0</v>
      </c>
      <c r="R847" s="49" t="s">
        <v>8876</v>
      </c>
      <c r="S847" s="49" t="s">
        <v>8877</v>
      </c>
      <c r="T847" s="49" t="s">
        <v>646</v>
      </c>
      <c r="U847" s="49" t="s">
        <v>670</v>
      </c>
      <c r="V847" s="49" t="e">
        <v>#REF!</v>
      </c>
      <c r="AC847" s="49"/>
      <c r="AD847" s="49"/>
    </row>
    <row r="848" spans="1:30" hidden="1" x14ac:dyDescent="0.3">
      <c r="A848" s="49" t="s">
        <v>8878</v>
      </c>
      <c r="B848" s="49">
        <v>0</v>
      </c>
      <c r="C848" s="49"/>
      <c r="D848" s="72" t="s">
        <v>644</v>
      </c>
      <c r="E848" s="49" t="s">
        <v>3754</v>
      </c>
      <c r="F848" s="49"/>
      <c r="G848" s="49"/>
      <c r="H848" s="49" t="s">
        <v>8879</v>
      </c>
      <c r="I848" s="49" t="s">
        <v>8882</v>
      </c>
      <c r="J848" s="49" t="s">
        <v>8880</v>
      </c>
      <c r="K848" s="49" t="s">
        <v>8881</v>
      </c>
      <c r="L848" s="49">
        <v>0</v>
      </c>
      <c r="M848" s="49" t="s">
        <v>1817</v>
      </c>
      <c r="N848" s="49" t="s">
        <v>8883</v>
      </c>
      <c r="P848" s="49" t="s">
        <v>8884</v>
      </c>
      <c r="Q848" s="49">
        <v>0</v>
      </c>
      <c r="R848" s="49" t="s">
        <v>8885</v>
      </c>
      <c r="S848" s="49" t="s">
        <v>8886</v>
      </c>
      <c r="T848" s="49" t="s">
        <v>646</v>
      </c>
      <c r="U848" s="49" t="s">
        <v>655</v>
      </c>
      <c r="V848" s="49" t="e">
        <v>#REF!</v>
      </c>
      <c r="AC848" s="49"/>
      <c r="AD848" s="49"/>
    </row>
    <row r="849" spans="1:30" hidden="1" x14ac:dyDescent="0.3">
      <c r="A849" s="49" t="s">
        <v>8887</v>
      </c>
      <c r="B849" s="49">
        <v>0</v>
      </c>
      <c r="C849" s="49"/>
      <c r="D849" s="72" t="s">
        <v>644</v>
      </c>
      <c r="E849" s="49" t="s">
        <v>3754</v>
      </c>
      <c r="F849" s="49"/>
      <c r="G849" s="49"/>
      <c r="H849" s="49" t="s">
        <v>646</v>
      </c>
      <c r="I849" s="49" t="s">
        <v>8890</v>
      </c>
      <c r="J849" s="49" t="s">
        <v>8888</v>
      </c>
      <c r="K849" s="49" t="s">
        <v>8889</v>
      </c>
      <c r="L849" s="49">
        <v>0</v>
      </c>
      <c r="M849" s="49" t="s">
        <v>4156</v>
      </c>
      <c r="N849" s="49" t="s">
        <v>8891</v>
      </c>
      <c r="P849" s="49" t="s">
        <v>8892</v>
      </c>
      <c r="Q849" s="49">
        <v>0</v>
      </c>
      <c r="R849" s="49" t="s">
        <v>646</v>
      </c>
      <c r="S849" s="49" t="s">
        <v>8893</v>
      </c>
      <c r="T849" s="49" t="s">
        <v>8894</v>
      </c>
      <c r="U849" s="49" t="s">
        <v>655</v>
      </c>
      <c r="V849" s="49" t="e">
        <v>#REF!</v>
      </c>
      <c r="AC849" s="49"/>
      <c r="AD849" s="49"/>
    </row>
    <row r="850" spans="1:30" hidden="1" x14ac:dyDescent="0.3">
      <c r="A850" s="49" t="s">
        <v>8895</v>
      </c>
      <c r="B850" s="49">
        <v>0</v>
      </c>
      <c r="C850" s="49"/>
      <c r="D850" s="72" t="s">
        <v>717</v>
      </c>
      <c r="E850" s="73">
        <v>0</v>
      </c>
      <c r="F850" s="49"/>
      <c r="G850" s="49"/>
      <c r="H850" s="49" t="s">
        <v>8896</v>
      </c>
      <c r="I850" s="49" t="s">
        <v>8899</v>
      </c>
      <c r="J850" s="49" t="s">
        <v>8897</v>
      </c>
      <c r="K850" s="49" t="s">
        <v>8898</v>
      </c>
      <c r="L850" s="49">
        <v>0</v>
      </c>
      <c r="M850" s="49" t="s">
        <v>1734</v>
      </c>
      <c r="N850" s="49" t="s">
        <v>8900</v>
      </c>
      <c r="P850" s="49" t="s">
        <v>8901</v>
      </c>
      <c r="Q850" s="49">
        <v>0</v>
      </c>
      <c r="R850" s="49" t="s">
        <v>8902</v>
      </c>
      <c r="S850" s="49" t="s">
        <v>8903</v>
      </c>
      <c r="T850" s="49" t="s">
        <v>8904</v>
      </c>
      <c r="U850" s="49" t="s">
        <v>655</v>
      </c>
      <c r="V850" s="49" t="e">
        <v>#REF!</v>
      </c>
      <c r="AC850" s="49"/>
      <c r="AD850" s="49"/>
    </row>
    <row r="851" spans="1:30" hidden="1" x14ac:dyDescent="0.3">
      <c r="A851" s="49" t="s">
        <v>8905</v>
      </c>
      <c r="B851" s="49">
        <v>0</v>
      </c>
      <c r="C851" s="49"/>
      <c r="D851" s="72" t="s">
        <v>717</v>
      </c>
      <c r="E851" s="74" t="s">
        <v>645</v>
      </c>
      <c r="F851" s="73">
        <v>0</v>
      </c>
      <c r="G851" s="49"/>
      <c r="H851" s="49" t="s">
        <v>8906</v>
      </c>
      <c r="I851" s="49" t="s">
        <v>8909</v>
      </c>
      <c r="J851" s="49" t="s">
        <v>8907</v>
      </c>
      <c r="K851" s="49" t="s">
        <v>8908</v>
      </c>
      <c r="L851" s="49">
        <v>0</v>
      </c>
      <c r="M851" s="49" t="s">
        <v>1734</v>
      </c>
      <c r="N851" s="49" t="s">
        <v>8910</v>
      </c>
      <c r="O851" s="49">
        <v>1</v>
      </c>
      <c r="P851" s="49" t="s">
        <v>8911</v>
      </c>
      <c r="Q851" s="49">
        <v>0</v>
      </c>
      <c r="R851" s="49" t="s">
        <v>8912</v>
      </c>
      <c r="S851" s="49" t="s">
        <v>8913</v>
      </c>
      <c r="T851" s="49" t="s">
        <v>8914</v>
      </c>
      <c r="U851" s="49" t="s">
        <v>655</v>
      </c>
      <c r="V851" s="49" t="e">
        <v>#REF!</v>
      </c>
      <c r="AC851" s="49"/>
      <c r="AD851" s="49"/>
    </row>
    <row r="852" spans="1:30" hidden="1" x14ac:dyDescent="0.3">
      <c r="A852" s="49" t="s">
        <v>8915</v>
      </c>
      <c r="B852" s="49">
        <v>0</v>
      </c>
      <c r="C852" s="49">
        <v>1</v>
      </c>
      <c r="D852" s="72" t="s">
        <v>717</v>
      </c>
      <c r="E852" s="74" t="s">
        <v>645</v>
      </c>
      <c r="F852" s="73" t="s">
        <v>645</v>
      </c>
      <c r="G852" s="49">
        <v>0</v>
      </c>
      <c r="H852" s="49" t="s">
        <v>8916</v>
      </c>
      <c r="I852" s="49" t="s">
        <v>3542</v>
      </c>
      <c r="J852" s="49" t="s">
        <v>3540</v>
      </c>
      <c r="K852" s="49" t="s">
        <v>8917</v>
      </c>
      <c r="L852" s="49">
        <v>0</v>
      </c>
      <c r="M852" s="75" t="s">
        <v>1734</v>
      </c>
      <c r="N852" s="49" t="s">
        <v>3456</v>
      </c>
      <c r="P852" s="49" t="s">
        <v>8918</v>
      </c>
      <c r="Q852" s="49">
        <v>0</v>
      </c>
      <c r="R852" s="49" t="s">
        <v>8919</v>
      </c>
      <c r="S852" s="49" t="s">
        <v>8920</v>
      </c>
      <c r="T852" s="49" t="s">
        <v>8921</v>
      </c>
      <c r="U852" s="49" t="s">
        <v>655</v>
      </c>
      <c r="V852" s="49" t="e">
        <v>#REF!</v>
      </c>
      <c r="AC852" s="49"/>
      <c r="AD852" s="49"/>
    </row>
    <row r="853" spans="1:30" hidden="1" x14ac:dyDescent="0.3">
      <c r="A853" s="49" t="s">
        <v>8922</v>
      </c>
      <c r="B853" s="49">
        <v>0</v>
      </c>
      <c r="C853" s="49"/>
      <c r="D853" s="72" t="s">
        <v>717</v>
      </c>
      <c r="E853" s="74" t="s">
        <v>645</v>
      </c>
      <c r="F853" s="73">
        <v>0</v>
      </c>
      <c r="G853" s="49"/>
      <c r="H853" s="49" t="s">
        <v>8923</v>
      </c>
      <c r="I853" s="49" t="s">
        <v>8926</v>
      </c>
      <c r="J853" s="49" t="s">
        <v>8924</v>
      </c>
      <c r="K853" s="49" t="s">
        <v>8925</v>
      </c>
      <c r="L853" s="49">
        <v>0</v>
      </c>
      <c r="M853" s="49" t="s">
        <v>1745</v>
      </c>
      <c r="N853" s="49" t="s">
        <v>3728</v>
      </c>
      <c r="P853" s="49" t="s">
        <v>8927</v>
      </c>
      <c r="Q853" s="49">
        <v>0</v>
      </c>
      <c r="R853" s="49" t="s">
        <v>8928</v>
      </c>
      <c r="S853" s="49" t="s">
        <v>8929</v>
      </c>
      <c r="T853" s="49" t="s">
        <v>8930</v>
      </c>
      <c r="U853" s="49" t="s">
        <v>670</v>
      </c>
      <c r="V853" s="49" t="e">
        <v>#REF!</v>
      </c>
      <c r="AC853" s="49"/>
      <c r="AD853" s="49"/>
    </row>
    <row r="854" spans="1:30" hidden="1" x14ac:dyDescent="0.3">
      <c r="A854" s="49" t="s">
        <v>8931</v>
      </c>
      <c r="B854" s="49">
        <v>0</v>
      </c>
      <c r="C854" s="49"/>
      <c r="D854" s="72" t="s">
        <v>717</v>
      </c>
      <c r="E854" s="74" t="s">
        <v>645</v>
      </c>
      <c r="F854" s="73">
        <v>0</v>
      </c>
      <c r="G854" s="49"/>
      <c r="H854" s="49" t="s">
        <v>8932</v>
      </c>
      <c r="I854" s="49" t="s">
        <v>8935</v>
      </c>
      <c r="J854" s="49" t="s">
        <v>8933</v>
      </c>
      <c r="K854" s="49" t="s">
        <v>8934</v>
      </c>
      <c r="L854" s="49">
        <v>0</v>
      </c>
      <c r="M854" s="49" t="s">
        <v>1745</v>
      </c>
      <c r="N854" s="49" t="s">
        <v>8936</v>
      </c>
      <c r="P854" s="49" t="s">
        <v>8937</v>
      </c>
      <c r="Q854" s="49">
        <v>0</v>
      </c>
      <c r="R854" s="49" t="s">
        <v>8938</v>
      </c>
      <c r="S854" s="49" t="s">
        <v>8939</v>
      </c>
      <c r="T854" s="49" t="s">
        <v>646</v>
      </c>
      <c r="U854" s="49" t="s">
        <v>670</v>
      </c>
      <c r="V854" s="49" t="e">
        <v>#REF!</v>
      </c>
      <c r="AC854" s="49"/>
      <c r="AD854" s="49"/>
    </row>
    <row r="855" spans="1:30" hidden="1" x14ac:dyDescent="0.3">
      <c r="A855" s="49" t="s">
        <v>8940</v>
      </c>
      <c r="B855" s="49">
        <v>0</v>
      </c>
      <c r="C855" s="49"/>
      <c r="D855" s="72" t="s">
        <v>717</v>
      </c>
      <c r="E855" s="73">
        <v>0</v>
      </c>
      <c r="F855" s="49"/>
      <c r="G855" s="49"/>
      <c r="H855" s="49" t="s">
        <v>8941</v>
      </c>
      <c r="I855" s="49" t="s">
        <v>8944</v>
      </c>
      <c r="J855" s="49" t="s">
        <v>8942</v>
      </c>
      <c r="K855" s="49" t="s">
        <v>8943</v>
      </c>
      <c r="L855" s="49">
        <v>0</v>
      </c>
      <c r="M855" s="49" t="s">
        <v>1745</v>
      </c>
      <c r="N855" s="49" t="s">
        <v>818</v>
      </c>
      <c r="P855" s="49" t="s">
        <v>8945</v>
      </c>
      <c r="Q855" s="49">
        <v>0</v>
      </c>
      <c r="R855" s="49" t="s">
        <v>8946</v>
      </c>
      <c r="S855" s="49" t="s">
        <v>8947</v>
      </c>
      <c r="T855" s="49" t="s">
        <v>8948</v>
      </c>
      <c r="U855" s="49" t="s">
        <v>670</v>
      </c>
      <c r="V855" s="49" t="e">
        <v>#REF!</v>
      </c>
      <c r="AC855" s="49"/>
      <c r="AD855" s="49"/>
    </row>
    <row r="856" spans="1:30" hidden="1" x14ac:dyDescent="0.3">
      <c r="A856" s="49" t="s">
        <v>8949</v>
      </c>
      <c r="B856" s="49">
        <v>0</v>
      </c>
      <c r="C856" s="49"/>
      <c r="D856" s="72" t="s">
        <v>717</v>
      </c>
      <c r="E856" s="73">
        <v>0</v>
      </c>
      <c r="F856" s="49"/>
      <c r="G856" s="49"/>
      <c r="H856" s="49" t="s">
        <v>8950</v>
      </c>
      <c r="I856" s="49" t="s">
        <v>8953</v>
      </c>
      <c r="J856" s="49" t="s">
        <v>8951</v>
      </c>
      <c r="K856" s="49" t="s">
        <v>8952</v>
      </c>
      <c r="L856" s="49">
        <v>0</v>
      </c>
      <c r="M856" s="49" t="s">
        <v>1745</v>
      </c>
      <c r="N856" s="49" t="s">
        <v>2016</v>
      </c>
      <c r="O856" s="49">
        <v>12</v>
      </c>
      <c r="P856" s="49" t="s">
        <v>8954</v>
      </c>
      <c r="Q856" s="49">
        <v>0</v>
      </c>
      <c r="R856" s="49" t="s">
        <v>8955</v>
      </c>
      <c r="S856" s="49" t="s">
        <v>8956</v>
      </c>
      <c r="T856" s="49" t="s">
        <v>8957</v>
      </c>
      <c r="U856" s="49" t="s">
        <v>655</v>
      </c>
      <c r="V856" s="49" t="e">
        <v>#REF!</v>
      </c>
      <c r="AC856" s="49"/>
      <c r="AD856" s="49"/>
    </row>
    <row r="857" spans="1:30" hidden="1" x14ac:dyDescent="0.3">
      <c r="A857" s="49" t="s">
        <v>8958</v>
      </c>
      <c r="B857" s="49">
        <v>0</v>
      </c>
      <c r="C857" s="49"/>
      <c r="D857" s="72" t="s">
        <v>717</v>
      </c>
      <c r="E857" s="73">
        <v>0</v>
      </c>
      <c r="F857" s="49"/>
      <c r="G857" s="49"/>
      <c r="H857" s="49" t="s">
        <v>8959</v>
      </c>
      <c r="I857" s="49" t="s">
        <v>8962</v>
      </c>
      <c r="J857" s="49" t="s">
        <v>8960</v>
      </c>
      <c r="K857" s="49" t="s">
        <v>8961</v>
      </c>
      <c r="L857" s="49">
        <v>0</v>
      </c>
      <c r="M857" s="49" t="s">
        <v>1745</v>
      </c>
      <c r="N857" s="49" t="s">
        <v>8963</v>
      </c>
      <c r="P857" s="49" t="s">
        <v>8964</v>
      </c>
      <c r="Q857" s="49">
        <v>0</v>
      </c>
      <c r="R857" s="49" t="s">
        <v>8965</v>
      </c>
      <c r="S857" s="49" t="s">
        <v>8966</v>
      </c>
      <c r="T857" s="49" t="s">
        <v>8967</v>
      </c>
      <c r="U857" s="49" t="s">
        <v>655</v>
      </c>
      <c r="V857" s="49" t="e">
        <v>#REF!</v>
      </c>
      <c r="AC857" s="49"/>
      <c r="AD857" s="49"/>
    </row>
    <row r="858" spans="1:30" hidden="1" x14ac:dyDescent="0.3">
      <c r="A858" s="49" t="s">
        <v>8968</v>
      </c>
      <c r="B858" s="49">
        <v>0</v>
      </c>
      <c r="C858" s="49"/>
      <c r="D858" s="72" t="s">
        <v>717</v>
      </c>
      <c r="E858" s="74" t="s">
        <v>645</v>
      </c>
      <c r="F858" s="73">
        <v>0</v>
      </c>
      <c r="G858" s="49"/>
      <c r="H858" s="49" t="s">
        <v>8969</v>
      </c>
      <c r="I858" s="49" t="s">
        <v>8972</v>
      </c>
      <c r="J858" s="49" t="s">
        <v>8970</v>
      </c>
      <c r="K858" s="49" t="s">
        <v>8971</v>
      </c>
      <c r="L858" s="49">
        <v>0</v>
      </c>
      <c r="M858" s="49" t="s">
        <v>1745</v>
      </c>
      <c r="N858" s="49" t="s">
        <v>8973</v>
      </c>
      <c r="O858" s="49">
        <v>1</v>
      </c>
      <c r="P858" s="49" t="s">
        <v>8974</v>
      </c>
      <c r="Q858" s="49">
        <v>0</v>
      </c>
      <c r="R858" s="49" t="s">
        <v>8975</v>
      </c>
      <c r="S858" s="49" t="s">
        <v>8976</v>
      </c>
      <c r="T858" s="49" t="s">
        <v>8977</v>
      </c>
      <c r="U858" s="49" t="s">
        <v>655</v>
      </c>
      <c r="V858" s="49" t="e">
        <v>#REF!</v>
      </c>
      <c r="AC858" s="49"/>
      <c r="AD858" s="49"/>
    </row>
    <row r="859" spans="1:30" hidden="1" x14ac:dyDescent="0.3">
      <c r="A859" s="49" t="s">
        <v>8978</v>
      </c>
      <c r="B859" s="49">
        <v>0</v>
      </c>
      <c r="C859" s="49"/>
      <c r="D859" s="72" t="s">
        <v>717</v>
      </c>
      <c r="E859" s="73">
        <v>0</v>
      </c>
      <c r="F859" s="49"/>
      <c r="G859" s="49"/>
      <c r="H859" s="49" t="s">
        <v>8979</v>
      </c>
      <c r="I859" s="49" t="s">
        <v>8982</v>
      </c>
      <c r="J859" s="49" t="s">
        <v>8980</v>
      </c>
      <c r="K859" s="49" t="s">
        <v>8981</v>
      </c>
      <c r="L859" s="49">
        <v>0</v>
      </c>
      <c r="M859" s="49" t="s">
        <v>1745</v>
      </c>
      <c r="N859" s="49" t="s">
        <v>8983</v>
      </c>
      <c r="O859" s="49">
        <v>2</v>
      </c>
      <c r="P859" s="49" t="s">
        <v>8984</v>
      </c>
      <c r="Q859" s="49">
        <v>0</v>
      </c>
      <c r="R859" s="49" t="s">
        <v>8985</v>
      </c>
      <c r="S859" s="49" t="s">
        <v>8986</v>
      </c>
      <c r="T859" s="49" t="s">
        <v>646</v>
      </c>
      <c r="U859" s="49" t="s">
        <v>670</v>
      </c>
      <c r="V859" s="49" t="e">
        <v>#REF!</v>
      </c>
      <c r="AC859" s="49"/>
      <c r="AD859" s="49"/>
    </row>
    <row r="860" spans="1:30" hidden="1" x14ac:dyDescent="0.3">
      <c r="A860" s="49" t="s">
        <v>8987</v>
      </c>
      <c r="B860" s="49">
        <v>0</v>
      </c>
      <c r="C860" s="49"/>
      <c r="D860" s="72" t="s">
        <v>717</v>
      </c>
      <c r="E860" s="73">
        <v>0</v>
      </c>
      <c r="F860" s="49"/>
      <c r="G860" s="49"/>
      <c r="H860" s="49" t="s">
        <v>8988</v>
      </c>
      <c r="I860" s="49" t="s">
        <v>8991</v>
      </c>
      <c r="J860" s="49" t="s">
        <v>8989</v>
      </c>
      <c r="K860" s="49" t="s">
        <v>8990</v>
      </c>
      <c r="L860" s="49">
        <v>0</v>
      </c>
      <c r="M860" s="49" t="s">
        <v>1745</v>
      </c>
      <c r="N860" s="49" t="s">
        <v>5092</v>
      </c>
      <c r="O860" s="49">
        <v>1</v>
      </c>
      <c r="P860" s="49" t="s">
        <v>8992</v>
      </c>
      <c r="Q860" s="49">
        <v>0</v>
      </c>
      <c r="R860" s="49" t="s">
        <v>8993</v>
      </c>
      <c r="S860" s="49" t="s">
        <v>8994</v>
      </c>
      <c r="T860" s="49" t="s">
        <v>8995</v>
      </c>
      <c r="U860" s="49" t="s">
        <v>670</v>
      </c>
      <c r="V860" s="49" t="e">
        <v>#REF!</v>
      </c>
      <c r="AC860" s="49"/>
      <c r="AD860" s="49"/>
    </row>
    <row r="861" spans="1:30" hidden="1" x14ac:dyDescent="0.3">
      <c r="A861" s="49" t="s">
        <v>8996</v>
      </c>
      <c r="B861" s="49">
        <v>0</v>
      </c>
      <c r="C861" s="49"/>
      <c r="D861" s="72" t="s">
        <v>717</v>
      </c>
      <c r="E861" s="73">
        <v>0</v>
      </c>
      <c r="F861" s="49"/>
      <c r="G861" s="49"/>
      <c r="H861" s="49" t="s">
        <v>8997</v>
      </c>
      <c r="I861" s="49" t="s">
        <v>9000</v>
      </c>
      <c r="J861" s="49" t="s">
        <v>8998</v>
      </c>
      <c r="K861" s="49" t="s">
        <v>8999</v>
      </c>
      <c r="L861" s="49">
        <v>0</v>
      </c>
      <c r="M861" s="49" t="s">
        <v>1745</v>
      </c>
      <c r="N861" s="49" t="s">
        <v>9001</v>
      </c>
      <c r="P861" s="49" t="s">
        <v>9002</v>
      </c>
      <c r="Q861" s="49">
        <v>0</v>
      </c>
      <c r="R861" s="49" t="s">
        <v>9003</v>
      </c>
      <c r="S861" s="49" t="s">
        <v>9004</v>
      </c>
      <c r="T861" s="49" t="s">
        <v>9005</v>
      </c>
      <c r="U861" s="49" t="s">
        <v>655</v>
      </c>
      <c r="V861" s="49" t="e">
        <v>#REF!</v>
      </c>
      <c r="AC861" s="49"/>
      <c r="AD861" s="49"/>
    </row>
    <row r="862" spans="1:30" hidden="1" x14ac:dyDescent="0.3">
      <c r="A862" s="49" t="s">
        <v>9006</v>
      </c>
      <c r="B862" s="49">
        <v>0</v>
      </c>
      <c r="C862" s="49"/>
      <c r="D862" s="72" t="s">
        <v>717</v>
      </c>
      <c r="E862" s="73">
        <v>0</v>
      </c>
      <c r="F862" s="49"/>
      <c r="G862" s="49"/>
      <c r="H862" s="49" t="s">
        <v>9007</v>
      </c>
      <c r="I862" s="49" t="s">
        <v>9010</v>
      </c>
      <c r="J862" s="49" t="s">
        <v>9008</v>
      </c>
      <c r="K862" s="49" t="s">
        <v>9009</v>
      </c>
      <c r="L862" s="49">
        <v>0</v>
      </c>
      <c r="M862" s="49" t="s">
        <v>1734</v>
      </c>
      <c r="N862" s="49" t="s">
        <v>9011</v>
      </c>
      <c r="O862" s="49">
        <v>1</v>
      </c>
      <c r="P862" s="49" t="s">
        <v>9012</v>
      </c>
      <c r="Q862" s="49">
        <v>0</v>
      </c>
      <c r="R862" s="49" t="s">
        <v>9013</v>
      </c>
      <c r="S862" s="49" t="s">
        <v>9014</v>
      </c>
      <c r="T862" s="49" t="s">
        <v>9015</v>
      </c>
      <c r="U862" s="49" t="s">
        <v>655</v>
      </c>
      <c r="V862" s="49" t="e">
        <v>#REF!</v>
      </c>
      <c r="AC862" s="49"/>
      <c r="AD862" s="49"/>
    </row>
    <row r="863" spans="1:30" hidden="1" x14ac:dyDescent="0.3">
      <c r="A863" s="49" t="s">
        <v>9016</v>
      </c>
      <c r="B863" s="49">
        <v>0</v>
      </c>
      <c r="C863" s="49"/>
      <c r="D863" s="72" t="s">
        <v>717</v>
      </c>
      <c r="E863" s="73">
        <v>0</v>
      </c>
      <c r="F863" s="49"/>
      <c r="G863" s="49"/>
      <c r="H863" s="49" t="s">
        <v>9017</v>
      </c>
      <c r="I863" s="49" t="s">
        <v>9020</v>
      </c>
      <c r="J863" s="49" t="s">
        <v>9018</v>
      </c>
      <c r="K863" s="49" t="s">
        <v>9019</v>
      </c>
      <c r="L863" s="49">
        <v>0</v>
      </c>
      <c r="M863" s="49" t="s">
        <v>1745</v>
      </c>
      <c r="N863" s="49" t="s">
        <v>9021</v>
      </c>
      <c r="P863" s="49" t="s">
        <v>9022</v>
      </c>
      <c r="Q863" s="49">
        <v>0</v>
      </c>
      <c r="R863" s="49" t="s">
        <v>9023</v>
      </c>
      <c r="S863" s="49" t="s">
        <v>9024</v>
      </c>
      <c r="T863" s="49" t="s">
        <v>9025</v>
      </c>
      <c r="U863" s="49" t="s">
        <v>655</v>
      </c>
      <c r="V863" s="49" t="e">
        <v>#REF!</v>
      </c>
      <c r="AC863" s="49"/>
      <c r="AD863" s="49"/>
    </row>
    <row r="864" spans="1:30" hidden="1" x14ac:dyDescent="0.3">
      <c r="A864" s="49" t="s">
        <v>9026</v>
      </c>
      <c r="B864" s="49">
        <v>0</v>
      </c>
      <c r="C864" s="49"/>
      <c r="D864" s="72" t="s">
        <v>717</v>
      </c>
      <c r="E864" s="73">
        <v>0</v>
      </c>
      <c r="F864" s="49"/>
      <c r="G864" s="49"/>
      <c r="H864" s="49" t="s">
        <v>9027</v>
      </c>
      <c r="I864" s="49" t="s">
        <v>9030</v>
      </c>
      <c r="J864" s="49" t="s">
        <v>9028</v>
      </c>
      <c r="K864" s="49" t="s">
        <v>9029</v>
      </c>
      <c r="L864" s="49">
        <v>0</v>
      </c>
      <c r="M864" s="49" t="s">
        <v>1745</v>
      </c>
      <c r="N864" s="49" t="s">
        <v>9031</v>
      </c>
      <c r="O864" s="49">
        <v>16</v>
      </c>
      <c r="P864" s="49" t="s">
        <v>9032</v>
      </c>
      <c r="Q864" s="49">
        <v>0</v>
      </c>
      <c r="R864" s="49" t="s">
        <v>9033</v>
      </c>
      <c r="S864" s="49" t="s">
        <v>9034</v>
      </c>
      <c r="T864" s="49" t="s">
        <v>9035</v>
      </c>
      <c r="U864" s="49" t="s">
        <v>655</v>
      </c>
      <c r="V864" s="49" t="e">
        <v>#REF!</v>
      </c>
      <c r="AC864" s="49"/>
      <c r="AD864" s="49"/>
    </row>
    <row r="865" spans="1:30" hidden="1" x14ac:dyDescent="0.3">
      <c r="A865" s="49" t="s">
        <v>9036</v>
      </c>
      <c r="B865" s="49">
        <v>0</v>
      </c>
      <c r="C865" s="49"/>
      <c r="D865" s="72" t="s">
        <v>717</v>
      </c>
      <c r="E865" s="73">
        <v>0</v>
      </c>
      <c r="F865" s="49"/>
      <c r="G865" s="49"/>
      <c r="H865" s="49" t="s">
        <v>9037</v>
      </c>
      <c r="I865" s="49" t="s">
        <v>9040</v>
      </c>
      <c r="J865" s="49" t="s">
        <v>9038</v>
      </c>
      <c r="K865" s="49" t="s">
        <v>9039</v>
      </c>
      <c r="L865" s="49">
        <v>0</v>
      </c>
      <c r="M865" s="49" t="s">
        <v>1734</v>
      </c>
      <c r="N865" s="49" t="s">
        <v>9031</v>
      </c>
      <c r="O865" s="49">
        <v>1</v>
      </c>
      <c r="P865" s="49" t="s">
        <v>9041</v>
      </c>
      <c r="Q865" s="49">
        <v>0</v>
      </c>
      <c r="R865" s="49" t="s">
        <v>9042</v>
      </c>
      <c r="S865" s="49" t="s">
        <v>9043</v>
      </c>
      <c r="T865" s="49" t="s">
        <v>9044</v>
      </c>
      <c r="U865" s="49" t="s">
        <v>655</v>
      </c>
      <c r="V865" s="49" t="e">
        <v>#REF!</v>
      </c>
      <c r="AC865" s="49"/>
      <c r="AD865" s="49"/>
    </row>
    <row r="866" spans="1:30" hidden="1" x14ac:dyDescent="0.3">
      <c r="A866" s="49" t="s">
        <v>9045</v>
      </c>
      <c r="B866" s="49">
        <v>0</v>
      </c>
      <c r="C866" s="49"/>
      <c r="D866" s="72" t="s">
        <v>717</v>
      </c>
      <c r="E866" s="73">
        <v>0</v>
      </c>
      <c r="F866" s="49"/>
      <c r="G866" s="49"/>
      <c r="H866" s="49" t="s">
        <v>9046</v>
      </c>
      <c r="I866" s="49" t="s">
        <v>9049</v>
      </c>
      <c r="J866" s="49" t="s">
        <v>9047</v>
      </c>
      <c r="K866" s="49" t="s">
        <v>9048</v>
      </c>
      <c r="L866" s="49">
        <v>0</v>
      </c>
      <c r="M866" s="49" t="s">
        <v>1734</v>
      </c>
      <c r="N866" s="49" t="s">
        <v>9050</v>
      </c>
      <c r="O866" s="49">
        <v>1</v>
      </c>
      <c r="P866" s="49" t="s">
        <v>9051</v>
      </c>
      <c r="Q866" s="49">
        <v>0</v>
      </c>
      <c r="R866" s="49" t="s">
        <v>9052</v>
      </c>
      <c r="S866" s="49" t="s">
        <v>9053</v>
      </c>
      <c r="T866" s="49" t="s">
        <v>9054</v>
      </c>
      <c r="U866" s="49" t="s">
        <v>655</v>
      </c>
      <c r="V866" s="49" t="e">
        <v>#REF!</v>
      </c>
      <c r="AC866" s="49"/>
      <c r="AD866" s="49"/>
    </row>
    <row r="867" spans="1:30" hidden="1" x14ac:dyDescent="0.3">
      <c r="A867" s="49" t="s">
        <v>9055</v>
      </c>
      <c r="B867" s="49">
        <v>0</v>
      </c>
      <c r="C867" s="49"/>
      <c r="D867" s="72" t="s">
        <v>717</v>
      </c>
      <c r="E867" s="73">
        <v>0</v>
      </c>
      <c r="F867" s="49"/>
      <c r="G867" s="49"/>
      <c r="H867" s="49" t="s">
        <v>9056</v>
      </c>
      <c r="I867" s="49" t="s">
        <v>9059</v>
      </c>
      <c r="J867" s="49" t="s">
        <v>9057</v>
      </c>
      <c r="K867" s="49" t="s">
        <v>9058</v>
      </c>
      <c r="L867" s="49">
        <v>0</v>
      </c>
      <c r="M867" s="49" t="s">
        <v>1734</v>
      </c>
      <c r="N867" s="49" t="s">
        <v>9050</v>
      </c>
      <c r="O867" s="49">
        <v>1</v>
      </c>
      <c r="P867" s="49" t="s">
        <v>9060</v>
      </c>
      <c r="Q867" s="49">
        <v>0</v>
      </c>
      <c r="R867" s="49" t="s">
        <v>9052</v>
      </c>
      <c r="S867" s="49" t="s">
        <v>9061</v>
      </c>
      <c r="T867" s="49" t="s">
        <v>9054</v>
      </c>
      <c r="U867" s="49" t="s">
        <v>655</v>
      </c>
      <c r="V867" s="49" t="e">
        <v>#REF!</v>
      </c>
      <c r="AC867" s="49"/>
      <c r="AD867" s="49"/>
    </row>
    <row r="868" spans="1:30" hidden="1" x14ac:dyDescent="0.3">
      <c r="A868" s="49" t="s">
        <v>9062</v>
      </c>
      <c r="B868" s="49">
        <v>0</v>
      </c>
      <c r="C868" s="49"/>
      <c r="D868" s="72" t="s">
        <v>717</v>
      </c>
      <c r="E868" s="73">
        <v>0</v>
      </c>
      <c r="F868" s="49"/>
      <c r="G868" s="49"/>
      <c r="H868" s="49" t="s">
        <v>646</v>
      </c>
      <c r="I868" s="49" t="s">
        <v>9065</v>
      </c>
      <c r="J868" s="49" t="s">
        <v>9063</v>
      </c>
      <c r="K868" s="49" t="s">
        <v>9064</v>
      </c>
      <c r="L868" s="49">
        <v>0</v>
      </c>
      <c r="M868" s="49" t="s">
        <v>1865</v>
      </c>
      <c r="N868" s="49" t="s">
        <v>9066</v>
      </c>
      <c r="O868" s="49">
        <v>1</v>
      </c>
      <c r="P868" s="49" t="s">
        <v>9067</v>
      </c>
      <c r="Q868" s="49">
        <v>0</v>
      </c>
      <c r="R868" s="49" t="s">
        <v>9068</v>
      </c>
      <c r="S868" s="49" t="s">
        <v>9069</v>
      </c>
      <c r="T868" s="49" t="s">
        <v>9070</v>
      </c>
      <c r="U868" s="49" t="s">
        <v>655</v>
      </c>
      <c r="V868" s="49" t="e">
        <v>#REF!</v>
      </c>
      <c r="AC868" s="49"/>
      <c r="AD868" s="49"/>
    </row>
    <row r="869" spans="1:30" hidden="1" x14ac:dyDescent="0.3">
      <c r="A869" s="49" t="s">
        <v>9071</v>
      </c>
      <c r="B869" s="49">
        <v>0</v>
      </c>
      <c r="C869" s="49"/>
      <c r="D869" s="72" t="s">
        <v>717</v>
      </c>
      <c r="E869" s="73">
        <v>0</v>
      </c>
      <c r="F869" s="49"/>
      <c r="G869" s="49"/>
      <c r="H869" s="49" t="s">
        <v>9072</v>
      </c>
      <c r="I869" s="49" t="s">
        <v>9075</v>
      </c>
      <c r="J869" s="49" t="s">
        <v>9073</v>
      </c>
      <c r="K869" s="49" t="s">
        <v>9074</v>
      </c>
      <c r="L869" s="49">
        <v>0</v>
      </c>
      <c r="M869" s="49" t="s">
        <v>1745</v>
      </c>
      <c r="N869" s="49" t="s">
        <v>9076</v>
      </c>
      <c r="O869" s="49">
        <v>1</v>
      </c>
      <c r="P869" s="49" t="s">
        <v>9077</v>
      </c>
      <c r="Q869" s="49">
        <v>0</v>
      </c>
      <c r="R869" s="49" t="s">
        <v>9078</v>
      </c>
      <c r="S869" s="49" t="s">
        <v>9079</v>
      </c>
      <c r="T869" s="49" t="s">
        <v>9080</v>
      </c>
      <c r="U869" s="49" t="s">
        <v>655</v>
      </c>
      <c r="V869" s="49" t="e">
        <v>#REF!</v>
      </c>
      <c r="AC869" s="49"/>
      <c r="AD869" s="49"/>
    </row>
    <row r="870" spans="1:30" hidden="1" x14ac:dyDescent="0.3">
      <c r="A870" s="49" t="s">
        <v>9081</v>
      </c>
      <c r="B870" s="49">
        <v>0</v>
      </c>
      <c r="C870" s="49"/>
      <c r="D870" s="72" t="s">
        <v>717</v>
      </c>
      <c r="E870" s="73">
        <v>0</v>
      </c>
      <c r="F870" s="49"/>
      <c r="G870" s="49"/>
      <c r="H870" s="49" t="s">
        <v>9082</v>
      </c>
      <c r="I870" s="49" t="s">
        <v>9085</v>
      </c>
      <c r="J870" s="49" t="s">
        <v>9083</v>
      </c>
      <c r="K870" s="49" t="s">
        <v>9084</v>
      </c>
      <c r="L870" s="49">
        <v>0</v>
      </c>
      <c r="M870" s="49" t="s">
        <v>1745</v>
      </c>
      <c r="N870" s="49" t="s">
        <v>9086</v>
      </c>
      <c r="O870" s="49">
        <v>1</v>
      </c>
      <c r="P870" s="49" t="s">
        <v>9087</v>
      </c>
      <c r="Q870" s="49">
        <v>0</v>
      </c>
      <c r="R870" s="49" t="s">
        <v>9088</v>
      </c>
      <c r="S870" s="49" t="s">
        <v>9089</v>
      </c>
      <c r="T870" s="49" t="s">
        <v>9090</v>
      </c>
      <c r="U870" s="49" t="s">
        <v>646</v>
      </c>
      <c r="V870" s="49" t="e">
        <v>#REF!</v>
      </c>
      <c r="AC870" s="49"/>
      <c r="AD870" s="49"/>
    </row>
    <row r="871" spans="1:30" hidden="1" x14ac:dyDescent="0.3">
      <c r="A871" s="49" t="s">
        <v>9091</v>
      </c>
      <c r="B871" s="49">
        <v>0</v>
      </c>
      <c r="C871" s="49"/>
      <c r="D871" s="72" t="s">
        <v>717</v>
      </c>
      <c r="E871" s="73">
        <v>0</v>
      </c>
      <c r="F871" s="49"/>
      <c r="G871" s="49"/>
      <c r="H871" s="49" t="s">
        <v>9092</v>
      </c>
      <c r="I871" s="49" t="s">
        <v>9095</v>
      </c>
      <c r="J871" s="49" t="s">
        <v>9093</v>
      </c>
      <c r="K871" s="49" t="s">
        <v>9094</v>
      </c>
      <c r="L871" s="49">
        <v>0</v>
      </c>
      <c r="M871" s="49" t="s">
        <v>1734</v>
      </c>
      <c r="N871" s="49" t="s">
        <v>9096</v>
      </c>
      <c r="O871" s="49">
        <v>2</v>
      </c>
      <c r="P871" s="49" t="s">
        <v>9097</v>
      </c>
      <c r="Q871" s="49">
        <v>0</v>
      </c>
      <c r="R871" s="49" t="s">
        <v>9098</v>
      </c>
      <c r="S871" s="49" t="s">
        <v>9099</v>
      </c>
      <c r="T871" s="49" t="s">
        <v>9100</v>
      </c>
      <c r="U871" s="49" t="s">
        <v>655</v>
      </c>
      <c r="V871" s="49" t="e">
        <v>#REF!</v>
      </c>
      <c r="AC871" s="49"/>
      <c r="AD871" s="49"/>
    </row>
    <row r="872" spans="1:30" hidden="1" x14ac:dyDescent="0.3">
      <c r="A872" s="49" t="s">
        <v>9101</v>
      </c>
      <c r="B872" s="49">
        <v>0</v>
      </c>
      <c r="C872" s="49"/>
      <c r="D872" s="72" t="s">
        <v>717</v>
      </c>
      <c r="E872" s="74">
        <v>1</v>
      </c>
      <c r="F872" s="73">
        <v>0</v>
      </c>
      <c r="G872" s="49"/>
      <c r="H872" s="49" t="s">
        <v>9102</v>
      </c>
      <c r="I872" s="49" t="s">
        <v>9105</v>
      </c>
      <c r="J872" s="49" t="s">
        <v>9103</v>
      </c>
      <c r="K872" s="49" t="s">
        <v>9104</v>
      </c>
      <c r="L872" s="49">
        <v>0</v>
      </c>
      <c r="M872" s="49" t="s">
        <v>1734</v>
      </c>
      <c r="N872" s="49" t="s">
        <v>2201</v>
      </c>
      <c r="O872" s="49">
        <v>9</v>
      </c>
      <c r="P872" s="49" t="s">
        <v>9106</v>
      </c>
      <c r="Q872" s="49">
        <v>0</v>
      </c>
      <c r="R872" s="49" t="s">
        <v>9107</v>
      </c>
      <c r="S872" s="49" t="s">
        <v>9108</v>
      </c>
      <c r="T872" s="49" t="s">
        <v>9109</v>
      </c>
      <c r="U872" s="49" t="s">
        <v>655</v>
      </c>
      <c r="V872" s="49" t="e">
        <v>#REF!</v>
      </c>
      <c r="AC872" s="49"/>
      <c r="AD872" s="49"/>
    </row>
    <row r="873" spans="1:30" hidden="1" x14ac:dyDescent="0.3">
      <c r="A873" s="49" t="s">
        <v>9110</v>
      </c>
      <c r="B873" s="49">
        <v>0</v>
      </c>
      <c r="C873" s="49"/>
      <c r="D873" s="72" t="s">
        <v>717</v>
      </c>
      <c r="E873" s="73">
        <v>0</v>
      </c>
      <c r="F873" s="49"/>
      <c r="G873" s="49"/>
      <c r="H873" s="49" t="s">
        <v>9111</v>
      </c>
      <c r="I873" s="49" t="s">
        <v>9114</v>
      </c>
      <c r="J873" s="49" t="s">
        <v>9112</v>
      </c>
      <c r="K873" s="49" t="s">
        <v>9113</v>
      </c>
      <c r="L873" s="49">
        <v>0</v>
      </c>
      <c r="M873" s="49" t="s">
        <v>1745</v>
      </c>
      <c r="N873" s="49" t="s">
        <v>9115</v>
      </c>
      <c r="P873" s="49" t="s">
        <v>9116</v>
      </c>
      <c r="Q873" s="49">
        <v>0</v>
      </c>
      <c r="R873" s="49" t="s">
        <v>9117</v>
      </c>
      <c r="S873" s="49" t="s">
        <v>9118</v>
      </c>
      <c r="T873" s="49" t="s">
        <v>9119</v>
      </c>
      <c r="U873" s="49" t="s">
        <v>655</v>
      </c>
      <c r="V873" s="49" t="e">
        <v>#REF!</v>
      </c>
      <c r="AC873" s="49"/>
      <c r="AD873" s="49"/>
    </row>
    <row r="874" spans="1:30" hidden="1" x14ac:dyDescent="0.3">
      <c r="A874" s="49" t="s">
        <v>9120</v>
      </c>
      <c r="B874" s="49">
        <v>0</v>
      </c>
      <c r="C874" s="49"/>
      <c r="D874" s="72" t="s">
        <v>717</v>
      </c>
      <c r="E874" s="73">
        <v>0</v>
      </c>
      <c r="F874" s="49"/>
      <c r="G874" s="49"/>
      <c r="H874" s="49" t="s">
        <v>9121</v>
      </c>
      <c r="I874" s="49" t="s">
        <v>9124</v>
      </c>
      <c r="J874" s="49" t="s">
        <v>9122</v>
      </c>
      <c r="K874" s="49" t="s">
        <v>9123</v>
      </c>
      <c r="L874" s="49">
        <v>0</v>
      </c>
      <c r="M874" s="49" t="s">
        <v>1734</v>
      </c>
      <c r="N874" s="49" t="s">
        <v>9125</v>
      </c>
      <c r="P874" s="49" t="s">
        <v>9126</v>
      </c>
      <c r="Q874" s="49">
        <v>0</v>
      </c>
      <c r="R874" s="49" t="s">
        <v>9127</v>
      </c>
      <c r="S874" s="49" t="s">
        <v>9128</v>
      </c>
      <c r="T874" s="49" t="s">
        <v>646</v>
      </c>
      <c r="U874" s="49" t="s">
        <v>655</v>
      </c>
      <c r="V874" s="49" t="e">
        <v>#REF!</v>
      </c>
      <c r="AC874" s="49"/>
      <c r="AD874" s="49"/>
    </row>
    <row r="875" spans="1:30" hidden="1" x14ac:dyDescent="0.3">
      <c r="A875" s="76" t="s">
        <v>9129</v>
      </c>
      <c r="B875" s="76">
        <v>0</v>
      </c>
      <c r="C875" s="49">
        <v>1</v>
      </c>
      <c r="D875" s="72" t="s">
        <v>717</v>
      </c>
      <c r="E875" s="74">
        <v>1</v>
      </c>
      <c r="F875" s="73">
        <v>1</v>
      </c>
      <c r="G875" s="49">
        <v>0</v>
      </c>
      <c r="H875" s="49" t="s">
        <v>9130</v>
      </c>
      <c r="I875" s="49" t="s">
        <v>9133</v>
      </c>
      <c r="J875" s="49" t="s">
        <v>9131</v>
      </c>
      <c r="K875" s="49" t="s">
        <v>9132</v>
      </c>
      <c r="L875" s="49">
        <v>0</v>
      </c>
      <c r="M875" s="75" t="s">
        <v>1734</v>
      </c>
      <c r="N875" s="49" t="s">
        <v>9134</v>
      </c>
      <c r="O875" s="49">
        <v>1</v>
      </c>
      <c r="P875" s="49" t="s">
        <v>9135</v>
      </c>
      <c r="Q875" s="49">
        <v>0</v>
      </c>
      <c r="R875" s="49" t="s">
        <v>9136</v>
      </c>
      <c r="S875" s="49" t="s">
        <v>9137</v>
      </c>
      <c r="T875" s="49" t="s">
        <v>9138</v>
      </c>
      <c r="U875" s="49" t="s">
        <v>655</v>
      </c>
      <c r="V875" s="49" t="e">
        <v>#REF!</v>
      </c>
      <c r="AC875" s="49"/>
      <c r="AD875" s="49"/>
    </row>
    <row r="876" spans="1:30" hidden="1" x14ac:dyDescent="0.3">
      <c r="A876" s="49" t="s">
        <v>9139</v>
      </c>
      <c r="B876" s="49">
        <v>0</v>
      </c>
      <c r="C876" s="49"/>
      <c r="D876" s="72" t="s">
        <v>717</v>
      </c>
      <c r="E876" s="74" t="s">
        <v>645</v>
      </c>
      <c r="F876" s="73">
        <v>0</v>
      </c>
      <c r="G876" s="49"/>
      <c r="H876" s="49" t="s">
        <v>9140</v>
      </c>
      <c r="I876" s="49" t="s">
        <v>9143</v>
      </c>
      <c r="J876" s="49" t="s">
        <v>9141</v>
      </c>
      <c r="K876" s="49" t="s">
        <v>9142</v>
      </c>
      <c r="L876" s="49">
        <v>0</v>
      </c>
      <c r="M876" s="49" t="s">
        <v>1745</v>
      </c>
      <c r="N876" s="49" t="s">
        <v>3026</v>
      </c>
      <c r="P876" s="49" t="s">
        <v>9144</v>
      </c>
      <c r="Q876" s="49">
        <v>0</v>
      </c>
      <c r="R876" s="49" t="s">
        <v>9145</v>
      </c>
      <c r="S876" s="49" t="s">
        <v>9146</v>
      </c>
      <c r="T876" s="49" t="s">
        <v>9147</v>
      </c>
      <c r="U876" s="49" t="s">
        <v>670</v>
      </c>
      <c r="V876" s="49" t="e">
        <v>#REF!</v>
      </c>
      <c r="AC876" s="49"/>
      <c r="AD876" s="49"/>
    </row>
    <row r="877" spans="1:30" hidden="1" x14ac:dyDescent="0.3">
      <c r="A877" s="49" t="s">
        <v>9148</v>
      </c>
      <c r="B877" s="49">
        <v>0</v>
      </c>
      <c r="C877" s="49"/>
      <c r="D877" s="72" t="s">
        <v>717</v>
      </c>
      <c r="E877" s="73">
        <v>0</v>
      </c>
      <c r="F877" s="49"/>
      <c r="G877" s="49"/>
      <c r="H877" s="49" t="s">
        <v>9149</v>
      </c>
      <c r="I877" s="49" t="s">
        <v>9152</v>
      </c>
      <c r="J877" s="49" t="s">
        <v>9150</v>
      </c>
      <c r="K877" s="49" t="s">
        <v>9151</v>
      </c>
      <c r="L877" s="49">
        <v>0</v>
      </c>
      <c r="M877" s="49" t="s">
        <v>1865</v>
      </c>
      <c r="N877" s="49" t="s">
        <v>8762</v>
      </c>
      <c r="O877" s="49">
        <v>4</v>
      </c>
      <c r="P877" s="49" t="s">
        <v>9153</v>
      </c>
      <c r="Q877" s="49">
        <v>0</v>
      </c>
      <c r="R877" s="49" t="s">
        <v>9154</v>
      </c>
      <c r="S877" s="49" t="s">
        <v>9155</v>
      </c>
      <c r="T877" s="49" t="s">
        <v>9156</v>
      </c>
      <c r="U877" s="49" t="s">
        <v>655</v>
      </c>
      <c r="V877" s="49" t="e">
        <v>#REF!</v>
      </c>
      <c r="AC877" s="49"/>
      <c r="AD877" s="49"/>
    </row>
    <row r="878" spans="1:30" hidden="1" x14ac:dyDescent="0.3">
      <c r="A878" s="49" t="s">
        <v>9157</v>
      </c>
      <c r="B878" s="49">
        <v>0</v>
      </c>
      <c r="C878" s="49">
        <v>1</v>
      </c>
      <c r="D878" s="72" t="s">
        <v>717</v>
      </c>
      <c r="E878" s="74" t="s">
        <v>645</v>
      </c>
      <c r="F878" s="73">
        <v>1</v>
      </c>
      <c r="G878" s="49">
        <v>0</v>
      </c>
      <c r="H878" s="49" t="s">
        <v>9158</v>
      </c>
      <c r="I878" s="49" t="s">
        <v>9161</v>
      </c>
      <c r="J878" s="49" t="s">
        <v>9159</v>
      </c>
      <c r="K878" s="49" t="s">
        <v>9160</v>
      </c>
      <c r="L878" s="49">
        <v>0</v>
      </c>
      <c r="M878" s="75" t="s">
        <v>1734</v>
      </c>
      <c r="N878" s="49" t="s">
        <v>9162</v>
      </c>
      <c r="P878" s="49" t="s">
        <v>9163</v>
      </c>
      <c r="Q878" s="49">
        <v>0</v>
      </c>
      <c r="R878" s="49" t="s">
        <v>9164</v>
      </c>
      <c r="S878" s="49" t="s">
        <v>9165</v>
      </c>
      <c r="T878" s="49" t="s">
        <v>9166</v>
      </c>
      <c r="U878" s="49" t="s">
        <v>655</v>
      </c>
      <c r="V878" s="49" t="e">
        <v>#REF!</v>
      </c>
      <c r="AC878" s="49"/>
      <c r="AD878" s="49"/>
    </row>
    <row r="879" spans="1:30" hidden="1" x14ac:dyDescent="0.3">
      <c r="A879" s="49" t="s">
        <v>9167</v>
      </c>
      <c r="B879" s="49">
        <v>0</v>
      </c>
      <c r="C879" s="49"/>
      <c r="D879" s="72" t="s">
        <v>717</v>
      </c>
      <c r="E879" s="73">
        <v>0</v>
      </c>
      <c r="F879" s="49"/>
      <c r="G879" s="49"/>
      <c r="H879" s="49" t="s">
        <v>9168</v>
      </c>
      <c r="I879" s="49" t="s">
        <v>9171</v>
      </c>
      <c r="J879" s="49" t="s">
        <v>9169</v>
      </c>
      <c r="K879" s="49" t="s">
        <v>9170</v>
      </c>
      <c r="L879" s="49">
        <v>0</v>
      </c>
      <c r="M879" s="49" t="s">
        <v>1734</v>
      </c>
      <c r="N879" s="49" t="s">
        <v>2026</v>
      </c>
      <c r="P879" s="49" t="s">
        <v>9172</v>
      </c>
      <c r="Q879" s="49">
        <v>0</v>
      </c>
      <c r="R879" s="49" t="s">
        <v>9173</v>
      </c>
      <c r="S879" s="49" t="s">
        <v>9174</v>
      </c>
      <c r="T879" s="49" t="s">
        <v>9175</v>
      </c>
      <c r="U879" s="49" t="s">
        <v>655</v>
      </c>
      <c r="V879" s="49" t="e">
        <v>#REF!</v>
      </c>
      <c r="AC879" s="49"/>
      <c r="AD879" s="49"/>
    </row>
    <row r="880" spans="1:30" hidden="1" x14ac:dyDescent="0.3">
      <c r="A880" s="49" t="s">
        <v>9176</v>
      </c>
      <c r="B880" s="49">
        <v>0</v>
      </c>
      <c r="C880" s="49"/>
      <c r="D880" s="72" t="s">
        <v>717</v>
      </c>
      <c r="E880" s="73">
        <v>0</v>
      </c>
      <c r="F880" s="49"/>
      <c r="G880" s="49"/>
      <c r="H880" s="49" t="s">
        <v>9177</v>
      </c>
      <c r="I880" s="49" t="s">
        <v>9180</v>
      </c>
      <c r="J880" s="49" t="s">
        <v>9178</v>
      </c>
      <c r="K880" s="49" t="s">
        <v>9179</v>
      </c>
      <c r="L880" s="49">
        <v>0</v>
      </c>
      <c r="M880" s="49" t="s">
        <v>1734</v>
      </c>
      <c r="N880" s="49" t="s">
        <v>9181</v>
      </c>
      <c r="O880" s="49">
        <v>1</v>
      </c>
      <c r="P880" s="49" t="s">
        <v>9182</v>
      </c>
      <c r="Q880" s="49">
        <v>0</v>
      </c>
      <c r="R880" s="49" t="s">
        <v>9183</v>
      </c>
      <c r="S880" s="49" t="s">
        <v>9184</v>
      </c>
      <c r="T880" s="49" t="s">
        <v>9185</v>
      </c>
      <c r="U880" s="49" t="s">
        <v>791</v>
      </c>
      <c r="V880" s="49" t="e">
        <v>#REF!</v>
      </c>
      <c r="AC880" s="49"/>
      <c r="AD880" s="49"/>
    </row>
    <row r="881" spans="1:30" hidden="1" x14ac:dyDescent="0.3">
      <c r="A881" s="49" t="s">
        <v>9186</v>
      </c>
      <c r="B881" s="49">
        <v>0</v>
      </c>
      <c r="C881" s="49"/>
      <c r="D881" s="72" t="s">
        <v>717</v>
      </c>
      <c r="E881" s="73">
        <v>0</v>
      </c>
      <c r="F881" s="49"/>
      <c r="G881" s="49"/>
      <c r="H881" s="49" t="s">
        <v>9187</v>
      </c>
      <c r="I881" s="49" t="s">
        <v>9190</v>
      </c>
      <c r="J881" s="49" t="s">
        <v>9188</v>
      </c>
      <c r="K881" s="49" t="s">
        <v>9189</v>
      </c>
      <c r="L881" s="49">
        <v>0</v>
      </c>
      <c r="M881" s="49" t="s">
        <v>1745</v>
      </c>
      <c r="N881" s="49" t="s">
        <v>9191</v>
      </c>
      <c r="O881" s="49">
        <v>2</v>
      </c>
      <c r="P881" s="49" t="s">
        <v>9192</v>
      </c>
      <c r="Q881" s="49">
        <v>0</v>
      </c>
      <c r="R881" s="49" t="s">
        <v>9193</v>
      </c>
      <c r="S881" s="49" t="s">
        <v>9194</v>
      </c>
      <c r="T881" s="49" t="s">
        <v>9195</v>
      </c>
      <c r="U881" s="49" t="s">
        <v>646</v>
      </c>
      <c r="V881" s="49" t="e">
        <v>#REF!</v>
      </c>
      <c r="AC881" s="49"/>
      <c r="AD881" s="49"/>
    </row>
    <row r="882" spans="1:30" hidden="1" x14ac:dyDescent="0.3">
      <c r="A882" s="49" t="s">
        <v>9196</v>
      </c>
      <c r="B882" s="49">
        <v>0</v>
      </c>
      <c r="C882" s="49"/>
      <c r="D882" s="72" t="s">
        <v>717</v>
      </c>
      <c r="E882" s="73">
        <v>0</v>
      </c>
      <c r="F882" s="49"/>
      <c r="G882" s="49"/>
      <c r="H882" s="49" t="s">
        <v>9197</v>
      </c>
      <c r="I882" s="49" t="s">
        <v>9200</v>
      </c>
      <c r="J882" s="49" t="s">
        <v>9198</v>
      </c>
      <c r="K882" s="49" t="s">
        <v>9199</v>
      </c>
      <c r="L882" s="49">
        <v>0</v>
      </c>
      <c r="M882" s="49" t="s">
        <v>1734</v>
      </c>
      <c r="N882" s="49" t="s">
        <v>9201</v>
      </c>
      <c r="O882" s="49">
        <v>3</v>
      </c>
      <c r="P882" s="49" t="s">
        <v>9202</v>
      </c>
      <c r="Q882" s="49">
        <v>0</v>
      </c>
      <c r="R882" s="49" t="s">
        <v>9203</v>
      </c>
      <c r="S882" s="49" t="s">
        <v>9204</v>
      </c>
      <c r="T882" s="49" t="s">
        <v>9205</v>
      </c>
      <c r="U882" s="49" t="s">
        <v>655</v>
      </c>
      <c r="V882" s="49" t="e">
        <v>#REF!</v>
      </c>
      <c r="AC882" s="49"/>
      <c r="AD882" s="49"/>
    </row>
    <row r="883" spans="1:30" hidden="1" x14ac:dyDescent="0.3">
      <c r="A883" s="49" t="s">
        <v>9206</v>
      </c>
      <c r="B883" s="49">
        <v>0</v>
      </c>
      <c r="C883" s="49"/>
      <c r="D883" s="72" t="s">
        <v>717</v>
      </c>
      <c r="E883" s="73">
        <v>0</v>
      </c>
      <c r="F883" s="49"/>
      <c r="G883" s="49"/>
      <c r="H883" s="49" t="s">
        <v>9207</v>
      </c>
      <c r="I883" s="49" t="s">
        <v>9210</v>
      </c>
      <c r="J883" s="49" t="s">
        <v>9208</v>
      </c>
      <c r="K883" s="49" t="s">
        <v>9209</v>
      </c>
      <c r="L883" s="49">
        <v>0</v>
      </c>
      <c r="M883" s="49" t="s">
        <v>1734</v>
      </c>
      <c r="N883" s="49" t="s">
        <v>9211</v>
      </c>
      <c r="O883" s="49">
        <v>1</v>
      </c>
      <c r="P883" s="49" t="s">
        <v>9212</v>
      </c>
      <c r="Q883" s="49">
        <v>0</v>
      </c>
      <c r="R883" s="49" t="s">
        <v>9213</v>
      </c>
      <c r="S883" s="49" t="s">
        <v>9214</v>
      </c>
      <c r="T883" s="49" t="s">
        <v>9215</v>
      </c>
      <c r="U883" s="49" t="s">
        <v>655</v>
      </c>
      <c r="V883" s="49" t="e">
        <v>#REF!</v>
      </c>
      <c r="AC883" s="49"/>
      <c r="AD883" s="49"/>
    </row>
    <row r="884" spans="1:30" hidden="1" x14ac:dyDescent="0.3">
      <c r="A884" s="49" t="s">
        <v>9216</v>
      </c>
      <c r="B884" s="49">
        <v>0</v>
      </c>
      <c r="C884" s="49"/>
      <c r="D884" s="72" t="s">
        <v>717</v>
      </c>
      <c r="E884" s="74" t="s">
        <v>645</v>
      </c>
      <c r="F884" s="73">
        <v>0</v>
      </c>
      <c r="G884" s="49"/>
      <c r="H884" s="49" t="s">
        <v>9217</v>
      </c>
      <c r="I884" s="49" t="s">
        <v>9220</v>
      </c>
      <c r="J884" s="49" t="s">
        <v>9218</v>
      </c>
      <c r="K884" s="49" t="s">
        <v>9219</v>
      </c>
      <c r="L884" s="49">
        <v>0</v>
      </c>
      <c r="M884" s="49" t="s">
        <v>1745</v>
      </c>
      <c r="N884" s="49" t="s">
        <v>9221</v>
      </c>
      <c r="O884" s="49">
        <v>3</v>
      </c>
      <c r="P884" s="49" t="s">
        <v>9222</v>
      </c>
      <c r="Q884" s="49">
        <v>0</v>
      </c>
      <c r="R884" s="49" t="s">
        <v>9223</v>
      </c>
      <c r="S884" s="49" t="s">
        <v>9224</v>
      </c>
      <c r="T884" s="49" t="s">
        <v>9225</v>
      </c>
      <c r="U884" s="49" t="s">
        <v>655</v>
      </c>
      <c r="V884" s="49" t="e">
        <v>#REF!</v>
      </c>
      <c r="AC884" s="49"/>
      <c r="AD884" s="49"/>
    </row>
    <row r="885" spans="1:30" hidden="1" x14ac:dyDescent="0.3">
      <c r="A885" s="49" t="s">
        <v>9226</v>
      </c>
      <c r="B885" s="49">
        <v>0</v>
      </c>
      <c r="C885" s="49"/>
      <c r="D885" s="72" t="s">
        <v>717</v>
      </c>
      <c r="E885" s="73">
        <v>0</v>
      </c>
      <c r="F885" s="49"/>
      <c r="G885" s="49"/>
      <c r="H885" s="49" t="s">
        <v>9227</v>
      </c>
      <c r="I885" s="49" t="s">
        <v>9230</v>
      </c>
      <c r="J885" s="49" t="s">
        <v>9228</v>
      </c>
      <c r="K885" s="49" t="s">
        <v>9229</v>
      </c>
      <c r="L885" s="49">
        <v>0</v>
      </c>
      <c r="M885" s="49" t="s">
        <v>1734</v>
      </c>
      <c r="N885" s="49" t="s">
        <v>9231</v>
      </c>
      <c r="O885" s="49">
        <v>9</v>
      </c>
      <c r="P885" s="49" t="s">
        <v>9232</v>
      </c>
      <c r="Q885" s="49">
        <v>0</v>
      </c>
      <c r="R885" s="49" t="s">
        <v>9233</v>
      </c>
      <c r="S885" s="49" t="s">
        <v>9234</v>
      </c>
      <c r="T885" s="49" t="s">
        <v>9235</v>
      </c>
      <c r="U885" s="49" t="s">
        <v>655</v>
      </c>
      <c r="V885" s="49" t="e">
        <v>#REF!</v>
      </c>
      <c r="AC885" s="49"/>
      <c r="AD885" s="49"/>
    </row>
    <row r="886" spans="1:30" x14ac:dyDescent="0.3">
      <c r="A886" s="49" t="s">
        <v>9237</v>
      </c>
      <c r="B886" s="49" t="s">
        <v>9236</v>
      </c>
      <c r="C886" s="49">
        <v>1</v>
      </c>
      <c r="D886" s="72" t="s">
        <v>717</v>
      </c>
      <c r="E886" s="74">
        <v>1</v>
      </c>
      <c r="F886" s="73">
        <v>1</v>
      </c>
      <c r="G886" s="49">
        <v>1</v>
      </c>
      <c r="H886" s="49" t="s">
        <v>9238</v>
      </c>
      <c r="I886" s="49" t="s">
        <v>9241</v>
      </c>
      <c r="J886" s="49" t="s">
        <v>9239</v>
      </c>
      <c r="K886" s="49" t="s">
        <v>9240</v>
      </c>
      <c r="L886" s="49">
        <v>0</v>
      </c>
      <c r="M886" s="75" t="s">
        <v>1734</v>
      </c>
      <c r="N886" s="49" t="s">
        <v>9242</v>
      </c>
      <c r="O886" s="49">
        <v>2</v>
      </c>
      <c r="P886" s="49" t="s">
        <v>9243</v>
      </c>
      <c r="Q886" s="49">
        <v>0</v>
      </c>
      <c r="R886" s="49" t="s">
        <v>646</v>
      </c>
      <c r="S886" s="49" t="s">
        <v>9244</v>
      </c>
      <c r="T886" s="49" t="s">
        <v>9245</v>
      </c>
      <c r="U886" s="49" t="s">
        <v>655</v>
      </c>
      <c r="V886" s="49" t="e">
        <v>#REF!</v>
      </c>
      <c r="AC886" s="49"/>
      <c r="AD886" s="49"/>
    </row>
    <row r="887" spans="1:30" hidden="1" x14ac:dyDescent="0.3">
      <c r="A887" s="49" t="s">
        <v>9246</v>
      </c>
      <c r="B887" s="49">
        <v>0</v>
      </c>
      <c r="C887" s="49"/>
      <c r="D887" s="72" t="s">
        <v>717</v>
      </c>
      <c r="E887" s="73">
        <v>0</v>
      </c>
      <c r="F887" s="49"/>
      <c r="G887" s="49"/>
      <c r="H887" s="49" t="s">
        <v>9247</v>
      </c>
      <c r="I887" s="49" t="s">
        <v>9250</v>
      </c>
      <c r="J887" s="49" t="s">
        <v>9248</v>
      </c>
      <c r="K887" s="49" t="s">
        <v>9249</v>
      </c>
      <c r="L887" s="49">
        <v>0</v>
      </c>
      <c r="M887" s="49" t="s">
        <v>1734</v>
      </c>
      <c r="N887" s="49" t="s">
        <v>9251</v>
      </c>
      <c r="P887" s="49" t="s">
        <v>9252</v>
      </c>
      <c r="Q887" s="49">
        <v>0</v>
      </c>
      <c r="R887" s="49" t="s">
        <v>9253</v>
      </c>
      <c r="S887" s="49" t="s">
        <v>9254</v>
      </c>
      <c r="T887" s="49" t="s">
        <v>9255</v>
      </c>
      <c r="U887" s="49" t="s">
        <v>655</v>
      </c>
      <c r="V887" s="49" t="e">
        <v>#REF!</v>
      </c>
      <c r="AC887" s="49"/>
      <c r="AD887" s="49"/>
    </row>
    <row r="888" spans="1:30" hidden="1" x14ac:dyDescent="0.3">
      <c r="A888" s="49" t="s">
        <v>9256</v>
      </c>
      <c r="B888" s="49">
        <v>0</v>
      </c>
      <c r="C888" s="49"/>
      <c r="D888" s="72" t="s">
        <v>717</v>
      </c>
      <c r="E888" s="73">
        <v>0</v>
      </c>
      <c r="F888" s="49"/>
      <c r="G888" s="49"/>
      <c r="H888" s="49" t="s">
        <v>9257</v>
      </c>
      <c r="I888" s="49" t="s">
        <v>9260</v>
      </c>
      <c r="J888" s="49" t="s">
        <v>9258</v>
      </c>
      <c r="K888" s="49" t="s">
        <v>9259</v>
      </c>
      <c r="L888" s="49">
        <v>0</v>
      </c>
      <c r="M888" s="49" t="s">
        <v>1745</v>
      </c>
      <c r="N888" s="49" t="s">
        <v>9261</v>
      </c>
      <c r="O888" s="49">
        <v>3</v>
      </c>
      <c r="P888" s="49" t="s">
        <v>9262</v>
      </c>
      <c r="Q888" s="49">
        <v>0</v>
      </c>
      <c r="R888" s="49" t="s">
        <v>9263</v>
      </c>
      <c r="S888" s="49" t="s">
        <v>9264</v>
      </c>
      <c r="T888" s="49" t="s">
        <v>9265</v>
      </c>
      <c r="U888" s="49" t="s">
        <v>655</v>
      </c>
      <c r="V888" s="49" t="e">
        <v>#REF!</v>
      </c>
      <c r="AC888" s="49"/>
      <c r="AD888" s="49"/>
    </row>
    <row r="889" spans="1:30" hidden="1" x14ac:dyDescent="0.3">
      <c r="A889" s="49" t="s">
        <v>9266</v>
      </c>
      <c r="B889" s="49">
        <v>0</v>
      </c>
      <c r="C889" s="49"/>
      <c r="D889" s="72" t="s">
        <v>717</v>
      </c>
      <c r="E889" s="73">
        <v>0</v>
      </c>
      <c r="F889" s="49"/>
      <c r="G889" s="49"/>
      <c r="H889" s="49" t="s">
        <v>9267</v>
      </c>
      <c r="I889" s="49" t="s">
        <v>9270</v>
      </c>
      <c r="J889" s="49" t="s">
        <v>9268</v>
      </c>
      <c r="K889" s="49" t="s">
        <v>9269</v>
      </c>
      <c r="L889" s="49">
        <v>0</v>
      </c>
      <c r="M889" s="49" t="s">
        <v>1745</v>
      </c>
      <c r="N889" s="49" t="s">
        <v>3142</v>
      </c>
      <c r="O889" s="49">
        <v>5</v>
      </c>
      <c r="P889" s="49" t="s">
        <v>9271</v>
      </c>
      <c r="Q889" s="49">
        <v>0</v>
      </c>
      <c r="R889" s="49" t="s">
        <v>9272</v>
      </c>
      <c r="S889" s="49" t="s">
        <v>9273</v>
      </c>
      <c r="T889" s="49" t="s">
        <v>9274</v>
      </c>
      <c r="U889" s="49" t="s">
        <v>655</v>
      </c>
      <c r="V889" s="49" t="e">
        <v>#REF!</v>
      </c>
      <c r="AC889" s="49"/>
      <c r="AD889" s="49"/>
    </row>
    <row r="890" spans="1:30" hidden="1" x14ac:dyDescent="0.3">
      <c r="A890" s="49" t="s">
        <v>9275</v>
      </c>
      <c r="B890" s="49">
        <v>0</v>
      </c>
      <c r="C890" s="49"/>
      <c r="D890" s="72" t="s">
        <v>717</v>
      </c>
      <c r="E890" s="73">
        <v>0</v>
      </c>
      <c r="F890" s="49"/>
      <c r="G890" s="49"/>
      <c r="H890" s="49" t="s">
        <v>9276</v>
      </c>
      <c r="I890" s="49" t="s">
        <v>9279</v>
      </c>
      <c r="J890" s="49" t="s">
        <v>9277</v>
      </c>
      <c r="K890" s="49" t="s">
        <v>9278</v>
      </c>
      <c r="L890" s="49">
        <v>0</v>
      </c>
      <c r="M890" s="49" t="s">
        <v>1734</v>
      </c>
      <c r="N890" s="49" t="s">
        <v>9280</v>
      </c>
      <c r="O890" s="49">
        <v>6</v>
      </c>
      <c r="P890" s="49" t="s">
        <v>9281</v>
      </c>
      <c r="Q890" s="49">
        <v>0</v>
      </c>
      <c r="R890" s="49" t="s">
        <v>9282</v>
      </c>
      <c r="S890" s="49" t="s">
        <v>9283</v>
      </c>
      <c r="T890" s="49" t="s">
        <v>9284</v>
      </c>
      <c r="U890" s="49" t="s">
        <v>655</v>
      </c>
      <c r="V890" s="49" t="e">
        <v>#REF!</v>
      </c>
      <c r="AC890" s="49"/>
      <c r="AD890" s="49"/>
    </row>
    <row r="891" spans="1:30" hidden="1" x14ac:dyDescent="0.3">
      <c r="A891" s="49" t="s">
        <v>9285</v>
      </c>
      <c r="B891" s="49">
        <v>0</v>
      </c>
      <c r="C891" s="49"/>
      <c r="D891" s="72" t="s">
        <v>717</v>
      </c>
      <c r="E891" s="73">
        <v>0</v>
      </c>
      <c r="F891" s="49"/>
      <c r="G891" s="49"/>
      <c r="H891" s="49" t="s">
        <v>9286</v>
      </c>
      <c r="I891" s="49" t="s">
        <v>9289</v>
      </c>
      <c r="J891" s="49" t="s">
        <v>9287</v>
      </c>
      <c r="K891" s="49" t="s">
        <v>9288</v>
      </c>
      <c r="L891" s="49">
        <v>0</v>
      </c>
      <c r="M891" s="49" t="s">
        <v>1734</v>
      </c>
      <c r="N891" s="49" t="s">
        <v>9290</v>
      </c>
      <c r="O891" s="49">
        <v>1</v>
      </c>
      <c r="P891" s="49" t="s">
        <v>9291</v>
      </c>
      <c r="Q891" s="49">
        <v>0</v>
      </c>
      <c r="R891" s="49" t="s">
        <v>9292</v>
      </c>
      <c r="S891" s="49" t="s">
        <v>9293</v>
      </c>
      <c r="T891" s="49" t="s">
        <v>9294</v>
      </c>
      <c r="U891" s="49" t="s">
        <v>655</v>
      </c>
      <c r="V891" s="49" t="e">
        <v>#REF!</v>
      </c>
      <c r="AC891" s="49"/>
      <c r="AD891" s="49"/>
    </row>
    <row r="892" spans="1:30" hidden="1" x14ac:dyDescent="0.3">
      <c r="A892" s="49" t="s">
        <v>9295</v>
      </c>
      <c r="B892" s="49">
        <v>0</v>
      </c>
      <c r="C892" s="49"/>
      <c r="D892" s="72" t="s">
        <v>717</v>
      </c>
      <c r="E892" s="73">
        <v>0</v>
      </c>
      <c r="F892" s="49"/>
      <c r="G892" s="49"/>
      <c r="H892" s="49" t="s">
        <v>9296</v>
      </c>
      <c r="I892" s="49" t="s">
        <v>9299</v>
      </c>
      <c r="J892" s="49" t="s">
        <v>9297</v>
      </c>
      <c r="K892" s="49" t="s">
        <v>9298</v>
      </c>
      <c r="L892" s="49">
        <v>0</v>
      </c>
      <c r="M892" s="49" t="s">
        <v>1745</v>
      </c>
      <c r="N892" s="49" t="s">
        <v>9300</v>
      </c>
      <c r="O892" s="49">
        <v>1</v>
      </c>
      <c r="P892" s="49" t="s">
        <v>9301</v>
      </c>
      <c r="Q892" s="49">
        <v>0</v>
      </c>
      <c r="R892" s="49" t="s">
        <v>9302</v>
      </c>
      <c r="S892" s="49" t="s">
        <v>9303</v>
      </c>
      <c r="T892" s="49" t="s">
        <v>9304</v>
      </c>
      <c r="U892" s="49" t="s">
        <v>646</v>
      </c>
      <c r="V892" s="49" t="e">
        <v>#REF!</v>
      </c>
      <c r="AC892" s="49"/>
      <c r="AD892" s="49"/>
    </row>
    <row r="893" spans="1:30" hidden="1" x14ac:dyDescent="0.3">
      <c r="A893" s="49" t="s">
        <v>9305</v>
      </c>
      <c r="B893" s="49">
        <v>0</v>
      </c>
      <c r="C893" s="49"/>
      <c r="D893" s="72" t="s">
        <v>717</v>
      </c>
      <c r="E893" s="73">
        <v>0</v>
      </c>
      <c r="F893" s="49"/>
      <c r="G893" s="49"/>
      <c r="H893" s="49" t="s">
        <v>9306</v>
      </c>
      <c r="I893" s="49" t="s">
        <v>9309</v>
      </c>
      <c r="J893" s="49" t="s">
        <v>9307</v>
      </c>
      <c r="K893" s="49" t="s">
        <v>9308</v>
      </c>
      <c r="L893" s="49">
        <v>0</v>
      </c>
      <c r="M893" s="49" t="s">
        <v>1734</v>
      </c>
      <c r="N893" s="49" t="s">
        <v>4510</v>
      </c>
      <c r="O893" s="49">
        <v>1</v>
      </c>
      <c r="P893" s="49" t="s">
        <v>9310</v>
      </c>
      <c r="Q893" s="49">
        <v>0</v>
      </c>
      <c r="R893" s="49" t="s">
        <v>9311</v>
      </c>
      <c r="S893" s="49" t="s">
        <v>9312</v>
      </c>
      <c r="T893" s="49" t="s">
        <v>9313</v>
      </c>
      <c r="U893" s="49" t="s">
        <v>655</v>
      </c>
      <c r="V893" s="49" t="e">
        <v>#REF!</v>
      </c>
      <c r="AC893" s="49"/>
      <c r="AD893" s="49"/>
    </row>
    <row r="894" spans="1:30" hidden="1" x14ac:dyDescent="0.3">
      <c r="A894" s="49" t="s">
        <v>9314</v>
      </c>
      <c r="B894" s="49">
        <v>0</v>
      </c>
      <c r="C894" s="49"/>
      <c r="D894" s="72" t="s">
        <v>717</v>
      </c>
      <c r="E894" s="73">
        <v>0</v>
      </c>
      <c r="F894" s="49"/>
      <c r="G894" s="49"/>
      <c r="H894" s="49" t="s">
        <v>9315</v>
      </c>
      <c r="I894" s="49" t="s">
        <v>9318</v>
      </c>
      <c r="J894" s="49" t="s">
        <v>9316</v>
      </c>
      <c r="K894" s="49" t="s">
        <v>9317</v>
      </c>
      <c r="L894" s="49">
        <v>0</v>
      </c>
      <c r="M894" s="49" t="s">
        <v>1734</v>
      </c>
      <c r="N894" s="49" t="s">
        <v>3949</v>
      </c>
      <c r="O894" s="49">
        <v>1</v>
      </c>
      <c r="P894" s="49" t="s">
        <v>9319</v>
      </c>
      <c r="Q894" s="49">
        <v>0</v>
      </c>
      <c r="R894" s="49" t="s">
        <v>9320</v>
      </c>
      <c r="S894" s="49" t="s">
        <v>9321</v>
      </c>
      <c r="T894" s="49" t="s">
        <v>9322</v>
      </c>
      <c r="U894" s="49" t="s">
        <v>655</v>
      </c>
      <c r="V894" s="49" t="e">
        <v>#REF!</v>
      </c>
      <c r="AC894" s="49"/>
      <c r="AD894" s="49"/>
    </row>
    <row r="895" spans="1:30" hidden="1" x14ac:dyDescent="0.3">
      <c r="A895" s="49" t="s">
        <v>9323</v>
      </c>
      <c r="B895" s="49">
        <v>0</v>
      </c>
      <c r="C895" s="49"/>
      <c r="D895" s="72" t="s">
        <v>717</v>
      </c>
      <c r="E895" s="73">
        <v>0</v>
      </c>
      <c r="F895" s="49"/>
      <c r="G895" s="49"/>
      <c r="H895" s="49" t="s">
        <v>646</v>
      </c>
      <c r="I895" s="49" t="s">
        <v>9326</v>
      </c>
      <c r="J895" s="49" t="s">
        <v>9324</v>
      </c>
      <c r="K895" s="49" t="s">
        <v>9325</v>
      </c>
      <c r="L895" s="49">
        <v>0</v>
      </c>
      <c r="M895" s="49" t="s">
        <v>2484</v>
      </c>
      <c r="N895" s="49" t="s">
        <v>2741</v>
      </c>
      <c r="O895" s="49">
        <v>4</v>
      </c>
      <c r="P895" s="49" t="s">
        <v>9327</v>
      </c>
      <c r="Q895" s="49">
        <v>0</v>
      </c>
      <c r="R895" s="49" t="s">
        <v>9328</v>
      </c>
      <c r="S895" s="49" t="s">
        <v>9329</v>
      </c>
      <c r="T895" s="49" t="s">
        <v>646</v>
      </c>
      <c r="U895" s="49" t="s">
        <v>670</v>
      </c>
      <c r="V895" s="49" t="e">
        <v>#REF!</v>
      </c>
      <c r="AC895" s="49"/>
      <c r="AD895" s="49"/>
    </row>
    <row r="896" spans="1:30" hidden="1" x14ac:dyDescent="0.3">
      <c r="A896" s="49" t="s">
        <v>9330</v>
      </c>
      <c r="B896" s="49">
        <v>0</v>
      </c>
      <c r="C896" s="49"/>
      <c r="D896" s="72" t="s">
        <v>717</v>
      </c>
      <c r="E896" s="73">
        <v>0</v>
      </c>
      <c r="F896" s="49"/>
      <c r="G896" s="49"/>
      <c r="H896" s="49" t="s">
        <v>9331</v>
      </c>
      <c r="I896" s="49" t="s">
        <v>9334</v>
      </c>
      <c r="J896" s="49" t="s">
        <v>9332</v>
      </c>
      <c r="K896" s="49" t="s">
        <v>9333</v>
      </c>
      <c r="L896" s="49">
        <v>0</v>
      </c>
      <c r="M896" s="49" t="s">
        <v>1734</v>
      </c>
      <c r="N896" s="49" t="s">
        <v>9335</v>
      </c>
      <c r="O896" s="49">
        <v>1</v>
      </c>
      <c r="P896" s="49" t="s">
        <v>9336</v>
      </c>
      <c r="Q896" s="49">
        <v>0</v>
      </c>
      <c r="R896" s="49" t="s">
        <v>9337</v>
      </c>
      <c r="S896" s="49" t="s">
        <v>9338</v>
      </c>
      <c r="T896" s="49" t="s">
        <v>9339</v>
      </c>
      <c r="U896" s="49" t="s">
        <v>655</v>
      </c>
      <c r="V896" s="49" t="e">
        <v>#REF!</v>
      </c>
      <c r="AC896" s="49"/>
      <c r="AD896" s="49"/>
    </row>
    <row r="897" spans="1:30" hidden="1" x14ac:dyDescent="0.3">
      <c r="A897" s="49" t="s">
        <v>9340</v>
      </c>
      <c r="B897" s="49">
        <v>0</v>
      </c>
      <c r="C897" s="49"/>
      <c r="D897" s="72" t="s">
        <v>717</v>
      </c>
      <c r="E897" s="73">
        <v>0</v>
      </c>
      <c r="F897" s="49"/>
      <c r="G897" s="49"/>
      <c r="H897" s="49" t="s">
        <v>9341</v>
      </c>
      <c r="I897" s="49" t="s">
        <v>9344</v>
      </c>
      <c r="J897" s="49" t="s">
        <v>9342</v>
      </c>
      <c r="K897" s="49" t="s">
        <v>9343</v>
      </c>
      <c r="L897" s="49">
        <v>0</v>
      </c>
      <c r="M897" s="49" t="s">
        <v>1745</v>
      </c>
      <c r="N897" s="49" t="s">
        <v>9115</v>
      </c>
      <c r="O897" s="49">
        <v>1</v>
      </c>
      <c r="P897" s="49" t="s">
        <v>9345</v>
      </c>
      <c r="Q897" s="49">
        <v>0</v>
      </c>
      <c r="R897" s="49" t="s">
        <v>9346</v>
      </c>
      <c r="S897" s="49" t="s">
        <v>9347</v>
      </c>
      <c r="T897" s="49" t="s">
        <v>9348</v>
      </c>
      <c r="U897" s="49" t="s">
        <v>655</v>
      </c>
      <c r="V897" s="49" t="e">
        <v>#REF!</v>
      </c>
      <c r="AC897" s="49"/>
      <c r="AD897" s="49"/>
    </row>
    <row r="898" spans="1:30" hidden="1" x14ac:dyDescent="0.3">
      <c r="A898" s="49" t="s">
        <v>9349</v>
      </c>
      <c r="B898" s="49">
        <v>0</v>
      </c>
      <c r="C898" s="49"/>
      <c r="D898" s="72" t="s">
        <v>717</v>
      </c>
      <c r="E898" s="73">
        <v>0</v>
      </c>
      <c r="F898" s="49"/>
      <c r="G898" s="49"/>
      <c r="H898" s="49" t="s">
        <v>9350</v>
      </c>
      <c r="I898" s="49" t="s">
        <v>9353</v>
      </c>
      <c r="J898" s="49" t="s">
        <v>9351</v>
      </c>
      <c r="K898" s="49" t="s">
        <v>9352</v>
      </c>
      <c r="L898" s="49">
        <v>0</v>
      </c>
      <c r="M898" s="49" t="s">
        <v>1745</v>
      </c>
      <c r="N898" s="49" t="s">
        <v>9354</v>
      </c>
      <c r="P898" s="49" t="s">
        <v>9355</v>
      </c>
      <c r="Q898" s="49">
        <v>0</v>
      </c>
      <c r="R898" s="49" t="s">
        <v>9356</v>
      </c>
      <c r="S898" s="49" t="s">
        <v>9357</v>
      </c>
      <c r="T898" s="49" t="s">
        <v>646</v>
      </c>
      <c r="U898" s="49" t="s">
        <v>670</v>
      </c>
      <c r="V898" s="49" t="e">
        <v>#REF!</v>
      </c>
      <c r="AC898" s="49"/>
      <c r="AD898" s="49"/>
    </row>
    <row r="899" spans="1:30" hidden="1" x14ac:dyDescent="0.3">
      <c r="A899" s="49" t="s">
        <v>9358</v>
      </c>
      <c r="B899" s="49">
        <v>0</v>
      </c>
      <c r="C899" s="49"/>
      <c r="D899" s="72" t="s">
        <v>717</v>
      </c>
      <c r="E899" s="73">
        <v>0</v>
      </c>
      <c r="F899" s="49"/>
      <c r="G899" s="49"/>
      <c r="H899" s="49" t="s">
        <v>9359</v>
      </c>
      <c r="I899" s="49" t="s">
        <v>9362</v>
      </c>
      <c r="J899" s="49" t="s">
        <v>9360</v>
      </c>
      <c r="K899" s="49" t="s">
        <v>9361</v>
      </c>
      <c r="L899" s="49">
        <v>0</v>
      </c>
      <c r="M899" s="49" t="s">
        <v>1745</v>
      </c>
      <c r="N899" s="49" t="s">
        <v>9363</v>
      </c>
      <c r="O899" s="49">
        <v>2</v>
      </c>
      <c r="P899" s="49" t="s">
        <v>9364</v>
      </c>
      <c r="Q899" s="49">
        <v>0</v>
      </c>
      <c r="R899" s="49" t="s">
        <v>9365</v>
      </c>
      <c r="S899" s="49" t="s">
        <v>9366</v>
      </c>
      <c r="T899" s="49" t="s">
        <v>9367</v>
      </c>
      <c r="U899" s="49" t="s">
        <v>655</v>
      </c>
      <c r="V899" s="49" t="e">
        <v>#REF!</v>
      </c>
      <c r="AC899" s="49"/>
      <c r="AD899" s="49"/>
    </row>
    <row r="900" spans="1:30" hidden="1" x14ac:dyDescent="0.3">
      <c r="A900" s="49" t="s">
        <v>9368</v>
      </c>
      <c r="B900" s="49">
        <v>0</v>
      </c>
      <c r="C900" s="49"/>
      <c r="D900" s="72" t="s">
        <v>717</v>
      </c>
      <c r="E900" s="73">
        <v>0</v>
      </c>
      <c r="F900" s="49"/>
      <c r="G900" s="49"/>
      <c r="H900" s="49" t="s">
        <v>9369</v>
      </c>
      <c r="I900" s="49" t="s">
        <v>9372</v>
      </c>
      <c r="J900" s="49" t="s">
        <v>9370</v>
      </c>
      <c r="K900" s="49" t="s">
        <v>9371</v>
      </c>
      <c r="L900" s="49">
        <v>0</v>
      </c>
      <c r="M900" s="49" t="s">
        <v>1745</v>
      </c>
      <c r="N900" s="49" t="s">
        <v>2591</v>
      </c>
      <c r="O900" s="49">
        <v>1</v>
      </c>
      <c r="P900" s="49" t="s">
        <v>9373</v>
      </c>
      <c r="Q900" s="49">
        <v>0</v>
      </c>
      <c r="R900" s="49" t="s">
        <v>9374</v>
      </c>
      <c r="S900" s="49" t="s">
        <v>9375</v>
      </c>
      <c r="T900" s="49" t="s">
        <v>9376</v>
      </c>
      <c r="U900" s="49" t="s">
        <v>655</v>
      </c>
      <c r="V900" s="49" t="e">
        <v>#REF!</v>
      </c>
      <c r="AC900" s="49"/>
      <c r="AD900" s="49"/>
    </row>
    <row r="901" spans="1:30" hidden="1" x14ac:dyDescent="0.3">
      <c r="A901" s="49" t="s">
        <v>9377</v>
      </c>
      <c r="B901" s="49">
        <v>0</v>
      </c>
      <c r="C901" s="49"/>
      <c r="D901" s="72" t="s">
        <v>717</v>
      </c>
      <c r="E901" s="73">
        <v>0</v>
      </c>
      <c r="F901" s="49"/>
      <c r="G901" s="49"/>
      <c r="H901" s="49" t="s">
        <v>9378</v>
      </c>
      <c r="I901" s="49" t="s">
        <v>9381</v>
      </c>
      <c r="J901" s="49" t="s">
        <v>9379</v>
      </c>
      <c r="K901" s="49" t="s">
        <v>9380</v>
      </c>
      <c r="L901" s="49">
        <v>0</v>
      </c>
      <c r="M901" s="49" t="s">
        <v>1865</v>
      </c>
      <c r="N901" s="49" t="s">
        <v>9382</v>
      </c>
      <c r="P901" s="49" t="s">
        <v>9383</v>
      </c>
      <c r="Q901" s="49">
        <v>0</v>
      </c>
      <c r="R901" s="49" t="s">
        <v>9384</v>
      </c>
      <c r="S901" s="49" t="s">
        <v>9385</v>
      </c>
      <c r="T901" s="49" t="s">
        <v>9386</v>
      </c>
      <c r="U901" s="49" t="s">
        <v>655</v>
      </c>
      <c r="V901" s="49" t="e">
        <v>#REF!</v>
      </c>
      <c r="AC901" s="49"/>
      <c r="AD901" s="49"/>
    </row>
    <row r="902" spans="1:30" hidden="1" x14ac:dyDescent="0.3">
      <c r="A902" s="49" t="s">
        <v>9387</v>
      </c>
      <c r="B902" s="49">
        <v>0</v>
      </c>
      <c r="C902" s="49"/>
      <c r="D902" s="72" t="s">
        <v>717</v>
      </c>
      <c r="E902" s="73">
        <v>0</v>
      </c>
      <c r="F902" s="49"/>
      <c r="G902" s="49"/>
      <c r="H902" s="49" t="s">
        <v>9388</v>
      </c>
      <c r="I902" s="49" t="s">
        <v>9391</v>
      </c>
      <c r="J902" s="49" t="s">
        <v>9389</v>
      </c>
      <c r="K902" s="49" t="s">
        <v>9390</v>
      </c>
      <c r="L902" s="49">
        <v>0</v>
      </c>
      <c r="M902" s="49" t="s">
        <v>1745</v>
      </c>
      <c r="N902" s="49" t="s">
        <v>3681</v>
      </c>
      <c r="O902" s="49">
        <v>5</v>
      </c>
      <c r="P902" s="49" t="s">
        <v>9392</v>
      </c>
      <c r="Q902" s="49">
        <v>0</v>
      </c>
      <c r="R902" s="49" t="s">
        <v>646</v>
      </c>
      <c r="S902" s="49" t="s">
        <v>9393</v>
      </c>
      <c r="T902" s="49" t="s">
        <v>9394</v>
      </c>
      <c r="U902" s="49" t="s">
        <v>655</v>
      </c>
      <c r="V902" s="49" t="e">
        <v>#REF!</v>
      </c>
      <c r="AC902" s="49"/>
      <c r="AD902" s="49"/>
    </row>
    <row r="903" spans="1:30" hidden="1" x14ac:dyDescent="0.3">
      <c r="A903" s="49" t="s">
        <v>9395</v>
      </c>
      <c r="B903" s="49">
        <v>0</v>
      </c>
      <c r="C903" s="49"/>
      <c r="D903" s="72" t="s">
        <v>717</v>
      </c>
      <c r="E903" s="73">
        <v>0</v>
      </c>
      <c r="F903" s="49"/>
      <c r="G903" s="49"/>
      <c r="H903" s="49" t="s">
        <v>9396</v>
      </c>
      <c r="I903" s="49" t="s">
        <v>9399</v>
      </c>
      <c r="J903" s="49" t="s">
        <v>9397</v>
      </c>
      <c r="K903" s="49" t="s">
        <v>9398</v>
      </c>
      <c r="L903" s="49">
        <v>0</v>
      </c>
      <c r="M903" s="49" t="s">
        <v>1745</v>
      </c>
      <c r="N903" s="49" t="s">
        <v>9400</v>
      </c>
      <c r="O903" s="49">
        <v>2</v>
      </c>
      <c r="P903" s="49" t="s">
        <v>9401</v>
      </c>
      <c r="Q903" s="49">
        <v>0</v>
      </c>
      <c r="R903" s="49" t="s">
        <v>9402</v>
      </c>
      <c r="S903" s="49" t="s">
        <v>9403</v>
      </c>
      <c r="T903" s="49" t="s">
        <v>9404</v>
      </c>
      <c r="U903" s="49" t="s">
        <v>655</v>
      </c>
      <c r="V903" s="49" t="e">
        <v>#REF!</v>
      </c>
      <c r="AC903" s="49"/>
      <c r="AD903" s="49"/>
    </row>
    <row r="904" spans="1:30" hidden="1" x14ac:dyDescent="0.3">
      <c r="A904" s="49" t="s">
        <v>9405</v>
      </c>
      <c r="B904" s="49">
        <v>0</v>
      </c>
      <c r="C904" s="49"/>
      <c r="D904" s="72" t="s">
        <v>717</v>
      </c>
      <c r="E904" s="73">
        <v>0</v>
      </c>
      <c r="F904" s="49"/>
      <c r="G904" s="49"/>
      <c r="H904" s="49" t="s">
        <v>9406</v>
      </c>
      <c r="I904" s="49" t="s">
        <v>9409</v>
      </c>
      <c r="J904" s="49" t="s">
        <v>9407</v>
      </c>
      <c r="K904" s="49" t="s">
        <v>9408</v>
      </c>
      <c r="L904" s="49">
        <v>0</v>
      </c>
      <c r="M904" s="49" t="s">
        <v>1745</v>
      </c>
      <c r="N904" s="49" t="s">
        <v>9410</v>
      </c>
      <c r="O904" s="49">
        <v>3</v>
      </c>
      <c r="P904" s="49" t="s">
        <v>9411</v>
      </c>
      <c r="Q904" s="49">
        <v>0</v>
      </c>
      <c r="R904" s="49" t="s">
        <v>9412</v>
      </c>
      <c r="S904" s="49" t="s">
        <v>9413</v>
      </c>
      <c r="T904" s="49" t="s">
        <v>9414</v>
      </c>
      <c r="U904" s="49" t="s">
        <v>655</v>
      </c>
      <c r="V904" s="49" t="e">
        <v>#REF!</v>
      </c>
      <c r="AC904" s="49"/>
      <c r="AD904" s="49"/>
    </row>
    <row r="905" spans="1:30" hidden="1" x14ac:dyDescent="0.3">
      <c r="A905" s="49" t="s">
        <v>9415</v>
      </c>
      <c r="B905" s="49">
        <v>0</v>
      </c>
      <c r="C905" s="49"/>
      <c r="D905" s="72" t="s">
        <v>717</v>
      </c>
      <c r="E905" s="73">
        <v>0</v>
      </c>
      <c r="F905" s="49"/>
      <c r="G905" s="49"/>
      <c r="H905" s="49" t="s">
        <v>9416</v>
      </c>
      <c r="I905" s="49" t="s">
        <v>9419</v>
      </c>
      <c r="J905" s="49" t="s">
        <v>9417</v>
      </c>
      <c r="K905" s="49" t="s">
        <v>9418</v>
      </c>
      <c r="L905" s="49">
        <v>0</v>
      </c>
      <c r="M905" s="49" t="s">
        <v>1865</v>
      </c>
      <c r="N905" s="49" t="s">
        <v>9420</v>
      </c>
      <c r="P905" s="49" t="s">
        <v>9421</v>
      </c>
      <c r="Q905" s="49">
        <v>0</v>
      </c>
      <c r="R905" s="49" t="s">
        <v>9422</v>
      </c>
      <c r="S905" s="49" t="s">
        <v>9423</v>
      </c>
      <c r="T905" s="49" t="s">
        <v>9424</v>
      </c>
      <c r="U905" s="49" t="s">
        <v>655</v>
      </c>
      <c r="V905" s="49" t="e">
        <v>#REF!</v>
      </c>
      <c r="AC905" s="49"/>
      <c r="AD905" s="49"/>
    </row>
    <row r="906" spans="1:30" hidden="1" x14ac:dyDescent="0.3">
      <c r="A906" s="49" t="s">
        <v>9425</v>
      </c>
      <c r="B906" s="49">
        <v>0</v>
      </c>
      <c r="C906" s="49"/>
      <c r="D906" s="72" t="s">
        <v>717</v>
      </c>
      <c r="E906" s="73">
        <v>0</v>
      </c>
      <c r="F906" s="49"/>
      <c r="G906" s="49"/>
      <c r="H906" s="49" t="s">
        <v>9426</v>
      </c>
      <c r="I906" s="49" t="s">
        <v>9429</v>
      </c>
      <c r="J906" s="49" t="s">
        <v>9427</v>
      </c>
      <c r="K906" s="49" t="s">
        <v>9428</v>
      </c>
      <c r="L906" s="49">
        <v>0</v>
      </c>
      <c r="M906" s="49" t="s">
        <v>1745</v>
      </c>
      <c r="N906" s="49" t="s">
        <v>3828</v>
      </c>
      <c r="O906" s="49">
        <v>2</v>
      </c>
      <c r="P906" s="49" t="s">
        <v>9430</v>
      </c>
      <c r="Q906" s="49">
        <v>0</v>
      </c>
      <c r="R906" s="49" t="s">
        <v>9431</v>
      </c>
      <c r="S906" s="49" t="s">
        <v>9432</v>
      </c>
      <c r="T906" s="49" t="s">
        <v>9433</v>
      </c>
      <c r="U906" s="49" t="s">
        <v>791</v>
      </c>
      <c r="V906" s="49" t="e">
        <v>#REF!</v>
      </c>
      <c r="AC906" s="49"/>
      <c r="AD906" s="49"/>
    </row>
    <row r="907" spans="1:30" hidden="1" x14ac:dyDescent="0.3">
      <c r="A907" s="49" t="s">
        <v>9434</v>
      </c>
      <c r="B907" s="49">
        <v>0</v>
      </c>
      <c r="C907" s="49"/>
      <c r="D907" s="72" t="s">
        <v>717</v>
      </c>
      <c r="E907" s="73">
        <v>0</v>
      </c>
      <c r="F907" s="49"/>
      <c r="G907" s="49"/>
      <c r="H907" s="49" t="s">
        <v>9435</v>
      </c>
      <c r="I907" s="49" t="s">
        <v>9438</v>
      </c>
      <c r="J907" s="49" t="s">
        <v>9436</v>
      </c>
      <c r="K907" s="49" t="s">
        <v>9437</v>
      </c>
      <c r="L907" s="49">
        <v>0</v>
      </c>
      <c r="M907" s="49" t="s">
        <v>1745</v>
      </c>
      <c r="N907" s="49" t="s">
        <v>9439</v>
      </c>
      <c r="O907" s="49">
        <v>9</v>
      </c>
      <c r="P907" s="49" t="s">
        <v>9440</v>
      </c>
      <c r="Q907" s="49">
        <v>0</v>
      </c>
      <c r="R907" s="49" t="s">
        <v>9441</v>
      </c>
      <c r="S907" s="49" t="s">
        <v>9442</v>
      </c>
      <c r="T907" s="49" t="s">
        <v>9443</v>
      </c>
      <c r="U907" s="49" t="s">
        <v>655</v>
      </c>
      <c r="V907" s="49" t="e">
        <v>#REF!</v>
      </c>
      <c r="AC907" s="49"/>
      <c r="AD907" s="49"/>
    </row>
    <row r="908" spans="1:30" hidden="1" x14ac:dyDescent="0.3">
      <c r="A908" s="49" t="s">
        <v>9444</v>
      </c>
      <c r="B908" s="49">
        <v>0</v>
      </c>
      <c r="C908" s="49"/>
      <c r="D908" s="72" t="s">
        <v>717</v>
      </c>
      <c r="E908" s="73">
        <v>0</v>
      </c>
      <c r="F908" s="49"/>
      <c r="G908" s="49"/>
      <c r="H908" s="49" t="s">
        <v>9445</v>
      </c>
      <c r="I908" s="49" t="s">
        <v>9448</v>
      </c>
      <c r="J908" s="49" t="s">
        <v>9446</v>
      </c>
      <c r="K908" s="49" t="s">
        <v>9447</v>
      </c>
      <c r="L908" s="49">
        <v>0</v>
      </c>
      <c r="M908" s="49" t="s">
        <v>1734</v>
      </c>
      <c r="N908" s="49" t="s">
        <v>9449</v>
      </c>
      <c r="O908" s="49">
        <v>2</v>
      </c>
      <c r="P908" s="49" t="s">
        <v>9450</v>
      </c>
      <c r="Q908" s="49">
        <v>0</v>
      </c>
      <c r="R908" s="49" t="s">
        <v>9451</v>
      </c>
      <c r="S908" s="49" t="s">
        <v>9452</v>
      </c>
      <c r="T908" s="49" t="s">
        <v>9453</v>
      </c>
      <c r="U908" s="49" t="s">
        <v>655</v>
      </c>
      <c r="V908" s="49" t="e">
        <v>#REF!</v>
      </c>
      <c r="AC908" s="49"/>
      <c r="AD908" s="49"/>
    </row>
    <row r="909" spans="1:30" hidden="1" x14ac:dyDescent="0.3">
      <c r="A909" s="49" t="s">
        <v>9454</v>
      </c>
      <c r="B909" s="49">
        <v>0</v>
      </c>
      <c r="C909" s="49"/>
      <c r="D909" s="72" t="s">
        <v>717</v>
      </c>
      <c r="E909" s="74" t="s">
        <v>645</v>
      </c>
      <c r="F909" s="73">
        <v>0</v>
      </c>
      <c r="G909" s="49"/>
      <c r="H909" s="49" t="s">
        <v>9455</v>
      </c>
      <c r="I909" s="49" t="s">
        <v>9458</v>
      </c>
      <c r="J909" s="49" t="s">
        <v>9456</v>
      </c>
      <c r="K909" s="49" t="s">
        <v>9457</v>
      </c>
      <c r="L909" s="49">
        <v>0</v>
      </c>
      <c r="M909" s="49" t="s">
        <v>1745</v>
      </c>
      <c r="N909" s="49" t="s">
        <v>3661</v>
      </c>
      <c r="O909" s="49">
        <v>5</v>
      </c>
      <c r="P909" s="49" t="s">
        <v>9459</v>
      </c>
      <c r="Q909" s="49">
        <v>0</v>
      </c>
      <c r="R909" s="49" t="s">
        <v>9460</v>
      </c>
      <c r="S909" s="49" t="s">
        <v>9461</v>
      </c>
      <c r="T909" s="49" t="s">
        <v>9462</v>
      </c>
      <c r="U909" s="49" t="s">
        <v>655</v>
      </c>
      <c r="V909" s="49" t="e">
        <v>#REF!</v>
      </c>
      <c r="AC909" s="49"/>
      <c r="AD909" s="49"/>
    </row>
    <row r="910" spans="1:30" hidden="1" x14ac:dyDescent="0.3">
      <c r="A910" s="49" t="s">
        <v>9463</v>
      </c>
      <c r="B910" s="49">
        <v>0</v>
      </c>
      <c r="C910" s="49"/>
      <c r="D910" s="72" t="s">
        <v>717</v>
      </c>
      <c r="E910" s="73">
        <v>0</v>
      </c>
      <c r="F910" s="49"/>
      <c r="G910" s="49"/>
      <c r="H910" s="49" t="s">
        <v>9464</v>
      </c>
      <c r="I910" s="49" t="s">
        <v>9467</v>
      </c>
      <c r="J910" s="49" t="s">
        <v>9465</v>
      </c>
      <c r="K910" s="49" t="s">
        <v>9466</v>
      </c>
      <c r="L910" s="49">
        <v>0</v>
      </c>
      <c r="M910" s="49" t="s">
        <v>1745</v>
      </c>
      <c r="N910" s="49" t="s">
        <v>9468</v>
      </c>
      <c r="O910" s="49">
        <v>2</v>
      </c>
      <c r="P910" s="49" t="s">
        <v>9469</v>
      </c>
      <c r="Q910" s="49">
        <v>0</v>
      </c>
      <c r="R910" s="49" t="s">
        <v>9470</v>
      </c>
      <c r="S910" s="49" t="s">
        <v>9471</v>
      </c>
      <c r="T910" s="49" t="s">
        <v>9472</v>
      </c>
      <c r="U910" s="49" t="s">
        <v>655</v>
      </c>
      <c r="V910" s="49" t="e">
        <v>#REF!</v>
      </c>
      <c r="AC910" s="49"/>
      <c r="AD910" s="49"/>
    </row>
    <row r="911" spans="1:30" hidden="1" x14ac:dyDescent="0.3">
      <c r="A911" s="49" t="s">
        <v>9473</v>
      </c>
      <c r="B911" s="49">
        <v>0</v>
      </c>
      <c r="C911" s="49"/>
      <c r="D911" s="72" t="s">
        <v>717</v>
      </c>
      <c r="E911" s="73">
        <v>0</v>
      </c>
      <c r="F911" s="49"/>
      <c r="G911" s="49"/>
      <c r="H911" s="49" t="s">
        <v>9474</v>
      </c>
      <c r="I911" s="49" t="s">
        <v>9477</v>
      </c>
      <c r="J911" s="49" t="s">
        <v>9475</v>
      </c>
      <c r="K911" s="49" t="s">
        <v>9476</v>
      </c>
      <c r="L911" s="49">
        <v>0</v>
      </c>
      <c r="M911" s="49" t="s">
        <v>1734</v>
      </c>
      <c r="N911" s="49" t="s">
        <v>6013</v>
      </c>
      <c r="P911" s="49" t="s">
        <v>9478</v>
      </c>
      <c r="Q911" s="49">
        <v>0</v>
      </c>
      <c r="R911" s="49" t="s">
        <v>9479</v>
      </c>
      <c r="S911" s="49" t="s">
        <v>9480</v>
      </c>
      <c r="T911" s="49" t="s">
        <v>9481</v>
      </c>
      <c r="U911" s="49" t="s">
        <v>655</v>
      </c>
      <c r="V911" s="49" t="e">
        <v>#REF!</v>
      </c>
      <c r="AC911" s="49"/>
      <c r="AD911" s="49"/>
    </row>
    <row r="912" spans="1:30" hidden="1" x14ac:dyDescent="0.3">
      <c r="A912" s="49" t="s">
        <v>9482</v>
      </c>
      <c r="B912" s="49">
        <v>0</v>
      </c>
      <c r="C912" s="49"/>
      <c r="D912" s="72" t="s">
        <v>717</v>
      </c>
      <c r="E912" s="73">
        <v>0</v>
      </c>
      <c r="F912" s="49"/>
      <c r="G912" s="49"/>
      <c r="H912" s="49" t="s">
        <v>9483</v>
      </c>
      <c r="I912" s="49" t="s">
        <v>9486</v>
      </c>
      <c r="J912" s="49" t="s">
        <v>9484</v>
      </c>
      <c r="K912" s="49" t="s">
        <v>9485</v>
      </c>
      <c r="L912" s="49">
        <v>0</v>
      </c>
      <c r="M912" s="49" t="s">
        <v>1734</v>
      </c>
      <c r="N912" s="49" t="s">
        <v>9487</v>
      </c>
      <c r="O912" s="49">
        <v>2</v>
      </c>
      <c r="P912" s="49" t="s">
        <v>9488</v>
      </c>
      <c r="Q912" s="49">
        <v>0</v>
      </c>
      <c r="R912" s="49" t="s">
        <v>9489</v>
      </c>
      <c r="S912" s="49" t="s">
        <v>9490</v>
      </c>
      <c r="T912" s="49" t="s">
        <v>9491</v>
      </c>
      <c r="U912" s="49" t="s">
        <v>655</v>
      </c>
      <c r="V912" s="49" t="e">
        <v>#REF!</v>
      </c>
      <c r="AC912" s="49"/>
      <c r="AD912" s="49"/>
    </row>
    <row r="913" spans="1:30" hidden="1" x14ac:dyDescent="0.3">
      <c r="A913" s="49" t="s">
        <v>9492</v>
      </c>
      <c r="B913" s="49">
        <v>0</v>
      </c>
      <c r="C913" s="49"/>
      <c r="D913" s="72" t="s">
        <v>717</v>
      </c>
      <c r="E913" s="73">
        <v>0</v>
      </c>
      <c r="F913" s="49"/>
      <c r="G913" s="49"/>
      <c r="H913" s="49" t="s">
        <v>9493</v>
      </c>
      <c r="I913" s="49" t="s">
        <v>9496</v>
      </c>
      <c r="J913" s="49" t="s">
        <v>9494</v>
      </c>
      <c r="K913" s="49" t="s">
        <v>9495</v>
      </c>
      <c r="L913" s="49">
        <v>0</v>
      </c>
      <c r="M913" s="49" t="s">
        <v>1734</v>
      </c>
      <c r="N913" s="49" t="s">
        <v>9497</v>
      </c>
      <c r="P913" s="49" t="s">
        <v>9498</v>
      </c>
      <c r="Q913" s="49">
        <v>0</v>
      </c>
      <c r="R913" s="49" t="s">
        <v>9499</v>
      </c>
      <c r="S913" s="49" t="s">
        <v>9500</v>
      </c>
      <c r="T913" s="49" t="s">
        <v>646</v>
      </c>
      <c r="U913" s="49" t="s">
        <v>655</v>
      </c>
      <c r="V913" s="49" t="e">
        <v>#REF!</v>
      </c>
      <c r="AC913" s="49"/>
      <c r="AD913" s="49"/>
    </row>
    <row r="914" spans="1:30" hidden="1" x14ac:dyDescent="0.3">
      <c r="A914" s="49" t="s">
        <v>9501</v>
      </c>
      <c r="B914" s="49">
        <v>0</v>
      </c>
      <c r="C914" s="49"/>
      <c r="D914" s="72" t="s">
        <v>717</v>
      </c>
      <c r="E914" s="73">
        <v>0</v>
      </c>
      <c r="F914" s="49"/>
      <c r="G914" s="49"/>
      <c r="H914" s="49" t="s">
        <v>9502</v>
      </c>
      <c r="I914" s="49" t="s">
        <v>9505</v>
      </c>
      <c r="J914" s="49" t="s">
        <v>9503</v>
      </c>
      <c r="K914" s="49" t="s">
        <v>9504</v>
      </c>
      <c r="L914" s="49">
        <v>0</v>
      </c>
      <c r="M914" s="49" t="s">
        <v>1745</v>
      </c>
      <c r="N914" s="49" t="s">
        <v>9506</v>
      </c>
      <c r="O914" s="49">
        <v>9</v>
      </c>
      <c r="P914" s="49" t="s">
        <v>9507</v>
      </c>
      <c r="Q914" s="49">
        <v>0</v>
      </c>
      <c r="R914" s="49" t="s">
        <v>9508</v>
      </c>
      <c r="S914" s="49" t="s">
        <v>9509</v>
      </c>
      <c r="T914" s="49" t="s">
        <v>9510</v>
      </c>
      <c r="U914" s="49" t="s">
        <v>655</v>
      </c>
      <c r="V914" s="49" t="e">
        <v>#REF!</v>
      </c>
      <c r="AC914" s="49"/>
      <c r="AD914" s="49"/>
    </row>
    <row r="915" spans="1:30" x14ac:dyDescent="0.3">
      <c r="A915" s="49" t="s">
        <v>9512</v>
      </c>
      <c r="B915" s="49" t="s">
        <v>9511</v>
      </c>
      <c r="C915" s="49">
        <v>1</v>
      </c>
      <c r="D915" s="72" t="s">
        <v>717</v>
      </c>
      <c r="E915" s="74" t="s">
        <v>645</v>
      </c>
      <c r="F915" s="73">
        <v>1</v>
      </c>
      <c r="G915" s="49">
        <v>1</v>
      </c>
      <c r="H915" s="49" t="s">
        <v>9513</v>
      </c>
      <c r="I915" s="49" t="s">
        <v>9516</v>
      </c>
      <c r="J915" s="49" t="s">
        <v>9514</v>
      </c>
      <c r="K915" s="49" t="s">
        <v>9515</v>
      </c>
      <c r="L915" s="49">
        <v>0</v>
      </c>
      <c r="M915" s="75" t="s">
        <v>1745</v>
      </c>
      <c r="N915" s="49" t="s">
        <v>1494</v>
      </c>
      <c r="O915" s="49">
        <v>5</v>
      </c>
      <c r="P915" s="49" t="s">
        <v>9517</v>
      </c>
      <c r="Q915" s="49">
        <v>0</v>
      </c>
      <c r="R915" s="49" t="s">
        <v>9518</v>
      </c>
      <c r="S915" s="49" t="s">
        <v>9519</v>
      </c>
      <c r="T915" s="49" t="s">
        <v>9520</v>
      </c>
      <c r="U915" s="49" t="s">
        <v>655</v>
      </c>
      <c r="V915" s="49" t="e">
        <v>#REF!</v>
      </c>
      <c r="AC915" s="49"/>
      <c r="AD915" s="49"/>
    </row>
    <row r="916" spans="1:30" hidden="1" x14ac:dyDescent="0.3">
      <c r="A916" s="49" t="s">
        <v>9521</v>
      </c>
      <c r="B916" s="49">
        <v>0</v>
      </c>
      <c r="C916" s="49"/>
      <c r="D916" s="72" t="s">
        <v>717</v>
      </c>
      <c r="E916" s="74" t="s">
        <v>645</v>
      </c>
      <c r="F916" s="73">
        <v>0</v>
      </c>
      <c r="G916" s="49"/>
      <c r="H916" s="49" t="s">
        <v>9522</v>
      </c>
      <c r="I916" s="49" t="s">
        <v>9525</v>
      </c>
      <c r="J916" s="49" t="s">
        <v>9523</v>
      </c>
      <c r="K916" s="49" t="s">
        <v>9524</v>
      </c>
      <c r="L916" s="49">
        <v>0</v>
      </c>
      <c r="M916" s="49" t="s">
        <v>1745</v>
      </c>
      <c r="N916" s="49" t="s">
        <v>9526</v>
      </c>
      <c r="O916" s="49">
        <v>8</v>
      </c>
      <c r="P916" s="49" t="s">
        <v>9527</v>
      </c>
      <c r="Q916" s="49">
        <v>0</v>
      </c>
      <c r="R916" s="49" t="s">
        <v>9528</v>
      </c>
      <c r="S916" s="49" t="s">
        <v>9529</v>
      </c>
      <c r="T916" s="49" t="s">
        <v>9530</v>
      </c>
      <c r="U916" s="49" t="s">
        <v>655</v>
      </c>
      <c r="V916" s="49" t="e">
        <v>#REF!</v>
      </c>
      <c r="AC916" s="49"/>
      <c r="AD916" s="49"/>
    </row>
    <row r="917" spans="1:30" hidden="1" x14ac:dyDescent="0.3">
      <c r="A917" s="49" t="s">
        <v>9531</v>
      </c>
      <c r="B917" s="49">
        <v>0</v>
      </c>
      <c r="C917" s="49"/>
      <c r="D917" s="72" t="s">
        <v>717</v>
      </c>
      <c r="E917" s="73">
        <v>0</v>
      </c>
      <c r="F917" s="49"/>
      <c r="G917" s="49"/>
      <c r="H917" s="49" t="s">
        <v>9532</v>
      </c>
      <c r="I917" s="49" t="s">
        <v>9535</v>
      </c>
      <c r="J917" s="49" t="s">
        <v>9533</v>
      </c>
      <c r="K917" s="49" t="s">
        <v>9534</v>
      </c>
      <c r="L917" s="49">
        <v>0</v>
      </c>
      <c r="M917" s="49" t="s">
        <v>1865</v>
      </c>
      <c r="N917" s="49" t="s">
        <v>5463</v>
      </c>
      <c r="O917" s="49">
        <v>26</v>
      </c>
      <c r="P917" s="49" t="s">
        <v>9536</v>
      </c>
      <c r="Q917" s="49">
        <v>0</v>
      </c>
      <c r="R917" s="49" t="s">
        <v>9537</v>
      </c>
      <c r="S917" s="49" t="s">
        <v>9538</v>
      </c>
      <c r="T917" s="49" t="s">
        <v>646</v>
      </c>
      <c r="U917" s="49" t="s">
        <v>655</v>
      </c>
      <c r="V917" s="49" t="e">
        <v>#REF!</v>
      </c>
      <c r="AC917" s="49"/>
      <c r="AD917" s="49"/>
    </row>
    <row r="918" spans="1:30" hidden="1" x14ac:dyDescent="0.3">
      <c r="A918" s="49" t="s">
        <v>9539</v>
      </c>
      <c r="B918" s="49">
        <v>0</v>
      </c>
      <c r="C918" s="49">
        <v>1</v>
      </c>
      <c r="D918" s="72" t="s">
        <v>717</v>
      </c>
      <c r="E918" s="74" t="s">
        <v>645</v>
      </c>
      <c r="F918" s="73" t="s">
        <v>645</v>
      </c>
      <c r="G918" s="49">
        <v>0</v>
      </c>
      <c r="H918" s="49" t="s">
        <v>9540</v>
      </c>
      <c r="I918" s="49" t="s">
        <v>9543</v>
      </c>
      <c r="J918" s="49" t="s">
        <v>9541</v>
      </c>
      <c r="K918" s="49" t="s">
        <v>9542</v>
      </c>
      <c r="L918" s="49">
        <v>0</v>
      </c>
      <c r="M918" s="75" t="s">
        <v>1734</v>
      </c>
      <c r="N918" s="49" t="s">
        <v>9544</v>
      </c>
      <c r="P918" s="49" t="s">
        <v>9545</v>
      </c>
      <c r="Q918" s="49">
        <v>0</v>
      </c>
      <c r="R918" s="49" t="s">
        <v>9546</v>
      </c>
      <c r="S918" s="49" t="s">
        <v>9547</v>
      </c>
      <c r="T918" s="49" t="s">
        <v>9548</v>
      </c>
      <c r="U918" s="49" t="s">
        <v>655</v>
      </c>
      <c r="V918" s="49" t="e">
        <v>#REF!</v>
      </c>
      <c r="AC918" s="49"/>
      <c r="AD918" s="49"/>
    </row>
    <row r="919" spans="1:30" hidden="1" x14ac:dyDescent="0.3">
      <c r="A919" s="49" t="s">
        <v>9549</v>
      </c>
      <c r="B919" s="49">
        <v>0</v>
      </c>
      <c r="C919" s="49"/>
      <c r="D919" s="72" t="s">
        <v>717</v>
      </c>
      <c r="E919" s="73">
        <v>0</v>
      </c>
      <c r="F919" s="49"/>
      <c r="G919" s="49"/>
      <c r="H919" s="49" t="s">
        <v>9550</v>
      </c>
      <c r="I919" s="49" t="s">
        <v>9553</v>
      </c>
      <c r="J919" s="49" t="s">
        <v>9551</v>
      </c>
      <c r="K919" s="49" t="s">
        <v>9552</v>
      </c>
      <c r="L919" s="49">
        <v>0</v>
      </c>
      <c r="M919" s="49" t="s">
        <v>1734</v>
      </c>
      <c r="N919" s="49" t="s">
        <v>9554</v>
      </c>
      <c r="O919" s="49">
        <v>1</v>
      </c>
      <c r="P919" s="49" t="s">
        <v>9555</v>
      </c>
      <c r="Q919" s="49">
        <v>0</v>
      </c>
      <c r="R919" s="49" t="s">
        <v>9556</v>
      </c>
      <c r="S919" s="49" t="s">
        <v>9557</v>
      </c>
      <c r="T919" s="49" t="s">
        <v>9558</v>
      </c>
      <c r="U919" s="49" t="s">
        <v>655</v>
      </c>
      <c r="V919" s="49" t="e">
        <v>#REF!</v>
      </c>
      <c r="AC919" s="49"/>
      <c r="AD919" s="49"/>
    </row>
    <row r="920" spans="1:30" hidden="1" x14ac:dyDescent="0.3">
      <c r="A920" s="49" t="s">
        <v>9559</v>
      </c>
      <c r="B920" s="49">
        <v>0</v>
      </c>
      <c r="C920" s="49"/>
      <c r="D920" s="72" t="s">
        <v>717</v>
      </c>
      <c r="E920" s="73">
        <v>0</v>
      </c>
      <c r="F920" s="49"/>
      <c r="G920" s="49"/>
      <c r="H920" s="49" t="s">
        <v>9560</v>
      </c>
      <c r="I920" s="49" t="s">
        <v>9563</v>
      </c>
      <c r="J920" s="49" t="s">
        <v>9561</v>
      </c>
      <c r="K920" s="49" t="s">
        <v>9562</v>
      </c>
      <c r="L920" s="49">
        <v>0</v>
      </c>
      <c r="M920" s="49" t="s">
        <v>1734</v>
      </c>
      <c r="N920" s="49" t="s">
        <v>2591</v>
      </c>
      <c r="P920" s="49" t="s">
        <v>9564</v>
      </c>
      <c r="Q920" s="49">
        <v>0</v>
      </c>
      <c r="R920" s="49" t="s">
        <v>9565</v>
      </c>
      <c r="S920" s="49" t="s">
        <v>9566</v>
      </c>
      <c r="T920" s="49" t="s">
        <v>9567</v>
      </c>
      <c r="U920" s="49" t="s">
        <v>655</v>
      </c>
      <c r="V920" s="49" t="e">
        <v>#REF!</v>
      </c>
      <c r="AC920" s="49"/>
      <c r="AD920" s="49"/>
    </row>
    <row r="921" spans="1:30" hidden="1" x14ac:dyDescent="0.3">
      <c r="A921" s="49" t="s">
        <v>9568</v>
      </c>
      <c r="B921" s="49">
        <v>0</v>
      </c>
      <c r="C921" s="49"/>
      <c r="D921" s="72" t="s">
        <v>717</v>
      </c>
      <c r="E921" s="73">
        <v>0</v>
      </c>
      <c r="F921" s="49"/>
      <c r="G921" s="49"/>
      <c r="H921" s="49" t="s">
        <v>9569</v>
      </c>
      <c r="I921" s="49" t="s">
        <v>9572</v>
      </c>
      <c r="J921" s="49" t="s">
        <v>9570</v>
      </c>
      <c r="K921" s="49" t="s">
        <v>9571</v>
      </c>
      <c r="L921" s="49">
        <v>0</v>
      </c>
      <c r="M921" s="49" t="s">
        <v>1745</v>
      </c>
      <c r="N921" s="49" t="s">
        <v>2239</v>
      </c>
      <c r="O921" s="49">
        <v>5</v>
      </c>
      <c r="P921" s="49" t="s">
        <v>9573</v>
      </c>
      <c r="Q921" s="49">
        <v>0</v>
      </c>
      <c r="R921" s="49" t="s">
        <v>9574</v>
      </c>
      <c r="S921" s="49" t="s">
        <v>9575</v>
      </c>
      <c r="T921" s="49" t="s">
        <v>646</v>
      </c>
      <c r="U921" s="49" t="s">
        <v>670</v>
      </c>
      <c r="V921" s="49" t="e">
        <v>#REF!</v>
      </c>
      <c r="AC921" s="49"/>
      <c r="AD921" s="49"/>
    </row>
    <row r="922" spans="1:30" hidden="1" x14ac:dyDescent="0.3">
      <c r="A922" s="49" t="s">
        <v>9576</v>
      </c>
      <c r="B922" s="49">
        <v>0</v>
      </c>
      <c r="C922" s="49"/>
      <c r="D922" s="72" t="s">
        <v>717</v>
      </c>
      <c r="E922" s="73">
        <v>0</v>
      </c>
      <c r="F922" s="49"/>
      <c r="G922" s="49"/>
      <c r="H922" s="49" t="s">
        <v>9577</v>
      </c>
      <c r="I922" s="49" t="s">
        <v>9580</v>
      </c>
      <c r="J922" s="49" t="s">
        <v>9578</v>
      </c>
      <c r="K922" s="49" t="s">
        <v>9579</v>
      </c>
      <c r="L922" s="49">
        <v>0</v>
      </c>
      <c r="M922" s="49" t="s">
        <v>1734</v>
      </c>
      <c r="N922" s="49" t="s">
        <v>9581</v>
      </c>
      <c r="P922" s="49" t="s">
        <v>9582</v>
      </c>
      <c r="Q922" s="49">
        <v>0</v>
      </c>
      <c r="R922" s="49" t="s">
        <v>9583</v>
      </c>
      <c r="S922" s="49" t="s">
        <v>9584</v>
      </c>
      <c r="T922" s="49" t="s">
        <v>9585</v>
      </c>
      <c r="U922" s="49" t="s">
        <v>655</v>
      </c>
      <c r="V922" s="49" t="e">
        <v>#REF!</v>
      </c>
      <c r="AC922" s="49"/>
      <c r="AD922" s="49"/>
    </row>
    <row r="923" spans="1:30" hidden="1" x14ac:dyDescent="0.3">
      <c r="A923" s="49" t="s">
        <v>9586</v>
      </c>
      <c r="B923" s="49">
        <v>0</v>
      </c>
      <c r="C923" s="49"/>
      <c r="D923" s="72" t="s">
        <v>717</v>
      </c>
      <c r="E923" s="73">
        <v>0</v>
      </c>
      <c r="F923" s="49"/>
      <c r="G923" s="49"/>
      <c r="H923" s="49" t="s">
        <v>9587</v>
      </c>
      <c r="I923" s="49" t="s">
        <v>9590</v>
      </c>
      <c r="J923" s="49" t="s">
        <v>9588</v>
      </c>
      <c r="K923" s="49" t="s">
        <v>9589</v>
      </c>
      <c r="L923" s="49">
        <v>0</v>
      </c>
      <c r="M923" s="49" t="s">
        <v>1745</v>
      </c>
      <c r="N923" s="49" t="s">
        <v>9591</v>
      </c>
      <c r="O923" s="49">
        <v>4</v>
      </c>
      <c r="P923" s="49" t="s">
        <v>9592</v>
      </c>
      <c r="Q923" s="49">
        <v>0</v>
      </c>
      <c r="R923" s="49" t="s">
        <v>9593</v>
      </c>
      <c r="S923" s="49" t="s">
        <v>9594</v>
      </c>
      <c r="T923" s="49" t="s">
        <v>9595</v>
      </c>
      <c r="U923" s="49" t="s">
        <v>655</v>
      </c>
      <c r="V923" s="49" t="e">
        <v>#REF!</v>
      </c>
      <c r="AC923" s="49"/>
      <c r="AD923" s="49"/>
    </row>
    <row r="924" spans="1:30" hidden="1" x14ac:dyDescent="0.3">
      <c r="A924" s="49" t="s">
        <v>9596</v>
      </c>
      <c r="B924" s="49">
        <v>0</v>
      </c>
      <c r="C924" s="49"/>
      <c r="D924" s="72" t="s">
        <v>717</v>
      </c>
      <c r="E924" s="74" t="s">
        <v>645</v>
      </c>
      <c r="F924" s="73">
        <v>0</v>
      </c>
      <c r="G924" s="49"/>
      <c r="H924" s="49" t="s">
        <v>9597</v>
      </c>
      <c r="I924" s="49" t="s">
        <v>9600</v>
      </c>
      <c r="J924" s="49" t="s">
        <v>9598</v>
      </c>
      <c r="K924" s="49" t="s">
        <v>9599</v>
      </c>
      <c r="L924" s="49">
        <v>0</v>
      </c>
      <c r="M924" s="49" t="s">
        <v>1745</v>
      </c>
      <c r="N924" s="49" t="s">
        <v>9601</v>
      </c>
      <c r="P924" s="49" t="s">
        <v>9602</v>
      </c>
      <c r="Q924" s="49">
        <v>0</v>
      </c>
      <c r="R924" s="49" t="s">
        <v>9603</v>
      </c>
      <c r="S924" s="49" t="s">
        <v>9604</v>
      </c>
      <c r="T924" s="49" t="s">
        <v>9605</v>
      </c>
      <c r="U924" s="49" t="s">
        <v>655</v>
      </c>
      <c r="V924" s="49" t="e">
        <v>#REF!</v>
      </c>
      <c r="AC924" s="49"/>
      <c r="AD924" s="49"/>
    </row>
    <row r="925" spans="1:30" hidden="1" x14ac:dyDescent="0.3">
      <c r="A925" s="49" t="s">
        <v>9606</v>
      </c>
      <c r="B925" s="49">
        <v>0</v>
      </c>
      <c r="C925" s="49"/>
      <c r="D925" s="72" t="s">
        <v>717</v>
      </c>
      <c r="E925" s="73">
        <v>0</v>
      </c>
      <c r="F925" s="49"/>
      <c r="G925" s="49"/>
      <c r="H925" s="49" t="s">
        <v>9607</v>
      </c>
      <c r="I925" s="49" t="s">
        <v>9610</v>
      </c>
      <c r="J925" s="49" t="s">
        <v>9608</v>
      </c>
      <c r="K925" s="49" t="s">
        <v>9609</v>
      </c>
      <c r="L925" s="49">
        <v>0</v>
      </c>
      <c r="M925" s="49" t="s">
        <v>1745</v>
      </c>
      <c r="N925" s="49" t="s">
        <v>9611</v>
      </c>
      <c r="O925" s="49">
        <v>2</v>
      </c>
      <c r="P925" s="49" t="s">
        <v>9612</v>
      </c>
      <c r="Q925" s="49">
        <v>0</v>
      </c>
      <c r="R925" s="49" t="s">
        <v>9613</v>
      </c>
      <c r="S925" s="49" t="s">
        <v>9614</v>
      </c>
      <c r="T925" s="49" t="s">
        <v>9615</v>
      </c>
      <c r="U925" s="49" t="s">
        <v>655</v>
      </c>
      <c r="V925" s="49" t="e">
        <v>#REF!</v>
      </c>
      <c r="AC925" s="49"/>
      <c r="AD925" s="49"/>
    </row>
    <row r="926" spans="1:30" hidden="1" x14ac:dyDescent="0.3">
      <c r="A926" s="49" t="s">
        <v>9616</v>
      </c>
      <c r="B926" s="49">
        <v>0</v>
      </c>
      <c r="C926" s="49"/>
      <c r="D926" s="72" t="s">
        <v>717</v>
      </c>
      <c r="E926" s="73">
        <v>0</v>
      </c>
      <c r="F926" s="49"/>
      <c r="G926" s="49"/>
      <c r="H926" s="49" t="s">
        <v>9617</v>
      </c>
      <c r="I926" s="49" t="s">
        <v>9620</v>
      </c>
      <c r="J926" s="49" t="s">
        <v>9618</v>
      </c>
      <c r="K926" s="49" t="s">
        <v>9619</v>
      </c>
      <c r="L926" s="49">
        <v>0</v>
      </c>
      <c r="M926" s="49" t="s">
        <v>1745</v>
      </c>
      <c r="N926" s="49" t="s">
        <v>3229</v>
      </c>
      <c r="O926" s="49">
        <v>10</v>
      </c>
      <c r="P926" s="49" t="s">
        <v>9621</v>
      </c>
      <c r="Q926" s="49">
        <v>0</v>
      </c>
      <c r="R926" s="49" t="s">
        <v>9622</v>
      </c>
      <c r="S926" s="49" t="s">
        <v>9623</v>
      </c>
      <c r="T926" s="49" t="s">
        <v>9624</v>
      </c>
      <c r="U926" s="49" t="s">
        <v>655</v>
      </c>
      <c r="V926" s="49" t="e">
        <v>#REF!</v>
      </c>
      <c r="AC926" s="49"/>
      <c r="AD926" s="49"/>
    </row>
    <row r="927" spans="1:30" hidden="1" x14ac:dyDescent="0.3">
      <c r="A927" s="49" t="s">
        <v>9625</v>
      </c>
      <c r="B927" s="49">
        <v>0</v>
      </c>
      <c r="C927" s="49"/>
      <c r="D927" s="72" t="s">
        <v>717</v>
      </c>
      <c r="E927" s="73">
        <v>0</v>
      </c>
      <c r="F927" s="49"/>
      <c r="G927" s="49"/>
      <c r="H927" s="49" t="s">
        <v>9626</v>
      </c>
      <c r="I927" s="49" t="s">
        <v>9629</v>
      </c>
      <c r="J927" s="49" t="s">
        <v>9627</v>
      </c>
      <c r="K927" s="49" t="s">
        <v>9628</v>
      </c>
      <c r="L927" s="49">
        <v>0</v>
      </c>
      <c r="M927" s="49" t="s">
        <v>1734</v>
      </c>
      <c r="N927" s="49" t="s">
        <v>3007</v>
      </c>
      <c r="P927" s="49" t="s">
        <v>9630</v>
      </c>
      <c r="Q927" s="49">
        <v>0</v>
      </c>
      <c r="R927" s="49" t="s">
        <v>9631</v>
      </c>
      <c r="S927" s="49" t="s">
        <v>9632</v>
      </c>
      <c r="T927" s="49" t="s">
        <v>9633</v>
      </c>
      <c r="U927" s="49" t="s">
        <v>655</v>
      </c>
      <c r="V927" s="49" t="e">
        <v>#REF!</v>
      </c>
      <c r="AC927" s="49"/>
      <c r="AD927" s="49"/>
    </row>
    <row r="928" spans="1:30" hidden="1" x14ac:dyDescent="0.3">
      <c r="A928" s="49" t="s">
        <v>9634</v>
      </c>
      <c r="B928" s="49">
        <v>0</v>
      </c>
      <c r="C928" s="49"/>
      <c r="D928" s="72" t="s">
        <v>717</v>
      </c>
      <c r="E928" s="73">
        <v>0</v>
      </c>
      <c r="F928" s="49"/>
      <c r="G928" s="49"/>
      <c r="H928" s="49" t="s">
        <v>9635</v>
      </c>
      <c r="I928" s="49" t="s">
        <v>9638</v>
      </c>
      <c r="J928" s="49" t="s">
        <v>9636</v>
      </c>
      <c r="K928" s="49" t="s">
        <v>9637</v>
      </c>
      <c r="L928" s="49">
        <v>0</v>
      </c>
      <c r="M928" s="49" t="s">
        <v>1745</v>
      </c>
      <c r="N928" s="49" t="s">
        <v>9639</v>
      </c>
      <c r="P928" s="49" t="s">
        <v>9640</v>
      </c>
      <c r="Q928" s="49">
        <v>0</v>
      </c>
      <c r="R928" s="49" t="s">
        <v>9641</v>
      </c>
      <c r="S928" s="49" t="s">
        <v>9642</v>
      </c>
      <c r="T928" s="49" t="s">
        <v>9643</v>
      </c>
      <c r="U928" s="49" t="s">
        <v>655</v>
      </c>
      <c r="V928" s="49" t="e">
        <v>#REF!</v>
      </c>
      <c r="AC928" s="49"/>
      <c r="AD928" s="49"/>
    </row>
    <row r="929" spans="1:30" hidden="1" x14ac:dyDescent="0.3">
      <c r="A929" s="49" t="s">
        <v>9644</v>
      </c>
      <c r="B929" s="49">
        <v>0</v>
      </c>
      <c r="C929" s="49"/>
      <c r="D929" s="72" t="s">
        <v>717</v>
      </c>
      <c r="E929" s="73">
        <v>0</v>
      </c>
      <c r="F929" s="49"/>
      <c r="G929" s="49"/>
      <c r="H929" s="49" t="s">
        <v>9645</v>
      </c>
      <c r="I929" s="49" t="s">
        <v>9648</v>
      </c>
      <c r="J929" s="49" t="s">
        <v>9646</v>
      </c>
      <c r="K929" s="49" t="s">
        <v>9647</v>
      </c>
      <c r="L929" s="49">
        <v>0</v>
      </c>
      <c r="M929" s="49" t="s">
        <v>1734</v>
      </c>
      <c r="N929" s="49" t="s">
        <v>9649</v>
      </c>
      <c r="P929" s="49" t="s">
        <v>9650</v>
      </c>
      <c r="Q929" s="49">
        <v>0</v>
      </c>
      <c r="R929" s="49" t="s">
        <v>9651</v>
      </c>
      <c r="S929" s="49" t="s">
        <v>9652</v>
      </c>
      <c r="T929" s="49" t="s">
        <v>9653</v>
      </c>
      <c r="U929" s="49" t="s">
        <v>655</v>
      </c>
      <c r="V929" s="49" t="e">
        <v>#REF!</v>
      </c>
      <c r="AC929" s="49"/>
      <c r="AD929" s="49"/>
    </row>
    <row r="930" spans="1:30" hidden="1" x14ac:dyDescent="0.3">
      <c r="A930" s="49" t="s">
        <v>9654</v>
      </c>
      <c r="B930" s="49">
        <v>0</v>
      </c>
      <c r="C930" s="49"/>
      <c r="D930" s="72" t="s">
        <v>717</v>
      </c>
      <c r="E930" s="73">
        <v>0</v>
      </c>
      <c r="F930" s="49"/>
      <c r="G930" s="49"/>
      <c r="H930" s="49" t="s">
        <v>9655</v>
      </c>
      <c r="I930" s="49" t="s">
        <v>9658</v>
      </c>
      <c r="J930" s="49" t="s">
        <v>9656</v>
      </c>
      <c r="K930" s="49" t="s">
        <v>9657</v>
      </c>
      <c r="L930" s="49">
        <v>0</v>
      </c>
      <c r="M930" s="49" t="s">
        <v>1745</v>
      </c>
      <c r="N930" s="49" t="s">
        <v>9659</v>
      </c>
      <c r="O930" s="49">
        <v>2</v>
      </c>
      <c r="P930" s="49" t="s">
        <v>9660</v>
      </c>
      <c r="Q930" s="49">
        <v>0</v>
      </c>
      <c r="R930" s="49" t="s">
        <v>9661</v>
      </c>
      <c r="S930" s="49" t="s">
        <v>9662</v>
      </c>
      <c r="T930" s="49" t="s">
        <v>9663</v>
      </c>
      <c r="U930" s="49" t="s">
        <v>655</v>
      </c>
      <c r="V930" s="49" t="e">
        <v>#REF!</v>
      </c>
      <c r="AC930" s="49"/>
      <c r="AD930" s="49"/>
    </row>
    <row r="931" spans="1:30" hidden="1" x14ac:dyDescent="0.3">
      <c r="A931" s="49" t="s">
        <v>9664</v>
      </c>
      <c r="B931" s="49">
        <v>0</v>
      </c>
      <c r="C931" s="49"/>
      <c r="D931" s="72" t="s">
        <v>717</v>
      </c>
      <c r="E931" s="73">
        <v>0</v>
      </c>
      <c r="F931" s="49"/>
      <c r="G931" s="49"/>
      <c r="H931" s="49" t="s">
        <v>9665</v>
      </c>
      <c r="I931" s="49" t="s">
        <v>9668</v>
      </c>
      <c r="J931" s="49" t="s">
        <v>9666</v>
      </c>
      <c r="K931" s="49" t="s">
        <v>9667</v>
      </c>
      <c r="L931" s="49">
        <v>0</v>
      </c>
      <c r="M931" s="49" t="s">
        <v>1745</v>
      </c>
      <c r="N931" s="49" t="s">
        <v>3142</v>
      </c>
      <c r="P931" s="49" t="s">
        <v>9669</v>
      </c>
      <c r="Q931" s="49">
        <v>0</v>
      </c>
      <c r="R931" s="49" t="s">
        <v>9670</v>
      </c>
      <c r="S931" s="49" t="s">
        <v>9671</v>
      </c>
      <c r="T931" s="49" t="s">
        <v>9672</v>
      </c>
      <c r="U931" s="49" t="s">
        <v>655</v>
      </c>
      <c r="V931" s="49" t="e">
        <v>#REF!</v>
      </c>
      <c r="AC931" s="49"/>
      <c r="AD931" s="49"/>
    </row>
    <row r="932" spans="1:30" hidden="1" x14ac:dyDescent="0.3">
      <c r="A932" s="49" t="s">
        <v>9673</v>
      </c>
      <c r="B932" s="49">
        <v>0</v>
      </c>
      <c r="C932" s="49"/>
      <c r="D932" s="72" t="s">
        <v>717</v>
      </c>
      <c r="E932" s="74">
        <v>1</v>
      </c>
      <c r="F932" s="73">
        <v>0</v>
      </c>
      <c r="G932" s="49"/>
      <c r="H932" s="49" t="s">
        <v>9674</v>
      </c>
      <c r="I932" s="49" t="s">
        <v>9677</v>
      </c>
      <c r="J932" s="49" t="s">
        <v>9675</v>
      </c>
      <c r="K932" s="49" t="s">
        <v>9676</v>
      </c>
      <c r="L932" s="49">
        <v>0</v>
      </c>
      <c r="M932" s="49" t="s">
        <v>1734</v>
      </c>
      <c r="N932" s="49" t="s">
        <v>9181</v>
      </c>
      <c r="P932" s="49" t="s">
        <v>9678</v>
      </c>
      <c r="Q932" s="49">
        <v>0</v>
      </c>
      <c r="R932" s="49" t="s">
        <v>9679</v>
      </c>
      <c r="S932" s="49" t="s">
        <v>9680</v>
      </c>
      <c r="T932" s="49" t="s">
        <v>9681</v>
      </c>
      <c r="U932" s="49" t="s">
        <v>655</v>
      </c>
      <c r="V932" s="49" t="e">
        <v>#REF!</v>
      </c>
      <c r="AC932" s="49"/>
      <c r="AD932" s="49"/>
    </row>
    <row r="933" spans="1:30" hidden="1" x14ac:dyDescent="0.3">
      <c r="A933" s="49" t="s">
        <v>9682</v>
      </c>
      <c r="B933" s="49">
        <v>0</v>
      </c>
      <c r="C933" s="49"/>
      <c r="D933" s="72" t="s">
        <v>717</v>
      </c>
      <c r="E933" s="73">
        <v>0</v>
      </c>
      <c r="F933" s="49"/>
      <c r="G933" s="49"/>
      <c r="H933" s="49" t="s">
        <v>9683</v>
      </c>
      <c r="I933" s="49" t="s">
        <v>9686</v>
      </c>
      <c r="J933" s="49" t="s">
        <v>9684</v>
      </c>
      <c r="K933" s="49" t="s">
        <v>9685</v>
      </c>
      <c r="L933" s="49">
        <v>0</v>
      </c>
      <c r="M933" s="49" t="s">
        <v>1745</v>
      </c>
      <c r="N933" s="49" t="s">
        <v>6281</v>
      </c>
      <c r="O933" s="49">
        <v>2</v>
      </c>
      <c r="P933" s="49" t="s">
        <v>9687</v>
      </c>
      <c r="Q933" s="49">
        <v>0</v>
      </c>
      <c r="R933" s="49" t="s">
        <v>9688</v>
      </c>
      <c r="S933" s="49" t="s">
        <v>9689</v>
      </c>
      <c r="T933" s="49" t="s">
        <v>9690</v>
      </c>
      <c r="U933" s="49" t="s">
        <v>655</v>
      </c>
      <c r="V933" s="49" t="e">
        <v>#REF!</v>
      </c>
      <c r="AC933" s="49"/>
      <c r="AD933" s="49"/>
    </row>
    <row r="934" spans="1:30" hidden="1" x14ac:dyDescent="0.3">
      <c r="A934" s="49" t="s">
        <v>9691</v>
      </c>
      <c r="B934" s="49">
        <v>0</v>
      </c>
      <c r="C934" s="49"/>
      <c r="D934" s="72" t="s">
        <v>717</v>
      </c>
      <c r="E934" s="73">
        <v>0</v>
      </c>
      <c r="F934" s="49"/>
      <c r="G934" s="49"/>
      <c r="H934" s="49" t="s">
        <v>9692</v>
      </c>
      <c r="I934" s="49" t="s">
        <v>9695</v>
      </c>
      <c r="J934" s="49" t="s">
        <v>9693</v>
      </c>
      <c r="K934" s="49" t="s">
        <v>9694</v>
      </c>
      <c r="L934" s="49">
        <v>0</v>
      </c>
      <c r="M934" s="49" t="s">
        <v>1745</v>
      </c>
      <c r="N934" s="49" t="s">
        <v>9696</v>
      </c>
      <c r="P934" s="49" t="s">
        <v>9697</v>
      </c>
      <c r="Q934" s="49">
        <v>0</v>
      </c>
      <c r="R934" s="49" t="s">
        <v>9698</v>
      </c>
      <c r="S934" s="49" t="s">
        <v>9699</v>
      </c>
      <c r="T934" s="49" t="s">
        <v>9700</v>
      </c>
      <c r="U934" s="49" t="s">
        <v>655</v>
      </c>
      <c r="V934" s="49" t="e">
        <v>#REF!</v>
      </c>
      <c r="AC934" s="49"/>
      <c r="AD934" s="49"/>
    </row>
    <row r="935" spans="1:30" x14ac:dyDescent="0.3">
      <c r="A935" s="49" t="s">
        <v>9702</v>
      </c>
      <c r="B935" s="49" t="s">
        <v>9701</v>
      </c>
      <c r="C935" s="49">
        <v>1</v>
      </c>
      <c r="D935" s="72" t="s">
        <v>717</v>
      </c>
      <c r="E935" s="74">
        <v>1</v>
      </c>
      <c r="F935" s="73">
        <v>1</v>
      </c>
      <c r="G935" s="49">
        <v>1</v>
      </c>
      <c r="H935" s="49" t="s">
        <v>9703</v>
      </c>
      <c r="I935" s="49" t="s">
        <v>9706</v>
      </c>
      <c r="J935" s="49" t="s">
        <v>9704</v>
      </c>
      <c r="K935" s="49" t="s">
        <v>9705</v>
      </c>
      <c r="L935" s="49">
        <v>0</v>
      </c>
      <c r="M935" s="75" t="s">
        <v>1745</v>
      </c>
      <c r="N935" s="49" t="s">
        <v>1494</v>
      </c>
      <c r="O935" s="49">
        <v>2</v>
      </c>
      <c r="P935" s="49" t="s">
        <v>9707</v>
      </c>
      <c r="Q935" s="49">
        <v>0</v>
      </c>
      <c r="R935" s="49" t="s">
        <v>9708</v>
      </c>
      <c r="S935" s="49" t="s">
        <v>9709</v>
      </c>
      <c r="T935" s="49" t="s">
        <v>1710</v>
      </c>
      <c r="U935" s="49" t="s">
        <v>655</v>
      </c>
      <c r="V935" s="49" t="e">
        <v>#REF!</v>
      </c>
      <c r="AC935" s="49"/>
      <c r="AD935" s="49"/>
    </row>
    <row r="936" spans="1:30" hidden="1" x14ac:dyDescent="0.3">
      <c r="A936" s="49" t="s">
        <v>9710</v>
      </c>
      <c r="B936" s="49">
        <v>0</v>
      </c>
      <c r="C936" s="49"/>
      <c r="D936" s="72" t="s">
        <v>717</v>
      </c>
      <c r="E936" s="73">
        <v>0</v>
      </c>
      <c r="F936" s="49"/>
      <c r="G936" s="49"/>
      <c r="H936" s="49" t="s">
        <v>9711</v>
      </c>
      <c r="I936" s="49" t="s">
        <v>9714</v>
      </c>
      <c r="J936" s="49" t="s">
        <v>9712</v>
      </c>
      <c r="K936" s="49" t="s">
        <v>9713</v>
      </c>
      <c r="L936" s="49">
        <v>0</v>
      </c>
      <c r="M936" s="49" t="s">
        <v>1745</v>
      </c>
      <c r="N936" s="49" t="s">
        <v>9715</v>
      </c>
      <c r="O936" s="49">
        <v>1</v>
      </c>
      <c r="P936" s="49" t="s">
        <v>9716</v>
      </c>
      <c r="Q936" s="49">
        <v>0</v>
      </c>
      <c r="R936" s="49" t="s">
        <v>9717</v>
      </c>
      <c r="S936" s="49" t="s">
        <v>9718</v>
      </c>
      <c r="T936" s="49" t="s">
        <v>9719</v>
      </c>
      <c r="U936" s="49" t="s">
        <v>655</v>
      </c>
      <c r="V936" s="49" t="e">
        <v>#REF!</v>
      </c>
      <c r="AC936" s="49"/>
      <c r="AD936" s="49"/>
    </row>
    <row r="937" spans="1:30" hidden="1" x14ac:dyDescent="0.3">
      <c r="A937" s="49" t="s">
        <v>9720</v>
      </c>
      <c r="B937" s="49">
        <v>0</v>
      </c>
      <c r="C937" s="49"/>
      <c r="D937" s="72" t="s">
        <v>717</v>
      </c>
      <c r="E937" s="73">
        <v>0</v>
      </c>
      <c r="F937" s="49"/>
      <c r="G937" s="49"/>
      <c r="H937" s="49" t="s">
        <v>9721</v>
      </c>
      <c r="I937" s="49" t="s">
        <v>9724</v>
      </c>
      <c r="J937" s="49" t="s">
        <v>9722</v>
      </c>
      <c r="K937" s="49" t="s">
        <v>9723</v>
      </c>
      <c r="L937" s="49">
        <v>0</v>
      </c>
      <c r="M937" s="49" t="s">
        <v>1734</v>
      </c>
      <c r="N937" s="49" t="s">
        <v>9725</v>
      </c>
      <c r="O937" s="49">
        <v>1</v>
      </c>
      <c r="P937" s="49" t="s">
        <v>9726</v>
      </c>
      <c r="Q937" s="49">
        <v>0</v>
      </c>
      <c r="R937" s="49" t="s">
        <v>9727</v>
      </c>
      <c r="S937" s="49" t="s">
        <v>9728</v>
      </c>
      <c r="T937" s="49" t="s">
        <v>9729</v>
      </c>
      <c r="U937" s="49" t="s">
        <v>655</v>
      </c>
      <c r="V937" s="49" t="e">
        <v>#REF!</v>
      </c>
      <c r="AC937" s="49"/>
      <c r="AD937" s="49"/>
    </row>
    <row r="938" spans="1:30" hidden="1" x14ac:dyDescent="0.3">
      <c r="A938" s="49" t="s">
        <v>9730</v>
      </c>
      <c r="B938" s="49">
        <v>0</v>
      </c>
      <c r="C938" s="49"/>
      <c r="D938" s="72" t="s">
        <v>717</v>
      </c>
      <c r="E938" s="73">
        <v>0</v>
      </c>
      <c r="F938" s="49"/>
      <c r="G938" s="49"/>
      <c r="H938" s="49" t="s">
        <v>9731</v>
      </c>
      <c r="I938" s="49" t="s">
        <v>9734</v>
      </c>
      <c r="J938" s="49" t="s">
        <v>9732</v>
      </c>
      <c r="K938" s="49" t="s">
        <v>9733</v>
      </c>
      <c r="L938" s="49">
        <v>0</v>
      </c>
      <c r="M938" s="49" t="s">
        <v>1734</v>
      </c>
      <c r="N938" s="49" t="s">
        <v>9735</v>
      </c>
      <c r="O938" s="49">
        <v>1</v>
      </c>
      <c r="P938" s="49" t="s">
        <v>9736</v>
      </c>
      <c r="Q938" s="49">
        <v>0</v>
      </c>
      <c r="R938" s="49" t="s">
        <v>9737</v>
      </c>
      <c r="S938" s="49" t="s">
        <v>9738</v>
      </c>
      <c r="T938" s="49" t="s">
        <v>9739</v>
      </c>
      <c r="U938" s="49" t="s">
        <v>655</v>
      </c>
      <c r="V938" s="49" t="e">
        <v>#REF!</v>
      </c>
      <c r="AC938" s="49"/>
      <c r="AD938" s="49"/>
    </row>
    <row r="939" spans="1:30" hidden="1" x14ac:dyDescent="0.3">
      <c r="A939" s="49" t="s">
        <v>9740</v>
      </c>
      <c r="B939" s="49">
        <v>0</v>
      </c>
      <c r="C939" s="49"/>
      <c r="D939" s="72" t="s">
        <v>717</v>
      </c>
      <c r="E939" s="74">
        <v>1</v>
      </c>
      <c r="F939" s="73">
        <v>0</v>
      </c>
      <c r="G939" s="49"/>
      <c r="H939" s="49" t="s">
        <v>9741</v>
      </c>
      <c r="I939" s="49" t="s">
        <v>9744</v>
      </c>
      <c r="J939" s="49" t="s">
        <v>9742</v>
      </c>
      <c r="K939" s="49" t="s">
        <v>9743</v>
      </c>
      <c r="L939" s="49">
        <v>0</v>
      </c>
      <c r="M939" s="49" t="s">
        <v>1745</v>
      </c>
      <c r="N939" s="49" t="s">
        <v>9745</v>
      </c>
      <c r="O939" s="49">
        <v>4</v>
      </c>
      <c r="P939" s="49" t="s">
        <v>9746</v>
      </c>
      <c r="Q939" s="49">
        <v>0</v>
      </c>
      <c r="R939" s="49" t="s">
        <v>9747</v>
      </c>
      <c r="S939" s="49" t="s">
        <v>9748</v>
      </c>
      <c r="T939" s="49" t="s">
        <v>9749</v>
      </c>
      <c r="U939" s="49" t="s">
        <v>655</v>
      </c>
      <c r="V939" s="49" t="e">
        <v>#REF!</v>
      </c>
      <c r="AC939" s="49"/>
      <c r="AD939" s="49"/>
    </row>
    <row r="940" spans="1:30" hidden="1" x14ac:dyDescent="0.3">
      <c r="A940" s="49" t="s">
        <v>9750</v>
      </c>
      <c r="B940" s="49">
        <v>0</v>
      </c>
      <c r="C940" s="49"/>
      <c r="D940" s="72" t="s">
        <v>717</v>
      </c>
      <c r="E940" s="73">
        <v>0</v>
      </c>
      <c r="F940" s="49"/>
      <c r="G940" s="49"/>
      <c r="H940" s="49" t="s">
        <v>9751</v>
      </c>
      <c r="I940" s="49" t="s">
        <v>9754</v>
      </c>
      <c r="J940" s="49" t="s">
        <v>9752</v>
      </c>
      <c r="K940" s="49" t="s">
        <v>9753</v>
      </c>
      <c r="L940" s="49">
        <v>0</v>
      </c>
      <c r="M940" s="49" t="s">
        <v>1734</v>
      </c>
      <c r="N940" s="49" t="s">
        <v>8097</v>
      </c>
      <c r="P940" s="49" t="s">
        <v>9755</v>
      </c>
      <c r="Q940" s="49">
        <v>0</v>
      </c>
      <c r="R940" s="49" t="s">
        <v>9756</v>
      </c>
      <c r="S940" s="49" t="s">
        <v>9757</v>
      </c>
      <c r="T940" s="49" t="s">
        <v>9758</v>
      </c>
      <c r="U940" s="49" t="s">
        <v>655</v>
      </c>
      <c r="V940" s="49" t="e">
        <v>#REF!</v>
      </c>
      <c r="AC940" s="49"/>
      <c r="AD940" s="49"/>
    </row>
    <row r="941" spans="1:30" hidden="1" x14ac:dyDescent="0.3">
      <c r="A941" s="49" t="s">
        <v>9759</v>
      </c>
      <c r="B941" s="49">
        <v>0</v>
      </c>
      <c r="C941" s="49"/>
      <c r="D941" s="72" t="s">
        <v>717</v>
      </c>
      <c r="E941" s="73">
        <v>0</v>
      </c>
      <c r="F941" s="49"/>
      <c r="G941" s="49"/>
      <c r="H941" s="49" t="s">
        <v>9760</v>
      </c>
      <c r="I941" s="49" t="s">
        <v>9763</v>
      </c>
      <c r="J941" s="49" t="s">
        <v>9761</v>
      </c>
      <c r="K941" s="49" t="s">
        <v>9762</v>
      </c>
      <c r="L941" s="49">
        <v>0</v>
      </c>
      <c r="M941" s="49" t="s">
        <v>1745</v>
      </c>
      <c r="N941" s="49" t="s">
        <v>9764</v>
      </c>
      <c r="O941" s="49">
        <v>4</v>
      </c>
      <c r="P941" s="49" t="s">
        <v>9765</v>
      </c>
      <c r="Q941" s="49">
        <v>0</v>
      </c>
      <c r="R941" s="49" t="s">
        <v>9766</v>
      </c>
      <c r="S941" s="49" t="s">
        <v>9767</v>
      </c>
      <c r="T941" s="49" t="s">
        <v>646</v>
      </c>
      <c r="U941" s="49" t="s">
        <v>655</v>
      </c>
      <c r="V941" s="49" t="e">
        <v>#REF!</v>
      </c>
      <c r="AC941" s="49"/>
      <c r="AD941" s="49"/>
    </row>
    <row r="942" spans="1:30" hidden="1" x14ac:dyDescent="0.3">
      <c r="A942" s="49" t="s">
        <v>9768</v>
      </c>
      <c r="B942" s="49">
        <v>0</v>
      </c>
      <c r="C942" s="49"/>
      <c r="D942" s="72" t="s">
        <v>717</v>
      </c>
      <c r="E942" s="73">
        <v>0</v>
      </c>
      <c r="F942" s="49"/>
      <c r="G942" s="49"/>
      <c r="H942" s="49" t="s">
        <v>9769</v>
      </c>
      <c r="I942" s="49" t="s">
        <v>9772</v>
      </c>
      <c r="J942" s="49" t="s">
        <v>9770</v>
      </c>
      <c r="K942" s="49" t="s">
        <v>9771</v>
      </c>
      <c r="L942" s="49">
        <v>0</v>
      </c>
      <c r="M942" s="49" t="s">
        <v>1734</v>
      </c>
      <c r="N942" s="49" t="s">
        <v>2565</v>
      </c>
      <c r="O942" s="49">
        <v>1</v>
      </c>
      <c r="P942" s="49" t="s">
        <v>9773</v>
      </c>
      <c r="Q942" s="49">
        <v>0</v>
      </c>
      <c r="R942" s="49" t="s">
        <v>9774</v>
      </c>
      <c r="S942" s="49" t="s">
        <v>9775</v>
      </c>
      <c r="T942" s="49" t="s">
        <v>9776</v>
      </c>
      <c r="U942" s="49" t="s">
        <v>655</v>
      </c>
      <c r="V942" s="49" t="e">
        <v>#REF!</v>
      </c>
      <c r="AC942" s="49"/>
      <c r="AD942" s="49"/>
    </row>
    <row r="943" spans="1:30" hidden="1" x14ac:dyDescent="0.3">
      <c r="A943" s="49" t="s">
        <v>9777</v>
      </c>
      <c r="B943" s="49">
        <v>0</v>
      </c>
      <c r="C943" s="49"/>
      <c r="D943" s="72" t="s">
        <v>717</v>
      </c>
      <c r="E943" s="73">
        <v>0</v>
      </c>
      <c r="F943" s="49"/>
      <c r="G943" s="49"/>
      <c r="H943" s="49" t="s">
        <v>9778</v>
      </c>
      <c r="I943" s="49" t="s">
        <v>9781</v>
      </c>
      <c r="J943" s="49" t="s">
        <v>9779</v>
      </c>
      <c r="K943" s="49" t="s">
        <v>9780</v>
      </c>
      <c r="L943" s="49">
        <v>0</v>
      </c>
      <c r="M943" s="49" t="s">
        <v>1745</v>
      </c>
      <c r="N943" s="49" t="s">
        <v>9782</v>
      </c>
      <c r="P943" s="49" t="s">
        <v>9783</v>
      </c>
      <c r="Q943" s="49">
        <v>0</v>
      </c>
      <c r="R943" s="49" t="s">
        <v>9784</v>
      </c>
      <c r="S943" s="49" t="s">
        <v>9785</v>
      </c>
      <c r="T943" s="49" t="s">
        <v>646</v>
      </c>
      <c r="U943" s="49" t="s">
        <v>670</v>
      </c>
      <c r="V943" s="49" t="e">
        <v>#REF!</v>
      </c>
      <c r="AC943" s="49"/>
      <c r="AD943" s="49"/>
    </row>
    <row r="944" spans="1:30" hidden="1" x14ac:dyDescent="0.3">
      <c r="A944" s="49" t="s">
        <v>9786</v>
      </c>
      <c r="B944" s="49">
        <v>0</v>
      </c>
      <c r="C944" s="49"/>
      <c r="D944" s="72" t="s">
        <v>717</v>
      </c>
      <c r="E944" s="73">
        <v>0</v>
      </c>
      <c r="F944" s="49"/>
      <c r="G944" s="49"/>
      <c r="H944" s="49" t="s">
        <v>9787</v>
      </c>
      <c r="I944" s="49" t="s">
        <v>9790</v>
      </c>
      <c r="J944" s="49" t="s">
        <v>9788</v>
      </c>
      <c r="K944" s="49" t="s">
        <v>9789</v>
      </c>
      <c r="L944" s="49">
        <v>0</v>
      </c>
      <c r="M944" s="49" t="s">
        <v>1734</v>
      </c>
      <c r="N944" s="49" t="s">
        <v>9791</v>
      </c>
      <c r="P944" s="49" t="s">
        <v>9792</v>
      </c>
      <c r="Q944" s="49">
        <v>0</v>
      </c>
      <c r="R944" s="49" t="s">
        <v>9793</v>
      </c>
      <c r="S944" s="49" t="s">
        <v>9794</v>
      </c>
      <c r="T944" s="49" t="s">
        <v>9795</v>
      </c>
      <c r="U944" s="49" t="s">
        <v>655</v>
      </c>
      <c r="V944" s="49" t="e">
        <v>#REF!</v>
      </c>
      <c r="AC944" s="49"/>
      <c r="AD944" s="49"/>
    </row>
    <row r="945" spans="1:30" hidden="1" x14ac:dyDescent="0.3">
      <c r="A945" s="49" t="s">
        <v>9796</v>
      </c>
      <c r="B945" s="49">
        <v>0</v>
      </c>
      <c r="C945" s="49"/>
      <c r="D945" s="72" t="s">
        <v>717</v>
      </c>
      <c r="E945" s="73">
        <v>0</v>
      </c>
      <c r="F945" s="49"/>
      <c r="G945" s="49"/>
      <c r="H945" s="49" t="s">
        <v>9797</v>
      </c>
      <c r="I945" s="49" t="s">
        <v>9800</v>
      </c>
      <c r="J945" s="49" t="s">
        <v>9798</v>
      </c>
      <c r="K945" s="49" t="s">
        <v>9799</v>
      </c>
      <c r="L945" s="49">
        <v>0</v>
      </c>
      <c r="M945" s="49" t="s">
        <v>1734</v>
      </c>
      <c r="N945" s="49" t="s">
        <v>2103</v>
      </c>
      <c r="P945" s="49" t="s">
        <v>9801</v>
      </c>
      <c r="Q945" s="49">
        <v>0</v>
      </c>
      <c r="R945" s="49" t="s">
        <v>9802</v>
      </c>
      <c r="S945" s="49" t="s">
        <v>9803</v>
      </c>
      <c r="T945" s="49" t="s">
        <v>9804</v>
      </c>
      <c r="U945" s="49" t="s">
        <v>655</v>
      </c>
      <c r="V945" s="49" t="e">
        <v>#REF!</v>
      </c>
      <c r="AC945" s="49"/>
      <c r="AD945" s="49"/>
    </row>
    <row r="946" spans="1:30" hidden="1" x14ac:dyDescent="0.3">
      <c r="A946" s="49" t="s">
        <v>9805</v>
      </c>
      <c r="B946" s="49">
        <v>0</v>
      </c>
      <c r="C946" s="49"/>
      <c r="D946" s="72" t="s">
        <v>717</v>
      </c>
      <c r="E946" s="73">
        <v>0</v>
      </c>
      <c r="F946" s="49"/>
      <c r="G946" s="49"/>
      <c r="H946" s="49" t="s">
        <v>9806</v>
      </c>
      <c r="I946" s="49" t="s">
        <v>9809</v>
      </c>
      <c r="J946" s="49" t="s">
        <v>9807</v>
      </c>
      <c r="K946" s="49" t="s">
        <v>9808</v>
      </c>
      <c r="L946" s="49">
        <v>0</v>
      </c>
      <c r="M946" s="49" t="s">
        <v>1745</v>
      </c>
      <c r="N946" s="49" t="s">
        <v>9810</v>
      </c>
      <c r="P946" s="49" t="s">
        <v>9811</v>
      </c>
      <c r="Q946" s="49">
        <v>0</v>
      </c>
      <c r="R946" s="49" t="s">
        <v>9812</v>
      </c>
      <c r="S946" s="49" t="s">
        <v>9813</v>
      </c>
      <c r="T946" s="49" t="s">
        <v>9814</v>
      </c>
      <c r="U946" s="49" t="s">
        <v>655</v>
      </c>
      <c r="V946" s="49" t="e">
        <v>#REF!</v>
      </c>
      <c r="AC946" s="49"/>
      <c r="AD946" s="49"/>
    </row>
    <row r="947" spans="1:30" hidden="1" x14ac:dyDescent="0.3">
      <c r="A947" s="49" t="s">
        <v>9815</v>
      </c>
      <c r="B947" s="49">
        <v>0</v>
      </c>
      <c r="C947" s="49"/>
      <c r="D947" s="72" t="s">
        <v>717</v>
      </c>
      <c r="E947" s="73">
        <v>0</v>
      </c>
      <c r="F947" s="49"/>
      <c r="G947" s="49"/>
      <c r="H947" s="49" t="s">
        <v>9816</v>
      </c>
      <c r="I947" s="49" t="s">
        <v>9819</v>
      </c>
      <c r="J947" s="49" t="s">
        <v>9817</v>
      </c>
      <c r="K947" s="49" t="s">
        <v>9818</v>
      </c>
      <c r="L947" s="49">
        <v>0</v>
      </c>
      <c r="M947" s="49" t="s">
        <v>1745</v>
      </c>
      <c r="N947" s="49" t="s">
        <v>9820</v>
      </c>
      <c r="O947" s="49">
        <v>3</v>
      </c>
      <c r="P947" s="49" t="s">
        <v>9821</v>
      </c>
      <c r="Q947" s="49">
        <v>0</v>
      </c>
      <c r="R947" s="49" t="s">
        <v>9822</v>
      </c>
      <c r="S947" s="49" t="s">
        <v>9823</v>
      </c>
      <c r="T947" s="49" t="s">
        <v>9824</v>
      </c>
      <c r="U947" s="49" t="s">
        <v>791</v>
      </c>
      <c r="V947" s="49" t="e">
        <v>#REF!</v>
      </c>
      <c r="AC947" s="49"/>
      <c r="AD947" s="49"/>
    </row>
    <row r="948" spans="1:30" hidden="1" x14ac:dyDescent="0.3">
      <c r="A948" s="49" t="s">
        <v>9825</v>
      </c>
      <c r="B948" s="49">
        <v>0</v>
      </c>
      <c r="C948" s="49"/>
      <c r="D948" s="72" t="s">
        <v>717</v>
      </c>
      <c r="E948" s="73">
        <v>0</v>
      </c>
      <c r="F948" s="49"/>
      <c r="G948" s="49"/>
      <c r="H948" s="49" t="s">
        <v>9826</v>
      </c>
      <c r="I948" s="49" t="s">
        <v>9829</v>
      </c>
      <c r="J948" s="49" t="s">
        <v>9827</v>
      </c>
      <c r="K948" s="49" t="s">
        <v>9828</v>
      </c>
      <c r="L948" s="49">
        <v>0</v>
      </c>
      <c r="M948" s="49" t="s">
        <v>1734</v>
      </c>
      <c r="N948" s="49" t="s">
        <v>9830</v>
      </c>
      <c r="P948" s="49" t="s">
        <v>9831</v>
      </c>
      <c r="Q948" s="49">
        <v>0</v>
      </c>
      <c r="R948" s="49" t="s">
        <v>9832</v>
      </c>
      <c r="S948" s="49" t="s">
        <v>9833</v>
      </c>
      <c r="T948" s="49" t="s">
        <v>9834</v>
      </c>
      <c r="U948" s="49" t="s">
        <v>655</v>
      </c>
      <c r="V948" s="49" t="e">
        <v>#REF!</v>
      </c>
      <c r="AC948" s="49"/>
      <c r="AD948" s="49"/>
    </row>
    <row r="949" spans="1:30" hidden="1" x14ac:dyDescent="0.3">
      <c r="A949" s="49" t="s">
        <v>9835</v>
      </c>
      <c r="B949" s="49">
        <v>0</v>
      </c>
      <c r="C949" s="49"/>
      <c r="D949" s="72" t="s">
        <v>717</v>
      </c>
      <c r="E949" s="73">
        <v>0</v>
      </c>
      <c r="F949" s="49"/>
      <c r="G949" s="49"/>
      <c r="H949" s="49" t="s">
        <v>9836</v>
      </c>
      <c r="I949" s="49" t="s">
        <v>9839</v>
      </c>
      <c r="J949" s="49" t="s">
        <v>9837</v>
      </c>
      <c r="K949" s="49" t="s">
        <v>9838</v>
      </c>
      <c r="L949" s="49">
        <v>0</v>
      </c>
      <c r="M949" s="49" t="s">
        <v>1745</v>
      </c>
      <c r="N949" s="49" t="s">
        <v>6942</v>
      </c>
      <c r="P949" s="49" t="s">
        <v>9840</v>
      </c>
      <c r="Q949" s="49">
        <v>0</v>
      </c>
      <c r="R949" s="49" t="s">
        <v>9841</v>
      </c>
      <c r="S949" s="49" t="s">
        <v>9842</v>
      </c>
      <c r="T949" s="49" t="s">
        <v>9843</v>
      </c>
      <c r="U949" s="49" t="s">
        <v>655</v>
      </c>
      <c r="V949" s="49" t="e">
        <v>#REF!</v>
      </c>
      <c r="AC949" s="49"/>
      <c r="AD949" s="49"/>
    </row>
    <row r="950" spans="1:30" hidden="1" x14ac:dyDescent="0.3">
      <c r="A950" s="49" t="s">
        <v>9844</v>
      </c>
      <c r="B950" s="49">
        <v>0</v>
      </c>
      <c r="C950" s="49"/>
      <c r="D950" s="72" t="s">
        <v>717</v>
      </c>
      <c r="E950" s="73">
        <v>0</v>
      </c>
      <c r="F950" s="49"/>
      <c r="G950" s="49"/>
      <c r="H950" s="49" t="s">
        <v>9845</v>
      </c>
      <c r="I950" s="49" t="s">
        <v>9848</v>
      </c>
      <c r="J950" s="49" t="s">
        <v>9846</v>
      </c>
      <c r="K950" s="49" t="s">
        <v>9847</v>
      </c>
      <c r="L950" s="49">
        <v>0</v>
      </c>
      <c r="M950" s="49" t="s">
        <v>1734</v>
      </c>
      <c r="N950" s="49" t="s">
        <v>9849</v>
      </c>
      <c r="O950" s="49">
        <v>2</v>
      </c>
      <c r="P950" s="49" t="s">
        <v>9850</v>
      </c>
      <c r="Q950" s="49">
        <v>0</v>
      </c>
      <c r="R950" s="49" t="s">
        <v>9851</v>
      </c>
      <c r="S950" s="49" t="s">
        <v>9852</v>
      </c>
      <c r="T950" s="49" t="s">
        <v>9853</v>
      </c>
      <c r="U950" s="49" t="s">
        <v>655</v>
      </c>
      <c r="V950" s="49" t="e">
        <v>#REF!</v>
      </c>
      <c r="AC950" s="49"/>
      <c r="AD950" s="49"/>
    </row>
    <row r="951" spans="1:30" hidden="1" x14ac:dyDescent="0.3">
      <c r="A951" s="49" t="s">
        <v>9854</v>
      </c>
      <c r="B951" s="49">
        <v>0</v>
      </c>
      <c r="C951" s="49"/>
      <c r="D951" s="72" t="s">
        <v>717</v>
      </c>
      <c r="E951" s="73">
        <v>0</v>
      </c>
      <c r="F951" s="49"/>
      <c r="G951" s="49"/>
      <c r="H951" s="49" t="s">
        <v>646</v>
      </c>
      <c r="I951" s="49" t="s">
        <v>9857</v>
      </c>
      <c r="J951" s="49" t="s">
        <v>9855</v>
      </c>
      <c r="K951" s="49" t="s">
        <v>9856</v>
      </c>
      <c r="L951" s="49">
        <v>0</v>
      </c>
      <c r="M951" s="49" t="s">
        <v>1745</v>
      </c>
      <c r="N951" s="49" t="s">
        <v>9858</v>
      </c>
      <c r="P951" s="49" t="s">
        <v>9859</v>
      </c>
      <c r="Q951" s="49">
        <v>0</v>
      </c>
      <c r="R951" s="49" t="s">
        <v>9860</v>
      </c>
      <c r="S951" s="49" t="s">
        <v>9861</v>
      </c>
      <c r="T951" s="49" t="s">
        <v>646</v>
      </c>
      <c r="U951" s="49" t="s">
        <v>670</v>
      </c>
      <c r="V951" s="49" t="e">
        <v>#REF!</v>
      </c>
      <c r="AC951" s="49"/>
      <c r="AD951" s="49"/>
    </row>
    <row r="952" spans="1:30" hidden="1" x14ac:dyDescent="0.3">
      <c r="A952" s="49" t="s">
        <v>9862</v>
      </c>
      <c r="B952" s="49">
        <v>0</v>
      </c>
      <c r="C952" s="49"/>
      <c r="D952" s="72" t="s">
        <v>717</v>
      </c>
      <c r="E952" s="73">
        <v>0</v>
      </c>
      <c r="F952" s="49"/>
      <c r="G952" s="49"/>
      <c r="H952" s="49" t="s">
        <v>9863</v>
      </c>
      <c r="I952" s="49" t="s">
        <v>9866</v>
      </c>
      <c r="J952" s="49" t="s">
        <v>9864</v>
      </c>
      <c r="K952" s="49" t="s">
        <v>9865</v>
      </c>
      <c r="L952" s="49">
        <v>0</v>
      </c>
      <c r="M952" s="49" t="s">
        <v>1734</v>
      </c>
      <c r="N952" s="49" t="s">
        <v>4830</v>
      </c>
      <c r="P952" s="49" t="s">
        <v>9867</v>
      </c>
      <c r="Q952" s="49">
        <v>0</v>
      </c>
      <c r="R952" s="49" t="s">
        <v>9868</v>
      </c>
      <c r="S952" s="49" t="s">
        <v>9869</v>
      </c>
      <c r="T952" s="49" t="s">
        <v>9870</v>
      </c>
      <c r="U952" s="49" t="s">
        <v>655</v>
      </c>
      <c r="V952" s="49" t="e">
        <v>#REF!</v>
      </c>
      <c r="AC952" s="49"/>
      <c r="AD952" s="49"/>
    </row>
    <row r="953" spans="1:30" hidden="1" x14ac:dyDescent="0.3">
      <c r="A953" s="49" t="s">
        <v>9871</v>
      </c>
      <c r="B953" s="49">
        <v>0</v>
      </c>
      <c r="C953" s="49"/>
      <c r="D953" s="72" t="s">
        <v>717</v>
      </c>
      <c r="E953" s="73">
        <v>0</v>
      </c>
      <c r="F953" s="49"/>
      <c r="G953" s="49"/>
      <c r="H953" s="49" t="s">
        <v>9872</v>
      </c>
      <c r="I953" s="49" t="s">
        <v>9875</v>
      </c>
      <c r="J953" s="49" t="s">
        <v>9873</v>
      </c>
      <c r="K953" s="49" t="s">
        <v>9874</v>
      </c>
      <c r="L953" s="49">
        <v>0</v>
      </c>
      <c r="M953" s="49" t="s">
        <v>1865</v>
      </c>
      <c r="N953" s="49" t="s">
        <v>9876</v>
      </c>
      <c r="O953" s="49">
        <v>2</v>
      </c>
      <c r="P953" s="49" t="s">
        <v>9877</v>
      </c>
      <c r="Q953" s="49">
        <v>0</v>
      </c>
      <c r="R953" s="49" t="s">
        <v>9878</v>
      </c>
      <c r="S953" s="49" t="s">
        <v>9879</v>
      </c>
      <c r="T953" s="49" t="s">
        <v>646</v>
      </c>
      <c r="U953" s="49" t="s">
        <v>655</v>
      </c>
      <c r="V953" s="49" t="e">
        <v>#REF!</v>
      </c>
      <c r="AC953" s="49"/>
      <c r="AD953" s="49"/>
    </row>
    <row r="954" spans="1:30" hidden="1" x14ac:dyDescent="0.3">
      <c r="A954" s="49" t="s">
        <v>9880</v>
      </c>
      <c r="B954" s="49">
        <v>0</v>
      </c>
      <c r="C954" s="49"/>
      <c r="D954" s="72" t="s">
        <v>717</v>
      </c>
      <c r="E954" s="73">
        <v>0</v>
      </c>
      <c r="F954" s="49"/>
      <c r="G954" s="49"/>
      <c r="H954" s="49" t="s">
        <v>9881</v>
      </c>
      <c r="I954" s="49" t="s">
        <v>9884</v>
      </c>
      <c r="J954" s="49" t="s">
        <v>9882</v>
      </c>
      <c r="K954" s="49" t="s">
        <v>9883</v>
      </c>
      <c r="L954" s="49">
        <v>0</v>
      </c>
      <c r="M954" s="49" t="s">
        <v>1865</v>
      </c>
      <c r="N954" s="49" t="s">
        <v>9885</v>
      </c>
      <c r="O954" s="49">
        <v>1</v>
      </c>
      <c r="P954" s="49" t="s">
        <v>9886</v>
      </c>
      <c r="Q954" s="49">
        <v>0</v>
      </c>
      <c r="R954" s="49" t="s">
        <v>9887</v>
      </c>
      <c r="S954" s="49" t="s">
        <v>9888</v>
      </c>
      <c r="T954" s="49" t="s">
        <v>9889</v>
      </c>
      <c r="U954" s="49" t="s">
        <v>655</v>
      </c>
      <c r="V954" s="49" t="e">
        <v>#REF!</v>
      </c>
      <c r="AC954" s="49"/>
      <c r="AD954" s="49"/>
    </row>
    <row r="955" spans="1:30" hidden="1" x14ac:dyDescent="0.3">
      <c r="A955" s="49" t="s">
        <v>9890</v>
      </c>
      <c r="B955" s="49">
        <v>0</v>
      </c>
      <c r="C955" s="49"/>
      <c r="D955" s="72" t="s">
        <v>717</v>
      </c>
      <c r="E955" s="73">
        <v>0</v>
      </c>
      <c r="F955" s="49"/>
      <c r="G955" s="49"/>
      <c r="H955" s="49" t="s">
        <v>9891</v>
      </c>
      <c r="I955" s="49" t="s">
        <v>9894</v>
      </c>
      <c r="J955" s="49" t="s">
        <v>9892</v>
      </c>
      <c r="K955" s="49" t="s">
        <v>9893</v>
      </c>
      <c r="L955" s="49">
        <v>0</v>
      </c>
      <c r="M955" s="49" t="s">
        <v>1734</v>
      </c>
      <c r="N955" s="49" t="s">
        <v>9895</v>
      </c>
      <c r="O955" s="49">
        <v>3</v>
      </c>
      <c r="P955" s="49" t="s">
        <v>9896</v>
      </c>
      <c r="Q955" s="49">
        <v>0</v>
      </c>
      <c r="R955" s="49" t="s">
        <v>9897</v>
      </c>
      <c r="S955" s="49" t="s">
        <v>9898</v>
      </c>
      <c r="T955" s="49" t="s">
        <v>9899</v>
      </c>
      <c r="U955" s="49" t="s">
        <v>655</v>
      </c>
      <c r="V955" s="49" t="e">
        <v>#REF!</v>
      </c>
      <c r="AC955" s="49"/>
      <c r="AD955" s="49"/>
    </row>
    <row r="956" spans="1:30" hidden="1" x14ac:dyDescent="0.3">
      <c r="A956" s="49" t="s">
        <v>9900</v>
      </c>
      <c r="B956" s="49">
        <v>0</v>
      </c>
      <c r="C956" s="49"/>
      <c r="D956" s="72" t="s">
        <v>717</v>
      </c>
      <c r="E956" s="73">
        <v>0</v>
      </c>
      <c r="F956" s="49"/>
      <c r="G956" s="49"/>
      <c r="H956" s="49" t="s">
        <v>9901</v>
      </c>
      <c r="I956" s="49" t="s">
        <v>9904</v>
      </c>
      <c r="J956" s="49" t="s">
        <v>9902</v>
      </c>
      <c r="K956" s="49" t="s">
        <v>9903</v>
      </c>
      <c r="L956" s="49">
        <v>0</v>
      </c>
      <c r="M956" s="49" t="s">
        <v>1734</v>
      </c>
      <c r="N956" s="49" t="s">
        <v>8606</v>
      </c>
      <c r="P956" s="49" t="s">
        <v>9905</v>
      </c>
      <c r="Q956" s="49">
        <v>0</v>
      </c>
      <c r="R956" s="49" t="s">
        <v>9906</v>
      </c>
      <c r="S956" s="49" t="s">
        <v>9907</v>
      </c>
      <c r="T956" s="49" t="s">
        <v>9908</v>
      </c>
      <c r="U956" s="49" t="s">
        <v>655</v>
      </c>
      <c r="V956" s="49" t="e">
        <v>#REF!</v>
      </c>
      <c r="AC956" s="49"/>
      <c r="AD956" s="49"/>
    </row>
    <row r="957" spans="1:30" hidden="1" x14ac:dyDescent="0.3">
      <c r="A957" s="49" t="s">
        <v>9909</v>
      </c>
      <c r="B957" s="49">
        <v>0</v>
      </c>
      <c r="C957" s="49"/>
      <c r="D957" s="72" t="s">
        <v>717</v>
      </c>
      <c r="E957" s="73">
        <v>0</v>
      </c>
      <c r="F957" s="49"/>
      <c r="G957" s="49"/>
      <c r="H957" s="49" t="s">
        <v>9910</v>
      </c>
      <c r="I957" s="49" t="s">
        <v>9913</v>
      </c>
      <c r="J957" s="49" t="s">
        <v>9911</v>
      </c>
      <c r="K957" s="49" t="s">
        <v>9912</v>
      </c>
      <c r="L957" s="49">
        <v>0</v>
      </c>
      <c r="M957" s="49" t="s">
        <v>1734</v>
      </c>
      <c r="N957" s="49" t="s">
        <v>9914</v>
      </c>
      <c r="P957" s="49" t="s">
        <v>9915</v>
      </c>
      <c r="Q957" s="49">
        <v>0</v>
      </c>
      <c r="R957" s="49" t="s">
        <v>9916</v>
      </c>
      <c r="S957" s="49" t="s">
        <v>9917</v>
      </c>
      <c r="T957" s="49" t="s">
        <v>9918</v>
      </c>
      <c r="U957" s="49" t="s">
        <v>655</v>
      </c>
      <c r="V957" s="49" t="e">
        <v>#REF!</v>
      </c>
      <c r="AC957" s="49"/>
      <c r="AD957" s="49"/>
    </row>
    <row r="958" spans="1:30" x14ac:dyDescent="0.3">
      <c r="A958" s="49" t="s">
        <v>9920</v>
      </c>
      <c r="B958" s="49" t="s">
        <v>9919</v>
      </c>
      <c r="C958" s="49">
        <v>1</v>
      </c>
      <c r="D958" s="72" t="s">
        <v>717</v>
      </c>
      <c r="E958" s="74">
        <v>1</v>
      </c>
      <c r="F958" s="73" t="s">
        <v>645</v>
      </c>
      <c r="G958" s="49">
        <v>1</v>
      </c>
      <c r="H958" s="49" t="s">
        <v>9921</v>
      </c>
      <c r="I958" s="49" t="s">
        <v>9924</v>
      </c>
      <c r="J958" s="49" t="s">
        <v>9922</v>
      </c>
      <c r="K958" s="49" t="s">
        <v>9923</v>
      </c>
      <c r="L958" s="49">
        <v>0</v>
      </c>
      <c r="M958" s="75" t="s">
        <v>1734</v>
      </c>
      <c r="N958" s="49" t="s">
        <v>1494</v>
      </c>
      <c r="P958" s="49" t="s">
        <v>9925</v>
      </c>
      <c r="Q958" s="49">
        <v>0</v>
      </c>
      <c r="R958" s="49" t="s">
        <v>9926</v>
      </c>
      <c r="S958" s="49" t="s">
        <v>9927</v>
      </c>
      <c r="T958" s="49" t="s">
        <v>9928</v>
      </c>
      <c r="U958" s="49" t="s">
        <v>646</v>
      </c>
      <c r="V958" s="49" t="e">
        <v>#REF!</v>
      </c>
      <c r="AC958" s="49"/>
      <c r="AD958" s="49"/>
    </row>
    <row r="959" spans="1:30" hidden="1" x14ac:dyDescent="0.3">
      <c r="A959" s="49" t="s">
        <v>9929</v>
      </c>
      <c r="B959" s="49">
        <v>0</v>
      </c>
      <c r="C959" s="49"/>
      <c r="D959" s="72" t="s">
        <v>717</v>
      </c>
      <c r="E959" s="73">
        <v>0</v>
      </c>
      <c r="F959" s="49"/>
      <c r="G959" s="49"/>
      <c r="H959" s="49" t="s">
        <v>9930</v>
      </c>
      <c r="I959" s="49" t="s">
        <v>9933</v>
      </c>
      <c r="J959" s="49" t="s">
        <v>9931</v>
      </c>
      <c r="K959" s="49" t="s">
        <v>9932</v>
      </c>
      <c r="L959" s="49">
        <v>0</v>
      </c>
      <c r="M959" s="49" t="s">
        <v>1745</v>
      </c>
      <c r="N959" s="49" t="s">
        <v>6071</v>
      </c>
      <c r="O959" s="49">
        <v>1</v>
      </c>
      <c r="P959" s="49" t="s">
        <v>9934</v>
      </c>
      <c r="Q959" s="49">
        <v>0</v>
      </c>
      <c r="R959" s="49" t="s">
        <v>9935</v>
      </c>
      <c r="S959" s="49" t="s">
        <v>9936</v>
      </c>
      <c r="T959" s="49" t="s">
        <v>9937</v>
      </c>
      <c r="U959" s="49" t="s">
        <v>655</v>
      </c>
      <c r="V959" s="49" t="e">
        <v>#REF!</v>
      </c>
      <c r="AC959" s="49"/>
      <c r="AD959" s="49"/>
    </row>
    <row r="960" spans="1:30" hidden="1" x14ac:dyDescent="0.3">
      <c r="A960" s="49" t="s">
        <v>9938</v>
      </c>
      <c r="B960" s="49">
        <v>0</v>
      </c>
      <c r="C960" s="49" t="s">
        <v>3753</v>
      </c>
      <c r="D960" s="72" t="s">
        <v>717</v>
      </c>
      <c r="E960" s="74" t="s">
        <v>3754</v>
      </c>
      <c r="F960" s="73" t="s">
        <v>3754</v>
      </c>
      <c r="G960" s="49" t="s">
        <v>3753</v>
      </c>
      <c r="H960" s="49" t="s">
        <v>1630</v>
      </c>
      <c r="I960" s="49" t="s">
        <v>9941</v>
      </c>
      <c r="J960" s="49" t="s">
        <v>9939</v>
      </c>
      <c r="K960" s="49" t="s">
        <v>9940</v>
      </c>
      <c r="L960" s="49">
        <v>0</v>
      </c>
      <c r="M960" s="75" t="s">
        <v>1865</v>
      </c>
      <c r="N960" s="49" t="s">
        <v>1494</v>
      </c>
      <c r="O960" s="49">
        <v>8</v>
      </c>
      <c r="P960" s="49" t="s">
        <v>9942</v>
      </c>
      <c r="Q960" s="49">
        <v>0</v>
      </c>
      <c r="R960" s="49" t="s">
        <v>9943</v>
      </c>
      <c r="S960" s="49" t="s">
        <v>9944</v>
      </c>
      <c r="T960" s="49" t="s">
        <v>9945</v>
      </c>
      <c r="U960" s="49" t="s">
        <v>646</v>
      </c>
      <c r="V960" s="49" t="e">
        <v>#REF!</v>
      </c>
      <c r="AC960" s="49"/>
      <c r="AD960" s="49"/>
    </row>
    <row r="961" spans="1:30" hidden="1" x14ac:dyDescent="0.3">
      <c r="A961" s="49" t="s">
        <v>9946</v>
      </c>
      <c r="B961" s="49">
        <v>0</v>
      </c>
      <c r="C961" s="49"/>
      <c r="D961" s="72" t="s">
        <v>717</v>
      </c>
      <c r="E961" s="73">
        <v>0</v>
      </c>
      <c r="F961" s="49"/>
      <c r="G961" s="49"/>
      <c r="H961" s="49" t="s">
        <v>9947</v>
      </c>
      <c r="I961" s="49" t="s">
        <v>9950</v>
      </c>
      <c r="J961" s="49" t="s">
        <v>9948</v>
      </c>
      <c r="K961" s="49" t="s">
        <v>9949</v>
      </c>
      <c r="L961" s="49">
        <v>0</v>
      </c>
      <c r="M961" s="49" t="s">
        <v>1734</v>
      </c>
      <c r="N961" s="49" t="s">
        <v>8606</v>
      </c>
      <c r="P961" s="49" t="s">
        <v>9951</v>
      </c>
      <c r="Q961" s="49">
        <v>0</v>
      </c>
      <c r="R961" s="49" t="s">
        <v>9952</v>
      </c>
      <c r="S961" s="49" t="s">
        <v>9953</v>
      </c>
      <c r="T961" s="49" t="s">
        <v>9954</v>
      </c>
      <c r="U961" s="49" t="s">
        <v>655</v>
      </c>
      <c r="V961" s="49" t="e">
        <v>#REF!</v>
      </c>
      <c r="AC961" s="49"/>
      <c r="AD961" s="49"/>
    </row>
    <row r="962" spans="1:30" hidden="1" x14ac:dyDescent="0.3">
      <c r="A962" s="49" t="s">
        <v>9955</v>
      </c>
      <c r="B962" s="49">
        <v>0</v>
      </c>
      <c r="C962" s="49"/>
      <c r="D962" s="72" t="s">
        <v>717</v>
      </c>
      <c r="E962" s="73">
        <v>0</v>
      </c>
      <c r="F962" s="49"/>
      <c r="G962" s="49"/>
      <c r="H962" s="49" t="s">
        <v>9956</v>
      </c>
      <c r="I962" s="49" t="s">
        <v>9959</v>
      </c>
      <c r="J962" s="49" t="s">
        <v>9957</v>
      </c>
      <c r="K962" s="49" t="s">
        <v>9958</v>
      </c>
      <c r="L962" s="49">
        <v>0</v>
      </c>
      <c r="M962" s="49" t="s">
        <v>1734</v>
      </c>
      <c r="N962" s="49" t="s">
        <v>9960</v>
      </c>
      <c r="O962" s="49">
        <v>5</v>
      </c>
      <c r="P962" s="49" t="s">
        <v>9961</v>
      </c>
      <c r="Q962" s="49">
        <v>0</v>
      </c>
      <c r="R962" s="49" t="s">
        <v>9962</v>
      </c>
      <c r="S962" s="49" t="s">
        <v>9963</v>
      </c>
      <c r="T962" s="49" t="s">
        <v>9964</v>
      </c>
      <c r="U962" s="49" t="s">
        <v>655</v>
      </c>
      <c r="V962" s="49" t="e">
        <v>#REF!</v>
      </c>
      <c r="AC962" s="49"/>
      <c r="AD962" s="49"/>
    </row>
    <row r="963" spans="1:30" hidden="1" x14ac:dyDescent="0.3">
      <c r="A963" s="49" t="s">
        <v>9965</v>
      </c>
      <c r="B963" s="49">
        <v>0</v>
      </c>
      <c r="C963" s="49"/>
      <c r="D963" s="72" t="s">
        <v>717</v>
      </c>
      <c r="E963" s="73">
        <v>0</v>
      </c>
      <c r="F963" s="49"/>
      <c r="G963" s="49"/>
      <c r="H963" s="49" t="s">
        <v>9966</v>
      </c>
      <c r="I963" s="49" t="s">
        <v>9969</v>
      </c>
      <c r="J963" s="49" t="s">
        <v>9967</v>
      </c>
      <c r="K963" s="49" t="s">
        <v>9968</v>
      </c>
      <c r="L963" s="49">
        <v>0</v>
      </c>
      <c r="M963" s="49" t="s">
        <v>1734</v>
      </c>
      <c r="N963" s="49" t="s">
        <v>9970</v>
      </c>
      <c r="O963" s="49">
        <v>4</v>
      </c>
      <c r="P963" s="49" t="s">
        <v>9971</v>
      </c>
      <c r="Q963" s="49">
        <v>0</v>
      </c>
      <c r="R963" s="49" t="s">
        <v>9972</v>
      </c>
      <c r="S963" s="49" t="s">
        <v>9973</v>
      </c>
      <c r="T963" s="49" t="s">
        <v>9974</v>
      </c>
      <c r="U963" s="49" t="s">
        <v>655</v>
      </c>
      <c r="V963" s="49" t="e">
        <v>#REF!</v>
      </c>
      <c r="AC963" s="49"/>
      <c r="AD963" s="49"/>
    </row>
    <row r="964" spans="1:30" hidden="1" x14ac:dyDescent="0.3">
      <c r="A964" s="49" t="s">
        <v>9975</v>
      </c>
      <c r="B964" s="49">
        <v>0</v>
      </c>
      <c r="C964" s="49"/>
      <c r="D964" s="72" t="s">
        <v>717</v>
      </c>
      <c r="E964" s="73">
        <v>0</v>
      </c>
      <c r="F964" s="49"/>
      <c r="G964" s="49"/>
      <c r="H964" s="49" t="s">
        <v>9976</v>
      </c>
      <c r="I964" s="49" t="s">
        <v>9979</v>
      </c>
      <c r="J964" s="49" t="s">
        <v>9977</v>
      </c>
      <c r="K964" s="49" t="s">
        <v>9978</v>
      </c>
      <c r="L964" s="49">
        <v>0</v>
      </c>
      <c r="M964" s="49" t="s">
        <v>1745</v>
      </c>
      <c r="N964" s="49" t="s">
        <v>9980</v>
      </c>
      <c r="O964" s="49">
        <v>1</v>
      </c>
      <c r="P964" s="49" t="s">
        <v>9981</v>
      </c>
      <c r="Q964" s="49">
        <v>0</v>
      </c>
      <c r="R964" s="49" t="s">
        <v>9982</v>
      </c>
      <c r="S964" s="49" t="s">
        <v>9983</v>
      </c>
      <c r="T964" s="49" t="s">
        <v>9984</v>
      </c>
      <c r="U964" s="49" t="s">
        <v>646</v>
      </c>
      <c r="V964" s="49" t="e">
        <v>#REF!</v>
      </c>
      <c r="AC964" s="49"/>
      <c r="AD964" s="49"/>
    </row>
    <row r="965" spans="1:30" hidden="1" x14ac:dyDescent="0.3">
      <c r="A965" s="49" t="s">
        <v>9985</v>
      </c>
      <c r="B965" s="49">
        <v>0</v>
      </c>
      <c r="C965" s="49"/>
      <c r="D965" s="72" t="s">
        <v>717</v>
      </c>
      <c r="E965" s="73">
        <v>0</v>
      </c>
      <c r="F965" s="49"/>
      <c r="G965" s="49"/>
      <c r="H965" s="49" t="s">
        <v>9986</v>
      </c>
      <c r="I965" s="49" t="s">
        <v>9989</v>
      </c>
      <c r="J965" s="49" t="s">
        <v>9987</v>
      </c>
      <c r="K965" s="49" t="s">
        <v>9988</v>
      </c>
      <c r="L965" s="49">
        <v>0</v>
      </c>
      <c r="M965" s="49" t="s">
        <v>1734</v>
      </c>
      <c r="N965" s="49" t="s">
        <v>9990</v>
      </c>
      <c r="P965" s="49" t="s">
        <v>9991</v>
      </c>
      <c r="Q965" s="49">
        <v>0</v>
      </c>
      <c r="R965" s="49" t="s">
        <v>9992</v>
      </c>
      <c r="S965" s="49" t="s">
        <v>9993</v>
      </c>
      <c r="T965" s="49" t="s">
        <v>9994</v>
      </c>
      <c r="U965" s="49" t="s">
        <v>655</v>
      </c>
      <c r="V965" s="49" t="e">
        <v>#REF!</v>
      </c>
      <c r="AC965" s="49"/>
      <c r="AD965" s="49"/>
    </row>
    <row r="966" spans="1:30" hidden="1" x14ac:dyDescent="0.3">
      <c r="A966" s="49" t="s">
        <v>9995</v>
      </c>
      <c r="B966" s="49">
        <v>0</v>
      </c>
      <c r="C966" s="49"/>
      <c r="D966" s="72" t="s">
        <v>717</v>
      </c>
      <c r="E966" s="73">
        <v>0</v>
      </c>
      <c r="F966" s="49"/>
      <c r="G966" s="49"/>
      <c r="H966" s="49" t="s">
        <v>9996</v>
      </c>
      <c r="I966" s="49" t="s">
        <v>9999</v>
      </c>
      <c r="J966" s="49" t="s">
        <v>9997</v>
      </c>
      <c r="K966" s="49" t="s">
        <v>9998</v>
      </c>
      <c r="L966" s="49">
        <v>0</v>
      </c>
      <c r="M966" s="49" t="s">
        <v>1734</v>
      </c>
      <c r="N966" s="49" t="s">
        <v>3065</v>
      </c>
      <c r="P966" s="49" t="s">
        <v>10000</v>
      </c>
      <c r="Q966" s="49">
        <v>0</v>
      </c>
      <c r="R966" s="49" t="s">
        <v>10001</v>
      </c>
      <c r="S966" s="49" t="s">
        <v>10002</v>
      </c>
      <c r="T966" s="49" t="s">
        <v>10003</v>
      </c>
      <c r="U966" s="49" t="s">
        <v>655</v>
      </c>
      <c r="V966" s="49" t="e">
        <v>#REF!</v>
      </c>
      <c r="AC966" s="49"/>
      <c r="AD966" s="49"/>
    </row>
    <row r="967" spans="1:30" hidden="1" x14ac:dyDescent="0.3">
      <c r="A967" s="49" t="s">
        <v>10004</v>
      </c>
      <c r="B967" s="49">
        <v>0</v>
      </c>
      <c r="C967" s="49"/>
      <c r="D967" s="72" t="s">
        <v>717</v>
      </c>
      <c r="E967" s="73">
        <v>0</v>
      </c>
      <c r="F967" s="49"/>
      <c r="G967" s="49"/>
      <c r="H967" s="49" t="s">
        <v>10005</v>
      </c>
      <c r="I967" s="49" t="s">
        <v>10008</v>
      </c>
      <c r="J967" s="49" t="s">
        <v>10006</v>
      </c>
      <c r="K967" s="49" t="s">
        <v>10007</v>
      </c>
      <c r="L967" s="49">
        <v>0</v>
      </c>
      <c r="M967" s="49" t="s">
        <v>1734</v>
      </c>
      <c r="N967" s="49" t="s">
        <v>10009</v>
      </c>
      <c r="O967" s="49">
        <v>6</v>
      </c>
      <c r="P967" s="49" t="s">
        <v>10010</v>
      </c>
      <c r="Q967" s="49">
        <v>0</v>
      </c>
      <c r="R967" s="49" t="s">
        <v>10011</v>
      </c>
      <c r="S967" s="49" t="s">
        <v>10012</v>
      </c>
      <c r="T967" s="49" t="s">
        <v>10013</v>
      </c>
      <c r="U967" s="49" t="s">
        <v>655</v>
      </c>
      <c r="V967" s="49" t="e">
        <v>#REF!</v>
      </c>
      <c r="AC967" s="49"/>
      <c r="AD967" s="49"/>
    </row>
    <row r="968" spans="1:30" hidden="1" x14ac:dyDescent="0.3">
      <c r="A968" s="49" t="s">
        <v>10014</v>
      </c>
      <c r="B968" s="49">
        <v>0</v>
      </c>
      <c r="C968" s="49"/>
      <c r="D968" s="72" t="s">
        <v>717</v>
      </c>
      <c r="E968" s="73">
        <v>0</v>
      </c>
      <c r="F968" s="49"/>
      <c r="G968" s="49"/>
      <c r="H968" s="49" t="s">
        <v>10015</v>
      </c>
      <c r="I968" s="49" t="s">
        <v>10018</v>
      </c>
      <c r="J968" s="49" t="s">
        <v>10016</v>
      </c>
      <c r="K968" s="49" t="s">
        <v>10017</v>
      </c>
      <c r="L968" s="49">
        <v>0</v>
      </c>
      <c r="M968" s="49" t="s">
        <v>1734</v>
      </c>
      <c r="N968" s="49" t="s">
        <v>4510</v>
      </c>
      <c r="P968" s="49" t="s">
        <v>10019</v>
      </c>
      <c r="Q968" s="49">
        <v>0</v>
      </c>
      <c r="R968" s="49" t="s">
        <v>10020</v>
      </c>
      <c r="S968" s="49" t="s">
        <v>10021</v>
      </c>
      <c r="T968" s="49" t="s">
        <v>10022</v>
      </c>
      <c r="U968" s="49" t="s">
        <v>655</v>
      </c>
      <c r="V968" s="49" t="e">
        <v>#REF!</v>
      </c>
      <c r="AC968" s="49"/>
      <c r="AD968" s="49"/>
    </row>
    <row r="969" spans="1:30" hidden="1" x14ac:dyDescent="0.3">
      <c r="A969" s="49" t="s">
        <v>10023</v>
      </c>
      <c r="B969" s="49">
        <v>0</v>
      </c>
      <c r="C969" s="49"/>
      <c r="D969" s="72" t="s">
        <v>717</v>
      </c>
      <c r="E969" s="73">
        <v>0</v>
      </c>
      <c r="F969" s="49"/>
      <c r="G969" s="49"/>
      <c r="H969" s="49" t="s">
        <v>10024</v>
      </c>
      <c r="I969" s="49" t="s">
        <v>10027</v>
      </c>
      <c r="J969" s="49" t="s">
        <v>10025</v>
      </c>
      <c r="K969" s="49" t="s">
        <v>10026</v>
      </c>
      <c r="L969" s="49">
        <v>0</v>
      </c>
      <c r="M969" s="49" t="s">
        <v>1745</v>
      </c>
      <c r="N969" s="49" t="s">
        <v>10028</v>
      </c>
      <c r="P969" s="49" t="s">
        <v>10029</v>
      </c>
      <c r="Q969" s="49">
        <v>0</v>
      </c>
      <c r="R969" s="49" t="s">
        <v>10030</v>
      </c>
      <c r="S969" s="49" t="s">
        <v>10031</v>
      </c>
      <c r="T969" s="49" t="s">
        <v>10032</v>
      </c>
      <c r="U969" s="49" t="s">
        <v>655</v>
      </c>
      <c r="V969" s="49" t="e">
        <v>#REF!</v>
      </c>
      <c r="AC969" s="49"/>
      <c r="AD969" s="49"/>
    </row>
    <row r="970" spans="1:30" hidden="1" x14ac:dyDescent="0.3">
      <c r="A970" s="49" t="s">
        <v>10033</v>
      </c>
      <c r="B970" s="49">
        <v>0</v>
      </c>
      <c r="C970" s="49"/>
      <c r="D970" s="72" t="s">
        <v>717</v>
      </c>
      <c r="E970" s="73">
        <v>0</v>
      </c>
      <c r="F970" s="49"/>
      <c r="G970" s="49"/>
      <c r="H970" s="49" t="s">
        <v>10034</v>
      </c>
      <c r="I970" s="49" t="s">
        <v>10037</v>
      </c>
      <c r="J970" s="49" t="s">
        <v>10035</v>
      </c>
      <c r="K970" s="49" t="s">
        <v>10036</v>
      </c>
      <c r="L970" s="49">
        <v>0</v>
      </c>
      <c r="M970" s="49" t="s">
        <v>1745</v>
      </c>
      <c r="N970" s="49" t="s">
        <v>10038</v>
      </c>
      <c r="P970" s="49" t="s">
        <v>10039</v>
      </c>
      <c r="Q970" s="49">
        <v>0</v>
      </c>
      <c r="R970" s="49" t="s">
        <v>10040</v>
      </c>
      <c r="S970" s="49" t="s">
        <v>10041</v>
      </c>
      <c r="T970" s="49" t="s">
        <v>10042</v>
      </c>
      <c r="U970" s="49" t="s">
        <v>670</v>
      </c>
      <c r="V970" s="49" t="e">
        <v>#REF!</v>
      </c>
      <c r="AC970" s="49"/>
      <c r="AD970" s="49"/>
    </row>
    <row r="971" spans="1:30" hidden="1" x14ac:dyDescent="0.3">
      <c r="A971" s="49" t="s">
        <v>10043</v>
      </c>
      <c r="B971" s="49">
        <v>0</v>
      </c>
      <c r="C971" s="49"/>
      <c r="D971" s="72" t="s">
        <v>717</v>
      </c>
      <c r="E971" s="73">
        <v>0</v>
      </c>
      <c r="F971" s="49"/>
      <c r="G971" s="49"/>
      <c r="H971" s="49" t="s">
        <v>10044</v>
      </c>
      <c r="I971" s="49" t="s">
        <v>10047</v>
      </c>
      <c r="J971" s="49" t="s">
        <v>10045</v>
      </c>
      <c r="K971" s="49" t="s">
        <v>10046</v>
      </c>
      <c r="L971" s="49">
        <v>0</v>
      </c>
      <c r="M971" s="49" t="s">
        <v>1734</v>
      </c>
      <c r="N971" s="49" t="s">
        <v>10048</v>
      </c>
      <c r="P971" s="49" t="s">
        <v>10049</v>
      </c>
      <c r="Q971" s="49">
        <v>0</v>
      </c>
      <c r="R971" s="49" t="s">
        <v>10050</v>
      </c>
      <c r="S971" s="49" t="s">
        <v>10051</v>
      </c>
      <c r="T971" s="49" t="s">
        <v>10052</v>
      </c>
      <c r="U971" s="49" t="s">
        <v>655</v>
      </c>
      <c r="V971" s="49" t="e">
        <v>#REF!</v>
      </c>
      <c r="AC971" s="49"/>
      <c r="AD971" s="49"/>
    </row>
    <row r="972" spans="1:30" hidden="1" x14ac:dyDescent="0.3">
      <c r="A972" s="49" t="s">
        <v>10053</v>
      </c>
      <c r="B972" s="49">
        <v>0</v>
      </c>
      <c r="C972" s="49"/>
      <c r="D972" s="72" t="s">
        <v>717</v>
      </c>
      <c r="E972" s="73">
        <v>0</v>
      </c>
      <c r="F972" s="49"/>
      <c r="G972" s="49"/>
      <c r="H972" s="49" t="s">
        <v>10054</v>
      </c>
      <c r="I972" s="49" t="s">
        <v>10057</v>
      </c>
      <c r="J972" s="49" t="s">
        <v>10055</v>
      </c>
      <c r="K972" s="49" t="s">
        <v>10056</v>
      </c>
      <c r="L972" s="49">
        <v>0</v>
      </c>
      <c r="M972" s="49" t="s">
        <v>1745</v>
      </c>
      <c r="N972" s="49" t="s">
        <v>818</v>
      </c>
      <c r="O972" s="49">
        <v>1</v>
      </c>
      <c r="P972" s="49" t="s">
        <v>10058</v>
      </c>
      <c r="Q972" s="49">
        <v>0</v>
      </c>
      <c r="R972" s="49" t="s">
        <v>10059</v>
      </c>
      <c r="S972" s="49" t="s">
        <v>10060</v>
      </c>
      <c r="T972" s="49" t="s">
        <v>10061</v>
      </c>
      <c r="U972" s="49" t="s">
        <v>670</v>
      </c>
      <c r="V972" s="49" t="e">
        <v>#REF!</v>
      </c>
      <c r="AC972" s="49"/>
      <c r="AD972" s="49"/>
    </row>
    <row r="973" spans="1:30" hidden="1" x14ac:dyDescent="0.3">
      <c r="A973" s="49" t="s">
        <v>10062</v>
      </c>
      <c r="B973" s="49">
        <v>0</v>
      </c>
      <c r="C973" s="49"/>
      <c r="D973" s="72" t="s">
        <v>717</v>
      </c>
      <c r="E973" s="73">
        <v>0</v>
      </c>
      <c r="F973" s="49"/>
      <c r="G973" s="49"/>
      <c r="H973" s="49" t="s">
        <v>10063</v>
      </c>
      <c r="I973" s="49" t="s">
        <v>10066</v>
      </c>
      <c r="J973" s="49" t="s">
        <v>10064</v>
      </c>
      <c r="K973" s="49" t="s">
        <v>10065</v>
      </c>
      <c r="L973" s="49">
        <v>0</v>
      </c>
      <c r="M973" s="49" t="s">
        <v>1734</v>
      </c>
      <c r="N973" s="49" t="s">
        <v>2647</v>
      </c>
      <c r="O973" s="49">
        <v>1</v>
      </c>
      <c r="P973" s="49" t="s">
        <v>10067</v>
      </c>
      <c r="Q973" s="49">
        <v>0</v>
      </c>
      <c r="R973" s="49" t="s">
        <v>10068</v>
      </c>
      <c r="S973" s="49" t="s">
        <v>10069</v>
      </c>
      <c r="T973" s="49" t="s">
        <v>10070</v>
      </c>
      <c r="U973" s="49" t="s">
        <v>655</v>
      </c>
      <c r="V973" s="49" t="e">
        <v>#REF!</v>
      </c>
      <c r="AC973" s="49"/>
      <c r="AD973" s="49"/>
    </row>
    <row r="974" spans="1:30" hidden="1" x14ac:dyDescent="0.3">
      <c r="A974" s="49" t="s">
        <v>10071</v>
      </c>
      <c r="B974" s="49">
        <v>0</v>
      </c>
      <c r="C974" s="49"/>
      <c r="D974" s="72" t="s">
        <v>717</v>
      </c>
      <c r="E974" s="73">
        <v>0</v>
      </c>
      <c r="F974" s="49"/>
      <c r="G974" s="49"/>
      <c r="H974" s="49" t="s">
        <v>10072</v>
      </c>
      <c r="I974" s="49" t="s">
        <v>10075</v>
      </c>
      <c r="J974" s="49" t="s">
        <v>10073</v>
      </c>
      <c r="K974" s="49" t="s">
        <v>10074</v>
      </c>
      <c r="L974" s="49">
        <v>0</v>
      </c>
      <c r="M974" s="49" t="s">
        <v>1734</v>
      </c>
      <c r="N974" s="49" t="s">
        <v>10076</v>
      </c>
      <c r="P974" s="49" t="s">
        <v>10077</v>
      </c>
      <c r="Q974" s="49">
        <v>0</v>
      </c>
      <c r="R974" s="49" t="s">
        <v>10078</v>
      </c>
      <c r="S974" s="49" t="s">
        <v>10079</v>
      </c>
      <c r="T974" s="49" t="s">
        <v>10080</v>
      </c>
      <c r="U974" s="49" t="s">
        <v>655</v>
      </c>
      <c r="V974" s="49" t="e">
        <v>#REF!</v>
      </c>
      <c r="AC974" s="49"/>
      <c r="AD974" s="49"/>
    </row>
    <row r="975" spans="1:30" hidden="1" x14ac:dyDescent="0.3">
      <c r="A975" s="49" t="s">
        <v>10081</v>
      </c>
      <c r="B975" s="49">
        <v>0</v>
      </c>
      <c r="C975" s="49"/>
      <c r="D975" s="72" t="s">
        <v>717</v>
      </c>
      <c r="E975" s="73">
        <v>0</v>
      </c>
      <c r="F975" s="49"/>
      <c r="G975" s="49"/>
      <c r="H975" s="49" t="s">
        <v>646</v>
      </c>
      <c r="I975" s="49" t="s">
        <v>10084</v>
      </c>
      <c r="J975" s="49" t="s">
        <v>10082</v>
      </c>
      <c r="K975" s="49" t="s">
        <v>10083</v>
      </c>
      <c r="L975" s="49">
        <v>0</v>
      </c>
      <c r="M975" s="49" t="s">
        <v>1826</v>
      </c>
      <c r="N975" s="49" t="s">
        <v>2741</v>
      </c>
      <c r="P975" s="49" t="s">
        <v>10085</v>
      </c>
      <c r="Q975" s="49">
        <v>0</v>
      </c>
      <c r="R975" s="49" t="s">
        <v>10086</v>
      </c>
      <c r="S975" s="49" t="s">
        <v>10087</v>
      </c>
      <c r="T975" s="49" t="s">
        <v>646</v>
      </c>
      <c r="U975" s="49" t="s">
        <v>670</v>
      </c>
      <c r="V975" s="49" t="e">
        <v>#REF!</v>
      </c>
      <c r="AC975" s="49"/>
      <c r="AD975" s="49"/>
    </row>
    <row r="976" spans="1:30" hidden="1" x14ac:dyDescent="0.3">
      <c r="A976" s="49" t="s">
        <v>10088</v>
      </c>
      <c r="B976" s="49">
        <v>0</v>
      </c>
      <c r="C976" s="49"/>
      <c r="D976" s="72" t="s">
        <v>717</v>
      </c>
      <c r="E976" s="73">
        <v>0</v>
      </c>
      <c r="F976" s="49"/>
      <c r="G976" s="49"/>
      <c r="H976" s="49" t="s">
        <v>10089</v>
      </c>
      <c r="I976" s="49" t="s">
        <v>10092</v>
      </c>
      <c r="J976" s="49" t="s">
        <v>10090</v>
      </c>
      <c r="K976" s="49" t="s">
        <v>10091</v>
      </c>
      <c r="L976" s="49">
        <v>0</v>
      </c>
      <c r="M976" s="49" t="s">
        <v>1745</v>
      </c>
      <c r="N976" s="49" t="s">
        <v>10093</v>
      </c>
      <c r="O976" s="49">
        <v>1</v>
      </c>
      <c r="P976" s="49" t="s">
        <v>10094</v>
      </c>
      <c r="Q976" s="49">
        <v>0</v>
      </c>
      <c r="R976" s="49" t="s">
        <v>10095</v>
      </c>
      <c r="S976" s="49" t="s">
        <v>10096</v>
      </c>
      <c r="T976" s="49" t="s">
        <v>10097</v>
      </c>
      <c r="U976" s="49" t="s">
        <v>655</v>
      </c>
      <c r="V976" s="49" t="e">
        <v>#REF!</v>
      </c>
      <c r="AC976" s="49"/>
      <c r="AD976" s="49"/>
    </row>
    <row r="977" spans="1:30" hidden="1" x14ac:dyDescent="0.3">
      <c r="A977" s="49" t="s">
        <v>10098</v>
      </c>
      <c r="B977" s="49">
        <v>0</v>
      </c>
      <c r="C977" s="49"/>
      <c r="D977" s="72" t="s">
        <v>717</v>
      </c>
      <c r="E977" s="73">
        <v>0</v>
      </c>
      <c r="F977" s="49"/>
      <c r="G977" s="49"/>
      <c r="H977" s="49" t="s">
        <v>10099</v>
      </c>
      <c r="I977" s="49" t="s">
        <v>10102</v>
      </c>
      <c r="J977" s="49" t="s">
        <v>10100</v>
      </c>
      <c r="K977" s="49" t="s">
        <v>10101</v>
      </c>
      <c r="L977" s="49">
        <v>0</v>
      </c>
      <c r="M977" s="49" t="s">
        <v>1745</v>
      </c>
      <c r="N977" s="49" t="s">
        <v>6013</v>
      </c>
      <c r="O977" s="49">
        <v>2</v>
      </c>
      <c r="P977" s="49" t="s">
        <v>10103</v>
      </c>
      <c r="Q977" s="49">
        <v>0</v>
      </c>
      <c r="R977" s="49" t="s">
        <v>10104</v>
      </c>
      <c r="S977" s="49" t="s">
        <v>10105</v>
      </c>
      <c r="T977" s="49" t="s">
        <v>10106</v>
      </c>
      <c r="U977" s="49" t="s">
        <v>655</v>
      </c>
      <c r="V977" s="49" t="e">
        <v>#REF!</v>
      </c>
      <c r="AC977" s="49"/>
      <c r="AD977" s="49"/>
    </row>
    <row r="978" spans="1:30" hidden="1" x14ac:dyDescent="0.3">
      <c r="A978" s="49" t="s">
        <v>10107</v>
      </c>
      <c r="B978" s="49">
        <v>0</v>
      </c>
      <c r="C978" s="49"/>
      <c r="D978" s="72" t="s">
        <v>717</v>
      </c>
      <c r="E978" s="73">
        <v>0</v>
      </c>
      <c r="F978" s="49"/>
      <c r="G978" s="49"/>
      <c r="H978" s="49" t="s">
        <v>10108</v>
      </c>
      <c r="I978" s="49" t="s">
        <v>10110</v>
      </c>
      <c r="J978" s="49" t="s">
        <v>9684</v>
      </c>
      <c r="K978" s="49" t="s">
        <v>10109</v>
      </c>
      <c r="L978" s="49">
        <v>0</v>
      </c>
      <c r="M978" s="49" t="s">
        <v>1745</v>
      </c>
      <c r="N978" s="49" t="s">
        <v>10111</v>
      </c>
      <c r="O978" s="49">
        <v>1</v>
      </c>
      <c r="P978" s="49" t="s">
        <v>10112</v>
      </c>
      <c r="Q978" s="49">
        <v>0</v>
      </c>
      <c r="R978" s="49" t="s">
        <v>9688</v>
      </c>
      <c r="S978" s="49" t="s">
        <v>10113</v>
      </c>
      <c r="T978" s="49" t="s">
        <v>10114</v>
      </c>
      <c r="U978" s="49" t="s">
        <v>655</v>
      </c>
      <c r="V978" s="49" t="e">
        <v>#REF!</v>
      </c>
      <c r="AC978" s="49"/>
      <c r="AD978" s="49"/>
    </row>
    <row r="979" spans="1:30" hidden="1" x14ac:dyDescent="0.3">
      <c r="A979" s="49" t="s">
        <v>10115</v>
      </c>
      <c r="B979" s="49">
        <v>0</v>
      </c>
      <c r="C979" s="49"/>
      <c r="D979" s="72" t="s">
        <v>717</v>
      </c>
      <c r="E979" s="73">
        <v>0</v>
      </c>
      <c r="F979" s="49"/>
      <c r="G979" s="49"/>
      <c r="H979" s="49" t="s">
        <v>10116</v>
      </c>
      <c r="I979" s="49" t="s">
        <v>10119</v>
      </c>
      <c r="J979" s="49" t="s">
        <v>10117</v>
      </c>
      <c r="K979" s="49" t="s">
        <v>10118</v>
      </c>
      <c r="L979" s="49">
        <v>0</v>
      </c>
      <c r="M979" s="49" t="s">
        <v>1745</v>
      </c>
      <c r="N979" s="49" t="s">
        <v>10120</v>
      </c>
      <c r="O979" s="49">
        <v>6</v>
      </c>
      <c r="P979" s="49" t="s">
        <v>10121</v>
      </c>
      <c r="Q979" s="49">
        <v>0</v>
      </c>
      <c r="R979" s="49" t="s">
        <v>10122</v>
      </c>
      <c r="S979" s="49" t="s">
        <v>10123</v>
      </c>
      <c r="T979" s="49" t="s">
        <v>10124</v>
      </c>
      <c r="U979" s="49" t="s">
        <v>655</v>
      </c>
      <c r="V979" s="49" t="e">
        <v>#REF!</v>
      </c>
      <c r="AC979" s="49"/>
      <c r="AD979" s="49"/>
    </row>
    <row r="980" spans="1:30" hidden="1" x14ac:dyDescent="0.3">
      <c r="A980" s="49" t="s">
        <v>10125</v>
      </c>
      <c r="B980" s="49">
        <v>0</v>
      </c>
      <c r="C980" s="49"/>
      <c r="D980" s="72" t="s">
        <v>717</v>
      </c>
      <c r="E980" s="73">
        <v>0</v>
      </c>
      <c r="F980" s="49"/>
      <c r="G980" s="49"/>
      <c r="H980" s="49" t="s">
        <v>10126</v>
      </c>
      <c r="I980" s="49" t="s">
        <v>10129</v>
      </c>
      <c r="J980" s="49" t="s">
        <v>10127</v>
      </c>
      <c r="K980" s="49" t="s">
        <v>10128</v>
      </c>
      <c r="L980" s="49">
        <v>0</v>
      </c>
      <c r="M980" s="49" t="s">
        <v>1734</v>
      </c>
      <c r="N980" s="49" t="s">
        <v>10130</v>
      </c>
      <c r="P980" s="49" t="s">
        <v>10131</v>
      </c>
      <c r="Q980" s="49">
        <v>0</v>
      </c>
      <c r="R980" s="49" t="s">
        <v>10132</v>
      </c>
      <c r="S980" s="49" t="s">
        <v>10133</v>
      </c>
      <c r="T980" s="49" t="s">
        <v>646</v>
      </c>
      <c r="U980" s="49" t="s">
        <v>655</v>
      </c>
      <c r="V980" s="49" t="e">
        <v>#REF!</v>
      </c>
      <c r="AC980" s="49"/>
      <c r="AD980" s="49"/>
    </row>
    <row r="981" spans="1:30" hidden="1" x14ac:dyDescent="0.3">
      <c r="A981" s="49" t="s">
        <v>10134</v>
      </c>
      <c r="B981" s="49">
        <v>0</v>
      </c>
      <c r="C981" s="49"/>
      <c r="D981" s="72" t="s">
        <v>717</v>
      </c>
      <c r="E981" s="73">
        <v>0</v>
      </c>
      <c r="F981" s="49"/>
      <c r="G981" s="49"/>
      <c r="H981" s="49" t="s">
        <v>10135</v>
      </c>
      <c r="I981" s="49" t="s">
        <v>10138</v>
      </c>
      <c r="J981" s="49" t="s">
        <v>10136</v>
      </c>
      <c r="K981" s="49" t="s">
        <v>10137</v>
      </c>
      <c r="L981" s="49">
        <v>0</v>
      </c>
      <c r="M981" s="49" t="s">
        <v>1745</v>
      </c>
      <c r="N981" s="49" t="s">
        <v>2016</v>
      </c>
      <c r="O981" s="49">
        <v>3</v>
      </c>
      <c r="P981" s="49" t="s">
        <v>10139</v>
      </c>
      <c r="Q981" s="49">
        <v>0</v>
      </c>
      <c r="R981" s="49" t="s">
        <v>10140</v>
      </c>
      <c r="S981" s="49" t="s">
        <v>10141</v>
      </c>
      <c r="T981" s="49" t="s">
        <v>10142</v>
      </c>
      <c r="U981" s="49" t="s">
        <v>655</v>
      </c>
      <c r="V981" s="49" t="e">
        <v>#REF!</v>
      </c>
      <c r="AC981" s="49"/>
      <c r="AD981" s="49"/>
    </row>
    <row r="982" spans="1:30" hidden="1" x14ac:dyDescent="0.3">
      <c r="A982" s="49" t="s">
        <v>10143</v>
      </c>
      <c r="B982" s="49">
        <v>0</v>
      </c>
      <c r="C982" s="49"/>
      <c r="D982" s="72" t="s">
        <v>717</v>
      </c>
      <c r="E982" s="73">
        <v>0</v>
      </c>
      <c r="F982" s="49"/>
      <c r="G982" s="49"/>
      <c r="H982" s="49" t="s">
        <v>10144</v>
      </c>
      <c r="I982" s="49" t="s">
        <v>10147</v>
      </c>
      <c r="J982" s="49" t="s">
        <v>10145</v>
      </c>
      <c r="K982" s="49" t="s">
        <v>10146</v>
      </c>
      <c r="L982" s="49">
        <v>0</v>
      </c>
      <c r="M982" s="49" t="s">
        <v>1745</v>
      </c>
      <c r="N982" s="49" t="s">
        <v>5220</v>
      </c>
      <c r="P982" s="49" t="s">
        <v>10148</v>
      </c>
      <c r="Q982" s="49">
        <v>0</v>
      </c>
      <c r="R982" s="49" t="s">
        <v>10149</v>
      </c>
      <c r="S982" s="49" t="s">
        <v>10150</v>
      </c>
      <c r="T982" s="49" t="s">
        <v>10151</v>
      </c>
      <c r="U982" s="49" t="s">
        <v>655</v>
      </c>
      <c r="V982" s="49" t="e">
        <v>#REF!</v>
      </c>
      <c r="AC982" s="49"/>
      <c r="AD982" s="49"/>
    </row>
    <row r="983" spans="1:30" hidden="1" x14ac:dyDescent="0.3">
      <c r="A983" s="49" t="s">
        <v>10152</v>
      </c>
      <c r="B983" s="49">
        <v>0</v>
      </c>
      <c r="C983" s="49">
        <v>0</v>
      </c>
      <c r="D983" s="72" t="s">
        <v>717</v>
      </c>
      <c r="E983" s="74" t="s">
        <v>645</v>
      </c>
      <c r="F983" s="73">
        <v>1</v>
      </c>
      <c r="G983" s="49"/>
      <c r="H983" s="49" t="s">
        <v>10153</v>
      </c>
      <c r="I983" s="49" t="s">
        <v>10156</v>
      </c>
      <c r="J983" s="49" t="s">
        <v>10154</v>
      </c>
      <c r="K983" s="49" t="s">
        <v>10155</v>
      </c>
      <c r="L983" s="49">
        <v>0</v>
      </c>
      <c r="M983" s="75" t="s">
        <v>1745</v>
      </c>
      <c r="N983" s="49" t="s">
        <v>818</v>
      </c>
      <c r="P983" s="49" t="s">
        <v>10157</v>
      </c>
      <c r="Q983" s="49">
        <v>0</v>
      </c>
      <c r="R983" s="49" t="s">
        <v>10158</v>
      </c>
      <c r="S983" s="49" t="s">
        <v>10159</v>
      </c>
      <c r="T983" s="49" t="s">
        <v>10160</v>
      </c>
      <c r="U983" s="49" t="s">
        <v>670</v>
      </c>
      <c r="V983" s="49" t="e">
        <v>#REF!</v>
      </c>
      <c r="AC983" s="49"/>
      <c r="AD983" s="49"/>
    </row>
    <row r="984" spans="1:30" hidden="1" x14ac:dyDescent="0.3">
      <c r="A984" s="49" t="s">
        <v>10161</v>
      </c>
      <c r="B984" s="49">
        <v>0</v>
      </c>
      <c r="C984" s="49"/>
      <c r="D984" s="72" t="s">
        <v>717</v>
      </c>
      <c r="E984" s="73">
        <v>0</v>
      </c>
      <c r="F984" s="49"/>
      <c r="G984" s="49"/>
      <c r="H984" s="49" t="s">
        <v>10162</v>
      </c>
      <c r="I984" s="49" t="s">
        <v>10165</v>
      </c>
      <c r="J984" s="49" t="s">
        <v>10163</v>
      </c>
      <c r="K984" s="49" t="s">
        <v>10164</v>
      </c>
      <c r="L984" s="49">
        <v>0</v>
      </c>
      <c r="M984" s="49" t="s">
        <v>1745</v>
      </c>
      <c r="N984" s="49" t="s">
        <v>10166</v>
      </c>
      <c r="O984" s="49">
        <v>1</v>
      </c>
      <c r="P984" s="49" t="s">
        <v>10167</v>
      </c>
      <c r="Q984" s="49">
        <v>0</v>
      </c>
      <c r="R984" s="49" t="s">
        <v>10168</v>
      </c>
      <c r="S984" s="49" t="s">
        <v>10169</v>
      </c>
      <c r="T984" s="49" t="s">
        <v>10170</v>
      </c>
      <c r="U984" s="49" t="s">
        <v>655</v>
      </c>
      <c r="V984" s="49" t="e">
        <v>#REF!</v>
      </c>
      <c r="AC984" s="49"/>
      <c r="AD984" s="49"/>
    </row>
    <row r="985" spans="1:30" hidden="1" x14ac:dyDescent="0.3">
      <c r="A985" s="49" t="s">
        <v>10171</v>
      </c>
      <c r="B985" s="49">
        <v>0</v>
      </c>
      <c r="C985" s="49"/>
      <c r="D985" s="72" t="s">
        <v>717</v>
      </c>
      <c r="E985" s="73">
        <v>0</v>
      </c>
      <c r="F985" s="49"/>
      <c r="G985" s="49"/>
      <c r="H985" s="49" t="s">
        <v>10172</v>
      </c>
      <c r="I985" s="49" t="s">
        <v>10175</v>
      </c>
      <c r="J985" s="49" t="s">
        <v>10173</v>
      </c>
      <c r="K985" s="49" t="s">
        <v>10174</v>
      </c>
      <c r="L985" s="49">
        <v>0</v>
      </c>
      <c r="M985" s="49" t="s">
        <v>1745</v>
      </c>
      <c r="N985" s="49" t="s">
        <v>10176</v>
      </c>
      <c r="O985" s="49">
        <v>14</v>
      </c>
      <c r="P985" s="49" t="s">
        <v>10177</v>
      </c>
      <c r="Q985" s="49">
        <v>0</v>
      </c>
      <c r="R985" s="49" t="s">
        <v>10178</v>
      </c>
      <c r="S985" s="49" t="s">
        <v>10179</v>
      </c>
      <c r="T985" s="49" t="s">
        <v>646</v>
      </c>
      <c r="U985" s="49" t="s">
        <v>655</v>
      </c>
      <c r="V985" s="49" t="e">
        <v>#REF!</v>
      </c>
      <c r="AC985" s="49"/>
      <c r="AD985" s="49"/>
    </row>
    <row r="986" spans="1:30" hidden="1" x14ac:dyDescent="0.3">
      <c r="A986" s="49" t="s">
        <v>10180</v>
      </c>
      <c r="B986" s="49">
        <v>0</v>
      </c>
      <c r="C986" s="49"/>
      <c r="D986" s="72" t="s">
        <v>717</v>
      </c>
      <c r="E986" s="73">
        <v>0</v>
      </c>
      <c r="F986" s="49"/>
      <c r="G986" s="49"/>
      <c r="H986" s="49" t="s">
        <v>10181</v>
      </c>
      <c r="I986" s="49" t="s">
        <v>10184</v>
      </c>
      <c r="J986" s="49" t="s">
        <v>10182</v>
      </c>
      <c r="K986" s="49" t="s">
        <v>10183</v>
      </c>
      <c r="L986" s="49">
        <v>0</v>
      </c>
      <c r="M986" s="49" t="s">
        <v>1745</v>
      </c>
      <c r="N986" s="49" t="s">
        <v>10185</v>
      </c>
      <c r="O986" s="49">
        <v>1</v>
      </c>
      <c r="P986" s="49" t="s">
        <v>10186</v>
      </c>
      <c r="Q986" s="49">
        <v>0</v>
      </c>
      <c r="R986" s="49" t="s">
        <v>10187</v>
      </c>
      <c r="S986" s="49" t="s">
        <v>10188</v>
      </c>
      <c r="T986" s="49" t="s">
        <v>10189</v>
      </c>
      <c r="U986" s="49" t="s">
        <v>655</v>
      </c>
      <c r="V986" s="49" t="e">
        <v>#REF!</v>
      </c>
      <c r="AC986" s="49"/>
      <c r="AD986" s="49"/>
    </row>
    <row r="987" spans="1:30" hidden="1" x14ac:dyDescent="0.3">
      <c r="A987" s="49" t="s">
        <v>10190</v>
      </c>
      <c r="B987" s="49">
        <v>0</v>
      </c>
      <c r="C987" s="49"/>
      <c r="D987" s="72" t="s">
        <v>717</v>
      </c>
      <c r="E987" s="73">
        <v>0</v>
      </c>
      <c r="F987" s="49"/>
      <c r="G987" s="49"/>
      <c r="H987" s="49" t="s">
        <v>10191</v>
      </c>
      <c r="I987" s="49" t="s">
        <v>10194</v>
      </c>
      <c r="J987" s="49" t="s">
        <v>10192</v>
      </c>
      <c r="K987" s="49" t="s">
        <v>10193</v>
      </c>
      <c r="L987" s="49">
        <v>0</v>
      </c>
      <c r="M987" s="49" t="s">
        <v>1745</v>
      </c>
      <c r="N987" s="49" t="s">
        <v>10195</v>
      </c>
      <c r="O987" s="49">
        <v>3</v>
      </c>
      <c r="P987" s="49" t="s">
        <v>10196</v>
      </c>
      <c r="Q987" s="49">
        <v>0</v>
      </c>
      <c r="R987" s="49" t="s">
        <v>10197</v>
      </c>
      <c r="S987" s="49" t="s">
        <v>10198</v>
      </c>
      <c r="T987" s="49" t="s">
        <v>646</v>
      </c>
      <c r="U987" s="49" t="s">
        <v>655</v>
      </c>
      <c r="V987" s="49" t="e">
        <v>#REF!</v>
      </c>
      <c r="AC987" s="49"/>
      <c r="AD987" s="49"/>
    </row>
    <row r="988" spans="1:30" hidden="1" x14ac:dyDescent="0.3">
      <c r="A988" s="49" t="s">
        <v>10199</v>
      </c>
      <c r="B988" s="49">
        <v>0</v>
      </c>
      <c r="C988" s="49"/>
      <c r="D988" s="72" t="s">
        <v>717</v>
      </c>
      <c r="E988" s="73">
        <v>0</v>
      </c>
      <c r="F988" s="49"/>
      <c r="G988" s="49"/>
      <c r="H988" s="49" t="s">
        <v>10200</v>
      </c>
      <c r="I988" s="49" t="s">
        <v>10203</v>
      </c>
      <c r="J988" s="49" t="s">
        <v>10201</v>
      </c>
      <c r="K988" s="49" t="s">
        <v>10202</v>
      </c>
      <c r="L988" s="49">
        <v>0</v>
      </c>
      <c r="M988" s="49" t="s">
        <v>1734</v>
      </c>
      <c r="N988" s="49" t="s">
        <v>10204</v>
      </c>
      <c r="O988" s="49">
        <v>1</v>
      </c>
      <c r="P988" s="49" t="s">
        <v>10205</v>
      </c>
      <c r="Q988" s="49">
        <v>0</v>
      </c>
      <c r="R988" s="49" t="s">
        <v>8841</v>
      </c>
      <c r="S988" s="49" t="s">
        <v>10206</v>
      </c>
      <c r="T988" s="49" t="s">
        <v>10207</v>
      </c>
      <c r="U988" s="49" t="s">
        <v>655</v>
      </c>
      <c r="V988" s="49" t="e">
        <v>#REF!</v>
      </c>
      <c r="AC988" s="49"/>
      <c r="AD988" s="49"/>
    </row>
    <row r="989" spans="1:30" hidden="1" x14ac:dyDescent="0.3">
      <c r="A989" s="49" t="s">
        <v>10208</v>
      </c>
      <c r="B989" s="49">
        <v>0</v>
      </c>
      <c r="C989" s="49"/>
      <c r="D989" s="72" t="s">
        <v>717</v>
      </c>
      <c r="E989" s="73">
        <v>0</v>
      </c>
      <c r="F989" s="49"/>
      <c r="G989" s="49"/>
      <c r="H989" s="49" t="s">
        <v>10209</v>
      </c>
      <c r="I989" s="49" t="s">
        <v>10212</v>
      </c>
      <c r="J989" s="49" t="s">
        <v>10210</v>
      </c>
      <c r="K989" s="49" t="s">
        <v>10211</v>
      </c>
      <c r="L989" s="49">
        <v>0</v>
      </c>
      <c r="M989" s="49" t="s">
        <v>1734</v>
      </c>
      <c r="N989" s="49" t="s">
        <v>6013</v>
      </c>
      <c r="P989" s="49" t="s">
        <v>10213</v>
      </c>
      <c r="Q989" s="49">
        <v>0</v>
      </c>
      <c r="R989" s="49" t="s">
        <v>10214</v>
      </c>
      <c r="S989" s="49" t="s">
        <v>10215</v>
      </c>
      <c r="T989" s="49" t="s">
        <v>10216</v>
      </c>
      <c r="U989" s="49" t="s">
        <v>655</v>
      </c>
      <c r="V989" s="49" t="e">
        <v>#REF!</v>
      </c>
      <c r="AC989" s="49"/>
      <c r="AD989" s="49"/>
    </row>
    <row r="990" spans="1:30" hidden="1" x14ac:dyDescent="0.3">
      <c r="A990" s="49" t="s">
        <v>10217</v>
      </c>
      <c r="B990" s="49">
        <v>0</v>
      </c>
      <c r="C990" s="49"/>
      <c r="D990" s="72" t="s">
        <v>717</v>
      </c>
      <c r="E990" s="73">
        <v>0</v>
      </c>
      <c r="F990" s="49"/>
      <c r="G990" s="49"/>
      <c r="H990" s="49" t="s">
        <v>10218</v>
      </c>
      <c r="I990" s="49" t="s">
        <v>10221</v>
      </c>
      <c r="J990" s="49" t="s">
        <v>10219</v>
      </c>
      <c r="K990" s="49" t="s">
        <v>10220</v>
      </c>
      <c r="L990" s="49">
        <v>0</v>
      </c>
      <c r="M990" s="49" t="s">
        <v>1745</v>
      </c>
      <c r="N990" s="49" t="s">
        <v>3949</v>
      </c>
      <c r="O990" s="49">
        <v>21</v>
      </c>
      <c r="P990" s="49" t="s">
        <v>10222</v>
      </c>
      <c r="Q990" s="49">
        <v>0</v>
      </c>
      <c r="R990" s="49" t="s">
        <v>10223</v>
      </c>
      <c r="S990" s="49" t="s">
        <v>10224</v>
      </c>
      <c r="T990" s="49" t="s">
        <v>10225</v>
      </c>
      <c r="U990" s="49" t="s">
        <v>655</v>
      </c>
      <c r="V990" s="49" t="e">
        <v>#REF!</v>
      </c>
      <c r="AC990" s="49"/>
      <c r="AD990" s="49"/>
    </row>
    <row r="991" spans="1:30" hidden="1" x14ac:dyDescent="0.3">
      <c r="A991" s="49" t="s">
        <v>10226</v>
      </c>
      <c r="B991" s="49">
        <v>0</v>
      </c>
      <c r="C991" s="49"/>
      <c r="D991" s="72" t="s">
        <v>717</v>
      </c>
      <c r="E991" s="73">
        <v>0</v>
      </c>
      <c r="F991" s="49"/>
      <c r="G991" s="49"/>
      <c r="H991" s="49" t="s">
        <v>10227</v>
      </c>
      <c r="I991" s="49" t="s">
        <v>10230</v>
      </c>
      <c r="J991" s="49" t="s">
        <v>10228</v>
      </c>
      <c r="K991" s="49" t="s">
        <v>10229</v>
      </c>
      <c r="L991" s="49">
        <v>0</v>
      </c>
      <c r="M991" s="49" t="s">
        <v>1745</v>
      </c>
      <c r="N991" s="49" t="s">
        <v>10231</v>
      </c>
      <c r="O991" s="49">
        <v>3</v>
      </c>
      <c r="P991" s="49" t="s">
        <v>10232</v>
      </c>
      <c r="Q991" s="49">
        <v>0</v>
      </c>
      <c r="R991" s="49" t="s">
        <v>10233</v>
      </c>
      <c r="S991" s="49" t="s">
        <v>10234</v>
      </c>
      <c r="T991" s="49" t="s">
        <v>10235</v>
      </c>
      <c r="U991" s="49" t="s">
        <v>655</v>
      </c>
      <c r="V991" s="49" t="e">
        <v>#REF!</v>
      </c>
      <c r="AC991" s="49"/>
      <c r="AD991" s="49"/>
    </row>
    <row r="992" spans="1:30" hidden="1" x14ac:dyDescent="0.3">
      <c r="A992" s="49" t="s">
        <v>10236</v>
      </c>
      <c r="B992" s="49">
        <v>0</v>
      </c>
      <c r="C992" s="49"/>
      <c r="D992" s="72" t="s">
        <v>717</v>
      </c>
      <c r="E992" s="73">
        <v>0</v>
      </c>
      <c r="F992" s="49"/>
      <c r="G992" s="49"/>
      <c r="H992" s="49" t="s">
        <v>10237</v>
      </c>
      <c r="I992" s="49" t="s">
        <v>10240</v>
      </c>
      <c r="J992" s="49" t="s">
        <v>10238</v>
      </c>
      <c r="K992" s="49" t="s">
        <v>10239</v>
      </c>
      <c r="L992" s="49">
        <v>0</v>
      </c>
      <c r="M992" s="49" t="s">
        <v>1745</v>
      </c>
      <c r="N992" s="49" t="s">
        <v>10241</v>
      </c>
      <c r="O992" s="49">
        <v>1</v>
      </c>
      <c r="P992" s="49" t="s">
        <v>10242</v>
      </c>
      <c r="Q992" s="49">
        <v>0</v>
      </c>
      <c r="R992" s="49" t="s">
        <v>10243</v>
      </c>
      <c r="S992" s="49" t="s">
        <v>10244</v>
      </c>
      <c r="T992" s="49" t="s">
        <v>10245</v>
      </c>
      <c r="U992" s="49" t="s">
        <v>655</v>
      </c>
      <c r="V992" s="49" t="e">
        <v>#REF!</v>
      </c>
      <c r="AC992" s="49"/>
      <c r="AD992" s="49"/>
    </row>
    <row r="993" spans="1:30" hidden="1" x14ac:dyDescent="0.3">
      <c r="A993" s="49" t="s">
        <v>10246</v>
      </c>
      <c r="B993" s="49">
        <v>0</v>
      </c>
      <c r="C993" s="49"/>
      <c r="D993" s="72" t="s">
        <v>717</v>
      </c>
      <c r="E993" s="73">
        <v>0</v>
      </c>
      <c r="F993" s="49"/>
      <c r="G993" s="49"/>
      <c r="H993" s="49" t="s">
        <v>10247</v>
      </c>
      <c r="I993" s="49" t="s">
        <v>10250</v>
      </c>
      <c r="J993" s="49" t="s">
        <v>10248</v>
      </c>
      <c r="K993" s="49" t="s">
        <v>10249</v>
      </c>
      <c r="L993" s="49">
        <v>0</v>
      </c>
      <c r="M993" s="49" t="s">
        <v>1734</v>
      </c>
      <c r="N993" s="49" t="s">
        <v>1450</v>
      </c>
      <c r="P993" s="49" t="s">
        <v>10251</v>
      </c>
      <c r="Q993" s="49">
        <v>0</v>
      </c>
      <c r="R993" s="49" t="s">
        <v>10252</v>
      </c>
      <c r="S993" s="49" t="s">
        <v>10253</v>
      </c>
      <c r="T993" s="49" t="s">
        <v>10254</v>
      </c>
      <c r="U993" s="49" t="s">
        <v>655</v>
      </c>
      <c r="V993" s="49" t="e">
        <v>#REF!</v>
      </c>
      <c r="AC993" s="49"/>
      <c r="AD993" s="49"/>
    </row>
    <row r="994" spans="1:30" hidden="1" x14ac:dyDescent="0.3">
      <c r="A994" s="49" t="s">
        <v>10255</v>
      </c>
      <c r="B994" s="49">
        <v>0</v>
      </c>
      <c r="C994" s="49"/>
      <c r="D994" s="72" t="s">
        <v>717</v>
      </c>
      <c r="E994" s="73">
        <v>0</v>
      </c>
      <c r="F994" s="49"/>
      <c r="G994" s="49"/>
      <c r="H994" s="49" t="s">
        <v>10256</v>
      </c>
      <c r="I994" s="49" t="s">
        <v>10259</v>
      </c>
      <c r="J994" s="49" t="s">
        <v>10257</v>
      </c>
      <c r="K994" s="49" t="s">
        <v>10258</v>
      </c>
      <c r="L994" s="49">
        <v>0</v>
      </c>
      <c r="M994" s="49" t="s">
        <v>1745</v>
      </c>
      <c r="N994" s="49" t="s">
        <v>3142</v>
      </c>
      <c r="O994" s="49">
        <v>3</v>
      </c>
      <c r="P994" s="49" t="s">
        <v>10260</v>
      </c>
      <c r="Q994" s="49">
        <v>0</v>
      </c>
      <c r="R994" s="49" t="s">
        <v>10261</v>
      </c>
      <c r="S994" s="49" t="s">
        <v>10262</v>
      </c>
      <c r="T994" s="49" t="s">
        <v>10263</v>
      </c>
      <c r="U994" s="49" t="s">
        <v>655</v>
      </c>
      <c r="V994" s="49" t="e">
        <v>#REF!</v>
      </c>
      <c r="AC994" s="49"/>
      <c r="AD994" s="49"/>
    </row>
    <row r="995" spans="1:30" hidden="1" x14ac:dyDescent="0.3">
      <c r="A995" s="49" t="s">
        <v>10264</v>
      </c>
      <c r="B995" s="49">
        <v>0</v>
      </c>
      <c r="C995" s="49"/>
      <c r="D995" s="72" t="s">
        <v>717</v>
      </c>
      <c r="E995" s="73">
        <v>0</v>
      </c>
      <c r="F995" s="49"/>
      <c r="G995" s="49"/>
      <c r="H995" s="49" t="s">
        <v>10265</v>
      </c>
      <c r="I995" s="49" t="s">
        <v>10268</v>
      </c>
      <c r="J995" s="49" t="s">
        <v>10266</v>
      </c>
      <c r="K995" s="49" t="s">
        <v>10267</v>
      </c>
      <c r="L995" s="49">
        <v>0</v>
      </c>
      <c r="M995" s="49" t="s">
        <v>1826</v>
      </c>
      <c r="N995" s="49" t="s">
        <v>10269</v>
      </c>
      <c r="O995" s="49">
        <v>7</v>
      </c>
      <c r="P995" s="49" t="s">
        <v>10270</v>
      </c>
      <c r="Q995" s="49">
        <v>0</v>
      </c>
      <c r="R995" s="49" t="s">
        <v>10271</v>
      </c>
      <c r="S995" s="49" t="s">
        <v>10272</v>
      </c>
      <c r="T995" s="49" t="s">
        <v>10273</v>
      </c>
      <c r="U995" s="49" t="s">
        <v>655</v>
      </c>
      <c r="V995" s="49" t="e">
        <v>#REF!</v>
      </c>
      <c r="AC995" s="49"/>
      <c r="AD995" s="49"/>
    </row>
    <row r="996" spans="1:30" hidden="1" x14ac:dyDescent="0.3">
      <c r="A996" s="49" t="s">
        <v>10274</v>
      </c>
      <c r="B996" s="49">
        <v>0</v>
      </c>
      <c r="C996" s="49"/>
      <c r="D996" s="72" t="s">
        <v>717</v>
      </c>
      <c r="E996" s="73">
        <v>0</v>
      </c>
      <c r="F996" s="49"/>
      <c r="G996" s="49"/>
      <c r="H996" s="49" t="s">
        <v>10275</v>
      </c>
      <c r="I996" s="49" t="s">
        <v>10278</v>
      </c>
      <c r="J996" s="49" t="s">
        <v>10276</v>
      </c>
      <c r="K996" s="49" t="s">
        <v>10277</v>
      </c>
      <c r="L996" s="49">
        <v>0</v>
      </c>
      <c r="M996" s="49" t="s">
        <v>1745</v>
      </c>
      <c r="N996" s="49" t="s">
        <v>10279</v>
      </c>
      <c r="O996" s="49">
        <v>2</v>
      </c>
      <c r="P996" s="49" t="s">
        <v>10280</v>
      </c>
      <c r="Q996" s="49">
        <v>0</v>
      </c>
      <c r="R996" s="49" t="s">
        <v>10281</v>
      </c>
      <c r="S996" s="49" t="s">
        <v>10282</v>
      </c>
      <c r="T996" s="49" t="s">
        <v>10283</v>
      </c>
      <c r="U996" s="49" t="s">
        <v>655</v>
      </c>
      <c r="V996" s="49" t="e">
        <v>#REF!</v>
      </c>
      <c r="AC996" s="49"/>
      <c r="AD996" s="49"/>
    </row>
    <row r="997" spans="1:30" hidden="1" x14ac:dyDescent="0.3">
      <c r="A997" s="49" t="s">
        <v>10284</v>
      </c>
      <c r="B997" s="49">
        <v>0</v>
      </c>
      <c r="C997" s="49"/>
      <c r="D997" s="72" t="s">
        <v>717</v>
      </c>
      <c r="E997" s="73">
        <v>0</v>
      </c>
      <c r="F997" s="49"/>
      <c r="G997" s="49"/>
      <c r="H997" s="49" t="s">
        <v>10285</v>
      </c>
      <c r="I997" s="49" t="s">
        <v>10288</v>
      </c>
      <c r="J997" s="49" t="s">
        <v>10286</v>
      </c>
      <c r="K997" s="49" t="s">
        <v>10287</v>
      </c>
      <c r="L997" s="49">
        <v>0</v>
      </c>
      <c r="M997" s="49" t="s">
        <v>1745</v>
      </c>
      <c r="N997" s="49" t="s">
        <v>10289</v>
      </c>
      <c r="P997" s="49" t="s">
        <v>10290</v>
      </c>
      <c r="Q997" s="49">
        <v>0</v>
      </c>
      <c r="R997" s="49" t="s">
        <v>10291</v>
      </c>
      <c r="S997" s="49" t="s">
        <v>10292</v>
      </c>
      <c r="T997" s="49" t="s">
        <v>10293</v>
      </c>
      <c r="U997" s="49" t="s">
        <v>646</v>
      </c>
      <c r="V997" s="49" t="e">
        <v>#REF!</v>
      </c>
      <c r="AC997" s="49"/>
      <c r="AD997" s="49"/>
    </row>
    <row r="998" spans="1:30" hidden="1" x14ac:dyDescent="0.3">
      <c r="A998" s="49" t="s">
        <v>10294</v>
      </c>
      <c r="B998" s="49">
        <v>0</v>
      </c>
      <c r="C998" s="49"/>
      <c r="D998" s="72" t="s">
        <v>717</v>
      </c>
      <c r="E998" s="73">
        <v>0</v>
      </c>
      <c r="F998" s="49"/>
      <c r="G998" s="49"/>
      <c r="H998" s="49" t="s">
        <v>10295</v>
      </c>
      <c r="I998" s="49" t="s">
        <v>10298</v>
      </c>
      <c r="J998" s="49" t="s">
        <v>10296</v>
      </c>
      <c r="K998" s="49" t="s">
        <v>10297</v>
      </c>
      <c r="L998" s="49">
        <v>0</v>
      </c>
      <c r="M998" s="49" t="s">
        <v>1734</v>
      </c>
      <c r="N998" s="49" t="s">
        <v>3142</v>
      </c>
      <c r="P998" s="49" t="s">
        <v>10299</v>
      </c>
      <c r="Q998" s="49">
        <v>0</v>
      </c>
      <c r="R998" s="49" t="s">
        <v>10300</v>
      </c>
      <c r="S998" s="49" t="s">
        <v>10301</v>
      </c>
      <c r="T998" s="49" t="s">
        <v>10302</v>
      </c>
      <c r="U998" s="49" t="s">
        <v>655</v>
      </c>
      <c r="V998" s="49" t="e">
        <v>#REF!</v>
      </c>
      <c r="AC998" s="49"/>
      <c r="AD998" s="49"/>
    </row>
    <row r="999" spans="1:30" hidden="1" x14ac:dyDescent="0.3">
      <c r="A999" s="49" t="s">
        <v>10303</v>
      </c>
      <c r="B999" s="49">
        <v>0</v>
      </c>
      <c r="C999" s="49"/>
      <c r="D999" s="72" t="s">
        <v>717</v>
      </c>
      <c r="E999" s="73">
        <v>0</v>
      </c>
      <c r="F999" s="49"/>
      <c r="G999" s="49"/>
      <c r="H999" s="49" t="s">
        <v>10304</v>
      </c>
      <c r="I999" s="49" t="s">
        <v>10307</v>
      </c>
      <c r="J999" s="49" t="s">
        <v>10305</v>
      </c>
      <c r="K999" s="49" t="s">
        <v>10306</v>
      </c>
      <c r="L999" s="49">
        <v>0</v>
      </c>
      <c r="M999" s="49" t="s">
        <v>1734</v>
      </c>
      <c r="N999" s="49" t="s">
        <v>10308</v>
      </c>
      <c r="O999" s="49">
        <v>1</v>
      </c>
      <c r="P999" s="49" t="s">
        <v>10309</v>
      </c>
      <c r="Q999" s="49">
        <v>0</v>
      </c>
      <c r="R999" s="49" t="s">
        <v>10310</v>
      </c>
      <c r="S999" s="49" t="s">
        <v>10311</v>
      </c>
      <c r="T999" s="49" t="s">
        <v>10312</v>
      </c>
      <c r="U999" s="49" t="s">
        <v>655</v>
      </c>
      <c r="V999" s="49" t="e">
        <v>#REF!</v>
      </c>
      <c r="AC999" s="49"/>
      <c r="AD999" s="49"/>
    </row>
    <row r="1000" spans="1:30" hidden="1" x14ac:dyDescent="0.3">
      <c r="A1000" s="49" t="s">
        <v>10313</v>
      </c>
      <c r="B1000" s="49">
        <v>0</v>
      </c>
      <c r="C1000" s="49">
        <v>1</v>
      </c>
      <c r="D1000" s="72" t="s">
        <v>717</v>
      </c>
      <c r="E1000" s="74">
        <v>1</v>
      </c>
      <c r="F1000" s="73">
        <v>1</v>
      </c>
      <c r="G1000" s="49">
        <v>0</v>
      </c>
      <c r="H1000" s="49" t="s">
        <v>10314</v>
      </c>
      <c r="I1000" s="49" t="s">
        <v>10317</v>
      </c>
      <c r="J1000" s="49" t="s">
        <v>10315</v>
      </c>
      <c r="K1000" s="49" t="s">
        <v>10316</v>
      </c>
      <c r="L1000" s="49">
        <v>0</v>
      </c>
      <c r="M1000" s="75" t="s">
        <v>1745</v>
      </c>
      <c r="N1000" s="49" t="s">
        <v>10318</v>
      </c>
      <c r="P1000" s="49" t="s">
        <v>10319</v>
      </c>
      <c r="Q1000" s="49">
        <v>0</v>
      </c>
      <c r="R1000" s="49" t="s">
        <v>10320</v>
      </c>
      <c r="S1000" s="49" t="s">
        <v>10321</v>
      </c>
      <c r="T1000" s="49" t="s">
        <v>646</v>
      </c>
      <c r="U1000" s="49" t="s">
        <v>670</v>
      </c>
      <c r="V1000" s="49" t="e">
        <v>#REF!</v>
      </c>
      <c r="AC1000" s="49"/>
      <c r="AD1000" s="49"/>
    </row>
    <row r="1001" spans="1:30" hidden="1" x14ac:dyDescent="0.3">
      <c r="A1001" s="49" t="s">
        <v>10322</v>
      </c>
      <c r="B1001" s="49">
        <v>0</v>
      </c>
      <c r="C1001" s="49"/>
      <c r="D1001" s="72" t="s">
        <v>717</v>
      </c>
      <c r="E1001" s="73">
        <v>0</v>
      </c>
      <c r="F1001" s="49"/>
      <c r="G1001" s="49"/>
      <c r="H1001" s="49" t="s">
        <v>10323</v>
      </c>
      <c r="I1001" s="49" t="s">
        <v>10326</v>
      </c>
      <c r="J1001" s="49" t="s">
        <v>10324</v>
      </c>
      <c r="K1001" s="49" t="s">
        <v>10325</v>
      </c>
      <c r="L1001" s="49">
        <v>0</v>
      </c>
      <c r="M1001" s="49" t="s">
        <v>1734</v>
      </c>
      <c r="N1001" s="49" t="s">
        <v>10327</v>
      </c>
      <c r="P1001" s="49" t="s">
        <v>10328</v>
      </c>
      <c r="Q1001" s="49">
        <v>0</v>
      </c>
      <c r="R1001" s="49" t="s">
        <v>10329</v>
      </c>
      <c r="S1001" s="49" t="s">
        <v>10330</v>
      </c>
      <c r="T1001" s="49" t="s">
        <v>10331</v>
      </c>
      <c r="U1001" s="49" t="s">
        <v>655</v>
      </c>
      <c r="V1001" s="49" t="e">
        <v>#REF!</v>
      </c>
      <c r="AC1001" s="49"/>
      <c r="AD1001" s="49"/>
    </row>
    <row r="1002" spans="1:30" hidden="1" x14ac:dyDescent="0.3">
      <c r="A1002" s="49" t="s">
        <v>10332</v>
      </c>
      <c r="B1002" s="49">
        <v>0</v>
      </c>
      <c r="C1002" s="49"/>
      <c r="D1002" s="72" t="s">
        <v>717</v>
      </c>
      <c r="E1002" s="73">
        <v>0</v>
      </c>
      <c r="F1002" s="49"/>
      <c r="G1002" s="49"/>
      <c r="H1002" s="49" t="s">
        <v>10333</v>
      </c>
      <c r="I1002" s="49" t="s">
        <v>10336</v>
      </c>
      <c r="J1002" s="49" t="s">
        <v>10334</v>
      </c>
      <c r="K1002" s="49" t="s">
        <v>10335</v>
      </c>
      <c r="L1002" s="49">
        <v>0</v>
      </c>
      <c r="M1002" s="49" t="s">
        <v>1745</v>
      </c>
      <c r="N1002" s="49" t="s">
        <v>10337</v>
      </c>
      <c r="O1002" s="49">
        <v>5</v>
      </c>
      <c r="P1002" s="49" t="s">
        <v>10338</v>
      </c>
      <c r="Q1002" s="49">
        <v>0</v>
      </c>
      <c r="R1002" s="49" t="s">
        <v>10339</v>
      </c>
      <c r="S1002" s="49" t="s">
        <v>10340</v>
      </c>
      <c r="T1002" s="49" t="s">
        <v>646</v>
      </c>
      <c r="U1002" s="49" t="s">
        <v>655</v>
      </c>
      <c r="V1002" s="49" t="e">
        <v>#REF!</v>
      </c>
      <c r="AC1002" s="49"/>
      <c r="AD1002" s="49"/>
    </row>
    <row r="1003" spans="1:30" hidden="1" x14ac:dyDescent="0.3">
      <c r="A1003" s="49" t="s">
        <v>10341</v>
      </c>
      <c r="B1003" s="49">
        <v>0</v>
      </c>
      <c r="C1003" s="49"/>
      <c r="D1003" s="72" t="s">
        <v>717</v>
      </c>
      <c r="E1003" s="73">
        <v>0</v>
      </c>
      <c r="F1003" s="49"/>
      <c r="G1003" s="49"/>
      <c r="H1003" s="49" t="s">
        <v>10342</v>
      </c>
      <c r="I1003" s="49" t="s">
        <v>10345</v>
      </c>
      <c r="J1003" s="49" t="s">
        <v>10343</v>
      </c>
      <c r="K1003" s="49" t="s">
        <v>10344</v>
      </c>
      <c r="L1003" s="49">
        <v>0</v>
      </c>
      <c r="M1003" s="49" t="s">
        <v>1764</v>
      </c>
      <c r="N1003" s="49" t="s">
        <v>2144</v>
      </c>
      <c r="O1003" s="49">
        <v>5</v>
      </c>
      <c r="P1003" s="49" t="s">
        <v>10346</v>
      </c>
      <c r="Q1003" s="49">
        <v>0</v>
      </c>
      <c r="R1003" s="49" t="s">
        <v>10347</v>
      </c>
      <c r="S1003" s="49" t="s">
        <v>10348</v>
      </c>
      <c r="T1003" s="49" t="s">
        <v>10349</v>
      </c>
      <c r="U1003" s="49" t="s">
        <v>655</v>
      </c>
      <c r="V1003" s="49" t="e">
        <v>#REF!</v>
      </c>
      <c r="AC1003" s="49"/>
      <c r="AD1003" s="49"/>
    </row>
    <row r="1004" spans="1:30" hidden="1" x14ac:dyDescent="0.3">
      <c r="A1004" s="49" t="s">
        <v>10350</v>
      </c>
      <c r="B1004" s="49">
        <v>0</v>
      </c>
      <c r="C1004" s="49"/>
      <c r="D1004" s="72" t="s">
        <v>717</v>
      </c>
      <c r="E1004" s="73">
        <v>0</v>
      </c>
      <c r="F1004" s="49"/>
      <c r="G1004" s="49"/>
      <c r="H1004" s="49" t="s">
        <v>10351</v>
      </c>
      <c r="I1004" s="49" t="s">
        <v>10354</v>
      </c>
      <c r="J1004" s="49" t="s">
        <v>10352</v>
      </c>
      <c r="K1004" s="49" t="s">
        <v>10353</v>
      </c>
      <c r="L1004" s="49">
        <v>0</v>
      </c>
      <c r="M1004" s="49" t="s">
        <v>1745</v>
      </c>
      <c r="N1004" s="49" t="s">
        <v>9115</v>
      </c>
      <c r="P1004" s="49" t="s">
        <v>10355</v>
      </c>
      <c r="Q1004" s="49">
        <v>0</v>
      </c>
      <c r="R1004" s="49" t="s">
        <v>10356</v>
      </c>
      <c r="S1004" s="49" t="s">
        <v>10357</v>
      </c>
      <c r="T1004" s="49" t="s">
        <v>10358</v>
      </c>
      <c r="U1004" s="49" t="s">
        <v>646</v>
      </c>
      <c r="V1004" s="49" t="e">
        <v>#REF!</v>
      </c>
      <c r="AC1004" s="49"/>
      <c r="AD1004" s="49"/>
    </row>
    <row r="1005" spans="1:30" hidden="1" x14ac:dyDescent="0.3">
      <c r="A1005" s="49" t="s">
        <v>10359</v>
      </c>
      <c r="B1005" s="49">
        <v>0</v>
      </c>
      <c r="C1005" s="49"/>
      <c r="D1005" s="72" t="s">
        <v>717</v>
      </c>
      <c r="E1005" s="73">
        <v>0</v>
      </c>
      <c r="F1005" s="49"/>
      <c r="G1005" s="49"/>
      <c r="H1005" s="49" t="s">
        <v>10360</v>
      </c>
      <c r="I1005" s="49" t="s">
        <v>10363</v>
      </c>
      <c r="J1005" s="49" t="s">
        <v>10361</v>
      </c>
      <c r="K1005" s="49" t="s">
        <v>10362</v>
      </c>
      <c r="L1005" s="49">
        <v>0</v>
      </c>
      <c r="M1005" s="49" t="s">
        <v>1734</v>
      </c>
      <c r="N1005" s="49" t="s">
        <v>5220</v>
      </c>
      <c r="P1005" s="49" t="s">
        <v>10364</v>
      </c>
      <c r="Q1005" s="49">
        <v>0</v>
      </c>
      <c r="R1005" s="49" t="s">
        <v>10365</v>
      </c>
      <c r="S1005" s="49" t="s">
        <v>10366</v>
      </c>
      <c r="T1005" s="49" t="s">
        <v>10367</v>
      </c>
      <c r="U1005" s="49" t="s">
        <v>655</v>
      </c>
      <c r="V1005" s="49" t="e">
        <v>#REF!</v>
      </c>
      <c r="AC1005" s="49"/>
      <c r="AD1005" s="49"/>
    </row>
    <row r="1006" spans="1:30" hidden="1" x14ac:dyDescent="0.3">
      <c r="A1006" s="49" t="s">
        <v>10368</v>
      </c>
      <c r="B1006" s="49">
        <v>0</v>
      </c>
      <c r="C1006" s="49"/>
      <c r="D1006" s="72" t="s">
        <v>717</v>
      </c>
      <c r="E1006" s="74" t="s">
        <v>645</v>
      </c>
      <c r="F1006" s="73">
        <v>0</v>
      </c>
      <c r="G1006" s="49"/>
      <c r="H1006" s="49" t="s">
        <v>10369</v>
      </c>
      <c r="I1006" s="49" t="s">
        <v>10372</v>
      </c>
      <c r="J1006" s="49" t="s">
        <v>10370</v>
      </c>
      <c r="K1006" s="49" t="s">
        <v>10371</v>
      </c>
      <c r="L1006" s="49">
        <v>0</v>
      </c>
      <c r="M1006" s="49" t="s">
        <v>1745</v>
      </c>
      <c r="N1006" s="49" t="s">
        <v>10373</v>
      </c>
      <c r="O1006" s="49">
        <v>6</v>
      </c>
      <c r="P1006" s="49" t="s">
        <v>10374</v>
      </c>
      <c r="Q1006" s="49">
        <v>0</v>
      </c>
      <c r="R1006" s="49" t="s">
        <v>10375</v>
      </c>
      <c r="S1006" s="49" t="s">
        <v>10376</v>
      </c>
      <c r="T1006" s="49" t="s">
        <v>10377</v>
      </c>
      <c r="U1006" s="49" t="s">
        <v>655</v>
      </c>
      <c r="V1006" s="49" t="e">
        <v>#REF!</v>
      </c>
      <c r="AC1006" s="49"/>
      <c r="AD1006" s="49"/>
    </row>
    <row r="1007" spans="1:30" hidden="1" x14ac:dyDescent="0.3">
      <c r="A1007" s="49" t="s">
        <v>10378</v>
      </c>
      <c r="B1007" s="49">
        <v>0</v>
      </c>
      <c r="C1007" s="49"/>
      <c r="D1007" s="72" t="s">
        <v>717</v>
      </c>
      <c r="E1007" s="73">
        <v>0</v>
      </c>
      <c r="F1007" s="49"/>
      <c r="G1007" s="49"/>
      <c r="H1007" s="49" t="s">
        <v>10379</v>
      </c>
      <c r="I1007" s="49" t="s">
        <v>10382</v>
      </c>
      <c r="J1007" s="49" t="s">
        <v>10380</v>
      </c>
      <c r="K1007" s="49" t="s">
        <v>10381</v>
      </c>
      <c r="L1007" s="49">
        <v>0</v>
      </c>
      <c r="M1007" s="49" t="s">
        <v>1865</v>
      </c>
      <c r="N1007" s="49" t="s">
        <v>10383</v>
      </c>
      <c r="O1007" s="49">
        <v>2</v>
      </c>
      <c r="P1007" s="49" t="s">
        <v>10384</v>
      </c>
      <c r="Q1007" s="49">
        <v>0</v>
      </c>
      <c r="R1007" s="49" t="s">
        <v>10385</v>
      </c>
      <c r="S1007" s="49" t="s">
        <v>10386</v>
      </c>
      <c r="T1007" s="49" t="s">
        <v>646</v>
      </c>
      <c r="U1007" s="49" t="s">
        <v>670</v>
      </c>
      <c r="V1007" s="49" t="e">
        <v>#REF!</v>
      </c>
      <c r="AC1007" s="49"/>
      <c r="AD1007" s="49"/>
    </row>
    <row r="1008" spans="1:30" hidden="1" x14ac:dyDescent="0.3">
      <c r="A1008" s="49" t="s">
        <v>10387</v>
      </c>
      <c r="B1008" s="49">
        <v>0</v>
      </c>
      <c r="C1008" s="49"/>
      <c r="D1008" s="72" t="s">
        <v>717</v>
      </c>
      <c r="E1008" s="73">
        <v>0</v>
      </c>
      <c r="F1008" s="49"/>
      <c r="G1008" s="49"/>
      <c r="H1008" s="49" t="s">
        <v>10388</v>
      </c>
      <c r="I1008" s="49" t="s">
        <v>10391</v>
      </c>
      <c r="J1008" s="49" t="s">
        <v>10389</v>
      </c>
      <c r="K1008" s="49" t="s">
        <v>10390</v>
      </c>
      <c r="L1008" s="49">
        <v>0</v>
      </c>
      <c r="M1008" s="49" t="s">
        <v>1745</v>
      </c>
      <c r="N1008" s="49" t="s">
        <v>2591</v>
      </c>
      <c r="O1008" s="49">
        <v>2</v>
      </c>
      <c r="P1008" s="49" t="s">
        <v>10392</v>
      </c>
      <c r="Q1008" s="49">
        <v>0</v>
      </c>
      <c r="R1008" s="49" t="s">
        <v>10393</v>
      </c>
      <c r="S1008" s="49" t="s">
        <v>10394</v>
      </c>
      <c r="T1008" s="49" t="s">
        <v>10395</v>
      </c>
      <c r="U1008" s="49" t="s">
        <v>655</v>
      </c>
      <c r="V1008" s="49" t="e">
        <v>#REF!</v>
      </c>
      <c r="AC1008" s="49"/>
      <c r="AD1008" s="49"/>
    </row>
    <row r="1009" spans="1:30" hidden="1" x14ac:dyDescent="0.3">
      <c r="A1009" s="49" t="s">
        <v>10396</v>
      </c>
      <c r="B1009" s="49">
        <v>0</v>
      </c>
      <c r="C1009" s="49"/>
      <c r="D1009" s="72" t="s">
        <v>717</v>
      </c>
      <c r="E1009" s="73">
        <v>0</v>
      </c>
      <c r="F1009" s="49"/>
      <c r="G1009" s="49"/>
      <c r="H1009" s="49" t="s">
        <v>10397</v>
      </c>
      <c r="I1009" s="49" t="s">
        <v>10400</v>
      </c>
      <c r="J1009" s="49" t="s">
        <v>10398</v>
      </c>
      <c r="K1009" s="49" t="s">
        <v>10399</v>
      </c>
      <c r="L1009" s="49">
        <v>0</v>
      </c>
      <c r="M1009" s="49" t="s">
        <v>1734</v>
      </c>
      <c r="N1009" s="49" t="s">
        <v>2591</v>
      </c>
      <c r="P1009" s="49" t="s">
        <v>10401</v>
      </c>
      <c r="Q1009" s="49">
        <v>0</v>
      </c>
      <c r="R1009" s="49" t="s">
        <v>10402</v>
      </c>
      <c r="S1009" s="49" t="s">
        <v>10403</v>
      </c>
      <c r="T1009" s="49" t="s">
        <v>3410</v>
      </c>
      <c r="U1009" s="49" t="s">
        <v>655</v>
      </c>
      <c r="V1009" s="49" t="e">
        <v>#REF!</v>
      </c>
      <c r="AC1009" s="49"/>
      <c r="AD1009" s="49"/>
    </row>
    <row r="1010" spans="1:30" hidden="1" x14ac:dyDescent="0.3">
      <c r="A1010" s="49" t="s">
        <v>10404</v>
      </c>
      <c r="B1010" s="49">
        <v>0</v>
      </c>
      <c r="C1010" s="49"/>
      <c r="D1010" s="72" t="s">
        <v>717</v>
      </c>
      <c r="E1010" s="73">
        <v>0</v>
      </c>
      <c r="F1010" s="49"/>
      <c r="G1010" s="49"/>
      <c r="H1010" s="49" t="s">
        <v>10405</v>
      </c>
      <c r="I1010" s="49" t="s">
        <v>10408</v>
      </c>
      <c r="J1010" s="49" t="s">
        <v>10406</v>
      </c>
      <c r="K1010" s="49" t="s">
        <v>10407</v>
      </c>
      <c r="L1010" s="49">
        <v>0</v>
      </c>
      <c r="M1010" s="49" t="s">
        <v>1745</v>
      </c>
      <c r="N1010" s="49" t="s">
        <v>4830</v>
      </c>
      <c r="O1010" s="49">
        <v>2</v>
      </c>
      <c r="P1010" s="49" t="s">
        <v>10409</v>
      </c>
      <c r="Q1010" s="49">
        <v>0</v>
      </c>
      <c r="R1010" s="49" t="s">
        <v>10410</v>
      </c>
      <c r="S1010" s="49" t="s">
        <v>10411</v>
      </c>
      <c r="T1010" s="49" t="s">
        <v>10412</v>
      </c>
      <c r="U1010" s="49" t="s">
        <v>655</v>
      </c>
      <c r="V1010" s="49" t="e">
        <v>#REF!</v>
      </c>
      <c r="AC1010" s="49"/>
      <c r="AD1010" s="49"/>
    </row>
    <row r="1011" spans="1:30" hidden="1" x14ac:dyDescent="0.3">
      <c r="A1011" s="49" t="s">
        <v>10413</v>
      </c>
      <c r="B1011" s="49">
        <v>0</v>
      </c>
      <c r="C1011" s="49"/>
      <c r="D1011" s="72" t="s">
        <v>717</v>
      </c>
      <c r="E1011" s="73">
        <v>0</v>
      </c>
      <c r="F1011" s="49"/>
      <c r="G1011" s="49"/>
      <c r="H1011" s="49" t="s">
        <v>10414</v>
      </c>
      <c r="I1011" s="49" t="s">
        <v>10417</v>
      </c>
      <c r="J1011" s="49" t="s">
        <v>10415</v>
      </c>
      <c r="K1011" s="49" t="s">
        <v>10416</v>
      </c>
      <c r="L1011" s="49">
        <v>0</v>
      </c>
      <c r="M1011" s="49" t="s">
        <v>1745</v>
      </c>
      <c r="N1011" s="49" t="s">
        <v>10418</v>
      </c>
      <c r="O1011" s="49">
        <v>6</v>
      </c>
      <c r="P1011" s="49" t="s">
        <v>10419</v>
      </c>
      <c r="Q1011" s="49">
        <v>0</v>
      </c>
      <c r="R1011" s="49" t="s">
        <v>10420</v>
      </c>
      <c r="S1011" s="49" t="s">
        <v>10421</v>
      </c>
      <c r="T1011" s="49" t="s">
        <v>10422</v>
      </c>
      <c r="U1011" s="49" t="s">
        <v>655</v>
      </c>
      <c r="V1011" s="49" t="e">
        <v>#REF!</v>
      </c>
      <c r="AC1011" s="49"/>
      <c r="AD1011" s="49"/>
    </row>
    <row r="1012" spans="1:30" hidden="1" x14ac:dyDescent="0.3">
      <c r="A1012" s="49" t="s">
        <v>10423</v>
      </c>
      <c r="B1012" s="49">
        <v>0</v>
      </c>
      <c r="C1012" s="49"/>
      <c r="D1012" s="72" t="s">
        <v>717</v>
      </c>
      <c r="E1012" s="73">
        <v>0</v>
      </c>
      <c r="F1012" s="49"/>
      <c r="G1012" s="49"/>
      <c r="H1012" s="49" t="s">
        <v>10424</v>
      </c>
      <c r="I1012" s="49" t="s">
        <v>10427</v>
      </c>
      <c r="J1012" s="49" t="s">
        <v>10425</v>
      </c>
      <c r="K1012" s="49" t="s">
        <v>10426</v>
      </c>
      <c r="L1012" s="49">
        <v>0</v>
      </c>
      <c r="M1012" s="49" t="s">
        <v>2484</v>
      </c>
      <c r="N1012" s="49" t="s">
        <v>10428</v>
      </c>
      <c r="O1012" s="49">
        <v>4</v>
      </c>
      <c r="P1012" s="49" t="s">
        <v>10429</v>
      </c>
      <c r="Q1012" s="49">
        <v>0</v>
      </c>
      <c r="R1012" s="49" t="s">
        <v>10430</v>
      </c>
      <c r="S1012" s="49" t="s">
        <v>10431</v>
      </c>
      <c r="T1012" s="49" t="s">
        <v>10432</v>
      </c>
      <c r="U1012" s="49" t="s">
        <v>646</v>
      </c>
      <c r="V1012" s="49" t="e">
        <v>#REF!</v>
      </c>
      <c r="AC1012" s="49"/>
      <c r="AD1012" s="49"/>
    </row>
    <row r="1013" spans="1:30" hidden="1" x14ac:dyDescent="0.3">
      <c r="A1013" s="49" t="s">
        <v>10433</v>
      </c>
      <c r="B1013" s="49">
        <v>0</v>
      </c>
      <c r="C1013" s="49"/>
      <c r="D1013" s="72" t="s">
        <v>717</v>
      </c>
      <c r="E1013" s="73">
        <v>0</v>
      </c>
      <c r="F1013" s="49"/>
      <c r="G1013" s="49"/>
      <c r="H1013" s="49" t="s">
        <v>10434</v>
      </c>
      <c r="I1013" s="49" t="s">
        <v>10437</v>
      </c>
      <c r="J1013" s="49" t="s">
        <v>10435</v>
      </c>
      <c r="K1013" s="49" t="s">
        <v>10436</v>
      </c>
      <c r="L1013" s="49">
        <v>0</v>
      </c>
      <c r="M1013" s="49" t="s">
        <v>1734</v>
      </c>
      <c r="N1013" s="49" t="s">
        <v>10438</v>
      </c>
      <c r="P1013" s="49" t="s">
        <v>10439</v>
      </c>
      <c r="Q1013" s="49">
        <v>0</v>
      </c>
      <c r="R1013" s="49" t="s">
        <v>10440</v>
      </c>
      <c r="S1013" s="49" t="s">
        <v>10441</v>
      </c>
      <c r="T1013" s="49" t="s">
        <v>10442</v>
      </c>
      <c r="U1013" s="49" t="s">
        <v>655</v>
      </c>
      <c r="V1013" s="49" t="e">
        <v>#REF!</v>
      </c>
      <c r="AC1013" s="49"/>
      <c r="AD1013" s="49"/>
    </row>
    <row r="1014" spans="1:30" hidden="1" x14ac:dyDescent="0.3">
      <c r="A1014" s="49" t="s">
        <v>10443</v>
      </c>
      <c r="B1014" s="49">
        <v>0</v>
      </c>
      <c r="C1014" s="49"/>
      <c r="D1014" s="72" t="s">
        <v>717</v>
      </c>
      <c r="E1014" s="73">
        <v>0</v>
      </c>
      <c r="F1014" s="49"/>
      <c r="G1014" s="49"/>
      <c r="H1014" s="49" t="s">
        <v>10444</v>
      </c>
      <c r="I1014" s="49" t="s">
        <v>10447</v>
      </c>
      <c r="J1014" s="49" t="s">
        <v>10445</v>
      </c>
      <c r="K1014" s="49" t="s">
        <v>10446</v>
      </c>
      <c r="L1014" s="49">
        <v>0</v>
      </c>
      <c r="M1014" s="49" t="s">
        <v>1826</v>
      </c>
      <c r="N1014" s="49" t="s">
        <v>10448</v>
      </c>
      <c r="O1014" s="49">
        <v>5</v>
      </c>
      <c r="P1014" s="49" t="s">
        <v>10449</v>
      </c>
      <c r="Q1014" s="49">
        <v>0</v>
      </c>
      <c r="R1014" s="49" t="s">
        <v>10450</v>
      </c>
      <c r="S1014" s="49" t="s">
        <v>10451</v>
      </c>
      <c r="T1014" s="49" t="s">
        <v>10452</v>
      </c>
      <c r="U1014" s="49" t="s">
        <v>655</v>
      </c>
      <c r="V1014" s="49" t="e">
        <v>#REF!</v>
      </c>
      <c r="AC1014" s="49"/>
      <c r="AD1014" s="49"/>
    </row>
    <row r="1015" spans="1:30" hidden="1" x14ac:dyDescent="0.3">
      <c r="A1015" s="49" t="s">
        <v>10453</v>
      </c>
      <c r="B1015" s="49">
        <v>0</v>
      </c>
      <c r="C1015" s="49"/>
      <c r="D1015" s="72" t="s">
        <v>717</v>
      </c>
      <c r="E1015" s="73">
        <v>0</v>
      </c>
      <c r="F1015" s="49"/>
      <c r="G1015" s="49"/>
      <c r="H1015" s="49" t="s">
        <v>10454</v>
      </c>
      <c r="I1015" s="49" t="s">
        <v>10457</v>
      </c>
      <c r="J1015" s="49" t="s">
        <v>10455</v>
      </c>
      <c r="K1015" s="49" t="s">
        <v>10456</v>
      </c>
      <c r="L1015" s="49">
        <v>0</v>
      </c>
      <c r="M1015" s="49" t="s">
        <v>1745</v>
      </c>
      <c r="N1015" s="49" t="s">
        <v>5865</v>
      </c>
      <c r="O1015" s="49">
        <v>1</v>
      </c>
      <c r="P1015" s="49" t="s">
        <v>10458</v>
      </c>
      <c r="Q1015" s="49">
        <v>0</v>
      </c>
      <c r="R1015" s="49" t="s">
        <v>10459</v>
      </c>
      <c r="S1015" s="49" t="s">
        <v>10460</v>
      </c>
      <c r="T1015" s="49" t="s">
        <v>10461</v>
      </c>
      <c r="U1015" s="49" t="s">
        <v>655</v>
      </c>
      <c r="V1015" s="49" t="e">
        <v>#REF!</v>
      </c>
      <c r="AC1015" s="49"/>
      <c r="AD1015" s="49"/>
    </row>
    <row r="1016" spans="1:30" hidden="1" x14ac:dyDescent="0.3">
      <c r="A1016" s="49" t="s">
        <v>10462</v>
      </c>
      <c r="B1016" s="49">
        <v>0</v>
      </c>
      <c r="C1016" s="49"/>
      <c r="D1016" s="72" t="s">
        <v>717</v>
      </c>
      <c r="E1016" s="73">
        <v>0</v>
      </c>
      <c r="F1016" s="49"/>
      <c r="G1016" s="49"/>
      <c r="H1016" s="49" t="s">
        <v>10463</v>
      </c>
      <c r="I1016" s="49" t="s">
        <v>10466</v>
      </c>
      <c r="J1016" s="49" t="s">
        <v>10464</v>
      </c>
      <c r="K1016" s="49" t="s">
        <v>10465</v>
      </c>
      <c r="L1016" s="49">
        <v>0</v>
      </c>
      <c r="M1016" s="49" t="s">
        <v>1745</v>
      </c>
      <c r="N1016" s="49" t="s">
        <v>9659</v>
      </c>
      <c r="O1016" s="49">
        <v>3</v>
      </c>
      <c r="P1016" s="49" t="s">
        <v>10467</v>
      </c>
      <c r="Q1016" s="49">
        <v>0</v>
      </c>
      <c r="R1016" s="49" t="s">
        <v>10468</v>
      </c>
      <c r="S1016" s="49" t="s">
        <v>10469</v>
      </c>
      <c r="T1016" s="49" t="s">
        <v>10470</v>
      </c>
      <c r="U1016" s="49" t="s">
        <v>655</v>
      </c>
      <c r="V1016" s="49" t="e">
        <v>#REF!</v>
      </c>
      <c r="AC1016" s="49"/>
      <c r="AD1016" s="49"/>
    </row>
    <row r="1017" spans="1:30" hidden="1" x14ac:dyDescent="0.3">
      <c r="A1017" s="49" t="s">
        <v>10471</v>
      </c>
      <c r="B1017" s="49">
        <v>0</v>
      </c>
      <c r="C1017" s="49"/>
      <c r="D1017" s="72" t="s">
        <v>717</v>
      </c>
      <c r="E1017" s="73">
        <v>0</v>
      </c>
      <c r="F1017" s="49"/>
      <c r="G1017" s="49"/>
      <c r="H1017" s="49" t="s">
        <v>10472</v>
      </c>
      <c r="I1017" s="49" t="s">
        <v>10475</v>
      </c>
      <c r="J1017" s="49" t="s">
        <v>10473</v>
      </c>
      <c r="K1017" s="49" t="s">
        <v>10474</v>
      </c>
      <c r="L1017" s="49">
        <v>0</v>
      </c>
      <c r="M1017" s="49" t="s">
        <v>1745</v>
      </c>
      <c r="N1017" s="49" t="s">
        <v>10476</v>
      </c>
      <c r="O1017" s="49">
        <v>14</v>
      </c>
      <c r="P1017" s="49" t="s">
        <v>10477</v>
      </c>
      <c r="Q1017" s="49">
        <v>0</v>
      </c>
      <c r="R1017" s="49" t="s">
        <v>10478</v>
      </c>
      <c r="S1017" s="49" t="s">
        <v>10479</v>
      </c>
      <c r="T1017" s="49" t="s">
        <v>10480</v>
      </c>
      <c r="U1017" s="49" t="s">
        <v>655</v>
      </c>
      <c r="V1017" s="49" t="e">
        <v>#REF!</v>
      </c>
      <c r="AC1017" s="49"/>
      <c r="AD1017" s="49"/>
    </row>
    <row r="1018" spans="1:30" hidden="1" x14ac:dyDescent="0.3">
      <c r="A1018" s="49" t="s">
        <v>10481</v>
      </c>
      <c r="B1018" s="49">
        <v>0</v>
      </c>
      <c r="C1018" s="49"/>
      <c r="D1018" s="72" t="s">
        <v>717</v>
      </c>
      <c r="E1018" s="73">
        <v>0</v>
      </c>
      <c r="F1018" s="49"/>
      <c r="G1018" s="49"/>
      <c r="H1018" s="49" t="s">
        <v>10482</v>
      </c>
      <c r="I1018" s="49" t="s">
        <v>10485</v>
      </c>
      <c r="J1018" s="49" t="s">
        <v>10483</v>
      </c>
      <c r="K1018" s="49" t="s">
        <v>10484</v>
      </c>
      <c r="L1018" s="49">
        <v>0</v>
      </c>
      <c r="M1018" s="49" t="s">
        <v>1734</v>
      </c>
      <c r="N1018" s="49" t="s">
        <v>10486</v>
      </c>
      <c r="P1018" s="49" t="s">
        <v>10487</v>
      </c>
      <c r="Q1018" s="49">
        <v>0</v>
      </c>
      <c r="R1018" s="49" t="s">
        <v>646</v>
      </c>
      <c r="S1018" s="49" t="s">
        <v>10488</v>
      </c>
      <c r="T1018" s="49" t="s">
        <v>10489</v>
      </c>
      <c r="U1018" s="49" t="s">
        <v>655</v>
      </c>
      <c r="V1018" s="49" t="e">
        <v>#REF!</v>
      </c>
      <c r="AC1018" s="49"/>
      <c r="AD1018" s="49"/>
    </row>
    <row r="1019" spans="1:30" hidden="1" x14ac:dyDescent="0.3">
      <c r="A1019" s="49" t="s">
        <v>10490</v>
      </c>
      <c r="B1019" s="49">
        <v>0</v>
      </c>
      <c r="C1019" s="49"/>
      <c r="D1019" s="72" t="s">
        <v>717</v>
      </c>
      <c r="E1019" s="73">
        <v>0</v>
      </c>
      <c r="F1019" s="49"/>
      <c r="G1019" s="49"/>
      <c r="H1019" s="49" t="s">
        <v>10491</v>
      </c>
      <c r="I1019" s="49" t="s">
        <v>10494</v>
      </c>
      <c r="J1019" s="49" t="s">
        <v>10492</v>
      </c>
      <c r="K1019" s="49" t="s">
        <v>10493</v>
      </c>
      <c r="L1019" s="49">
        <v>0</v>
      </c>
      <c r="M1019" s="49" t="s">
        <v>1865</v>
      </c>
      <c r="N1019" s="49" t="s">
        <v>10495</v>
      </c>
      <c r="O1019" s="49">
        <v>1</v>
      </c>
      <c r="P1019" s="49" t="s">
        <v>10496</v>
      </c>
      <c r="Q1019" s="49">
        <v>0</v>
      </c>
      <c r="R1019" s="49" t="s">
        <v>10497</v>
      </c>
      <c r="S1019" s="49" t="s">
        <v>10498</v>
      </c>
      <c r="T1019" s="49" t="s">
        <v>10499</v>
      </c>
      <c r="U1019" s="49" t="s">
        <v>655</v>
      </c>
      <c r="V1019" s="49" t="e">
        <v>#REF!</v>
      </c>
      <c r="AC1019" s="49"/>
      <c r="AD1019" s="49"/>
    </row>
    <row r="1020" spans="1:30" hidden="1" x14ac:dyDescent="0.3">
      <c r="A1020" s="49" t="s">
        <v>10500</v>
      </c>
      <c r="B1020" s="49">
        <v>0</v>
      </c>
      <c r="C1020" s="49"/>
      <c r="D1020" s="72" t="s">
        <v>717</v>
      </c>
      <c r="E1020" s="73">
        <v>0</v>
      </c>
      <c r="F1020" s="49"/>
      <c r="G1020" s="49"/>
      <c r="H1020" s="49" t="s">
        <v>10501</v>
      </c>
      <c r="I1020" s="49" t="s">
        <v>10504</v>
      </c>
      <c r="J1020" s="49" t="s">
        <v>10502</v>
      </c>
      <c r="K1020" s="49" t="s">
        <v>10503</v>
      </c>
      <c r="L1020" s="49">
        <v>0</v>
      </c>
      <c r="M1020" s="49" t="s">
        <v>1745</v>
      </c>
      <c r="N1020" s="49" t="s">
        <v>10505</v>
      </c>
      <c r="O1020" s="49">
        <v>5</v>
      </c>
      <c r="P1020" s="49" t="s">
        <v>10506</v>
      </c>
      <c r="Q1020" s="49">
        <v>0</v>
      </c>
      <c r="R1020" s="49" t="s">
        <v>10507</v>
      </c>
      <c r="S1020" s="49" t="s">
        <v>10508</v>
      </c>
      <c r="T1020" s="49" t="s">
        <v>10509</v>
      </c>
      <c r="U1020" s="49" t="s">
        <v>655</v>
      </c>
      <c r="V1020" s="49" t="e">
        <v>#REF!</v>
      </c>
      <c r="AC1020" s="49"/>
      <c r="AD1020" s="49"/>
    </row>
    <row r="1021" spans="1:30" hidden="1" x14ac:dyDescent="0.3">
      <c r="A1021" s="49" t="s">
        <v>10510</v>
      </c>
      <c r="B1021" s="49">
        <v>0</v>
      </c>
      <c r="C1021" s="49"/>
      <c r="D1021" s="72" t="s">
        <v>717</v>
      </c>
      <c r="E1021" s="74" t="s">
        <v>645</v>
      </c>
      <c r="F1021" s="73">
        <v>0</v>
      </c>
      <c r="G1021" s="49"/>
      <c r="H1021" s="49" t="s">
        <v>646</v>
      </c>
      <c r="I1021" s="49" t="s">
        <v>10513</v>
      </c>
      <c r="J1021" s="49" t="s">
        <v>10511</v>
      </c>
      <c r="K1021" s="49" t="s">
        <v>10512</v>
      </c>
      <c r="L1021" s="49">
        <v>0</v>
      </c>
      <c r="M1021" s="49" t="s">
        <v>1745</v>
      </c>
      <c r="N1021" s="49" t="s">
        <v>10514</v>
      </c>
      <c r="P1021" s="49" t="s">
        <v>10515</v>
      </c>
      <c r="Q1021" s="49">
        <v>0</v>
      </c>
      <c r="R1021" s="49" t="s">
        <v>10516</v>
      </c>
      <c r="S1021" s="49" t="s">
        <v>10517</v>
      </c>
      <c r="T1021" s="49" t="s">
        <v>10518</v>
      </c>
      <c r="U1021" s="49" t="s">
        <v>655</v>
      </c>
      <c r="V1021" s="49" t="e">
        <v>#REF!</v>
      </c>
      <c r="AC1021" s="49"/>
      <c r="AD1021" s="49"/>
    </row>
    <row r="1022" spans="1:30" hidden="1" x14ac:dyDescent="0.3">
      <c r="A1022" s="49" t="s">
        <v>10519</v>
      </c>
      <c r="B1022" s="49">
        <v>0</v>
      </c>
      <c r="C1022" s="49"/>
      <c r="D1022" s="72" t="s">
        <v>717</v>
      </c>
      <c r="E1022" s="73">
        <v>0</v>
      </c>
      <c r="F1022" s="49"/>
      <c r="G1022" s="49"/>
      <c r="H1022" s="49" t="s">
        <v>10520</v>
      </c>
      <c r="I1022" s="49" t="s">
        <v>10523</v>
      </c>
      <c r="J1022" s="49" t="s">
        <v>10521</v>
      </c>
      <c r="K1022" s="49" t="s">
        <v>10522</v>
      </c>
      <c r="L1022" s="49">
        <v>0</v>
      </c>
      <c r="M1022" s="49" t="s">
        <v>1745</v>
      </c>
      <c r="N1022" s="49" t="s">
        <v>2026</v>
      </c>
      <c r="O1022" s="49">
        <v>2</v>
      </c>
      <c r="P1022" s="49" t="s">
        <v>10524</v>
      </c>
      <c r="Q1022" s="49">
        <v>0</v>
      </c>
      <c r="R1022" s="49" t="s">
        <v>10525</v>
      </c>
      <c r="S1022" s="49" t="s">
        <v>10526</v>
      </c>
      <c r="T1022" s="49" t="s">
        <v>10527</v>
      </c>
      <c r="U1022" s="49" t="s">
        <v>655</v>
      </c>
      <c r="V1022" s="49" t="e">
        <v>#REF!</v>
      </c>
      <c r="AC1022" s="49"/>
      <c r="AD1022" s="49"/>
    </row>
    <row r="1023" spans="1:30" hidden="1" x14ac:dyDescent="0.3">
      <c r="A1023" s="49" t="s">
        <v>10528</v>
      </c>
      <c r="B1023" s="49">
        <v>0</v>
      </c>
      <c r="C1023" s="49">
        <v>1</v>
      </c>
      <c r="D1023" s="72" t="s">
        <v>717</v>
      </c>
      <c r="E1023" s="74">
        <v>1</v>
      </c>
      <c r="F1023" s="73">
        <v>1</v>
      </c>
      <c r="G1023" s="49">
        <v>0</v>
      </c>
      <c r="H1023" s="49" t="s">
        <v>10529</v>
      </c>
      <c r="I1023" s="49" t="s">
        <v>10532</v>
      </c>
      <c r="J1023" s="49" t="s">
        <v>10530</v>
      </c>
      <c r="K1023" s="49" t="s">
        <v>10531</v>
      </c>
      <c r="L1023" s="49">
        <v>0</v>
      </c>
      <c r="M1023" s="75" t="s">
        <v>1745</v>
      </c>
      <c r="N1023" s="49" t="s">
        <v>10533</v>
      </c>
      <c r="O1023" s="49">
        <v>2</v>
      </c>
      <c r="P1023" s="49" t="s">
        <v>10534</v>
      </c>
      <c r="Q1023" s="49">
        <v>0</v>
      </c>
      <c r="R1023" s="49" t="s">
        <v>10535</v>
      </c>
      <c r="S1023" s="49" t="s">
        <v>10536</v>
      </c>
      <c r="T1023" s="49" t="s">
        <v>10537</v>
      </c>
      <c r="U1023" s="49" t="s">
        <v>655</v>
      </c>
      <c r="V1023" s="49" t="e">
        <v>#REF!</v>
      </c>
      <c r="AC1023" s="49"/>
      <c r="AD1023" s="49"/>
    </row>
    <row r="1024" spans="1:30" hidden="1" x14ac:dyDescent="0.3">
      <c r="A1024" s="49" t="s">
        <v>10538</v>
      </c>
      <c r="B1024" s="49">
        <v>0</v>
      </c>
      <c r="C1024" s="49">
        <v>1</v>
      </c>
      <c r="D1024" s="72" t="s">
        <v>717</v>
      </c>
      <c r="E1024" s="74" t="s">
        <v>645</v>
      </c>
      <c r="F1024" s="73">
        <v>1</v>
      </c>
      <c r="G1024" s="49">
        <v>0</v>
      </c>
      <c r="H1024" s="49" t="s">
        <v>10539</v>
      </c>
      <c r="I1024" s="49" t="s">
        <v>10542</v>
      </c>
      <c r="J1024" s="49" t="s">
        <v>10540</v>
      </c>
      <c r="K1024" s="49" t="s">
        <v>10541</v>
      </c>
      <c r="L1024" s="49">
        <v>0</v>
      </c>
      <c r="M1024" s="75" t="s">
        <v>1745</v>
      </c>
      <c r="N1024" s="49" t="s">
        <v>10543</v>
      </c>
      <c r="O1024" s="49">
        <v>5</v>
      </c>
      <c r="P1024" s="49" t="s">
        <v>10544</v>
      </c>
      <c r="Q1024" s="49">
        <v>0</v>
      </c>
      <c r="R1024" s="49" t="s">
        <v>10545</v>
      </c>
      <c r="S1024" s="49" t="s">
        <v>10546</v>
      </c>
      <c r="T1024" s="49" t="s">
        <v>646</v>
      </c>
      <c r="U1024" s="49" t="s">
        <v>655</v>
      </c>
      <c r="V1024" s="49" t="e">
        <v>#REF!</v>
      </c>
      <c r="AC1024" s="49"/>
      <c r="AD1024" s="49"/>
    </row>
    <row r="1025" spans="1:30" hidden="1" x14ac:dyDescent="0.3">
      <c r="A1025" s="49" t="s">
        <v>10547</v>
      </c>
      <c r="B1025" s="49">
        <v>0</v>
      </c>
      <c r="C1025" s="49"/>
      <c r="D1025" s="72" t="s">
        <v>717</v>
      </c>
      <c r="E1025" s="73">
        <v>0</v>
      </c>
      <c r="F1025" s="49"/>
      <c r="G1025" s="49"/>
      <c r="H1025" s="49" t="s">
        <v>646</v>
      </c>
      <c r="I1025" s="49" t="s">
        <v>10550</v>
      </c>
      <c r="J1025" s="49" t="s">
        <v>10548</v>
      </c>
      <c r="K1025" s="49" t="s">
        <v>10549</v>
      </c>
      <c r="L1025" s="49">
        <v>0</v>
      </c>
      <c r="M1025" s="49" t="s">
        <v>1745</v>
      </c>
      <c r="N1025" s="49" t="s">
        <v>10551</v>
      </c>
      <c r="P1025" s="49" t="s">
        <v>10552</v>
      </c>
      <c r="Q1025" s="49">
        <v>0</v>
      </c>
      <c r="R1025" s="49" t="s">
        <v>10553</v>
      </c>
      <c r="S1025" s="49" t="s">
        <v>10554</v>
      </c>
      <c r="T1025" s="49" t="s">
        <v>10555</v>
      </c>
      <c r="U1025" s="49" t="s">
        <v>655</v>
      </c>
      <c r="V1025" s="49" t="e">
        <v>#REF!</v>
      </c>
      <c r="AC1025" s="49"/>
      <c r="AD1025" s="49"/>
    </row>
    <row r="1026" spans="1:30" hidden="1" x14ac:dyDescent="0.3">
      <c r="A1026" s="49" t="s">
        <v>10556</v>
      </c>
      <c r="B1026" s="49">
        <v>0</v>
      </c>
      <c r="C1026" s="49"/>
      <c r="D1026" s="72" t="s">
        <v>717</v>
      </c>
      <c r="E1026" s="73">
        <v>0</v>
      </c>
      <c r="F1026" s="49"/>
      <c r="G1026" s="49"/>
      <c r="H1026" s="49" t="s">
        <v>10557</v>
      </c>
      <c r="I1026" s="49" t="s">
        <v>10560</v>
      </c>
      <c r="J1026" s="49" t="s">
        <v>10558</v>
      </c>
      <c r="K1026" s="49" t="s">
        <v>10559</v>
      </c>
      <c r="L1026" s="49">
        <v>0</v>
      </c>
      <c r="M1026" s="49" t="s">
        <v>1745</v>
      </c>
      <c r="N1026" s="49" t="s">
        <v>10028</v>
      </c>
      <c r="O1026" s="49">
        <v>1</v>
      </c>
      <c r="P1026" s="49" t="s">
        <v>10561</v>
      </c>
      <c r="Q1026" s="49">
        <v>0</v>
      </c>
      <c r="R1026" s="49" t="s">
        <v>10562</v>
      </c>
      <c r="S1026" s="49" t="s">
        <v>10563</v>
      </c>
      <c r="T1026" s="49" t="s">
        <v>10564</v>
      </c>
      <c r="U1026" s="49" t="s">
        <v>655</v>
      </c>
      <c r="V1026" s="49" t="e">
        <v>#REF!</v>
      </c>
      <c r="AC1026" s="49"/>
      <c r="AD1026" s="49"/>
    </row>
    <row r="1027" spans="1:30" hidden="1" x14ac:dyDescent="0.3">
      <c r="A1027" s="49" t="s">
        <v>10565</v>
      </c>
      <c r="B1027" s="49">
        <v>0</v>
      </c>
      <c r="C1027" s="49"/>
      <c r="D1027" s="72" t="s">
        <v>717</v>
      </c>
      <c r="E1027" s="73">
        <v>0</v>
      </c>
      <c r="F1027" s="49"/>
      <c r="G1027" s="49"/>
      <c r="H1027" s="49" t="s">
        <v>10566</v>
      </c>
      <c r="I1027" s="49" t="s">
        <v>10569</v>
      </c>
      <c r="J1027" s="49" t="s">
        <v>10567</v>
      </c>
      <c r="K1027" s="49" t="s">
        <v>10568</v>
      </c>
      <c r="L1027" s="49">
        <v>0</v>
      </c>
      <c r="M1027" s="49" t="s">
        <v>1734</v>
      </c>
      <c r="N1027" s="49" t="s">
        <v>10570</v>
      </c>
      <c r="O1027" s="49">
        <v>1</v>
      </c>
      <c r="P1027" s="49" t="s">
        <v>10571</v>
      </c>
      <c r="Q1027" s="49">
        <v>0</v>
      </c>
      <c r="R1027" s="49" t="s">
        <v>10572</v>
      </c>
      <c r="S1027" s="49" t="s">
        <v>10573</v>
      </c>
      <c r="T1027" s="49" t="s">
        <v>10574</v>
      </c>
      <c r="U1027" s="49" t="s">
        <v>655</v>
      </c>
      <c r="V1027" s="49" t="e">
        <v>#REF!</v>
      </c>
      <c r="AC1027" s="49"/>
      <c r="AD1027" s="49"/>
    </row>
    <row r="1028" spans="1:30" hidden="1" x14ac:dyDescent="0.3">
      <c r="A1028" s="49" t="s">
        <v>10575</v>
      </c>
      <c r="B1028" s="49">
        <v>0</v>
      </c>
      <c r="C1028" s="49"/>
      <c r="D1028" s="72" t="s">
        <v>717</v>
      </c>
      <c r="E1028" s="74">
        <v>1</v>
      </c>
      <c r="F1028" s="73">
        <v>0</v>
      </c>
      <c r="G1028" s="49"/>
      <c r="H1028" s="49" t="s">
        <v>10576</v>
      </c>
      <c r="I1028" s="49" t="s">
        <v>10579</v>
      </c>
      <c r="J1028" s="49" t="s">
        <v>10577</v>
      </c>
      <c r="K1028" s="49" t="s">
        <v>10578</v>
      </c>
      <c r="L1028" s="49">
        <v>0</v>
      </c>
      <c r="M1028" s="49" t="s">
        <v>1745</v>
      </c>
      <c r="N1028" s="49" t="s">
        <v>3387</v>
      </c>
      <c r="O1028" s="49">
        <v>2</v>
      </c>
      <c r="P1028" s="49" t="s">
        <v>10580</v>
      </c>
      <c r="Q1028" s="49">
        <v>0</v>
      </c>
      <c r="R1028" s="49" t="s">
        <v>10581</v>
      </c>
      <c r="S1028" s="49" t="s">
        <v>10582</v>
      </c>
      <c r="T1028" s="49" t="s">
        <v>10583</v>
      </c>
      <c r="U1028" s="49" t="s">
        <v>655</v>
      </c>
      <c r="V1028" s="49" t="e">
        <v>#REF!</v>
      </c>
      <c r="AC1028" s="49"/>
      <c r="AD1028" s="49"/>
    </row>
    <row r="1029" spans="1:30" hidden="1" x14ac:dyDescent="0.3">
      <c r="A1029" s="49" t="s">
        <v>10584</v>
      </c>
      <c r="B1029" s="49">
        <v>0</v>
      </c>
      <c r="C1029" s="49"/>
      <c r="D1029" s="72" t="s">
        <v>717</v>
      </c>
      <c r="E1029" s="74" t="s">
        <v>645</v>
      </c>
      <c r="F1029" s="73">
        <v>0</v>
      </c>
      <c r="G1029" s="49"/>
      <c r="H1029" s="49" t="s">
        <v>10585</v>
      </c>
      <c r="I1029" s="49" t="s">
        <v>10588</v>
      </c>
      <c r="J1029" s="49" t="s">
        <v>10586</v>
      </c>
      <c r="K1029" s="49" t="s">
        <v>10587</v>
      </c>
      <c r="L1029" s="49">
        <v>0</v>
      </c>
      <c r="M1029" s="49" t="s">
        <v>1745</v>
      </c>
      <c r="N1029" s="49" t="s">
        <v>10589</v>
      </c>
      <c r="O1029" s="49">
        <v>5</v>
      </c>
      <c r="P1029" s="49" t="s">
        <v>10590</v>
      </c>
      <c r="Q1029" s="49">
        <v>0</v>
      </c>
      <c r="R1029" s="49" t="s">
        <v>10591</v>
      </c>
      <c r="S1029" s="49" t="s">
        <v>10592</v>
      </c>
      <c r="T1029" s="49" t="s">
        <v>10593</v>
      </c>
      <c r="U1029" s="49" t="s">
        <v>655</v>
      </c>
      <c r="V1029" s="49" t="e">
        <v>#REF!</v>
      </c>
      <c r="AC1029" s="49"/>
      <c r="AD1029" s="49"/>
    </row>
    <row r="1030" spans="1:30" hidden="1" x14ac:dyDescent="0.3">
      <c r="A1030" s="49" t="s">
        <v>10594</v>
      </c>
      <c r="B1030" s="49">
        <v>0</v>
      </c>
      <c r="C1030" s="49"/>
      <c r="D1030" s="72" t="s">
        <v>717</v>
      </c>
      <c r="E1030" s="73">
        <v>0</v>
      </c>
      <c r="F1030" s="49"/>
      <c r="G1030" s="49"/>
      <c r="H1030" s="49" t="s">
        <v>10595</v>
      </c>
      <c r="I1030" s="49" t="s">
        <v>10598</v>
      </c>
      <c r="J1030" s="49" t="s">
        <v>10596</v>
      </c>
      <c r="K1030" s="49" t="s">
        <v>10597</v>
      </c>
      <c r="L1030" s="49">
        <v>0</v>
      </c>
      <c r="M1030" s="49" t="s">
        <v>1745</v>
      </c>
      <c r="N1030" s="49" t="s">
        <v>10599</v>
      </c>
      <c r="O1030" s="49">
        <v>1</v>
      </c>
      <c r="P1030" s="49" t="s">
        <v>10600</v>
      </c>
      <c r="Q1030" s="49">
        <v>0</v>
      </c>
      <c r="R1030" s="49" t="s">
        <v>10601</v>
      </c>
      <c r="S1030" s="49" t="s">
        <v>10602</v>
      </c>
      <c r="T1030" s="49" t="s">
        <v>10603</v>
      </c>
      <c r="U1030" s="49" t="s">
        <v>655</v>
      </c>
      <c r="V1030" s="49" t="e">
        <v>#REF!</v>
      </c>
      <c r="AC1030" s="49"/>
      <c r="AD1030" s="49"/>
    </row>
    <row r="1031" spans="1:30" hidden="1" x14ac:dyDescent="0.3">
      <c r="A1031" s="49" t="s">
        <v>10604</v>
      </c>
      <c r="B1031" s="49">
        <v>0</v>
      </c>
      <c r="C1031" s="49">
        <v>1</v>
      </c>
      <c r="D1031" s="72" t="s">
        <v>717</v>
      </c>
      <c r="E1031" s="74" t="s">
        <v>645</v>
      </c>
      <c r="F1031" s="73">
        <v>1</v>
      </c>
      <c r="G1031" s="49">
        <v>0</v>
      </c>
      <c r="H1031" s="49" t="s">
        <v>10605</v>
      </c>
      <c r="I1031" s="49" t="s">
        <v>10608</v>
      </c>
      <c r="J1031" s="49" t="s">
        <v>10606</v>
      </c>
      <c r="K1031" s="49" t="s">
        <v>10607</v>
      </c>
      <c r="L1031" s="49">
        <v>0</v>
      </c>
      <c r="M1031" s="75" t="s">
        <v>1734</v>
      </c>
      <c r="N1031" s="49" t="s">
        <v>10609</v>
      </c>
      <c r="P1031" s="49" t="s">
        <v>10610</v>
      </c>
      <c r="Q1031" s="49">
        <v>0</v>
      </c>
      <c r="R1031" s="49" t="s">
        <v>10611</v>
      </c>
      <c r="S1031" s="49" t="s">
        <v>10612</v>
      </c>
      <c r="T1031" s="49" t="s">
        <v>10613</v>
      </c>
      <c r="U1031" s="49" t="s">
        <v>655</v>
      </c>
      <c r="V1031" s="49" t="e">
        <v>#REF!</v>
      </c>
      <c r="AC1031" s="49"/>
      <c r="AD1031" s="49"/>
    </row>
    <row r="1032" spans="1:30" hidden="1" x14ac:dyDescent="0.3">
      <c r="A1032" s="49" t="s">
        <v>10614</v>
      </c>
      <c r="B1032" s="49">
        <v>0</v>
      </c>
      <c r="C1032" s="49"/>
      <c r="D1032" s="72" t="s">
        <v>717</v>
      </c>
      <c r="E1032" s="73">
        <v>0</v>
      </c>
      <c r="F1032" s="49"/>
      <c r="G1032" s="49"/>
      <c r="H1032" s="49" t="s">
        <v>10615</v>
      </c>
      <c r="I1032" s="49" t="s">
        <v>10618</v>
      </c>
      <c r="J1032" s="49" t="s">
        <v>10616</v>
      </c>
      <c r="K1032" s="49" t="s">
        <v>10617</v>
      </c>
      <c r="L1032" s="49">
        <v>0</v>
      </c>
      <c r="M1032" s="49" t="s">
        <v>1734</v>
      </c>
      <c r="N1032" s="49" t="s">
        <v>10619</v>
      </c>
      <c r="P1032" s="49" t="s">
        <v>10620</v>
      </c>
      <c r="Q1032" s="49">
        <v>0</v>
      </c>
      <c r="R1032" s="49" t="s">
        <v>10621</v>
      </c>
      <c r="S1032" s="49" t="s">
        <v>10622</v>
      </c>
      <c r="T1032" s="49" t="s">
        <v>10623</v>
      </c>
      <c r="U1032" s="49" t="s">
        <v>655</v>
      </c>
      <c r="V1032" s="49" t="e">
        <v>#REF!</v>
      </c>
      <c r="AC1032" s="49"/>
      <c r="AD1032" s="49"/>
    </row>
    <row r="1033" spans="1:30" hidden="1" x14ac:dyDescent="0.3">
      <c r="A1033" s="49" t="s">
        <v>10624</v>
      </c>
      <c r="B1033" s="49">
        <v>0</v>
      </c>
      <c r="C1033" s="49"/>
      <c r="D1033" s="72" t="s">
        <v>717</v>
      </c>
      <c r="E1033" s="73">
        <v>0</v>
      </c>
      <c r="F1033" s="49"/>
      <c r="G1033" s="49"/>
      <c r="H1033" s="49" t="s">
        <v>10625</v>
      </c>
      <c r="I1033" s="49" t="s">
        <v>10628</v>
      </c>
      <c r="J1033" s="49" t="s">
        <v>10626</v>
      </c>
      <c r="K1033" s="49" t="s">
        <v>10627</v>
      </c>
      <c r="L1033" s="49">
        <v>0</v>
      </c>
      <c r="M1033" s="49" t="s">
        <v>1734</v>
      </c>
      <c r="N1033" s="49" t="s">
        <v>10629</v>
      </c>
      <c r="P1033" s="49" t="s">
        <v>10630</v>
      </c>
      <c r="Q1033" s="49">
        <v>0</v>
      </c>
      <c r="R1033" s="49" t="s">
        <v>10631</v>
      </c>
      <c r="S1033" s="49" t="s">
        <v>10632</v>
      </c>
      <c r="T1033" s="49" t="s">
        <v>10633</v>
      </c>
      <c r="U1033" s="49" t="s">
        <v>655</v>
      </c>
      <c r="V1033" s="49" t="e">
        <v>#REF!</v>
      </c>
      <c r="AC1033" s="49"/>
      <c r="AD1033" s="49"/>
    </row>
    <row r="1034" spans="1:30" hidden="1" x14ac:dyDescent="0.3">
      <c r="A1034" s="49" t="s">
        <v>10634</v>
      </c>
      <c r="B1034" s="49">
        <v>0</v>
      </c>
      <c r="C1034" s="49"/>
      <c r="D1034" s="72" t="s">
        <v>717</v>
      </c>
      <c r="E1034" s="73">
        <v>0</v>
      </c>
      <c r="F1034" s="49"/>
      <c r="G1034" s="49"/>
      <c r="H1034" s="49" t="s">
        <v>10635</v>
      </c>
      <c r="I1034" s="49" t="s">
        <v>10638</v>
      </c>
      <c r="J1034" s="49" t="s">
        <v>10636</v>
      </c>
      <c r="K1034" s="49" t="s">
        <v>10637</v>
      </c>
      <c r="L1034" s="49">
        <v>0</v>
      </c>
      <c r="M1034" s="49" t="s">
        <v>1745</v>
      </c>
      <c r="N1034" s="49" t="s">
        <v>10639</v>
      </c>
      <c r="O1034" s="49">
        <v>28</v>
      </c>
      <c r="P1034" s="49" t="s">
        <v>10640</v>
      </c>
      <c r="Q1034" s="49">
        <v>0</v>
      </c>
      <c r="R1034" s="49" t="s">
        <v>10641</v>
      </c>
      <c r="S1034" s="49" t="s">
        <v>10642</v>
      </c>
      <c r="T1034" s="49" t="s">
        <v>10643</v>
      </c>
      <c r="U1034" s="49" t="s">
        <v>655</v>
      </c>
      <c r="V1034" s="49" t="e">
        <v>#REF!</v>
      </c>
      <c r="AC1034" s="49"/>
      <c r="AD1034" s="49"/>
    </row>
    <row r="1035" spans="1:30" hidden="1" x14ac:dyDescent="0.3">
      <c r="A1035" s="49" t="s">
        <v>10644</v>
      </c>
      <c r="B1035" s="49">
        <v>0</v>
      </c>
      <c r="C1035" s="49"/>
      <c r="D1035" s="72" t="s">
        <v>717</v>
      </c>
      <c r="E1035" s="73">
        <v>0</v>
      </c>
      <c r="F1035" s="49"/>
      <c r="G1035" s="49"/>
      <c r="H1035" s="49" t="s">
        <v>10645</v>
      </c>
      <c r="I1035" s="49" t="s">
        <v>10648</v>
      </c>
      <c r="J1035" s="49" t="s">
        <v>10646</v>
      </c>
      <c r="K1035" s="49" t="s">
        <v>10647</v>
      </c>
      <c r="L1035" s="49">
        <v>0</v>
      </c>
      <c r="M1035" s="49" t="s">
        <v>1734</v>
      </c>
      <c r="N1035" s="49" t="s">
        <v>1005</v>
      </c>
      <c r="O1035" s="49">
        <v>2</v>
      </c>
      <c r="P1035" s="49" t="s">
        <v>10649</v>
      </c>
      <c r="Q1035" s="49">
        <v>0</v>
      </c>
      <c r="R1035" s="49" t="s">
        <v>10650</v>
      </c>
      <c r="S1035" s="49" t="s">
        <v>10651</v>
      </c>
      <c r="T1035" s="49" t="s">
        <v>10652</v>
      </c>
      <c r="U1035" s="49" t="s">
        <v>655</v>
      </c>
      <c r="V1035" s="49" t="e">
        <v>#REF!</v>
      </c>
      <c r="AC1035" s="49"/>
      <c r="AD1035" s="49"/>
    </row>
    <row r="1036" spans="1:30" hidden="1" x14ac:dyDescent="0.3">
      <c r="A1036" s="49" t="s">
        <v>10653</v>
      </c>
      <c r="B1036" s="49">
        <v>0</v>
      </c>
      <c r="C1036" s="49"/>
      <c r="D1036" s="72" t="s">
        <v>717</v>
      </c>
      <c r="E1036" s="73">
        <v>0</v>
      </c>
      <c r="F1036" s="49"/>
      <c r="G1036" s="49"/>
      <c r="H1036" s="49" t="s">
        <v>10654</v>
      </c>
      <c r="I1036" s="49" t="s">
        <v>9326</v>
      </c>
      <c r="J1036" s="49" t="s">
        <v>9324</v>
      </c>
      <c r="K1036" s="49" t="s">
        <v>10655</v>
      </c>
      <c r="L1036" s="49">
        <v>0</v>
      </c>
      <c r="M1036" s="49" t="s">
        <v>1745</v>
      </c>
      <c r="N1036" s="49" t="s">
        <v>10656</v>
      </c>
      <c r="O1036" s="49">
        <v>3</v>
      </c>
      <c r="P1036" s="49" t="s">
        <v>10657</v>
      </c>
      <c r="Q1036" s="49">
        <v>0</v>
      </c>
      <c r="R1036" s="49" t="s">
        <v>10658</v>
      </c>
      <c r="S1036" s="49" t="s">
        <v>10659</v>
      </c>
      <c r="T1036" s="49" t="s">
        <v>10660</v>
      </c>
      <c r="U1036" s="49" t="s">
        <v>655</v>
      </c>
      <c r="V1036" s="49" t="e">
        <v>#REF!</v>
      </c>
      <c r="AC1036" s="49"/>
      <c r="AD1036" s="49"/>
    </row>
    <row r="1037" spans="1:30" x14ac:dyDescent="0.3">
      <c r="A1037" s="49" t="s">
        <v>10662</v>
      </c>
      <c r="B1037" s="49" t="s">
        <v>10661</v>
      </c>
      <c r="C1037" s="49">
        <v>1</v>
      </c>
      <c r="D1037" s="72" t="s">
        <v>717</v>
      </c>
      <c r="E1037" s="74">
        <v>1</v>
      </c>
      <c r="F1037" s="73">
        <v>1</v>
      </c>
      <c r="G1037" s="49">
        <v>1</v>
      </c>
      <c r="H1037" s="49" t="s">
        <v>10663</v>
      </c>
      <c r="I1037" s="49" t="s">
        <v>10666</v>
      </c>
      <c r="J1037" s="49" t="s">
        <v>10664</v>
      </c>
      <c r="K1037" s="49" t="s">
        <v>10665</v>
      </c>
      <c r="L1037" s="49">
        <v>0</v>
      </c>
      <c r="M1037" s="75" t="s">
        <v>1745</v>
      </c>
      <c r="N1037" s="49" t="s">
        <v>10667</v>
      </c>
      <c r="P1037" s="49" t="s">
        <v>10668</v>
      </c>
      <c r="Q1037" s="49">
        <v>0</v>
      </c>
      <c r="R1037" s="49" t="s">
        <v>10669</v>
      </c>
      <c r="S1037" s="49" t="s">
        <v>10670</v>
      </c>
      <c r="T1037" s="49" t="s">
        <v>10671</v>
      </c>
      <c r="U1037" s="49" t="s">
        <v>646</v>
      </c>
      <c r="V1037" s="49" t="e">
        <v>#REF!</v>
      </c>
      <c r="AC1037" s="49"/>
      <c r="AD1037" s="49"/>
    </row>
    <row r="1038" spans="1:30" x14ac:dyDescent="0.3">
      <c r="A1038" s="49" t="s">
        <v>10673</v>
      </c>
      <c r="B1038" s="49" t="s">
        <v>10672</v>
      </c>
      <c r="C1038" s="49">
        <v>1</v>
      </c>
      <c r="D1038" s="72" t="s">
        <v>717</v>
      </c>
      <c r="E1038" s="74">
        <v>1</v>
      </c>
      <c r="F1038" s="73">
        <v>1</v>
      </c>
      <c r="G1038" s="49">
        <v>1</v>
      </c>
      <c r="H1038" s="49" t="s">
        <v>10674</v>
      </c>
      <c r="I1038" s="49" t="s">
        <v>10677</v>
      </c>
      <c r="J1038" s="49" t="s">
        <v>10675</v>
      </c>
      <c r="K1038" s="49" t="s">
        <v>10676</v>
      </c>
      <c r="L1038" s="49">
        <v>0</v>
      </c>
      <c r="M1038" s="75" t="s">
        <v>1745</v>
      </c>
      <c r="N1038" s="49" t="s">
        <v>3142</v>
      </c>
      <c r="O1038" s="49">
        <v>27</v>
      </c>
      <c r="P1038" s="49" t="s">
        <v>10678</v>
      </c>
      <c r="Q1038" s="49">
        <v>0</v>
      </c>
      <c r="R1038" s="49" t="s">
        <v>10679</v>
      </c>
      <c r="S1038" s="49" t="s">
        <v>10680</v>
      </c>
      <c r="T1038" s="49" t="s">
        <v>10681</v>
      </c>
      <c r="U1038" s="49" t="s">
        <v>655</v>
      </c>
      <c r="V1038" s="49" t="e">
        <v>#REF!</v>
      </c>
      <c r="AC1038" s="49"/>
      <c r="AD1038" s="49"/>
    </row>
    <row r="1039" spans="1:30" hidden="1" x14ac:dyDescent="0.3">
      <c r="A1039" s="49" t="s">
        <v>10682</v>
      </c>
      <c r="B1039" s="49">
        <v>0</v>
      </c>
      <c r="C1039" s="49"/>
      <c r="D1039" s="72" t="s">
        <v>717</v>
      </c>
      <c r="E1039" s="73">
        <v>0</v>
      </c>
      <c r="F1039" s="49"/>
      <c r="G1039" s="49"/>
      <c r="H1039" s="49" t="s">
        <v>10683</v>
      </c>
      <c r="I1039" s="49" t="s">
        <v>10686</v>
      </c>
      <c r="J1039" s="49" t="s">
        <v>10684</v>
      </c>
      <c r="K1039" s="49" t="s">
        <v>10685</v>
      </c>
      <c r="L1039" s="49">
        <v>0</v>
      </c>
      <c r="M1039" s="49" t="s">
        <v>1745</v>
      </c>
      <c r="N1039" s="49" t="s">
        <v>10687</v>
      </c>
      <c r="P1039" s="49" t="s">
        <v>10688</v>
      </c>
      <c r="Q1039" s="49">
        <v>0</v>
      </c>
      <c r="R1039" s="49" t="s">
        <v>10689</v>
      </c>
      <c r="S1039" s="49" t="s">
        <v>10690</v>
      </c>
      <c r="T1039" s="49" t="s">
        <v>10691</v>
      </c>
      <c r="U1039" s="49" t="s">
        <v>655</v>
      </c>
      <c r="V1039" s="49" t="e">
        <v>#REF!</v>
      </c>
      <c r="AC1039" s="49"/>
      <c r="AD1039" s="49"/>
    </row>
    <row r="1040" spans="1:30" hidden="1" x14ac:dyDescent="0.3">
      <c r="A1040" s="49" t="s">
        <v>10692</v>
      </c>
      <c r="B1040" s="49">
        <v>0</v>
      </c>
      <c r="C1040" s="49"/>
      <c r="D1040" s="72" t="s">
        <v>717</v>
      </c>
      <c r="E1040" s="73">
        <v>0</v>
      </c>
      <c r="F1040" s="49"/>
      <c r="G1040" s="49"/>
      <c r="H1040" s="49" t="s">
        <v>10693</v>
      </c>
      <c r="I1040" s="49" t="s">
        <v>10696</v>
      </c>
      <c r="J1040" s="49" t="s">
        <v>10694</v>
      </c>
      <c r="K1040" s="49" t="s">
        <v>10695</v>
      </c>
      <c r="L1040" s="49">
        <v>0</v>
      </c>
      <c r="M1040" s="49" t="s">
        <v>2142</v>
      </c>
      <c r="N1040" s="49" t="s">
        <v>10697</v>
      </c>
      <c r="O1040" s="49">
        <v>9</v>
      </c>
      <c r="P1040" s="49" t="s">
        <v>10698</v>
      </c>
      <c r="Q1040" s="49">
        <v>0</v>
      </c>
      <c r="R1040" s="49" t="s">
        <v>10699</v>
      </c>
      <c r="S1040" s="49" t="s">
        <v>10700</v>
      </c>
      <c r="T1040" s="49" t="s">
        <v>10701</v>
      </c>
      <c r="U1040" s="49" t="s">
        <v>655</v>
      </c>
      <c r="V1040" s="49" t="e">
        <v>#REF!</v>
      </c>
      <c r="AC1040" s="49"/>
      <c r="AD1040" s="49"/>
    </row>
    <row r="1041" spans="1:30" hidden="1" x14ac:dyDescent="0.3">
      <c r="A1041" s="49" t="s">
        <v>10702</v>
      </c>
      <c r="B1041" s="49">
        <v>0</v>
      </c>
      <c r="C1041" s="49"/>
      <c r="D1041" s="72" t="s">
        <v>717</v>
      </c>
      <c r="E1041" s="73">
        <v>0</v>
      </c>
      <c r="F1041" s="49"/>
      <c r="G1041" s="49"/>
      <c r="H1041" s="49" t="s">
        <v>10703</v>
      </c>
      <c r="I1041" s="49" t="s">
        <v>10706</v>
      </c>
      <c r="J1041" s="49" t="s">
        <v>10704</v>
      </c>
      <c r="K1041" s="49" t="s">
        <v>10705</v>
      </c>
      <c r="L1041" s="49">
        <v>0</v>
      </c>
      <c r="M1041" s="49" t="s">
        <v>1734</v>
      </c>
      <c r="N1041" s="49" t="s">
        <v>10707</v>
      </c>
      <c r="P1041" s="49" t="s">
        <v>10708</v>
      </c>
      <c r="Q1041" s="49">
        <v>0</v>
      </c>
      <c r="R1041" s="49" t="s">
        <v>10709</v>
      </c>
      <c r="S1041" s="49" t="s">
        <v>10710</v>
      </c>
      <c r="T1041" s="49" t="s">
        <v>10711</v>
      </c>
      <c r="U1041" s="49" t="s">
        <v>655</v>
      </c>
      <c r="V1041" s="49" t="e">
        <v>#REF!</v>
      </c>
      <c r="AC1041" s="49"/>
      <c r="AD1041" s="49"/>
    </row>
    <row r="1042" spans="1:30" hidden="1" x14ac:dyDescent="0.3">
      <c r="A1042" s="49" t="s">
        <v>10712</v>
      </c>
      <c r="B1042" s="49">
        <v>0</v>
      </c>
      <c r="C1042" s="49"/>
      <c r="D1042" s="72" t="s">
        <v>717</v>
      </c>
      <c r="E1042" s="73">
        <v>0</v>
      </c>
      <c r="F1042" s="49"/>
      <c r="G1042" s="49"/>
      <c r="H1042" s="49" t="s">
        <v>10713</v>
      </c>
      <c r="I1042" s="49" t="s">
        <v>10716</v>
      </c>
      <c r="J1042" s="49" t="s">
        <v>10714</v>
      </c>
      <c r="K1042" s="49" t="s">
        <v>10715</v>
      </c>
      <c r="L1042" s="49">
        <v>0</v>
      </c>
      <c r="M1042" s="49" t="s">
        <v>1745</v>
      </c>
      <c r="N1042" s="49" t="s">
        <v>10717</v>
      </c>
      <c r="O1042" s="49">
        <v>3</v>
      </c>
      <c r="P1042" s="49" t="s">
        <v>10718</v>
      </c>
      <c r="Q1042" s="49">
        <v>0</v>
      </c>
      <c r="R1042" s="49" t="s">
        <v>10719</v>
      </c>
      <c r="S1042" s="49" t="s">
        <v>10720</v>
      </c>
      <c r="T1042" s="49" t="s">
        <v>10721</v>
      </c>
      <c r="U1042" s="49" t="s">
        <v>655</v>
      </c>
      <c r="V1042" s="49" t="e">
        <v>#REF!</v>
      </c>
      <c r="AC1042" s="49"/>
      <c r="AD1042" s="49"/>
    </row>
    <row r="1043" spans="1:30" hidden="1" x14ac:dyDescent="0.3">
      <c r="A1043" s="49" t="s">
        <v>10722</v>
      </c>
      <c r="B1043" s="49">
        <v>0</v>
      </c>
      <c r="C1043" s="49"/>
      <c r="D1043" s="72" t="s">
        <v>717</v>
      </c>
      <c r="E1043" s="74" t="s">
        <v>645</v>
      </c>
      <c r="F1043" s="73">
        <v>0</v>
      </c>
      <c r="G1043" s="49"/>
      <c r="H1043" s="49" t="s">
        <v>10723</v>
      </c>
      <c r="I1043" s="49" t="s">
        <v>10726</v>
      </c>
      <c r="J1043" s="49" t="s">
        <v>10724</v>
      </c>
      <c r="K1043" s="49" t="s">
        <v>10725</v>
      </c>
      <c r="L1043" s="49">
        <v>0</v>
      </c>
      <c r="M1043" s="49" t="s">
        <v>1865</v>
      </c>
      <c r="N1043" s="49" t="s">
        <v>10727</v>
      </c>
      <c r="O1043" s="49">
        <v>2</v>
      </c>
      <c r="P1043" s="49" t="s">
        <v>10728</v>
      </c>
      <c r="Q1043" s="49">
        <v>0</v>
      </c>
      <c r="R1043" s="49" t="s">
        <v>10729</v>
      </c>
      <c r="S1043" s="49" t="s">
        <v>10730</v>
      </c>
      <c r="T1043" s="49" t="s">
        <v>646</v>
      </c>
      <c r="U1043" s="49" t="s">
        <v>670</v>
      </c>
      <c r="V1043" s="49" t="e">
        <v>#REF!</v>
      </c>
      <c r="AC1043" s="49"/>
      <c r="AD1043" s="49"/>
    </row>
    <row r="1044" spans="1:30" hidden="1" x14ac:dyDescent="0.3">
      <c r="A1044" s="49" t="s">
        <v>10731</v>
      </c>
      <c r="B1044" s="49">
        <v>0</v>
      </c>
      <c r="C1044" s="49"/>
      <c r="D1044" s="72" t="s">
        <v>717</v>
      </c>
      <c r="E1044" s="74">
        <v>1</v>
      </c>
      <c r="F1044" s="73">
        <v>0</v>
      </c>
      <c r="G1044" s="49"/>
      <c r="H1044" s="49" t="s">
        <v>10732</v>
      </c>
      <c r="I1044" s="49" t="s">
        <v>10734</v>
      </c>
      <c r="J1044" s="49" t="s">
        <v>2278</v>
      </c>
      <c r="K1044" s="49" t="s">
        <v>10733</v>
      </c>
      <c r="L1044" s="49">
        <v>0</v>
      </c>
      <c r="M1044" s="49" t="s">
        <v>1745</v>
      </c>
      <c r="N1044" s="49" t="s">
        <v>2239</v>
      </c>
      <c r="O1044" s="49">
        <v>11</v>
      </c>
      <c r="P1044" s="49" t="s">
        <v>10735</v>
      </c>
      <c r="Q1044" s="49">
        <v>0</v>
      </c>
      <c r="R1044" s="49" t="s">
        <v>2282</v>
      </c>
      <c r="S1044" s="49" t="s">
        <v>10736</v>
      </c>
      <c r="T1044" s="49" t="s">
        <v>646</v>
      </c>
      <c r="U1044" s="49" t="s">
        <v>670</v>
      </c>
      <c r="V1044" s="49" t="e">
        <v>#REF!</v>
      </c>
      <c r="AC1044" s="49"/>
      <c r="AD1044" s="49"/>
    </row>
    <row r="1045" spans="1:30" hidden="1" x14ac:dyDescent="0.3">
      <c r="A1045" s="49" t="s">
        <v>10737</v>
      </c>
      <c r="B1045" s="49">
        <v>0</v>
      </c>
      <c r="C1045" s="49"/>
      <c r="D1045" s="72" t="s">
        <v>717</v>
      </c>
      <c r="E1045" s="73">
        <v>0</v>
      </c>
      <c r="F1045" s="49"/>
      <c r="G1045" s="49"/>
      <c r="H1045" s="49" t="s">
        <v>10738</v>
      </c>
      <c r="I1045" s="49" t="s">
        <v>10741</v>
      </c>
      <c r="J1045" s="49" t="s">
        <v>10739</v>
      </c>
      <c r="K1045" s="49" t="s">
        <v>10740</v>
      </c>
      <c r="L1045" s="49">
        <v>0</v>
      </c>
      <c r="M1045" s="49" t="s">
        <v>1734</v>
      </c>
      <c r="N1045" s="49" t="s">
        <v>10742</v>
      </c>
      <c r="P1045" s="49" t="s">
        <v>10743</v>
      </c>
      <c r="Q1045" s="49">
        <v>0</v>
      </c>
      <c r="R1045" s="49" t="s">
        <v>10744</v>
      </c>
      <c r="S1045" s="49" t="s">
        <v>10745</v>
      </c>
      <c r="T1045" s="49" t="s">
        <v>10746</v>
      </c>
      <c r="U1045" s="49" t="s">
        <v>655</v>
      </c>
      <c r="V1045" s="49" t="e">
        <v>#REF!</v>
      </c>
      <c r="AC1045" s="49"/>
      <c r="AD1045" s="49"/>
    </row>
    <row r="1046" spans="1:30" hidden="1" x14ac:dyDescent="0.3">
      <c r="A1046" s="49" t="s">
        <v>10747</v>
      </c>
      <c r="B1046" s="49">
        <v>0</v>
      </c>
      <c r="C1046" s="49"/>
      <c r="D1046" s="72" t="s">
        <v>717</v>
      </c>
      <c r="E1046" s="73">
        <v>0</v>
      </c>
      <c r="F1046" s="49"/>
      <c r="G1046" s="49"/>
      <c r="H1046" s="49" t="s">
        <v>10748</v>
      </c>
      <c r="I1046" s="49" t="s">
        <v>10751</v>
      </c>
      <c r="J1046" s="49" t="s">
        <v>10749</v>
      </c>
      <c r="K1046" s="49" t="s">
        <v>10750</v>
      </c>
      <c r="L1046" s="49">
        <v>0</v>
      </c>
      <c r="M1046" s="49" t="s">
        <v>1745</v>
      </c>
      <c r="N1046" s="49" t="s">
        <v>3949</v>
      </c>
      <c r="P1046" s="49" t="s">
        <v>10752</v>
      </c>
      <c r="Q1046" s="49">
        <v>0</v>
      </c>
      <c r="R1046" s="49" t="s">
        <v>10753</v>
      </c>
      <c r="S1046" s="49" t="s">
        <v>10754</v>
      </c>
      <c r="T1046" s="49" t="s">
        <v>10755</v>
      </c>
      <c r="U1046" s="49" t="s">
        <v>791</v>
      </c>
      <c r="V1046" s="49" t="e">
        <v>#REF!</v>
      </c>
      <c r="AC1046" s="49"/>
      <c r="AD1046" s="49"/>
    </row>
    <row r="1047" spans="1:30" hidden="1" x14ac:dyDescent="0.3">
      <c r="A1047" s="49" t="s">
        <v>10756</v>
      </c>
      <c r="B1047" s="49">
        <v>0</v>
      </c>
      <c r="C1047" s="49"/>
      <c r="D1047" s="72" t="s">
        <v>717</v>
      </c>
      <c r="E1047" s="73">
        <v>0</v>
      </c>
      <c r="F1047" s="49"/>
      <c r="G1047" s="49"/>
      <c r="H1047" s="49" t="s">
        <v>10757</v>
      </c>
      <c r="I1047" s="49" t="s">
        <v>10760</v>
      </c>
      <c r="J1047" s="49" t="s">
        <v>10758</v>
      </c>
      <c r="K1047" s="49" t="s">
        <v>10759</v>
      </c>
      <c r="L1047" s="49">
        <v>0</v>
      </c>
      <c r="M1047" s="49" t="s">
        <v>1745</v>
      </c>
      <c r="N1047" s="49" t="s">
        <v>697</v>
      </c>
      <c r="P1047" s="49" t="s">
        <v>10761</v>
      </c>
      <c r="Q1047" s="49">
        <v>0</v>
      </c>
      <c r="R1047" s="49" t="s">
        <v>10762</v>
      </c>
      <c r="S1047" s="49" t="s">
        <v>10763</v>
      </c>
      <c r="T1047" s="49" t="s">
        <v>10764</v>
      </c>
      <c r="U1047" s="49" t="s">
        <v>655</v>
      </c>
      <c r="V1047" s="49" t="e">
        <v>#REF!</v>
      </c>
      <c r="AC1047" s="49"/>
      <c r="AD1047" s="49"/>
    </row>
    <row r="1048" spans="1:30" hidden="1" x14ac:dyDescent="0.3">
      <c r="A1048" s="49" t="s">
        <v>10765</v>
      </c>
      <c r="B1048" s="49">
        <v>0</v>
      </c>
      <c r="C1048" s="49">
        <v>1</v>
      </c>
      <c r="D1048" s="72" t="s">
        <v>717</v>
      </c>
      <c r="E1048" s="74">
        <v>1</v>
      </c>
      <c r="F1048" s="73">
        <v>1</v>
      </c>
      <c r="G1048" s="49">
        <v>0</v>
      </c>
      <c r="H1048" s="49" t="s">
        <v>10766</v>
      </c>
      <c r="I1048" s="49" t="s">
        <v>10769</v>
      </c>
      <c r="J1048" s="49" t="s">
        <v>10767</v>
      </c>
      <c r="K1048" s="49" t="s">
        <v>10768</v>
      </c>
      <c r="L1048" s="49">
        <v>0</v>
      </c>
      <c r="M1048" s="75" t="s">
        <v>1734</v>
      </c>
      <c r="N1048" s="49" t="s">
        <v>10770</v>
      </c>
      <c r="P1048" s="49" t="s">
        <v>10771</v>
      </c>
      <c r="Q1048" s="49">
        <v>0</v>
      </c>
      <c r="R1048" s="49" t="s">
        <v>10772</v>
      </c>
      <c r="S1048" s="49" t="s">
        <v>10773</v>
      </c>
      <c r="T1048" s="49" t="s">
        <v>10774</v>
      </c>
      <c r="U1048" s="49" t="s">
        <v>655</v>
      </c>
      <c r="V1048" s="49" t="e">
        <v>#REF!</v>
      </c>
      <c r="AC1048" s="49"/>
      <c r="AD1048" s="49"/>
    </row>
    <row r="1049" spans="1:30" hidden="1" x14ac:dyDescent="0.3">
      <c r="A1049" s="49" t="s">
        <v>10775</v>
      </c>
      <c r="B1049" s="49">
        <v>0</v>
      </c>
      <c r="C1049" s="49"/>
      <c r="D1049" s="72" t="s">
        <v>717</v>
      </c>
      <c r="E1049" s="49" t="s">
        <v>3754</v>
      </c>
      <c r="F1049" s="49"/>
      <c r="G1049" s="49"/>
      <c r="H1049" s="49" t="s">
        <v>10776</v>
      </c>
      <c r="I1049" s="49" t="s">
        <v>10779</v>
      </c>
      <c r="J1049" s="49" t="s">
        <v>10777</v>
      </c>
      <c r="K1049" s="49" t="s">
        <v>10778</v>
      </c>
      <c r="L1049" s="49">
        <v>0</v>
      </c>
      <c r="M1049" s="49" t="s">
        <v>2456</v>
      </c>
      <c r="N1049" s="49" t="s">
        <v>10780</v>
      </c>
      <c r="O1049" s="49">
        <v>78</v>
      </c>
      <c r="P1049" s="49" t="s">
        <v>10781</v>
      </c>
      <c r="Q1049" s="49">
        <v>0</v>
      </c>
      <c r="R1049" s="49" t="s">
        <v>10782</v>
      </c>
      <c r="S1049" s="49" t="s">
        <v>10783</v>
      </c>
      <c r="T1049" s="49" t="s">
        <v>10784</v>
      </c>
      <c r="U1049" s="49" t="s">
        <v>670</v>
      </c>
      <c r="V1049" s="49" t="e">
        <v>#REF!</v>
      </c>
      <c r="AC1049" s="49"/>
      <c r="AD1049" s="49"/>
    </row>
    <row r="1050" spans="1:30" hidden="1" x14ac:dyDescent="0.3">
      <c r="A1050" s="49" t="s">
        <v>10785</v>
      </c>
      <c r="B1050" s="49">
        <v>0</v>
      </c>
      <c r="C1050" s="49"/>
      <c r="D1050" s="72" t="s">
        <v>717</v>
      </c>
      <c r="E1050" s="49" t="s">
        <v>3754</v>
      </c>
      <c r="F1050" s="49"/>
      <c r="G1050" s="49"/>
      <c r="H1050" s="49" t="s">
        <v>10786</v>
      </c>
      <c r="I1050" s="49" t="s">
        <v>10789</v>
      </c>
      <c r="J1050" s="49" t="s">
        <v>10787</v>
      </c>
      <c r="K1050" s="49" t="s">
        <v>10788</v>
      </c>
      <c r="L1050" s="49">
        <v>0</v>
      </c>
      <c r="M1050" s="49" t="s">
        <v>1865</v>
      </c>
      <c r="N1050" s="49" t="s">
        <v>10790</v>
      </c>
      <c r="O1050" s="49">
        <v>4</v>
      </c>
      <c r="P1050" s="49" t="s">
        <v>10791</v>
      </c>
      <c r="Q1050" s="49">
        <v>0</v>
      </c>
      <c r="R1050" s="49" t="s">
        <v>10792</v>
      </c>
      <c r="S1050" s="49" t="s">
        <v>10793</v>
      </c>
      <c r="T1050" s="49" t="s">
        <v>10794</v>
      </c>
      <c r="U1050" s="49" t="s">
        <v>655</v>
      </c>
      <c r="V1050" s="49" t="e">
        <v>#REF!</v>
      </c>
      <c r="AC1050" s="49"/>
      <c r="AD1050" s="49"/>
    </row>
    <row r="1051" spans="1:30" hidden="1" x14ac:dyDescent="0.3">
      <c r="A1051" s="49" t="s">
        <v>10795</v>
      </c>
      <c r="B1051" s="49">
        <v>0</v>
      </c>
      <c r="C1051" s="49"/>
      <c r="D1051" s="72" t="s">
        <v>717</v>
      </c>
      <c r="E1051" s="49" t="s">
        <v>3754</v>
      </c>
      <c r="F1051" s="49"/>
      <c r="G1051" s="49"/>
      <c r="H1051" s="49" t="s">
        <v>10796</v>
      </c>
      <c r="I1051" s="49" t="s">
        <v>10799</v>
      </c>
      <c r="J1051" s="49" t="s">
        <v>10797</v>
      </c>
      <c r="K1051" s="49" t="s">
        <v>10798</v>
      </c>
      <c r="L1051" s="49">
        <v>0</v>
      </c>
      <c r="M1051" s="49" t="s">
        <v>1826</v>
      </c>
      <c r="N1051" s="49" t="s">
        <v>2591</v>
      </c>
      <c r="O1051" s="49">
        <v>5</v>
      </c>
      <c r="P1051" s="49" t="s">
        <v>10800</v>
      </c>
      <c r="Q1051" s="49">
        <v>0</v>
      </c>
      <c r="R1051" s="49" t="s">
        <v>10801</v>
      </c>
      <c r="S1051" s="49" t="s">
        <v>10802</v>
      </c>
      <c r="T1051" s="49" t="s">
        <v>10803</v>
      </c>
      <c r="U1051" s="49" t="s">
        <v>655</v>
      </c>
      <c r="V1051" s="49" t="e">
        <v>#REF!</v>
      </c>
      <c r="AC1051" s="49"/>
      <c r="AD1051" s="49"/>
    </row>
    <row r="1052" spans="1:30" hidden="1" x14ac:dyDescent="0.3">
      <c r="A1052" s="49" t="s">
        <v>1255</v>
      </c>
      <c r="B1052" s="49">
        <v>0</v>
      </c>
      <c r="C1052" s="49"/>
      <c r="D1052" s="72" t="s">
        <v>717</v>
      </c>
      <c r="E1052" s="49" t="s">
        <v>3754</v>
      </c>
      <c r="F1052" s="49"/>
      <c r="G1052" s="49"/>
      <c r="H1052" s="49" t="s">
        <v>1257</v>
      </c>
      <c r="I1052" s="49" t="s">
        <v>1258</v>
      </c>
      <c r="J1052" s="49" t="s">
        <v>10804</v>
      </c>
      <c r="K1052" s="49" t="s">
        <v>1260</v>
      </c>
      <c r="L1052" s="49">
        <v>0</v>
      </c>
      <c r="M1052" s="49" t="s">
        <v>1777</v>
      </c>
      <c r="N1052" s="49" t="s">
        <v>776</v>
      </c>
      <c r="O1052" s="49">
        <v>57</v>
      </c>
      <c r="P1052" s="49" t="s">
        <v>1261</v>
      </c>
      <c r="Q1052" s="49">
        <v>0</v>
      </c>
      <c r="R1052" s="49" t="s">
        <v>1262</v>
      </c>
      <c r="S1052" s="49" t="s">
        <v>1263</v>
      </c>
      <c r="T1052" s="49" t="s">
        <v>10805</v>
      </c>
      <c r="U1052" s="49" t="s">
        <v>655</v>
      </c>
      <c r="V1052" s="49" t="e">
        <v>#REF!</v>
      </c>
      <c r="AC1052" s="49"/>
      <c r="AD1052" s="49"/>
    </row>
    <row r="1053" spans="1:30" hidden="1" x14ac:dyDescent="0.3">
      <c r="A1053" s="49" t="s">
        <v>10806</v>
      </c>
      <c r="B1053" s="49">
        <v>0</v>
      </c>
      <c r="C1053" s="49"/>
      <c r="D1053" s="72" t="s">
        <v>717</v>
      </c>
      <c r="E1053" s="49" t="s">
        <v>3754</v>
      </c>
      <c r="F1053" s="49"/>
      <c r="G1053" s="49"/>
      <c r="H1053" s="49" t="s">
        <v>10807</v>
      </c>
      <c r="I1053" s="49" t="s">
        <v>10810</v>
      </c>
      <c r="J1053" s="49" t="s">
        <v>10808</v>
      </c>
      <c r="K1053" s="49" t="s">
        <v>10809</v>
      </c>
      <c r="L1053" s="49">
        <v>0</v>
      </c>
      <c r="M1053" s="49" t="s">
        <v>2484</v>
      </c>
      <c r="N1053" s="49" t="s">
        <v>6310</v>
      </c>
      <c r="O1053" s="49">
        <v>5</v>
      </c>
      <c r="P1053" s="49" t="s">
        <v>10811</v>
      </c>
      <c r="Q1053" s="49">
        <v>0</v>
      </c>
      <c r="R1053" s="49" t="s">
        <v>10812</v>
      </c>
      <c r="S1053" s="49" t="s">
        <v>10813</v>
      </c>
      <c r="T1053" s="49" t="s">
        <v>646</v>
      </c>
      <c r="U1053" s="49" t="s">
        <v>670</v>
      </c>
      <c r="V1053" s="49" t="e">
        <v>#REF!</v>
      </c>
      <c r="AC1053" s="49"/>
      <c r="AD1053" s="49"/>
    </row>
    <row r="1054" spans="1:30" hidden="1" x14ac:dyDescent="0.3">
      <c r="A1054" s="49" t="s">
        <v>10814</v>
      </c>
      <c r="B1054" s="49">
        <v>0</v>
      </c>
      <c r="C1054" s="49"/>
      <c r="D1054" s="72" t="s">
        <v>717</v>
      </c>
      <c r="E1054" s="49" t="s">
        <v>3754</v>
      </c>
      <c r="F1054" s="49"/>
      <c r="G1054" s="49"/>
      <c r="H1054" s="49" t="s">
        <v>10815</v>
      </c>
      <c r="I1054" s="49" t="s">
        <v>10818</v>
      </c>
      <c r="J1054" s="49" t="s">
        <v>10816</v>
      </c>
      <c r="K1054" s="49" t="s">
        <v>10817</v>
      </c>
      <c r="L1054" s="49">
        <v>0</v>
      </c>
      <c r="M1054" s="49" t="s">
        <v>1817</v>
      </c>
      <c r="N1054" s="49" t="s">
        <v>7384</v>
      </c>
      <c r="O1054" s="49">
        <v>9</v>
      </c>
      <c r="P1054" s="49" t="s">
        <v>10819</v>
      </c>
      <c r="Q1054" s="49">
        <v>0</v>
      </c>
      <c r="R1054" s="49" t="s">
        <v>10820</v>
      </c>
      <c r="S1054" s="49" t="s">
        <v>10821</v>
      </c>
      <c r="T1054" s="49" t="s">
        <v>10822</v>
      </c>
      <c r="U1054" s="49" t="s">
        <v>670</v>
      </c>
      <c r="V1054" s="49" t="e">
        <v>#REF!</v>
      </c>
      <c r="AC1054" s="49"/>
      <c r="AD1054" s="49"/>
    </row>
    <row r="1055" spans="1:30" hidden="1" x14ac:dyDescent="0.3">
      <c r="A1055" s="49" t="s">
        <v>10823</v>
      </c>
      <c r="B1055" s="49">
        <v>0</v>
      </c>
      <c r="C1055" s="49"/>
      <c r="D1055" s="72" t="s">
        <v>717</v>
      </c>
      <c r="E1055" s="49" t="s">
        <v>3754</v>
      </c>
      <c r="F1055" s="49"/>
      <c r="G1055" s="49"/>
      <c r="H1055" s="49" t="s">
        <v>10824</v>
      </c>
      <c r="I1055" s="49" t="s">
        <v>10827</v>
      </c>
      <c r="J1055" s="49" t="s">
        <v>10825</v>
      </c>
      <c r="K1055" s="49" t="s">
        <v>10826</v>
      </c>
      <c r="L1055" s="49">
        <v>0</v>
      </c>
      <c r="M1055" s="49" t="s">
        <v>2142</v>
      </c>
      <c r="N1055" s="49" t="s">
        <v>10828</v>
      </c>
      <c r="O1055" s="49">
        <v>64</v>
      </c>
      <c r="P1055" s="49" t="s">
        <v>10829</v>
      </c>
      <c r="Q1055" s="49">
        <v>0</v>
      </c>
      <c r="R1055" s="49" t="s">
        <v>10830</v>
      </c>
      <c r="S1055" s="49" t="s">
        <v>10831</v>
      </c>
      <c r="T1055" s="49" t="s">
        <v>10832</v>
      </c>
      <c r="U1055" s="49" t="s">
        <v>655</v>
      </c>
      <c r="V1055" s="49" t="e">
        <v>#REF!</v>
      </c>
      <c r="AC1055" s="49"/>
      <c r="AD1055" s="49"/>
    </row>
    <row r="1056" spans="1:30" hidden="1" x14ac:dyDescent="0.3">
      <c r="A1056" s="49" t="s">
        <v>10833</v>
      </c>
      <c r="B1056" s="49">
        <v>0</v>
      </c>
      <c r="C1056" s="49"/>
      <c r="D1056" s="72" t="s">
        <v>717</v>
      </c>
      <c r="E1056" s="49" t="s">
        <v>3754</v>
      </c>
      <c r="F1056" s="49"/>
      <c r="G1056" s="49"/>
      <c r="H1056" s="49" t="s">
        <v>10834</v>
      </c>
      <c r="I1056" s="49" t="s">
        <v>10837</v>
      </c>
      <c r="J1056" s="49" t="s">
        <v>10835</v>
      </c>
      <c r="K1056" s="49" t="s">
        <v>10836</v>
      </c>
      <c r="L1056" s="49">
        <v>0</v>
      </c>
      <c r="M1056" s="49" t="s">
        <v>2636</v>
      </c>
      <c r="N1056" s="49" t="s">
        <v>10838</v>
      </c>
      <c r="O1056" s="49">
        <v>10</v>
      </c>
      <c r="P1056" s="49" t="s">
        <v>10839</v>
      </c>
      <c r="Q1056" s="49">
        <v>0</v>
      </c>
      <c r="R1056" s="49" t="s">
        <v>10840</v>
      </c>
      <c r="S1056" s="49" t="s">
        <v>10841</v>
      </c>
      <c r="T1056" s="49" t="s">
        <v>10842</v>
      </c>
      <c r="U1056" s="49" t="s">
        <v>670</v>
      </c>
      <c r="V1056" s="49" t="e">
        <v>#REF!</v>
      </c>
      <c r="AC1056" s="49"/>
      <c r="AD1056" s="49"/>
    </row>
    <row r="1057" spans="1:30" hidden="1" x14ac:dyDescent="0.3">
      <c r="A1057" s="49" t="s">
        <v>10843</v>
      </c>
      <c r="B1057" s="49">
        <v>0</v>
      </c>
      <c r="C1057" s="49"/>
      <c r="D1057" s="72" t="s">
        <v>717</v>
      </c>
      <c r="E1057" s="49" t="s">
        <v>3754</v>
      </c>
      <c r="F1057" s="49"/>
      <c r="G1057" s="49"/>
      <c r="H1057" s="49" t="s">
        <v>10844</v>
      </c>
      <c r="I1057" s="49" t="s">
        <v>6610</v>
      </c>
      <c r="J1057" s="49" t="s">
        <v>6608</v>
      </c>
      <c r="K1057" s="49" t="s">
        <v>10845</v>
      </c>
      <c r="L1057" s="49">
        <v>0</v>
      </c>
      <c r="M1057" s="49" t="s">
        <v>1777</v>
      </c>
      <c r="N1057" s="49" t="s">
        <v>708</v>
      </c>
      <c r="O1057" s="49">
        <v>21</v>
      </c>
      <c r="P1057" s="49" t="s">
        <v>10846</v>
      </c>
      <c r="Q1057" s="49">
        <v>0</v>
      </c>
      <c r="R1057" s="49" t="s">
        <v>10847</v>
      </c>
      <c r="S1057" s="49" t="s">
        <v>10848</v>
      </c>
      <c r="T1057" s="49" t="s">
        <v>10849</v>
      </c>
      <c r="U1057" s="49" t="s">
        <v>655</v>
      </c>
      <c r="V1057" s="49" t="e">
        <v>#REF!</v>
      </c>
      <c r="AC1057" s="49"/>
      <c r="AD1057" s="49"/>
    </row>
    <row r="1058" spans="1:30" hidden="1" x14ac:dyDescent="0.3">
      <c r="A1058" s="49" t="s">
        <v>10850</v>
      </c>
      <c r="B1058" s="49">
        <v>0</v>
      </c>
      <c r="C1058" s="49"/>
      <c r="D1058" s="72" t="s">
        <v>717</v>
      </c>
      <c r="E1058" s="49" t="s">
        <v>3754</v>
      </c>
      <c r="F1058" s="49"/>
      <c r="G1058" s="49"/>
      <c r="H1058" s="49" t="s">
        <v>10851</v>
      </c>
      <c r="I1058" s="49" t="s">
        <v>10854</v>
      </c>
      <c r="J1058" s="49" t="s">
        <v>10852</v>
      </c>
      <c r="K1058" s="49" t="s">
        <v>10853</v>
      </c>
      <c r="L1058" s="49">
        <v>0</v>
      </c>
      <c r="M1058" s="49" t="s">
        <v>1764</v>
      </c>
      <c r="N1058" s="49" t="s">
        <v>10855</v>
      </c>
      <c r="O1058" s="49">
        <v>5</v>
      </c>
      <c r="P1058" s="49" t="s">
        <v>10856</v>
      </c>
      <c r="Q1058" s="49">
        <v>0</v>
      </c>
      <c r="R1058" s="49" t="s">
        <v>10857</v>
      </c>
      <c r="S1058" s="49" t="s">
        <v>10858</v>
      </c>
      <c r="T1058" s="49" t="s">
        <v>10859</v>
      </c>
      <c r="U1058" s="49" t="s">
        <v>655</v>
      </c>
      <c r="V1058" s="49" t="e">
        <v>#REF!</v>
      </c>
      <c r="AC1058" s="49"/>
      <c r="AD1058" s="49"/>
    </row>
    <row r="1059" spans="1:30" hidden="1" x14ac:dyDescent="0.3">
      <c r="A1059" s="49" t="s">
        <v>10860</v>
      </c>
      <c r="B1059" s="49">
        <v>0</v>
      </c>
      <c r="C1059" s="49"/>
      <c r="D1059" s="72" t="s">
        <v>717</v>
      </c>
      <c r="E1059" s="49" t="s">
        <v>3754</v>
      </c>
      <c r="F1059" s="49"/>
      <c r="G1059" s="49"/>
      <c r="H1059" s="49" t="s">
        <v>10861</v>
      </c>
      <c r="I1059" s="49" t="s">
        <v>10864</v>
      </c>
      <c r="J1059" s="49" t="s">
        <v>10862</v>
      </c>
      <c r="K1059" s="49" t="s">
        <v>10863</v>
      </c>
      <c r="L1059" s="49">
        <v>0</v>
      </c>
      <c r="M1059" s="49" t="s">
        <v>1865</v>
      </c>
      <c r="N1059" s="49" t="s">
        <v>10865</v>
      </c>
      <c r="O1059" s="49">
        <v>7</v>
      </c>
      <c r="P1059" s="49" t="s">
        <v>10866</v>
      </c>
      <c r="Q1059" s="49">
        <v>0</v>
      </c>
      <c r="R1059" s="49" t="s">
        <v>10867</v>
      </c>
      <c r="S1059" s="49" t="s">
        <v>10868</v>
      </c>
      <c r="T1059" s="49" t="s">
        <v>10869</v>
      </c>
      <c r="U1059" s="49" t="s">
        <v>655</v>
      </c>
      <c r="V1059" s="49" t="e">
        <v>#REF!</v>
      </c>
      <c r="AC1059" s="49"/>
      <c r="AD1059" s="49"/>
    </row>
    <row r="1060" spans="1:30" hidden="1" x14ac:dyDescent="0.3">
      <c r="A1060" s="49" t="s">
        <v>10870</v>
      </c>
      <c r="B1060" s="49">
        <v>0</v>
      </c>
      <c r="C1060" s="49"/>
      <c r="D1060" s="72" t="s">
        <v>717</v>
      </c>
      <c r="E1060" s="49" t="s">
        <v>3754</v>
      </c>
      <c r="F1060" s="49"/>
      <c r="G1060" s="49"/>
      <c r="H1060" s="49" t="s">
        <v>10871</v>
      </c>
      <c r="I1060" s="49" t="s">
        <v>10874</v>
      </c>
      <c r="J1060" s="49" t="s">
        <v>10872</v>
      </c>
      <c r="K1060" s="49" t="s">
        <v>10873</v>
      </c>
      <c r="L1060" s="49">
        <v>0</v>
      </c>
      <c r="M1060" s="49" t="s">
        <v>2484</v>
      </c>
      <c r="N1060" s="49" t="s">
        <v>5142</v>
      </c>
      <c r="O1060" s="49">
        <v>49</v>
      </c>
      <c r="P1060" s="49" t="s">
        <v>10875</v>
      </c>
      <c r="Q1060" s="49">
        <v>0</v>
      </c>
      <c r="R1060" s="49" t="s">
        <v>10876</v>
      </c>
      <c r="S1060" s="49" t="s">
        <v>10877</v>
      </c>
      <c r="T1060" s="49" t="s">
        <v>10878</v>
      </c>
      <c r="U1060" s="49" t="s">
        <v>655</v>
      </c>
      <c r="V1060" s="49" t="e">
        <v>#REF!</v>
      </c>
      <c r="AC1060" s="49"/>
      <c r="AD1060" s="49"/>
    </row>
    <row r="1061" spans="1:30" hidden="1" x14ac:dyDescent="0.3">
      <c r="A1061" s="49" t="s">
        <v>10879</v>
      </c>
      <c r="B1061" s="49">
        <v>0</v>
      </c>
      <c r="C1061" s="49"/>
      <c r="D1061" s="72" t="s">
        <v>717</v>
      </c>
      <c r="E1061" s="49" t="s">
        <v>3754</v>
      </c>
      <c r="F1061" s="49"/>
      <c r="G1061" s="49"/>
      <c r="H1061" s="49" t="s">
        <v>10880</v>
      </c>
      <c r="I1061" s="49" t="s">
        <v>10883</v>
      </c>
      <c r="J1061" s="49" t="s">
        <v>10881</v>
      </c>
      <c r="K1061" s="49" t="s">
        <v>10882</v>
      </c>
      <c r="L1061" s="49">
        <v>0</v>
      </c>
      <c r="M1061" s="49" t="s">
        <v>2142</v>
      </c>
      <c r="N1061" s="49" t="s">
        <v>9050</v>
      </c>
      <c r="O1061" s="49">
        <v>13</v>
      </c>
      <c r="P1061" s="49" t="s">
        <v>10884</v>
      </c>
      <c r="Q1061" s="49">
        <v>0</v>
      </c>
      <c r="R1061" s="49" t="s">
        <v>10885</v>
      </c>
      <c r="S1061" s="49" t="s">
        <v>10886</v>
      </c>
      <c r="T1061" s="49" t="s">
        <v>10887</v>
      </c>
      <c r="U1061" s="49" t="s">
        <v>655</v>
      </c>
      <c r="V1061" s="49" t="e">
        <v>#REF!</v>
      </c>
      <c r="AC1061" s="49"/>
      <c r="AD1061" s="49"/>
    </row>
    <row r="1062" spans="1:30" hidden="1" x14ac:dyDescent="0.3">
      <c r="A1062" s="49" t="s">
        <v>10888</v>
      </c>
      <c r="B1062" s="49">
        <v>0</v>
      </c>
      <c r="C1062" s="49"/>
      <c r="D1062" s="72" t="s">
        <v>717</v>
      </c>
      <c r="E1062" s="49" t="s">
        <v>3754</v>
      </c>
      <c r="F1062" s="49"/>
      <c r="G1062" s="49"/>
      <c r="H1062" s="49" t="s">
        <v>10889</v>
      </c>
      <c r="I1062" s="49" t="s">
        <v>10892</v>
      </c>
      <c r="J1062" s="49" t="s">
        <v>10890</v>
      </c>
      <c r="K1062" s="49" t="s">
        <v>10891</v>
      </c>
      <c r="L1062" s="49">
        <v>0</v>
      </c>
      <c r="M1062" s="49" t="s">
        <v>1826</v>
      </c>
      <c r="N1062" s="49" t="s">
        <v>1494</v>
      </c>
      <c r="O1062" s="49">
        <v>29</v>
      </c>
      <c r="P1062" s="49" t="s">
        <v>10893</v>
      </c>
      <c r="Q1062" s="49">
        <v>0</v>
      </c>
      <c r="R1062" s="49" t="s">
        <v>10894</v>
      </c>
      <c r="S1062" s="49" t="s">
        <v>10895</v>
      </c>
      <c r="T1062" s="49" t="s">
        <v>10896</v>
      </c>
      <c r="U1062" s="49" t="s">
        <v>655</v>
      </c>
      <c r="V1062" s="49" t="e">
        <v>#REF!</v>
      </c>
      <c r="AC1062" s="49"/>
      <c r="AD1062" s="49"/>
    </row>
    <row r="1063" spans="1:30" hidden="1" x14ac:dyDescent="0.3">
      <c r="A1063" s="49" t="s">
        <v>10897</v>
      </c>
      <c r="B1063" s="49">
        <v>0</v>
      </c>
      <c r="C1063" s="49"/>
      <c r="D1063" s="72" t="s">
        <v>717</v>
      </c>
      <c r="E1063" s="49" t="s">
        <v>3754</v>
      </c>
      <c r="F1063" s="49"/>
      <c r="G1063" s="49"/>
      <c r="H1063" s="49" t="s">
        <v>10898</v>
      </c>
      <c r="I1063" s="49" t="s">
        <v>10901</v>
      </c>
      <c r="J1063" s="49" t="s">
        <v>10899</v>
      </c>
      <c r="K1063" s="49" t="s">
        <v>10900</v>
      </c>
      <c r="L1063" s="49">
        <v>0</v>
      </c>
      <c r="M1063" s="49" t="s">
        <v>4084</v>
      </c>
      <c r="N1063" s="49" t="s">
        <v>1039</v>
      </c>
      <c r="O1063" s="49">
        <v>5</v>
      </c>
      <c r="P1063" s="49" t="s">
        <v>10902</v>
      </c>
      <c r="Q1063" s="49">
        <v>0</v>
      </c>
      <c r="R1063" s="49" t="s">
        <v>10903</v>
      </c>
      <c r="S1063" s="49" t="s">
        <v>10904</v>
      </c>
      <c r="T1063" s="49" t="s">
        <v>10905</v>
      </c>
      <c r="U1063" s="49" t="s">
        <v>670</v>
      </c>
      <c r="V1063" s="49" t="e">
        <v>#REF!</v>
      </c>
      <c r="AC1063" s="49"/>
      <c r="AD1063" s="49"/>
    </row>
    <row r="1064" spans="1:30" hidden="1" x14ac:dyDescent="0.3">
      <c r="A1064" s="49" t="s">
        <v>10906</v>
      </c>
      <c r="B1064" s="49">
        <v>0</v>
      </c>
      <c r="C1064" s="49"/>
      <c r="D1064" s="72" t="s">
        <v>717</v>
      </c>
      <c r="E1064" s="49" t="s">
        <v>3754</v>
      </c>
      <c r="F1064" s="49"/>
      <c r="G1064" s="49"/>
      <c r="H1064" s="49" t="s">
        <v>10907</v>
      </c>
      <c r="I1064" s="49" t="s">
        <v>10910</v>
      </c>
      <c r="J1064" s="49" t="s">
        <v>10908</v>
      </c>
      <c r="K1064" s="49" t="s">
        <v>10909</v>
      </c>
      <c r="L1064" s="49">
        <v>0</v>
      </c>
      <c r="M1064" s="49" t="s">
        <v>3570</v>
      </c>
      <c r="N1064" s="49" t="s">
        <v>10911</v>
      </c>
      <c r="O1064" s="49">
        <v>12</v>
      </c>
      <c r="P1064" s="49" t="s">
        <v>10912</v>
      </c>
      <c r="Q1064" s="49">
        <v>0</v>
      </c>
      <c r="R1064" s="49" t="s">
        <v>10913</v>
      </c>
      <c r="S1064" s="49" t="s">
        <v>10914</v>
      </c>
      <c r="T1064" s="49" t="s">
        <v>10915</v>
      </c>
      <c r="U1064" s="49" t="s">
        <v>670</v>
      </c>
      <c r="V1064" s="49" t="e">
        <v>#REF!</v>
      </c>
      <c r="AC1064" s="49"/>
      <c r="AD1064" s="49"/>
    </row>
    <row r="1065" spans="1:30" hidden="1" x14ac:dyDescent="0.3">
      <c r="A1065" s="49" t="s">
        <v>10916</v>
      </c>
      <c r="B1065" s="49">
        <v>0</v>
      </c>
      <c r="C1065" s="49"/>
      <c r="D1065" s="72" t="s">
        <v>717</v>
      </c>
      <c r="E1065" s="49" t="s">
        <v>3754</v>
      </c>
      <c r="F1065" s="49"/>
      <c r="G1065" s="49"/>
      <c r="H1065" s="49" t="s">
        <v>10917</v>
      </c>
      <c r="I1065" s="49" t="s">
        <v>10901</v>
      </c>
      <c r="J1065" s="49" t="s">
        <v>10899</v>
      </c>
      <c r="K1065" s="49" t="s">
        <v>10918</v>
      </c>
      <c r="L1065" s="49">
        <v>0</v>
      </c>
      <c r="M1065" s="49" t="s">
        <v>1817</v>
      </c>
      <c r="N1065" s="49" t="s">
        <v>7384</v>
      </c>
      <c r="O1065" s="49">
        <v>6</v>
      </c>
      <c r="P1065" s="49" t="s">
        <v>10919</v>
      </c>
      <c r="Q1065" s="49">
        <v>0</v>
      </c>
      <c r="R1065" s="49" t="s">
        <v>10920</v>
      </c>
      <c r="S1065" s="49" t="s">
        <v>10921</v>
      </c>
      <c r="T1065" s="49" t="s">
        <v>10922</v>
      </c>
      <c r="U1065" s="49" t="s">
        <v>670</v>
      </c>
      <c r="V1065" s="49" t="e">
        <v>#REF!</v>
      </c>
      <c r="AC1065" s="49"/>
      <c r="AD1065" s="49"/>
    </row>
    <row r="1066" spans="1:30" hidden="1" x14ac:dyDescent="0.3">
      <c r="A1066" s="49" t="s">
        <v>760</v>
      </c>
      <c r="B1066" s="49">
        <v>0</v>
      </c>
      <c r="C1066" s="49"/>
      <c r="D1066" s="72" t="s">
        <v>717</v>
      </c>
      <c r="E1066" s="49" t="s">
        <v>3754</v>
      </c>
      <c r="F1066" s="49"/>
      <c r="G1066" s="49"/>
      <c r="H1066" s="49" t="s">
        <v>762</v>
      </c>
      <c r="I1066" s="49" t="s">
        <v>763</v>
      </c>
      <c r="J1066" s="49" t="s">
        <v>10923</v>
      </c>
      <c r="K1066" s="49" t="s">
        <v>765</v>
      </c>
      <c r="L1066" s="49">
        <v>0</v>
      </c>
      <c r="M1066" s="49" t="s">
        <v>1764</v>
      </c>
      <c r="N1066" s="49" t="s">
        <v>766</v>
      </c>
      <c r="O1066" s="49">
        <v>6</v>
      </c>
      <c r="P1066" s="49" t="s">
        <v>767</v>
      </c>
      <c r="Q1066" s="49">
        <v>0</v>
      </c>
      <c r="R1066" s="49" t="s">
        <v>768</v>
      </c>
      <c r="S1066" s="49" t="s">
        <v>769</v>
      </c>
      <c r="T1066" s="49" t="s">
        <v>646</v>
      </c>
      <c r="U1066" s="49" t="s">
        <v>670</v>
      </c>
      <c r="V1066" s="49" t="e">
        <v>#REF!</v>
      </c>
      <c r="AC1066" s="49"/>
      <c r="AD1066" s="49"/>
    </row>
    <row r="1067" spans="1:30" hidden="1" x14ac:dyDescent="0.3">
      <c r="A1067" s="49" t="s">
        <v>1224</v>
      </c>
      <c r="B1067" s="49">
        <v>0</v>
      </c>
      <c r="C1067" s="49"/>
      <c r="D1067" s="72" t="s">
        <v>717</v>
      </c>
      <c r="E1067" s="49" t="s">
        <v>3754</v>
      </c>
      <c r="F1067" s="49"/>
      <c r="G1067" s="49"/>
      <c r="H1067" s="49" t="s">
        <v>1226</v>
      </c>
      <c r="I1067" s="49" t="s">
        <v>1227</v>
      </c>
      <c r="J1067" s="49" t="s">
        <v>1228</v>
      </c>
      <c r="K1067" s="49" t="s">
        <v>1229</v>
      </c>
      <c r="L1067" s="49">
        <v>0</v>
      </c>
      <c r="M1067" s="49" t="s">
        <v>1745</v>
      </c>
      <c r="N1067" s="49" t="s">
        <v>982</v>
      </c>
      <c r="O1067" s="49">
        <v>6</v>
      </c>
      <c r="P1067" s="49" t="s">
        <v>1230</v>
      </c>
      <c r="Q1067" s="49">
        <v>0</v>
      </c>
      <c r="R1067" s="49" t="s">
        <v>1231</v>
      </c>
      <c r="S1067" s="49" t="s">
        <v>1232</v>
      </c>
      <c r="T1067" s="49" t="s">
        <v>9945</v>
      </c>
      <c r="U1067" s="49" t="s">
        <v>646</v>
      </c>
      <c r="V1067" s="49" t="e">
        <v>#REF!</v>
      </c>
      <c r="AC1067" s="49"/>
      <c r="AD1067" s="49"/>
    </row>
    <row r="1068" spans="1:30" hidden="1" x14ac:dyDescent="0.3">
      <c r="A1068" s="49" t="s">
        <v>1203</v>
      </c>
      <c r="B1068" s="49">
        <v>0</v>
      </c>
      <c r="C1068" s="49"/>
      <c r="D1068" s="72" t="s">
        <v>717</v>
      </c>
      <c r="E1068" s="49" t="s">
        <v>3754</v>
      </c>
      <c r="F1068" s="49"/>
      <c r="G1068" s="49"/>
      <c r="H1068" s="49" t="s">
        <v>1205</v>
      </c>
      <c r="I1068" s="49" t="s">
        <v>1206</v>
      </c>
      <c r="J1068" s="49" t="s">
        <v>10924</v>
      </c>
      <c r="K1068" s="49" t="s">
        <v>1208</v>
      </c>
      <c r="L1068" s="49">
        <v>0</v>
      </c>
      <c r="M1068" s="49" t="s">
        <v>2484</v>
      </c>
      <c r="N1068" s="49" t="s">
        <v>818</v>
      </c>
      <c r="O1068" s="49">
        <v>2</v>
      </c>
      <c r="P1068" s="49" t="s">
        <v>1209</v>
      </c>
      <c r="Q1068" s="49">
        <v>0</v>
      </c>
      <c r="R1068" s="49" t="s">
        <v>1210</v>
      </c>
      <c r="S1068" s="49" t="s">
        <v>1211</v>
      </c>
      <c r="T1068" s="49" t="s">
        <v>10925</v>
      </c>
      <c r="U1068" s="49" t="s">
        <v>670</v>
      </c>
      <c r="V1068" s="49" t="e">
        <v>#REF!</v>
      </c>
      <c r="AC1068" s="49"/>
      <c r="AD1068" s="49"/>
    </row>
    <row r="1069" spans="1:30" hidden="1" x14ac:dyDescent="0.3">
      <c r="A1069" s="49" t="s">
        <v>10926</v>
      </c>
      <c r="B1069" s="49">
        <v>0</v>
      </c>
      <c r="C1069" s="49"/>
      <c r="D1069" s="72" t="s">
        <v>717</v>
      </c>
      <c r="E1069" s="49" t="s">
        <v>3754</v>
      </c>
      <c r="F1069" s="49"/>
      <c r="G1069" s="49"/>
      <c r="H1069" s="49" t="s">
        <v>646</v>
      </c>
      <c r="I1069" s="49" t="s">
        <v>10929</v>
      </c>
      <c r="J1069" s="49" t="s">
        <v>10927</v>
      </c>
      <c r="K1069" s="49" t="s">
        <v>10928</v>
      </c>
      <c r="L1069" s="49">
        <v>0</v>
      </c>
      <c r="M1069" s="49" t="s">
        <v>2220</v>
      </c>
      <c r="N1069" s="49" t="s">
        <v>10930</v>
      </c>
      <c r="P1069" s="49" t="s">
        <v>10931</v>
      </c>
      <c r="Q1069" s="49">
        <v>0</v>
      </c>
      <c r="R1069" s="49" t="s">
        <v>10932</v>
      </c>
      <c r="S1069" s="49" t="s">
        <v>10933</v>
      </c>
      <c r="T1069" s="49" t="s">
        <v>646</v>
      </c>
      <c r="U1069" s="49" t="s">
        <v>670</v>
      </c>
      <c r="V1069" s="49" t="e">
        <v>#REF!</v>
      </c>
      <c r="AC1069" s="49"/>
      <c r="AD1069" s="49"/>
    </row>
    <row r="1070" spans="1:30" hidden="1" x14ac:dyDescent="0.3">
      <c r="A1070" s="49" t="s">
        <v>10934</v>
      </c>
      <c r="B1070" s="49">
        <v>0</v>
      </c>
      <c r="C1070" s="49"/>
      <c r="D1070" s="72" t="s">
        <v>717</v>
      </c>
      <c r="E1070" s="49" t="s">
        <v>3754</v>
      </c>
      <c r="F1070" s="49"/>
      <c r="G1070" s="49"/>
      <c r="H1070" s="49" t="s">
        <v>646</v>
      </c>
      <c r="I1070" s="49" t="s">
        <v>10937</v>
      </c>
      <c r="J1070" s="49" t="s">
        <v>10935</v>
      </c>
      <c r="K1070" s="49" t="s">
        <v>10936</v>
      </c>
      <c r="L1070" s="49">
        <v>0</v>
      </c>
      <c r="M1070" s="49" t="s">
        <v>2142</v>
      </c>
      <c r="N1070" s="49" t="s">
        <v>10938</v>
      </c>
      <c r="O1070" s="49">
        <v>6</v>
      </c>
      <c r="P1070" s="49" t="s">
        <v>10939</v>
      </c>
      <c r="Q1070" s="49">
        <v>0</v>
      </c>
      <c r="R1070" s="49" t="s">
        <v>10940</v>
      </c>
      <c r="S1070" s="49" t="s">
        <v>10941</v>
      </c>
      <c r="T1070" s="49" t="s">
        <v>646</v>
      </c>
      <c r="U1070" s="49" t="s">
        <v>670</v>
      </c>
      <c r="V1070" s="49" t="e">
        <v>#REF!</v>
      </c>
      <c r="AC1070" s="49"/>
      <c r="AD1070" s="49"/>
    </row>
    <row r="1071" spans="1:30" hidden="1" x14ac:dyDescent="0.3">
      <c r="A1071" s="49" t="s">
        <v>10942</v>
      </c>
      <c r="B1071" s="49">
        <v>0</v>
      </c>
      <c r="C1071" s="49"/>
      <c r="D1071" s="72" t="s">
        <v>717</v>
      </c>
      <c r="E1071" s="49" t="s">
        <v>3754</v>
      </c>
      <c r="F1071" s="49"/>
      <c r="G1071" s="49"/>
      <c r="H1071" s="49" t="s">
        <v>10943</v>
      </c>
      <c r="I1071" s="49" t="s">
        <v>10946</v>
      </c>
      <c r="J1071" s="49" t="s">
        <v>10944</v>
      </c>
      <c r="K1071" s="49" t="s">
        <v>10945</v>
      </c>
      <c r="L1071" s="49">
        <v>0</v>
      </c>
      <c r="M1071" s="49" t="s">
        <v>2142</v>
      </c>
      <c r="N1071" s="49" t="s">
        <v>10947</v>
      </c>
      <c r="O1071" s="49">
        <v>32</v>
      </c>
      <c r="P1071" s="49" t="s">
        <v>10948</v>
      </c>
      <c r="Q1071" s="49">
        <v>0</v>
      </c>
      <c r="R1071" s="49" t="s">
        <v>10949</v>
      </c>
      <c r="S1071" s="49" t="s">
        <v>10950</v>
      </c>
      <c r="T1071" s="49" t="s">
        <v>10951</v>
      </c>
      <c r="U1071" s="49" t="s">
        <v>655</v>
      </c>
      <c r="V1071" s="49" t="e">
        <v>#REF!</v>
      </c>
      <c r="AC1071" s="49"/>
      <c r="AD1071" s="49"/>
    </row>
    <row r="1072" spans="1:30" hidden="1" x14ac:dyDescent="0.3">
      <c r="A1072" s="49" t="s">
        <v>10952</v>
      </c>
      <c r="B1072" s="49">
        <v>0</v>
      </c>
      <c r="C1072" s="49"/>
      <c r="D1072" s="72" t="s">
        <v>717</v>
      </c>
      <c r="E1072" s="49" t="s">
        <v>3754</v>
      </c>
      <c r="F1072" s="49"/>
      <c r="G1072" s="49"/>
      <c r="H1072" s="49" t="s">
        <v>10953</v>
      </c>
      <c r="I1072" s="49" t="s">
        <v>10956</v>
      </c>
      <c r="J1072" s="49" t="s">
        <v>10954</v>
      </c>
      <c r="K1072" s="49" t="s">
        <v>10955</v>
      </c>
      <c r="L1072" s="49">
        <v>0</v>
      </c>
      <c r="M1072" s="49" t="s">
        <v>1826</v>
      </c>
      <c r="N1072" s="49" t="s">
        <v>6648</v>
      </c>
      <c r="O1072" s="49">
        <v>6</v>
      </c>
      <c r="P1072" s="49" t="s">
        <v>10957</v>
      </c>
      <c r="Q1072" s="49">
        <v>0</v>
      </c>
      <c r="R1072" s="49" t="s">
        <v>10958</v>
      </c>
      <c r="S1072" s="49" t="s">
        <v>10959</v>
      </c>
      <c r="T1072" s="49" t="s">
        <v>10960</v>
      </c>
      <c r="U1072" s="49" t="s">
        <v>655</v>
      </c>
      <c r="V1072" s="49" t="e">
        <v>#REF!</v>
      </c>
      <c r="AC1072" s="49"/>
      <c r="AD1072" s="49"/>
    </row>
    <row r="1073" spans="1:30" hidden="1" x14ac:dyDescent="0.3">
      <c r="A1073" s="49" t="s">
        <v>10961</v>
      </c>
      <c r="B1073" s="49">
        <v>0</v>
      </c>
      <c r="C1073" s="49"/>
      <c r="D1073" s="72" t="s">
        <v>717</v>
      </c>
      <c r="E1073" s="49" t="s">
        <v>3754</v>
      </c>
      <c r="F1073" s="49"/>
      <c r="G1073" s="49"/>
      <c r="H1073" s="49" t="s">
        <v>10962</v>
      </c>
      <c r="I1073" s="49" t="s">
        <v>10965</v>
      </c>
      <c r="J1073" s="49" t="s">
        <v>10963</v>
      </c>
      <c r="K1073" s="49" t="s">
        <v>10964</v>
      </c>
      <c r="L1073" s="49">
        <v>0</v>
      </c>
      <c r="M1073" s="49" t="s">
        <v>1826</v>
      </c>
      <c r="N1073" s="49" t="s">
        <v>10966</v>
      </c>
      <c r="O1073" s="49">
        <v>12</v>
      </c>
      <c r="P1073" s="49" t="s">
        <v>10967</v>
      </c>
      <c r="Q1073" s="49">
        <v>0</v>
      </c>
      <c r="R1073" s="49" t="s">
        <v>10968</v>
      </c>
      <c r="S1073" s="49" t="s">
        <v>10969</v>
      </c>
      <c r="T1073" s="49" t="s">
        <v>646</v>
      </c>
      <c r="U1073" s="49" t="s">
        <v>655</v>
      </c>
      <c r="V1073" s="49" t="e">
        <v>#REF!</v>
      </c>
      <c r="AC1073" s="49"/>
      <c r="AD1073" s="49"/>
    </row>
    <row r="1074" spans="1:30" hidden="1" x14ac:dyDescent="0.3">
      <c r="A1074" s="49" t="s">
        <v>10970</v>
      </c>
      <c r="B1074" s="49">
        <v>0</v>
      </c>
      <c r="C1074" s="49"/>
      <c r="D1074" s="72" t="s">
        <v>717</v>
      </c>
      <c r="E1074" s="49" t="s">
        <v>3754</v>
      </c>
      <c r="F1074" s="49"/>
      <c r="G1074" s="49"/>
      <c r="H1074" s="49" t="s">
        <v>10971</v>
      </c>
      <c r="I1074" s="49" t="s">
        <v>10974</v>
      </c>
      <c r="J1074" s="49" t="s">
        <v>10972</v>
      </c>
      <c r="K1074" s="49" t="s">
        <v>10973</v>
      </c>
      <c r="L1074" s="49">
        <v>0</v>
      </c>
      <c r="M1074" s="49" t="s">
        <v>1764</v>
      </c>
      <c r="N1074" s="49" t="s">
        <v>982</v>
      </c>
      <c r="O1074" s="49">
        <v>16</v>
      </c>
      <c r="P1074" s="49" t="s">
        <v>10975</v>
      </c>
      <c r="Q1074" s="49">
        <v>0</v>
      </c>
      <c r="R1074" s="49" t="s">
        <v>10976</v>
      </c>
      <c r="S1074" s="49" t="s">
        <v>10977</v>
      </c>
      <c r="T1074" s="49" t="s">
        <v>10978</v>
      </c>
      <c r="U1074" s="49" t="s">
        <v>655</v>
      </c>
      <c r="V1074" s="49" t="e">
        <v>#REF!</v>
      </c>
      <c r="AC1074" s="49"/>
      <c r="AD1074" s="49"/>
    </row>
    <row r="1075" spans="1:30" hidden="1" x14ac:dyDescent="0.3">
      <c r="A1075" s="49" t="s">
        <v>1581</v>
      </c>
      <c r="B1075" s="49">
        <v>0</v>
      </c>
      <c r="C1075" s="49"/>
      <c r="D1075" s="72" t="s">
        <v>717</v>
      </c>
      <c r="E1075" s="49" t="s">
        <v>3754</v>
      </c>
      <c r="F1075" s="49"/>
      <c r="G1075" s="49"/>
      <c r="H1075" s="49" t="s">
        <v>1583</v>
      </c>
      <c r="I1075" s="49" t="s">
        <v>1584</v>
      </c>
      <c r="J1075" s="49" t="s">
        <v>1585</v>
      </c>
      <c r="K1075" s="49" t="s">
        <v>1586</v>
      </c>
      <c r="L1075" s="49">
        <v>0</v>
      </c>
      <c r="M1075" s="49" t="s">
        <v>1865</v>
      </c>
      <c r="N1075" s="49" t="s">
        <v>982</v>
      </c>
      <c r="O1075" s="49">
        <v>4</v>
      </c>
      <c r="P1075" s="49" t="s">
        <v>1587</v>
      </c>
      <c r="Q1075" s="49">
        <v>0</v>
      </c>
      <c r="R1075" s="49" t="s">
        <v>1588</v>
      </c>
      <c r="S1075" s="49" t="s">
        <v>1589</v>
      </c>
      <c r="T1075" s="49" t="s">
        <v>9945</v>
      </c>
      <c r="U1075" s="49" t="s">
        <v>791</v>
      </c>
      <c r="V1075" s="49" t="e">
        <v>#REF!</v>
      </c>
      <c r="AC1075" s="49"/>
      <c r="AD1075" s="49"/>
    </row>
    <row r="1076" spans="1:30" hidden="1" x14ac:dyDescent="0.3">
      <c r="A1076" s="49" t="s">
        <v>10979</v>
      </c>
      <c r="B1076" s="49">
        <v>0</v>
      </c>
      <c r="C1076" s="49"/>
      <c r="D1076" s="72" t="s">
        <v>717</v>
      </c>
      <c r="E1076" s="49" t="s">
        <v>3754</v>
      </c>
      <c r="F1076" s="49"/>
      <c r="G1076" s="49"/>
      <c r="H1076" s="49" t="s">
        <v>10980</v>
      </c>
      <c r="I1076" s="49" t="s">
        <v>10983</v>
      </c>
      <c r="J1076" s="49" t="s">
        <v>10981</v>
      </c>
      <c r="K1076" s="49" t="s">
        <v>10982</v>
      </c>
      <c r="L1076" s="49">
        <v>0</v>
      </c>
      <c r="M1076" s="49" t="s">
        <v>2484</v>
      </c>
      <c r="N1076" s="49" t="s">
        <v>10984</v>
      </c>
      <c r="P1076" s="49" t="s">
        <v>10985</v>
      </c>
      <c r="Q1076" s="49">
        <v>0</v>
      </c>
      <c r="R1076" s="49" t="s">
        <v>10986</v>
      </c>
      <c r="S1076" s="49" t="s">
        <v>10987</v>
      </c>
      <c r="T1076" s="49" t="s">
        <v>646</v>
      </c>
      <c r="U1076" s="49" t="s">
        <v>670</v>
      </c>
      <c r="V1076" s="49" t="e">
        <v>#REF!</v>
      </c>
      <c r="AC1076" s="49"/>
      <c r="AD1076" s="49"/>
    </row>
    <row r="1077" spans="1:30" hidden="1" x14ac:dyDescent="0.3">
      <c r="A1077" s="49" t="s">
        <v>1305</v>
      </c>
      <c r="B1077" s="49">
        <v>0</v>
      </c>
      <c r="C1077" s="49"/>
      <c r="D1077" s="72" t="s">
        <v>717</v>
      </c>
      <c r="E1077" s="49" t="s">
        <v>3754</v>
      </c>
      <c r="F1077" s="49"/>
      <c r="G1077" s="49"/>
      <c r="H1077" s="49" t="s">
        <v>1307</v>
      </c>
      <c r="I1077" s="49" t="s">
        <v>1308</v>
      </c>
      <c r="J1077" s="49" t="s">
        <v>10988</v>
      </c>
      <c r="K1077" s="49" t="s">
        <v>1310</v>
      </c>
      <c r="L1077" s="49">
        <v>0</v>
      </c>
      <c r="M1077" s="49" t="s">
        <v>2484</v>
      </c>
      <c r="N1077" s="49" t="s">
        <v>1311</v>
      </c>
      <c r="O1077" s="49">
        <v>3</v>
      </c>
      <c r="P1077" s="49" t="s">
        <v>1312</v>
      </c>
      <c r="Q1077" s="49">
        <v>0</v>
      </c>
      <c r="R1077" s="49" t="s">
        <v>1313</v>
      </c>
      <c r="S1077" s="49" t="s">
        <v>1314</v>
      </c>
      <c r="T1077" s="49" t="s">
        <v>646</v>
      </c>
      <c r="U1077" s="49" t="s">
        <v>655</v>
      </c>
      <c r="V1077" s="49" t="e">
        <v>#REF!</v>
      </c>
      <c r="AC1077" s="49"/>
      <c r="AD1077" s="49"/>
    </row>
    <row r="1078" spans="1:30" hidden="1" x14ac:dyDescent="0.3">
      <c r="A1078" s="49" t="s">
        <v>10989</v>
      </c>
      <c r="B1078" s="49">
        <v>0</v>
      </c>
      <c r="C1078" s="49"/>
      <c r="D1078" s="72" t="s">
        <v>717</v>
      </c>
      <c r="E1078" s="49" t="s">
        <v>3754</v>
      </c>
      <c r="F1078" s="49"/>
      <c r="G1078" s="49"/>
      <c r="H1078" s="49" t="s">
        <v>10990</v>
      </c>
      <c r="I1078" s="49" t="s">
        <v>10993</v>
      </c>
      <c r="J1078" s="49" t="s">
        <v>10991</v>
      </c>
      <c r="K1078" s="49" t="s">
        <v>10992</v>
      </c>
      <c r="L1078" s="49">
        <v>0</v>
      </c>
      <c r="M1078" s="49" t="s">
        <v>2220</v>
      </c>
      <c r="N1078" s="49" t="s">
        <v>885</v>
      </c>
      <c r="O1078" s="49">
        <v>4</v>
      </c>
      <c r="P1078" s="49" t="s">
        <v>10994</v>
      </c>
      <c r="Q1078" s="49">
        <v>0</v>
      </c>
      <c r="R1078" s="49" t="s">
        <v>10995</v>
      </c>
      <c r="S1078" s="49" t="s">
        <v>10996</v>
      </c>
      <c r="T1078" s="49" t="s">
        <v>646</v>
      </c>
      <c r="U1078" s="49" t="s">
        <v>670</v>
      </c>
      <c r="V1078" s="49" t="e">
        <v>#REF!</v>
      </c>
      <c r="AC1078" s="49"/>
      <c r="AD1078" s="49"/>
    </row>
    <row r="1079" spans="1:30" hidden="1" x14ac:dyDescent="0.3">
      <c r="A1079" s="49" t="s">
        <v>10997</v>
      </c>
      <c r="B1079" s="49">
        <v>0</v>
      </c>
      <c r="C1079" s="49"/>
      <c r="D1079" s="72" t="s">
        <v>717</v>
      </c>
      <c r="E1079" s="49" t="s">
        <v>3754</v>
      </c>
      <c r="F1079" s="49"/>
      <c r="G1079" s="49"/>
      <c r="H1079" s="49" t="s">
        <v>10998</v>
      </c>
      <c r="I1079" s="49" t="s">
        <v>11001</v>
      </c>
      <c r="J1079" s="49" t="s">
        <v>10999</v>
      </c>
      <c r="K1079" s="49" t="s">
        <v>11000</v>
      </c>
      <c r="L1079" s="49">
        <v>0</v>
      </c>
      <c r="M1079" s="49" t="s">
        <v>2142</v>
      </c>
      <c r="N1079" s="49" t="s">
        <v>11002</v>
      </c>
      <c r="O1079" s="49">
        <v>3</v>
      </c>
      <c r="P1079" s="49" t="s">
        <v>11003</v>
      </c>
      <c r="Q1079" s="49">
        <v>0</v>
      </c>
      <c r="R1079" s="49" t="s">
        <v>11004</v>
      </c>
      <c r="S1079" s="49" t="s">
        <v>11005</v>
      </c>
      <c r="T1079" s="49" t="s">
        <v>11006</v>
      </c>
      <c r="U1079" s="49" t="s">
        <v>670</v>
      </c>
      <c r="V1079" s="49" t="e">
        <v>#REF!</v>
      </c>
      <c r="AC1079" s="49"/>
      <c r="AD1079" s="49"/>
    </row>
    <row r="1080" spans="1:30" hidden="1" x14ac:dyDescent="0.3">
      <c r="A1080" s="49" t="s">
        <v>11007</v>
      </c>
      <c r="B1080" s="49">
        <v>0</v>
      </c>
      <c r="C1080" s="49"/>
      <c r="D1080" s="72" t="s">
        <v>717</v>
      </c>
      <c r="E1080" s="49" t="s">
        <v>3754</v>
      </c>
      <c r="F1080" s="49"/>
      <c r="G1080" s="49"/>
      <c r="H1080" s="49" t="s">
        <v>646</v>
      </c>
      <c r="I1080" s="49" t="s">
        <v>11010</v>
      </c>
      <c r="J1080" s="49" t="s">
        <v>11008</v>
      </c>
      <c r="K1080" s="49" t="s">
        <v>11009</v>
      </c>
      <c r="L1080" s="49">
        <v>0</v>
      </c>
      <c r="M1080" s="49" t="s">
        <v>4103</v>
      </c>
      <c r="N1080" s="49" t="s">
        <v>11011</v>
      </c>
      <c r="O1080" s="49">
        <v>9</v>
      </c>
      <c r="P1080" s="49" t="s">
        <v>11012</v>
      </c>
      <c r="Q1080" s="49">
        <v>0</v>
      </c>
      <c r="R1080" s="49" t="s">
        <v>11013</v>
      </c>
      <c r="S1080" s="49" t="s">
        <v>11014</v>
      </c>
      <c r="T1080" s="49" t="s">
        <v>646</v>
      </c>
      <c r="U1080" s="49" t="s">
        <v>670</v>
      </c>
      <c r="V1080" s="49" t="e">
        <v>#REF!</v>
      </c>
      <c r="AC1080" s="49"/>
      <c r="AD1080" s="49"/>
    </row>
    <row r="1081" spans="1:30" hidden="1" x14ac:dyDescent="0.3">
      <c r="A1081" s="49" t="s">
        <v>11015</v>
      </c>
      <c r="B1081" s="49">
        <v>0</v>
      </c>
      <c r="C1081" s="49"/>
      <c r="D1081" s="72" t="s">
        <v>717</v>
      </c>
      <c r="E1081" s="49" t="s">
        <v>3754</v>
      </c>
      <c r="F1081" s="49"/>
      <c r="G1081" s="49"/>
      <c r="H1081" s="49" t="s">
        <v>11016</v>
      </c>
      <c r="I1081" s="49" t="s">
        <v>11010</v>
      </c>
      <c r="J1081" s="49" t="s">
        <v>11008</v>
      </c>
      <c r="K1081" s="49" t="s">
        <v>11017</v>
      </c>
      <c r="L1081" s="49">
        <v>0</v>
      </c>
      <c r="M1081" s="49" t="s">
        <v>4064</v>
      </c>
      <c r="N1081" s="49" t="s">
        <v>11018</v>
      </c>
      <c r="O1081" s="49">
        <v>45</v>
      </c>
      <c r="P1081" s="49" t="s">
        <v>11019</v>
      </c>
      <c r="Q1081" s="49">
        <v>0</v>
      </c>
      <c r="R1081" s="49" t="s">
        <v>11020</v>
      </c>
      <c r="S1081" s="49" t="s">
        <v>11021</v>
      </c>
      <c r="T1081" s="49" t="s">
        <v>11022</v>
      </c>
      <c r="U1081" s="49" t="s">
        <v>670</v>
      </c>
      <c r="V1081" s="49" t="e">
        <v>#REF!</v>
      </c>
      <c r="AC1081" s="49"/>
      <c r="AD1081" s="49"/>
    </row>
    <row r="1082" spans="1:30" hidden="1" x14ac:dyDescent="0.3">
      <c r="A1082" s="49" t="s">
        <v>1032</v>
      </c>
      <c r="B1082" s="49">
        <v>0</v>
      </c>
      <c r="C1082" s="49"/>
      <c r="D1082" s="72" t="s">
        <v>717</v>
      </c>
      <c r="E1082" s="49" t="s">
        <v>3754</v>
      </c>
      <c r="F1082" s="49"/>
      <c r="G1082" s="49"/>
      <c r="H1082" s="49" t="s">
        <v>1034</v>
      </c>
      <c r="I1082" s="49" t="s">
        <v>1035</v>
      </c>
      <c r="J1082" s="49" t="s">
        <v>4408</v>
      </c>
      <c r="K1082" s="49" t="s">
        <v>1037</v>
      </c>
      <c r="L1082" s="49">
        <v>0</v>
      </c>
      <c r="M1082" s="49" t="s">
        <v>4084</v>
      </c>
      <c r="N1082" s="49" t="s">
        <v>1039</v>
      </c>
      <c r="O1082" s="49">
        <v>12</v>
      </c>
      <c r="P1082" s="49" t="s">
        <v>1040</v>
      </c>
      <c r="Q1082" s="49">
        <v>0</v>
      </c>
      <c r="R1082" s="49" t="s">
        <v>1041</v>
      </c>
      <c r="S1082" s="49" t="s">
        <v>1042</v>
      </c>
      <c r="T1082" s="49" t="s">
        <v>1043</v>
      </c>
      <c r="U1082" s="49" t="s">
        <v>655</v>
      </c>
      <c r="V1082" s="49" t="e">
        <v>#REF!</v>
      </c>
      <c r="AC1082" s="49"/>
      <c r="AD1082" s="49"/>
    </row>
    <row r="1083" spans="1:30" hidden="1" x14ac:dyDescent="0.3">
      <c r="A1083" s="49" t="s">
        <v>11023</v>
      </c>
      <c r="B1083" s="49">
        <v>0</v>
      </c>
      <c r="C1083" s="49"/>
      <c r="D1083" s="72" t="s">
        <v>717</v>
      </c>
      <c r="E1083" s="49" t="s">
        <v>3754</v>
      </c>
      <c r="F1083" s="49"/>
      <c r="G1083" s="49"/>
      <c r="H1083" s="49" t="s">
        <v>11024</v>
      </c>
      <c r="I1083" s="49" t="s">
        <v>11027</v>
      </c>
      <c r="J1083" s="49" t="s">
        <v>11025</v>
      </c>
      <c r="K1083" s="49" t="s">
        <v>11026</v>
      </c>
      <c r="L1083" s="49">
        <v>0</v>
      </c>
      <c r="M1083" s="49" t="s">
        <v>1777</v>
      </c>
      <c r="N1083" s="49" t="s">
        <v>3949</v>
      </c>
      <c r="O1083" s="49">
        <v>40</v>
      </c>
      <c r="P1083" s="49" t="s">
        <v>11028</v>
      </c>
      <c r="Q1083" s="49">
        <v>0</v>
      </c>
      <c r="R1083" s="49" t="s">
        <v>11029</v>
      </c>
      <c r="S1083" s="49" t="s">
        <v>11030</v>
      </c>
      <c r="T1083" s="49" t="s">
        <v>11031</v>
      </c>
      <c r="U1083" s="49" t="s">
        <v>655</v>
      </c>
      <c r="V1083" s="49" t="e">
        <v>#REF!</v>
      </c>
      <c r="AC1083" s="49"/>
      <c r="AD1083" s="49"/>
    </row>
    <row r="1084" spans="1:30" hidden="1" x14ac:dyDescent="0.3">
      <c r="A1084" s="49" t="s">
        <v>1509</v>
      </c>
      <c r="B1084" s="49">
        <v>0</v>
      </c>
      <c r="C1084" s="49"/>
      <c r="D1084" s="72" t="s">
        <v>717</v>
      </c>
      <c r="E1084" s="49" t="s">
        <v>3754</v>
      </c>
      <c r="F1084" s="49"/>
      <c r="G1084" s="49"/>
      <c r="H1084" s="49" t="s">
        <v>1511</v>
      </c>
      <c r="I1084" s="49" t="s">
        <v>1512</v>
      </c>
      <c r="J1084" s="49" t="s">
        <v>1513</v>
      </c>
      <c r="K1084" s="49" t="s">
        <v>1514</v>
      </c>
      <c r="L1084" s="49">
        <v>0</v>
      </c>
      <c r="M1084" s="49" t="s">
        <v>2484</v>
      </c>
      <c r="N1084" s="49" t="s">
        <v>1515</v>
      </c>
      <c r="O1084" s="49">
        <v>1</v>
      </c>
      <c r="P1084" s="49" t="s">
        <v>1516</v>
      </c>
      <c r="Q1084" s="49">
        <v>0</v>
      </c>
      <c r="R1084" s="49" t="s">
        <v>1518</v>
      </c>
      <c r="S1084" s="49" t="s">
        <v>1519</v>
      </c>
      <c r="T1084" s="49" t="s">
        <v>11032</v>
      </c>
      <c r="U1084" s="49" t="s">
        <v>655</v>
      </c>
      <c r="V1084" s="49" t="e">
        <v>#REF!</v>
      </c>
      <c r="AC1084" s="49"/>
      <c r="AD1084" s="49"/>
    </row>
    <row r="1085" spans="1:30" hidden="1" x14ac:dyDescent="0.3">
      <c r="A1085" s="49" t="s">
        <v>11033</v>
      </c>
      <c r="B1085" s="49">
        <v>0</v>
      </c>
      <c r="C1085" s="49"/>
      <c r="D1085" s="72" t="s">
        <v>717</v>
      </c>
      <c r="E1085" s="49" t="s">
        <v>3754</v>
      </c>
      <c r="F1085" s="49"/>
      <c r="G1085" s="49"/>
      <c r="H1085" s="49" t="s">
        <v>11034</v>
      </c>
      <c r="I1085" s="49" t="s">
        <v>11037</v>
      </c>
      <c r="J1085" s="49" t="s">
        <v>11035</v>
      </c>
      <c r="K1085" s="49" t="s">
        <v>11036</v>
      </c>
      <c r="L1085" s="49">
        <v>0</v>
      </c>
      <c r="M1085" s="49" t="s">
        <v>1826</v>
      </c>
      <c r="N1085" s="49" t="s">
        <v>11038</v>
      </c>
      <c r="O1085" s="49">
        <v>9</v>
      </c>
      <c r="P1085" s="49" t="s">
        <v>11039</v>
      </c>
      <c r="Q1085" s="49">
        <v>0</v>
      </c>
      <c r="R1085" s="49" t="s">
        <v>11040</v>
      </c>
      <c r="S1085" s="49" t="s">
        <v>11041</v>
      </c>
      <c r="T1085" s="49" t="s">
        <v>11042</v>
      </c>
      <c r="U1085" s="49" t="s">
        <v>655</v>
      </c>
      <c r="V1085" s="49" t="e">
        <v>#REF!</v>
      </c>
      <c r="AC1085" s="49"/>
      <c r="AD1085" s="49"/>
    </row>
    <row r="1086" spans="1:30" hidden="1" x14ac:dyDescent="0.3">
      <c r="A1086" s="49" t="s">
        <v>11043</v>
      </c>
      <c r="B1086" s="49">
        <v>0</v>
      </c>
      <c r="C1086" s="49"/>
      <c r="D1086" s="72" t="s">
        <v>717</v>
      </c>
      <c r="E1086" s="49" t="s">
        <v>3754</v>
      </c>
      <c r="F1086" s="49"/>
      <c r="G1086" s="49"/>
      <c r="H1086" s="49" t="s">
        <v>646</v>
      </c>
      <c r="I1086" s="49" t="s">
        <v>11046</v>
      </c>
      <c r="J1086" s="49" t="s">
        <v>11044</v>
      </c>
      <c r="K1086" s="49" t="s">
        <v>11045</v>
      </c>
      <c r="L1086" s="49">
        <v>0</v>
      </c>
      <c r="M1086" s="49" t="s">
        <v>4084</v>
      </c>
      <c r="N1086" s="49" t="s">
        <v>11047</v>
      </c>
      <c r="O1086" s="49">
        <v>19</v>
      </c>
      <c r="P1086" s="49" t="s">
        <v>11048</v>
      </c>
      <c r="Q1086" s="49">
        <v>0</v>
      </c>
      <c r="R1086" s="49" t="s">
        <v>11049</v>
      </c>
      <c r="S1086" s="49" t="s">
        <v>11050</v>
      </c>
      <c r="T1086" s="49" t="s">
        <v>11051</v>
      </c>
      <c r="U1086" s="49" t="s">
        <v>655</v>
      </c>
      <c r="V1086" s="49" t="e">
        <v>#REF!</v>
      </c>
      <c r="AC1086" s="49"/>
      <c r="AD1086" s="49"/>
    </row>
    <row r="1087" spans="1:30" hidden="1" x14ac:dyDescent="0.3">
      <c r="A1087" s="49" t="s">
        <v>11052</v>
      </c>
      <c r="B1087" s="49">
        <v>0</v>
      </c>
      <c r="C1087" s="49"/>
      <c r="D1087" s="72" t="s">
        <v>717</v>
      </c>
      <c r="E1087" s="49" t="s">
        <v>3754</v>
      </c>
      <c r="F1087" s="49"/>
      <c r="G1087" s="49"/>
      <c r="H1087" s="49" t="s">
        <v>11053</v>
      </c>
      <c r="I1087" s="49" t="s">
        <v>11056</v>
      </c>
      <c r="J1087" s="49" t="s">
        <v>11054</v>
      </c>
      <c r="K1087" s="49" t="s">
        <v>11055</v>
      </c>
      <c r="L1087" s="49">
        <v>0</v>
      </c>
      <c r="M1087" s="49" t="s">
        <v>2142</v>
      </c>
      <c r="N1087" s="49" t="s">
        <v>11057</v>
      </c>
      <c r="O1087" s="49">
        <v>44</v>
      </c>
      <c r="P1087" s="49" t="s">
        <v>11058</v>
      </c>
      <c r="Q1087" s="49">
        <v>0</v>
      </c>
      <c r="R1087" s="49" t="s">
        <v>11059</v>
      </c>
      <c r="S1087" s="49" t="s">
        <v>11060</v>
      </c>
      <c r="T1087" s="49" t="s">
        <v>11061</v>
      </c>
      <c r="U1087" s="49" t="s">
        <v>655</v>
      </c>
      <c r="V1087" s="49" t="e">
        <v>#REF!</v>
      </c>
      <c r="AC1087" s="49"/>
      <c r="AD1087" s="49"/>
    </row>
    <row r="1088" spans="1:30" hidden="1" x14ac:dyDescent="0.3">
      <c r="A1088" s="49" t="s">
        <v>11062</v>
      </c>
      <c r="B1088" s="49">
        <v>0</v>
      </c>
      <c r="C1088" s="49"/>
      <c r="D1088" s="72" t="s">
        <v>717</v>
      </c>
      <c r="E1088" s="49" t="s">
        <v>3754</v>
      </c>
      <c r="F1088" s="49"/>
      <c r="G1088" s="49"/>
      <c r="H1088" s="49" t="s">
        <v>11063</v>
      </c>
      <c r="I1088" s="49" t="s">
        <v>11066</v>
      </c>
      <c r="J1088" s="49" t="s">
        <v>11064</v>
      </c>
      <c r="K1088" s="49" t="s">
        <v>11065</v>
      </c>
      <c r="L1088" s="49">
        <v>0</v>
      </c>
      <c r="M1088" s="49" t="s">
        <v>1826</v>
      </c>
      <c r="N1088" s="49" t="s">
        <v>11067</v>
      </c>
      <c r="O1088" s="49">
        <v>19</v>
      </c>
      <c r="P1088" s="49" t="s">
        <v>11068</v>
      </c>
      <c r="Q1088" s="49">
        <v>0</v>
      </c>
      <c r="R1088" s="49" t="s">
        <v>11069</v>
      </c>
      <c r="S1088" s="49" t="s">
        <v>11070</v>
      </c>
      <c r="T1088" s="49" t="s">
        <v>11071</v>
      </c>
      <c r="U1088" s="49" t="s">
        <v>655</v>
      </c>
      <c r="V1088" s="49" t="e">
        <v>#REF!</v>
      </c>
      <c r="AC1088" s="49"/>
      <c r="AD1088" s="49"/>
    </row>
    <row r="1089" spans="1:30" hidden="1" x14ac:dyDescent="0.3">
      <c r="A1089" s="49" t="s">
        <v>11072</v>
      </c>
      <c r="B1089" s="49">
        <v>0</v>
      </c>
      <c r="C1089" s="49"/>
      <c r="D1089" s="72" t="s">
        <v>717</v>
      </c>
      <c r="E1089" s="49" t="s">
        <v>3754</v>
      </c>
      <c r="F1089" s="49"/>
      <c r="G1089" s="49"/>
      <c r="H1089" s="49" t="s">
        <v>11073</v>
      </c>
      <c r="I1089" s="49" t="s">
        <v>11076</v>
      </c>
      <c r="J1089" s="49" t="s">
        <v>11074</v>
      </c>
      <c r="K1089" s="49" t="s">
        <v>11075</v>
      </c>
      <c r="L1089" s="49">
        <v>0</v>
      </c>
      <c r="M1089" s="49" t="s">
        <v>2484</v>
      </c>
      <c r="N1089" s="49" t="s">
        <v>708</v>
      </c>
      <c r="O1089" s="49">
        <v>8</v>
      </c>
      <c r="P1089" s="49" t="s">
        <v>11077</v>
      </c>
      <c r="Q1089" s="49">
        <v>0</v>
      </c>
      <c r="R1089" s="49" t="s">
        <v>11078</v>
      </c>
      <c r="S1089" s="49" t="s">
        <v>11079</v>
      </c>
      <c r="T1089" s="49" t="s">
        <v>11080</v>
      </c>
      <c r="U1089" s="49" t="s">
        <v>791</v>
      </c>
      <c r="V1089" s="49" t="e">
        <v>#REF!</v>
      </c>
      <c r="AC1089" s="49"/>
      <c r="AD1089" s="49"/>
    </row>
    <row r="1090" spans="1:30" hidden="1" x14ac:dyDescent="0.3">
      <c r="A1090" s="49" t="s">
        <v>11081</v>
      </c>
      <c r="B1090" s="49">
        <v>0</v>
      </c>
      <c r="C1090" s="49"/>
      <c r="D1090" s="72" t="s">
        <v>717</v>
      </c>
      <c r="E1090" s="49" t="s">
        <v>3754</v>
      </c>
      <c r="F1090" s="49"/>
      <c r="G1090" s="49"/>
      <c r="H1090" s="49" t="s">
        <v>11082</v>
      </c>
      <c r="I1090" s="49" t="s">
        <v>11085</v>
      </c>
      <c r="J1090" s="49" t="s">
        <v>11083</v>
      </c>
      <c r="K1090" s="49" t="s">
        <v>11084</v>
      </c>
      <c r="L1090" s="49">
        <v>0</v>
      </c>
      <c r="M1090" s="49" t="s">
        <v>2142</v>
      </c>
      <c r="N1090" s="49" t="s">
        <v>743</v>
      </c>
      <c r="O1090" s="49">
        <v>123</v>
      </c>
      <c r="P1090" s="49" t="s">
        <v>11086</v>
      </c>
      <c r="Q1090" s="49">
        <v>0</v>
      </c>
      <c r="R1090" s="49" t="s">
        <v>11087</v>
      </c>
      <c r="S1090" s="49" t="s">
        <v>11088</v>
      </c>
      <c r="T1090" s="49" t="s">
        <v>11089</v>
      </c>
      <c r="U1090" s="49" t="s">
        <v>655</v>
      </c>
      <c r="V1090" s="49" t="e">
        <v>#REF!</v>
      </c>
      <c r="AC1090" s="49"/>
      <c r="AD1090" s="49"/>
    </row>
    <row r="1091" spans="1:30" hidden="1" x14ac:dyDescent="0.3">
      <c r="A1091" s="49" t="s">
        <v>11090</v>
      </c>
      <c r="B1091" s="49">
        <v>0</v>
      </c>
      <c r="C1091" s="49"/>
      <c r="D1091" s="72" t="s">
        <v>717</v>
      </c>
      <c r="E1091" s="49" t="s">
        <v>3754</v>
      </c>
      <c r="F1091" s="49"/>
      <c r="G1091" s="49"/>
      <c r="H1091" s="49" t="s">
        <v>11091</v>
      </c>
      <c r="I1091" s="49" t="s">
        <v>11094</v>
      </c>
      <c r="J1091" s="49" t="s">
        <v>11092</v>
      </c>
      <c r="K1091" s="49" t="s">
        <v>11093</v>
      </c>
      <c r="L1091" s="49">
        <v>0</v>
      </c>
      <c r="M1091" s="49" t="s">
        <v>2142</v>
      </c>
      <c r="N1091" s="49" t="s">
        <v>11095</v>
      </c>
      <c r="O1091" s="49">
        <v>64</v>
      </c>
      <c r="P1091" s="49" t="s">
        <v>11096</v>
      </c>
      <c r="Q1091" s="49">
        <v>0</v>
      </c>
      <c r="R1091" s="49" t="s">
        <v>11097</v>
      </c>
      <c r="S1091" s="49" t="s">
        <v>11098</v>
      </c>
      <c r="T1091" s="49" t="s">
        <v>11099</v>
      </c>
      <c r="U1091" s="49" t="s">
        <v>655</v>
      </c>
      <c r="V1091" s="49" t="e">
        <v>#REF!</v>
      </c>
      <c r="AC1091" s="49"/>
      <c r="AD1091" s="49"/>
    </row>
    <row r="1092" spans="1:30" hidden="1" x14ac:dyDescent="0.3">
      <c r="A1092" s="49" t="s">
        <v>11100</v>
      </c>
      <c r="B1092" s="49">
        <v>0</v>
      </c>
      <c r="C1092" s="49"/>
      <c r="D1092" s="72" t="s">
        <v>717</v>
      </c>
      <c r="E1092" s="49" t="s">
        <v>3754</v>
      </c>
      <c r="F1092" s="49"/>
      <c r="G1092" s="49"/>
      <c r="H1092" s="49" t="s">
        <v>11101</v>
      </c>
      <c r="I1092" s="49" t="s">
        <v>11104</v>
      </c>
      <c r="J1092" s="49" t="s">
        <v>11102</v>
      </c>
      <c r="K1092" s="49" t="s">
        <v>11103</v>
      </c>
      <c r="L1092" s="49">
        <v>0</v>
      </c>
      <c r="M1092" s="49" t="s">
        <v>2484</v>
      </c>
      <c r="N1092" s="49" t="s">
        <v>11105</v>
      </c>
      <c r="O1092" s="49">
        <v>35</v>
      </c>
      <c r="P1092" s="49" t="s">
        <v>11106</v>
      </c>
      <c r="Q1092" s="49">
        <v>0</v>
      </c>
      <c r="R1092" s="49" t="s">
        <v>11107</v>
      </c>
      <c r="S1092" s="49" t="s">
        <v>11108</v>
      </c>
      <c r="T1092" s="49" t="s">
        <v>646</v>
      </c>
      <c r="U1092" s="49" t="s">
        <v>655</v>
      </c>
      <c r="V1092" s="49" t="e">
        <v>#REF!</v>
      </c>
      <c r="AC1092" s="49"/>
      <c r="AD1092" s="49"/>
    </row>
    <row r="1093" spans="1:30" hidden="1" x14ac:dyDescent="0.3">
      <c r="A1093" s="49" t="s">
        <v>999</v>
      </c>
      <c r="B1093" s="49">
        <v>0</v>
      </c>
      <c r="C1093" s="49"/>
      <c r="D1093" s="72" t="s">
        <v>717</v>
      </c>
      <c r="E1093" s="49" t="s">
        <v>3754</v>
      </c>
      <c r="F1093" s="49"/>
      <c r="G1093" s="49"/>
      <c r="H1093" s="49" t="s">
        <v>1001</v>
      </c>
      <c r="I1093" s="49" t="s">
        <v>1002</v>
      </c>
      <c r="J1093" s="49" t="s">
        <v>1003</v>
      </c>
      <c r="K1093" s="49" t="s">
        <v>1004</v>
      </c>
      <c r="L1093" s="49">
        <v>0</v>
      </c>
      <c r="M1093" s="49" t="s">
        <v>2142</v>
      </c>
      <c r="N1093" s="49" t="s">
        <v>1005</v>
      </c>
      <c r="O1093" s="49">
        <v>23</v>
      </c>
      <c r="P1093" s="49" t="s">
        <v>1006</v>
      </c>
      <c r="Q1093" s="49">
        <v>0</v>
      </c>
      <c r="R1093" s="49" t="s">
        <v>1007</v>
      </c>
      <c r="S1093" s="49" t="s">
        <v>1008</v>
      </c>
      <c r="T1093" s="49" t="s">
        <v>11109</v>
      </c>
      <c r="U1093" s="49" t="s">
        <v>655</v>
      </c>
      <c r="V1093" s="49" t="e">
        <v>#REF!</v>
      </c>
      <c r="AC1093" s="49"/>
      <c r="AD1093" s="49"/>
    </row>
    <row r="1094" spans="1:30" hidden="1" x14ac:dyDescent="0.3">
      <c r="A1094" s="49" t="s">
        <v>11110</v>
      </c>
      <c r="B1094" s="49">
        <v>0</v>
      </c>
      <c r="C1094" s="49"/>
      <c r="D1094" s="72" t="s">
        <v>717</v>
      </c>
      <c r="E1094" s="49" t="s">
        <v>3754</v>
      </c>
      <c r="F1094" s="49"/>
      <c r="G1094" s="49"/>
      <c r="H1094" s="49" t="s">
        <v>11111</v>
      </c>
      <c r="I1094" s="49" t="s">
        <v>11114</v>
      </c>
      <c r="J1094" s="49" t="s">
        <v>11112</v>
      </c>
      <c r="K1094" s="49" t="s">
        <v>11113</v>
      </c>
      <c r="L1094" s="49">
        <v>0</v>
      </c>
      <c r="M1094" s="49" t="s">
        <v>2636</v>
      </c>
      <c r="N1094" s="49" t="s">
        <v>11115</v>
      </c>
      <c r="O1094" s="49">
        <v>19</v>
      </c>
      <c r="P1094" s="49" t="s">
        <v>11116</v>
      </c>
      <c r="Q1094" s="49">
        <v>0</v>
      </c>
      <c r="R1094" s="49" t="s">
        <v>11117</v>
      </c>
      <c r="S1094" s="49" t="s">
        <v>11118</v>
      </c>
      <c r="T1094" s="49" t="s">
        <v>11119</v>
      </c>
      <c r="U1094" s="49" t="s">
        <v>655</v>
      </c>
      <c r="V1094" s="49" t="e">
        <v>#REF!</v>
      </c>
      <c r="AC1094" s="49"/>
      <c r="AD1094" s="49"/>
    </row>
    <row r="1095" spans="1:30" hidden="1" x14ac:dyDescent="0.3">
      <c r="A1095" s="49" t="s">
        <v>11120</v>
      </c>
      <c r="B1095" s="49">
        <v>0</v>
      </c>
      <c r="C1095" s="49"/>
      <c r="D1095" s="72" t="s">
        <v>717</v>
      </c>
      <c r="E1095" s="49" t="s">
        <v>3754</v>
      </c>
      <c r="F1095" s="49"/>
      <c r="G1095" s="49"/>
      <c r="H1095" s="49" t="s">
        <v>11121</v>
      </c>
      <c r="I1095" s="49" t="s">
        <v>11124</v>
      </c>
      <c r="J1095" s="49" t="s">
        <v>11122</v>
      </c>
      <c r="K1095" s="49" t="s">
        <v>11123</v>
      </c>
      <c r="L1095" s="49">
        <v>0</v>
      </c>
      <c r="M1095" s="49" t="s">
        <v>1865</v>
      </c>
      <c r="N1095" s="49" t="s">
        <v>11125</v>
      </c>
      <c r="O1095" s="49">
        <v>76</v>
      </c>
      <c r="P1095" s="49" t="s">
        <v>11126</v>
      </c>
      <c r="Q1095" s="49">
        <v>0</v>
      </c>
      <c r="R1095" s="49" t="s">
        <v>11127</v>
      </c>
      <c r="S1095" s="49" t="s">
        <v>11128</v>
      </c>
      <c r="T1095" s="49" t="s">
        <v>11129</v>
      </c>
      <c r="U1095" s="49" t="s">
        <v>655</v>
      </c>
      <c r="V1095" s="49" t="e">
        <v>#REF!</v>
      </c>
      <c r="AC1095" s="49"/>
      <c r="AD1095" s="49"/>
    </row>
    <row r="1096" spans="1:30" hidden="1" x14ac:dyDescent="0.3">
      <c r="A1096" s="49" t="s">
        <v>11130</v>
      </c>
      <c r="B1096" s="49">
        <v>0</v>
      </c>
      <c r="C1096" s="49"/>
      <c r="D1096" s="72" t="s">
        <v>717</v>
      </c>
      <c r="E1096" s="49" t="s">
        <v>3754</v>
      </c>
      <c r="F1096" s="49"/>
      <c r="G1096" s="49"/>
      <c r="H1096" s="49" t="s">
        <v>11131</v>
      </c>
      <c r="I1096" s="49" t="s">
        <v>11134</v>
      </c>
      <c r="J1096" s="49" t="s">
        <v>11132</v>
      </c>
      <c r="K1096" s="49" t="s">
        <v>11133</v>
      </c>
      <c r="L1096" s="49">
        <v>0</v>
      </c>
      <c r="M1096" s="49" t="s">
        <v>1777</v>
      </c>
      <c r="N1096" s="49" t="s">
        <v>11135</v>
      </c>
      <c r="O1096" s="49">
        <v>56</v>
      </c>
      <c r="P1096" s="49" t="s">
        <v>11136</v>
      </c>
      <c r="Q1096" s="49">
        <v>0</v>
      </c>
      <c r="R1096" s="49" t="s">
        <v>11137</v>
      </c>
      <c r="S1096" s="49" t="s">
        <v>11138</v>
      </c>
      <c r="T1096" s="49" t="s">
        <v>11139</v>
      </c>
      <c r="U1096" s="49" t="s">
        <v>655</v>
      </c>
      <c r="V1096" s="49" t="e">
        <v>#REF!</v>
      </c>
      <c r="AC1096" s="49"/>
      <c r="AD1096" s="49"/>
    </row>
    <row r="1097" spans="1:30" hidden="1" x14ac:dyDescent="0.3">
      <c r="A1097" s="49" t="s">
        <v>11140</v>
      </c>
      <c r="B1097" s="49">
        <v>0</v>
      </c>
      <c r="C1097" s="49"/>
      <c r="D1097" s="72" t="s">
        <v>717</v>
      </c>
      <c r="E1097" s="49" t="s">
        <v>3754</v>
      </c>
      <c r="F1097" s="49"/>
      <c r="G1097" s="49"/>
      <c r="H1097" s="49" t="s">
        <v>11141</v>
      </c>
      <c r="I1097" s="49" t="s">
        <v>10946</v>
      </c>
      <c r="J1097" s="49" t="s">
        <v>10944</v>
      </c>
      <c r="K1097" s="49" t="s">
        <v>11142</v>
      </c>
      <c r="L1097" s="49">
        <v>0</v>
      </c>
      <c r="M1097" s="49" t="s">
        <v>2220</v>
      </c>
      <c r="N1097" s="49" t="s">
        <v>11143</v>
      </c>
      <c r="O1097" s="49">
        <v>34</v>
      </c>
      <c r="P1097" s="49" t="s">
        <v>11144</v>
      </c>
      <c r="Q1097" s="49">
        <v>0</v>
      </c>
      <c r="R1097" s="49" t="s">
        <v>11145</v>
      </c>
      <c r="S1097" s="49" t="s">
        <v>11146</v>
      </c>
      <c r="T1097" s="49" t="s">
        <v>646</v>
      </c>
      <c r="U1097" s="49" t="s">
        <v>670</v>
      </c>
      <c r="V1097" s="49" t="e">
        <v>#REF!</v>
      </c>
      <c r="AC1097" s="49"/>
      <c r="AD1097" s="49"/>
    </row>
    <row r="1098" spans="1:30" hidden="1" x14ac:dyDescent="0.3">
      <c r="A1098" s="49" t="s">
        <v>11147</v>
      </c>
      <c r="B1098" s="49">
        <v>0</v>
      </c>
      <c r="C1098" s="49"/>
      <c r="D1098" s="72" t="s">
        <v>717</v>
      </c>
      <c r="E1098" s="49" t="s">
        <v>3754</v>
      </c>
      <c r="F1098" s="49"/>
      <c r="G1098" s="49"/>
      <c r="H1098" s="49" t="s">
        <v>11148</v>
      </c>
      <c r="I1098" s="49" t="s">
        <v>11151</v>
      </c>
      <c r="J1098" s="49" t="s">
        <v>11149</v>
      </c>
      <c r="K1098" s="49" t="s">
        <v>11150</v>
      </c>
      <c r="L1098" s="49">
        <v>0</v>
      </c>
      <c r="M1098" s="49" t="s">
        <v>2484</v>
      </c>
      <c r="N1098" s="49" t="s">
        <v>11152</v>
      </c>
      <c r="P1098" s="49" t="s">
        <v>11153</v>
      </c>
      <c r="Q1098" s="49">
        <v>0</v>
      </c>
      <c r="R1098" s="49" t="s">
        <v>11154</v>
      </c>
      <c r="S1098" s="49" t="s">
        <v>11155</v>
      </c>
      <c r="T1098" s="49" t="s">
        <v>646</v>
      </c>
      <c r="U1098" s="49" t="s">
        <v>670</v>
      </c>
      <c r="V1098" s="49" t="e">
        <v>#REF!</v>
      </c>
      <c r="AC1098" s="49"/>
      <c r="AD1098" s="49"/>
    </row>
    <row r="1099" spans="1:30" hidden="1" x14ac:dyDescent="0.3">
      <c r="A1099" s="49" t="s">
        <v>11156</v>
      </c>
      <c r="B1099" s="49">
        <v>0</v>
      </c>
      <c r="C1099" s="49"/>
      <c r="D1099" s="72" t="s">
        <v>717</v>
      </c>
      <c r="E1099" s="49" t="s">
        <v>3754</v>
      </c>
      <c r="F1099" s="49"/>
      <c r="G1099" s="49"/>
      <c r="H1099" s="49" t="s">
        <v>11157</v>
      </c>
      <c r="I1099" s="49" t="s">
        <v>11159</v>
      </c>
      <c r="J1099" s="49" t="s">
        <v>6671</v>
      </c>
      <c r="K1099" s="49" t="s">
        <v>11158</v>
      </c>
      <c r="L1099" s="49">
        <v>0</v>
      </c>
      <c r="M1099" s="49" t="s">
        <v>2484</v>
      </c>
      <c r="N1099" s="49" t="s">
        <v>11160</v>
      </c>
      <c r="O1099" s="49">
        <v>309</v>
      </c>
      <c r="P1099" s="49" t="s">
        <v>11161</v>
      </c>
      <c r="Q1099" s="49">
        <v>0</v>
      </c>
      <c r="R1099" s="49" t="s">
        <v>11162</v>
      </c>
      <c r="S1099" s="49" t="s">
        <v>11163</v>
      </c>
      <c r="T1099" s="49" t="s">
        <v>646</v>
      </c>
      <c r="U1099" s="49" t="s">
        <v>655</v>
      </c>
      <c r="V1099" s="49" t="e">
        <v>#REF!</v>
      </c>
      <c r="AC1099" s="49"/>
      <c r="AD1099" s="49"/>
    </row>
    <row r="1100" spans="1:30" hidden="1" x14ac:dyDescent="0.3">
      <c r="A1100" s="49" t="s">
        <v>11164</v>
      </c>
      <c r="B1100" s="49">
        <v>0</v>
      </c>
      <c r="C1100" s="49"/>
      <c r="D1100" s="72" t="s">
        <v>717</v>
      </c>
      <c r="E1100" s="49" t="s">
        <v>3754</v>
      </c>
      <c r="F1100" s="49"/>
      <c r="G1100" s="49"/>
      <c r="H1100" s="49" t="s">
        <v>11165</v>
      </c>
      <c r="I1100" s="49" t="s">
        <v>11168</v>
      </c>
      <c r="J1100" s="49" t="s">
        <v>11166</v>
      </c>
      <c r="K1100" s="49" t="s">
        <v>11167</v>
      </c>
      <c r="L1100" s="49">
        <v>0</v>
      </c>
      <c r="M1100" s="49" t="s">
        <v>1865</v>
      </c>
      <c r="N1100" s="49" t="s">
        <v>11169</v>
      </c>
      <c r="P1100" s="49" t="s">
        <v>11170</v>
      </c>
      <c r="Q1100" s="49">
        <v>0</v>
      </c>
      <c r="R1100" s="49" t="s">
        <v>11171</v>
      </c>
      <c r="S1100" s="49" t="s">
        <v>11172</v>
      </c>
      <c r="T1100" s="49" t="s">
        <v>11173</v>
      </c>
      <c r="U1100" s="49" t="s">
        <v>655</v>
      </c>
      <c r="V1100" s="49" t="e">
        <v>#REF!</v>
      </c>
      <c r="AC1100" s="49"/>
      <c r="AD1100" s="49"/>
    </row>
    <row r="1101" spans="1:30" hidden="1" x14ac:dyDescent="0.3">
      <c r="A1101" s="49" t="s">
        <v>11174</v>
      </c>
      <c r="B1101" s="49">
        <v>0</v>
      </c>
      <c r="C1101" s="49"/>
      <c r="D1101" s="72" t="s">
        <v>717</v>
      </c>
      <c r="E1101" s="49" t="s">
        <v>3754</v>
      </c>
      <c r="F1101" s="49"/>
      <c r="G1101" s="49"/>
      <c r="H1101" s="49" t="s">
        <v>11175</v>
      </c>
      <c r="I1101" s="49" t="s">
        <v>11178</v>
      </c>
      <c r="J1101" s="49" t="s">
        <v>11176</v>
      </c>
      <c r="K1101" s="49" t="s">
        <v>11177</v>
      </c>
      <c r="L1101" s="49">
        <v>0</v>
      </c>
      <c r="M1101" s="49" t="s">
        <v>1764</v>
      </c>
      <c r="N1101" s="49" t="s">
        <v>11179</v>
      </c>
      <c r="O1101" s="49">
        <v>40</v>
      </c>
      <c r="P1101" s="49" t="s">
        <v>11180</v>
      </c>
      <c r="Q1101" s="49">
        <v>0</v>
      </c>
      <c r="R1101" s="49" t="s">
        <v>11181</v>
      </c>
      <c r="S1101" s="49" t="s">
        <v>11182</v>
      </c>
      <c r="T1101" s="49" t="s">
        <v>11183</v>
      </c>
      <c r="U1101" s="49" t="s">
        <v>655</v>
      </c>
      <c r="V1101" s="49" t="e">
        <v>#REF!</v>
      </c>
      <c r="AC1101" s="49"/>
      <c r="AD1101" s="49"/>
    </row>
    <row r="1102" spans="1:30" hidden="1" x14ac:dyDescent="0.3">
      <c r="A1102" s="49" t="s">
        <v>1542</v>
      </c>
      <c r="B1102" s="49">
        <v>0</v>
      </c>
      <c r="C1102" s="49"/>
      <c r="D1102" s="72" t="s">
        <v>717</v>
      </c>
      <c r="E1102" s="49" t="s">
        <v>3754</v>
      </c>
      <c r="F1102" s="49"/>
      <c r="G1102" s="49"/>
      <c r="H1102" s="49" t="s">
        <v>1544</v>
      </c>
      <c r="I1102" s="49" t="s">
        <v>1545</v>
      </c>
      <c r="J1102" s="49" t="s">
        <v>1546</v>
      </c>
      <c r="K1102" s="49" t="s">
        <v>1547</v>
      </c>
      <c r="L1102" s="49">
        <v>0</v>
      </c>
      <c r="M1102" s="49" t="s">
        <v>2142</v>
      </c>
      <c r="N1102" s="49" t="s">
        <v>687</v>
      </c>
      <c r="O1102" s="49">
        <v>1</v>
      </c>
      <c r="P1102" s="49" t="s">
        <v>1548</v>
      </c>
      <c r="Q1102" s="49">
        <v>0</v>
      </c>
      <c r="R1102" s="49" t="s">
        <v>907</v>
      </c>
      <c r="S1102" s="49" t="s">
        <v>1549</v>
      </c>
      <c r="T1102" s="49" t="s">
        <v>646</v>
      </c>
      <c r="U1102" s="49" t="s">
        <v>670</v>
      </c>
      <c r="V1102" s="49" t="e">
        <v>#REF!</v>
      </c>
      <c r="AC1102" s="49"/>
      <c r="AD1102" s="49"/>
    </row>
    <row r="1103" spans="1:30" hidden="1" x14ac:dyDescent="0.3">
      <c r="A1103" s="49" t="s">
        <v>11184</v>
      </c>
      <c r="B1103" s="49">
        <v>0</v>
      </c>
      <c r="C1103" s="49"/>
      <c r="D1103" s="72" t="s">
        <v>717</v>
      </c>
      <c r="E1103" s="49" t="s">
        <v>3754</v>
      </c>
      <c r="F1103" s="49"/>
      <c r="G1103" s="49"/>
      <c r="H1103" s="49" t="s">
        <v>11185</v>
      </c>
      <c r="I1103" s="49" t="s">
        <v>11188</v>
      </c>
      <c r="J1103" s="49" t="s">
        <v>11186</v>
      </c>
      <c r="K1103" s="49" t="s">
        <v>11187</v>
      </c>
      <c r="L1103" s="49">
        <v>0</v>
      </c>
      <c r="M1103" s="49" t="s">
        <v>1826</v>
      </c>
      <c r="N1103" s="49" t="s">
        <v>6013</v>
      </c>
      <c r="O1103" s="49">
        <v>4</v>
      </c>
      <c r="P1103" s="49" t="s">
        <v>11189</v>
      </c>
      <c r="Q1103" s="49">
        <v>0</v>
      </c>
      <c r="R1103" s="49" t="s">
        <v>11190</v>
      </c>
      <c r="S1103" s="49" t="s">
        <v>11191</v>
      </c>
      <c r="T1103" s="49" t="s">
        <v>11192</v>
      </c>
      <c r="U1103" s="49" t="s">
        <v>655</v>
      </c>
      <c r="V1103" s="49" t="e">
        <v>#REF!</v>
      </c>
      <c r="AC1103" s="49"/>
      <c r="AD1103" s="49"/>
    </row>
    <row r="1104" spans="1:30" hidden="1" x14ac:dyDescent="0.3">
      <c r="A1104" s="49" t="s">
        <v>11193</v>
      </c>
      <c r="B1104" s="49">
        <v>0</v>
      </c>
      <c r="C1104" s="49"/>
      <c r="D1104" s="72" t="s">
        <v>717</v>
      </c>
      <c r="E1104" s="49" t="s">
        <v>3754</v>
      </c>
      <c r="F1104" s="49"/>
      <c r="G1104" s="49"/>
      <c r="H1104" s="49" t="s">
        <v>11194</v>
      </c>
      <c r="I1104" s="49" t="s">
        <v>11197</v>
      </c>
      <c r="J1104" s="49" t="s">
        <v>11195</v>
      </c>
      <c r="K1104" s="49" t="s">
        <v>11196</v>
      </c>
      <c r="L1104" s="49">
        <v>0</v>
      </c>
      <c r="M1104" s="49" t="s">
        <v>1865</v>
      </c>
      <c r="N1104" s="49" t="s">
        <v>11198</v>
      </c>
      <c r="O1104" s="49">
        <v>29</v>
      </c>
      <c r="P1104" s="49" t="s">
        <v>11199</v>
      </c>
      <c r="Q1104" s="49">
        <v>0</v>
      </c>
      <c r="R1104" s="49" t="s">
        <v>11200</v>
      </c>
      <c r="S1104" s="49" t="s">
        <v>11201</v>
      </c>
      <c r="T1104" s="49" t="s">
        <v>11202</v>
      </c>
      <c r="U1104" s="49" t="s">
        <v>791</v>
      </c>
      <c r="V1104" s="49" t="e">
        <v>#REF!</v>
      </c>
      <c r="AC1104" s="49"/>
      <c r="AD1104" s="49"/>
    </row>
    <row r="1105" spans="1:30" hidden="1" x14ac:dyDescent="0.3">
      <c r="A1105" s="49" t="s">
        <v>11203</v>
      </c>
      <c r="B1105" s="49">
        <v>0</v>
      </c>
      <c r="C1105" s="49"/>
      <c r="D1105" s="72" t="s">
        <v>717</v>
      </c>
      <c r="E1105" s="49" t="s">
        <v>3754</v>
      </c>
      <c r="F1105" s="49"/>
      <c r="G1105" s="49"/>
      <c r="H1105" s="49" t="s">
        <v>11204</v>
      </c>
      <c r="I1105" s="49" t="s">
        <v>11207</v>
      </c>
      <c r="J1105" s="49" t="s">
        <v>11205</v>
      </c>
      <c r="K1105" s="49" t="s">
        <v>11206</v>
      </c>
      <c r="L1105" s="49">
        <v>0</v>
      </c>
      <c r="M1105" s="49" t="s">
        <v>6445</v>
      </c>
      <c r="N1105" s="49" t="s">
        <v>10619</v>
      </c>
      <c r="O1105" s="49">
        <v>30</v>
      </c>
      <c r="P1105" s="49" t="s">
        <v>11208</v>
      </c>
      <c r="Q1105" s="49">
        <v>0</v>
      </c>
      <c r="R1105" s="49" t="s">
        <v>11209</v>
      </c>
      <c r="S1105" s="49" t="s">
        <v>11210</v>
      </c>
      <c r="T1105" s="49" t="s">
        <v>11211</v>
      </c>
      <c r="U1105" s="49" t="s">
        <v>655</v>
      </c>
      <c r="V1105" s="49" t="e">
        <v>#REF!</v>
      </c>
      <c r="AC1105" s="49"/>
      <c r="AD1105" s="49"/>
    </row>
    <row r="1106" spans="1:30" hidden="1" x14ac:dyDescent="0.3">
      <c r="A1106" s="49" t="s">
        <v>11212</v>
      </c>
      <c r="B1106" s="49">
        <v>0</v>
      </c>
      <c r="C1106" s="49"/>
      <c r="D1106" s="72" t="s">
        <v>717</v>
      </c>
      <c r="E1106" s="49" t="s">
        <v>3754</v>
      </c>
      <c r="F1106" s="49"/>
      <c r="G1106" s="49"/>
      <c r="H1106" s="49" t="s">
        <v>11213</v>
      </c>
      <c r="I1106" s="49" t="s">
        <v>11216</v>
      </c>
      <c r="J1106" s="49" t="s">
        <v>11214</v>
      </c>
      <c r="K1106" s="49" t="s">
        <v>11215</v>
      </c>
      <c r="L1106" s="49">
        <v>0</v>
      </c>
      <c r="M1106" s="49" t="s">
        <v>1865</v>
      </c>
      <c r="N1106" s="49" t="s">
        <v>11217</v>
      </c>
      <c r="P1106" s="49" t="s">
        <v>11218</v>
      </c>
      <c r="Q1106" s="49">
        <v>0</v>
      </c>
      <c r="R1106" s="49" t="s">
        <v>11219</v>
      </c>
      <c r="S1106" s="49" t="s">
        <v>11220</v>
      </c>
      <c r="T1106" s="49" t="s">
        <v>11221</v>
      </c>
      <c r="U1106" s="49" t="s">
        <v>646</v>
      </c>
      <c r="V1106" s="49" t="e">
        <v>#REF!</v>
      </c>
      <c r="AC1106" s="49"/>
      <c r="AD1106" s="49"/>
    </row>
    <row r="1107" spans="1:30" hidden="1" x14ac:dyDescent="0.3">
      <c r="A1107" s="49" t="s">
        <v>11222</v>
      </c>
      <c r="B1107" s="49">
        <v>0</v>
      </c>
      <c r="C1107" s="49"/>
      <c r="D1107" s="72" t="s">
        <v>717</v>
      </c>
      <c r="E1107" s="49" t="s">
        <v>3754</v>
      </c>
      <c r="F1107" s="49"/>
      <c r="G1107" s="49"/>
      <c r="H1107" s="49" t="s">
        <v>11223</v>
      </c>
      <c r="I1107" s="49" t="s">
        <v>11226</v>
      </c>
      <c r="J1107" s="49" t="s">
        <v>11224</v>
      </c>
      <c r="K1107" s="49" t="s">
        <v>11225</v>
      </c>
      <c r="L1107" s="49">
        <v>0</v>
      </c>
      <c r="M1107" s="49" t="s">
        <v>1764</v>
      </c>
      <c r="N1107" s="49" t="s">
        <v>6952</v>
      </c>
      <c r="O1107" s="49">
        <v>248</v>
      </c>
      <c r="P1107" s="49" t="s">
        <v>11227</v>
      </c>
      <c r="Q1107" s="49">
        <v>0</v>
      </c>
      <c r="R1107" s="49" t="s">
        <v>11228</v>
      </c>
      <c r="S1107" s="49" t="s">
        <v>11229</v>
      </c>
      <c r="T1107" s="49" t="s">
        <v>11230</v>
      </c>
      <c r="U1107" s="49" t="s">
        <v>655</v>
      </c>
      <c r="V1107" s="49" t="e">
        <v>#REF!</v>
      </c>
      <c r="AC1107" s="49"/>
      <c r="AD1107" s="49"/>
    </row>
    <row r="1108" spans="1:30" hidden="1" x14ac:dyDescent="0.3">
      <c r="A1108" s="49" t="s">
        <v>11231</v>
      </c>
      <c r="B1108" s="49">
        <v>0</v>
      </c>
      <c r="C1108" s="49"/>
      <c r="D1108" s="72" t="s">
        <v>717</v>
      </c>
      <c r="E1108" s="49" t="s">
        <v>3754</v>
      </c>
      <c r="F1108" s="49"/>
      <c r="G1108" s="49"/>
      <c r="H1108" s="49" t="s">
        <v>11232</v>
      </c>
      <c r="I1108" s="49" t="s">
        <v>11235</v>
      </c>
      <c r="J1108" s="49" t="s">
        <v>11233</v>
      </c>
      <c r="K1108" s="49" t="s">
        <v>11234</v>
      </c>
      <c r="L1108" s="49">
        <v>0</v>
      </c>
      <c r="M1108" s="49" t="s">
        <v>1865</v>
      </c>
      <c r="N1108" s="49" t="s">
        <v>11236</v>
      </c>
      <c r="O1108" s="49">
        <v>8</v>
      </c>
      <c r="P1108" s="49" t="s">
        <v>11237</v>
      </c>
      <c r="Q1108" s="49">
        <v>0</v>
      </c>
      <c r="R1108" s="49" t="s">
        <v>11238</v>
      </c>
      <c r="S1108" s="49" t="s">
        <v>11239</v>
      </c>
      <c r="T1108" s="49" t="s">
        <v>11240</v>
      </c>
      <c r="U1108" s="49" t="s">
        <v>655</v>
      </c>
      <c r="V1108" s="49" t="e">
        <v>#REF!</v>
      </c>
      <c r="AC1108" s="49"/>
      <c r="AD1108" s="49"/>
    </row>
    <row r="1109" spans="1:30" hidden="1" x14ac:dyDescent="0.3">
      <c r="A1109" s="49" t="s">
        <v>11241</v>
      </c>
      <c r="B1109" s="49">
        <v>0</v>
      </c>
      <c r="C1109" s="49"/>
      <c r="D1109" s="72" t="s">
        <v>717</v>
      </c>
      <c r="E1109" s="49" t="s">
        <v>3754</v>
      </c>
      <c r="F1109" s="49"/>
      <c r="G1109" s="49"/>
      <c r="H1109" s="49" t="s">
        <v>11242</v>
      </c>
      <c r="I1109" s="49" t="s">
        <v>647</v>
      </c>
      <c r="J1109" s="49" t="s">
        <v>648</v>
      </c>
      <c r="K1109" s="49" t="s">
        <v>11243</v>
      </c>
      <c r="L1109" s="49">
        <v>0</v>
      </c>
      <c r="M1109" s="49" t="s">
        <v>4114</v>
      </c>
      <c r="N1109" s="49" t="s">
        <v>776</v>
      </c>
      <c r="O1109" s="49">
        <v>27</v>
      </c>
      <c r="P1109" s="49" t="s">
        <v>11244</v>
      </c>
      <c r="Q1109" s="49">
        <v>0</v>
      </c>
      <c r="R1109" s="49" t="s">
        <v>11245</v>
      </c>
      <c r="S1109" s="49" t="s">
        <v>11246</v>
      </c>
      <c r="T1109" s="49" t="s">
        <v>11247</v>
      </c>
      <c r="U1109" s="49" t="s">
        <v>655</v>
      </c>
      <c r="V1109" s="49" t="e">
        <v>#REF!</v>
      </c>
      <c r="AC1109" s="49"/>
      <c r="AD1109" s="49"/>
    </row>
    <row r="1110" spans="1:30" hidden="1" x14ac:dyDescent="0.3">
      <c r="A1110" s="49" t="s">
        <v>749</v>
      </c>
      <c r="B1110" s="49">
        <v>0</v>
      </c>
      <c r="C1110" s="49"/>
      <c r="D1110" s="72" t="s">
        <v>717</v>
      </c>
      <c r="E1110" s="49" t="s">
        <v>3754</v>
      </c>
      <c r="F1110" s="49"/>
      <c r="G1110" s="49"/>
      <c r="H1110" s="49" t="s">
        <v>751</v>
      </c>
      <c r="I1110" s="49" t="s">
        <v>752</v>
      </c>
      <c r="J1110" s="49" t="s">
        <v>753</v>
      </c>
      <c r="K1110" s="49" t="s">
        <v>754</v>
      </c>
      <c r="L1110" s="49">
        <v>0</v>
      </c>
      <c r="M1110" s="49" t="s">
        <v>1764</v>
      </c>
      <c r="N1110" s="49" t="s">
        <v>755</v>
      </c>
      <c r="O1110" s="49">
        <v>6</v>
      </c>
      <c r="P1110" s="49" t="s">
        <v>756</v>
      </c>
      <c r="Q1110" s="49">
        <v>0</v>
      </c>
      <c r="R1110" s="49" t="s">
        <v>757</v>
      </c>
      <c r="S1110" s="49" t="s">
        <v>758</v>
      </c>
      <c r="T1110" s="49" t="s">
        <v>11248</v>
      </c>
      <c r="U1110" s="49" t="s">
        <v>655</v>
      </c>
      <c r="V1110" s="49" t="e">
        <v>#REF!</v>
      </c>
      <c r="AC1110" s="49"/>
      <c r="AD1110" s="49"/>
    </row>
    <row r="1111" spans="1:30" hidden="1" x14ac:dyDescent="0.3">
      <c r="A1111" s="49" t="s">
        <v>11249</v>
      </c>
      <c r="B1111" s="49">
        <v>0</v>
      </c>
      <c r="C1111" s="49"/>
      <c r="D1111" s="72" t="s">
        <v>717</v>
      </c>
      <c r="E1111" s="49" t="s">
        <v>3754</v>
      </c>
      <c r="F1111" s="49"/>
      <c r="G1111" s="49"/>
      <c r="H1111" s="49" t="s">
        <v>11250</v>
      </c>
      <c r="I1111" s="49" t="s">
        <v>11253</v>
      </c>
      <c r="J1111" s="49" t="s">
        <v>11251</v>
      </c>
      <c r="K1111" s="49" t="s">
        <v>11252</v>
      </c>
      <c r="L1111" s="49">
        <v>0</v>
      </c>
      <c r="M1111" s="49" t="s">
        <v>1777</v>
      </c>
      <c r="N1111" s="49" t="s">
        <v>1240</v>
      </c>
      <c r="O1111" s="49">
        <v>56</v>
      </c>
      <c r="P1111" s="49" t="s">
        <v>11254</v>
      </c>
      <c r="Q1111" s="49">
        <v>0</v>
      </c>
      <c r="R1111" s="49" t="s">
        <v>11255</v>
      </c>
      <c r="S1111" s="49" t="s">
        <v>11256</v>
      </c>
      <c r="T1111" s="49" t="s">
        <v>1264</v>
      </c>
      <c r="U1111" s="49" t="s">
        <v>655</v>
      </c>
      <c r="V1111" s="49" t="e">
        <v>#REF!</v>
      </c>
      <c r="AC1111" s="49"/>
      <c r="AD1111" s="49"/>
    </row>
    <row r="1112" spans="1:30" hidden="1" x14ac:dyDescent="0.3">
      <c r="A1112" s="49" t="s">
        <v>11257</v>
      </c>
      <c r="B1112" s="49">
        <v>0</v>
      </c>
      <c r="C1112" s="49"/>
      <c r="D1112" s="72" t="s">
        <v>717</v>
      </c>
      <c r="E1112" s="49" t="s">
        <v>3754</v>
      </c>
      <c r="F1112" s="49"/>
      <c r="G1112" s="49"/>
      <c r="H1112" s="49" t="s">
        <v>11258</v>
      </c>
      <c r="I1112" s="49" t="s">
        <v>11261</v>
      </c>
      <c r="J1112" s="49" t="s">
        <v>11259</v>
      </c>
      <c r="K1112" s="49" t="s">
        <v>11260</v>
      </c>
      <c r="L1112" s="49">
        <v>0</v>
      </c>
      <c r="M1112" s="49" t="s">
        <v>1865</v>
      </c>
      <c r="N1112" s="49" t="s">
        <v>4381</v>
      </c>
      <c r="O1112" s="49">
        <v>14</v>
      </c>
      <c r="P1112" s="49" t="s">
        <v>11262</v>
      </c>
      <c r="Q1112" s="49">
        <v>0</v>
      </c>
      <c r="R1112" s="49" t="s">
        <v>11263</v>
      </c>
      <c r="S1112" s="49" t="s">
        <v>11264</v>
      </c>
      <c r="T1112" s="49" t="s">
        <v>11265</v>
      </c>
      <c r="U1112" s="49" t="s">
        <v>655</v>
      </c>
      <c r="V1112" s="49" t="e">
        <v>#REF!</v>
      </c>
      <c r="AC1112" s="49"/>
      <c r="AD1112" s="49"/>
    </row>
    <row r="1113" spans="1:30" hidden="1" x14ac:dyDescent="0.3">
      <c r="A1113" s="49" t="s">
        <v>11266</v>
      </c>
      <c r="B1113" s="49">
        <v>0</v>
      </c>
      <c r="C1113" s="49"/>
      <c r="D1113" s="72" t="s">
        <v>717</v>
      </c>
      <c r="E1113" s="49" t="s">
        <v>3754</v>
      </c>
      <c r="F1113" s="49"/>
      <c r="G1113" s="49"/>
      <c r="H1113" s="49" t="s">
        <v>11267</v>
      </c>
      <c r="I1113" s="49" t="s">
        <v>11270</v>
      </c>
      <c r="J1113" s="49" t="s">
        <v>11268</v>
      </c>
      <c r="K1113" s="49" t="s">
        <v>11269</v>
      </c>
      <c r="L1113" s="49">
        <v>0</v>
      </c>
      <c r="M1113" s="49" t="s">
        <v>3570</v>
      </c>
      <c r="N1113" s="49" t="s">
        <v>708</v>
      </c>
      <c r="O1113" s="49">
        <v>42</v>
      </c>
      <c r="P1113" s="49" t="s">
        <v>11271</v>
      </c>
      <c r="Q1113" s="49">
        <v>0</v>
      </c>
      <c r="R1113" s="49" t="s">
        <v>11272</v>
      </c>
      <c r="S1113" s="49" t="s">
        <v>11273</v>
      </c>
      <c r="T1113" s="49" t="s">
        <v>11274</v>
      </c>
      <c r="U1113" s="49" t="s">
        <v>655</v>
      </c>
      <c r="V1113" s="49" t="e">
        <v>#REF!</v>
      </c>
      <c r="AC1113" s="49"/>
      <c r="AD1113" s="49"/>
    </row>
    <row r="1114" spans="1:30" hidden="1" x14ac:dyDescent="0.3">
      <c r="A1114" s="49" t="s">
        <v>11275</v>
      </c>
      <c r="B1114" s="49">
        <v>0</v>
      </c>
      <c r="C1114" s="49"/>
      <c r="D1114" s="72" t="s">
        <v>717</v>
      </c>
      <c r="E1114" s="49" t="s">
        <v>3754</v>
      </c>
      <c r="F1114" s="49"/>
      <c r="G1114" s="49"/>
      <c r="H1114" s="49" t="s">
        <v>11276</v>
      </c>
      <c r="I1114" s="49" t="s">
        <v>11279</v>
      </c>
      <c r="J1114" s="49" t="s">
        <v>11277</v>
      </c>
      <c r="K1114" s="49" t="s">
        <v>11278</v>
      </c>
      <c r="L1114" s="49">
        <v>0</v>
      </c>
      <c r="M1114" s="49" t="s">
        <v>5600</v>
      </c>
      <c r="N1114" s="49" t="s">
        <v>959</v>
      </c>
      <c r="O1114" s="49">
        <v>251</v>
      </c>
      <c r="P1114" s="49" t="s">
        <v>11280</v>
      </c>
      <c r="Q1114" s="49">
        <v>0</v>
      </c>
      <c r="R1114" s="49" t="s">
        <v>11281</v>
      </c>
      <c r="S1114" s="49" t="s">
        <v>11282</v>
      </c>
      <c r="T1114" s="49" t="s">
        <v>646</v>
      </c>
      <c r="U1114" s="49" t="s">
        <v>670</v>
      </c>
      <c r="V1114" s="49" t="e">
        <v>#REF!</v>
      </c>
      <c r="AC1114" s="49"/>
      <c r="AD1114" s="49"/>
    </row>
    <row r="1115" spans="1:30" hidden="1" x14ac:dyDescent="0.3">
      <c r="A1115" s="49" t="s">
        <v>11283</v>
      </c>
      <c r="B1115" s="49">
        <v>0</v>
      </c>
      <c r="C1115" s="49"/>
      <c r="D1115" s="72" t="s">
        <v>717</v>
      </c>
      <c r="E1115" s="49" t="s">
        <v>3754</v>
      </c>
      <c r="F1115" s="49"/>
      <c r="G1115" s="49"/>
      <c r="H1115" s="49" t="s">
        <v>11284</v>
      </c>
      <c r="I1115" s="49" t="s">
        <v>11287</v>
      </c>
      <c r="J1115" s="49" t="s">
        <v>11285</v>
      </c>
      <c r="K1115" s="49" t="s">
        <v>11286</v>
      </c>
      <c r="L1115" s="49">
        <v>0</v>
      </c>
      <c r="M1115" s="49" t="s">
        <v>1764</v>
      </c>
      <c r="N1115" s="49" t="s">
        <v>11288</v>
      </c>
      <c r="O1115" s="49">
        <v>3</v>
      </c>
      <c r="P1115" s="49" t="s">
        <v>11289</v>
      </c>
      <c r="Q1115" s="49">
        <v>0</v>
      </c>
      <c r="R1115" s="49" t="s">
        <v>11290</v>
      </c>
      <c r="S1115" s="49" t="s">
        <v>11291</v>
      </c>
      <c r="T1115" s="49" t="s">
        <v>11292</v>
      </c>
      <c r="U1115" s="49" t="s">
        <v>670</v>
      </c>
      <c r="V1115" s="49" t="e">
        <v>#REF!</v>
      </c>
      <c r="AC1115" s="49"/>
      <c r="AD1115" s="49"/>
    </row>
    <row r="1116" spans="1:30" hidden="1" x14ac:dyDescent="0.3">
      <c r="A1116" s="49" t="s">
        <v>11293</v>
      </c>
      <c r="B1116" s="49">
        <v>0</v>
      </c>
      <c r="C1116" s="49"/>
      <c r="D1116" s="72" t="s">
        <v>717</v>
      </c>
      <c r="E1116" s="49" t="s">
        <v>3754</v>
      </c>
      <c r="F1116" s="49"/>
      <c r="G1116" s="49"/>
      <c r="H1116" s="49" t="s">
        <v>11294</v>
      </c>
      <c r="I1116" s="49" t="s">
        <v>11297</v>
      </c>
      <c r="J1116" s="49" t="s">
        <v>11295</v>
      </c>
      <c r="K1116" s="49" t="s">
        <v>11296</v>
      </c>
      <c r="L1116" s="49">
        <v>0</v>
      </c>
      <c r="M1116" s="49" t="s">
        <v>1826</v>
      </c>
      <c r="N1116" s="49" t="s">
        <v>11298</v>
      </c>
      <c r="O1116" s="49">
        <v>8</v>
      </c>
      <c r="P1116" s="49" t="s">
        <v>11299</v>
      </c>
      <c r="Q1116" s="49">
        <v>0</v>
      </c>
      <c r="R1116" s="49" t="s">
        <v>11300</v>
      </c>
      <c r="S1116" s="49" t="s">
        <v>11301</v>
      </c>
      <c r="T1116" s="49" t="s">
        <v>646</v>
      </c>
      <c r="U1116" s="49" t="s">
        <v>670</v>
      </c>
      <c r="V1116" s="49" t="e">
        <v>#REF!</v>
      </c>
      <c r="AC1116" s="49"/>
      <c r="AD1116" s="49"/>
    </row>
    <row r="1117" spans="1:30" hidden="1" x14ac:dyDescent="0.3">
      <c r="A1117" s="49" t="s">
        <v>1488</v>
      </c>
      <c r="B1117" s="49">
        <v>0</v>
      </c>
      <c r="C1117" s="49"/>
      <c r="D1117" s="72" t="s">
        <v>717</v>
      </c>
      <c r="E1117" s="49" t="s">
        <v>3754</v>
      </c>
      <c r="F1117" s="49"/>
      <c r="G1117" s="49"/>
      <c r="H1117" s="49" t="s">
        <v>1490</v>
      </c>
      <c r="I1117" s="49" t="s">
        <v>1491</v>
      </c>
      <c r="J1117" s="49" t="s">
        <v>11302</v>
      </c>
      <c r="K1117" s="49" t="s">
        <v>1493</v>
      </c>
      <c r="L1117" s="49">
        <v>0</v>
      </c>
      <c r="M1117" s="49" t="s">
        <v>1826</v>
      </c>
      <c r="N1117" s="49" t="s">
        <v>1494</v>
      </c>
      <c r="O1117" s="49">
        <v>15</v>
      </c>
      <c r="P1117" s="49" t="s">
        <v>1495</v>
      </c>
      <c r="Q1117" s="49">
        <v>0</v>
      </c>
      <c r="R1117" s="49" t="s">
        <v>1496</v>
      </c>
      <c r="S1117" s="49" t="s">
        <v>1497</v>
      </c>
      <c r="T1117" s="49" t="s">
        <v>11303</v>
      </c>
      <c r="U1117" s="49" t="s">
        <v>655</v>
      </c>
      <c r="V1117" s="49" t="e">
        <v>#REF!</v>
      </c>
      <c r="AC1117" s="49"/>
      <c r="AD1117" s="49"/>
    </row>
    <row r="1118" spans="1:30" hidden="1" x14ac:dyDescent="0.3">
      <c r="A1118" s="49" t="s">
        <v>11304</v>
      </c>
      <c r="B1118" s="49">
        <v>0</v>
      </c>
      <c r="C1118" s="49"/>
      <c r="D1118" s="72" t="s">
        <v>717</v>
      </c>
      <c r="E1118" s="49" t="s">
        <v>3754</v>
      </c>
      <c r="F1118" s="49"/>
      <c r="G1118" s="49"/>
      <c r="H1118" s="49" t="s">
        <v>11305</v>
      </c>
      <c r="I1118" s="49" t="s">
        <v>11308</v>
      </c>
      <c r="J1118" s="49" t="s">
        <v>11306</v>
      </c>
      <c r="K1118" s="49" t="s">
        <v>11307</v>
      </c>
      <c r="L1118" s="49">
        <v>0</v>
      </c>
      <c r="M1118" s="49" t="s">
        <v>1826</v>
      </c>
      <c r="N1118" s="49" t="s">
        <v>11309</v>
      </c>
      <c r="O1118" s="49">
        <v>20</v>
      </c>
      <c r="P1118" s="49" t="s">
        <v>11310</v>
      </c>
      <c r="Q1118" s="49">
        <v>0</v>
      </c>
      <c r="R1118" s="49" t="s">
        <v>11311</v>
      </c>
      <c r="S1118" s="49" t="s">
        <v>11312</v>
      </c>
      <c r="T1118" s="49" t="s">
        <v>646</v>
      </c>
      <c r="U1118" s="49" t="s">
        <v>670</v>
      </c>
      <c r="V1118" s="49" t="e">
        <v>#REF!</v>
      </c>
      <c r="AC1118" s="49"/>
      <c r="AD1118" s="49"/>
    </row>
    <row r="1119" spans="1:30" hidden="1" x14ac:dyDescent="0.3">
      <c r="A1119" s="49" t="s">
        <v>11313</v>
      </c>
      <c r="B1119" s="49">
        <v>0</v>
      </c>
      <c r="C1119" s="49"/>
      <c r="D1119" s="72" t="s">
        <v>717</v>
      </c>
      <c r="E1119" s="49" t="s">
        <v>3754</v>
      </c>
      <c r="F1119" s="49"/>
      <c r="G1119" s="49"/>
      <c r="H1119" s="49" t="s">
        <v>11314</v>
      </c>
      <c r="I1119" s="49" t="s">
        <v>11317</v>
      </c>
      <c r="J1119" s="49" t="s">
        <v>11315</v>
      </c>
      <c r="K1119" s="49" t="s">
        <v>11316</v>
      </c>
      <c r="L1119" s="49">
        <v>0</v>
      </c>
      <c r="M1119" s="49" t="s">
        <v>4084</v>
      </c>
      <c r="N1119" s="49" t="s">
        <v>11318</v>
      </c>
      <c r="O1119" s="49">
        <v>15</v>
      </c>
      <c r="P1119" s="49" t="s">
        <v>11319</v>
      </c>
      <c r="Q1119" s="49">
        <v>0</v>
      </c>
      <c r="R1119" s="49" t="s">
        <v>11320</v>
      </c>
      <c r="S1119" s="49" t="s">
        <v>11321</v>
      </c>
      <c r="T1119" s="49" t="s">
        <v>11322</v>
      </c>
      <c r="U1119" s="49" t="s">
        <v>655</v>
      </c>
      <c r="V1119" s="49" t="e">
        <v>#REF!</v>
      </c>
      <c r="AC1119" s="49"/>
      <c r="AD1119" s="49"/>
    </row>
    <row r="1120" spans="1:30" hidden="1" x14ac:dyDescent="0.3">
      <c r="A1120" s="49" t="s">
        <v>11323</v>
      </c>
      <c r="B1120" s="49">
        <v>0</v>
      </c>
      <c r="C1120" s="49"/>
      <c r="D1120" s="72" t="s">
        <v>717</v>
      </c>
      <c r="E1120" s="49" t="s">
        <v>3754</v>
      </c>
      <c r="F1120" s="49"/>
      <c r="G1120" s="49"/>
      <c r="H1120" s="49" t="s">
        <v>11324</v>
      </c>
      <c r="I1120" s="49" t="s">
        <v>11327</v>
      </c>
      <c r="J1120" s="49" t="s">
        <v>11325</v>
      </c>
      <c r="K1120" s="49" t="s">
        <v>11326</v>
      </c>
      <c r="L1120" s="49">
        <v>0</v>
      </c>
      <c r="M1120" s="49" t="s">
        <v>1764</v>
      </c>
      <c r="N1120" s="49" t="s">
        <v>11328</v>
      </c>
      <c r="O1120" s="49">
        <v>31</v>
      </c>
      <c r="P1120" s="49" t="s">
        <v>11329</v>
      </c>
      <c r="Q1120" s="49">
        <v>0</v>
      </c>
      <c r="R1120" s="49" t="s">
        <v>11330</v>
      </c>
      <c r="S1120" s="49" t="s">
        <v>11331</v>
      </c>
      <c r="T1120" s="49" t="s">
        <v>11332</v>
      </c>
      <c r="U1120" s="49" t="s">
        <v>655</v>
      </c>
      <c r="V1120" s="49" t="e">
        <v>#REF!</v>
      </c>
      <c r="AC1120" s="49"/>
      <c r="AD1120" s="49"/>
    </row>
    <row r="1121" spans="1:30" hidden="1" x14ac:dyDescent="0.3">
      <c r="A1121" s="49" t="s">
        <v>11333</v>
      </c>
      <c r="B1121" s="49">
        <v>0</v>
      </c>
      <c r="C1121" s="49"/>
      <c r="D1121" s="72" t="s">
        <v>717</v>
      </c>
      <c r="E1121" s="49" t="s">
        <v>3754</v>
      </c>
      <c r="F1121" s="49"/>
      <c r="G1121" s="49"/>
      <c r="H1121" s="49" t="s">
        <v>11334</v>
      </c>
      <c r="I1121" s="49" t="s">
        <v>11337</v>
      </c>
      <c r="J1121" s="49" t="s">
        <v>11335</v>
      </c>
      <c r="K1121" s="49" t="s">
        <v>11336</v>
      </c>
      <c r="L1121" s="49">
        <v>0</v>
      </c>
      <c r="M1121" s="49" t="s">
        <v>2142</v>
      </c>
      <c r="N1121" s="49" t="s">
        <v>1005</v>
      </c>
      <c r="O1121" s="49">
        <v>30</v>
      </c>
      <c r="P1121" s="49" t="s">
        <v>11338</v>
      </c>
      <c r="Q1121" s="49">
        <v>0</v>
      </c>
      <c r="R1121" s="49" t="s">
        <v>11339</v>
      </c>
      <c r="S1121" s="49" t="s">
        <v>11340</v>
      </c>
      <c r="T1121" s="49" t="s">
        <v>11341</v>
      </c>
      <c r="U1121" s="49" t="s">
        <v>655</v>
      </c>
      <c r="V1121" s="49" t="e">
        <v>#REF!</v>
      </c>
      <c r="AC1121" s="49"/>
      <c r="AD1121" s="49"/>
    </row>
    <row r="1122" spans="1:30" hidden="1" x14ac:dyDescent="0.3">
      <c r="A1122" s="49" t="s">
        <v>11342</v>
      </c>
      <c r="B1122" s="49">
        <v>0</v>
      </c>
      <c r="C1122" s="49"/>
      <c r="D1122" s="72" t="s">
        <v>717</v>
      </c>
      <c r="E1122" s="49" t="s">
        <v>3754</v>
      </c>
      <c r="F1122" s="49"/>
      <c r="G1122" s="49"/>
      <c r="H1122" s="49" t="s">
        <v>11343</v>
      </c>
      <c r="I1122" s="49" t="s">
        <v>11346</v>
      </c>
      <c r="J1122" s="49" t="s">
        <v>11344</v>
      </c>
      <c r="K1122" s="49" t="s">
        <v>11345</v>
      </c>
      <c r="L1122" s="49">
        <v>0</v>
      </c>
      <c r="M1122" s="49" t="s">
        <v>2142</v>
      </c>
      <c r="N1122" s="49" t="s">
        <v>11347</v>
      </c>
      <c r="O1122" s="49">
        <v>13</v>
      </c>
      <c r="P1122" s="49" t="s">
        <v>11348</v>
      </c>
      <c r="Q1122" s="49">
        <v>0</v>
      </c>
      <c r="R1122" s="49" t="s">
        <v>11349</v>
      </c>
      <c r="S1122" s="49" t="s">
        <v>11350</v>
      </c>
      <c r="T1122" s="49" t="s">
        <v>646</v>
      </c>
      <c r="U1122" s="49" t="s">
        <v>655</v>
      </c>
      <c r="V1122" s="49" t="e">
        <v>#REF!</v>
      </c>
      <c r="AC1122" s="49"/>
      <c r="AD1122" s="49"/>
    </row>
    <row r="1123" spans="1:30" hidden="1" x14ac:dyDescent="0.3">
      <c r="A1123" s="49" t="s">
        <v>11351</v>
      </c>
      <c r="B1123" s="49">
        <v>0</v>
      </c>
      <c r="C1123" s="49"/>
      <c r="D1123" s="72" t="s">
        <v>717</v>
      </c>
      <c r="E1123" s="49" t="s">
        <v>3754</v>
      </c>
      <c r="F1123" s="49"/>
      <c r="G1123" s="49"/>
      <c r="H1123" s="49" t="s">
        <v>11352</v>
      </c>
      <c r="I1123" s="49" t="s">
        <v>11355</v>
      </c>
      <c r="J1123" s="49" t="s">
        <v>11353</v>
      </c>
      <c r="K1123" s="49" t="s">
        <v>11354</v>
      </c>
      <c r="L1123" s="49">
        <v>0</v>
      </c>
      <c r="M1123" s="49" t="s">
        <v>2484</v>
      </c>
      <c r="N1123" s="49" t="s">
        <v>2239</v>
      </c>
      <c r="P1123" s="49" t="s">
        <v>11356</v>
      </c>
      <c r="Q1123" s="49">
        <v>0</v>
      </c>
      <c r="R1123" s="49" t="s">
        <v>11357</v>
      </c>
      <c r="S1123" s="49" t="s">
        <v>11358</v>
      </c>
      <c r="T1123" s="49" t="s">
        <v>646</v>
      </c>
      <c r="U1123" s="49" t="s">
        <v>670</v>
      </c>
      <c r="V1123" s="49" t="e">
        <v>#REF!</v>
      </c>
      <c r="AC1123" s="49"/>
      <c r="AD1123" s="49"/>
    </row>
    <row r="1124" spans="1:30" hidden="1" x14ac:dyDescent="0.3">
      <c r="A1124" s="49" t="s">
        <v>770</v>
      </c>
      <c r="B1124" s="49">
        <v>0</v>
      </c>
      <c r="C1124" s="49"/>
      <c r="D1124" s="72" t="s">
        <v>717</v>
      </c>
      <c r="E1124" s="49" t="s">
        <v>3754</v>
      </c>
      <c r="F1124" s="49"/>
      <c r="G1124" s="49"/>
      <c r="H1124" s="49" t="s">
        <v>772</v>
      </c>
      <c r="I1124" s="49" t="s">
        <v>773</v>
      </c>
      <c r="J1124" s="49" t="s">
        <v>774</v>
      </c>
      <c r="K1124" s="49" t="s">
        <v>775</v>
      </c>
      <c r="L1124" s="49">
        <v>0</v>
      </c>
      <c r="M1124" s="49" t="s">
        <v>1764</v>
      </c>
      <c r="N1124" s="49" t="s">
        <v>776</v>
      </c>
      <c r="O1124" s="49">
        <v>79</v>
      </c>
      <c r="P1124" s="49" t="s">
        <v>777</v>
      </c>
      <c r="Q1124" s="49">
        <v>0</v>
      </c>
      <c r="R1124" s="49" t="s">
        <v>778</v>
      </c>
      <c r="S1124" s="49" t="s">
        <v>779</v>
      </c>
      <c r="T1124" s="49" t="s">
        <v>11359</v>
      </c>
      <c r="U1124" s="49" t="s">
        <v>655</v>
      </c>
      <c r="V1124" s="49" t="e">
        <v>#REF!</v>
      </c>
      <c r="AC1124" s="49"/>
      <c r="AD1124" s="49"/>
    </row>
    <row r="1125" spans="1:30" hidden="1" x14ac:dyDescent="0.3">
      <c r="A1125" s="49" t="s">
        <v>11360</v>
      </c>
      <c r="B1125" s="49">
        <v>0</v>
      </c>
      <c r="C1125" s="49"/>
      <c r="D1125" s="72" t="s">
        <v>717</v>
      </c>
      <c r="E1125" s="49" t="s">
        <v>3754</v>
      </c>
      <c r="F1125" s="49"/>
      <c r="G1125" s="49"/>
      <c r="H1125" s="49" t="s">
        <v>11361</v>
      </c>
      <c r="I1125" s="49" t="s">
        <v>11364</v>
      </c>
      <c r="J1125" s="49" t="s">
        <v>11362</v>
      </c>
      <c r="K1125" s="49" t="s">
        <v>11363</v>
      </c>
      <c r="L1125" s="49">
        <v>0</v>
      </c>
      <c r="M1125" s="49" t="s">
        <v>1826</v>
      </c>
      <c r="N1125" s="49" t="s">
        <v>11365</v>
      </c>
      <c r="O1125" s="49">
        <v>1</v>
      </c>
      <c r="P1125" s="49" t="s">
        <v>11366</v>
      </c>
      <c r="Q1125" s="49">
        <v>0</v>
      </c>
      <c r="R1125" s="49" t="s">
        <v>11367</v>
      </c>
      <c r="S1125" s="49" t="s">
        <v>11368</v>
      </c>
      <c r="T1125" s="49" t="s">
        <v>646</v>
      </c>
      <c r="U1125" s="49" t="s">
        <v>670</v>
      </c>
      <c r="V1125" s="49" t="e">
        <v>#REF!</v>
      </c>
      <c r="AC1125" s="49"/>
      <c r="AD1125" s="49"/>
    </row>
    <row r="1126" spans="1:30" hidden="1" x14ac:dyDescent="0.3">
      <c r="A1126" s="49" t="s">
        <v>11369</v>
      </c>
      <c r="B1126" s="49">
        <v>0</v>
      </c>
      <c r="C1126" s="49"/>
      <c r="D1126" s="72" t="s">
        <v>717</v>
      </c>
      <c r="E1126" s="49" t="s">
        <v>3754</v>
      </c>
      <c r="F1126" s="49"/>
      <c r="G1126" s="49"/>
      <c r="H1126" s="49" t="s">
        <v>11370</v>
      </c>
      <c r="I1126" s="49" t="s">
        <v>11373</v>
      </c>
      <c r="J1126" s="49" t="s">
        <v>11371</v>
      </c>
      <c r="K1126" s="49" t="s">
        <v>11372</v>
      </c>
      <c r="L1126" s="49">
        <v>0</v>
      </c>
      <c r="M1126" s="49" t="s">
        <v>1826</v>
      </c>
      <c r="N1126" s="49" t="s">
        <v>11374</v>
      </c>
      <c r="O1126" s="49">
        <v>26</v>
      </c>
      <c r="P1126" s="49" t="s">
        <v>11375</v>
      </c>
      <c r="Q1126" s="49">
        <v>0</v>
      </c>
      <c r="R1126" s="49" t="s">
        <v>11376</v>
      </c>
      <c r="S1126" s="49" t="s">
        <v>11377</v>
      </c>
      <c r="T1126" s="49" t="s">
        <v>11378</v>
      </c>
      <c r="U1126" s="49" t="s">
        <v>655</v>
      </c>
      <c r="V1126" s="49" t="e">
        <v>#REF!</v>
      </c>
      <c r="AC1126" s="49"/>
      <c r="AD1126" s="49"/>
    </row>
    <row r="1127" spans="1:30" hidden="1" x14ac:dyDescent="0.3">
      <c r="A1127" s="49" t="s">
        <v>11379</v>
      </c>
      <c r="B1127" s="49">
        <v>0</v>
      </c>
      <c r="C1127" s="49"/>
      <c r="D1127" s="72" t="s">
        <v>717</v>
      </c>
      <c r="E1127" s="49" t="s">
        <v>3754</v>
      </c>
      <c r="F1127" s="49"/>
      <c r="G1127" s="49"/>
      <c r="H1127" s="49" t="s">
        <v>11380</v>
      </c>
      <c r="I1127" s="49" t="s">
        <v>11383</v>
      </c>
      <c r="J1127" s="49" t="s">
        <v>11381</v>
      </c>
      <c r="K1127" s="49" t="s">
        <v>11382</v>
      </c>
      <c r="L1127" s="49">
        <v>0</v>
      </c>
      <c r="M1127" s="49" t="s">
        <v>1865</v>
      </c>
      <c r="N1127" s="49" t="s">
        <v>3581</v>
      </c>
      <c r="O1127" s="49">
        <v>6</v>
      </c>
      <c r="P1127" s="49" t="s">
        <v>11384</v>
      </c>
      <c r="Q1127" s="49">
        <v>0</v>
      </c>
      <c r="R1127" s="49" t="s">
        <v>11385</v>
      </c>
      <c r="S1127" s="49" t="s">
        <v>11386</v>
      </c>
      <c r="T1127" s="49" t="s">
        <v>11387</v>
      </c>
      <c r="U1127" s="49" t="s">
        <v>655</v>
      </c>
      <c r="V1127" s="49" t="e">
        <v>#REF!</v>
      </c>
      <c r="AC1127" s="49"/>
      <c r="AD1127" s="49"/>
    </row>
    <row r="1128" spans="1:30" hidden="1" x14ac:dyDescent="0.3">
      <c r="A1128" s="49" t="s">
        <v>11388</v>
      </c>
      <c r="B1128" s="49">
        <v>0</v>
      </c>
      <c r="C1128" s="49"/>
      <c r="D1128" s="72" t="s">
        <v>717</v>
      </c>
      <c r="E1128" s="49" t="s">
        <v>3754</v>
      </c>
      <c r="F1128" s="49"/>
      <c r="G1128" s="49"/>
      <c r="H1128" s="49" t="s">
        <v>11389</v>
      </c>
      <c r="I1128" s="49" t="s">
        <v>11392</v>
      </c>
      <c r="J1128" s="49" t="s">
        <v>11390</v>
      </c>
      <c r="K1128" s="49" t="s">
        <v>11391</v>
      </c>
      <c r="L1128" s="49">
        <v>0</v>
      </c>
      <c r="M1128" s="49" t="s">
        <v>1777</v>
      </c>
      <c r="N1128" s="49" t="s">
        <v>11393</v>
      </c>
      <c r="O1128" s="49">
        <v>17</v>
      </c>
      <c r="P1128" s="49" t="s">
        <v>11394</v>
      </c>
      <c r="Q1128" s="49">
        <v>0</v>
      </c>
      <c r="R1128" s="49" t="s">
        <v>11395</v>
      </c>
      <c r="S1128" s="49" t="s">
        <v>11396</v>
      </c>
      <c r="T1128" s="49" t="s">
        <v>11397</v>
      </c>
      <c r="U1128" s="49" t="s">
        <v>670</v>
      </c>
      <c r="V1128" s="49" t="e">
        <v>#REF!</v>
      </c>
      <c r="AC1128" s="49"/>
      <c r="AD1128" s="49"/>
    </row>
    <row r="1129" spans="1:30" hidden="1" x14ac:dyDescent="0.3">
      <c r="A1129" s="49" t="s">
        <v>11398</v>
      </c>
      <c r="B1129" s="49">
        <v>0</v>
      </c>
      <c r="C1129" s="49"/>
      <c r="D1129" s="72" t="s">
        <v>717</v>
      </c>
      <c r="E1129" s="49" t="s">
        <v>3754</v>
      </c>
      <c r="F1129" s="49"/>
      <c r="G1129" s="49"/>
      <c r="H1129" s="49" t="s">
        <v>11399</v>
      </c>
      <c r="I1129" s="49" t="s">
        <v>11402</v>
      </c>
      <c r="J1129" s="49" t="s">
        <v>11400</v>
      </c>
      <c r="K1129" s="49" t="s">
        <v>11401</v>
      </c>
      <c r="L1129" s="49">
        <v>0</v>
      </c>
      <c r="M1129" s="49" t="s">
        <v>2484</v>
      </c>
      <c r="N1129" s="49" t="s">
        <v>11403</v>
      </c>
      <c r="P1129" s="49" t="s">
        <v>11404</v>
      </c>
      <c r="Q1129" s="49">
        <v>0</v>
      </c>
      <c r="R1129" s="49" t="s">
        <v>11405</v>
      </c>
      <c r="S1129" s="49" t="s">
        <v>11406</v>
      </c>
      <c r="T1129" s="49" t="s">
        <v>11407</v>
      </c>
      <c r="U1129" s="49" t="s">
        <v>670</v>
      </c>
      <c r="V1129" s="49" t="e">
        <v>#REF!</v>
      </c>
      <c r="AC1129" s="49"/>
      <c r="AD1129" s="49"/>
    </row>
    <row r="1130" spans="1:30" hidden="1" x14ac:dyDescent="0.3">
      <c r="A1130" s="49" t="s">
        <v>11408</v>
      </c>
      <c r="B1130" s="49">
        <v>0</v>
      </c>
      <c r="C1130" s="49"/>
      <c r="D1130" s="72" t="s">
        <v>717</v>
      </c>
      <c r="E1130" s="49" t="s">
        <v>3754</v>
      </c>
      <c r="F1130" s="49"/>
      <c r="G1130" s="49"/>
      <c r="H1130" s="49" t="s">
        <v>11409</v>
      </c>
      <c r="I1130" s="49" t="s">
        <v>11412</v>
      </c>
      <c r="J1130" s="49" t="s">
        <v>11410</v>
      </c>
      <c r="K1130" s="49" t="s">
        <v>11411</v>
      </c>
      <c r="L1130" s="49">
        <v>0</v>
      </c>
      <c r="M1130" s="49" t="s">
        <v>4084</v>
      </c>
      <c r="N1130" s="49" t="s">
        <v>1051</v>
      </c>
      <c r="O1130" s="49">
        <v>21</v>
      </c>
      <c r="P1130" s="49" t="s">
        <v>11413</v>
      </c>
      <c r="Q1130" s="49">
        <v>0</v>
      </c>
      <c r="R1130" s="49" t="s">
        <v>11414</v>
      </c>
      <c r="S1130" s="49" t="s">
        <v>11415</v>
      </c>
      <c r="T1130" s="49" t="s">
        <v>11416</v>
      </c>
      <c r="U1130" s="49" t="s">
        <v>655</v>
      </c>
      <c r="V1130" s="49" t="e">
        <v>#REF!</v>
      </c>
      <c r="AC1130" s="49"/>
      <c r="AD1130" s="49"/>
    </row>
    <row r="1131" spans="1:30" hidden="1" x14ac:dyDescent="0.3">
      <c r="A1131" s="49" t="s">
        <v>11417</v>
      </c>
      <c r="B1131" s="49">
        <v>0</v>
      </c>
      <c r="C1131" s="49"/>
      <c r="D1131" s="72" t="s">
        <v>717</v>
      </c>
      <c r="E1131" s="49" t="s">
        <v>3754</v>
      </c>
      <c r="F1131" s="49"/>
      <c r="G1131" s="49"/>
      <c r="H1131" s="49" t="s">
        <v>11418</v>
      </c>
      <c r="I1131" s="49" t="s">
        <v>11421</v>
      </c>
      <c r="J1131" s="49" t="s">
        <v>11419</v>
      </c>
      <c r="K1131" s="49" t="s">
        <v>11420</v>
      </c>
      <c r="L1131" s="49">
        <v>0</v>
      </c>
      <c r="M1131" s="49" t="s">
        <v>4114</v>
      </c>
      <c r="N1131" s="49" t="s">
        <v>818</v>
      </c>
      <c r="O1131" s="49">
        <v>3</v>
      </c>
      <c r="P1131" s="49" t="s">
        <v>11422</v>
      </c>
      <c r="Q1131" s="49">
        <v>0</v>
      </c>
      <c r="R1131" s="49" t="s">
        <v>11423</v>
      </c>
      <c r="S1131" s="49" t="s">
        <v>11424</v>
      </c>
      <c r="T1131" s="49" t="s">
        <v>646</v>
      </c>
      <c r="U1131" s="49" t="s">
        <v>670</v>
      </c>
      <c r="V1131" s="49" t="e">
        <v>#REF!</v>
      </c>
      <c r="AC1131" s="49"/>
      <c r="AD1131" s="49"/>
    </row>
    <row r="1132" spans="1:30" hidden="1" x14ac:dyDescent="0.3">
      <c r="A1132" s="49" t="s">
        <v>11425</v>
      </c>
      <c r="B1132" s="49">
        <v>0</v>
      </c>
      <c r="C1132" s="49"/>
      <c r="D1132" s="72" t="s">
        <v>717</v>
      </c>
      <c r="E1132" s="49" t="s">
        <v>3754</v>
      </c>
      <c r="F1132" s="49"/>
      <c r="G1132" s="49"/>
      <c r="H1132" s="49" t="s">
        <v>11426</v>
      </c>
      <c r="I1132" s="49" t="s">
        <v>11429</v>
      </c>
      <c r="J1132" s="49" t="s">
        <v>11427</v>
      </c>
      <c r="K1132" s="49" t="s">
        <v>11428</v>
      </c>
      <c r="L1132" s="49">
        <v>0</v>
      </c>
      <c r="M1132" s="49" t="s">
        <v>2220</v>
      </c>
      <c r="N1132" s="49" t="s">
        <v>11430</v>
      </c>
      <c r="O1132" s="49">
        <v>68</v>
      </c>
      <c r="P1132" s="49" t="s">
        <v>11431</v>
      </c>
      <c r="Q1132" s="49">
        <v>0</v>
      </c>
      <c r="R1132" s="49" t="s">
        <v>11432</v>
      </c>
      <c r="S1132" s="49" t="s">
        <v>11433</v>
      </c>
      <c r="T1132" s="49" t="s">
        <v>11434</v>
      </c>
      <c r="U1132" s="49" t="s">
        <v>655</v>
      </c>
      <c r="V1132" s="49" t="e">
        <v>#REF!</v>
      </c>
      <c r="AC1132" s="49"/>
      <c r="AD1132" s="49"/>
    </row>
    <row r="1133" spans="1:30" hidden="1" x14ac:dyDescent="0.3">
      <c r="A1133" s="49" t="s">
        <v>11435</v>
      </c>
      <c r="B1133" s="49">
        <v>0</v>
      </c>
      <c r="C1133" s="49"/>
      <c r="D1133" s="72" t="s">
        <v>717</v>
      </c>
      <c r="E1133" s="49" t="s">
        <v>3754</v>
      </c>
      <c r="F1133" s="49"/>
      <c r="G1133" s="49"/>
      <c r="H1133" s="49" t="s">
        <v>11436</v>
      </c>
      <c r="I1133" s="49" t="s">
        <v>11439</v>
      </c>
      <c r="J1133" s="49" t="s">
        <v>11437</v>
      </c>
      <c r="K1133" s="49" t="s">
        <v>11438</v>
      </c>
      <c r="L1133" s="49">
        <v>0</v>
      </c>
      <c r="M1133" s="49" t="s">
        <v>4084</v>
      </c>
      <c r="N1133" s="49" t="s">
        <v>11440</v>
      </c>
      <c r="O1133" s="49">
        <v>41</v>
      </c>
      <c r="P1133" s="49" t="s">
        <v>11441</v>
      </c>
      <c r="Q1133" s="49">
        <v>0</v>
      </c>
      <c r="R1133" s="49" t="s">
        <v>11442</v>
      </c>
      <c r="S1133" s="49" t="s">
        <v>11443</v>
      </c>
      <c r="T1133" s="49" t="s">
        <v>646</v>
      </c>
      <c r="U1133" s="49" t="s">
        <v>655</v>
      </c>
      <c r="V1133" s="49" t="e">
        <v>#REF!</v>
      </c>
      <c r="AC1133" s="49"/>
      <c r="AD1133" s="49"/>
    </row>
    <row r="1134" spans="1:30" hidden="1" x14ac:dyDescent="0.3">
      <c r="A1134" s="49" t="s">
        <v>11444</v>
      </c>
      <c r="B1134" s="49">
        <v>0</v>
      </c>
      <c r="C1134" s="49"/>
      <c r="D1134" s="72" t="s">
        <v>717</v>
      </c>
      <c r="E1134" s="49" t="s">
        <v>3754</v>
      </c>
      <c r="F1134" s="49"/>
      <c r="G1134" s="49"/>
      <c r="H1134" s="49" t="s">
        <v>11445</v>
      </c>
      <c r="I1134" s="49" t="s">
        <v>11448</v>
      </c>
      <c r="J1134" s="49" t="s">
        <v>11446</v>
      </c>
      <c r="K1134" s="49" t="s">
        <v>11447</v>
      </c>
      <c r="L1134" s="49">
        <v>0</v>
      </c>
      <c r="M1134" s="49" t="s">
        <v>1817</v>
      </c>
      <c r="N1134" s="49" t="s">
        <v>818</v>
      </c>
      <c r="P1134" s="49" t="s">
        <v>11449</v>
      </c>
      <c r="Q1134" s="49">
        <v>0</v>
      </c>
      <c r="R1134" s="49" t="s">
        <v>11450</v>
      </c>
      <c r="S1134" s="49" t="s">
        <v>11451</v>
      </c>
      <c r="T1134" s="49" t="s">
        <v>11452</v>
      </c>
      <c r="U1134" s="49" t="s">
        <v>670</v>
      </c>
      <c r="V1134" s="49" t="e">
        <v>#REF!</v>
      </c>
      <c r="AC1134" s="49"/>
      <c r="AD1134" s="49"/>
    </row>
    <row r="1135" spans="1:30" hidden="1" x14ac:dyDescent="0.3">
      <c r="A1135" s="49" t="s">
        <v>11453</v>
      </c>
      <c r="B1135" s="49">
        <v>0</v>
      </c>
      <c r="C1135" s="49"/>
      <c r="D1135" s="72" t="s">
        <v>717</v>
      </c>
      <c r="E1135" s="49" t="s">
        <v>3754</v>
      </c>
      <c r="F1135" s="49"/>
      <c r="G1135" s="49"/>
      <c r="H1135" s="49" t="s">
        <v>11454</v>
      </c>
      <c r="I1135" s="49" t="s">
        <v>11457</v>
      </c>
      <c r="J1135" s="49" t="s">
        <v>11455</v>
      </c>
      <c r="K1135" s="49" t="s">
        <v>11456</v>
      </c>
      <c r="L1135" s="49">
        <v>0</v>
      </c>
      <c r="M1135" s="49" t="s">
        <v>1826</v>
      </c>
      <c r="N1135" s="49" t="s">
        <v>11458</v>
      </c>
      <c r="P1135" s="49" t="s">
        <v>11459</v>
      </c>
      <c r="Q1135" s="49">
        <v>0</v>
      </c>
      <c r="R1135" s="49" t="s">
        <v>11460</v>
      </c>
      <c r="S1135" s="49" t="s">
        <v>11461</v>
      </c>
      <c r="T1135" s="49" t="s">
        <v>646</v>
      </c>
      <c r="U1135" s="49" t="s">
        <v>670</v>
      </c>
      <c r="V1135" s="49" t="e">
        <v>#REF!</v>
      </c>
      <c r="AC1135" s="49"/>
      <c r="AD1135" s="49"/>
    </row>
    <row r="1136" spans="1:30" hidden="1" x14ac:dyDescent="0.3">
      <c r="A1136" s="49" t="s">
        <v>11462</v>
      </c>
      <c r="B1136" s="49">
        <v>0</v>
      </c>
      <c r="C1136" s="49"/>
      <c r="D1136" s="72" t="s">
        <v>717</v>
      </c>
      <c r="E1136" s="49" t="s">
        <v>3754</v>
      </c>
      <c r="F1136" s="49"/>
      <c r="G1136" s="49"/>
      <c r="H1136" s="49" t="s">
        <v>11463</v>
      </c>
      <c r="I1136" s="49" t="s">
        <v>11466</v>
      </c>
      <c r="J1136" s="49" t="s">
        <v>11464</v>
      </c>
      <c r="K1136" s="49" t="s">
        <v>11465</v>
      </c>
      <c r="L1136" s="49">
        <v>0</v>
      </c>
      <c r="M1136" s="49" t="s">
        <v>4084</v>
      </c>
      <c r="N1136" s="49" t="s">
        <v>11467</v>
      </c>
      <c r="O1136" s="49">
        <v>71</v>
      </c>
      <c r="P1136" s="49" t="s">
        <v>11468</v>
      </c>
      <c r="Q1136" s="49">
        <v>0</v>
      </c>
      <c r="R1136" s="49" t="s">
        <v>11469</v>
      </c>
      <c r="S1136" s="49" t="s">
        <v>11470</v>
      </c>
      <c r="T1136" s="49" t="s">
        <v>11471</v>
      </c>
      <c r="U1136" s="49" t="s">
        <v>655</v>
      </c>
      <c r="V1136" s="49" t="e">
        <v>#REF!</v>
      </c>
      <c r="AC1136" s="49"/>
      <c r="AD1136" s="49"/>
    </row>
    <row r="1137" spans="1:30" hidden="1" x14ac:dyDescent="0.3">
      <c r="A1137" s="49" t="s">
        <v>11472</v>
      </c>
      <c r="B1137" s="49">
        <v>0</v>
      </c>
      <c r="C1137" s="49"/>
      <c r="D1137" s="72" t="s">
        <v>717</v>
      </c>
      <c r="E1137" s="49" t="s">
        <v>3754</v>
      </c>
      <c r="F1137" s="49"/>
      <c r="G1137" s="49"/>
      <c r="H1137" s="49" t="s">
        <v>11473</v>
      </c>
      <c r="I1137" s="49" t="s">
        <v>11476</v>
      </c>
      <c r="J1137" s="49" t="s">
        <v>11474</v>
      </c>
      <c r="K1137" s="49" t="s">
        <v>11475</v>
      </c>
      <c r="L1137" s="49">
        <v>0</v>
      </c>
      <c r="M1137" s="49" t="s">
        <v>2220</v>
      </c>
      <c r="N1137" s="49" t="s">
        <v>708</v>
      </c>
      <c r="O1137" s="49">
        <v>14</v>
      </c>
      <c r="P1137" s="49" t="s">
        <v>11477</v>
      </c>
      <c r="Q1137" s="49">
        <v>0</v>
      </c>
      <c r="R1137" s="49" t="s">
        <v>11478</v>
      </c>
      <c r="S1137" s="49" t="s">
        <v>11479</v>
      </c>
      <c r="T1137" s="49" t="s">
        <v>11480</v>
      </c>
      <c r="U1137" s="49" t="s">
        <v>655</v>
      </c>
      <c r="V1137" s="49" t="e">
        <v>#REF!</v>
      </c>
      <c r="AC1137" s="49"/>
      <c r="AD1137" s="49"/>
    </row>
    <row r="1138" spans="1:30" hidden="1" x14ac:dyDescent="0.3">
      <c r="A1138" s="49" t="s">
        <v>11481</v>
      </c>
      <c r="B1138" s="49">
        <v>0</v>
      </c>
      <c r="C1138" s="49"/>
      <c r="D1138" s="72" t="s">
        <v>717</v>
      </c>
      <c r="E1138" s="49" t="s">
        <v>3754</v>
      </c>
      <c r="F1138" s="49"/>
      <c r="G1138" s="49"/>
      <c r="H1138" s="49" t="s">
        <v>11482</v>
      </c>
      <c r="I1138" s="49" t="s">
        <v>11448</v>
      </c>
      <c r="J1138" s="49" t="s">
        <v>11446</v>
      </c>
      <c r="K1138" s="49" t="s">
        <v>11483</v>
      </c>
      <c r="L1138" s="49">
        <v>0</v>
      </c>
      <c r="M1138" s="49" t="s">
        <v>2456</v>
      </c>
      <c r="N1138" s="49" t="s">
        <v>11484</v>
      </c>
      <c r="O1138" s="49">
        <v>1</v>
      </c>
      <c r="P1138" s="49" t="s">
        <v>11485</v>
      </c>
      <c r="Q1138" s="49">
        <v>0</v>
      </c>
      <c r="R1138" s="49" t="s">
        <v>11486</v>
      </c>
      <c r="S1138" s="49" t="s">
        <v>11487</v>
      </c>
      <c r="T1138" s="49" t="s">
        <v>8774</v>
      </c>
      <c r="U1138" s="49" t="s">
        <v>670</v>
      </c>
      <c r="V1138" s="49" t="e">
        <v>#REF!</v>
      </c>
      <c r="AC1138" s="49"/>
      <c r="AD1138" s="49"/>
    </row>
    <row r="1139" spans="1:30" hidden="1" x14ac:dyDescent="0.3">
      <c r="A1139" s="49" t="s">
        <v>11488</v>
      </c>
      <c r="B1139" s="49">
        <v>0</v>
      </c>
      <c r="C1139" s="49"/>
      <c r="D1139" s="72" t="s">
        <v>717</v>
      </c>
      <c r="E1139" s="49" t="s">
        <v>3754</v>
      </c>
      <c r="F1139" s="49"/>
      <c r="G1139" s="49"/>
      <c r="H1139" s="49" t="s">
        <v>11489</v>
      </c>
      <c r="I1139" s="49" t="s">
        <v>11492</v>
      </c>
      <c r="J1139" s="49" t="s">
        <v>11490</v>
      </c>
      <c r="K1139" s="49" t="s">
        <v>11491</v>
      </c>
      <c r="L1139" s="49">
        <v>0</v>
      </c>
      <c r="M1139" s="49" t="s">
        <v>2484</v>
      </c>
      <c r="N1139" s="49" t="s">
        <v>11493</v>
      </c>
      <c r="O1139" s="49">
        <v>2</v>
      </c>
      <c r="P1139" s="49" t="s">
        <v>11494</v>
      </c>
      <c r="Q1139" s="49">
        <v>0</v>
      </c>
      <c r="R1139" s="49" t="s">
        <v>11495</v>
      </c>
      <c r="S1139" s="49" t="s">
        <v>11496</v>
      </c>
      <c r="T1139" s="49" t="s">
        <v>646</v>
      </c>
      <c r="U1139" s="49" t="s">
        <v>670</v>
      </c>
      <c r="V1139" s="49" t="e">
        <v>#REF!</v>
      </c>
      <c r="AC1139" s="49"/>
      <c r="AD1139" s="49"/>
    </row>
    <row r="1140" spans="1:30" hidden="1" x14ac:dyDescent="0.3">
      <c r="A1140" s="49" t="s">
        <v>11497</v>
      </c>
      <c r="B1140" s="49">
        <v>0</v>
      </c>
      <c r="C1140" s="49"/>
      <c r="D1140" s="72" t="s">
        <v>717</v>
      </c>
      <c r="E1140" s="49" t="s">
        <v>3754</v>
      </c>
      <c r="F1140" s="49"/>
      <c r="G1140" s="49"/>
      <c r="H1140" s="49" t="s">
        <v>11498</v>
      </c>
      <c r="I1140" s="49" t="s">
        <v>11501</v>
      </c>
      <c r="J1140" s="49" t="s">
        <v>11499</v>
      </c>
      <c r="K1140" s="49" t="s">
        <v>11500</v>
      </c>
      <c r="L1140" s="49">
        <v>0</v>
      </c>
      <c r="M1140" s="49" t="s">
        <v>2484</v>
      </c>
      <c r="N1140" s="49" t="s">
        <v>2239</v>
      </c>
      <c r="O1140" s="49">
        <v>5</v>
      </c>
      <c r="P1140" s="49" t="s">
        <v>11502</v>
      </c>
      <c r="Q1140" s="49">
        <v>0</v>
      </c>
      <c r="R1140" s="49" t="s">
        <v>11503</v>
      </c>
      <c r="S1140" s="49" t="s">
        <v>11504</v>
      </c>
      <c r="T1140" s="49" t="s">
        <v>646</v>
      </c>
      <c r="U1140" s="49" t="s">
        <v>670</v>
      </c>
      <c r="V1140" s="49" t="e">
        <v>#REF!</v>
      </c>
      <c r="AC1140" s="49"/>
      <c r="AD1140" s="49"/>
    </row>
    <row r="1141" spans="1:30" hidden="1" x14ac:dyDescent="0.3">
      <c r="A1141" s="49" t="s">
        <v>11505</v>
      </c>
      <c r="B1141" s="49">
        <v>0</v>
      </c>
      <c r="C1141" s="49"/>
      <c r="D1141" s="72" t="s">
        <v>717</v>
      </c>
      <c r="E1141" s="49" t="s">
        <v>3754</v>
      </c>
      <c r="F1141" s="49"/>
      <c r="G1141" s="49"/>
      <c r="H1141" s="49" t="s">
        <v>11506</v>
      </c>
      <c r="I1141" s="49" t="s">
        <v>11509</v>
      </c>
      <c r="J1141" s="49" t="s">
        <v>11507</v>
      </c>
      <c r="K1141" s="49" t="s">
        <v>11508</v>
      </c>
      <c r="L1141" s="49">
        <v>0</v>
      </c>
      <c r="M1141" s="49" t="s">
        <v>4064</v>
      </c>
      <c r="N1141" s="49" t="s">
        <v>11018</v>
      </c>
      <c r="O1141" s="49">
        <v>8</v>
      </c>
      <c r="P1141" s="49" t="s">
        <v>11510</v>
      </c>
      <c r="Q1141" s="49">
        <v>0</v>
      </c>
      <c r="R1141" s="49" t="s">
        <v>11511</v>
      </c>
      <c r="S1141" s="49" t="s">
        <v>11512</v>
      </c>
      <c r="T1141" s="49" t="s">
        <v>11513</v>
      </c>
      <c r="U1141" s="49" t="s">
        <v>670</v>
      </c>
      <c r="V1141" s="49" t="e">
        <v>#REF!</v>
      </c>
      <c r="AC1141" s="49"/>
      <c r="AD1141" s="49"/>
    </row>
    <row r="1142" spans="1:30" hidden="1" x14ac:dyDescent="0.3">
      <c r="A1142" s="49" t="s">
        <v>11514</v>
      </c>
      <c r="B1142" s="49">
        <v>0</v>
      </c>
      <c r="C1142" s="49"/>
      <c r="D1142" s="72" t="s">
        <v>717</v>
      </c>
      <c r="E1142" s="49" t="s">
        <v>3754</v>
      </c>
      <c r="F1142" s="49"/>
      <c r="G1142" s="49"/>
      <c r="H1142" s="49" t="s">
        <v>11515</v>
      </c>
      <c r="I1142" s="49" t="s">
        <v>11518</v>
      </c>
      <c r="J1142" s="49" t="s">
        <v>11516</v>
      </c>
      <c r="K1142" s="49" t="s">
        <v>11517</v>
      </c>
      <c r="L1142" s="49">
        <v>0</v>
      </c>
      <c r="M1142" s="49" t="s">
        <v>1745</v>
      </c>
      <c r="N1142" s="49" t="s">
        <v>11519</v>
      </c>
      <c r="O1142" s="49">
        <v>3</v>
      </c>
      <c r="P1142" s="49" t="s">
        <v>11520</v>
      </c>
      <c r="Q1142" s="49">
        <v>0</v>
      </c>
      <c r="R1142" s="49" t="s">
        <v>11521</v>
      </c>
      <c r="S1142" s="49" t="s">
        <v>11522</v>
      </c>
      <c r="T1142" s="49" t="s">
        <v>11523</v>
      </c>
      <c r="U1142" s="49" t="s">
        <v>655</v>
      </c>
      <c r="V1142" s="49" t="e">
        <v>#REF!</v>
      </c>
      <c r="AC1142" s="49"/>
      <c r="AD1142" s="49"/>
    </row>
    <row r="1143" spans="1:30" hidden="1" x14ac:dyDescent="0.3">
      <c r="A1143" s="49" t="s">
        <v>11524</v>
      </c>
      <c r="B1143" s="49">
        <v>0</v>
      </c>
      <c r="C1143" s="49"/>
      <c r="D1143" s="72" t="s">
        <v>717</v>
      </c>
      <c r="E1143" s="49" t="s">
        <v>3754</v>
      </c>
      <c r="F1143" s="49"/>
      <c r="G1143" s="49"/>
      <c r="H1143" s="49" t="s">
        <v>11525</v>
      </c>
      <c r="I1143" s="49" t="s">
        <v>11528</v>
      </c>
      <c r="J1143" s="49" t="s">
        <v>11526</v>
      </c>
      <c r="K1143" s="49" t="s">
        <v>11527</v>
      </c>
      <c r="L1143" s="49">
        <v>0</v>
      </c>
      <c r="M1143" s="49" t="s">
        <v>1865</v>
      </c>
      <c r="N1143" s="49" t="s">
        <v>11529</v>
      </c>
      <c r="O1143" s="49">
        <v>45</v>
      </c>
      <c r="P1143" s="49" t="s">
        <v>11530</v>
      </c>
      <c r="Q1143" s="49">
        <v>0</v>
      </c>
      <c r="R1143" s="49" t="s">
        <v>11531</v>
      </c>
      <c r="S1143" s="49" t="s">
        <v>11532</v>
      </c>
      <c r="T1143" s="49" t="s">
        <v>11533</v>
      </c>
      <c r="U1143" s="49" t="s">
        <v>655</v>
      </c>
      <c r="V1143" s="49" t="e">
        <v>#REF!</v>
      </c>
      <c r="AC1143" s="49"/>
      <c r="AD1143" s="49"/>
    </row>
    <row r="1144" spans="1:30" hidden="1" x14ac:dyDescent="0.3">
      <c r="A1144" s="49" t="s">
        <v>988</v>
      </c>
      <c r="B1144" s="49">
        <v>0</v>
      </c>
      <c r="C1144" s="49"/>
      <c r="D1144" s="72" t="s">
        <v>717</v>
      </c>
      <c r="E1144" s="49" t="s">
        <v>3754</v>
      </c>
      <c r="F1144" s="49"/>
      <c r="G1144" s="49"/>
      <c r="H1144" s="49" t="s">
        <v>990</v>
      </c>
      <c r="I1144" s="49" t="s">
        <v>991</v>
      </c>
      <c r="J1144" s="49" t="s">
        <v>992</v>
      </c>
      <c r="K1144" s="49" t="s">
        <v>993</v>
      </c>
      <c r="L1144" s="49">
        <v>0</v>
      </c>
      <c r="M1144" s="49" t="s">
        <v>2142</v>
      </c>
      <c r="N1144" s="49" t="s">
        <v>994</v>
      </c>
      <c r="O1144" s="49">
        <v>1</v>
      </c>
      <c r="P1144" s="49" t="s">
        <v>995</v>
      </c>
      <c r="Q1144" s="49">
        <v>0</v>
      </c>
      <c r="R1144" s="49" t="s">
        <v>996</v>
      </c>
      <c r="S1144" s="49" t="s">
        <v>997</v>
      </c>
      <c r="T1144" s="49" t="s">
        <v>11534</v>
      </c>
      <c r="U1144" s="49" t="s">
        <v>655</v>
      </c>
      <c r="V1144" s="49" t="e">
        <v>#REF!</v>
      </c>
      <c r="AC1144" s="49"/>
      <c r="AD1144" s="49"/>
    </row>
    <row r="1145" spans="1:30" hidden="1" x14ac:dyDescent="0.3">
      <c r="A1145" s="49" t="s">
        <v>11535</v>
      </c>
      <c r="B1145" s="49">
        <v>0</v>
      </c>
      <c r="C1145" s="49"/>
      <c r="D1145" s="72" t="s">
        <v>717</v>
      </c>
      <c r="E1145" s="49" t="s">
        <v>3754</v>
      </c>
      <c r="F1145" s="49"/>
      <c r="G1145" s="49"/>
      <c r="H1145" s="49" t="s">
        <v>11536</v>
      </c>
      <c r="I1145" s="49" t="s">
        <v>11539</v>
      </c>
      <c r="J1145" s="49" t="s">
        <v>11537</v>
      </c>
      <c r="K1145" s="49" t="s">
        <v>11538</v>
      </c>
      <c r="L1145" s="49">
        <v>0</v>
      </c>
      <c r="M1145" s="49" t="s">
        <v>1826</v>
      </c>
      <c r="N1145" s="49" t="s">
        <v>9363</v>
      </c>
      <c r="O1145" s="49">
        <v>19</v>
      </c>
      <c r="P1145" s="49" t="s">
        <v>11540</v>
      </c>
      <c r="Q1145" s="49">
        <v>0</v>
      </c>
      <c r="R1145" s="49" t="s">
        <v>11541</v>
      </c>
      <c r="S1145" s="49" t="s">
        <v>11542</v>
      </c>
      <c r="T1145" s="49" t="s">
        <v>11543</v>
      </c>
      <c r="U1145" s="49" t="s">
        <v>655</v>
      </c>
      <c r="V1145" s="49" t="e">
        <v>#REF!</v>
      </c>
      <c r="AC1145" s="49"/>
      <c r="AD1145" s="49"/>
    </row>
    <row r="1146" spans="1:30" hidden="1" x14ac:dyDescent="0.3">
      <c r="A1146" s="49" t="s">
        <v>11544</v>
      </c>
      <c r="B1146" s="49">
        <v>0</v>
      </c>
      <c r="C1146" s="49"/>
      <c r="D1146" s="72" t="s">
        <v>717</v>
      </c>
      <c r="E1146" s="49" t="s">
        <v>3754</v>
      </c>
      <c r="F1146" s="49"/>
      <c r="G1146" s="49"/>
      <c r="H1146" s="49" t="s">
        <v>11545</v>
      </c>
      <c r="I1146" s="49" t="s">
        <v>11548</v>
      </c>
      <c r="J1146" s="49" t="s">
        <v>11546</v>
      </c>
      <c r="K1146" s="49" t="s">
        <v>11547</v>
      </c>
      <c r="L1146" s="49">
        <v>0</v>
      </c>
      <c r="M1146" s="49" t="s">
        <v>1764</v>
      </c>
      <c r="N1146" s="49" t="s">
        <v>11549</v>
      </c>
      <c r="O1146" s="49">
        <v>14</v>
      </c>
      <c r="P1146" s="49" t="s">
        <v>11550</v>
      </c>
      <c r="Q1146" s="49">
        <v>0</v>
      </c>
      <c r="R1146" s="49" t="s">
        <v>11551</v>
      </c>
      <c r="S1146" s="49" t="s">
        <v>11552</v>
      </c>
      <c r="T1146" s="49" t="s">
        <v>11553</v>
      </c>
      <c r="U1146" s="49" t="s">
        <v>655</v>
      </c>
      <c r="V1146" s="49" t="e">
        <v>#REF!</v>
      </c>
      <c r="AC1146" s="49"/>
      <c r="AD1146" s="49"/>
    </row>
    <row r="1147" spans="1:30" hidden="1" x14ac:dyDescent="0.3">
      <c r="A1147" s="49" t="s">
        <v>11554</v>
      </c>
      <c r="B1147" s="49">
        <v>0</v>
      </c>
      <c r="C1147" s="49"/>
      <c r="D1147" s="72" t="s">
        <v>717</v>
      </c>
      <c r="E1147" s="49" t="s">
        <v>3754</v>
      </c>
      <c r="F1147" s="49"/>
      <c r="G1147" s="49"/>
      <c r="H1147" s="49" t="s">
        <v>11555</v>
      </c>
      <c r="I1147" s="49" t="s">
        <v>11558</v>
      </c>
      <c r="J1147" s="49" t="s">
        <v>11556</v>
      </c>
      <c r="K1147" s="49" t="s">
        <v>11557</v>
      </c>
      <c r="L1147" s="49">
        <v>0</v>
      </c>
      <c r="M1147" s="49" t="s">
        <v>2142</v>
      </c>
      <c r="N1147" s="49" t="s">
        <v>11559</v>
      </c>
      <c r="O1147" s="49">
        <v>6</v>
      </c>
      <c r="P1147" s="49" t="s">
        <v>11560</v>
      </c>
      <c r="Q1147" s="49">
        <v>0</v>
      </c>
      <c r="R1147" s="49" t="s">
        <v>11561</v>
      </c>
      <c r="S1147" s="49" t="s">
        <v>11562</v>
      </c>
      <c r="T1147" s="49" t="s">
        <v>646</v>
      </c>
      <c r="U1147" s="49" t="s">
        <v>655</v>
      </c>
      <c r="V1147" s="49" t="e">
        <v>#REF!</v>
      </c>
      <c r="AC1147" s="49"/>
      <c r="AD1147" s="49"/>
    </row>
    <row r="1148" spans="1:30" hidden="1" x14ac:dyDescent="0.3">
      <c r="A1148" s="49" t="s">
        <v>11563</v>
      </c>
      <c r="B1148" s="49">
        <v>0</v>
      </c>
      <c r="C1148" s="49"/>
      <c r="D1148" s="72" t="s">
        <v>717</v>
      </c>
      <c r="E1148" s="49" t="s">
        <v>3754</v>
      </c>
      <c r="F1148" s="49"/>
      <c r="G1148" s="49"/>
      <c r="H1148" s="49" t="s">
        <v>11564</v>
      </c>
      <c r="I1148" s="49" t="s">
        <v>11567</v>
      </c>
      <c r="J1148" s="49" t="s">
        <v>11565</v>
      </c>
      <c r="K1148" s="49" t="s">
        <v>11566</v>
      </c>
      <c r="L1148" s="49">
        <v>0</v>
      </c>
      <c r="M1148" s="49" t="s">
        <v>1777</v>
      </c>
      <c r="N1148" s="49" t="s">
        <v>3949</v>
      </c>
      <c r="O1148" s="49">
        <v>13</v>
      </c>
      <c r="P1148" s="49" t="s">
        <v>11568</v>
      </c>
      <c r="Q1148" s="49">
        <v>0</v>
      </c>
      <c r="R1148" s="49" t="s">
        <v>11569</v>
      </c>
      <c r="S1148" s="49" t="s">
        <v>11570</v>
      </c>
      <c r="T1148" s="49" t="s">
        <v>11571</v>
      </c>
      <c r="U1148" s="49" t="s">
        <v>655</v>
      </c>
      <c r="V1148" s="49" t="e">
        <v>#REF!</v>
      </c>
      <c r="AC1148" s="49"/>
      <c r="AD1148" s="49"/>
    </row>
    <row r="1149" spans="1:30" hidden="1" x14ac:dyDescent="0.3">
      <c r="A1149" s="49" t="s">
        <v>11572</v>
      </c>
      <c r="B1149" s="49">
        <v>0</v>
      </c>
      <c r="C1149" s="49"/>
      <c r="D1149" s="72" t="s">
        <v>717</v>
      </c>
      <c r="E1149" s="49" t="s">
        <v>3754</v>
      </c>
      <c r="F1149" s="49"/>
      <c r="G1149" s="49"/>
      <c r="H1149" s="49" t="s">
        <v>11573</v>
      </c>
      <c r="I1149" s="49" t="s">
        <v>11576</v>
      </c>
      <c r="J1149" s="49" t="s">
        <v>11574</v>
      </c>
      <c r="K1149" s="49" t="s">
        <v>11575</v>
      </c>
      <c r="L1149" s="49">
        <v>0</v>
      </c>
      <c r="M1149" s="49" t="s">
        <v>4114</v>
      </c>
      <c r="N1149" s="49" t="s">
        <v>4521</v>
      </c>
      <c r="O1149" s="49">
        <v>8</v>
      </c>
      <c r="P1149" s="49" t="s">
        <v>11577</v>
      </c>
      <c r="Q1149" s="49">
        <v>0</v>
      </c>
      <c r="R1149" s="49" t="s">
        <v>11578</v>
      </c>
      <c r="S1149" s="49" t="s">
        <v>11579</v>
      </c>
      <c r="T1149" s="49" t="s">
        <v>646</v>
      </c>
      <c r="U1149" s="49" t="s">
        <v>670</v>
      </c>
      <c r="V1149" s="49" t="e">
        <v>#REF!</v>
      </c>
      <c r="AC1149" s="49"/>
      <c r="AD1149" s="49"/>
    </row>
    <row r="1150" spans="1:30" hidden="1" x14ac:dyDescent="0.3">
      <c r="A1150" s="49" t="s">
        <v>11580</v>
      </c>
      <c r="B1150" s="49">
        <v>0</v>
      </c>
      <c r="C1150" s="49"/>
      <c r="D1150" s="72" t="s">
        <v>717</v>
      </c>
      <c r="E1150" s="49" t="s">
        <v>3754</v>
      </c>
      <c r="F1150" s="49"/>
      <c r="G1150" s="49"/>
      <c r="H1150" s="49" t="s">
        <v>11581</v>
      </c>
      <c r="I1150" s="49" t="s">
        <v>11584</v>
      </c>
      <c r="J1150" s="49" t="s">
        <v>11582</v>
      </c>
      <c r="K1150" s="49" t="s">
        <v>11583</v>
      </c>
      <c r="L1150" s="49">
        <v>0</v>
      </c>
      <c r="M1150" s="49" t="s">
        <v>1865</v>
      </c>
      <c r="N1150" s="49" t="s">
        <v>11585</v>
      </c>
      <c r="O1150" s="49">
        <v>12</v>
      </c>
      <c r="P1150" s="49" t="s">
        <v>11586</v>
      </c>
      <c r="Q1150" s="49">
        <v>0</v>
      </c>
      <c r="R1150" s="49" t="s">
        <v>11587</v>
      </c>
      <c r="S1150" s="49" t="s">
        <v>11588</v>
      </c>
      <c r="T1150" s="49" t="s">
        <v>11589</v>
      </c>
      <c r="U1150" s="49" t="s">
        <v>655</v>
      </c>
      <c r="V1150" s="49" t="e">
        <v>#REF!</v>
      </c>
      <c r="AC1150" s="49"/>
      <c r="AD1150" s="49"/>
    </row>
    <row r="1151" spans="1:30" hidden="1" x14ac:dyDescent="0.3">
      <c r="A1151" s="49" t="s">
        <v>11590</v>
      </c>
      <c r="B1151" s="49">
        <v>0</v>
      </c>
      <c r="C1151" s="49"/>
      <c r="D1151" s="72" t="s">
        <v>717</v>
      </c>
      <c r="E1151" s="49" t="s">
        <v>3754</v>
      </c>
      <c r="F1151" s="49"/>
      <c r="G1151" s="49"/>
      <c r="H1151" s="49" t="s">
        <v>11591</v>
      </c>
      <c r="I1151" s="49" t="s">
        <v>11594</v>
      </c>
      <c r="J1151" s="49" t="s">
        <v>11592</v>
      </c>
      <c r="K1151" s="49" t="s">
        <v>11593</v>
      </c>
      <c r="L1151" s="49">
        <v>0</v>
      </c>
      <c r="M1151" s="49" t="s">
        <v>1764</v>
      </c>
      <c r="N1151" s="49" t="s">
        <v>11595</v>
      </c>
      <c r="O1151" s="49">
        <v>85</v>
      </c>
      <c r="P1151" s="49" t="s">
        <v>11596</v>
      </c>
      <c r="Q1151" s="49">
        <v>0</v>
      </c>
      <c r="R1151" s="49" t="s">
        <v>11597</v>
      </c>
      <c r="S1151" s="49" t="s">
        <v>11598</v>
      </c>
      <c r="T1151" s="49" t="s">
        <v>11599</v>
      </c>
      <c r="U1151" s="49" t="s">
        <v>670</v>
      </c>
      <c r="V1151" s="49" t="e">
        <v>#REF!</v>
      </c>
      <c r="AC1151" s="49"/>
      <c r="AD1151" s="49"/>
    </row>
    <row r="1152" spans="1:30" hidden="1" x14ac:dyDescent="0.3">
      <c r="A1152" s="49" t="s">
        <v>11600</v>
      </c>
      <c r="B1152" s="49">
        <v>0</v>
      </c>
      <c r="C1152" s="49"/>
      <c r="D1152" s="72" t="s">
        <v>717</v>
      </c>
      <c r="E1152" s="49" t="s">
        <v>3754</v>
      </c>
      <c r="F1152" s="49"/>
      <c r="G1152" s="49"/>
      <c r="H1152" s="49" t="s">
        <v>11601</v>
      </c>
      <c r="I1152" s="49" t="s">
        <v>11604</v>
      </c>
      <c r="J1152" s="49" t="s">
        <v>11602</v>
      </c>
      <c r="K1152" s="49" t="s">
        <v>11603</v>
      </c>
      <c r="L1152" s="49">
        <v>0</v>
      </c>
      <c r="M1152" s="49" t="s">
        <v>1865</v>
      </c>
      <c r="N1152" s="49" t="s">
        <v>11605</v>
      </c>
      <c r="O1152" s="49">
        <v>1</v>
      </c>
      <c r="P1152" s="49" t="s">
        <v>11606</v>
      </c>
      <c r="Q1152" s="49">
        <v>0</v>
      </c>
      <c r="R1152" s="49" t="s">
        <v>11607</v>
      </c>
      <c r="S1152" s="49" t="s">
        <v>11608</v>
      </c>
      <c r="T1152" s="49" t="s">
        <v>11609</v>
      </c>
      <c r="U1152" s="49" t="s">
        <v>655</v>
      </c>
      <c r="V1152" s="49" t="e">
        <v>#REF!</v>
      </c>
      <c r="AC1152" s="49"/>
      <c r="AD1152" s="49"/>
    </row>
    <row r="1153" spans="1:30" hidden="1" x14ac:dyDescent="0.3">
      <c r="A1153" s="49" t="s">
        <v>11610</v>
      </c>
      <c r="B1153" s="49">
        <v>0</v>
      </c>
      <c r="C1153" s="49"/>
      <c r="D1153" s="72" t="s">
        <v>717</v>
      </c>
      <c r="E1153" s="49" t="s">
        <v>3754</v>
      </c>
      <c r="F1153" s="49"/>
      <c r="G1153" s="49"/>
      <c r="H1153" s="49" t="s">
        <v>11611</v>
      </c>
      <c r="I1153" s="49" t="s">
        <v>11614</v>
      </c>
      <c r="J1153" s="49" t="s">
        <v>11612</v>
      </c>
      <c r="K1153" s="49" t="s">
        <v>11613</v>
      </c>
      <c r="L1153" s="49">
        <v>0</v>
      </c>
      <c r="M1153" s="49" t="s">
        <v>2484</v>
      </c>
      <c r="N1153" s="49" t="s">
        <v>11615</v>
      </c>
      <c r="O1153" s="49">
        <v>5</v>
      </c>
      <c r="P1153" s="49" t="s">
        <v>11616</v>
      </c>
      <c r="Q1153" s="49">
        <v>0</v>
      </c>
      <c r="R1153" s="49" t="s">
        <v>11617</v>
      </c>
      <c r="S1153" s="49" t="s">
        <v>11618</v>
      </c>
      <c r="T1153" s="49" t="s">
        <v>11619</v>
      </c>
      <c r="U1153" s="49" t="s">
        <v>655</v>
      </c>
      <c r="V1153" s="49" t="e">
        <v>#REF!</v>
      </c>
      <c r="AC1153" s="49"/>
      <c r="AD1153" s="49"/>
    </row>
    <row r="1154" spans="1:30" hidden="1" x14ac:dyDescent="0.3">
      <c r="A1154" s="49" t="s">
        <v>11620</v>
      </c>
      <c r="B1154" s="49">
        <v>0</v>
      </c>
      <c r="C1154" s="49"/>
      <c r="D1154" s="72" t="s">
        <v>717</v>
      </c>
      <c r="E1154" s="49" t="s">
        <v>3754</v>
      </c>
      <c r="F1154" s="49"/>
      <c r="G1154" s="49"/>
      <c r="H1154" s="49" t="s">
        <v>11621</v>
      </c>
      <c r="I1154" s="49" t="s">
        <v>11624</v>
      </c>
      <c r="J1154" s="49" t="s">
        <v>11622</v>
      </c>
      <c r="K1154" s="49" t="s">
        <v>11623</v>
      </c>
      <c r="L1154" s="49">
        <v>0</v>
      </c>
      <c r="M1154" s="49" t="s">
        <v>2484</v>
      </c>
      <c r="N1154" s="49" t="s">
        <v>818</v>
      </c>
      <c r="O1154" s="49">
        <v>1</v>
      </c>
      <c r="P1154" s="49" t="s">
        <v>11625</v>
      </c>
      <c r="Q1154" s="49">
        <v>0</v>
      </c>
      <c r="R1154" s="49" t="s">
        <v>11626</v>
      </c>
      <c r="S1154" s="49" t="s">
        <v>11627</v>
      </c>
      <c r="T1154" s="49" t="s">
        <v>11628</v>
      </c>
      <c r="U1154" s="49" t="s">
        <v>670</v>
      </c>
      <c r="V1154" s="49" t="e">
        <v>#REF!</v>
      </c>
      <c r="AC1154" s="49"/>
      <c r="AD1154" s="49"/>
    </row>
    <row r="1155" spans="1:30" hidden="1" x14ac:dyDescent="0.3">
      <c r="A1155" s="49" t="s">
        <v>11629</v>
      </c>
      <c r="B1155" s="49">
        <v>0</v>
      </c>
      <c r="C1155" s="49"/>
      <c r="D1155" s="72" t="s">
        <v>717</v>
      </c>
      <c r="E1155" s="49" t="s">
        <v>3754</v>
      </c>
      <c r="F1155" s="49"/>
      <c r="G1155" s="49"/>
      <c r="H1155" s="49" t="s">
        <v>11630</v>
      </c>
      <c r="I1155" s="49" t="s">
        <v>11633</v>
      </c>
      <c r="J1155" s="49" t="s">
        <v>11631</v>
      </c>
      <c r="K1155" s="49" t="s">
        <v>11632</v>
      </c>
      <c r="L1155" s="49">
        <v>0</v>
      </c>
      <c r="M1155" s="49" t="s">
        <v>1826</v>
      </c>
      <c r="N1155" s="49" t="s">
        <v>11634</v>
      </c>
      <c r="O1155" s="49">
        <v>12</v>
      </c>
      <c r="P1155" s="49" t="s">
        <v>11635</v>
      </c>
      <c r="Q1155" s="49">
        <v>0</v>
      </c>
      <c r="R1155" s="49" t="s">
        <v>11636</v>
      </c>
      <c r="S1155" s="49" t="s">
        <v>11637</v>
      </c>
      <c r="T1155" s="49" t="s">
        <v>11638</v>
      </c>
      <c r="U1155" s="49" t="s">
        <v>655</v>
      </c>
      <c r="V1155" s="49" t="e">
        <v>#REF!</v>
      </c>
      <c r="AC1155" s="49"/>
      <c r="AD1155" s="49"/>
    </row>
    <row r="1156" spans="1:30" hidden="1" x14ac:dyDescent="0.3">
      <c r="A1156" s="49" t="s">
        <v>11639</v>
      </c>
      <c r="B1156" s="49">
        <v>0</v>
      </c>
      <c r="C1156" s="49"/>
      <c r="D1156" s="72" t="s">
        <v>717</v>
      </c>
      <c r="E1156" s="49" t="s">
        <v>3754</v>
      </c>
      <c r="F1156" s="49"/>
      <c r="G1156" s="49"/>
      <c r="H1156" s="49" t="s">
        <v>11640</v>
      </c>
      <c r="I1156" s="49" t="s">
        <v>11643</v>
      </c>
      <c r="J1156" s="49" t="s">
        <v>11641</v>
      </c>
      <c r="K1156" s="49" t="s">
        <v>11642</v>
      </c>
      <c r="L1156" s="49">
        <v>0</v>
      </c>
      <c r="M1156" s="49" t="s">
        <v>2484</v>
      </c>
      <c r="N1156" s="49" t="s">
        <v>11644</v>
      </c>
      <c r="O1156" s="49">
        <v>15</v>
      </c>
      <c r="P1156" s="49" t="s">
        <v>11645</v>
      </c>
      <c r="Q1156" s="49">
        <v>0</v>
      </c>
      <c r="R1156" s="49" t="s">
        <v>11646</v>
      </c>
      <c r="S1156" s="49" t="s">
        <v>11647</v>
      </c>
      <c r="T1156" s="49" t="s">
        <v>646</v>
      </c>
      <c r="U1156" s="49" t="s">
        <v>670</v>
      </c>
      <c r="V1156" s="49" t="e">
        <v>#REF!</v>
      </c>
      <c r="AC1156" s="49"/>
      <c r="AD1156" s="49"/>
    </row>
    <row r="1157" spans="1:30" hidden="1" x14ac:dyDescent="0.3">
      <c r="A1157" s="49" t="s">
        <v>11648</v>
      </c>
      <c r="B1157" s="49">
        <v>0</v>
      </c>
      <c r="C1157" s="49"/>
      <c r="D1157" s="72" t="s">
        <v>717</v>
      </c>
      <c r="E1157" s="49" t="s">
        <v>3754</v>
      </c>
      <c r="F1157" s="49"/>
      <c r="G1157" s="49"/>
      <c r="H1157" s="49" t="s">
        <v>646</v>
      </c>
      <c r="I1157" s="49" t="s">
        <v>11651</v>
      </c>
      <c r="J1157" s="49" t="s">
        <v>11649</v>
      </c>
      <c r="K1157" s="49" t="s">
        <v>11650</v>
      </c>
      <c r="L1157" s="49">
        <v>0</v>
      </c>
      <c r="M1157" s="49" t="s">
        <v>2484</v>
      </c>
      <c r="N1157" s="49" t="s">
        <v>4241</v>
      </c>
      <c r="O1157" s="49">
        <v>70</v>
      </c>
      <c r="P1157" s="49" t="s">
        <v>11652</v>
      </c>
      <c r="Q1157" s="49">
        <v>0</v>
      </c>
      <c r="R1157" s="49" t="s">
        <v>11653</v>
      </c>
      <c r="S1157" s="49" t="s">
        <v>11654</v>
      </c>
      <c r="T1157" s="49" t="s">
        <v>646</v>
      </c>
      <c r="U1157" s="49" t="s">
        <v>670</v>
      </c>
      <c r="V1157" s="49" t="e">
        <v>#REF!</v>
      </c>
      <c r="AC1157" s="49"/>
      <c r="AD1157" s="49"/>
    </row>
    <row r="1158" spans="1:30" hidden="1" x14ac:dyDescent="0.3">
      <c r="A1158" s="49" t="s">
        <v>11655</v>
      </c>
      <c r="B1158" s="49">
        <v>0</v>
      </c>
      <c r="C1158" s="49"/>
      <c r="D1158" s="72" t="s">
        <v>717</v>
      </c>
      <c r="E1158" s="49" t="s">
        <v>3754</v>
      </c>
      <c r="F1158" s="49"/>
      <c r="G1158" s="49"/>
      <c r="H1158" s="49" t="s">
        <v>11656</v>
      </c>
      <c r="I1158" s="49" t="s">
        <v>11659</v>
      </c>
      <c r="J1158" s="49" t="s">
        <v>11657</v>
      </c>
      <c r="K1158" s="49" t="s">
        <v>11658</v>
      </c>
      <c r="L1158" s="49">
        <v>0</v>
      </c>
      <c r="M1158" s="49" t="s">
        <v>1826</v>
      </c>
      <c r="N1158" s="49" t="s">
        <v>11660</v>
      </c>
      <c r="O1158" s="49">
        <v>2</v>
      </c>
      <c r="P1158" s="49" t="s">
        <v>11661</v>
      </c>
      <c r="Q1158" s="49">
        <v>0</v>
      </c>
      <c r="R1158" s="49" t="s">
        <v>11662</v>
      </c>
      <c r="S1158" s="49" t="s">
        <v>11663</v>
      </c>
      <c r="T1158" s="49" t="s">
        <v>11664</v>
      </c>
      <c r="U1158" s="49" t="s">
        <v>655</v>
      </c>
      <c r="V1158" s="49" t="e">
        <v>#REF!</v>
      </c>
      <c r="AC1158" s="49"/>
      <c r="AD1158" s="49"/>
    </row>
    <row r="1159" spans="1:30" hidden="1" x14ac:dyDescent="0.3">
      <c r="A1159" s="49" t="s">
        <v>11665</v>
      </c>
      <c r="B1159" s="49">
        <v>0</v>
      </c>
      <c r="C1159" s="49"/>
      <c r="D1159" s="72" t="s">
        <v>717</v>
      </c>
      <c r="E1159" s="49" t="s">
        <v>3754</v>
      </c>
      <c r="F1159" s="49"/>
      <c r="G1159" s="49"/>
      <c r="H1159" s="49" t="s">
        <v>11666</v>
      </c>
      <c r="I1159" s="49" t="s">
        <v>11669</v>
      </c>
      <c r="J1159" s="49" t="s">
        <v>11667</v>
      </c>
      <c r="K1159" s="49" t="s">
        <v>11668</v>
      </c>
      <c r="L1159" s="49">
        <v>0</v>
      </c>
      <c r="M1159" s="49" t="s">
        <v>1764</v>
      </c>
      <c r="N1159" s="49" t="s">
        <v>3690</v>
      </c>
      <c r="O1159" s="49">
        <v>122</v>
      </c>
      <c r="P1159" s="49" t="s">
        <v>11670</v>
      </c>
      <c r="Q1159" s="49">
        <v>0</v>
      </c>
      <c r="R1159" s="49" t="s">
        <v>11671</v>
      </c>
      <c r="S1159" s="49" t="s">
        <v>11672</v>
      </c>
      <c r="T1159" s="49" t="s">
        <v>646</v>
      </c>
      <c r="U1159" s="49" t="s">
        <v>670</v>
      </c>
      <c r="V1159" s="49" t="e">
        <v>#REF!</v>
      </c>
      <c r="AC1159" s="49"/>
      <c r="AD1159" s="49"/>
    </row>
    <row r="1160" spans="1:30" hidden="1" x14ac:dyDescent="0.3">
      <c r="A1160" s="49" t="s">
        <v>11673</v>
      </c>
      <c r="B1160" s="49">
        <v>0</v>
      </c>
      <c r="C1160" s="49"/>
      <c r="D1160" s="72" t="s">
        <v>717</v>
      </c>
      <c r="E1160" s="49" t="s">
        <v>3754</v>
      </c>
      <c r="F1160" s="49"/>
      <c r="G1160" s="49"/>
      <c r="H1160" s="49" t="s">
        <v>11674</v>
      </c>
      <c r="I1160" s="49" t="s">
        <v>11677</v>
      </c>
      <c r="J1160" s="49" t="s">
        <v>11675</v>
      </c>
      <c r="K1160" s="49" t="s">
        <v>11676</v>
      </c>
      <c r="L1160" s="49">
        <v>0</v>
      </c>
      <c r="M1160" s="49" t="s">
        <v>1764</v>
      </c>
      <c r="N1160" s="49" t="s">
        <v>11678</v>
      </c>
      <c r="O1160" s="49">
        <v>11</v>
      </c>
      <c r="P1160" s="49" t="s">
        <v>11679</v>
      </c>
      <c r="Q1160" s="49">
        <v>0</v>
      </c>
      <c r="R1160" s="49" t="s">
        <v>11680</v>
      </c>
      <c r="S1160" s="49" t="s">
        <v>11681</v>
      </c>
      <c r="T1160" s="49" t="s">
        <v>646</v>
      </c>
      <c r="U1160" s="49" t="s">
        <v>670</v>
      </c>
      <c r="V1160" s="49" t="e">
        <v>#REF!</v>
      </c>
      <c r="AC1160" s="49"/>
      <c r="AD1160" s="49"/>
    </row>
    <row r="1161" spans="1:30" hidden="1" x14ac:dyDescent="0.3">
      <c r="A1161" s="49" t="s">
        <v>11682</v>
      </c>
      <c r="B1161" s="49">
        <v>0</v>
      </c>
      <c r="C1161" s="49"/>
      <c r="D1161" s="72" t="s">
        <v>717</v>
      </c>
      <c r="E1161" s="49" t="s">
        <v>3754</v>
      </c>
      <c r="F1161" s="49"/>
      <c r="G1161" s="49"/>
      <c r="H1161" s="49" t="s">
        <v>11683</v>
      </c>
      <c r="I1161" s="49" t="s">
        <v>11686</v>
      </c>
      <c r="J1161" s="49" t="s">
        <v>11684</v>
      </c>
      <c r="K1161" s="49" t="s">
        <v>11685</v>
      </c>
      <c r="L1161" s="49">
        <v>0</v>
      </c>
      <c r="M1161" s="49" t="s">
        <v>1826</v>
      </c>
      <c r="N1161" s="49" t="s">
        <v>10028</v>
      </c>
      <c r="O1161" s="49">
        <v>10</v>
      </c>
      <c r="P1161" s="49" t="s">
        <v>11687</v>
      </c>
      <c r="Q1161" s="49">
        <v>0</v>
      </c>
      <c r="R1161" s="49" t="s">
        <v>11688</v>
      </c>
      <c r="S1161" s="49" t="s">
        <v>11689</v>
      </c>
      <c r="T1161" s="49" t="s">
        <v>646</v>
      </c>
      <c r="U1161" s="49" t="s">
        <v>655</v>
      </c>
      <c r="V1161" s="49" t="e">
        <v>#REF!</v>
      </c>
      <c r="AC1161" s="49"/>
      <c r="AD1161" s="49"/>
    </row>
    <row r="1162" spans="1:30" hidden="1" x14ac:dyDescent="0.3">
      <c r="A1162" s="49" t="s">
        <v>11690</v>
      </c>
      <c r="B1162" s="49">
        <v>0</v>
      </c>
      <c r="C1162" s="49"/>
      <c r="D1162" s="72" t="s">
        <v>717</v>
      </c>
      <c r="E1162" s="49" t="s">
        <v>3754</v>
      </c>
      <c r="F1162" s="49"/>
      <c r="G1162" s="49"/>
      <c r="H1162" s="49" t="s">
        <v>11691</v>
      </c>
      <c r="I1162" s="49" t="s">
        <v>11694</v>
      </c>
      <c r="J1162" s="49" t="s">
        <v>11692</v>
      </c>
      <c r="K1162" s="49" t="s">
        <v>11693</v>
      </c>
      <c r="L1162" s="49">
        <v>0</v>
      </c>
      <c r="M1162" s="49" t="s">
        <v>1826</v>
      </c>
      <c r="N1162" s="49" t="s">
        <v>11695</v>
      </c>
      <c r="O1162" s="49">
        <v>8</v>
      </c>
      <c r="P1162" s="49" t="s">
        <v>11696</v>
      </c>
      <c r="Q1162" s="49">
        <v>0</v>
      </c>
      <c r="R1162" s="49" t="s">
        <v>768</v>
      </c>
      <c r="S1162" s="49" t="s">
        <v>11697</v>
      </c>
      <c r="T1162" s="49" t="s">
        <v>646</v>
      </c>
      <c r="U1162" s="49" t="s">
        <v>670</v>
      </c>
      <c r="V1162" s="49" t="e">
        <v>#REF!</v>
      </c>
      <c r="AC1162" s="49"/>
      <c r="AD1162" s="49"/>
    </row>
    <row r="1163" spans="1:30" hidden="1" x14ac:dyDescent="0.3">
      <c r="A1163" s="49" t="s">
        <v>11698</v>
      </c>
      <c r="B1163" s="49">
        <v>0</v>
      </c>
      <c r="C1163" s="49"/>
      <c r="D1163" s="72" t="s">
        <v>717</v>
      </c>
      <c r="E1163" s="49" t="s">
        <v>3754</v>
      </c>
      <c r="F1163" s="49"/>
      <c r="G1163" s="49"/>
      <c r="H1163" s="49" t="s">
        <v>11699</v>
      </c>
      <c r="I1163" s="49" t="s">
        <v>11702</v>
      </c>
      <c r="J1163" s="49" t="s">
        <v>11700</v>
      </c>
      <c r="K1163" s="49" t="s">
        <v>11701</v>
      </c>
      <c r="L1163" s="49">
        <v>0</v>
      </c>
      <c r="M1163" s="49" t="s">
        <v>4114</v>
      </c>
      <c r="N1163" s="49" t="s">
        <v>11703</v>
      </c>
      <c r="O1163" s="49">
        <v>3</v>
      </c>
      <c r="P1163" s="49" t="s">
        <v>11704</v>
      </c>
      <c r="Q1163" s="49">
        <v>0</v>
      </c>
      <c r="R1163" s="49" t="s">
        <v>11705</v>
      </c>
      <c r="S1163" s="49" t="s">
        <v>11706</v>
      </c>
      <c r="T1163" s="49" t="s">
        <v>11707</v>
      </c>
      <c r="U1163" s="49" t="s">
        <v>670</v>
      </c>
      <c r="V1163" s="49" t="e">
        <v>#REF!</v>
      </c>
      <c r="AC1163" s="49"/>
      <c r="AD1163" s="49"/>
    </row>
    <row r="1164" spans="1:30" hidden="1" x14ac:dyDescent="0.3">
      <c r="A1164" s="49" t="s">
        <v>11708</v>
      </c>
      <c r="B1164" s="49">
        <v>0</v>
      </c>
      <c r="C1164" s="49"/>
      <c r="D1164" s="72" t="s">
        <v>717</v>
      </c>
      <c r="E1164" s="49" t="s">
        <v>3754</v>
      </c>
      <c r="F1164" s="49"/>
      <c r="G1164" s="49"/>
      <c r="H1164" s="49" t="s">
        <v>11709</v>
      </c>
      <c r="I1164" s="49" t="s">
        <v>11712</v>
      </c>
      <c r="J1164" s="49" t="s">
        <v>11710</v>
      </c>
      <c r="K1164" s="49" t="s">
        <v>11711</v>
      </c>
      <c r="L1164" s="49">
        <v>0</v>
      </c>
      <c r="M1164" s="49" t="s">
        <v>1826</v>
      </c>
      <c r="N1164" s="49" t="s">
        <v>11713</v>
      </c>
      <c r="O1164" s="49">
        <v>3</v>
      </c>
      <c r="P1164" s="49" t="s">
        <v>11714</v>
      </c>
      <c r="Q1164" s="49">
        <v>0</v>
      </c>
      <c r="R1164" s="49" t="s">
        <v>11715</v>
      </c>
      <c r="S1164" s="49" t="s">
        <v>11716</v>
      </c>
      <c r="T1164" s="49" t="s">
        <v>11717</v>
      </c>
      <c r="U1164" s="49" t="s">
        <v>655</v>
      </c>
      <c r="V1164" s="49" t="e">
        <v>#REF!</v>
      </c>
      <c r="AC1164" s="49"/>
      <c r="AD1164" s="49"/>
    </row>
    <row r="1165" spans="1:30" hidden="1" x14ac:dyDescent="0.3">
      <c r="A1165" s="49" t="s">
        <v>11718</v>
      </c>
      <c r="B1165" s="49">
        <v>0</v>
      </c>
      <c r="C1165" s="49"/>
      <c r="D1165" s="72" t="s">
        <v>717</v>
      </c>
      <c r="E1165" s="49" t="s">
        <v>3754</v>
      </c>
      <c r="F1165" s="49"/>
      <c r="G1165" s="49"/>
      <c r="H1165" s="49" t="s">
        <v>11719</v>
      </c>
      <c r="I1165" s="49" t="s">
        <v>11722</v>
      </c>
      <c r="J1165" s="49" t="s">
        <v>11720</v>
      </c>
      <c r="K1165" s="49" t="s">
        <v>11721</v>
      </c>
      <c r="L1165" s="49">
        <v>0</v>
      </c>
      <c r="M1165" s="49" t="s">
        <v>2220</v>
      </c>
      <c r="N1165" s="49" t="s">
        <v>4521</v>
      </c>
      <c r="O1165" s="49">
        <v>1</v>
      </c>
      <c r="P1165" s="49" t="s">
        <v>11723</v>
      </c>
      <c r="Q1165" s="49">
        <v>0</v>
      </c>
      <c r="R1165" s="49" t="s">
        <v>11724</v>
      </c>
      <c r="S1165" s="49" t="s">
        <v>11725</v>
      </c>
      <c r="T1165" s="49" t="s">
        <v>11726</v>
      </c>
      <c r="U1165" s="49" t="s">
        <v>670</v>
      </c>
      <c r="V1165" s="49" t="e">
        <v>#REF!</v>
      </c>
      <c r="AC1165" s="49"/>
      <c r="AD1165" s="49"/>
    </row>
    <row r="1166" spans="1:30" hidden="1" x14ac:dyDescent="0.3">
      <c r="A1166" s="49" t="s">
        <v>11727</v>
      </c>
      <c r="B1166" s="49">
        <v>0</v>
      </c>
      <c r="C1166" s="49"/>
      <c r="D1166" s="72" t="s">
        <v>717</v>
      </c>
      <c r="E1166" s="49" t="s">
        <v>3754</v>
      </c>
      <c r="F1166" s="49"/>
      <c r="G1166" s="49"/>
      <c r="H1166" s="49" t="s">
        <v>11728</v>
      </c>
      <c r="I1166" s="49" t="s">
        <v>11731</v>
      </c>
      <c r="J1166" s="49" t="s">
        <v>11729</v>
      </c>
      <c r="K1166" s="49" t="s">
        <v>11730</v>
      </c>
      <c r="L1166" s="49">
        <v>0</v>
      </c>
      <c r="M1166" s="49" t="s">
        <v>1826</v>
      </c>
      <c r="N1166" s="49" t="s">
        <v>11732</v>
      </c>
      <c r="P1166" s="49" t="s">
        <v>11733</v>
      </c>
      <c r="Q1166" s="49">
        <v>0</v>
      </c>
      <c r="R1166" s="49" t="s">
        <v>11734</v>
      </c>
      <c r="S1166" s="49" t="s">
        <v>11735</v>
      </c>
      <c r="T1166" s="49" t="s">
        <v>646</v>
      </c>
      <c r="U1166" s="49" t="s">
        <v>670</v>
      </c>
      <c r="V1166" s="49" t="e">
        <v>#REF!</v>
      </c>
      <c r="AC1166" s="49"/>
      <c r="AD1166" s="49"/>
    </row>
    <row r="1167" spans="1:30" hidden="1" x14ac:dyDescent="0.3">
      <c r="A1167" s="49" t="s">
        <v>11736</v>
      </c>
      <c r="B1167" s="49">
        <v>0</v>
      </c>
      <c r="C1167" s="49"/>
      <c r="D1167" s="72" t="s">
        <v>717</v>
      </c>
      <c r="E1167" s="49" t="s">
        <v>3754</v>
      </c>
      <c r="F1167" s="49"/>
      <c r="G1167" s="49"/>
      <c r="H1167" s="49" t="s">
        <v>11737</v>
      </c>
      <c r="I1167" s="49" t="s">
        <v>11740</v>
      </c>
      <c r="J1167" s="49" t="s">
        <v>11738</v>
      </c>
      <c r="K1167" s="49" t="s">
        <v>11739</v>
      </c>
      <c r="L1167" s="49">
        <v>0</v>
      </c>
      <c r="M1167" s="49" t="s">
        <v>2484</v>
      </c>
      <c r="N1167" s="49" t="s">
        <v>11741</v>
      </c>
      <c r="O1167" s="49">
        <v>6</v>
      </c>
      <c r="P1167" s="49" t="s">
        <v>11742</v>
      </c>
      <c r="Q1167" s="49">
        <v>0</v>
      </c>
      <c r="R1167" s="49" t="s">
        <v>11743</v>
      </c>
      <c r="S1167" s="49" t="s">
        <v>11744</v>
      </c>
      <c r="T1167" s="49" t="s">
        <v>11745</v>
      </c>
      <c r="U1167" s="49" t="s">
        <v>655</v>
      </c>
      <c r="V1167" s="49" t="e">
        <v>#REF!</v>
      </c>
      <c r="AC1167" s="49"/>
      <c r="AD1167" s="49"/>
    </row>
    <row r="1168" spans="1:30" hidden="1" x14ac:dyDescent="0.3">
      <c r="A1168" s="49" t="s">
        <v>11746</v>
      </c>
      <c r="B1168" s="49">
        <v>0</v>
      </c>
      <c r="C1168" s="49"/>
      <c r="D1168" s="72" t="s">
        <v>717</v>
      </c>
      <c r="E1168" s="49" t="s">
        <v>3754</v>
      </c>
      <c r="F1168" s="49"/>
      <c r="G1168" s="49"/>
      <c r="H1168" s="49" t="s">
        <v>11747</v>
      </c>
      <c r="I1168" s="49" t="s">
        <v>11750</v>
      </c>
      <c r="J1168" s="49" t="s">
        <v>11748</v>
      </c>
      <c r="K1168" s="49" t="s">
        <v>11749</v>
      </c>
      <c r="L1168" s="49">
        <v>0</v>
      </c>
      <c r="M1168" s="49" t="s">
        <v>2484</v>
      </c>
      <c r="N1168" s="49" t="s">
        <v>11751</v>
      </c>
      <c r="O1168" s="49">
        <v>10</v>
      </c>
      <c r="P1168" s="49" t="s">
        <v>11752</v>
      </c>
      <c r="Q1168" s="49">
        <v>0</v>
      </c>
      <c r="R1168" s="49" t="s">
        <v>11753</v>
      </c>
      <c r="S1168" s="49" t="s">
        <v>11754</v>
      </c>
      <c r="T1168" s="49" t="s">
        <v>11755</v>
      </c>
      <c r="U1168" s="49" t="s">
        <v>655</v>
      </c>
      <c r="V1168" s="49" t="e">
        <v>#REF!</v>
      </c>
      <c r="AC1168" s="49"/>
      <c r="AD1168" s="49"/>
    </row>
    <row r="1169" spans="1:30" hidden="1" x14ac:dyDescent="0.3">
      <c r="A1169" s="49" t="s">
        <v>11756</v>
      </c>
      <c r="B1169" s="49">
        <v>0</v>
      </c>
      <c r="C1169" s="49"/>
      <c r="D1169" s="72" t="s">
        <v>717</v>
      </c>
      <c r="E1169" s="49" t="s">
        <v>3754</v>
      </c>
      <c r="F1169" s="49"/>
      <c r="G1169" s="49"/>
      <c r="H1169" s="49" t="s">
        <v>646</v>
      </c>
      <c r="I1169" s="49" t="s">
        <v>11759</v>
      </c>
      <c r="J1169" s="49" t="s">
        <v>11757</v>
      </c>
      <c r="K1169" s="49" t="s">
        <v>11758</v>
      </c>
      <c r="L1169" s="49">
        <v>0</v>
      </c>
      <c r="M1169" s="49" t="s">
        <v>1764</v>
      </c>
      <c r="N1169" s="49" t="s">
        <v>11760</v>
      </c>
      <c r="O1169" s="49">
        <v>31</v>
      </c>
      <c r="P1169" s="49" t="s">
        <v>11761</v>
      </c>
      <c r="Q1169" s="49">
        <v>0</v>
      </c>
      <c r="R1169" s="49" t="s">
        <v>11762</v>
      </c>
      <c r="S1169" s="49" t="s">
        <v>11763</v>
      </c>
      <c r="T1169" s="49" t="s">
        <v>11764</v>
      </c>
      <c r="U1169" s="49" t="s">
        <v>655</v>
      </c>
      <c r="V1169" s="49" t="e">
        <v>#REF!</v>
      </c>
      <c r="AC1169" s="49"/>
      <c r="AD1169" s="49"/>
    </row>
    <row r="1170" spans="1:30" hidden="1" x14ac:dyDescent="0.3">
      <c r="A1170" s="49" t="s">
        <v>11765</v>
      </c>
      <c r="B1170" s="49">
        <v>0</v>
      </c>
      <c r="C1170" s="49"/>
      <c r="D1170" s="72" t="s">
        <v>717</v>
      </c>
      <c r="E1170" s="49" t="s">
        <v>3754</v>
      </c>
      <c r="F1170" s="49"/>
      <c r="G1170" s="49"/>
      <c r="H1170" s="49" t="s">
        <v>11766</v>
      </c>
      <c r="I1170" s="49" t="s">
        <v>11769</v>
      </c>
      <c r="J1170" s="49" t="s">
        <v>11767</v>
      </c>
      <c r="K1170" s="49" t="s">
        <v>11768</v>
      </c>
      <c r="L1170" s="49">
        <v>0</v>
      </c>
      <c r="M1170" s="49" t="s">
        <v>3864</v>
      </c>
      <c r="N1170" s="49" t="s">
        <v>4521</v>
      </c>
      <c r="P1170" s="49" t="s">
        <v>11770</v>
      </c>
      <c r="Q1170" s="49">
        <v>0</v>
      </c>
      <c r="R1170" s="49" t="s">
        <v>11771</v>
      </c>
      <c r="S1170" s="49" t="s">
        <v>11772</v>
      </c>
      <c r="T1170" s="49" t="s">
        <v>11773</v>
      </c>
      <c r="U1170" s="49" t="s">
        <v>670</v>
      </c>
      <c r="V1170" s="49" t="e">
        <v>#REF!</v>
      </c>
      <c r="AC1170" s="49"/>
      <c r="AD1170" s="49"/>
    </row>
    <row r="1171" spans="1:30" hidden="1" x14ac:dyDescent="0.3">
      <c r="A1171" s="49" t="s">
        <v>11774</v>
      </c>
      <c r="B1171" s="49">
        <v>0</v>
      </c>
      <c r="C1171" s="49"/>
      <c r="D1171" s="72" t="s">
        <v>717</v>
      </c>
      <c r="E1171" s="49" t="s">
        <v>3754</v>
      </c>
      <c r="F1171" s="49"/>
      <c r="G1171" s="49"/>
      <c r="H1171" s="49" t="s">
        <v>11775</v>
      </c>
      <c r="I1171" s="49" t="s">
        <v>11778</v>
      </c>
      <c r="J1171" s="49" t="s">
        <v>11776</v>
      </c>
      <c r="K1171" s="49" t="s">
        <v>11777</v>
      </c>
      <c r="L1171" s="49">
        <v>0</v>
      </c>
      <c r="M1171" s="49" t="s">
        <v>1826</v>
      </c>
      <c r="N1171" s="49" t="s">
        <v>6013</v>
      </c>
      <c r="O1171" s="49">
        <v>26</v>
      </c>
      <c r="P1171" s="49" t="s">
        <v>11779</v>
      </c>
      <c r="Q1171" s="49">
        <v>0</v>
      </c>
      <c r="R1171" s="49" t="s">
        <v>11780</v>
      </c>
      <c r="S1171" s="49" t="s">
        <v>11781</v>
      </c>
      <c r="T1171" s="49" t="s">
        <v>11782</v>
      </c>
      <c r="U1171" s="49" t="s">
        <v>791</v>
      </c>
      <c r="V1171" s="49" t="e">
        <v>#REF!</v>
      </c>
      <c r="AC1171" s="49"/>
      <c r="AD1171" s="49"/>
    </row>
    <row r="1172" spans="1:30" hidden="1" x14ac:dyDescent="0.3">
      <c r="A1172" s="49" t="s">
        <v>11783</v>
      </c>
      <c r="B1172" s="49">
        <v>0</v>
      </c>
      <c r="C1172" s="49"/>
      <c r="D1172" s="72" t="s">
        <v>717</v>
      </c>
      <c r="E1172" s="49" t="s">
        <v>3754</v>
      </c>
      <c r="F1172" s="49"/>
      <c r="G1172" s="49"/>
      <c r="H1172" s="49" t="s">
        <v>11784</v>
      </c>
      <c r="I1172" s="49" t="s">
        <v>11787</v>
      </c>
      <c r="J1172" s="49" t="s">
        <v>11785</v>
      </c>
      <c r="K1172" s="49" t="s">
        <v>11786</v>
      </c>
      <c r="L1172" s="49">
        <v>0</v>
      </c>
      <c r="M1172" s="49" t="s">
        <v>1777</v>
      </c>
      <c r="N1172" s="49" t="s">
        <v>818</v>
      </c>
      <c r="O1172" s="49">
        <v>6</v>
      </c>
      <c r="P1172" s="49" t="s">
        <v>11788</v>
      </c>
      <c r="Q1172" s="49">
        <v>0</v>
      </c>
      <c r="R1172" s="49" t="s">
        <v>11789</v>
      </c>
      <c r="S1172" s="49" t="s">
        <v>11790</v>
      </c>
      <c r="T1172" s="49" t="s">
        <v>11791</v>
      </c>
      <c r="U1172" s="49" t="s">
        <v>670</v>
      </c>
      <c r="V1172" s="49" t="e">
        <v>#REF!</v>
      </c>
      <c r="AC1172" s="49"/>
      <c r="AD1172" s="49"/>
    </row>
    <row r="1173" spans="1:30" hidden="1" x14ac:dyDescent="0.3">
      <c r="A1173" s="49" t="s">
        <v>11792</v>
      </c>
      <c r="B1173" s="49">
        <v>0</v>
      </c>
      <c r="C1173" s="49"/>
      <c r="D1173" s="72" t="s">
        <v>717</v>
      </c>
      <c r="E1173" s="49" t="s">
        <v>3754</v>
      </c>
      <c r="F1173" s="49"/>
      <c r="G1173" s="49"/>
      <c r="H1173" s="49" t="s">
        <v>11793</v>
      </c>
      <c r="I1173" s="49" t="s">
        <v>11796</v>
      </c>
      <c r="J1173" s="49" t="s">
        <v>11794</v>
      </c>
      <c r="K1173" s="49" t="s">
        <v>11795</v>
      </c>
      <c r="L1173" s="49">
        <v>0</v>
      </c>
      <c r="M1173" s="49" t="s">
        <v>1764</v>
      </c>
      <c r="N1173" s="49" t="s">
        <v>11797</v>
      </c>
      <c r="O1173" s="49">
        <v>1</v>
      </c>
      <c r="P1173" s="49" t="s">
        <v>11798</v>
      </c>
      <c r="Q1173" s="49">
        <v>0</v>
      </c>
      <c r="R1173" s="49" t="s">
        <v>11799</v>
      </c>
      <c r="S1173" s="49" t="s">
        <v>11800</v>
      </c>
      <c r="T1173" s="49" t="s">
        <v>11801</v>
      </c>
      <c r="U1173" s="49" t="s">
        <v>791</v>
      </c>
      <c r="V1173" s="49" t="e">
        <v>#REF!</v>
      </c>
      <c r="AC1173" s="49"/>
      <c r="AD1173" s="49"/>
    </row>
    <row r="1174" spans="1:30" hidden="1" x14ac:dyDescent="0.3">
      <c r="A1174" s="49" t="s">
        <v>11802</v>
      </c>
      <c r="B1174" s="49">
        <v>0</v>
      </c>
      <c r="C1174" s="49"/>
      <c r="D1174" s="72" t="s">
        <v>717</v>
      </c>
      <c r="E1174" s="49" t="s">
        <v>3754</v>
      </c>
      <c r="F1174" s="49"/>
      <c r="G1174" s="49"/>
      <c r="H1174" s="49" t="s">
        <v>11803</v>
      </c>
      <c r="I1174" s="49" t="s">
        <v>11806</v>
      </c>
      <c r="J1174" s="49" t="s">
        <v>11804</v>
      </c>
      <c r="K1174" s="49" t="s">
        <v>11805</v>
      </c>
      <c r="L1174" s="49">
        <v>0</v>
      </c>
      <c r="M1174" s="49" t="s">
        <v>2484</v>
      </c>
      <c r="N1174" s="49" t="s">
        <v>11807</v>
      </c>
      <c r="P1174" s="49" t="s">
        <v>11808</v>
      </c>
      <c r="Q1174" s="49">
        <v>0</v>
      </c>
      <c r="R1174" s="49" t="s">
        <v>11809</v>
      </c>
      <c r="S1174" s="49" t="s">
        <v>11810</v>
      </c>
      <c r="T1174" s="49" t="s">
        <v>11811</v>
      </c>
      <c r="U1174" s="49" t="s">
        <v>655</v>
      </c>
      <c r="V1174" s="49" t="e">
        <v>#REF!</v>
      </c>
      <c r="AC1174" s="49"/>
      <c r="AD1174" s="49"/>
    </row>
    <row r="1175" spans="1:30" hidden="1" x14ac:dyDescent="0.3">
      <c r="A1175" s="49" t="s">
        <v>11812</v>
      </c>
      <c r="B1175" s="49">
        <v>0</v>
      </c>
      <c r="C1175" s="49"/>
      <c r="D1175" s="72" t="s">
        <v>717</v>
      </c>
      <c r="E1175" s="49" t="s">
        <v>3754</v>
      </c>
      <c r="F1175" s="49"/>
      <c r="G1175" s="49"/>
      <c r="H1175" s="49" t="s">
        <v>11813</v>
      </c>
      <c r="I1175" s="49" t="s">
        <v>11816</v>
      </c>
      <c r="J1175" s="49" t="s">
        <v>11814</v>
      </c>
      <c r="K1175" s="49" t="s">
        <v>11815</v>
      </c>
      <c r="L1175" s="49">
        <v>0</v>
      </c>
      <c r="M1175" s="49" t="s">
        <v>1865</v>
      </c>
      <c r="N1175" s="49" t="s">
        <v>4801</v>
      </c>
      <c r="O1175" s="49">
        <v>18</v>
      </c>
      <c r="P1175" s="49" t="s">
        <v>11817</v>
      </c>
      <c r="Q1175" s="49">
        <v>0</v>
      </c>
      <c r="R1175" s="49" t="s">
        <v>11818</v>
      </c>
      <c r="S1175" s="49" t="s">
        <v>11819</v>
      </c>
      <c r="T1175" s="49" t="s">
        <v>646</v>
      </c>
      <c r="U1175" s="49" t="s">
        <v>670</v>
      </c>
      <c r="V1175" s="49" t="e">
        <v>#REF!</v>
      </c>
      <c r="AC1175" s="49"/>
      <c r="AD1175" s="49"/>
    </row>
    <row r="1176" spans="1:30" hidden="1" x14ac:dyDescent="0.3">
      <c r="A1176" s="49" t="s">
        <v>11820</v>
      </c>
      <c r="B1176" s="49">
        <v>0</v>
      </c>
      <c r="C1176" s="49"/>
      <c r="D1176" s="72" t="s">
        <v>717</v>
      </c>
      <c r="E1176" s="49" t="s">
        <v>3754</v>
      </c>
      <c r="F1176" s="49"/>
      <c r="G1176" s="49"/>
      <c r="H1176" s="49" t="s">
        <v>11821</v>
      </c>
      <c r="I1176" s="49" t="s">
        <v>11824</v>
      </c>
      <c r="J1176" s="49" t="s">
        <v>11822</v>
      </c>
      <c r="K1176" s="49" t="s">
        <v>11823</v>
      </c>
      <c r="L1176" s="49">
        <v>0</v>
      </c>
      <c r="M1176" s="49" t="s">
        <v>2142</v>
      </c>
      <c r="N1176" s="49" t="s">
        <v>818</v>
      </c>
      <c r="O1176" s="49">
        <v>1</v>
      </c>
      <c r="P1176" s="49" t="s">
        <v>11825</v>
      </c>
      <c r="Q1176" s="49">
        <v>0</v>
      </c>
      <c r="R1176" s="49" t="s">
        <v>11826</v>
      </c>
      <c r="S1176" s="49" t="s">
        <v>11827</v>
      </c>
      <c r="T1176" s="49" t="s">
        <v>11828</v>
      </c>
      <c r="U1176" s="49" t="s">
        <v>670</v>
      </c>
      <c r="V1176" s="49" t="e">
        <v>#REF!</v>
      </c>
      <c r="AC1176" s="49"/>
      <c r="AD1176" s="49"/>
    </row>
    <row r="1177" spans="1:30" hidden="1" x14ac:dyDescent="0.3">
      <c r="A1177" s="49" t="s">
        <v>11829</v>
      </c>
      <c r="B1177" s="49">
        <v>0</v>
      </c>
      <c r="C1177" s="49"/>
      <c r="D1177" s="72" t="s">
        <v>717</v>
      </c>
      <c r="E1177" s="49" t="s">
        <v>3754</v>
      </c>
      <c r="F1177" s="49"/>
      <c r="G1177" s="49"/>
      <c r="H1177" s="49" t="s">
        <v>11830</v>
      </c>
      <c r="I1177" s="49" t="s">
        <v>11833</v>
      </c>
      <c r="J1177" s="49" t="s">
        <v>11831</v>
      </c>
      <c r="K1177" s="49" t="s">
        <v>11832</v>
      </c>
      <c r="L1177" s="49">
        <v>0</v>
      </c>
      <c r="M1177" s="49" t="s">
        <v>4114</v>
      </c>
      <c r="N1177" s="49" t="s">
        <v>11834</v>
      </c>
      <c r="O1177" s="49">
        <v>49</v>
      </c>
      <c r="P1177" s="49" t="s">
        <v>11835</v>
      </c>
      <c r="Q1177" s="49">
        <v>0</v>
      </c>
      <c r="R1177" s="49" t="s">
        <v>11836</v>
      </c>
      <c r="S1177" s="49" t="s">
        <v>11837</v>
      </c>
      <c r="T1177" s="49" t="s">
        <v>11838</v>
      </c>
      <c r="U1177" s="49" t="s">
        <v>655</v>
      </c>
      <c r="V1177" s="49" t="e">
        <v>#REF!</v>
      </c>
      <c r="AC1177" s="49"/>
      <c r="AD1177" s="49"/>
    </row>
    <row r="1178" spans="1:30" hidden="1" x14ac:dyDescent="0.3">
      <c r="A1178" s="49" t="s">
        <v>11839</v>
      </c>
      <c r="B1178" s="49">
        <v>0</v>
      </c>
      <c r="C1178" s="49"/>
      <c r="D1178" s="72" t="s">
        <v>717</v>
      </c>
      <c r="E1178" s="49" t="s">
        <v>3754</v>
      </c>
      <c r="F1178" s="49"/>
      <c r="G1178" s="49"/>
      <c r="H1178" s="49" t="s">
        <v>11840</v>
      </c>
      <c r="I1178" s="49" t="s">
        <v>11843</v>
      </c>
      <c r="J1178" s="49" t="s">
        <v>11841</v>
      </c>
      <c r="K1178" s="49" t="s">
        <v>11842</v>
      </c>
      <c r="L1178" s="49">
        <v>0</v>
      </c>
      <c r="M1178" s="49" t="s">
        <v>2484</v>
      </c>
      <c r="N1178" s="49" t="s">
        <v>3142</v>
      </c>
      <c r="O1178" s="49">
        <v>7</v>
      </c>
      <c r="P1178" s="49" t="s">
        <v>11844</v>
      </c>
      <c r="Q1178" s="49">
        <v>0</v>
      </c>
      <c r="R1178" s="49" t="s">
        <v>11845</v>
      </c>
      <c r="S1178" s="49" t="s">
        <v>11846</v>
      </c>
      <c r="T1178" s="49" t="s">
        <v>11847</v>
      </c>
      <c r="U1178" s="49" t="s">
        <v>655</v>
      </c>
      <c r="V1178" s="49" t="e">
        <v>#REF!</v>
      </c>
      <c r="AC1178" s="49"/>
      <c r="AD1178" s="49"/>
    </row>
    <row r="1179" spans="1:30" hidden="1" x14ac:dyDescent="0.3">
      <c r="A1179" s="49" t="s">
        <v>11848</v>
      </c>
      <c r="B1179" s="49">
        <v>0</v>
      </c>
      <c r="C1179" s="49"/>
      <c r="D1179" s="72" t="s">
        <v>717</v>
      </c>
      <c r="E1179" s="49" t="s">
        <v>3754</v>
      </c>
      <c r="F1179" s="49"/>
      <c r="G1179" s="49"/>
      <c r="H1179" s="49" t="s">
        <v>11849</v>
      </c>
      <c r="I1179" s="49" t="s">
        <v>11852</v>
      </c>
      <c r="J1179" s="49" t="s">
        <v>11850</v>
      </c>
      <c r="K1179" s="49" t="s">
        <v>11851</v>
      </c>
      <c r="L1179" s="49">
        <v>0</v>
      </c>
      <c r="M1179" s="49" t="s">
        <v>1826</v>
      </c>
      <c r="N1179" s="49" t="s">
        <v>11853</v>
      </c>
      <c r="O1179" s="49">
        <v>4</v>
      </c>
      <c r="P1179" s="49" t="s">
        <v>11854</v>
      </c>
      <c r="Q1179" s="49">
        <v>0</v>
      </c>
      <c r="R1179" s="49" t="s">
        <v>11855</v>
      </c>
      <c r="S1179" s="49" t="s">
        <v>11856</v>
      </c>
      <c r="T1179" s="49" t="s">
        <v>646</v>
      </c>
      <c r="U1179" s="49" t="s">
        <v>670</v>
      </c>
      <c r="V1179" s="49" t="e">
        <v>#REF!</v>
      </c>
      <c r="AC1179" s="49"/>
      <c r="AD1179" s="49"/>
    </row>
    <row r="1180" spans="1:30" hidden="1" x14ac:dyDescent="0.3">
      <c r="A1180" s="49" t="s">
        <v>1334</v>
      </c>
      <c r="B1180" s="49">
        <v>0</v>
      </c>
      <c r="C1180" s="49"/>
      <c r="D1180" s="72" t="s">
        <v>717</v>
      </c>
      <c r="E1180" s="49" t="s">
        <v>3754</v>
      </c>
      <c r="F1180" s="49"/>
      <c r="G1180" s="49"/>
      <c r="H1180" s="49" t="s">
        <v>1336</v>
      </c>
      <c r="I1180" s="49" t="s">
        <v>1337</v>
      </c>
      <c r="J1180" s="49" t="s">
        <v>11857</v>
      </c>
      <c r="K1180" s="49" t="s">
        <v>1339</v>
      </c>
      <c r="L1180" s="49">
        <v>0</v>
      </c>
      <c r="M1180" s="49" t="s">
        <v>1826</v>
      </c>
      <c r="N1180" s="49" t="s">
        <v>1340</v>
      </c>
      <c r="O1180" s="49">
        <v>2</v>
      </c>
      <c r="P1180" s="49" t="s">
        <v>1341</v>
      </c>
      <c r="Q1180" s="49">
        <v>0</v>
      </c>
      <c r="R1180" s="49" t="s">
        <v>1342</v>
      </c>
      <c r="S1180" s="49" t="s">
        <v>1343</v>
      </c>
      <c r="T1180" s="49" t="s">
        <v>646</v>
      </c>
      <c r="U1180" s="49" t="s">
        <v>670</v>
      </c>
      <c r="V1180" s="49" t="e">
        <v>#REF!</v>
      </c>
      <c r="AC1180" s="49"/>
      <c r="AD1180" s="49"/>
    </row>
    <row r="1181" spans="1:30" hidden="1" x14ac:dyDescent="0.3">
      <c r="A1181" s="49" t="s">
        <v>11858</v>
      </c>
      <c r="B1181" s="49">
        <v>0</v>
      </c>
      <c r="C1181" s="49"/>
      <c r="D1181" s="72" t="s">
        <v>717</v>
      </c>
      <c r="E1181" s="49" t="s">
        <v>3754</v>
      </c>
      <c r="F1181" s="49"/>
      <c r="G1181" s="49"/>
      <c r="H1181" s="49" t="s">
        <v>11859</v>
      </c>
      <c r="I1181" s="49" t="s">
        <v>11862</v>
      </c>
      <c r="J1181" s="49" t="s">
        <v>11860</v>
      </c>
      <c r="K1181" s="49" t="s">
        <v>11861</v>
      </c>
      <c r="L1181" s="49">
        <v>0</v>
      </c>
      <c r="M1181" s="49" t="s">
        <v>6445</v>
      </c>
      <c r="N1181" s="49" t="s">
        <v>11863</v>
      </c>
      <c r="O1181" s="49">
        <v>20</v>
      </c>
      <c r="P1181" s="49" t="s">
        <v>11864</v>
      </c>
      <c r="Q1181" s="49">
        <v>0</v>
      </c>
      <c r="R1181" s="49" t="s">
        <v>11865</v>
      </c>
      <c r="S1181" s="49" t="s">
        <v>11866</v>
      </c>
      <c r="T1181" s="49" t="s">
        <v>11867</v>
      </c>
      <c r="U1181" s="49" t="s">
        <v>670</v>
      </c>
      <c r="V1181" s="49" t="e">
        <v>#REF!</v>
      </c>
      <c r="AC1181" s="49"/>
      <c r="AD1181" s="49"/>
    </row>
    <row r="1182" spans="1:30" hidden="1" x14ac:dyDescent="0.3">
      <c r="A1182" s="49" t="s">
        <v>11868</v>
      </c>
      <c r="B1182" s="49">
        <v>0</v>
      </c>
      <c r="C1182" s="49"/>
      <c r="D1182" s="72" t="s">
        <v>717</v>
      </c>
      <c r="E1182" s="49" t="s">
        <v>3754</v>
      </c>
      <c r="F1182" s="49"/>
      <c r="G1182" s="49"/>
      <c r="H1182" s="49" t="s">
        <v>11869</v>
      </c>
      <c r="I1182" s="49" t="s">
        <v>11872</v>
      </c>
      <c r="J1182" s="49" t="s">
        <v>11870</v>
      </c>
      <c r="K1182" s="49" t="s">
        <v>11871</v>
      </c>
      <c r="L1182" s="49">
        <v>0</v>
      </c>
      <c r="M1182" s="49" t="s">
        <v>2636</v>
      </c>
      <c r="N1182" s="49" t="s">
        <v>11873</v>
      </c>
      <c r="O1182" s="49">
        <v>38</v>
      </c>
      <c r="P1182" s="49" t="s">
        <v>11874</v>
      </c>
      <c r="Q1182" s="49">
        <v>0</v>
      </c>
      <c r="R1182" s="49" t="s">
        <v>11875</v>
      </c>
      <c r="S1182" s="49" t="s">
        <v>11876</v>
      </c>
      <c r="T1182" s="49" t="s">
        <v>11877</v>
      </c>
      <c r="U1182" s="49" t="s">
        <v>670</v>
      </c>
      <c r="V1182" s="49" t="e">
        <v>#REF!</v>
      </c>
      <c r="AC1182" s="49"/>
      <c r="AD1182" s="49"/>
    </row>
    <row r="1183" spans="1:30" hidden="1" x14ac:dyDescent="0.3">
      <c r="A1183" s="49" t="s">
        <v>11878</v>
      </c>
      <c r="B1183" s="49">
        <v>0</v>
      </c>
      <c r="C1183" s="49"/>
      <c r="D1183" s="72" t="s">
        <v>717</v>
      </c>
      <c r="E1183" s="49" t="s">
        <v>3754</v>
      </c>
      <c r="F1183" s="49"/>
      <c r="G1183" s="49"/>
      <c r="H1183" s="49" t="s">
        <v>11879</v>
      </c>
      <c r="I1183" s="49" t="s">
        <v>11882</v>
      </c>
      <c r="J1183" s="49" t="s">
        <v>11880</v>
      </c>
      <c r="K1183" s="49" t="s">
        <v>11881</v>
      </c>
      <c r="L1183" s="49">
        <v>0</v>
      </c>
      <c r="M1183" s="49" t="s">
        <v>2142</v>
      </c>
      <c r="N1183" s="49" t="s">
        <v>11883</v>
      </c>
      <c r="O1183" s="49">
        <v>3</v>
      </c>
      <c r="P1183" s="49" t="s">
        <v>11884</v>
      </c>
      <c r="Q1183" s="49">
        <v>0</v>
      </c>
      <c r="R1183" s="49" t="s">
        <v>11885</v>
      </c>
      <c r="S1183" s="49" t="s">
        <v>11886</v>
      </c>
      <c r="T1183" s="49" t="s">
        <v>646</v>
      </c>
      <c r="U1183" s="49" t="s">
        <v>670</v>
      </c>
      <c r="V1183" s="49" t="e">
        <v>#REF!</v>
      </c>
      <c r="AC1183" s="49"/>
      <c r="AD1183" s="49"/>
    </row>
    <row r="1184" spans="1:30" hidden="1" x14ac:dyDescent="0.3">
      <c r="A1184" s="49" t="s">
        <v>11887</v>
      </c>
      <c r="B1184" s="49">
        <v>0</v>
      </c>
      <c r="C1184" s="49"/>
      <c r="D1184" s="72" t="s">
        <v>717</v>
      </c>
      <c r="E1184" s="49" t="s">
        <v>3754</v>
      </c>
      <c r="F1184" s="49"/>
      <c r="G1184" s="49"/>
      <c r="H1184" s="49" t="s">
        <v>11888</v>
      </c>
      <c r="I1184" s="49" t="s">
        <v>11891</v>
      </c>
      <c r="J1184" s="49" t="s">
        <v>11889</v>
      </c>
      <c r="K1184" s="49" t="s">
        <v>11890</v>
      </c>
      <c r="L1184" s="49">
        <v>0</v>
      </c>
      <c r="M1184" s="49" t="s">
        <v>4114</v>
      </c>
      <c r="N1184" s="49" t="s">
        <v>3661</v>
      </c>
      <c r="O1184" s="49">
        <v>59</v>
      </c>
      <c r="P1184" s="49" t="s">
        <v>11892</v>
      </c>
      <c r="Q1184" s="49">
        <v>0</v>
      </c>
      <c r="R1184" s="49" t="s">
        <v>11893</v>
      </c>
      <c r="S1184" s="49" t="s">
        <v>11894</v>
      </c>
      <c r="T1184" s="49" t="s">
        <v>11895</v>
      </c>
      <c r="U1184" s="49" t="s">
        <v>655</v>
      </c>
      <c r="V1184" s="49" t="e">
        <v>#REF!</v>
      </c>
      <c r="AC1184" s="49"/>
      <c r="AD1184" s="49"/>
    </row>
    <row r="1185" spans="1:30" hidden="1" x14ac:dyDescent="0.3">
      <c r="A1185" s="49" t="s">
        <v>11896</v>
      </c>
      <c r="B1185" s="49">
        <v>0</v>
      </c>
      <c r="C1185" s="49"/>
      <c r="D1185" s="72" t="s">
        <v>717</v>
      </c>
      <c r="E1185" s="49" t="s">
        <v>3754</v>
      </c>
      <c r="F1185" s="49"/>
      <c r="G1185" s="49"/>
      <c r="H1185" s="49" t="s">
        <v>646</v>
      </c>
      <c r="I1185" s="49" t="s">
        <v>11899</v>
      </c>
      <c r="J1185" s="49" t="s">
        <v>11897</v>
      </c>
      <c r="K1185" s="49" t="s">
        <v>11898</v>
      </c>
      <c r="L1185" s="49">
        <v>0</v>
      </c>
      <c r="M1185" s="49" t="s">
        <v>4084</v>
      </c>
      <c r="N1185" s="49" t="s">
        <v>4765</v>
      </c>
      <c r="O1185" s="49">
        <v>27</v>
      </c>
      <c r="P1185" s="49" t="s">
        <v>11900</v>
      </c>
      <c r="Q1185" s="49">
        <v>0</v>
      </c>
      <c r="R1185" s="49" t="s">
        <v>11901</v>
      </c>
      <c r="S1185" s="49" t="s">
        <v>11902</v>
      </c>
      <c r="T1185" s="49" t="s">
        <v>646</v>
      </c>
      <c r="U1185" s="49" t="s">
        <v>670</v>
      </c>
      <c r="V1185" s="49" t="e">
        <v>#REF!</v>
      </c>
      <c r="AC1185" s="49"/>
      <c r="AD1185" s="49"/>
    </row>
    <row r="1186" spans="1:30" hidden="1" x14ac:dyDescent="0.3">
      <c r="A1186" s="49" t="s">
        <v>11903</v>
      </c>
      <c r="B1186" s="49">
        <v>0</v>
      </c>
      <c r="C1186" s="49"/>
      <c r="D1186" s="72" t="s">
        <v>717</v>
      </c>
      <c r="E1186" s="49" t="s">
        <v>3754</v>
      </c>
      <c r="F1186" s="49"/>
      <c r="G1186" s="49"/>
      <c r="H1186" s="49" t="s">
        <v>11904</v>
      </c>
      <c r="I1186" s="49" t="s">
        <v>11907</v>
      </c>
      <c r="J1186" s="49" t="s">
        <v>11905</v>
      </c>
      <c r="K1186" s="49" t="s">
        <v>11906</v>
      </c>
      <c r="L1186" s="49">
        <v>0</v>
      </c>
      <c r="M1186" s="49" t="s">
        <v>2142</v>
      </c>
      <c r="N1186" s="49" t="s">
        <v>982</v>
      </c>
      <c r="O1186" s="49">
        <v>8</v>
      </c>
      <c r="P1186" s="49" t="s">
        <v>11908</v>
      </c>
      <c r="Q1186" s="49">
        <v>0</v>
      </c>
      <c r="R1186" s="49" t="s">
        <v>11909</v>
      </c>
      <c r="S1186" s="49" t="s">
        <v>11910</v>
      </c>
      <c r="T1186" s="49" t="s">
        <v>11911</v>
      </c>
      <c r="U1186" s="49" t="s">
        <v>655</v>
      </c>
      <c r="V1186" s="49" t="e">
        <v>#REF!</v>
      </c>
      <c r="AC1186" s="49"/>
      <c r="AD1186" s="49"/>
    </row>
    <row r="1187" spans="1:30" hidden="1" x14ac:dyDescent="0.3">
      <c r="A1187" s="49" t="s">
        <v>11912</v>
      </c>
      <c r="B1187" s="49">
        <v>0</v>
      </c>
      <c r="C1187" s="49"/>
      <c r="D1187" s="72" t="s">
        <v>717</v>
      </c>
      <c r="E1187" s="49" t="s">
        <v>3754</v>
      </c>
      <c r="F1187" s="49"/>
      <c r="G1187" s="49"/>
      <c r="H1187" s="49" t="s">
        <v>11913</v>
      </c>
      <c r="I1187" s="49" t="s">
        <v>11916</v>
      </c>
      <c r="J1187" s="49" t="s">
        <v>11914</v>
      </c>
      <c r="K1187" s="49" t="s">
        <v>11915</v>
      </c>
      <c r="L1187" s="49">
        <v>0</v>
      </c>
      <c r="M1187" s="49" t="s">
        <v>4114</v>
      </c>
      <c r="N1187" s="49" t="s">
        <v>2201</v>
      </c>
      <c r="O1187" s="49">
        <v>58</v>
      </c>
      <c r="P1187" s="49" t="s">
        <v>11917</v>
      </c>
      <c r="Q1187" s="49">
        <v>0</v>
      </c>
      <c r="R1187" s="49" t="s">
        <v>11918</v>
      </c>
      <c r="S1187" s="49" t="s">
        <v>11919</v>
      </c>
      <c r="T1187" s="49" t="s">
        <v>11920</v>
      </c>
      <c r="U1187" s="49" t="s">
        <v>655</v>
      </c>
      <c r="V1187" s="49" t="e">
        <v>#REF!</v>
      </c>
      <c r="AC1187" s="49"/>
      <c r="AD1187" s="49"/>
    </row>
    <row r="1188" spans="1:30" hidden="1" x14ac:dyDescent="0.3">
      <c r="A1188" s="49" t="s">
        <v>11921</v>
      </c>
      <c r="B1188" s="49">
        <v>0</v>
      </c>
      <c r="C1188" s="49"/>
      <c r="D1188" s="72" t="s">
        <v>717</v>
      </c>
      <c r="E1188" s="49" t="s">
        <v>3754</v>
      </c>
      <c r="F1188" s="49"/>
      <c r="G1188" s="49"/>
      <c r="H1188" s="49" t="s">
        <v>11922</v>
      </c>
      <c r="I1188" s="49" t="s">
        <v>11925</v>
      </c>
      <c r="J1188" s="49" t="s">
        <v>11923</v>
      </c>
      <c r="K1188" s="49" t="s">
        <v>11924</v>
      </c>
      <c r="L1188" s="49">
        <v>0</v>
      </c>
      <c r="M1188" s="49" t="s">
        <v>2484</v>
      </c>
      <c r="N1188" s="49" t="s">
        <v>2939</v>
      </c>
      <c r="O1188" s="49">
        <v>22</v>
      </c>
      <c r="P1188" s="49" t="s">
        <v>11926</v>
      </c>
      <c r="Q1188" s="49">
        <v>0</v>
      </c>
      <c r="R1188" s="49" t="s">
        <v>11927</v>
      </c>
      <c r="S1188" s="49" t="s">
        <v>11928</v>
      </c>
      <c r="T1188" s="49" t="s">
        <v>11929</v>
      </c>
      <c r="U1188" s="49" t="s">
        <v>655</v>
      </c>
      <c r="V1188" s="49" t="e">
        <v>#REF!</v>
      </c>
      <c r="AC1188" s="49"/>
      <c r="AD1188" s="49"/>
    </row>
    <row r="1189" spans="1:30" hidden="1" x14ac:dyDescent="0.3">
      <c r="A1189" s="49" t="s">
        <v>1532</v>
      </c>
      <c r="B1189" s="49">
        <v>0</v>
      </c>
      <c r="C1189" s="49"/>
      <c r="D1189" s="72" t="s">
        <v>717</v>
      </c>
      <c r="E1189" s="49" t="s">
        <v>3754</v>
      </c>
      <c r="F1189" s="49"/>
      <c r="G1189" s="49"/>
      <c r="H1189" s="49" t="s">
        <v>1534</v>
      </c>
      <c r="I1189" s="49" t="s">
        <v>1535</v>
      </c>
      <c r="J1189" s="49" t="s">
        <v>11930</v>
      </c>
      <c r="K1189" s="49" t="s">
        <v>1537</v>
      </c>
      <c r="L1189" s="49">
        <v>0</v>
      </c>
      <c r="M1189" s="49" t="s">
        <v>1826</v>
      </c>
      <c r="N1189" s="49" t="s">
        <v>818</v>
      </c>
      <c r="O1189" s="49">
        <v>4</v>
      </c>
      <c r="P1189" s="49" t="s">
        <v>1538</v>
      </c>
      <c r="Q1189" s="49">
        <v>0</v>
      </c>
      <c r="R1189" s="49" t="s">
        <v>1539</v>
      </c>
      <c r="S1189" s="49" t="s">
        <v>1540</v>
      </c>
      <c r="T1189" s="49" t="s">
        <v>1541</v>
      </c>
      <c r="U1189" s="49" t="s">
        <v>670</v>
      </c>
      <c r="V1189" s="49" t="e">
        <v>#REF!</v>
      </c>
      <c r="AC1189" s="49"/>
      <c r="AD1189" s="49"/>
    </row>
    <row r="1190" spans="1:30" hidden="1" x14ac:dyDescent="0.3">
      <c r="A1190" s="49" t="s">
        <v>11931</v>
      </c>
      <c r="B1190" s="49">
        <v>0</v>
      </c>
      <c r="C1190" s="49"/>
      <c r="D1190" s="72" t="s">
        <v>717</v>
      </c>
      <c r="E1190" s="49" t="s">
        <v>3754</v>
      </c>
      <c r="F1190" s="49"/>
      <c r="G1190" s="49"/>
      <c r="H1190" s="49" t="s">
        <v>11932</v>
      </c>
      <c r="I1190" s="49" t="s">
        <v>11935</v>
      </c>
      <c r="J1190" s="49" t="s">
        <v>11933</v>
      </c>
      <c r="K1190" s="49" t="s">
        <v>11934</v>
      </c>
      <c r="L1190" s="49">
        <v>0</v>
      </c>
      <c r="M1190" s="49" t="s">
        <v>2484</v>
      </c>
      <c r="N1190" s="49" t="s">
        <v>11936</v>
      </c>
      <c r="O1190" s="49">
        <v>177</v>
      </c>
      <c r="P1190" s="49" t="s">
        <v>11937</v>
      </c>
      <c r="Q1190" s="49">
        <v>0</v>
      </c>
      <c r="R1190" s="49" t="s">
        <v>11938</v>
      </c>
      <c r="S1190" s="49" t="s">
        <v>11939</v>
      </c>
      <c r="T1190" s="49" t="s">
        <v>11940</v>
      </c>
      <c r="U1190" s="49" t="s">
        <v>791</v>
      </c>
      <c r="V1190" s="49" t="e">
        <v>#REF!</v>
      </c>
      <c r="AC1190" s="49"/>
      <c r="AD1190" s="49"/>
    </row>
    <row r="1191" spans="1:30" hidden="1" x14ac:dyDescent="0.3">
      <c r="A1191" s="49" t="s">
        <v>11941</v>
      </c>
      <c r="B1191" s="49">
        <v>0</v>
      </c>
      <c r="C1191" s="49"/>
      <c r="D1191" s="72" t="s">
        <v>717</v>
      </c>
      <c r="E1191" s="49" t="s">
        <v>3754</v>
      </c>
      <c r="F1191" s="49"/>
      <c r="G1191" s="49"/>
      <c r="H1191" s="49" t="s">
        <v>11942</v>
      </c>
      <c r="I1191" s="49" t="s">
        <v>11945</v>
      </c>
      <c r="J1191" s="49" t="s">
        <v>11943</v>
      </c>
      <c r="K1191" s="49" t="s">
        <v>11944</v>
      </c>
      <c r="L1191" s="49">
        <v>0</v>
      </c>
      <c r="M1191" s="49" t="s">
        <v>2484</v>
      </c>
      <c r="N1191" s="49" t="s">
        <v>3949</v>
      </c>
      <c r="O1191" s="49">
        <v>11</v>
      </c>
      <c r="P1191" s="49" t="s">
        <v>11946</v>
      </c>
      <c r="Q1191" s="49">
        <v>0</v>
      </c>
      <c r="R1191" s="49" t="s">
        <v>11947</v>
      </c>
      <c r="S1191" s="49" t="s">
        <v>11948</v>
      </c>
      <c r="T1191" s="49" t="s">
        <v>11949</v>
      </c>
      <c r="U1191" s="49" t="s">
        <v>655</v>
      </c>
      <c r="V1191" s="49" t="e">
        <v>#REF!</v>
      </c>
      <c r="AC1191" s="49"/>
      <c r="AD1191" s="49"/>
    </row>
    <row r="1192" spans="1:30" hidden="1" x14ac:dyDescent="0.3">
      <c r="A1192" s="49" t="s">
        <v>11950</v>
      </c>
      <c r="B1192" s="49">
        <v>0</v>
      </c>
      <c r="C1192" s="49"/>
      <c r="D1192" s="72" t="s">
        <v>717</v>
      </c>
      <c r="E1192" s="49" t="s">
        <v>3754</v>
      </c>
      <c r="F1192" s="49"/>
      <c r="G1192" s="49"/>
      <c r="H1192" s="49" t="s">
        <v>11951</v>
      </c>
      <c r="I1192" s="49" t="s">
        <v>11954</v>
      </c>
      <c r="J1192" s="49" t="s">
        <v>11952</v>
      </c>
      <c r="K1192" s="49" t="s">
        <v>11953</v>
      </c>
      <c r="L1192" s="49">
        <v>0</v>
      </c>
      <c r="M1192" s="49" t="s">
        <v>4084</v>
      </c>
      <c r="N1192" s="49" t="s">
        <v>1064</v>
      </c>
      <c r="O1192" s="49">
        <v>34</v>
      </c>
      <c r="P1192" s="49" t="s">
        <v>11955</v>
      </c>
      <c r="Q1192" s="49">
        <v>0</v>
      </c>
      <c r="R1192" s="49" t="s">
        <v>11956</v>
      </c>
      <c r="S1192" s="49" t="s">
        <v>11957</v>
      </c>
      <c r="T1192" s="49" t="s">
        <v>11958</v>
      </c>
      <c r="U1192" s="49" t="s">
        <v>655</v>
      </c>
      <c r="V1192" s="49" t="e">
        <v>#REF!</v>
      </c>
      <c r="AC1192" s="49"/>
      <c r="AD1192" s="49"/>
    </row>
    <row r="1193" spans="1:30" hidden="1" x14ac:dyDescent="0.3">
      <c r="A1193" s="49" t="s">
        <v>11959</v>
      </c>
      <c r="B1193" s="49">
        <v>0</v>
      </c>
      <c r="C1193" s="49"/>
      <c r="D1193" s="72" t="s">
        <v>717</v>
      </c>
      <c r="E1193" s="49" t="s">
        <v>3754</v>
      </c>
      <c r="F1193" s="49"/>
      <c r="G1193" s="49"/>
      <c r="H1193" s="49" t="s">
        <v>11960</v>
      </c>
      <c r="I1193" s="49" t="s">
        <v>11963</v>
      </c>
      <c r="J1193" s="49" t="s">
        <v>11961</v>
      </c>
      <c r="K1193" s="49" t="s">
        <v>11962</v>
      </c>
      <c r="L1193" s="49">
        <v>0</v>
      </c>
      <c r="M1193" s="49" t="s">
        <v>2142</v>
      </c>
      <c r="N1193" s="49" t="s">
        <v>3661</v>
      </c>
      <c r="O1193" s="49">
        <v>26</v>
      </c>
      <c r="P1193" s="49" t="s">
        <v>11964</v>
      </c>
      <c r="Q1193" s="49">
        <v>0</v>
      </c>
      <c r="R1193" s="49" t="s">
        <v>11965</v>
      </c>
      <c r="S1193" s="49" t="s">
        <v>11966</v>
      </c>
      <c r="T1193" s="49" t="s">
        <v>11967</v>
      </c>
      <c r="U1193" s="49" t="s">
        <v>655</v>
      </c>
      <c r="V1193" s="49" t="e">
        <v>#REF!</v>
      </c>
      <c r="AC1193" s="49"/>
      <c r="AD1193" s="49"/>
    </row>
    <row r="1194" spans="1:30" hidden="1" x14ac:dyDescent="0.3">
      <c r="A1194" s="49" t="s">
        <v>11968</v>
      </c>
      <c r="B1194" s="49">
        <v>0</v>
      </c>
      <c r="C1194" s="49"/>
      <c r="D1194" s="72" t="s">
        <v>717</v>
      </c>
      <c r="E1194" s="49" t="s">
        <v>3754</v>
      </c>
      <c r="F1194" s="49"/>
      <c r="G1194" s="49"/>
      <c r="H1194" s="49" t="s">
        <v>11969</v>
      </c>
      <c r="I1194" s="49" t="s">
        <v>11972</v>
      </c>
      <c r="J1194" s="49" t="s">
        <v>11970</v>
      </c>
      <c r="K1194" s="49" t="s">
        <v>11971</v>
      </c>
      <c r="L1194" s="49">
        <v>0</v>
      </c>
      <c r="M1194" s="49" t="s">
        <v>1826</v>
      </c>
      <c r="N1194" s="49" t="s">
        <v>11973</v>
      </c>
      <c r="O1194" s="49">
        <v>1</v>
      </c>
      <c r="P1194" s="49" t="s">
        <v>11974</v>
      </c>
      <c r="Q1194" s="49">
        <v>0</v>
      </c>
      <c r="R1194" s="49" t="s">
        <v>11975</v>
      </c>
      <c r="S1194" s="49" t="s">
        <v>11976</v>
      </c>
      <c r="T1194" s="49" t="s">
        <v>646</v>
      </c>
      <c r="U1194" s="49" t="s">
        <v>655</v>
      </c>
      <c r="V1194" s="49" t="e">
        <v>#REF!</v>
      </c>
      <c r="AC1194" s="49"/>
      <c r="AD1194" s="49"/>
    </row>
    <row r="1195" spans="1:30" hidden="1" x14ac:dyDescent="0.3">
      <c r="A1195" s="49" t="s">
        <v>11977</v>
      </c>
      <c r="B1195" s="49">
        <v>0</v>
      </c>
      <c r="C1195" s="49"/>
      <c r="D1195" s="72" t="s">
        <v>717</v>
      </c>
      <c r="E1195" s="49" t="s">
        <v>3754</v>
      </c>
      <c r="F1195" s="49"/>
      <c r="G1195" s="49"/>
      <c r="H1195" s="49" t="s">
        <v>11978</v>
      </c>
      <c r="I1195" s="49" t="s">
        <v>11981</v>
      </c>
      <c r="J1195" s="49" t="s">
        <v>11979</v>
      </c>
      <c r="K1195" s="49" t="s">
        <v>11980</v>
      </c>
      <c r="L1195" s="49">
        <v>0</v>
      </c>
      <c r="M1195" s="49" t="s">
        <v>2142</v>
      </c>
      <c r="N1195" s="49" t="s">
        <v>11982</v>
      </c>
      <c r="O1195" s="49">
        <v>1</v>
      </c>
      <c r="P1195" s="49" t="s">
        <v>11983</v>
      </c>
      <c r="Q1195" s="49">
        <v>0</v>
      </c>
      <c r="R1195" s="49" t="s">
        <v>11984</v>
      </c>
      <c r="S1195" s="49" t="s">
        <v>11985</v>
      </c>
      <c r="T1195" s="49" t="s">
        <v>11986</v>
      </c>
      <c r="U1195" s="49" t="s">
        <v>670</v>
      </c>
      <c r="V1195" s="49" t="e">
        <v>#REF!</v>
      </c>
      <c r="AC1195" s="49"/>
      <c r="AD1195" s="49"/>
    </row>
    <row r="1196" spans="1:30" hidden="1" x14ac:dyDescent="0.3">
      <c r="A1196" s="49" t="s">
        <v>11987</v>
      </c>
      <c r="B1196" s="49">
        <v>0</v>
      </c>
      <c r="C1196" s="49"/>
      <c r="D1196" s="72" t="s">
        <v>717</v>
      </c>
      <c r="E1196" s="49" t="s">
        <v>3754</v>
      </c>
      <c r="F1196" s="49"/>
      <c r="G1196" s="49"/>
      <c r="H1196" s="49" t="s">
        <v>11988</v>
      </c>
      <c r="I1196" s="49" t="s">
        <v>11991</v>
      </c>
      <c r="J1196" s="49" t="s">
        <v>11989</v>
      </c>
      <c r="K1196" s="49" t="s">
        <v>11990</v>
      </c>
      <c r="L1196" s="49">
        <v>0</v>
      </c>
      <c r="M1196" s="49" t="s">
        <v>1826</v>
      </c>
      <c r="N1196" s="49" t="s">
        <v>11992</v>
      </c>
      <c r="O1196" s="49">
        <v>2</v>
      </c>
      <c r="P1196" s="49" t="s">
        <v>11993</v>
      </c>
      <c r="Q1196" s="49">
        <v>0</v>
      </c>
      <c r="R1196" s="49" t="s">
        <v>11994</v>
      </c>
      <c r="S1196" s="49" t="s">
        <v>11995</v>
      </c>
      <c r="T1196" s="49" t="s">
        <v>11996</v>
      </c>
      <c r="U1196" s="49" t="s">
        <v>655</v>
      </c>
      <c r="V1196" s="49" t="e">
        <v>#REF!</v>
      </c>
      <c r="AC1196" s="49"/>
      <c r="AD1196" s="49"/>
    </row>
    <row r="1197" spans="1:30" hidden="1" x14ac:dyDescent="0.3">
      <c r="A1197" s="49" t="s">
        <v>11997</v>
      </c>
      <c r="B1197" s="49">
        <v>0</v>
      </c>
      <c r="C1197" s="49"/>
      <c r="D1197" s="72" t="s">
        <v>717</v>
      </c>
      <c r="E1197" s="49" t="s">
        <v>3754</v>
      </c>
      <c r="F1197" s="49"/>
      <c r="G1197" s="49"/>
      <c r="H1197" s="49" t="s">
        <v>11998</v>
      </c>
      <c r="I1197" s="49" t="s">
        <v>12001</v>
      </c>
      <c r="J1197" s="49" t="s">
        <v>11999</v>
      </c>
      <c r="K1197" s="49" t="s">
        <v>12000</v>
      </c>
      <c r="L1197" s="49">
        <v>0</v>
      </c>
      <c r="M1197" s="49" t="s">
        <v>1826</v>
      </c>
      <c r="N1197" s="49" t="s">
        <v>4830</v>
      </c>
      <c r="O1197" s="49">
        <v>4</v>
      </c>
      <c r="P1197" s="49" t="s">
        <v>12002</v>
      </c>
      <c r="Q1197" s="49">
        <v>0</v>
      </c>
      <c r="R1197" s="49" t="s">
        <v>12003</v>
      </c>
      <c r="S1197" s="49" t="s">
        <v>12004</v>
      </c>
      <c r="T1197" s="49" t="s">
        <v>12005</v>
      </c>
      <c r="U1197" s="49" t="s">
        <v>655</v>
      </c>
      <c r="V1197" s="49" t="e">
        <v>#REF!</v>
      </c>
      <c r="AC1197" s="49"/>
      <c r="AD1197" s="49"/>
    </row>
    <row r="1198" spans="1:30" hidden="1" x14ac:dyDescent="0.3">
      <c r="A1198" s="49" t="s">
        <v>12006</v>
      </c>
      <c r="B1198" s="49">
        <v>0</v>
      </c>
      <c r="C1198" s="49"/>
      <c r="D1198" s="72" t="s">
        <v>717</v>
      </c>
      <c r="E1198" s="49" t="s">
        <v>3754</v>
      </c>
      <c r="F1198" s="49"/>
      <c r="G1198" s="49"/>
      <c r="H1198" s="49" t="s">
        <v>12007</v>
      </c>
      <c r="I1198" s="49" t="s">
        <v>12010</v>
      </c>
      <c r="J1198" s="49" t="s">
        <v>12008</v>
      </c>
      <c r="K1198" s="49" t="s">
        <v>12009</v>
      </c>
      <c r="L1198" s="49">
        <v>0</v>
      </c>
      <c r="M1198" s="49" t="s">
        <v>4084</v>
      </c>
      <c r="N1198" s="49" t="s">
        <v>12011</v>
      </c>
      <c r="O1198" s="49">
        <v>1</v>
      </c>
      <c r="P1198" s="49" t="s">
        <v>12012</v>
      </c>
      <c r="Q1198" s="49">
        <v>0</v>
      </c>
      <c r="R1198" s="49" t="s">
        <v>12013</v>
      </c>
      <c r="S1198" s="49" t="s">
        <v>12014</v>
      </c>
      <c r="T1198" s="49" t="s">
        <v>12015</v>
      </c>
      <c r="U1198" s="49" t="s">
        <v>670</v>
      </c>
      <c r="V1198" s="49" t="e">
        <v>#REF!</v>
      </c>
      <c r="AC1198" s="49"/>
      <c r="AD1198" s="49"/>
    </row>
    <row r="1199" spans="1:30" hidden="1" x14ac:dyDescent="0.3">
      <c r="A1199" s="49" t="s">
        <v>12016</v>
      </c>
      <c r="B1199" s="49">
        <v>0</v>
      </c>
      <c r="C1199" s="49"/>
      <c r="D1199" s="72" t="s">
        <v>717</v>
      </c>
      <c r="E1199" s="49" t="s">
        <v>3754</v>
      </c>
      <c r="F1199" s="49"/>
      <c r="G1199" s="49"/>
      <c r="H1199" s="49" t="s">
        <v>12017</v>
      </c>
      <c r="I1199" s="49" t="s">
        <v>12020</v>
      </c>
      <c r="J1199" s="49" t="s">
        <v>12018</v>
      </c>
      <c r="K1199" s="49" t="s">
        <v>12019</v>
      </c>
      <c r="L1199" s="49">
        <v>0</v>
      </c>
      <c r="M1199" s="49" t="s">
        <v>1865</v>
      </c>
      <c r="N1199" s="49" t="s">
        <v>1064</v>
      </c>
      <c r="O1199" s="49">
        <v>3</v>
      </c>
      <c r="P1199" s="49" t="s">
        <v>12021</v>
      </c>
      <c r="Q1199" s="49">
        <v>0</v>
      </c>
      <c r="R1199" s="49" t="s">
        <v>12022</v>
      </c>
      <c r="S1199" s="49" t="s">
        <v>12023</v>
      </c>
      <c r="T1199" s="49" t="s">
        <v>12024</v>
      </c>
      <c r="U1199" s="49" t="s">
        <v>655</v>
      </c>
      <c r="V1199" s="49" t="e">
        <v>#REF!</v>
      </c>
      <c r="AC1199" s="49"/>
      <c r="AD1199" s="49"/>
    </row>
    <row r="1200" spans="1:30" hidden="1" x14ac:dyDescent="0.3">
      <c r="A1200" s="49" t="s">
        <v>12025</v>
      </c>
      <c r="B1200" s="49">
        <v>0</v>
      </c>
      <c r="C1200" s="49"/>
      <c r="D1200" s="72" t="s">
        <v>717</v>
      </c>
      <c r="E1200" s="49" t="s">
        <v>3754</v>
      </c>
      <c r="F1200" s="49"/>
      <c r="G1200" s="49"/>
      <c r="H1200" s="49" t="s">
        <v>12026</v>
      </c>
      <c r="I1200" s="49" t="s">
        <v>12029</v>
      </c>
      <c r="J1200" s="49" t="s">
        <v>12027</v>
      </c>
      <c r="K1200" s="49" t="s">
        <v>12028</v>
      </c>
      <c r="L1200" s="49">
        <v>0</v>
      </c>
      <c r="M1200" s="49" t="s">
        <v>1777</v>
      </c>
      <c r="N1200" s="49" t="s">
        <v>10327</v>
      </c>
      <c r="O1200" s="49">
        <v>8</v>
      </c>
      <c r="P1200" s="49" t="s">
        <v>12030</v>
      </c>
      <c r="Q1200" s="49">
        <v>0</v>
      </c>
      <c r="R1200" s="49" t="s">
        <v>12031</v>
      </c>
      <c r="S1200" s="49" t="s">
        <v>12032</v>
      </c>
      <c r="T1200" s="49" t="s">
        <v>12033</v>
      </c>
      <c r="U1200" s="49" t="s">
        <v>655</v>
      </c>
      <c r="V1200" s="49" t="e">
        <v>#REF!</v>
      </c>
      <c r="AC1200" s="49"/>
      <c r="AD1200" s="49"/>
    </row>
    <row r="1201" spans="1:30" hidden="1" x14ac:dyDescent="0.3">
      <c r="A1201" s="49" t="s">
        <v>12034</v>
      </c>
      <c r="B1201" s="49">
        <v>0</v>
      </c>
      <c r="C1201" s="49"/>
      <c r="D1201" s="72" t="s">
        <v>717</v>
      </c>
      <c r="E1201" s="49" t="s">
        <v>3754</v>
      </c>
      <c r="F1201" s="49"/>
      <c r="G1201" s="49"/>
      <c r="H1201" s="49" t="s">
        <v>646</v>
      </c>
      <c r="I1201" s="49" t="s">
        <v>12037</v>
      </c>
      <c r="J1201" s="49" t="s">
        <v>12035</v>
      </c>
      <c r="K1201" s="49" t="s">
        <v>12036</v>
      </c>
      <c r="L1201" s="49">
        <v>0</v>
      </c>
      <c r="M1201" s="49" t="s">
        <v>4084</v>
      </c>
      <c r="N1201" s="49" t="s">
        <v>4765</v>
      </c>
      <c r="O1201" s="49">
        <v>5</v>
      </c>
      <c r="P1201" s="49" t="s">
        <v>12038</v>
      </c>
      <c r="Q1201" s="49">
        <v>0</v>
      </c>
      <c r="R1201" s="49" t="s">
        <v>12039</v>
      </c>
      <c r="S1201" s="49" t="s">
        <v>12040</v>
      </c>
      <c r="T1201" s="49" t="s">
        <v>646</v>
      </c>
      <c r="U1201" s="49" t="s">
        <v>670</v>
      </c>
      <c r="V1201" s="49" t="e">
        <v>#REF!</v>
      </c>
      <c r="AC1201" s="49"/>
      <c r="AD1201" s="49"/>
    </row>
    <row r="1202" spans="1:30" hidden="1" x14ac:dyDescent="0.3">
      <c r="A1202" s="49" t="s">
        <v>12041</v>
      </c>
      <c r="B1202" s="49">
        <v>0</v>
      </c>
      <c r="C1202" s="49"/>
      <c r="D1202" s="72" t="s">
        <v>717</v>
      </c>
      <c r="E1202" s="49" t="s">
        <v>3754</v>
      </c>
      <c r="F1202" s="49"/>
      <c r="G1202" s="49"/>
      <c r="H1202" s="49" t="s">
        <v>12042</v>
      </c>
      <c r="I1202" s="49" t="s">
        <v>12045</v>
      </c>
      <c r="J1202" s="49" t="s">
        <v>12043</v>
      </c>
      <c r="K1202" s="49" t="s">
        <v>12044</v>
      </c>
      <c r="L1202" s="49">
        <v>0</v>
      </c>
      <c r="M1202" s="49" t="s">
        <v>2220</v>
      </c>
      <c r="N1202" s="49" t="s">
        <v>12046</v>
      </c>
      <c r="O1202" s="49">
        <v>39</v>
      </c>
      <c r="P1202" s="49" t="s">
        <v>12047</v>
      </c>
      <c r="Q1202" s="49">
        <v>0</v>
      </c>
      <c r="R1202" s="49" t="s">
        <v>12048</v>
      </c>
      <c r="S1202" s="49" t="s">
        <v>12049</v>
      </c>
      <c r="T1202" s="49" t="s">
        <v>12050</v>
      </c>
      <c r="U1202" s="49" t="s">
        <v>655</v>
      </c>
      <c r="V1202" s="49" t="e">
        <v>#REF!</v>
      </c>
      <c r="AC1202" s="49"/>
      <c r="AD1202" s="49"/>
    </row>
    <row r="1203" spans="1:30" hidden="1" x14ac:dyDescent="0.3">
      <c r="A1203" s="49" t="s">
        <v>12051</v>
      </c>
      <c r="B1203" s="49">
        <v>0</v>
      </c>
      <c r="C1203" s="49"/>
      <c r="D1203" s="72" t="s">
        <v>717</v>
      </c>
      <c r="E1203" s="49" t="s">
        <v>3754</v>
      </c>
      <c r="F1203" s="49"/>
      <c r="G1203" s="49"/>
      <c r="H1203" s="49" t="s">
        <v>12052</v>
      </c>
      <c r="I1203" s="49" t="s">
        <v>12055</v>
      </c>
      <c r="J1203" s="49" t="s">
        <v>12053</v>
      </c>
      <c r="K1203" s="49" t="s">
        <v>12054</v>
      </c>
      <c r="L1203" s="49">
        <v>0</v>
      </c>
      <c r="M1203" s="49" t="s">
        <v>2484</v>
      </c>
      <c r="N1203" s="49" t="s">
        <v>12056</v>
      </c>
      <c r="O1203" s="49">
        <v>4</v>
      </c>
      <c r="P1203" s="49" t="s">
        <v>12057</v>
      </c>
      <c r="Q1203" s="49">
        <v>0</v>
      </c>
      <c r="R1203" s="49" t="s">
        <v>12058</v>
      </c>
      <c r="S1203" s="49" t="s">
        <v>12059</v>
      </c>
      <c r="T1203" s="49" t="s">
        <v>646</v>
      </c>
      <c r="U1203" s="49" t="s">
        <v>670</v>
      </c>
      <c r="V1203" s="49" t="e">
        <v>#REF!</v>
      </c>
      <c r="AC1203" s="49"/>
      <c r="AD1203" s="49"/>
    </row>
    <row r="1204" spans="1:30" hidden="1" x14ac:dyDescent="0.3">
      <c r="A1204" s="49" t="s">
        <v>1315</v>
      </c>
      <c r="B1204" s="49">
        <v>0</v>
      </c>
      <c r="C1204" s="49"/>
      <c r="D1204" s="72" t="s">
        <v>717</v>
      </c>
      <c r="E1204" s="49" t="s">
        <v>3754</v>
      </c>
      <c r="F1204" s="49"/>
      <c r="G1204" s="49"/>
      <c r="H1204" s="49" t="s">
        <v>1317</v>
      </c>
      <c r="I1204" s="49" t="s">
        <v>1318</v>
      </c>
      <c r="J1204" s="49" t="s">
        <v>1319</v>
      </c>
      <c r="K1204" s="49" t="s">
        <v>1320</v>
      </c>
      <c r="L1204" s="49">
        <v>0</v>
      </c>
      <c r="M1204" s="49" t="s">
        <v>2142</v>
      </c>
      <c r="N1204" s="49" t="s">
        <v>1321</v>
      </c>
      <c r="O1204" s="49">
        <v>17</v>
      </c>
      <c r="P1204" s="49" t="s">
        <v>1322</v>
      </c>
      <c r="Q1204" s="49">
        <v>0</v>
      </c>
      <c r="R1204" s="49" t="s">
        <v>1323</v>
      </c>
      <c r="S1204" s="49" t="s">
        <v>1324</v>
      </c>
      <c r="T1204" s="49" t="s">
        <v>646</v>
      </c>
      <c r="U1204" s="49" t="s">
        <v>670</v>
      </c>
      <c r="V1204" s="49" t="e">
        <v>#REF!</v>
      </c>
      <c r="AC1204" s="49"/>
      <c r="AD1204" s="49"/>
    </row>
    <row r="1205" spans="1:30" hidden="1" x14ac:dyDescent="0.3">
      <c r="A1205" s="49" t="s">
        <v>12060</v>
      </c>
      <c r="B1205" s="49">
        <v>0</v>
      </c>
      <c r="C1205" s="49"/>
      <c r="D1205" s="72" t="s">
        <v>717</v>
      </c>
      <c r="E1205" s="49" t="s">
        <v>3754</v>
      </c>
      <c r="F1205" s="49"/>
      <c r="G1205" s="49"/>
      <c r="H1205" s="49" t="s">
        <v>12061</v>
      </c>
      <c r="I1205" s="49" t="s">
        <v>12064</v>
      </c>
      <c r="J1205" s="49" t="s">
        <v>12062</v>
      </c>
      <c r="K1205" s="49" t="s">
        <v>12063</v>
      </c>
      <c r="L1205" s="49">
        <v>0</v>
      </c>
      <c r="M1205" s="49" t="s">
        <v>2484</v>
      </c>
      <c r="N1205" s="49" t="s">
        <v>12065</v>
      </c>
      <c r="O1205" s="49">
        <v>5</v>
      </c>
      <c r="P1205" s="49" t="s">
        <v>12066</v>
      </c>
      <c r="Q1205" s="49">
        <v>0</v>
      </c>
      <c r="R1205" s="49" t="s">
        <v>12067</v>
      </c>
      <c r="S1205" s="49" t="s">
        <v>12068</v>
      </c>
      <c r="T1205" s="49" t="s">
        <v>12069</v>
      </c>
      <c r="U1205" s="49" t="s">
        <v>655</v>
      </c>
      <c r="V1205" s="49" t="e">
        <v>#REF!</v>
      </c>
      <c r="AC1205" s="49"/>
      <c r="AD1205" s="49"/>
    </row>
    <row r="1206" spans="1:30" hidden="1" x14ac:dyDescent="0.3">
      <c r="A1206" s="49" t="s">
        <v>1010</v>
      </c>
      <c r="B1206" s="49">
        <v>0</v>
      </c>
      <c r="C1206" s="49"/>
      <c r="D1206" s="72" t="s">
        <v>717</v>
      </c>
      <c r="E1206" s="49" t="s">
        <v>3754</v>
      </c>
      <c r="F1206" s="49"/>
      <c r="G1206" s="49"/>
      <c r="H1206" s="49" t="s">
        <v>1012</v>
      </c>
      <c r="I1206" s="49" t="s">
        <v>1013</v>
      </c>
      <c r="J1206" s="49" t="s">
        <v>1014</v>
      </c>
      <c r="K1206" s="49" t="s">
        <v>1015</v>
      </c>
      <c r="L1206" s="49">
        <v>0</v>
      </c>
      <c r="M1206" s="49" t="s">
        <v>1777</v>
      </c>
      <c r="N1206" s="49" t="s">
        <v>818</v>
      </c>
      <c r="O1206" s="49">
        <v>6</v>
      </c>
      <c r="P1206" s="49" t="s">
        <v>1016</v>
      </c>
      <c r="Q1206" s="49">
        <v>0</v>
      </c>
      <c r="R1206" s="49" t="s">
        <v>1017</v>
      </c>
      <c r="S1206" s="49" t="s">
        <v>1018</v>
      </c>
      <c r="T1206" s="49" t="s">
        <v>1019</v>
      </c>
      <c r="U1206" s="49" t="s">
        <v>670</v>
      </c>
      <c r="V1206" s="49" t="e">
        <v>#REF!</v>
      </c>
      <c r="AC1206" s="49"/>
      <c r="AD1206" s="49"/>
    </row>
    <row r="1207" spans="1:30" hidden="1" x14ac:dyDescent="0.3">
      <c r="A1207" s="49" t="s">
        <v>12070</v>
      </c>
      <c r="B1207" s="49">
        <v>0</v>
      </c>
      <c r="C1207" s="49"/>
      <c r="D1207" s="72" t="s">
        <v>717</v>
      </c>
      <c r="E1207" s="49" t="s">
        <v>3754</v>
      </c>
      <c r="F1207" s="49"/>
      <c r="G1207" s="49"/>
      <c r="H1207" s="49" t="s">
        <v>12071</v>
      </c>
      <c r="I1207" s="49" t="s">
        <v>12074</v>
      </c>
      <c r="J1207" s="49" t="s">
        <v>12072</v>
      </c>
      <c r="K1207" s="49" t="s">
        <v>12073</v>
      </c>
      <c r="L1207" s="49">
        <v>0</v>
      </c>
      <c r="M1207" s="49" t="s">
        <v>1764</v>
      </c>
      <c r="N1207" s="49" t="s">
        <v>12075</v>
      </c>
      <c r="O1207" s="49">
        <v>24</v>
      </c>
      <c r="P1207" s="49" t="s">
        <v>12076</v>
      </c>
      <c r="Q1207" s="49">
        <v>0</v>
      </c>
      <c r="R1207" s="49" t="s">
        <v>12077</v>
      </c>
      <c r="S1207" s="49" t="s">
        <v>12078</v>
      </c>
      <c r="T1207" s="49" t="s">
        <v>646</v>
      </c>
      <c r="U1207" s="49" t="s">
        <v>670</v>
      </c>
      <c r="V1207" s="49" t="e">
        <v>#REF!</v>
      </c>
      <c r="AC1207" s="49"/>
      <c r="AD1207" s="49"/>
    </row>
    <row r="1208" spans="1:30" hidden="1" x14ac:dyDescent="0.3">
      <c r="A1208" s="49" t="s">
        <v>715</v>
      </c>
      <c r="B1208" s="49">
        <v>0</v>
      </c>
      <c r="C1208" s="49"/>
      <c r="D1208" s="72" t="s">
        <v>717</v>
      </c>
      <c r="E1208" s="49" t="s">
        <v>3754</v>
      </c>
      <c r="F1208" s="49"/>
      <c r="G1208" s="49"/>
      <c r="H1208" s="49" t="s">
        <v>646</v>
      </c>
      <c r="I1208" s="49" t="s">
        <v>718</v>
      </c>
      <c r="J1208" s="49" t="s">
        <v>719</v>
      </c>
      <c r="K1208" s="49" t="s">
        <v>720</v>
      </c>
      <c r="L1208" s="49">
        <v>0</v>
      </c>
      <c r="M1208" s="49" t="s">
        <v>2484</v>
      </c>
      <c r="N1208" s="49" t="s">
        <v>721</v>
      </c>
      <c r="O1208" s="49">
        <v>9</v>
      </c>
      <c r="P1208" s="49" t="s">
        <v>722</v>
      </c>
      <c r="Q1208" s="49">
        <v>0</v>
      </c>
      <c r="R1208" s="49" t="s">
        <v>723</v>
      </c>
      <c r="S1208" s="49" t="s">
        <v>724</v>
      </c>
      <c r="T1208" s="49" t="s">
        <v>646</v>
      </c>
      <c r="U1208" s="49" t="s">
        <v>670</v>
      </c>
      <c r="V1208" s="49" t="e">
        <v>#REF!</v>
      </c>
      <c r="AC1208" s="49"/>
      <c r="AD1208" s="49"/>
    </row>
    <row r="1209" spans="1:30" hidden="1" x14ac:dyDescent="0.3">
      <c r="A1209" s="49" t="s">
        <v>12079</v>
      </c>
      <c r="B1209" s="49">
        <v>0</v>
      </c>
      <c r="C1209" s="49"/>
      <c r="D1209" s="72" t="s">
        <v>717</v>
      </c>
      <c r="E1209" s="49" t="s">
        <v>3754</v>
      </c>
      <c r="F1209" s="49"/>
      <c r="G1209" s="49"/>
      <c r="H1209" s="49" t="s">
        <v>12080</v>
      </c>
      <c r="I1209" s="49" t="s">
        <v>7790</v>
      </c>
      <c r="J1209" s="49" t="s">
        <v>7788</v>
      </c>
      <c r="K1209" s="49" t="s">
        <v>12081</v>
      </c>
      <c r="L1209" s="49">
        <v>0</v>
      </c>
      <c r="M1209" s="49" t="s">
        <v>4114</v>
      </c>
      <c r="N1209" s="49" t="s">
        <v>12082</v>
      </c>
      <c r="O1209" s="49">
        <v>2</v>
      </c>
      <c r="P1209" s="49" t="s">
        <v>12083</v>
      </c>
      <c r="Q1209" s="49">
        <v>0</v>
      </c>
      <c r="R1209" s="49" t="s">
        <v>12084</v>
      </c>
      <c r="S1209" s="49" t="s">
        <v>12085</v>
      </c>
      <c r="T1209" s="49" t="s">
        <v>646</v>
      </c>
      <c r="U1209" s="49" t="s">
        <v>670</v>
      </c>
      <c r="V1209" s="49" t="e">
        <v>#REF!</v>
      </c>
      <c r="AC1209" s="49"/>
      <c r="AD1209" s="49"/>
    </row>
    <row r="1210" spans="1:30" hidden="1" x14ac:dyDescent="0.3">
      <c r="A1210" s="49" t="s">
        <v>12086</v>
      </c>
      <c r="B1210" s="49">
        <v>0</v>
      </c>
      <c r="C1210" s="49"/>
      <c r="D1210" s="72" t="s">
        <v>717</v>
      </c>
      <c r="E1210" s="49" t="s">
        <v>3754</v>
      </c>
      <c r="F1210" s="49"/>
      <c r="G1210" s="49"/>
      <c r="H1210" s="49" t="s">
        <v>12087</v>
      </c>
      <c r="I1210" s="49" t="s">
        <v>12090</v>
      </c>
      <c r="J1210" s="49" t="s">
        <v>12088</v>
      </c>
      <c r="K1210" s="49" t="s">
        <v>12089</v>
      </c>
      <c r="L1210" s="49">
        <v>0</v>
      </c>
      <c r="M1210" s="49" t="s">
        <v>2636</v>
      </c>
      <c r="N1210" s="49" t="s">
        <v>4801</v>
      </c>
      <c r="O1210" s="49">
        <v>129</v>
      </c>
      <c r="P1210" s="49" t="s">
        <v>12091</v>
      </c>
      <c r="Q1210" s="49">
        <v>0</v>
      </c>
      <c r="R1210" s="49" t="s">
        <v>12092</v>
      </c>
      <c r="S1210" s="49" t="s">
        <v>12093</v>
      </c>
      <c r="T1210" s="49" t="s">
        <v>12094</v>
      </c>
      <c r="U1210" s="49" t="s">
        <v>670</v>
      </c>
      <c r="V1210" s="49" t="e">
        <v>#REF!</v>
      </c>
      <c r="AC1210" s="49"/>
      <c r="AD1210" s="49"/>
    </row>
    <row r="1211" spans="1:30" hidden="1" x14ac:dyDescent="0.3">
      <c r="A1211" s="49" t="s">
        <v>12095</v>
      </c>
      <c r="B1211" s="49">
        <v>0</v>
      </c>
      <c r="C1211" s="49"/>
      <c r="D1211" s="72" t="s">
        <v>717</v>
      </c>
      <c r="E1211" s="49" t="s">
        <v>3754</v>
      </c>
      <c r="F1211" s="49"/>
      <c r="G1211" s="49"/>
      <c r="H1211" s="49" t="s">
        <v>12096</v>
      </c>
      <c r="I1211" s="49" t="s">
        <v>12099</v>
      </c>
      <c r="J1211" s="49" t="s">
        <v>12097</v>
      </c>
      <c r="K1211" s="49" t="s">
        <v>12098</v>
      </c>
      <c r="L1211" s="49">
        <v>0</v>
      </c>
      <c r="M1211" s="49" t="s">
        <v>1777</v>
      </c>
      <c r="N1211" s="49" t="s">
        <v>11467</v>
      </c>
      <c r="O1211" s="49">
        <v>42</v>
      </c>
      <c r="P1211" s="49" t="s">
        <v>12100</v>
      </c>
      <c r="Q1211" s="49">
        <v>0</v>
      </c>
      <c r="R1211" s="49" t="s">
        <v>12101</v>
      </c>
      <c r="S1211" s="49" t="s">
        <v>12102</v>
      </c>
      <c r="T1211" s="49" t="s">
        <v>646</v>
      </c>
      <c r="U1211" s="49" t="s">
        <v>655</v>
      </c>
      <c r="V1211" s="49" t="e">
        <v>#REF!</v>
      </c>
      <c r="AC1211" s="49"/>
      <c r="AD1211" s="49"/>
    </row>
    <row r="1212" spans="1:30" hidden="1" x14ac:dyDescent="0.3">
      <c r="A1212" s="49" t="s">
        <v>12103</v>
      </c>
      <c r="B1212" s="49">
        <v>0</v>
      </c>
      <c r="C1212" s="49"/>
      <c r="D1212" s="72" t="s">
        <v>717</v>
      </c>
      <c r="E1212" s="49" t="s">
        <v>3754</v>
      </c>
      <c r="F1212" s="49"/>
      <c r="G1212" s="49"/>
      <c r="H1212" s="49" t="s">
        <v>12104</v>
      </c>
      <c r="I1212" s="49" t="s">
        <v>12107</v>
      </c>
      <c r="J1212" s="49" t="s">
        <v>12105</v>
      </c>
      <c r="K1212" s="49" t="s">
        <v>12106</v>
      </c>
      <c r="L1212" s="49">
        <v>0</v>
      </c>
      <c r="M1212" s="49" t="s">
        <v>2142</v>
      </c>
      <c r="N1212" s="49" t="s">
        <v>4577</v>
      </c>
      <c r="O1212" s="49">
        <v>21</v>
      </c>
      <c r="P1212" s="49" t="s">
        <v>12108</v>
      </c>
      <c r="Q1212" s="49">
        <v>0</v>
      </c>
      <c r="R1212" s="49" t="s">
        <v>12109</v>
      </c>
      <c r="S1212" s="49" t="s">
        <v>12110</v>
      </c>
      <c r="T1212" s="49" t="s">
        <v>646</v>
      </c>
      <c r="U1212" s="49" t="s">
        <v>670</v>
      </c>
      <c r="V1212" s="49" t="e">
        <v>#REF!</v>
      </c>
      <c r="AC1212" s="49"/>
      <c r="AD1212" s="49"/>
    </row>
    <row r="1213" spans="1:30" hidden="1" x14ac:dyDescent="0.3">
      <c r="A1213" s="49" t="s">
        <v>12111</v>
      </c>
      <c r="B1213" s="49">
        <v>0</v>
      </c>
      <c r="C1213" s="49"/>
      <c r="D1213" s="72" t="s">
        <v>717</v>
      </c>
      <c r="E1213" s="49" t="s">
        <v>3754</v>
      </c>
      <c r="F1213" s="49"/>
      <c r="G1213" s="49"/>
      <c r="H1213" s="49" t="s">
        <v>12112</v>
      </c>
      <c r="I1213" s="49" t="s">
        <v>12115</v>
      </c>
      <c r="J1213" s="49" t="s">
        <v>12113</v>
      </c>
      <c r="K1213" s="49" t="s">
        <v>12114</v>
      </c>
      <c r="L1213" s="49">
        <v>0</v>
      </c>
      <c r="M1213" s="49" t="s">
        <v>1777</v>
      </c>
      <c r="N1213" s="49" t="s">
        <v>5230</v>
      </c>
      <c r="O1213" s="49">
        <v>57</v>
      </c>
      <c r="P1213" s="49" t="s">
        <v>12116</v>
      </c>
      <c r="Q1213" s="49">
        <v>0</v>
      </c>
      <c r="R1213" s="49" t="s">
        <v>12117</v>
      </c>
      <c r="S1213" s="49" t="s">
        <v>12118</v>
      </c>
      <c r="T1213" s="49" t="s">
        <v>12119</v>
      </c>
      <c r="U1213" s="49" t="s">
        <v>655</v>
      </c>
      <c r="V1213" s="49" t="e">
        <v>#REF!</v>
      </c>
      <c r="AC1213" s="49"/>
      <c r="AD1213" s="49"/>
    </row>
    <row r="1214" spans="1:30" hidden="1" x14ac:dyDescent="0.3">
      <c r="A1214" s="49" t="s">
        <v>12120</v>
      </c>
      <c r="B1214" s="49">
        <v>0</v>
      </c>
      <c r="C1214" s="49"/>
      <c r="D1214" s="72" t="s">
        <v>717</v>
      </c>
      <c r="E1214" s="49" t="s">
        <v>3754</v>
      </c>
      <c r="F1214" s="49"/>
      <c r="G1214" s="49"/>
      <c r="H1214" s="49" t="s">
        <v>12121</v>
      </c>
      <c r="I1214" s="49" t="s">
        <v>12124</v>
      </c>
      <c r="J1214" s="49" t="s">
        <v>12122</v>
      </c>
      <c r="K1214" s="49" t="s">
        <v>12123</v>
      </c>
      <c r="L1214" s="49">
        <v>0</v>
      </c>
      <c r="M1214" s="49" t="s">
        <v>2142</v>
      </c>
      <c r="N1214" s="49" t="s">
        <v>12125</v>
      </c>
      <c r="O1214" s="49">
        <v>6</v>
      </c>
      <c r="P1214" s="49" t="s">
        <v>12126</v>
      </c>
      <c r="Q1214" s="49">
        <v>0</v>
      </c>
      <c r="R1214" s="49" t="s">
        <v>12127</v>
      </c>
      <c r="S1214" s="49" t="s">
        <v>12128</v>
      </c>
      <c r="T1214" s="49" t="s">
        <v>12129</v>
      </c>
      <c r="U1214" s="49" t="s">
        <v>655</v>
      </c>
      <c r="V1214" s="49" t="e">
        <v>#REF!</v>
      </c>
      <c r="AC1214" s="49"/>
      <c r="AD1214" s="49"/>
    </row>
    <row r="1215" spans="1:30" hidden="1" x14ac:dyDescent="0.3">
      <c r="A1215" s="49" t="s">
        <v>12130</v>
      </c>
      <c r="B1215" s="49">
        <v>0</v>
      </c>
      <c r="C1215" s="49"/>
      <c r="D1215" s="72" t="s">
        <v>717</v>
      </c>
      <c r="E1215" s="49" t="s">
        <v>3754</v>
      </c>
      <c r="F1215" s="49"/>
      <c r="G1215" s="49"/>
      <c r="H1215" s="49" t="s">
        <v>12131</v>
      </c>
      <c r="I1215" s="49" t="s">
        <v>12134</v>
      </c>
      <c r="J1215" s="49" t="s">
        <v>12132</v>
      </c>
      <c r="K1215" s="49" t="s">
        <v>12133</v>
      </c>
      <c r="L1215" s="49">
        <v>0</v>
      </c>
      <c r="M1215" s="49" t="s">
        <v>1826</v>
      </c>
      <c r="N1215" s="49" t="s">
        <v>12135</v>
      </c>
      <c r="O1215" s="49">
        <v>3</v>
      </c>
      <c r="P1215" s="49" t="s">
        <v>12136</v>
      </c>
      <c r="Q1215" s="49">
        <v>0</v>
      </c>
      <c r="R1215" s="49" t="s">
        <v>12137</v>
      </c>
      <c r="S1215" s="49" t="s">
        <v>12138</v>
      </c>
      <c r="T1215" s="49" t="s">
        <v>646</v>
      </c>
      <c r="U1215" s="49" t="s">
        <v>670</v>
      </c>
      <c r="V1215" s="49" t="e">
        <v>#REF!</v>
      </c>
      <c r="AC1215" s="49"/>
      <c r="AD1215" s="49"/>
    </row>
    <row r="1216" spans="1:30" hidden="1" x14ac:dyDescent="0.3">
      <c r="A1216" s="49" t="s">
        <v>12139</v>
      </c>
      <c r="B1216" s="49">
        <v>0</v>
      </c>
      <c r="C1216" s="49"/>
      <c r="D1216" s="72" t="s">
        <v>717</v>
      </c>
      <c r="E1216" s="49" t="s">
        <v>3754</v>
      </c>
      <c r="F1216" s="49"/>
      <c r="G1216" s="49"/>
      <c r="H1216" s="49" t="s">
        <v>12140</v>
      </c>
      <c r="I1216" s="49" t="s">
        <v>12143</v>
      </c>
      <c r="J1216" s="49" t="s">
        <v>12141</v>
      </c>
      <c r="K1216" s="49" t="s">
        <v>12142</v>
      </c>
      <c r="L1216" s="49">
        <v>0</v>
      </c>
      <c r="M1216" s="49" t="s">
        <v>4114</v>
      </c>
      <c r="N1216" s="49" t="s">
        <v>697</v>
      </c>
      <c r="O1216" s="49">
        <v>31</v>
      </c>
      <c r="P1216" s="49" t="s">
        <v>12144</v>
      </c>
      <c r="Q1216" s="49">
        <v>0</v>
      </c>
      <c r="R1216" s="49" t="s">
        <v>12145</v>
      </c>
      <c r="S1216" s="49" t="s">
        <v>12146</v>
      </c>
      <c r="T1216" s="49" t="s">
        <v>646</v>
      </c>
      <c r="U1216" s="49" t="s">
        <v>655</v>
      </c>
      <c r="V1216" s="49" t="e">
        <v>#REF!</v>
      </c>
      <c r="AC1216" s="49"/>
      <c r="AD1216" s="49"/>
    </row>
    <row r="1217" spans="1:30" hidden="1" x14ac:dyDescent="0.3">
      <c r="A1217" s="49" t="s">
        <v>12147</v>
      </c>
      <c r="B1217" s="49">
        <v>0</v>
      </c>
      <c r="C1217" s="49"/>
      <c r="D1217" s="72" t="s">
        <v>717</v>
      </c>
      <c r="E1217" s="49" t="s">
        <v>3754</v>
      </c>
      <c r="F1217" s="49"/>
      <c r="G1217" s="49"/>
      <c r="H1217" s="49" t="s">
        <v>12148</v>
      </c>
      <c r="I1217" s="49" t="s">
        <v>12151</v>
      </c>
      <c r="J1217" s="49" t="s">
        <v>12149</v>
      </c>
      <c r="K1217" s="49" t="s">
        <v>12150</v>
      </c>
      <c r="L1217" s="49">
        <v>0</v>
      </c>
      <c r="M1217" s="49" t="s">
        <v>1764</v>
      </c>
      <c r="N1217" s="49" t="s">
        <v>12152</v>
      </c>
      <c r="O1217" s="49">
        <v>271</v>
      </c>
      <c r="P1217" s="49" t="s">
        <v>12153</v>
      </c>
      <c r="Q1217" s="49">
        <v>0</v>
      </c>
      <c r="R1217" s="49" t="s">
        <v>12154</v>
      </c>
      <c r="S1217" s="49" t="s">
        <v>12155</v>
      </c>
      <c r="T1217" s="49" t="s">
        <v>646</v>
      </c>
      <c r="U1217" s="49" t="s">
        <v>655</v>
      </c>
      <c r="V1217" s="49" t="e">
        <v>#REF!</v>
      </c>
      <c r="AC1217" s="49"/>
      <c r="AD1217" s="49"/>
    </row>
    <row r="1218" spans="1:30" hidden="1" x14ac:dyDescent="0.3">
      <c r="A1218" s="49" t="s">
        <v>12156</v>
      </c>
      <c r="B1218" s="49">
        <v>0</v>
      </c>
      <c r="C1218" s="49"/>
      <c r="D1218" s="72" t="s">
        <v>717</v>
      </c>
      <c r="E1218" s="49" t="s">
        <v>3754</v>
      </c>
      <c r="F1218" s="49"/>
      <c r="G1218" s="49"/>
      <c r="H1218" s="49" t="s">
        <v>12157</v>
      </c>
      <c r="I1218" s="49" t="s">
        <v>12160</v>
      </c>
      <c r="J1218" s="49" t="s">
        <v>12158</v>
      </c>
      <c r="K1218" s="49" t="s">
        <v>12159</v>
      </c>
      <c r="L1218" s="49">
        <v>0</v>
      </c>
      <c r="M1218" s="49" t="s">
        <v>1826</v>
      </c>
      <c r="N1218" s="49" t="s">
        <v>12161</v>
      </c>
      <c r="O1218" s="49">
        <v>16</v>
      </c>
      <c r="P1218" s="49" t="s">
        <v>12162</v>
      </c>
      <c r="Q1218" s="49">
        <v>0</v>
      </c>
      <c r="R1218" s="49" t="s">
        <v>12163</v>
      </c>
      <c r="S1218" s="49" t="s">
        <v>12164</v>
      </c>
      <c r="T1218" s="49" t="s">
        <v>646</v>
      </c>
      <c r="U1218" s="49" t="s">
        <v>670</v>
      </c>
      <c r="V1218" s="49" t="e">
        <v>#REF!</v>
      </c>
      <c r="AC1218" s="49"/>
      <c r="AD1218" s="49"/>
    </row>
    <row r="1219" spans="1:30" hidden="1" x14ac:dyDescent="0.3">
      <c r="A1219" s="49" t="s">
        <v>12165</v>
      </c>
      <c r="B1219" s="49">
        <v>0</v>
      </c>
      <c r="C1219" s="49"/>
      <c r="D1219" s="72" t="s">
        <v>717</v>
      </c>
      <c r="E1219" s="49" t="s">
        <v>3754</v>
      </c>
      <c r="F1219" s="49"/>
      <c r="G1219" s="49"/>
      <c r="H1219" s="49" t="s">
        <v>12166</v>
      </c>
      <c r="I1219" s="49" t="s">
        <v>12169</v>
      </c>
      <c r="J1219" s="49" t="s">
        <v>12167</v>
      </c>
      <c r="K1219" s="49" t="s">
        <v>12168</v>
      </c>
      <c r="L1219" s="49">
        <v>0</v>
      </c>
      <c r="M1219" s="49" t="s">
        <v>2220</v>
      </c>
      <c r="N1219" s="49" t="s">
        <v>818</v>
      </c>
      <c r="O1219" s="49">
        <v>88</v>
      </c>
      <c r="P1219" s="49" t="s">
        <v>12170</v>
      </c>
      <c r="Q1219" s="49">
        <v>0</v>
      </c>
      <c r="R1219" s="49" t="s">
        <v>12171</v>
      </c>
      <c r="S1219" s="49" t="s">
        <v>12172</v>
      </c>
      <c r="T1219" s="49" t="s">
        <v>12173</v>
      </c>
      <c r="U1219" s="49" t="s">
        <v>670</v>
      </c>
      <c r="V1219" s="49" t="e">
        <v>#REF!</v>
      </c>
      <c r="AC1219" s="49"/>
      <c r="AD1219" s="49"/>
    </row>
    <row r="1220" spans="1:30" hidden="1" x14ac:dyDescent="0.3">
      <c r="A1220" s="49" t="s">
        <v>12174</v>
      </c>
      <c r="B1220" s="49">
        <v>0</v>
      </c>
      <c r="C1220" s="49"/>
      <c r="D1220" s="72" t="s">
        <v>717</v>
      </c>
      <c r="E1220" s="49" t="s">
        <v>3754</v>
      </c>
      <c r="F1220" s="49"/>
      <c r="G1220" s="49"/>
      <c r="H1220" s="49" t="s">
        <v>12175</v>
      </c>
      <c r="I1220" s="49" t="s">
        <v>12178</v>
      </c>
      <c r="J1220" s="49" t="s">
        <v>12176</v>
      </c>
      <c r="K1220" s="49" t="s">
        <v>12177</v>
      </c>
      <c r="L1220" s="49">
        <v>0</v>
      </c>
      <c r="M1220" s="49" t="s">
        <v>1865</v>
      </c>
      <c r="N1220" s="49" t="s">
        <v>12179</v>
      </c>
      <c r="O1220" s="49">
        <v>2</v>
      </c>
      <c r="P1220" s="49" t="s">
        <v>12180</v>
      </c>
      <c r="Q1220" s="49">
        <v>0</v>
      </c>
      <c r="R1220" s="49" t="s">
        <v>12181</v>
      </c>
      <c r="S1220" s="49" t="s">
        <v>12182</v>
      </c>
      <c r="T1220" s="49" t="s">
        <v>12183</v>
      </c>
      <c r="U1220" s="49" t="s">
        <v>655</v>
      </c>
      <c r="V1220" s="49" t="e">
        <v>#REF!</v>
      </c>
      <c r="AC1220" s="49"/>
      <c r="AD1220" s="49"/>
    </row>
    <row r="1221" spans="1:30" hidden="1" x14ac:dyDescent="0.3">
      <c r="A1221" s="49" t="s">
        <v>12184</v>
      </c>
      <c r="B1221" s="49">
        <v>0</v>
      </c>
      <c r="C1221" s="49"/>
      <c r="D1221" s="72" t="s">
        <v>717</v>
      </c>
      <c r="E1221" s="49" t="s">
        <v>3754</v>
      </c>
      <c r="F1221" s="49"/>
      <c r="G1221" s="49"/>
      <c r="H1221" s="49" t="s">
        <v>12185</v>
      </c>
      <c r="I1221" s="49" t="s">
        <v>12188</v>
      </c>
      <c r="J1221" s="49" t="s">
        <v>12186</v>
      </c>
      <c r="K1221" s="49" t="s">
        <v>12187</v>
      </c>
      <c r="L1221" s="49">
        <v>0</v>
      </c>
      <c r="M1221" s="49" t="s">
        <v>2142</v>
      </c>
      <c r="N1221" s="49" t="s">
        <v>12189</v>
      </c>
      <c r="O1221" s="49">
        <v>1</v>
      </c>
      <c r="P1221" s="49" t="s">
        <v>12190</v>
      </c>
      <c r="Q1221" s="49">
        <v>0</v>
      </c>
      <c r="R1221" s="49" t="s">
        <v>12191</v>
      </c>
      <c r="S1221" s="49" t="s">
        <v>12192</v>
      </c>
      <c r="T1221" s="49" t="s">
        <v>646</v>
      </c>
      <c r="U1221" s="49" t="s">
        <v>670</v>
      </c>
      <c r="V1221" s="49" t="e">
        <v>#REF!</v>
      </c>
      <c r="AC1221" s="49"/>
      <c r="AD1221" s="49"/>
    </row>
    <row r="1222" spans="1:30" hidden="1" x14ac:dyDescent="0.3">
      <c r="A1222" s="49" t="s">
        <v>12193</v>
      </c>
      <c r="B1222" s="49">
        <v>0</v>
      </c>
      <c r="C1222" s="49"/>
      <c r="D1222" s="72" t="s">
        <v>717</v>
      </c>
      <c r="E1222" s="49" t="s">
        <v>3754</v>
      </c>
      <c r="F1222" s="49"/>
      <c r="G1222" s="49"/>
      <c r="H1222" s="49" t="s">
        <v>12194</v>
      </c>
      <c r="I1222" s="49" t="s">
        <v>12197</v>
      </c>
      <c r="J1222" s="49" t="s">
        <v>12195</v>
      </c>
      <c r="K1222" s="49" t="s">
        <v>12196</v>
      </c>
      <c r="L1222" s="49">
        <v>0</v>
      </c>
      <c r="M1222" s="49" t="s">
        <v>2220</v>
      </c>
      <c r="N1222" s="49" t="s">
        <v>3949</v>
      </c>
      <c r="O1222" s="49">
        <v>42</v>
      </c>
      <c r="P1222" s="49" t="s">
        <v>12198</v>
      </c>
      <c r="Q1222" s="49">
        <v>0</v>
      </c>
      <c r="R1222" s="49" t="s">
        <v>12199</v>
      </c>
      <c r="S1222" s="49" t="s">
        <v>12200</v>
      </c>
      <c r="T1222" s="49" t="s">
        <v>12201</v>
      </c>
      <c r="U1222" s="49" t="s">
        <v>655</v>
      </c>
      <c r="V1222" s="49" t="e">
        <v>#REF!</v>
      </c>
      <c r="AC1222" s="49"/>
      <c r="AD1222" s="49"/>
    </row>
    <row r="1223" spans="1:30" hidden="1" x14ac:dyDescent="0.3">
      <c r="A1223" s="49" t="s">
        <v>12202</v>
      </c>
      <c r="B1223" s="49">
        <v>0</v>
      </c>
      <c r="C1223" s="49"/>
      <c r="D1223" s="72" t="s">
        <v>717</v>
      </c>
      <c r="E1223" s="49" t="s">
        <v>3754</v>
      </c>
      <c r="F1223" s="49"/>
      <c r="G1223" s="49"/>
      <c r="H1223" s="49" t="s">
        <v>12203</v>
      </c>
      <c r="I1223" s="49" t="s">
        <v>12206</v>
      </c>
      <c r="J1223" s="49" t="s">
        <v>12204</v>
      </c>
      <c r="K1223" s="49" t="s">
        <v>12205</v>
      </c>
      <c r="L1223" s="49">
        <v>0</v>
      </c>
      <c r="M1223" s="49" t="s">
        <v>2636</v>
      </c>
      <c r="N1223" s="49" t="s">
        <v>12207</v>
      </c>
      <c r="O1223" s="49">
        <v>67</v>
      </c>
      <c r="P1223" s="49" t="s">
        <v>12208</v>
      </c>
      <c r="Q1223" s="49">
        <v>0</v>
      </c>
      <c r="R1223" s="49" t="s">
        <v>12092</v>
      </c>
      <c r="S1223" s="49" t="s">
        <v>12209</v>
      </c>
      <c r="T1223" s="49" t="s">
        <v>12094</v>
      </c>
      <c r="U1223" s="49" t="s">
        <v>670</v>
      </c>
      <c r="V1223" s="49" t="e">
        <v>#REF!</v>
      </c>
      <c r="AC1223" s="49"/>
      <c r="AD1223" s="49"/>
    </row>
    <row r="1224" spans="1:30" hidden="1" x14ac:dyDescent="0.3">
      <c r="A1224" s="49" t="s">
        <v>12210</v>
      </c>
      <c r="B1224" s="49">
        <v>0</v>
      </c>
      <c r="C1224" s="49"/>
      <c r="D1224" s="72" t="s">
        <v>717</v>
      </c>
      <c r="E1224" s="49" t="s">
        <v>3754</v>
      </c>
      <c r="F1224" s="49"/>
      <c r="G1224" s="49"/>
      <c r="H1224" s="49" t="s">
        <v>12211</v>
      </c>
      <c r="I1224" s="49" t="s">
        <v>12214</v>
      </c>
      <c r="J1224" s="49" t="s">
        <v>12212</v>
      </c>
      <c r="K1224" s="49" t="s">
        <v>12213</v>
      </c>
      <c r="L1224" s="49">
        <v>0</v>
      </c>
      <c r="M1224" s="49" t="s">
        <v>1826</v>
      </c>
      <c r="N1224" s="49" t="s">
        <v>12215</v>
      </c>
      <c r="O1224" s="49">
        <v>5</v>
      </c>
      <c r="P1224" s="49" t="s">
        <v>12216</v>
      </c>
      <c r="Q1224" s="49">
        <v>0</v>
      </c>
      <c r="R1224" s="49" t="s">
        <v>12217</v>
      </c>
      <c r="S1224" s="49" t="s">
        <v>12218</v>
      </c>
      <c r="T1224" s="49" t="s">
        <v>646</v>
      </c>
      <c r="U1224" s="49" t="s">
        <v>670</v>
      </c>
      <c r="V1224" s="49" t="e">
        <v>#REF!</v>
      </c>
      <c r="AC1224" s="49"/>
      <c r="AD1224" s="49"/>
    </row>
    <row r="1225" spans="1:30" hidden="1" x14ac:dyDescent="0.3">
      <c r="A1225" s="49" t="s">
        <v>12219</v>
      </c>
      <c r="B1225" s="49">
        <v>0</v>
      </c>
      <c r="C1225" s="49"/>
      <c r="D1225" s="72" t="s">
        <v>717</v>
      </c>
      <c r="E1225" s="49" t="s">
        <v>3754</v>
      </c>
      <c r="F1225" s="49"/>
      <c r="G1225" s="49"/>
      <c r="H1225" s="49" t="s">
        <v>12220</v>
      </c>
      <c r="I1225" s="49" t="s">
        <v>12223</v>
      </c>
      <c r="J1225" s="49" t="s">
        <v>12221</v>
      </c>
      <c r="K1225" s="49" t="s">
        <v>12222</v>
      </c>
      <c r="L1225" s="49">
        <v>0</v>
      </c>
      <c r="M1225" s="49" t="s">
        <v>1865</v>
      </c>
      <c r="N1225" s="49" t="s">
        <v>12224</v>
      </c>
      <c r="P1225" s="49" t="s">
        <v>12225</v>
      </c>
      <c r="Q1225" s="49">
        <v>0</v>
      </c>
      <c r="R1225" s="49" t="s">
        <v>12226</v>
      </c>
      <c r="S1225" s="49" t="s">
        <v>12227</v>
      </c>
      <c r="T1225" s="49" t="s">
        <v>12228</v>
      </c>
      <c r="U1225" s="49" t="s">
        <v>655</v>
      </c>
      <c r="V1225" s="49" t="e">
        <v>#REF!</v>
      </c>
      <c r="AC1225" s="49"/>
      <c r="AD1225" s="49"/>
    </row>
    <row r="1226" spans="1:30" hidden="1" x14ac:dyDescent="0.3">
      <c r="A1226" s="49" t="s">
        <v>12229</v>
      </c>
      <c r="B1226" s="49">
        <v>0</v>
      </c>
      <c r="C1226" s="49"/>
      <c r="D1226" s="72" t="s">
        <v>717</v>
      </c>
      <c r="E1226" s="49" t="s">
        <v>3754</v>
      </c>
      <c r="F1226" s="49"/>
      <c r="G1226" s="49"/>
      <c r="H1226" s="49" t="s">
        <v>12230</v>
      </c>
      <c r="I1226" s="49" t="s">
        <v>12233</v>
      </c>
      <c r="J1226" s="49" t="s">
        <v>12231</v>
      </c>
      <c r="K1226" s="49" t="s">
        <v>12232</v>
      </c>
      <c r="L1226" s="49">
        <v>0</v>
      </c>
      <c r="M1226" s="49" t="s">
        <v>1865</v>
      </c>
      <c r="N1226" s="49" t="s">
        <v>12224</v>
      </c>
      <c r="O1226" s="49">
        <v>1</v>
      </c>
      <c r="P1226" s="49" t="s">
        <v>12234</v>
      </c>
      <c r="Q1226" s="49">
        <v>0</v>
      </c>
      <c r="R1226" s="49" t="s">
        <v>12235</v>
      </c>
      <c r="S1226" s="49" t="s">
        <v>12236</v>
      </c>
      <c r="T1226" s="49" t="s">
        <v>12237</v>
      </c>
      <c r="U1226" s="49" t="s">
        <v>655</v>
      </c>
      <c r="V1226" s="49" t="e">
        <v>#REF!</v>
      </c>
      <c r="AC1226" s="49"/>
      <c r="AD1226" s="49"/>
    </row>
    <row r="1227" spans="1:30" hidden="1" x14ac:dyDescent="0.3">
      <c r="A1227" s="49" t="s">
        <v>12238</v>
      </c>
      <c r="B1227" s="49">
        <v>0</v>
      </c>
      <c r="C1227" s="49"/>
      <c r="D1227" s="72" t="s">
        <v>717</v>
      </c>
      <c r="E1227" s="49" t="s">
        <v>3754</v>
      </c>
      <c r="F1227" s="49"/>
      <c r="G1227" s="49"/>
      <c r="H1227" s="49" t="s">
        <v>12239</v>
      </c>
      <c r="I1227" s="49" t="s">
        <v>12242</v>
      </c>
      <c r="J1227" s="49" t="s">
        <v>12240</v>
      </c>
      <c r="K1227" s="49" t="s">
        <v>12241</v>
      </c>
      <c r="L1227" s="49">
        <v>0</v>
      </c>
      <c r="M1227" s="49" t="s">
        <v>1764</v>
      </c>
      <c r="N1227" s="49" t="s">
        <v>12243</v>
      </c>
      <c r="O1227" s="49">
        <v>40</v>
      </c>
      <c r="P1227" s="49" t="s">
        <v>12244</v>
      </c>
      <c r="Q1227" s="49">
        <v>0</v>
      </c>
      <c r="R1227" s="49" t="s">
        <v>12245</v>
      </c>
      <c r="S1227" s="49" t="s">
        <v>12246</v>
      </c>
      <c r="T1227" s="49" t="s">
        <v>646</v>
      </c>
      <c r="U1227" s="49" t="s">
        <v>670</v>
      </c>
      <c r="V1227" s="49" t="e">
        <v>#REF!</v>
      </c>
      <c r="AC1227" s="49"/>
      <c r="AD1227" s="49"/>
    </row>
    <row r="1228" spans="1:30" hidden="1" x14ac:dyDescent="0.3">
      <c r="A1228" s="49" t="s">
        <v>12247</v>
      </c>
      <c r="B1228" s="49">
        <v>0</v>
      </c>
      <c r="C1228" s="49"/>
      <c r="D1228" s="72" t="s">
        <v>717</v>
      </c>
      <c r="E1228" s="49" t="s">
        <v>3754</v>
      </c>
      <c r="F1228" s="49"/>
      <c r="G1228" s="49"/>
      <c r="H1228" s="49" t="s">
        <v>12248</v>
      </c>
      <c r="I1228" s="49" t="s">
        <v>12251</v>
      </c>
      <c r="J1228" s="49" t="s">
        <v>12249</v>
      </c>
      <c r="K1228" s="49" t="s">
        <v>12250</v>
      </c>
      <c r="L1228" s="49">
        <v>0</v>
      </c>
      <c r="M1228" s="49" t="s">
        <v>1826</v>
      </c>
      <c r="N1228" s="49" t="s">
        <v>2239</v>
      </c>
      <c r="O1228" s="49">
        <v>12</v>
      </c>
      <c r="P1228" s="49" t="s">
        <v>12252</v>
      </c>
      <c r="Q1228" s="49">
        <v>0</v>
      </c>
      <c r="R1228" s="49" t="s">
        <v>12253</v>
      </c>
      <c r="S1228" s="49" t="s">
        <v>12254</v>
      </c>
      <c r="T1228" s="49" t="s">
        <v>646</v>
      </c>
      <c r="U1228" s="49" t="s">
        <v>670</v>
      </c>
      <c r="V1228" s="49" t="e">
        <v>#REF!</v>
      </c>
      <c r="AC1228" s="49"/>
      <c r="AD1228" s="49"/>
    </row>
    <row r="1229" spans="1:30" hidden="1" x14ac:dyDescent="0.3">
      <c r="A1229" s="49" t="s">
        <v>12255</v>
      </c>
      <c r="B1229" s="49">
        <v>0</v>
      </c>
      <c r="C1229" s="49"/>
      <c r="D1229" s="72" t="s">
        <v>717</v>
      </c>
      <c r="E1229" s="49" t="s">
        <v>3754</v>
      </c>
      <c r="F1229" s="49"/>
      <c r="G1229" s="49"/>
      <c r="H1229" s="49" t="s">
        <v>12256</v>
      </c>
      <c r="I1229" s="49" t="s">
        <v>12259</v>
      </c>
      <c r="J1229" s="49" t="s">
        <v>12257</v>
      </c>
      <c r="K1229" s="49" t="s">
        <v>12258</v>
      </c>
      <c r="L1229" s="49">
        <v>0</v>
      </c>
      <c r="M1229" s="49" t="s">
        <v>1764</v>
      </c>
      <c r="N1229" s="49" t="s">
        <v>12260</v>
      </c>
      <c r="O1229" s="49">
        <v>14</v>
      </c>
      <c r="P1229" s="49" t="s">
        <v>12261</v>
      </c>
      <c r="Q1229" s="49">
        <v>0</v>
      </c>
      <c r="R1229" s="49" t="s">
        <v>12262</v>
      </c>
      <c r="S1229" s="49" t="s">
        <v>12263</v>
      </c>
      <c r="T1229" s="49" t="s">
        <v>12264</v>
      </c>
      <c r="U1229" s="49" t="s">
        <v>655</v>
      </c>
      <c r="V1229" s="49" t="e">
        <v>#REF!</v>
      </c>
      <c r="AC1229" s="49"/>
      <c r="AD1229" s="49"/>
    </row>
    <row r="1230" spans="1:30" hidden="1" x14ac:dyDescent="0.3">
      <c r="A1230" s="49" t="s">
        <v>12265</v>
      </c>
      <c r="B1230" s="49">
        <v>0</v>
      </c>
      <c r="C1230" s="49"/>
      <c r="D1230" s="72" t="s">
        <v>717</v>
      </c>
      <c r="E1230" s="49" t="s">
        <v>3754</v>
      </c>
      <c r="F1230" s="49"/>
      <c r="G1230" s="49"/>
      <c r="H1230" s="49" t="s">
        <v>12266</v>
      </c>
      <c r="I1230" s="49" t="s">
        <v>1553</v>
      </c>
      <c r="J1230" s="49" t="s">
        <v>1554</v>
      </c>
      <c r="K1230" s="49" t="s">
        <v>12267</v>
      </c>
      <c r="L1230" s="49">
        <v>0</v>
      </c>
      <c r="M1230" s="49" t="s">
        <v>4084</v>
      </c>
      <c r="N1230" s="49" t="s">
        <v>1039</v>
      </c>
      <c r="O1230" s="49">
        <v>14</v>
      </c>
      <c r="P1230" s="49" t="s">
        <v>12268</v>
      </c>
      <c r="Q1230" s="49">
        <v>0</v>
      </c>
      <c r="R1230" s="49" t="s">
        <v>12269</v>
      </c>
      <c r="S1230" s="49" t="s">
        <v>12270</v>
      </c>
      <c r="T1230" s="49" t="s">
        <v>12271</v>
      </c>
      <c r="U1230" s="49" t="s">
        <v>655</v>
      </c>
      <c r="V1230" s="49" t="e">
        <v>#REF!</v>
      </c>
      <c r="AC1230" s="49"/>
      <c r="AD1230" s="49"/>
    </row>
    <row r="1231" spans="1:30" hidden="1" x14ac:dyDescent="0.3">
      <c r="A1231" s="49" t="s">
        <v>12272</v>
      </c>
      <c r="B1231" s="49">
        <v>0</v>
      </c>
      <c r="C1231" s="49"/>
      <c r="D1231" s="72" t="s">
        <v>717</v>
      </c>
      <c r="E1231" s="49" t="s">
        <v>3754</v>
      </c>
      <c r="F1231" s="49"/>
      <c r="G1231" s="49"/>
      <c r="H1231" s="49" t="s">
        <v>12273</v>
      </c>
      <c r="I1231" s="49" t="s">
        <v>12276</v>
      </c>
      <c r="J1231" s="49" t="s">
        <v>12274</v>
      </c>
      <c r="K1231" s="49" t="s">
        <v>12275</v>
      </c>
      <c r="L1231" s="49">
        <v>0</v>
      </c>
      <c r="M1231" s="49" t="s">
        <v>1826</v>
      </c>
      <c r="N1231" s="49" t="s">
        <v>3142</v>
      </c>
      <c r="O1231" s="49">
        <v>16</v>
      </c>
      <c r="P1231" s="49" t="s">
        <v>12277</v>
      </c>
      <c r="Q1231" s="49">
        <v>0</v>
      </c>
      <c r="R1231" s="49" t="s">
        <v>12278</v>
      </c>
      <c r="S1231" s="49" t="s">
        <v>12279</v>
      </c>
      <c r="T1231" s="49" t="s">
        <v>12280</v>
      </c>
      <c r="U1231" s="49" t="s">
        <v>655</v>
      </c>
      <c r="V1231" s="49" t="e">
        <v>#REF!</v>
      </c>
      <c r="AC1231" s="49"/>
      <c r="AD1231" s="49"/>
    </row>
    <row r="1232" spans="1:30" hidden="1" x14ac:dyDescent="0.3">
      <c r="A1232" s="49" t="s">
        <v>12281</v>
      </c>
      <c r="B1232" s="49">
        <v>0</v>
      </c>
      <c r="C1232" s="49"/>
      <c r="D1232" s="72" t="s">
        <v>717</v>
      </c>
      <c r="E1232" s="49" t="s">
        <v>3754</v>
      </c>
      <c r="F1232" s="49"/>
      <c r="G1232" s="49"/>
      <c r="H1232" s="49" t="s">
        <v>12282</v>
      </c>
      <c r="I1232" s="49" t="s">
        <v>12285</v>
      </c>
      <c r="J1232" s="49" t="s">
        <v>12283</v>
      </c>
      <c r="K1232" s="49" t="s">
        <v>12284</v>
      </c>
      <c r="L1232" s="49">
        <v>0</v>
      </c>
      <c r="M1232" s="49" t="s">
        <v>1865</v>
      </c>
      <c r="N1232" s="49" t="s">
        <v>12286</v>
      </c>
      <c r="O1232" s="49">
        <v>2</v>
      </c>
      <c r="P1232" s="49" t="s">
        <v>12287</v>
      </c>
      <c r="Q1232" s="49">
        <v>0</v>
      </c>
      <c r="R1232" s="49" t="s">
        <v>12288</v>
      </c>
      <c r="S1232" s="49" t="s">
        <v>12289</v>
      </c>
      <c r="T1232" s="49" t="s">
        <v>12290</v>
      </c>
      <c r="U1232" s="49" t="s">
        <v>655</v>
      </c>
      <c r="V1232" s="49" t="e">
        <v>#REF!</v>
      </c>
      <c r="AC1232" s="49"/>
      <c r="AD1232" s="49"/>
    </row>
    <row r="1233" spans="1:30" hidden="1" x14ac:dyDescent="0.3">
      <c r="A1233" s="49" t="s">
        <v>12291</v>
      </c>
      <c r="B1233" s="49">
        <v>0</v>
      </c>
      <c r="C1233" s="49"/>
      <c r="D1233" s="72" t="s">
        <v>717</v>
      </c>
      <c r="E1233" s="49" t="s">
        <v>3754</v>
      </c>
      <c r="F1233" s="49"/>
      <c r="G1233" s="49"/>
      <c r="H1233" s="49" t="s">
        <v>12292</v>
      </c>
      <c r="I1233" s="49" t="s">
        <v>12295</v>
      </c>
      <c r="J1233" s="49" t="s">
        <v>12293</v>
      </c>
      <c r="K1233" s="49" t="s">
        <v>12294</v>
      </c>
      <c r="L1233" s="49">
        <v>0</v>
      </c>
      <c r="M1233" s="49" t="s">
        <v>1826</v>
      </c>
      <c r="N1233" s="49" t="s">
        <v>2307</v>
      </c>
      <c r="O1233" s="49">
        <v>4</v>
      </c>
      <c r="P1233" s="49" t="s">
        <v>12296</v>
      </c>
      <c r="Q1233" s="49">
        <v>0</v>
      </c>
      <c r="R1233" s="49" t="s">
        <v>12297</v>
      </c>
      <c r="S1233" s="49" t="s">
        <v>12298</v>
      </c>
      <c r="T1233" s="49" t="s">
        <v>12299</v>
      </c>
      <c r="U1233" s="49" t="s">
        <v>655</v>
      </c>
      <c r="V1233" s="49" t="e">
        <v>#REF!</v>
      </c>
      <c r="AC1233" s="49"/>
      <c r="AD1233" s="49"/>
    </row>
    <row r="1234" spans="1:30" hidden="1" x14ac:dyDescent="0.3">
      <c r="A1234" s="49" t="s">
        <v>12300</v>
      </c>
      <c r="B1234" s="49">
        <v>0</v>
      </c>
      <c r="C1234" s="49"/>
      <c r="D1234" s="72" t="s">
        <v>717</v>
      </c>
      <c r="E1234" s="49" t="s">
        <v>3754</v>
      </c>
      <c r="F1234" s="49"/>
      <c r="G1234" s="49"/>
      <c r="H1234" s="49" t="s">
        <v>12301</v>
      </c>
      <c r="I1234" s="49" t="s">
        <v>12304</v>
      </c>
      <c r="J1234" s="49" t="s">
        <v>12302</v>
      </c>
      <c r="K1234" s="49" t="s">
        <v>12303</v>
      </c>
      <c r="L1234" s="49">
        <v>0</v>
      </c>
      <c r="M1234" s="49" t="s">
        <v>1764</v>
      </c>
      <c r="N1234" s="49" t="s">
        <v>12305</v>
      </c>
      <c r="O1234" s="49">
        <v>4</v>
      </c>
      <c r="P1234" s="49" t="s">
        <v>12306</v>
      </c>
      <c r="Q1234" s="49">
        <v>0</v>
      </c>
      <c r="R1234" s="49" t="s">
        <v>12307</v>
      </c>
      <c r="S1234" s="49" t="s">
        <v>12308</v>
      </c>
      <c r="T1234" s="49" t="s">
        <v>646</v>
      </c>
      <c r="U1234" s="49" t="s">
        <v>670</v>
      </c>
      <c r="V1234" s="49" t="e">
        <v>#REF!</v>
      </c>
      <c r="AC1234" s="49"/>
      <c r="AD1234" s="49"/>
    </row>
    <row r="1235" spans="1:30" hidden="1" x14ac:dyDescent="0.3">
      <c r="A1235" s="49" t="s">
        <v>12309</v>
      </c>
      <c r="B1235" s="49">
        <v>0</v>
      </c>
      <c r="C1235" s="49"/>
      <c r="D1235" s="72" t="s">
        <v>717</v>
      </c>
      <c r="E1235" s="49" t="s">
        <v>3754</v>
      </c>
      <c r="F1235" s="49"/>
      <c r="G1235" s="49"/>
      <c r="H1235" s="49" t="s">
        <v>12310</v>
      </c>
      <c r="I1235" s="49" t="s">
        <v>12313</v>
      </c>
      <c r="J1235" s="49" t="s">
        <v>12311</v>
      </c>
      <c r="K1235" s="49" t="s">
        <v>12312</v>
      </c>
      <c r="L1235" s="49">
        <v>0</v>
      </c>
      <c r="M1235" s="49" t="s">
        <v>1865</v>
      </c>
      <c r="N1235" s="49" t="s">
        <v>9363</v>
      </c>
      <c r="O1235" s="49">
        <v>4</v>
      </c>
      <c r="P1235" s="49" t="s">
        <v>12314</v>
      </c>
      <c r="Q1235" s="49">
        <v>0</v>
      </c>
      <c r="R1235" s="49" t="s">
        <v>12315</v>
      </c>
      <c r="S1235" s="49" t="s">
        <v>12316</v>
      </c>
      <c r="T1235" s="49" t="s">
        <v>12317</v>
      </c>
      <c r="U1235" s="49" t="s">
        <v>655</v>
      </c>
      <c r="V1235" s="49" t="e">
        <v>#REF!</v>
      </c>
      <c r="AC1235" s="49"/>
      <c r="AD1235" s="49"/>
    </row>
    <row r="1236" spans="1:30" hidden="1" x14ac:dyDescent="0.3">
      <c r="A1236" s="49" t="s">
        <v>12318</v>
      </c>
      <c r="B1236" s="49">
        <v>0</v>
      </c>
      <c r="C1236" s="49"/>
      <c r="D1236" s="72" t="s">
        <v>717</v>
      </c>
      <c r="E1236" s="49" t="s">
        <v>3754</v>
      </c>
      <c r="F1236" s="49"/>
      <c r="G1236" s="49"/>
      <c r="H1236" s="49" t="s">
        <v>12319</v>
      </c>
      <c r="I1236" s="49" t="s">
        <v>12322</v>
      </c>
      <c r="J1236" s="49" t="s">
        <v>12320</v>
      </c>
      <c r="K1236" s="49" t="s">
        <v>12321</v>
      </c>
      <c r="L1236" s="49">
        <v>0</v>
      </c>
      <c r="M1236" s="49" t="s">
        <v>2484</v>
      </c>
      <c r="N1236" s="49" t="s">
        <v>12323</v>
      </c>
      <c r="O1236" s="49">
        <v>6</v>
      </c>
      <c r="P1236" s="49" t="s">
        <v>12324</v>
      </c>
      <c r="Q1236" s="49">
        <v>0</v>
      </c>
      <c r="R1236" s="49" t="s">
        <v>12325</v>
      </c>
      <c r="S1236" s="49" t="s">
        <v>12326</v>
      </c>
      <c r="T1236" s="49" t="s">
        <v>12327</v>
      </c>
      <c r="U1236" s="49" t="s">
        <v>655</v>
      </c>
      <c r="V1236" s="49" t="e">
        <v>#REF!</v>
      </c>
      <c r="AC1236" s="49"/>
      <c r="AD1236" s="49"/>
    </row>
    <row r="1237" spans="1:30" hidden="1" x14ac:dyDescent="0.3">
      <c r="A1237" s="49" t="s">
        <v>12328</v>
      </c>
      <c r="B1237" s="49">
        <v>0</v>
      </c>
      <c r="C1237" s="49"/>
      <c r="D1237" s="72" t="s">
        <v>717</v>
      </c>
      <c r="E1237" s="49" t="s">
        <v>3754</v>
      </c>
      <c r="F1237" s="49"/>
      <c r="G1237" s="49"/>
      <c r="H1237" s="49" t="s">
        <v>12329</v>
      </c>
      <c r="I1237" s="49" t="s">
        <v>12332</v>
      </c>
      <c r="J1237" s="49" t="s">
        <v>12330</v>
      </c>
      <c r="K1237" s="49" t="s">
        <v>12331</v>
      </c>
      <c r="L1237" s="49">
        <v>0</v>
      </c>
      <c r="M1237" s="49" t="s">
        <v>2484</v>
      </c>
      <c r="N1237" s="49" t="s">
        <v>12333</v>
      </c>
      <c r="O1237" s="49">
        <v>239</v>
      </c>
      <c r="P1237" s="49" t="s">
        <v>12334</v>
      </c>
      <c r="Q1237" s="49">
        <v>0</v>
      </c>
      <c r="R1237" s="49" t="s">
        <v>12335</v>
      </c>
      <c r="S1237" s="49" t="s">
        <v>12336</v>
      </c>
      <c r="T1237" s="49" t="s">
        <v>646</v>
      </c>
      <c r="U1237" s="49" t="s">
        <v>670</v>
      </c>
      <c r="V1237" s="49" t="e">
        <v>#REF!</v>
      </c>
      <c r="AC1237" s="49"/>
      <c r="AD1237" s="49"/>
    </row>
    <row r="1238" spans="1:30" hidden="1" x14ac:dyDescent="0.3">
      <c r="A1238" s="49" t="s">
        <v>12337</v>
      </c>
      <c r="B1238" s="49">
        <v>0</v>
      </c>
      <c r="C1238" s="49"/>
      <c r="D1238" s="72" t="s">
        <v>717</v>
      </c>
      <c r="E1238" s="49" t="s">
        <v>3754</v>
      </c>
      <c r="F1238" s="49"/>
      <c r="G1238" s="49"/>
      <c r="H1238" s="49" t="s">
        <v>12338</v>
      </c>
      <c r="I1238" s="49" t="s">
        <v>5574</v>
      </c>
      <c r="J1238" s="49" t="s">
        <v>5572</v>
      </c>
      <c r="K1238" s="49" t="s">
        <v>12339</v>
      </c>
      <c r="L1238" s="49">
        <v>0</v>
      </c>
      <c r="M1238" s="49" t="s">
        <v>2142</v>
      </c>
      <c r="N1238" s="49" t="s">
        <v>12340</v>
      </c>
      <c r="O1238" s="49">
        <v>6</v>
      </c>
      <c r="P1238" s="49" t="s">
        <v>12341</v>
      </c>
      <c r="Q1238" s="49">
        <v>0</v>
      </c>
      <c r="R1238" s="49" t="s">
        <v>12342</v>
      </c>
      <c r="S1238" s="49" t="s">
        <v>12343</v>
      </c>
      <c r="T1238" s="49" t="s">
        <v>646</v>
      </c>
      <c r="U1238" s="49" t="s">
        <v>670</v>
      </c>
      <c r="V1238" s="49" t="e">
        <v>#REF!</v>
      </c>
      <c r="AC1238" s="49"/>
      <c r="AD1238" s="49"/>
    </row>
    <row r="1239" spans="1:30" hidden="1" x14ac:dyDescent="0.3">
      <c r="A1239" s="49" t="s">
        <v>12344</v>
      </c>
      <c r="B1239" s="49">
        <v>0</v>
      </c>
      <c r="C1239" s="49"/>
      <c r="D1239" s="72" t="s">
        <v>717</v>
      </c>
      <c r="E1239" s="49" t="s">
        <v>3754</v>
      </c>
      <c r="F1239" s="49"/>
      <c r="G1239" s="49"/>
      <c r="H1239" s="49" t="s">
        <v>12345</v>
      </c>
      <c r="I1239" s="49" t="s">
        <v>12348</v>
      </c>
      <c r="J1239" s="49" t="s">
        <v>12346</v>
      </c>
      <c r="K1239" s="49" t="s">
        <v>12347</v>
      </c>
      <c r="L1239" s="49">
        <v>0</v>
      </c>
      <c r="M1239" s="49" t="s">
        <v>4103</v>
      </c>
      <c r="N1239" s="49" t="s">
        <v>12349</v>
      </c>
      <c r="O1239" s="49">
        <v>22</v>
      </c>
      <c r="P1239" s="49" t="s">
        <v>12350</v>
      </c>
      <c r="Q1239" s="49">
        <v>0</v>
      </c>
      <c r="R1239" s="49" t="s">
        <v>12351</v>
      </c>
      <c r="S1239" s="49" t="s">
        <v>12352</v>
      </c>
      <c r="T1239" s="49" t="s">
        <v>646</v>
      </c>
      <c r="U1239" s="49" t="s">
        <v>791</v>
      </c>
      <c r="V1239" s="49" t="e">
        <v>#REF!</v>
      </c>
      <c r="AC1239" s="49"/>
      <c r="AD1239" s="49"/>
    </row>
    <row r="1240" spans="1:30" hidden="1" x14ac:dyDescent="0.3">
      <c r="A1240" s="49" t="s">
        <v>12353</v>
      </c>
      <c r="B1240" s="49">
        <v>0</v>
      </c>
      <c r="C1240" s="49"/>
      <c r="D1240" s="72" t="s">
        <v>717</v>
      </c>
      <c r="E1240" s="49" t="s">
        <v>3754</v>
      </c>
      <c r="F1240" s="49"/>
      <c r="G1240" s="49"/>
      <c r="H1240" s="49" t="s">
        <v>12354</v>
      </c>
      <c r="I1240" s="49" t="s">
        <v>12357</v>
      </c>
      <c r="J1240" s="49" t="s">
        <v>12355</v>
      </c>
      <c r="K1240" s="49" t="s">
        <v>12356</v>
      </c>
      <c r="L1240" s="49">
        <v>0</v>
      </c>
      <c r="M1240" s="49" t="s">
        <v>1764</v>
      </c>
      <c r="N1240" s="49" t="s">
        <v>12358</v>
      </c>
      <c r="O1240" s="49">
        <v>25</v>
      </c>
      <c r="P1240" s="49" t="s">
        <v>12359</v>
      </c>
      <c r="Q1240" s="49">
        <v>0</v>
      </c>
      <c r="R1240" s="49" t="s">
        <v>12360</v>
      </c>
      <c r="S1240" s="49" t="s">
        <v>12361</v>
      </c>
      <c r="T1240" s="49" t="s">
        <v>12362</v>
      </c>
      <c r="U1240" s="49" t="s">
        <v>655</v>
      </c>
      <c r="V1240" s="49" t="e">
        <v>#REF!</v>
      </c>
      <c r="AC1240" s="49"/>
      <c r="AD1240" s="49"/>
    </row>
    <row r="1241" spans="1:30" hidden="1" x14ac:dyDescent="0.3">
      <c r="A1241" s="49" t="s">
        <v>12363</v>
      </c>
      <c r="B1241" s="49">
        <v>0</v>
      </c>
      <c r="C1241" s="49"/>
      <c r="D1241" s="72" t="s">
        <v>717</v>
      </c>
      <c r="E1241" s="49" t="s">
        <v>3754</v>
      </c>
      <c r="F1241" s="49"/>
      <c r="G1241" s="49"/>
      <c r="H1241" s="49" t="s">
        <v>12364</v>
      </c>
      <c r="I1241" s="49" t="s">
        <v>12367</v>
      </c>
      <c r="J1241" s="49" t="s">
        <v>12365</v>
      </c>
      <c r="K1241" s="49" t="s">
        <v>12366</v>
      </c>
      <c r="L1241" s="49">
        <v>0</v>
      </c>
      <c r="M1241" s="49" t="s">
        <v>3570</v>
      </c>
      <c r="N1241" s="49" t="s">
        <v>4521</v>
      </c>
      <c r="O1241" s="49">
        <v>1</v>
      </c>
      <c r="P1241" s="49" t="s">
        <v>12368</v>
      </c>
      <c r="Q1241" s="49">
        <v>0</v>
      </c>
      <c r="R1241" s="49" t="s">
        <v>12369</v>
      </c>
      <c r="S1241" s="49" t="s">
        <v>12370</v>
      </c>
      <c r="T1241" s="49" t="s">
        <v>12371</v>
      </c>
      <c r="U1241" s="49" t="s">
        <v>670</v>
      </c>
      <c r="V1241" s="49" t="e">
        <v>#REF!</v>
      </c>
      <c r="AC1241" s="49"/>
      <c r="AD1241" s="49"/>
    </row>
    <row r="1242" spans="1:30" hidden="1" x14ac:dyDescent="0.3">
      <c r="A1242" s="49" t="s">
        <v>12372</v>
      </c>
      <c r="B1242" s="49">
        <v>0</v>
      </c>
      <c r="C1242" s="49"/>
      <c r="D1242" s="72" t="s">
        <v>717</v>
      </c>
      <c r="E1242" s="49" t="s">
        <v>3754</v>
      </c>
      <c r="F1242" s="49"/>
      <c r="G1242" s="49"/>
      <c r="H1242" s="49" t="s">
        <v>12373</v>
      </c>
      <c r="I1242" s="49" t="s">
        <v>12376</v>
      </c>
      <c r="J1242" s="49" t="s">
        <v>12374</v>
      </c>
      <c r="K1242" s="49" t="s">
        <v>12375</v>
      </c>
      <c r="L1242" s="49">
        <v>0</v>
      </c>
      <c r="M1242" s="49" t="s">
        <v>1764</v>
      </c>
      <c r="N1242" s="49" t="s">
        <v>12377</v>
      </c>
      <c r="O1242" s="49">
        <v>21</v>
      </c>
      <c r="P1242" s="49" t="s">
        <v>12378</v>
      </c>
      <c r="Q1242" s="49">
        <v>0</v>
      </c>
      <c r="R1242" s="49" t="s">
        <v>12379</v>
      </c>
      <c r="S1242" s="49" t="s">
        <v>12380</v>
      </c>
      <c r="T1242" s="49" t="s">
        <v>646</v>
      </c>
      <c r="U1242" s="49" t="s">
        <v>655</v>
      </c>
      <c r="V1242" s="49" t="e">
        <v>#REF!</v>
      </c>
      <c r="AC1242" s="49"/>
      <c r="AD1242" s="49"/>
    </row>
    <row r="1243" spans="1:30" hidden="1" x14ac:dyDescent="0.3">
      <c r="A1243" s="49" t="s">
        <v>12381</v>
      </c>
      <c r="B1243" s="49">
        <v>0</v>
      </c>
      <c r="C1243" s="49"/>
      <c r="D1243" s="72" t="s">
        <v>717</v>
      </c>
      <c r="E1243" s="49" t="s">
        <v>3754</v>
      </c>
      <c r="F1243" s="49"/>
      <c r="G1243" s="49"/>
      <c r="H1243" s="49" t="s">
        <v>12382</v>
      </c>
      <c r="I1243" s="49" t="s">
        <v>12385</v>
      </c>
      <c r="J1243" s="49" t="s">
        <v>12383</v>
      </c>
      <c r="K1243" s="49" t="s">
        <v>12384</v>
      </c>
      <c r="L1243" s="49">
        <v>0</v>
      </c>
      <c r="M1243" s="49" t="s">
        <v>1826</v>
      </c>
      <c r="N1243" s="49" t="s">
        <v>5122</v>
      </c>
      <c r="O1243" s="49">
        <v>10</v>
      </c>
      <c r="P1243" s="49" t="s">
        <v>12386</v>
      </c>
      <c r="Q1243" s="49">
        <v>0</v>
      </c>
      <c r="R1243" s="49" t="s">
        <v>12387</v>
      </c>
      <c r="S1243" s="49" t="s">
        <v>12388</v>
      </c>
      <c r="T1243" s="49" t="s">
        <v>12389</v>
      </c>
      <c r="U1243" s="49" t="s">
        <v>655</v>
      </c>
      <c r="V1243" s="49" t="e">
        <v>#REF!</v>
      </c>
      <c r="AC1243" s="49"/>
      <c r="AD1243" s="49"/>
    </row>
    <row r="1244" spans="1:30" hidden="1" x14ac:dyDescent="0.3">
      <c r="A1244" s="49" t="s">
        <v>12390</v>
      </c>
      <c r="B1244" s="49">
        <v>0</v>
      </c>
      <c r="C1244" s="49"/>
      <c r="D1244" s="72" t="s">
        <v>717</v>
      </c>
      <c r="E1244" s="49" t="s">
        <v>3754</v>
      </c>
      <c r="F1244" s="49"/>
      <c r="G1244" s="49"/>
      <c r="H1244" s="49" t="s">
        <v>12391</v>
      </c>
      <c r="I1244" s="49" t="s">
        <v>12394</v>
      </c>
      <c r="J1244" s="49" t="s">
        <v>12392</v>
      </c>
      <c r="K1244" s="49" t="s">
        <v>12393</v>
      </c>
      <c r="L1244" s="49">
        <v>0</v>
      </c>
      <c r="M1244" s="49" t="s">
        <v>1764</v>
      </c>
      <c r="N1244" s="49" t="s">
        <v>12395</v>
      </c>
      <c r="O1244" s="49">
        <v>32</v>
      </c>
      <c r="P1244" s="49" t="s">
        <v>12396</v>
      </c>
      <c r="Q1244" s="49">
        <v>0</v>
      </c>
      <c r="R1244" s="49" t="s">
        <v>12397</v>
      </c>
      <c r="S1244" s="49" t="s">
        <v>12398</v>
      </c>
      <c r="T1244" s="49" t="s">
        <v>12399</v>
      </c>
      <c r="U1244" s="49" t="s">
        <v>655</v>
      </c>
      <c r="V1244" s="49" t="e">
        <v>#REF!</v>
      </c>
      <c r="AC1244" s="49"/>
      <c r="AD1244" s="49"/>
    </row>
    <row r="1245" spans="1:30" hidden="1" x14ac:dyDescent="0.3">
      <c r="A1245" s="49" t="s">
        <v>12400</v>
      </c>
      <c r="B1245" s="49">
        <v>0</v>
      </c>
      <c r="C1245" s="49"/>
      <c r="D1245" s="72" t="s">
        <v>717</v>
      </c>
      <c r="E1245" s="49" t="s">
        <v>3754</v>
      </c>
      <c r="F1245" s="49"/>
      <c r="G1245" s="49"/>
      <c r="H1245" s="49" t="s">
        <v>12401</v>
      </c>
      <c r="I1245" s="49" t="s">
        <v>12404</v>
      </c>
      <c r="J1245" s="49" t="s">
        <v>12402</v>
      </c>
      <c r="K1245" s="49" t="s">
        <v>12403</v>
      </c>
      <c r="L1245" s="49">
        <v>0</v>
      </c>
      <c r="M1245" s="49" t="s">
        <v>1826</v>
      </c>
      <c r="N1245" s="49" t="s">
        <v>12405</v>
      </c>
      <c r="O1245" s="49">
        <v>17</v>
      </c>
      <c r="P1245" s="49" t="s">
        <v>12406</v>
      </c>
      <c r="Q1245" s="49">
        <v>0</v>
      </c>
      <c r="R1245" s="49" t="s">
        <v>12407</v>
      </c>
      <c r="S1245" s="49" t="s">
        <v>12408</v>
      </c>
      <c r="T1245" s="49" t="s">
        <v>12409</v>
      </c>
      <c r="U1245" s="49" t="s">
        <v>655</v>
      </c>
      <c r="V1245" s="49" t="e">
        <v>#REF!</v>
      </c>
      <c r="AC1245" s="49"/>
      <c r="AD1245" s="49"/>
    </row>
    <row r="1246" spans="1:30" hidden="1" x14ac:dyDescent="0.3">
      <c r="A1246" s="49" t="s">
        <v>12410</v>
      </c>
      <c r="B1246" s="49">
        <v>0</v>
      </c>
      <c r="C1246" s="49"/>
      <c r="D1246" s="72" t="s">
        <v>717</v>
      </c>
      <c r="E1246" s="49" t="s">
        <v>3754</v>
      </c>
      <c r="F1246" s="49"/>
      <c r="G1246" s="49"/>
      <c r="H1246" s="49" t="s">
        <v>12411</v>
      </c>
      <c r="I1246" s="49" t="s">
        <v>8276</v>
      </c>
      <c r="J1246" s="49" t="s">
        <v>8274</v>
      </c>
      <c r="K1246" s="49" t="s">
        <v>12412</v>
      </c>
      <c r="L1246" s="49">
        <v>0</v>
      </c>
      <c r="M1246" s="49" t="s">
        <v>1865</v>
      </c>
      <c r="N1246" s="49" t="s">
        <v>12413</v>
      </c>
      <c r="O1246" s="49">
        <v>1</v>
      </c>
      <c r="P1246" s="49" t="s">
        <v>12414</v>
      </c>
      <c r="Q1246" s="49">
        <v>0</v>
      </c>
      <c r="R1246" s="49" t="s">
        <v>12415</v>
      </c>
      <c r="S1246" s="49" t="s">
        <v>12416</v>
      </c>
      <c r="T1246" s="49" t="s">
        <v>12417</v>
      </c>
      <c r="U1246" s="49" t="s">
        <v>655</v>
      </c>
      <c r="V1246" s="49" t="e">
        <v>#REF!</v>
      </c>
      <c r="AC1246" s="49"/>
      <c r="AD1246" s="49"/>
    </row>
    <row r="1247" spans="1:30" hidden="1" x14ac:dyDescent="0.3">
      <c r="A1247" s="49" t="s">
        <v>12418</v>
      </c>
      <c r="B1247" s="49">
        <v>0</v>
      </c>
      <c r="C1247" s="49"/>
      <c r="D1247" s="72" t="s">
        <v>717</v>
      </c>
      <c r="E1247" s="49" t="s">
        <v>3754</v>
      </c>
      <c r="F1247" s="49"/>
      <c r="G1247" s="49"/>
      <c r="H1247" s="49" t="s">
        <v>12419</v>
      </c>
      <c r="I1247" s="49" t="s">
        <v>12422</v>
      </c>
      <c r="J1247" s="49" t="s">
        <v>12420</v>
      </c>
      <c r="K1247" s="49" t="s">
        <v>12421</v>
      </c>
      <c r="L1247" s="49">
        <v>0</v>
      </c>
      <c r="M1247" s="49" t="s">
        <v>2142</v>
      </c>
      <c r="N1247" s="49" t="s">
        <v>12423</v>
      </c>
      <c r="O1247" s="49">
        <v>2</v>
      </c>
      <c r="P1247" s="49" t="s">
        <v>12424</v>
      </c>
      <c r="Q1247" s="49">
        <v>0</v>
      </c>
      <c r="R1247" s="49" t="s">
        <v>12425</v>
      </c>
      <c r="S1247" s="49" t="s">
        <v>12426</v>
      </c>
      <c r="T1247" s="49" t="s">
        <v>12427</v>
      </c>
      <c r="U1247" s="49" t="s">
        <v>655</v>
      </c>
      <c r="V1247" s="49" t="e">
        <v>#REF!</v>
      </c>
      <c r="AC1247" s="49"/>
      <c r="AD1247" s="49"/>
    </row>
    <row r="1248" spans="1:30" hidden="1" x14ac:dyDescent="0.3">
      <c r="A1248" s="49" t="s">
        <v>12428</v>
      </c>
      <c r="B1248" s="49">
        <v>0</v>
      </c>
      <c r="C1248" s="49"/>
      <c r="D1248" s="72" t="s">
        <v>717</v>
      </c>
      <c r="E1248" s="49" t="s">
        <v>3754</v>
      </c>
      <c r="F1248" s="49"/>
      <c r="G1248" s="49"/>
      <c r="H1248" s="49" t="s">
        <v>12429</v>
      </c>
      <c r="I1248" s="49" t="s">
        <v>12432</v>
      </c>
      <c r="J1248" s="49" t="s">
        <v>12430</v>
      </c>
      <c r="K1248" s="49" t="s">
        <v>12431</v>
      </c>
      <c r="L1248" s="49">
        <v>0</v>
      </c>
      <c r="M1248" s="49" t="s">
        <v>1826</v>
      </c>
      <c r="N1248" s="49" t="s">
        <v>12433</v>
      </c>
      <c r="O1248" s="49">
        <v>4</v>
      </c>
      <c r="P1248" s="49" t="s">
        <v>12434</v>
      </c>
      <c r="Q1248" s="49">
        <v>0</v>
      </c>
      <c r="R1248" s="49" t="s">
        <v>12435</v>
      </c>
      <c r="S1248" s="49" t="s">
        <v>12436</v>
      </c>
      <c r="T1248" s="49" t="s">
        <v>12437</v>
      </c>
      <c r="U1248" s="49" t="s">
        <v>655</v>
      </c>
      <c r="V1248" s="49" t="e">
        <v>#REF!</v>
      </c>
      <c r="AC1248" s="49"/>
      <c r="AD1248" s="49"/>
    </row>
    <row r="1249" spans="1:30" hidden="1" x14ac:dyDescent="0.3">
      <c r="A1249" s="49" t="s">
        <v>12438</v>
      </c>
      <c r="B1249" s="49">
        <v>0</v>
      </c>
      <c r="C1249" s="49"/>
      <c r="D1249" s="72" t="s">
        <v>717</v>
      </c>
      <c r="E1249" s="49" t="s">
        <v>3754</v>
      </c>
      <c r="F1249" s="49"/>
      <c r="G1249" s="49"/>
      <c r="H1249" s="49" t="s">
        <v>12439</v>
      </c>
      <c r="I1249" s="49" t="s">
        <v>12442</v>
      </c>
      <c r="J1249" s="49" t="s">
        <v>12440</v>
      </c>
      <c r="K1249" s="49" t="s">
        <v>12441</v>
      </c>
      <c r="L1249" s="49">
        <v>0</v>
      </c>
      <c r="M1249" s="49" t="s">
        <v>1826</v>
      </c>
      <c r="N1249" s="49" t="s">
        <v>12443</v>
      </c>
      <c r="P1249" s="49" t="s">
        <v>12444</v>
      </c>
      <c r="Q1249" s="49">
        <v>0</v>
      </c>
      <c r="R1249" s="49" t="s">
        <v>12445</v>
      </c>
      <c r="S1249" s="49" t="s">
        <v>12446</v>
      </c>
      <c r="T1249" s="49" t="s">
        <v>12447</v>
      </c>
      <c r="U1249" s="49" t="s">
        <v>655</v>
      </c>
      <c r="V1249" s="49" t="e">
        <v>#REF!</v>
      </c>
      <c r="AC1249" s="49"/>
      <c r="AD1249" s="49"/>
    </row>
    <row r="1250" spans="1:30" hidden="1" x14ac:dyDescent="0.3">
      <c r="A1250" s="49" t="s">
        <v>12448</v>
      </c>
      <c r="B1250" s="49">
        <v>0</v>
      </c>
      <c r="C1250" s="49"/>
      <c r="D1250" s="72" t="s">
        <v>717</v>
      </c>
      <c r="E1250" s="49" t="s">
        <v>3754</v>
      </c>
      <c r="F1250" s="49"/>
      <c r="G1250" s="49"/>
      <c r="H1250" s="49" t="s">
        <v>12449</v>
      </c>
      <c r="I1250" s="49" t="s">
        <v>12452</v>
      </c>
      <c r="J1250" s="49" t="s">
        <v>12450</v>
      </c>
      <c r="K1250" s="49" t="s">
        <v>12451</v>
      </c>
      <c r="L1250" s="49">
        <v>0</v>
      </c>
      <c r="M1250" s="49" t="s">
        <v>1745</v>
      </c>
      <c r="N1250" s="49" t="s">
        <v>3007</v>
      </c>
      <c r="O1250" s="49">
        <v>1</v>
      </c>
      <c r="P1250" s="49" t="s">
        <v>12453</v>
      </c>
      <c r="Q1250" s="49">
        <v>0</v>
      </c>
      <c r="R1250" s="49" t="s">
        <v>12454</v>
      </c>
      <c r="S1250" s="49" t="s">
        <v>12455</v>
      </c>
      <c r="T1250" s="49" t="s">
        <v>12456</v>
      </c>
      <c r="U1250" s="49" t="s">
        <v>655</v>
      </c>
      <c r="V1250" s="49" t="e">
        <v>#REF!</v>
      </c>
      <c r="AC1250" s="49"/>
      <c r="AD1250" s="49"/>
    </row>
    <row r="1251" spans="1:30" hidden="1" x14ac:dyDescent="0.3">
      <c r="A1251" s="49" t="s">
        <v>12457</v>
      </c>
      <c r="B1251" s="49">
        <v>0</v>
      </c>
      <c r="C1251" s="49"/>
      <c r="D1251" s="72" t="s">
        <v>717</v>
      </c>
      <c r="E1251" s="49" t="s">
        <v>3754</v>
      </c>
      <c r="F1251" s="49"/>
      <c r="G1251" s="49"/>
      <c r="H1251" s="49" t="s">
        <v>12458</v>
      </c>
      <c r="I1251" s="49" t="s">
        <v>12461</v>
      </c>
      <c r="J1251" s="49" t="s">
        <v>12459</v>
      </c>
      <c r="K1251" s="49" t="s">
        <v>12460</v>
      </c>
      <c r="L1251" s="49">
        <v>0</v>
      </c>
      <c r="M1251" s="49" t="s">
        <v>4084</v>
      </c>
      <c r="N1251" s="49" t="s">
        <v>3456</v>
      </c>
      <c r="O1251" s="49">
        <v>47</v>
      </c>
      <c r="P1251" s="49" t="s">
        <v>12462</v>
      </c>
      <c r="Q1251" s="49">
        <v>0</v>
      </c>
      <c r="R1251" s="49" t="s">
        <v>12463</v>
      </c>
      <c r="S1251" s="49" t="s">
        <v>12464</v>
      </c>
      <c r="T1251" s="49" t="s">
        <v>12465</v>
      </c>
      <c r="U1251" s="49" t="s">
        <v>655</v>
      </c>
      <c r="V1251" s="49" t="e">
        <v>#REF!</v>
      </c>
      <c r="AC1251" s="49"/>
      <c r="AD1251" s="49"/>
    </row>
    <row r="1252" spans="1:30" hidden="1" x14ac:dyDescent="0.3">
      <c r="A1252" s="49" t="s">
        <v>12466</v>
      </c>
      <c r="B1252" s="49">
        <v>0</v>
      </c>
      <c r="C1252" s="49"/>
      <c r="D1252" s="72" t="s">
        <v>717</v>
      </c>
      <c r="E1252" s="49" t="s">
        <v>3754</v>
      </c>
      <c r="F1252" s="49"/>
      <c r="G1252" s="49"/>
      <c r="H1252" s="49" t="s">
        <v>12467</v>
      </c>
      <c r="I1252" s="49" t="s">
        <v>12470</v>
      </c>
      <c r="J1252" s="49" t="s">
        <v>12468</v>
      </c>
      <c r="K1252" s="49" t="s">
        <v>12469</v>
      </c>
      <c r="L1252" s="49">
        <v>0</v>
      </c>
      <c r="M1252" s="49" t="s">
        <v>2484</v>
      </c>
      <c r="N1252" s="49" t="s">
        <v>6013</v>
      </c>
      <c r="O1252" s="49">
        <v>18</v>
      </c>
      <c r="P1252" s="49" t="s">
        <v>12471</v>
      </c>
      <c r="Q1252" s="49">
        <v>0</v>
      </c>
      <c r="R1252" s="49" t="s">
        <v>12472</v>
      </c>
      <c r="S1252" s="49" t="s">
        <v>12473</v>
      </c>
      <c r="T1252" s="49" t="s">
        <v>12474</v>
      </c>
      <c r="U1252" s="49" t="s">
        <v>655</v>
      </c>
      <c r="V1252" s="49" t="e">
        <v>#REF!</v>
      </c>
      <c r="AC1252" s="49"/>
      <c r="AD1252" s="49"/>
    </row>
    <row r="1253" spans="1:30" hidden="1" x14ac:dyDescent="0.3">
      <c r="A1253" s="49" t="s">
        <v>12475</v>
      </c>
      <c r="B1253" s="49">
        <v>0</v>
      </c>
      <c r="C1253" s="49"/>
      <c r="D1253" s="72" t="s">
        <v>717</v>
      </c>
      <c r="E1253" s="49" t="s">
        <v>3754</v>
      </c>
      <c r="F1253" s="49"/>
      <c r="G1253" s="49"/>
      <c r="H1253" s="49" t="s">
        <v>12476</v>
      </c>
      <c r="I1253" s="49" t="s">
        <v>12479</v>
      </c>
      <c r="J1253" s="49" t="s">
        <v>12477</v>
      </c>
      <c r="K1253" s="49" t="s">
        <v>12478</v>
      </c>
      <c r="L1253" s="49">
        <v>0</v>
      </c>
      <c r="M1253" s="49" t="s">
        <v>1826</v>
      </c>
      <c r="N1253" s="49" t="s">
        <v>743</v>
      </c>
      <c r="O1253" s="49">
        <v>24</v>
      </c>
      <c r="P1253" s="49" t="s">
        <v>12480</v>
      </c>
      <c r="Q1253" s="49">
        <v>0</v>
      </c>
      <c r="R1253" s="49" t="s">
        <v>12481</v>
      </c>
      <c r="S1253" s="49" t="s">
        <v>12482</v>
      </c>
      <c r="T1253" s="49" t="s">
        <v>12483</v>
      </c>
      <c r="U1253" s="49" t="s">
        <v>655</v>
      </c>
      <c r="V1253" s="49" t="e">
        <v>#REF!</v>
      </c>
      <c r="AC1253" s="49"/>
      <c r="AD1253" s="49"/>
    </row>
    <row r="1254" spans="1:30" hidden="1" x14ac:dyDescent="0.3">
      <c r="A1254" s="49" t="s">
        <v>12484</v>
      </c>
      <c r="B1254" s="49">
        <v>0</v>
      </c>
      <c r="C1254" s="49"/>
      <c r="D1254" s="72" t="s">
        <v>717</v>
      </c>
      <c r="E1254" s="49" t="s">
        <v>3754</v>
      </c>
      <c r="F1254" s="49"/>
      <c r="G1254" s="49"/>
      <c r="H1254" s="49" t="s">
        <v>12485</v>
      </c>
      <c r="I1254" s="49" t="s">
        <v>12488</v>
      </c>
      <c r="J1254" s="49" t="s">
        <v>12486</v>
      </c>
      <c r="K1254" s="49" t="s">
        <v>12487</v>
      </c>
      <c r="L1254" s="49">
        <v>0</v>
      </c>
      <c r="M1254" s="49" t="s">
        <v>2220</v>
      </c>
      <c r="N1254" s="49" t="s">
        <v>12489</v>
      </c>
      <c r="O1254" s="49">
        <v>6</v>
      </c>
      <c r="P1254" s="49" t="s">
        <v>12490</v>
      </c>
      <c r="Q1254" s="49">
        <v>0</v>
      </c>
      <c r="R1254" s="49" t="s">
        <v>12491</v>
      </c>
      <c r="S1254" s="49" t="s">
        <v>12492</v>
      </c>
      <c r="T1254" s="49" t="s">
        <v>12493</v>
      </c>
      <c r="U1254" s="49" t="s">
        <v>655</v>
      </c>
      <c r="V1254" s="49" t="e">
        <v>#REF!</v>
      </c>
      <c r="AC1254" s="49"/>
      <c r="AD1254" s="49"/>
    </row>
    <row r="1255" spans="1:30" hidden="1" x14ac:dyDescent="0.3">
      <c r="A1255" s="49" t="s">
        <v>12494</v>
      </c>
      <c r="B1255" s="49">
        <v>0</v>
      </c>
      <c r="C1255" s="49"/>
      <c r="D1255" s="72" t="s">
        <v>717</v>
      </c>
      <c r="E1255" s="49" t="s">
        <v>3754</v>
      </c>
      <c r="F1255" s="49"/>
      <c r="G1255" s="49"/>
      <c r="H1255" s="49" t="s">
        <v>12495</v>
      </c>
      <c r="I1255" s="49" t="s">
        <v>12498</v>
      </c>
      <c r="J1255" s="49" t="s">
        <v>12496</v>
      </c>
      <c r="K1255" s="49" t="s">
        <v>12497</v>
      </c>
      <c r="L1255" s="49">
        <v>0</v>
      </c>
      <c r="M1255" s="49" t="s">
        <v>2484</v>
      </c>
      <c r="N1255" s="49" t="s">
        <v>12499</v>
      </c>
      <c r="O1255" s="49">
        <v>21</v>
      </c>
      <c r="P1255" s="49" t="s">
        <v>12500</v>
      </c>
      <c r="Q1255" s="49">
        <v>0</v>
      </c>
      <c r="R1255" s="49" t="s">
        <v>12501</v>
      </c>
      <c r="S1255" s="49" t="s">
        <v>12502</v>
      </c>
      <c r="T1255" s="49" t="s">
        <v>12503</v>
      </c>
      <c r="U1255" s="49" t="s">
        <v>655</v>
      </c>
      <c r="V1255" s="49" t="e">
        <v>#REF!</v>
      </c>
      <c r="AC1255" s="49"/>
      <c r="AD1255" s="49"/>
    </row>
    <row r="1256" spans="1:30" hidden="1" x14ac:dyDescent="0.3">
      <c r="A1256" s="49" t="s">
        <v>12504</v>
      </c>
      <c r="B1256" s="49">
        <v>0</v>
      </c>
      <c r="C1256" s="49"/>
      <c r="D1256" s="72" t="s">
        <v>717</v>
      </c>
      <c r="E1256" s="49" t="s">
        <v>3754</v>
      </c>
      <c r="F1256" s="49"/>
      <c r="G1256" s="49"/>
      <c r="H1256" s="49" t="s">
        <v>12505</v>
      </c>
      <c r="I1256" s="49" t="s">
        <v>12508</v>
      </c>
      <c r="J1256" s="49" t="s">
        <v>12506</v>
      </c>
      <c r="K1256" s="49" t="s">
        <v>12507</v>
      </c>
      <c r="L1256" s="49">
        <v>0</v>
      </c>
      <c r="M1256" s="49" t="s">
        <v>1865</v>
      </c>
      <c r="N1256" s="49" t="s">
        <v>12509</v>
      </c>
      <c r="O1256" s="49">
        <v>2</v>
      </c>
      <c r="P1256" s="49" t="s">
        <v>12510</v>
      </c>
      <c r="Q1256" s="49">
        <v>0</v>
      </c>
      <c r="R1256" s="49" t="s">
        <v>12511</v>
      </c>
      <c r="S1256" s="49" t="s">
        <v>12512</v>
      </c>
      <c r="T1256" s="49" t="s">
        <v>646</v>
      </c>
      <c r="U1256" s="49" t="s">
        <v>655</v>
      </c>
      <c r="V1256" s="49" t="e">
        <v>#REF!</v>
      </c>
      <c r="AC1256" s="49"/>
      <c r="AD1256" s="49"/>
    </row>
    <row r="1257" spans="1:30" hidden="1" x14ac:dyDescent="0.3">
      <c r="A1257" s="49" t="s">
        <v>12513</v>
      </c>
      <c r="B1257" s="49">
        <v>0</v>
      </c>
      <c r="C1257" s="49"/>
      <c r="D1257" s="72" t="s">
        <v>717</v>
      </c>
      <c r="E1257" s="49" t="s">
        <v>3754</v>
      </c>
      <c r="F1257" s="49"/>
      <c r="G1257" s="49"/>
      <c r="H1257" s="49" t="s">
        <v>12514</v>
      </c>
      <c r="I1257" s="49" t="s">
        <v>12517</v>
      </c>
      <c r="J1257" s="49" t="s">
        <v>12515</v>
      </c>
      <c r="K1257" s="49" t="s">
        <v>12516</v>
      </c>
      <c r="L1257" s="49">
        <v>0</v>
      </c>
      <c r="M1257" s="49" t="s">
        <v>1777</v>
      </c>
      <c r="N1257" s="49" t="s">
        <v>5838</v>
      </c>
      <c r="O1257" s="49">
        <v>4</v>
      </c>
      <c r="P1257" s="49" t="s">
        <v>12518</v>
      </c>
      <c r="Q1257" s="49">
        <v>0</v>
      </c>
      <c r="R1257" s="49" t="s">
        <v>12519</v>
      </c>
      <c r="S1257" s="49" t="s">
        <v>12520</v>
      </c>
      <c r="T1257" s="49" t="s">
        <v>646</v>
      </c>
      <c r="U1257" s="49" t="s">
        <v>670</v>
      </c>
      <c r="V1257" s="49" t="e">
        <v>#REF!</v>
      </c>
      <c r="AC1257" s="49"/>
      <c r="AD1257" s="49"/>
    </row>
    <row r="1258" spans="1:30" hidden="1" x14ac:dyDescent="0.3">
      <c r="A1258" s="49" t="s">
        <v>12521</v>
      </c>
      <c r="B1258" s="49">
        <v>0</v>
      </c>
      <c r="C1258" s="49"/>
      <c r="D1258" s="72" t="s">
        <v>717</v>
      </c>
      <c r="E1258" s="49" t="s">
        <v>3754</v>
      </c>
      <c r="F1258" s="49"/>
      <c r="G1258" s="49"/>
      <c r="H1258" s="49" t="s">
        <v>12522</v>
      </c>
      <c r="I1258" s="49" t="s">
        <v>12525</v>
      </c>
      <c r="J1258" s="49" t="s">
        <v>12523</v>
      </c>
      <c r="K1258" s="49" t="s">
        <v>12524</v>
      </c>
      <c r="L1258" s="49">
        <v>0</v>
      </c>
      <c r="M1258" s="49" t="s">
        <v>1764</v>
      </c>
      <c r="N1258" s="49" t="s">
        <v>12526</v>
      </c>
      <c r="O1258" s="49">
        <v>15</v>
      </c>
      <c r="P1258" s="49" t="s">
        <v>12527</v>
      </c>
      <c r="Q1258" s="49">
        <v>0</v>
      </c>
      <c r="R1258" s="49" t="s">
        <v>12528</v>
      </c>
      <c r="S1258" s="49" t="s">
        <v>12529</v>
      </c>
      <c r="T1258" s="49" t="s">
        <v>12530</v>
      </c>
      <c r="U1258" s="49" t="s">
        <v>655</v>
      </c>
      <c r="V1258" s="49" t="e">
        <v>#REF!</v>
      </c>
      <c r="AC1258" s="49"/>
      <c r="AD1258" s="49"/>
    </row>
    <row r="1259" spans="1:30" hidden="1" x14ac:dyDescent="0.3">
      <c r="A1259" s="49" t="s">
        <v>12531</v>
      </c>
      <c r="B1259" s="49">
        <v>0</v>
      </c>
      <c r="C1259" s="49"/>
      <c r="D1259" s="72" t="s">
        <v>717</v>
      </c>
      <c r="E1259" s="49" t="s">
        <v>3754</v>
      </c>
      <c r="F1259" s="49"/>
      <c r="G1259" s="49"/>
      <c r="H1259" s="49" t="s">
        <v>12532</v>
      </c>
      <c r="I1259" s="49" t="s">
        <v>12535</v>
      </c>
      <c r="J1259" s="49" t="s">
        <v>12533</v>
      </c>
      <c r="K1259" s="49" t="s">
        <v>12534</v>
      </c>
      <c r="L1259" s="49">
        <v>0</v>
      </c>
      <c r="M1259" s="49" t="s">
        <v>2142</v>
      </c>
      <c r="N1259" s="49" t="s">
        <v>2535</v>
      </c>
      <c r="O1259" s="49">
        <v>20</v>
      </c>
      <c r="P1259" s="49" t="s">
        <v>12536</v>
      </c>
      <c r="Q1259" s="49">
        <v>0</v>
      </c>
      <c r="R1259" s="49" t="s">
        <v>12537</v>
      </c>
      <c r="S1259" s="49" t="s">
        <v>12538</v>
      </c>
      <c r="T1259" s="49" t="s">
        <v>12539</v>
      </c>
      <c r="U1259" s="49" t="s">
        <v>655</v>
      </c>
      <c r="V1259" s="49" t="e">
        <v>#REF!</v>
      </c>
      <c r="AC1259" s="49"/>
      <c r="AD1259" s="49"/>
    </row>
    <row r="1260" spans="1:30" hidden="1" x14ac:dyDescent="0.3">
      <c r="A1260" s="49" t="s">
        <v>12540</v>
      </c>
      <c r="B1260" s="49">
        <v>0</v>
      </c>
      <c r="C1260" s="49"/>
      <c r="D1260" s="72" t="s">
        <v>717</v>
      </c>
      <c r="E1260" s="49" t="s">
        <v>3754</v>
      </c>
      <c r="F1260" s="49"/>
      <c r="G1260" s="49"/>
      <c r="H1260" s="49" t="s">
        <v>12541</v>
      </c>
      <c r="I1260" s="49" t="s">
        <v>12544</v>
      </c>
      <c r="J1260" s="49" t="s">
        <v>12542</v>
      </c>
      <c r="K1260" s="49" t="s">
        <v>12543</v>
      </c>
      <c r="L1260" s="49">
        <v>0</v>
      </c>
      <c r="M1260" s="49" t="s">
        <v>1826</v>
      </c>
      <c r="N1260" s="49" t="s">
        <v>11467</v>
      </c>
      <c r="O1260" s="49">
        <v>4</v>
      </c>
      <c r="P1260" s="49" t="s">
        <v>12545</v>
      </c>
      <c r="Q1260" s="49">
        <v>0</v>
      </c>
      <c r="R1260" s="49" t="s">
        <v>12546</v>
      </c>
      <c r="S1260" s="49" t="s">
        <v>12547</v>
      </c>
      <c r="T1260" s="49" t="s">
        <v>646</v>
      </c>
      <c r="U1260" s="49" t="s">
        <v>655</v>
      </c>
      <c r="V1260" s="49" t="e">
        <v>#REF!</v>
      </c>
      <c r="AC1260" s="49"/>
      <c r="AD1260" s="49"/>
    </row>
    <row r="1261" spans="1:30" hidden="1" x14ac:dyDescent="0.3">
      <c r="A1261" s="49" t="s">
        <v>12548</v>
      </c>
      <c r="B1261" s="49">
        <v>0</v>
      </c>
      <c r="C1261" s="49"/>
      <c r="D1261" s="72" t="s">
        <v>717</v>
      </c>
      <c r="E1261" s="49" t="s">
        <v>3754</v>
      </c>
      <c r="F1261" s="49"/>
      <c r="G1261" s="49"/>
      <c r="H1261" s="49" t="s">
        <v>12549</v>
      </c>
      <c r="I1261" s="49" t="s">
        <v>12552</v>
      </c>
      <c r="J1261" s="49" t="s">
        <v>12550</v>
      </c>
      <c r="K1261" s="49" t="s">
        <v>12551</v>
      </c>
      <c r="L1261" s="49">
        <v>0</v>
      </c>
      <c r="M1261" s="49" t="s">
        <v>2142</v>
      </c>
      <c r="N1261" s="49" t="s">
        <v>818</v>
      </c>
      <c r="O1261" s="49">
        <v>8</v>
      </c>
      <c r="P1261" s="49" t="s">
        <v>12553</v>
      </c>
      <c r="Q1261" s="49">
        <v>0</v>
      </c>
      <c r="R1261" s="49" t="s">
        <v>12554</v>
      </c>
      <c r="S1261" s="49" t="s">
        <v>12555</v>
      </c>
      <c r="T1261" s="49" t="s">
        <v>12556</v>
      </c>
      <c r="U1261" s="49" t="s">
        <v>670</v>
      </c>
      <c r="V1261" s="49" t="e">
        <v>#REF!</v>
      </c>
      <c r="AC1261" s="49"/>
      <c r="AD1261" s="49"/>
    </row>
    <row r="1262" spans="1:30" hidden="1" x14ac:dyDescent="0.3">
      <c r="A1262" s="49" t="s">
        <v>12557</v>
      </c>
      <c r="B1262" s="49">
        <v>0</v>
      </c>
      <c r="C1262" s="49"/>
      <c r="D1262" s="72" t="s">
        <v>717</v>
      </c>
      <c r="E1262" s="49" t="s">
        <v>3754</v>
      </c>
      <c r="F1262" s="49"/>
      <c r="G1262" s="49"/>
      <c r="H1262" s="49" t="s">
        <v>12558</v>
      </c>
      <c r="I1262" s="49" t="s">
        <v>12561</v>
      </c>
      <c r="J1262" s="49" t="s">
        <v>12559</v>
      </c>
      <c r="K1262" s="49" t="s">
        <v>12560</v>
      </c>
      <c r="L1262" s="49">
        <v>0</v>
      </c>
      <c r="M1262" s="49" t="s">
        <v>1764</v>
      </c>
      <c r="N1262" s="49" t="s">
        <v>12562</v>
      </c>
      <c r="O1262" s="49">
        <v>10</v>
      </c>
      <c r="P1262" s="49" t="s">
        <v>12563</v>
      </c>
      <c r="Q1262" s="49">
        <v>0</v>
      </c>
      <c r="R1262" s="49" t="s">
        <v>12564</v>
      </c>
      <c r="S1262" s="49" t="s">
        <v>12565</v>
      </c>
      <c r="T1262" s="49" t="s">
        <v>12566</v>
      </c>
      <c r="U1262" s="49" t="s">
        <v>655</v>
      </c>
      <c r="V1262" s="49" t="e">
        <v>#REF!</v>
      </c>
      <c r="AC1262" s="49"/>
      <c r="AD1262" s="49"/>
    </row>
    <row r="1263" spans="1:30" hidden="1" x14ac:dyDescent="0.3">
      <c r="A1263" s="49" t="s">
        <v>12567</v>
      </c>
      <c r="B1263" s="49">
        <v>0</v>
      </c>
      <c r="C1263" s="49"/>
      <c r="D1263" s="72" t="s">
        <v>717</v>
      </c>
      <c r="E1263" s="49" t="s">
        <v>3754</v>
      </c>
      <c r="F1263" s="49"/>
      <c r="G1263" s="49"/>
      <c r="H1263" s="49" t="s">
        <v>12568</v>
      </c>
      <c r="I1263" s="49" t="s">
        <v>12571</v>
      </c>
      <c r="J1263" s="49" t="s">
        <v>12569</v>
      </c>
      <c r="K1263" s="49" t="s">
        <v>12570</v>
      </c>
      <c r="L1263" s="49">
        <v>0</v>
      </c>
      <c r="M1263" s="49" t="s">
        <v>1865</v>
      </c>
      <c r="N1263" s="49" t="s">
        <v>12572</v>
      </c>
      <c r="O1263" s="49">
        <v>11</v>
      </c>
      <c r="P1263" s="49" t="s">
        <v>12573</v>
      </c>
      <c r="Q1263" s="49">
        <v>0</v>
      </c>
      <c r="R1263" s="49" t="s">
        <v>12574</v>
      </c>
      <c r="S1263" s="49" t="s">
        <v>12575</v>
      </c>
      <c r="T1263" s="49" t="s">
        <v>12576</v>
      </c>
      <c r="U1263" s="49" t="s">
        <v>655</v>
      </c>
      <c r="V1263" s="49" t="e">
        <v>#REF!</v>
      </c>
      <c r="AC1263" s="49"/>
      <c r="AD1263" s="49"/>
    </row>
    <row r="1264" spans="1:30" hidden="1" x14ac:dyDescent="0.3">
      <c r="A1264" s="49" t="s">
        <v>12577</v>
      </c>
      <c r="B1264" s="49">
        <v>0</v>
      </c>
      <c r="C1264" s="49"/>
      <c r="D1264" s="72" t="s">
        <v>717</v>
      </c>
      <c r="E1264" s="49" t="s">
        <v>3754</v>
      </c>
      <c r="F1264" s="49"/>
      <c r="G1264" s="49"/>
      <c r="H1264" s="49" t="s">
        <v>12578</v>
      </c>
      <c r="I1264" s="49" t="s">
        <v>12581</v>
      </c>
      <c r="J1264" s="49" t="s">
        <v>12579</v>
      </c>
      <c r="K1264" s="49" t="s">
        <v>12580</v>
      </c>
      <c r="L1264" s="49">
        <v>0</v>
      </c>
      <c r="M1264" s="49" t="s">
        <v>4114</v>
      </c>
      <c r="N1264" s="49" t="s">
        <v>5655</v>
      </c>
      <c r="O1264" s="49">
        <v>65</v>
      </c>
      <c r="P1264" s="49" t="s">
        <v>12582</v>
      </c>
      <c r="Q1264" s="49">
        <v>0</v>
      </c>
      <c r="R1264" s="49" t="s">
        <v>12583</v>
      </c>
      <c r="S1264" s="49" t="s">
        <v>12584</v>
      </c>
      <c r="T1264" s="49" t="s">
        <v>646</v>
      </c>
      <c r="U1264" s="49" t="s">
        <v>655</v>
      </c>
      <c r="V1264" s="49" t="e">
        <v>#REF!</v>
      </c>
      <c r="AC1264" s="49"/>
      <c r="AD1264" s="49"/>
    </row>
    <row r="1265" spans="1:30" hidden="1" x14ac:dyDescent="0.3">
      <c r="A1265" s="49" t="s">
        <v>12585</v>
      </c>
      <c r="B1265" s="49">
        <v>0</v>
      </c>
      <c r="C1265" s="49"/>
      <c r="D1265" s="72" t="s">
        <v>717</v>
      </c>
      <c r="E1265" s="49" t="s">
        <v>3754</v>
      </c>
      <c r="F1265" s="49"/>
      <c r="G1265" s="49"/>
      <c r="H1265" s="49" t="s">
        <v>12586</v>
      </c>
      <c r="I1265" s="49" t="s">
        <v>12589</v>
      </c>
      <c r="J1265" s="49" t="s">
        <v>12587</v>
      </c>
      <c r="K1265" s="49" t="s">
        <v>12588</v>
      </c>
      <c r="L1265" s="49">
        <v>0</v>
      </c>
      <c r="M1265" s="49" t="s">
        <v>1826</v>
      </c>
      <c r="N1265" s="49" t="s">
        <v>12590</v>
      </c>
      <c r="O1265" s="49">
        <v>6</v>
      </c>
      <c r="P1265" s="49" t="s">
        <v>12591</v>
      </c>
      <c r="Q1265" s="49">
        <v>0</v>
      </c>
      <c r="R1265" s="49" t="s">
        <v>12592</v>
      </c>
      <c r="S1265" s="49" t="s">
        <v>12593</v>
      </c>
      <c r="T1265" s="49" t="s">
        <v>12594</v>
      </c>
      <c r="U1265" s="49" t="s">
        <v>655</v>
      </c>
      <c r="V1265" s="49" t="e">
        <v>#REF!</v>
      </c>
      <c r="AC1265" s="49"/>
      <c r="AD1265" s="49"/>
    </row>
    <row r="1266" spans="1:30" hidden="1" x14ac:dyDescent="0.3">
      <c r="A1266" s="49" t="s">
        <v>12595</v>
      </c>
      <c r="B1266" s="49">
        <v>0</v>
      </c>
      <c r="C1266" s="49"/>
      <c r="D1266" s="72" t="s">
        <v>717</v>
      </c>
      <c r="E1266" s="49" t="s">
        <v>3754</v>
      </c>
      <c r="F1266" s="49"/>
      <c r="G1266" s="49"/>
      <c r="H1266" s="49" t="s">
        <v>12596</v>
      </c>
      <c r="I1266" s="49" t="s">
        <v>12599</v>
      </c>
      <c r="J1266" s="49" t="s">
        <v>12597</v>
      </c>
      <c r="K1266" s="49" t="s">
        <v>12598</v>
      </c>
      <c r="L1266" s="49">
        <v>0</v>
      </c>
      <c r="M1266" s="49" t="s">
        <v>1826</v>
      </c>
      <c r="N1266" s="49" t="s">
        <v>5608</v>
      </c>
      <c r="O1266" s="49">
        <v>4</v>
      </c>
      <c r="P1266" s="49" t="s">
        <v>12600</v>
      </c>
      <c r="Q1266" s="49">
        <v>0</v>
      </c>
      <c r="R1266" s="49" t="s">
        <v>1153</v>
      </c>
      <c r="S1266" s="49" t="s">
        <v>12601</v>
      </c>
      <c r="T1266" s="49" t="s">
        <v>646</v>
      </c>
      <c r="U1266" s="49" t="s">
        <v>670</v>
      </c>
      <c r="V1266" s="49" t="e">
        <v>#REF!</v>
      </c>
      <c r="AC1266" s="49"/>
      <c r="AD1266" s="49"/>
    </row>
    <row r="1267" spans="1:30" hidden="1" x14ac:dyDescent="0.3">
      <c r="A1267" s="49" t="s">
        <v>12602</v>
      </c>
      <c r="B1267" s="49">
        <v>0</v>
      </c>
      <c r="C1267" s="49"/>
      <c r="D1267" s="72" t="s">
        <v>717</v>
      </c>
      <c r="E1267" s="49" t="s">
        <v>3754</v>
      </c>
      <c r="F1267" s="49"/>
      <c r="G1267" s="49"/>
      <c r="H1267" s="49" t="s">
        <v>12603</v>
      </c>
      <c r="I1267" s="49" t="s">
        <v>12606</v>
      </c>
      <c r="J1267" s="49" t="s">
        <v>12604</v>
      </c>
      <c r="K1267" s="49" t="s">
        <v>12605</v>
      </c>
      <c r="L1267" s="49">
        <v>0</v>
      </c>
      <c r="M1267" s="49" t="s">
        <v>1826</v>
      </c>
      <c r="N1267" s="49" t="s">
        <v>9970</v>
      </c>
      <c r="O1267" s="49">
        <v>15</v>
      </c>
      <c r="P1267" s="49" t="s">
        <v>12607</v>
      </c>
      <c r="Q1267" s="49">
        <v>0</v>
      </c>
      <c r="R1267" s="49" t="s">
        <v>12608</v>
      </c>
      <c r="S1267" s="49" t="s">
        <v>12609</v>
      </c>
      <c r="T1267" s="49" t="s">
        <v>12610</v>
      </c>
      <c r="U1267" s="49" t="s">
        <v>655</v>
      </c>
      <c r="V1267" s="49" t="e">
        <v>#REF!</v>
      </c>
      <c r="AC1267" s="49"/>
      <c r="AD1267" s="49"/>
    </row>
    <row r="1268" spans="1:30" hidden="1" x14ac:dyDescent="0.3">
      <c r="A1268" s="49" t="s">
        <v>12611</v>
      </c>
      <c r="B1268" s="49">
        <v>0</v>
      </c>
      <c r="C1268" s="49"/>
      <c r="D1268" s="72" t="s">
        <v>717</v>
      </c>
      <c r="E1268" s="49" t="s">
        <v>3754</v>
      </c>
      <c r="F1268" s="49"/>
      <c r="G1268" s="49"/>
      <c r="H1268" s="49" t="s">
        <v>12612</v>
      </c>
      <c r="I1268" s="49" t="s">
        <v>12615</v>
      </c>
      <c r="J1268" s="49" t="s">
        <v>12613</v>
      </c>
      <c r="K1268" s="49" t="s">
        <v>12614</v>
      </c>
      <c r="L1268" s="49">
        <v>0</v>
      </c>
      <c r="M1268" s="49" t="s">
        <v>1865</v>
      </c>
      <c r="N1268" s="49" t="s">
        <v>9181</v>
      </c>
      <c r="O1268" s="49">
        <v>20</v>
      </c>
      <c r="P1268" s="49" t="s">
        <v>12616</v>
      </c>
      <c r="Q1268" s="49">
        <v>0</v>
      </c>
      <c r="R1268" s="49" t="s">
        <v>12617</v>
      </c>
      <c r="S1268" s="49" t="s">
        <v>12618</v>
      </c>
      <c r="T1268" s="49" t="s">
        <v>12619</v>
      </c>
      <c r="U1268" s="49" t="s">
        <v>655</v>
      </c>
      <c r="V1268" s="49" t="e">
        <v>#REF!</v>
      </c>
      <c r="AC1268" s="49"/>
      <c r="AD1268" s="49"/>
    </row>
    <row r="1269" spans="1:30" hidden="1" x14ac:dyDescent="0.3">
      <c r="A1269" s="49" t="s">
        <v>1245</v>
      </c>
      <c r="B1269" s="49">
        <v>0</v>
      </c>
      <c r="C1269" s="49"/>
      <c r="D1269" s="72" t="s">
        <v>717</v>
      </c>
      <c r="E1269" s="49" t="s">
        <v>3754</v>
      </c>
      <c r="F1269" s="49"/>
      <c r="G1269" s="49"/>
      <c r="H1269" s="49" t="s">
        <v>1247</v>
      </c>
      <c r="I1269" s="49" t="s">
        <v>1248</v>
      </c>
      <c r="J1269" s="49" t="s">
        <v>1249</v>
      </c>
      <c r="K1269" s="49" t="s">
        <v>1250</v>
      </c>
      <c r="L1269" s="49">
        <v>0</v>
      </c>
      <c r="M1269" s="49" t="s">
        <v>1764</v>
      </c>
      <c r="N1269" s="49" t="s">
        <v>982</v>
      </c>
      <c r="O1269" s="49">
        <v>14</v>
      </c>
      <c r="P1269" s="49" t="s">
        <v>1251</v>
      </c>
      <c r="Q1269" s="49">
        <v>0</v>
      </c>
      <c r="R1269" s="49" t="s">
        <v>1252</v>
      </c>
      <c r="S1269" s="49" t="s">
        <v>1253</v>
      </c>
      <c r="T1269" s="49" t="s">
        <v>12620</v>
      </c>
      <c r="U1269" s="49" t="s">
        <v>655</v>
      </c>
      <c r="V1269" s="49" t="e">
        <v>#REF!</v>
      </c>
      <c r="AC1269" s="49"/>
      <c r="AD1269" s="49"/>
    </row>
    <row r="1270" spans="1:30" hidden="1" x14ac:dyDescent="0.3">
      <c r="A1270" s="49" t="s">
        <v>12621</v>
      </c>
      <c r="B1270" s="49">
        <v>0</v>
      </c>
      <c r="C1270" s="49"/>
      <c r="D1270" s="72" t="s">
        <v>717</v>
      </c>
      <c r="E1270" s="49" t="s">
        <v>3754</v>
      </c>
      <c r="F1270" s="49"/>
      <c r="G1270" s="49"/>
      <c r="H1270" s="49" t="s">
        <v>12622</v>
      </c>
      <c r="I1270" s="49" t="s">
        <v>12625</v>
      </c>
      <c r="J1270" s="49" t="s">
        <v>12623</v>
      </c>
      <c r="K1270" s="49" t="s">
        <v>12624</v>
      </c>
      <c r="L1270" s="49">
        <v>0</v>
      </c>
      <c r="M1270" s="49" t="s">
        <v>1826</v>
      </c>
      <c r="N1270" s="49" t="s">
        <v>12626</v>
      </c>
      <c r="O1270" s="49">
        <v>7</v>
      </c>
      <c r="P1270" s="49" t="s">
        <v>12627</v>
      </c>
      <c r="Q1270" s="49">
        <v>0</v>
      </c>
      <c r="R1270" s="49" t="s">
        <v>12628</v>
      </c>
      <c r="S1270" s="49" t="s">
        <v>12629</v>
      </c>
      <c r="T1270" s="49" t="s">
        <v>12630</v>
      </c>
      <c r="U1270" s="49" t="s">
        <v>655</v>
      </c>
      <c r="V1270" s="49" t="e">
        <v>#REF!</v>
      </c>
      <c r="AC1270" s="49"/>
      <c r="AD1270" s="49"/>
    </row>
    <row r="1271" spans="1:30" hidden="1" x14ac:dyDescent="0.3">
      <c r="A1271" s="49" t="s">
        <v>12631</v>
      </c>
      <c r="B1271" s="49">
        <v>0</v>
      </c>
      <c r="C1271" s="49"/>
      <c r="D1271" s="72" t="s">
        <v>717</v>
      </c>
      <c r="E1271" s="49" t="s">
        <v>3754</v>
      </c>
      <c r="F1271" s="49"/>
      <c r="G1271" s="49"/>
      <c r="H1271" s="49" t="s">
        <v>12632</v>
      </c>
      <c r="I1271" s="49" t="s">
        <v>12635</v>
      </c>
      <c r="J1271" s="49" t="s">
        <v>12633</v>
      </c>
      <c r="K1271" s="49" t="s">
        <v>12634</v>
      </c>
      <c r="L1271" s="49">
        <v>0</v>
      </c>
      <c r="M1271" s="49" t="s">
        <v>4114</v>
      </c>
      <c r="N1271" s="49" t="s">
        <v>2239</v>
      </c>
      <c r="O1271" s="49">
        <v>37</v>
      </c>
      <c r="P1271" s="49" t="s">
        <v>12636</v>
      </c>
      <c r="Q1271" s="49">
        <v>0</v>
      </c>
      <c r="R1271" s="49" t="s">
        <v>12637</v>
      </c>
      <c r="S1271" s="49" t="s">
        <v>12638</v>
      </c>
      <c r="T1271" s="49" t="s">
        <v>646</v>
      </c>
      <c r="U1271" s="49" t="s">
        <v>670</v>
      </c>
      <c r="V1271" s="49" t="e">
        <v>#REF!</v>
      </c>
      <c r="AC1271" s="49"/>
      <c r="AD1271" s="49"/>
    </row>
    <row r="1272" spans="1:30" hidden="1" x14ac:dyDescent="0.3">
      <c r="A1272" s="49" t="s">
        <v>12639</v>
      </c>
      <c r="B1272" s="49">
        <v>0</v>
      </c>
      <c r="C1272" s="49"/>
      <c r="D1272" s="72" t="s">
        <v>717</v>
      </c>
      <c r="E1272" s="49" t="s">
        <v>3754</v>
      </c>
      <c r="F1272" s="49"/>
      <c r="G1272" s="49"/>
      <c r="H1272" s="49" t="s">
        <v>12640</v>
      </c>
      <c r="I1272" s="49" t="s">
        <v>826</v>
      </c>
      <c r="J1272" s="49" t="s">
        <v>827</v>
      </c>
      <c r="K1272" s="49" t="s">
        <v>12641</v>
      </c>
      <c r="L1272" s="49">
        <v>0</v>
      </c>
      <c r="M1272" s="49" t="s">
        <v>2484</v>
      </c>
      <c r="N1272" s="49" t="s">
        <v>2123</v>
      </c>
      <c r="O1272" s="49">
        <v>69</v>
      </c>
      <c r="P1272" s="49" t="s">
        <v>12642</v>
      </c>
      <c r="Q1272" s="49">
        <v>0</v>
      </c>
      <c r="R1272" s="49" t="s">
        <v>646</v>
      </c>
      <c r="S1272" s="49" t="s">
        <v>646</v>
      </c>
      <c r="T1272" s="49" t="s">
        <v>12643</v>
      </c>
      <c r="U1272" s="49" t="s">
        <v>655</v>
      </c>
      <c r="V1272" s="49" t="e">
        <v>#REF!</v>
      </c>
      <c r="AC1272" s="49"/>
      <c r="AD1272" s="49"/>
    </row>
    <row r="1273" spans="1:30" hidden="1" x14ac:dyDescent="0.3">
      <c r="A1273" s="49" t="s">
        <v>12644</v>
      </c>
      <c r="B1273" s="49">
        <v>0</v>
      </c>
      <c r="C1273" s="49"/>
      <c r="D1273" s="72" t="s">
        <v>717</v>
      </c>
      <c r="E1273" s="49" t="s">
        <v>3754</v>
      </c>
      <c r="F1273" s="49"/>
      <c r="G1273" s="49"/>
      <c r="H1273" s="49" t="s">
        <v>12645</v>
      </c>
      <c r="I1273" s="49" t="s">
        <v>12648</v>
      </c>
      <c r="J1273" s="49" t="s">
        <v>12646</v>
      </c>
      <c r="K1273" s="49" t="s">
        <v>12647</v>
      </c>
      <c r="L1273" s="49">
        <v>0</v>
      </c>
      <c r="M1273" s="49" t="s">
        <v>1865</v>
      </c>
      <c r="N1273" s="49" t="s">
        <v>2006</v>
      </c>
      <c r="O1273" s="49">
        <v>11</v>
      </c>
      <c r="P1273" s="49" t="s">
        <v>12649</v>
      </c>
      <c r="Q1273" s="49">
        <v>0</v>
      </c>
      <c r="R1273" s="49" t="s">
        <v>12650</v>
      </c>
      <c r="S1273" s="49" t="s">
        <v>12651</v>
      </c>
      <c r="T1273" s="49" t="s">
        <v>12652</v>
      </c>
      <c r="U1273" s="49" t="s">
        <v>655</v>
      </c>
      <c r="V1273" s="49" t="e">
        <v>#REF!</v>
      </c>
      <c r="AC1273" s="49"/>
      <c r="AD1273" s="49"/>
    </row>
    <row r="1274" spans="1:30" hidden="1" x14ac:dyDescent="0.3">
      <c r="A1274" s="49" t="s">
        <v>12653</v>
      </c>
      <c r="B1274" s="49">
        <v>0</v>
      </c>
      <c r="C1274" s="49"/>
      <c r="D1274" s="72" t="s">
        <v>717</v>
      </c>
      <c r="E1274" s="49" t="s">
        <v>3754</v>
      </c>
      <c r="F1274" s="49"/>
      <c r="G1274" s="49"/>
      <c r="H1274" s="49" t="s">
        <v>12654</v>
      </c>
      <c r="I1274" s="49" t="s">
        <v>12657</v>
      </c>
      <c r="J1274" s="49" t="s">
        <v>12655</v>
      </c>
      <c r="K1274" s="49" t="s">
        <v>12656</v>
      </c>
      <c r="L1274" s="49">
        <v>0</v>
      </c>
      <c r="M1274" s="49" t="s">
        <v>2484</v>
      </c>
      <c r="N1274" s="49" t="s">
        <v>1494</v>
      </c>
      <c r="O1274" s="49">
        <v>56</v>
      </c>
      <c r="P1274" s="49" t="s">
        <v>12658</v>
      </c>
      <c r="Q1274" s="49">
        <v>0</v>
      </c>
      <c r="R1274" s="49" t="s">
        <v>12659</v>
      </c>
      <c r="S1274" s="49" t="s">
        <v>12660</v>
      </c>
      <c r="T1274" s="49" t="s">
        <v>12661</v>
      </c>
      <c r="U1274" s="49" t="s">
        <v>655</v>
      </c>
      <c r="V1274" s="49" t="e">
        <v>#REF!</v>
      </c>
      <c r="AC1274" s="49"/>
      <c r="AD1274" s="49"/>
    </row>
    <row r="1275" spans="1:30" hidden="1" x14ac:dyDescent="0.3">
      <c r="A1275" s="49" t="s">
        <v>12662</v>
      </c>
      <c r="B1275" s="49">
        <v>0</v>
      </c>
      <c r="C1275" s="49"/>
      <c r="D1275" s="72" t="s">
        <v>717</v>
      </c>
      <c r="E1275" s="49" t="s">
        <v>3754</v>
      </c>
      <c r="F1275" s="49"/>
      <c r="G1275" s="49"/>
      <c r="H1275" s="49" t="s">
        <v>12663</v>
      </c>
      <c r="I1275" s="49" t="s">
        <v>12666</v>
      </c>
      <c r="J1275" s="49" t="s">
        <v>12664</v>
      </c>
      <c r="K1275" s="49" t="s">
        <v>12665</v>
      </c>
      <c r="L1275" s="49">
        <v>0</v>
      </c>
      <c r="M1275" s="49" t="s">
        <v>4084</v>
      </c>
      <c r="N1275" s="49" t="s">
        <v>12667</v>
      </c>
      <c r="O1275" s="49">
        <v>16</v>
      </c>
      <c r="P1275" s="49" t="s">
        <v>12668</v>
      </c>
      <c r="Q1275" s="49">
        <v>0</v>
      </c>
      <c r="R1275" s="49" t="s">
        <v>12669</v>
      </c>
      <c r="S1275" s="49" t="s">
        <v>12670</v>
      </c>
      <c r="T1275" s="49" t="s">
        <v>12671</v>
      </c>
      <c r="U1275" s="49" t="s">
        <v>655</v>
      </c>
      <c r="V1275" s="49" t="e">
        <v>#REF!</v>
      </c>
      <c r="AC1275" s="49"/>
      <c r="AD1275" s="49"/>
    </row>
    <row r="1276" spans="1:30" hidden="1" x14ac:dyDescent="0.3">
      <c r="A1276" s="49" t="s">
        <v>12672</v>
      </c>
      <c r="B1276" s="49">
        <v>0</v>
      </c>
      <c r="C1276" s="49"/>
      <c r="D1276" s="72" t="s">
        <v>717</v>
      </c>
      <c r="E1276" s="49" t="s">
        <v>3754</v>
      </c>
      <c r="F1276" s="49"/>
      <c r="G1276" s="49"/>
      <c r="H1276" s="49" t="s">
        <v>12673</v>
      </c>
      <c r="I1276" s="49" t="s">
        <v>12676</v>
      </c>
      <c r="J1276" s="49" t="s">
        <v>12674</v>
      </c>
      <c r="K1276" s="49" t="s">
        <v>12675</v>
      </c>
      <c r="L1276" s="49">
        <v>0</v>
      </c>
      <c r="M1276" s="49" t="s">
        <v>2484</v>
      </c>
      <c r="N1276" s="49" t="s">
        <v>9251</v>
      </c>
      <c r="O1276" s="49">
        <v>1</v>
      </c>
      <c r="P1276" s="49" t="s">
        <v>12677</v>
      </c>
      <c r="Q1276" s="49">
        <v>0</v>
      </c>
      <c r="R1276" s="49" t="s">
        <v>12678</v>
      </c>
      <c r="S1276" s="49" t="s">
        <v>12679</v>
      </c>
      <c r="T1276" s="49" t="s">
        <v>12680</v>
      </c>
      <c r="U1276" s="49" t="s">
        <v>655</v>
      </c>
      <c r="V1276" s="49" t="e">
        <v>#REF!</v>
      </c>
      <c r="AC1276" s="49"/>
      <c r="AD1276" s="49"/>
    </row>
    <row r="1277" spans="1:30" hidden="1" x14ac:dyDescent="0.3">
      <c r="A1277" s="49" t="s">
        <v>12681</v>
      </c>
      <c r="B1277" s="49">
        <v>0</v>
      </c>
      <c r="C1277" s="49"/>
      <c r="D1277" s="72" t="s">
        <v>717</v>
      </c>
      <c r="E1277" s="49" t="s">
        <v>3754</v>
      </c>
      <c r="F1277" s="49"/>
      <c r="G1277" s="49"/>
      <c r="H1277" s="49" t="s">
        <v>12682</v>
      </c>
      <c r="I1277" s="49" t="s">
        <v>12685</v>
      </c>
      <c r="J1277" s="49" t="s">
        <v>12683</v>
      </c>
      <c r="K1277" s="49" t="s">
        <v>12684</v>
      </c>
      <c r="L1277" s="49">
        <v>0</v>
      </c>
      <c r="M1277" s="49" t="s">
        <v>1777</v>
      </c>
      <c r="N1277" s="49" t="s">
        <v>12686</v>
      </c>
      <c r="O1277" s="49">
        <v>7</v>
      </c>
      <c r="P1277" s="49" t="s">
        <v>12687</v>
      </c>
      <c r="Q1277" s="49">
        <v>0</v>
      </c>
      <c r="R1277" s="49" t="s">
        <v>12688</v>
      </c>
      <c r="S1277" s="49" t="s">
        <v>12689</v>
      </c>
      <c r="T1277" s="49" t="s">
        <v>12690</v>
      </c>
      <c r="U1277" s="49" t="s">
        <v>670</v>
      </c>
      <c r="V1277" s="49" t="e">
        <v>#REF!</v>
      </c>
      <c r="AC1277" s="49"/>
      <c r="AD1277" s="49"/>
    </row>
    <row r="1278" spans="1:30" hidden="1" x14ac:dyDescent="0.3">
      <c r="A1278" s="49" t="s">
        <v>12691</v>
      </c>
      <c r="B1278" s="49">
        <v>0</v>
      </c>
      <c r="C1278" s="49"/>
      <c r="D1278" s="72" t="s">
        <v>717</v>
      </c>
      <c r="E1278" s="49" t="s">
        <v>3754</v>
      </c>
      <c r="F1278" s="49"/>
      <c r="G1278" s="49"/>
      <c r="H1278" s="49" t="s">
        <v>12692</v>
      </c>
      <c r="I1278" s="49" t="s">
        <v>12695</v>
      </c>
      <c r="J1278" s="49" t="s">
        <v>12693</v>
      </c>
      <c r="K1278" s="49" t="s">
        <v>12694</v>
      </c>
      <c r="L1278" s="49">
        <v>0</v>
      </c>
      <c r="M1278" s="49" t="s">
        <v>1826</v>
      </c>
      <c r="N1278" s="49" t="s">
        <v>12696</v>
      </c>
      <c r="O1278" s="49">
        <v>3</v>
      </c>
      <c r="P1278" s="49" t="s">
        <v>12697</v>
      </c>
      <c r="Q1278" s="49">
        <v>0</v>
      </c>
      <c r="R1278" s="49" t="s">
        <v>12698</v>
      </c>
      <c r="S1278" s="49" t="s">
        <v>12699</v>
      </c>
      <c r="T1278" s="49" t="s">
        <v>12700</v>
      </c>
      <c r="U1278" s="49" t="s">
        <v>655</v>
      </c>
      <c r="V1278" s="49" t="e">
        <v>#REF!</v>
      </c>
      <c r="AC1278" s="49"/>
      <c r="AD1278" s="49"/>
    </row>
    <row r="1279" spans="1:30" hidden="1" x14ac:dyDescent="0.3">
      <c r="A1279" s="49" t="s">
        <v>12701</v>
      </c>
      <c r="B1279" s="49">
        <v>0</v>
      </c>
      <c r="C1279" s="49"/>
      <c r="D1279" s="72" t="s">
        <v>717</v>
      </c>
      <c r="E1279" s="49" t="s">
        <v>3754</v>
      </c>
      <c r="F1279" s="49"/>
      <c r="G1279" s="49"/>
      <c r="H1279" s="49" t="s">
        <v>12702</v>
      </c>
      <c r="I1279" s="49" t="s">
        <v>12705</v>
      </c>
      <c r="J1279" s="49" t="s">
        <v>12703</v>
      </c>
      <c r="K1279" s="49" t="s">
        <v>12704</v>
      </c>
      <c r="L1279" s="49">
        <v>0</v>
      </c>
      <c r="M1279" s="49" t="s">
        <v>2484</v>
      </c>
      <c r="N1279" s="49" t="s">
        <v>2591</v>
      </c>
      <c r="O1279" s="49">
        <v>31</v>
      </c>
      <c r="P1279" s="49" t="s">
        <v>12706</v>
      </c>
      <c r="Q1279" s="49">
        <v>0</v>
      </c>
      <c r="R1279" s="49" t="s">
        <v>12707</v>
      </c>
      <c r="S1279" s="49" t="s">
        <v>12708</v>
      </c>
      <c r="T1279" s="49" t="s">
        <v>12709</v>
      </c>
      <c r="U1279" s="49" t="s">
        <v>655</v>
      </c>
      <c r="V1279" s="49" t="e">
        <v>#REF!</v>
      </c>
      <c r="AC1279" s="49"/>
      <c r="AD1279" s="49"/>
    </row>
    <row r="1280" spans="1:30" hidden="1" x14ac:dyDescent="0.3">
      <c r="A1280" s="49" t="s">
        <v>12710</v>
      </c>
      <c r="B1280" s="49">
        <v>0</v>
      </c>
      <c r="C1280" s="49"/>
      <c r="D1280" s="72" t="s">
        <v>717</v>
      </c>
      <c r="E1280" s="49" t="s">
        <v>3754</v>
      </c>
      <c r="F1280" s="49"/>
      <c r="G1280" s="49"/>
      <c r="H1280" s="49" t="s">
        <v>12711</v>
      </c>
      <c r="I1280" s="49" t="s">
        <v>12714</v>
      </c>
      <c r="J1280" s="49" t="s">
        <v>12712</v>
      </c>
      <c r="K1280" s="49" t="s">
        <v>12713</v>
      </c>
      <c r="L1280" s="49">
        <v>0</v>
      </c>
      <c r="M1280" s="49" t="s">
        <v>2220</v>
      </c>
      <c r="N1280" s="49" t="s">
        <v>10947</v>
      </c>
      <c r="O1280" s="49">
        <v>275</v>
      </c>
      <c r="P1280" s="49" t="s">
        <v>12715</v>
      </c>
      <c r="Q1280" s="49">
        <v>0</v>
      </c>
      <c r="R1280" s="49" t="s">
        <v>12716</v>
      </c>
      <c r="S1280" s="49" t="s">
        <v>12717</v>
      </c>
      <c r="T1280" s="49" t="s">
        <v>12718</v>
      </c>
      <c r="U1280" s="49" t="s">
        <v>655</v>
      </c>
      <c r="V1280" s="49" t="e">
        <v>#REF!</v>
      </c>
      <c r="AC1280" s="49"/>
      <c r="AD1280" s="49"/>
    </row>
    <row r="1281" spans="1:30" hidden="1" x14ac:dyDescent="0.3">
      <c r="A1281" s="49" t="s">
        <v>12719</v>
      </c>
      <c r="B1281" s="49">
        <v>0</v>
      </c>
      <c r="C1281" s="49"/>
      <c r="D1281" s="72" t="s">
        <v>717</v>
      </c>
      <c r="E1281" s="49" t="s">
        <v>3754</v>
      </c>
      <c r="F1281" s="49"/>
      <c r="G1281" s="49"/>
      <c r="H1281" s="49" t="s">
        <v>12720</v>
      </c>
      <c r="I1281" s="49" t="s">
        <v>12723</v>
      </c>
      <c r="J1281" s="49" t="s">
        <v>12721</v>
      </c>
      <c r="K1281" s="49" t="s">
        <v>12722</v>
      </c>
      <c r="L1281" s="49">
        <v>0</v>
      </c>
      <c r="M1281" s="49" t="s">
        <v>2484</v>
      </c>
      <c r="N1281" s="49" t="s">
        <v>12724</v>
      </c>
      <c r="O1281" s="49">
        <v>16</v>
      </c>
      <c r="P1281" s="49" t="s">
        <v>12725</v>
      </c>
      <c r="Q1281" s="49">
        <v>0</v>
      </c>
      <c r="R1281" s="49" t="s">
        <v>12726</v>
      </c>
      <c r="S1281" s="49" t="s">
        <v>12727</v>
      </c>
      <c r="T1281" s="49" t="s">
        <v>12728</v>
      </c>
      <c r="U1281" s="49" t="s">
        <v>655</v>
      </c>
      <c r="V1281" s="49" t="e">
        <v>#REF!</v>
      </c>
      <c r="AC1281" s="49"/>
      <c r="AD1281" s="49"/>
    </row>
    <row r="1282" spans="1:30" hidden="1" x14ac:dyDescent="0.3">
      <c r="A1282" s="49" t="s">
        <v>12729</v>
      </c>
      <c r="B1282" s="49">
        <v>0</v>
      </c>
      <c r="C1282" s="49"/>
      <c r="D1282" s="72" t="s">
        <v>717</v>
      </c>
      <c r="E1282" s="49" t="s">
        <v>3754</v>
      </c>
      <c r="F1282" s="49"/>
      <c r="G1282" s="49"/>
      <c r="H1282" s="49" t="s">
        <v>12730</v>
      </c>
      <c r="I1282" s="49" t="s">
        <v>12733</v>
      </c>
      <c r="J1282" s="49" t="s">
        <v>12731</v>
      </c>
      <c r="K1282" s="49" t="s">
        <v>12732</v>
      </c>
      <c r="L1282" s="49">
        <v>0</v>
      </c>
      <c r="M1282" s="49" t="s">
        <v>1826</v>
      </c>
      <c r="N1282" s="49" t="s">
        <v>2036</v>
      </c>
      <c r="O1282" s="49">
        <v>14</v>
      </c>
      <c r="P1282" s="49" t="s">
        <v>12734</v>
      </c>
      <c r="Q1282" s="49">
        <v>0</v>
      </c>
      <c r="R1282" s="49" t="s">
        <v>12735</v>
      </c>
      <c r="S1282" s="49" t="s">
        <v>12736</v>
      </c>
      <c r="T1282" s="49" t="s">
        <v>12737</v>
      </c>
      <c r="U1282" s="49" t="s">
        <v>655</v>
      </c>
      <c r="V1282" s="49" t="e">
        <v>#REF!</v>
      </c>
      <c r="AC1282" s="49"/>
      <c r="AD1282" s="49"/>
    </row>
    <row r="1283" spans="1:30" hidden="1" x14ac:dyDescent="0.3">
      <c r="A1283" s="49" t="s">
        <v>12738</v>
      </c>
      <c r="B1283" s="49">
        <v>0</v>
      </c>
      <c r="C1283" s="49"/>
      <c r="D1283" s="72" t="s">
        <v>717</v>
      </c>
      <c r="E1283" s="49" t="s">
        <v>3754</v>
      </c>
      <c r="F1283" s="49"/>
      <c r="G1283" s="49"/>
      <c r="H1283" s="49" t="s">
        <v>12739</v>
      </c>
      <c r="I1283" s="49" t="s">
        <v>12742</v>
      </c>
      <c r="J1283" s="49" t="s">
        <v>12740</v>
      </c>
      <c r="K1283" s="49" t="s">
        <v>12741</v>
      </c>
      <c r="L1283" s="49">
        <v>0</v>
      </c>
      <c r="M1283" s="49" t="s">
        <v>1777</v>
      </c>
      <c r="N1283" s="49" t="s">
        <v>3949</v>
      </c>
      <c r="O1283" s="49">
        <v>103</v>
      </c>
      <c r="P1283" s="49" t="s">
        <v>12743</v>
      </c>
      <c r="Q1283" s="49">
        <v>0</v>
      </c>
      <c r="R1283" s="49" t="s">
        <v>12744</v>
      </c>
      <c r="S1283" s="49" t="s">
        <v>12745</v>
      </c>
      <c r="T1283" s="49" t="s">
        <v>12746</v>
      </c>
      <c r="U1283" s="49" t="s">
        <v>655</v>
      </c>
      <c r="V1283" s="49" t="e">
        <v>#REF!</v>
      </c>
      <c r="AC1283" s="49"/>
      <c r="AD1283" s="49"/>
    </row>
    <row r="1284" spans="1:30" hidden="1" x14ac:dyDescent="0.3">
      <c r="A1284" s="49" t="s">
        <v>12747</v>
      </c>
      <c r="B1284" s="49">
        <v>0</v>
      </c>
      <c r="C1284" s="49"/>
      <c r="D1284" s="72" t="s">
        <v>717</v>
      </c>
      <c r="E1284" s="49" t="s">
        <v>3754</v>
      </c>
      <c r="F1284" s="49"/>
      <c r="G1284" s="49"/>
      <c r="H1284" s="49" t="s">
        <v>12748</v>
      </c>
      <c r="I1284" s="49" t="s">
        <v>12751</v>
      </c>
      <c r="J1284" s="49" t="s">
        <v>12749</v>
      </c>
      <c r="K1284" s="49" t="s">
        <v>12750</v>
      </c>
      <c r="L1284" s="49">
        <v>0</v>
      </c>
      <c r="M1284" s="49" t="s">
        <v>1745</v>
      </c>
      <c r="N1284" s="49" t="s">
        <v>12752</v>
      </c>
      <c r="O1284" s="49">
        <v>3</v>
      </c>
      <c r="P1284" s="49" t="s">
        <v>12753</v>
      </c>
      <c r="Q1284" s="49">
        <v>0</v>
      </c>
      <c r="R1284" s="49" t="s">
        <v>12754</v>
      </c>
      <c r="S1284" s="49" t="s">
        <v>12755</v>
      </c>
      <c r="T1284" s="49" t="s">
        <v>12756</v>
      </c>
      <c r="U1284" s="49" t="s">
        <v>655</v>
      </c>
      <c r="V1284" s="49" t="e">
        <v>#REF!</v>
      </c>
      <c r="AC1284" s="49"/>
      <c r="AD1284" s="49"/>
    </row>
    <row r="1285" spans="1:30" hidden="1" x14ac:dyDescent="0.3">
      <c r="A1285" s="49" t="s">
        <v>12757</v>
      </c>
      <c r="B1285" s="49">
        <v>0</v>
      </c>
      <c r="C1285" s="49"/>
      <c r="D1285" s="72" t="s">
        <v>717</v>
      </c>
      <c r="E1285" s="49" t="s">
        <v>3754</v>
      </c>
      <c r="F1285" s="49"/>
      <c r="G1285" s="49"/>
      <c r="H1285" s="49" t="s">
        <v>12758</v>
      </c>
      <c r="I1285" s="49" t="s">
        <v>12761</v>
      </c>
      <c r="J1285" s="49" t="s">
        <v>12759</v>
      </c>
      <c r="K1285" s="49" t="s">
        <v>12760</v>
      </c>
      <c r="L1285" s="49">
        <v>0</v>
      </c>
      <c r="M1285" s="49" t="s">
        <v>4114</v>
      </c>
      <c r="N1285" s="49" t="s">
        <v>12762</v>
      </c>
      <c r="O1285" s="49">
        <v>19</v>
      </c>
      <c r="P1285" s="49" t="s">
        <v>12763</v>
      </c>
      <c r="Q1285" s="49">
        <v>0</v>
      </c>
      <c r="R1285" s="49" t="s">
        <v>12764</v>
      </c>
      <c r="S1285" s="49" t="s">
        <v>12765</v>
      </c>
      <c r="T1285" s="49" t="s">
        <v>646</v>
      </c>
      <c r="U1285" s="49" t="s">
        <v>670</v>
      </c>
      <c r="V1285" s="49" t="e">
        <v>#REF!</v>
      </c>
      <c r="AC1285" s="49"/>
      <c r="AD1285" s="49"/>
    </row>
    <row r="1286" spans="1:30" hidden="1" x14ac:dyDescent="0.3">
      <c r="A1286" s="49" t="s">
        <v>12766</v>
      </c>
      <c r="B1286" s="49">
        <v>0</v>
      </c>
      <c r="C1286" s="49"/>
      <c r="D1286" s="72" t="s">
        <v>717</v>
      </c>
      <c r="E1286" s="49" t="s">
        <v>3754</v>
      </c>
      <c r="F1286" s="49"/>
      <c r="G1286" s="49"/>
      <c r="H1286" s="49" t="s">
        <v>12767</v>
      </c>
      <c r="I1286" s="49" t="s">
        <v>12770</v>
      </c>
      <c r="J1286" s="49" t="s">
        <v>12768</v>
      </c>
      <c r="K1286" s="49" t="s">
        <v>12769</v>
      </c>
      <c r="L1286" s="49">
        <v>0</v>
      </c>
      <c r="M1286" s="49" t="s">
        <v>1817</v>
      </c>
      <c r="N1286" s="49" t="s">
        <v>708</v>
      </c>
      <c r="O1286" s="49">
        <v>16</v>
      </c>
      <c r="P1286" s="49" t="s">
        <v>12771</v>
      </c>
      <c r="Q1286" s="49">
        <v>0</v>
      </c>
      <c r="R1286" s="49" t="s">
        <v>12772</v>
      </c>
      <c r="S1286" s="49" t="s">
        <v>12773</v>
      </c>
      <c r="T1286" s="49" t="s">
        <v>12774</v>
      </c>
      <c r="U1286" s="49" t="s">
        <v>655</v>
      </c>
      <c r="V1286" s="49" t="e">
        <v>#REF!</v>
      </c>
      <c r="AC1286" s="49"/>
      <c r="AD1286" s="49"/>
    </row>
    <row r="1287" spans="1:30" hidden="1" x14ac:dyDescent="0.3">
      <c r="A1287" s="49" t="s">
        <v>963</v>
      </c>
      <c r="B1287" s="49">
        <v>0</v>
      </c>
      <c r="C1287" s="49"/>
      <c r="D1287" s="72" t="s">
        <v>717</v>
      </c>
      <c r="E1287" s="49" t="s">
        <v>3754</v>
      </c>
      <c r="F1287" s="49"/>
      <c r="G1287" s="49"/>
      <c r="H1287" s="49" t="s">
        <v>965</v>
      </c>
      <c r="I1287" s="49" t="s">
        <v>966</v>
      </c>
      <c r="J1287" s="49" t="s">
        <v>967</v>
      </c>
      <c r="K1287" s="49" t="s">
        <v>968</v>
      </c>
      <c r="L1287" s="49">
        <v>0</v>
      </c>
      <c r="M1287" s="49" t="s">
        <v>2484</v>
      </c>
      <c r="N1287" s="49" t="s">
        <v>708</v>
      </c>
      <c r="O1287" s="49">
        <v>27</v>
      </c>
      <c r="P1287" s="49" t="s">
        <v>970</v>
      </c>
      <c r="Q1287" s="49">
        <v>0</v>
      </c>
      <c r="R1287" s="49" t="s">
        <v>972</v>
      </c>
      <c r="S1287" s="49" t="s">
        <v>973</v>
      </c>
      <c r="T1287" s="49" t="s">
        <v>11292</v>
      </c>
      <c r="U1287" s="49" t="s">
        <v>655</v>
      </c>
      <c r="V1287" s="49" t="e">
        <v>#REF!</v>
      </c>
      <c r="AC1287" s="49"/>
      <c r="AD1287" s="49"/>
    </row>
    <row r="1288" spans="1:30" hidden="1" x14ac:dyDescent="0.3">
      <c r="A1288" s="49" t="s">
        <v>1571</v>
      </c>
      <c r="B1288" s="49">
        <v>0</v>
      </c>
      <c r="C1288" s="49"/>
      <c r="D1288" s="72" t="s">
        <v>717</v>
      </c>
      <c r="E1288" s="49" t="s">
        <v>3754</v>
      </c>
      <c r="F1288" s="49"/>
      <c r="G1288" s="49"/>
      <c r="H1288" s="49" t="s">
        <v>1573</v>
      </c>
      <c r="I1288" s="49" t="s">
        <v>1574</v>
      </c>
      <c r="J1288" s="49" t="s">
        <v>1575</v>
      </c>
      <c r="K1288" s="49" t="s">
        <v>1576</v>
      </c>
      <c r="L1288" s="49">
        <v>0</v>
      </c>
      <c r="M1288" s="49" t="s">
        <v>1826</v>
      </c>
      <c r="N1288" s="49" t="s">
        <v>1577</v>
      </c>
      <c r="O1288" s="49">
        <v>5</v>
      </c>
      <c r="P1288" s="49" t="s">
        <v>1578</v>
      </c>
      <c r="Q1288" s="49">
        <v>0</v>
      </c>
      <c r="R1288" s="49" t="s">
        <v>1579</v>
      </c>
      <c r="S1288" s="49" t="s">
        <v>1580</v>
      </c>
      <c r="T1288" s="49" t="s">
        <v>646</v>
      </c>
      <c r="U1288" s="49" t="s">
        <v>670</v>
      </c>
      <c r="V1288" s="49" t="e">
        <v>#REF!</v>
      </c>
      <c r="AC1288" s="49"/>
      <c r="AD1288" s="49"/>
    </row>
    <row r="1289" spans="1:30" hidden="1" x14ac:dyDescent="0.3">
      <c r="A1289" s="49" t="s">
        <v>12775</v>
      </c>
      <c r="B1289" s="49">
        <v>0</v>
      </c>
      <c r="C1289" s="49"/>
      <c r="D1289" s="72" t="s">
        <v>717</v>
      </c>
      <c r="E1289" s="49" t="s">
        <v>3754</v>
      </c>
      <c r="F1289" s="49"/>
      <c r="G1289" s="49"/>
      <c r="H1289" s="49" t="s">
        <v>12776</v>
      </c>
      <c r="I1289" s="49" t="s">
        <v>12779</v>
      </c>
      <c r="J1289" s="49" t="s">
        <v>12777</v>
      </c>
      <c r="K1289" s="49" t="s">
        <v>12778</v>
      </c>
      <c r="L1289" s="49">
        <v>0</v>
      </c>
      <c r="M1289" s="49" t="s">
        <v>1764</v>
      </c>
      <c r="N1289" s="49" t="s">
        <v>11115</v>
      </c>
      <c r="O1289" s="49">
        <v>23</v>
      </c>
      <c r="P1289" s="49" t="s">
        <v>12780</v>
      </c>
      <c r="Q1289" s="49">
        <v>0</v>
      </c>
      <c r="R1289" s="49" t="s">
        <v>12781</v>
      </c>
      <c r="S1289" s="49" t="s">
        <v>12782</v>
      </c>
      <c r="T1289" s="49" t="s">
        <v>12783</v>
      </c>
      <c r="U1289" s="49" t="s">
        <v>655</v>
      </c>
      <c r="V1289" s="49" t="e">
        <v>#REF!</v>
      </c>
      <c r="AC1289" s="49"/>
      <c r="AD1289" s="49"/>
    </row>
    <row r="1290" spans="1:30" hidden="1" x14ac:dyDescent="0.3">
      <c r="A1290" s="49" t="s">
        <v>12784</v>
      </c>
      <c r="B1290" s="49">
        <v>0</v>
      </c>
      <c r="C1290" s="49"/>
      <c r="D1290" s="72" t="s">
        <v>717</v>
      </c>
      <c r="E1290" s="49" t="s">
        <v>3754</v>
      </c>
      <c r="F1290" s="49"/>
      <c r="G1290" s="49"/>
      <c r="H1290" s="49" t="s">
        <v>12785</v>
      </c>
      <c r="I1290" s="49" t="s">
        <v>12788</v>
      </c>
      <c r="J1290" s="49" t="s">
        <v>12786</v>
      </c>
      <c r="K1290" s="49" t="s">
        <v>12787</v>
      </c>
      <c r="L1290" s="49">
        <v>0</v>
      </c>
      <c r="M1290" s="49" t="s">
        <v>2484</v>
      </c>
      <c r="N1290" s="49" t="s">
        <v>11484</v>
      </c>
      <c r="O1290" s="49">
        <v>1</v>
      </c>
      <c r="P1290" s="49" t="s">
        <v>12789</v>
      </c>
      <c r="Q1290" s="49">
        <v>0</v>
      </c>
      <c r="R1290" s="49" t="s">
        <v>12790</v>
      </c>
      <c r="S1290" s="49" t="s">
        <v>12791</v>
      </c>
      <c r="T1290" s="49" t="s">
        <v>12792</v>
      </c>
      <c r="U1290" s="49" t="s">
        <v>655</v>
      </c>
      <c r="V1290" s="49" t="e">
        <v>#REF!</v>
      </c>
      <c r="AC1290" s="49"/>
      <c r="AD1290" s="49"/>
    </row>
    <row r="1291" spans="1:30" hidden="1" x14ac:dyDescent="0.3">
      <c r="A1291" s="49" t="s">
        <v>12793</v>
      </c>
      <c r="B1291" s="49">
        <v>0</v>
      </c>
      <c r="C1291" s="49"/>
      <c r="D1291" s="72" t="s">
        <v>717</v>
      </c>
      <c r="E1291" s="49" t="s">
        <v>3754</v>
      </c>
      <c r="F1291" s="49"/>
      <c r="G1291" s="49"/>
      <c r="H1291" s="49" t="s">
        <v>12794</v>
      </c>
      <c r="I1291" s="49" t="s">
        <v>12797</v>
      </c>
      <c r="J1291" s="49" t="s">
        <v>12795</v>
      </c>
      <c r="K1291" s="49" t="s">
        <v>12796</v>
      </c>
      <c r="L1291" s="49">
        <v>0</v>
      </c>
      <c r="M1291" s="49" t="s">
        <v>1745</v>
      </c>
      <c r="N1291" s="49" t="s">
        <v>12798</v>
      </c>
      <c r="O1291" s="49">
        <v>5</v>
      </c>
      <c r="P1291" s="49" t="s">
        <v>12799</v>
      </c>
      <c r="Q1291" s="49">
        <v>0</v>
      </c>
      <c r="R1291" s="49" t="s">
        <v>12800</v>
      </c>
      <c r="S1291" s="49" t="s">
        <v>12801</v>
      </c>
      <c r="T1291" s="49" t="s">
        <v>12802</v>
      </c>
      <c r="U1291" s="49" t="s">
        <v>655</v>
      </c>
      <c r="V1291" s="49" t="e">
        <v>#REF!</v>
      </c>
      <c r="AC1291" s="49"/>
      <c r="AD1291" s="49"/>
    </row>
    <row r="1292" spans="1:30" hidden="1" x14ac:dyDescent="0.3">
      <c r="A1292" s="49" t="s">
        <v>12803</v>
      </c>
      <c r="B1292" s="49">
        <v>0</v>
      </c>
      <c r="C1292" s="49"/>
      <c r="D1292" s="72" t="s">
        <v>717</v>
      </c>
      <c r="E1292" s="49" t="s">
        <v>3754</v>
      </c>
      <c r="F1292" s="49"/>
      <c r="G1292" s="49"/>
      <c r="H1292" s="49" t="s">
        <v>12804</v>
      </c>
      <c r="I1292" s="49" t="s">
        <v>12807</v>
      </c>
      <c r="J1292" s="49" t="s">
        <v>12805</v>
      </c>
      <c r="K1292" s="49" t="s">
        <v>12806</v>
      </c>
      <c r="L1292" s="49">
        <v>0</v>
      </c>
      <c r="M1292" s="49" t="s">
        <v>1865</v>
      </c>
      <c r="N1292" s="49" t="s">
        <v>12808</v>
      </c>
      <c r="O1292" s="49">
        <v>3</v>
      </c>
      <c r="P1292" s="49" t="s">
        <v>12809</v>
      </c>
      <c r="Q1292" s="49">
        <v>0</v>
      </c>
      <c r="R1292" s="49" t="s">
        <v>12810</v>
      </c>
      <c r="S1292" s="49" t="s">
        <v>12811</v>
      </c>
      <c r="T1292" s="49" t="s">
        <v>12812</v>
      </c>
      <c r="U1292" s="49" t="s">
        <v>655</v>
      </c>
      <c r="V1292" s="49" t="e">
        <v>#REF!</v>
      </c>
      <c r="AC1292" s="49"/>
      <c r="AD1292" s="49"/>
    </row>
    <row r="1293" spans="1:30" hidden="1" x14ac:dyDescent="0.3">
      <c r="A1293" s="49" t="s">
        <v>12813</v>
      </c>
      <c r="B1293" s="49">
        <v>0</v>
      </c>
      <c r="C1293" s="49"/>
      <c r="D1293" s="72" t="s">
        <v>717</v>
      </c>
      <c r="E1293" s="49" t="s">
        <v>3754</v>
      </c>
      <c r="F1293" s="49"/>
      <c r="G1293" s="49"/>
      <c r="H1293" s="49" t="s">
        <v>12814</v>
      </c>
      <c r="I1293" s="49" t="s">
        <v>12817</v>
      </c>
      <c r="J1293" s="49" t="s">
        <v>12815</v>
      </c>
      <c r="K1293" s="49" t="s">
        <v>12816</v>
      </c>
      <c r="L1293" s="49">
        <v>0</v>
      </c>
      <c r="M1293" s="49" t="s">
        <v>1826</v>
      </c>
      <c r="N1293" s="49" t="s">
        <v>12818</v>
      </c>
      <c r="O1293" s="49">
        <v>2</v>
      </c>
      <c r="P1293" s="49" t="s">
        <v>12819</v>
      </c>
      <c r="Q1293" s="49">
        <v>0</v>
      </c>
      <c r="R1293" s="49" t="s">
        <v>12820</v>
      </c>
      <c r="S1293" s="49" t="s">
        <v>12821</v>
      </c>
      <c r="T1293" s="49" t="s">
        <v>12822</v>
      </c>
      <c r="U1293" s="49" t="s">
        <v>655</v>
      </c>
      <c r="V1293" s="49" t="e">
        <v>#REF!</v>
      </c>
      <c r="AC1293" s="49"/>
      <c r="AD1293" s="49"/>
    </row>
    <row r="1294" spans="1:30" hidden="1" x14ac:dyDescent="0.3">
      <c r="A1294" s="49" t="s">
        <v>12823</v>
      </c>
      <c r="B1294" s="49">
        <v>0</v>
      </c>
      <c r="C1294" s="49"/>
      <c r="D1294" s="72" t="s">
        <v>717</v>
      </c>
      <c r="E1294" s="49" t="s">
        <v>3754</v>
      </c>
      <c r="F1294" s="49"/>
      <c r="G1294" s="49"/>
      <c r="H1294" s="49" t="s">
        <v>12824</v>
      </c>
      <c r="I1294" s="49" t="s">
        <v>12827</v>
      </c>
      <c r="J1294" s="49" t="s">
        <v>12825</v>
      </c>
      <c r="K1294" s="49" t="s">
        <v>12826</v>
      </c>
      <c r="L1294" s="49">
        <v>0</v>
      </c>
      <c r="M1294" s="49" t="s">
        <v>1777</v>
      </c>
      <c r="N1294" s="49" t="s">
        <v>12828</v>
      </c>
      <c r="O1294" s="49">
        <v>16</v>
      </c>
      <c r="P1294" s="49" t="s">
        <v>12829</v>
      </c>
      <c r="Q1294" s="49">
        <v>0</v>
      </c>
      <c r="R1294" s="49" t="s">
        <v>12830</v>
      </c>
      <c r="S1294" s="49" t="s">
        <v>12831</v>
      </c>
      <c r="T1294" s="49" t="s">
        <v>12832</v>
      </c>
      <c r="U1294" s="49" t="s">
        <v>655</v>
      </c>
      <c r="V1294" s="49" t="e">
        <v>#REF!</v>
      </c>
      <c r="AC1294" s="49"/>
      <c r="AD1294" s="49"/>
    </row>
    <row r="1295" spans="1:30" hidden="1" x14ac:dyDescent="0.3">
      <c r="A1295" s="49" t="s">
        <v>12833</v>
      </c>
      <c r="B1295" s="49">
        <v>0</v>
      </c>
      <c r="C1295" s="49"/>
      <c r="D1295" s="72" t="s">
        <v>717</v>
      </c>
      <c r="E1295" s="49" t="s">
        <v>3754</v>
      </c>
      <c r="F1295" s="49"/>
      <c r="G1295" s="49"/>
      <c r="H1295" s="49" t="s">
        <v>12834</v>
      </c>
      <c r="I1295" s="49" t="s">
        <v>12837</v>
      </c>
      <c r="J1295" s="49" t="s">
        <v>12835</v>
      </c>
      <c r="K1295" s="49" t="s">
        <v>12836</v>
      </c>
      <c r="L1295" s="49">
        <v>0</v>
      </c>
      <c r="M1295" s="49" t="s">
        <v>1865</v>
      </c>
      <c r="N1295" s="49" t="s">
        <v>12838</v>
      </c>
      <c r="O1295" s="49">
        <v>13</v>
      </c>
      <c r="P1295" s="49" t="s">
        <v>12839</v>
      </c>
      <c r="Q1295" s="49">
        <v>0</v>
      </c>
      <c r="R1295" s="49" t="s">
        <v>12840</v>
      </c>
      <c r="S1295" s="49" t="s">
        <v>12841</v>
      </c>
      <c r="T1295" s="49" t="s">
        <v>12842</v>
      </c>
      <c r="U1295" s="49" t="s">
        <v>655</v>
      </c>
      <c r="V1295" s="49" t="e">
        <v>#REF!</v>
      </c>
      <c r="AC1295" s="49"/>
      <c r="AD1295" s="49"/>
    </row>
    <row r="1296" spans="1:30" hidden="1" x14ac:dyDescent="0.3">
      <c r="A1296" s="49" t="s">
        <v>12843</v>
      </c>
      <c r="B1296" s="49">
        <v>0</v>
      </c>
      <c r="C1296" s="49"/>
      <c r="D1296" s="72" t="s">
        <v>717</v>
      </c>
      <c r="E1296" s="49" t="s">
        <v>3754</v>
      </c>
      <c r="F1296" s="49"/>
      <c r="G1296" s="49"/>
      <c r="H1296" s="49" t="s">
        <v>12844</v>
      </c>
      <c r="I1296" s="49" t="s">
        <v>12847</v>
      </c>
      <c r="J1296" s="49" t="s">
        <v>12845</v>
      </c>
      <c r="K1296" s="49" t="s">
        <v>12846</v>
      </c>
      <c r="L1296" s="49">
        <v>0</v>
      </c>
      <c r="M1296" s="49" t="s">
        <v>2220</v>
      </c>
      <c r="N1296" s="49" t="s">
        <v>12848</v>
      </c>
      <c r="O1296" s="49">
        <v>4</v>
      </c>
      <c r="P1296" s="49" t="s">
        <v>12849</v>
      </c>
      <c r="Q1296" s="49">
        <v>0</v>
      </c>
      <c r="R1296" s="49" t="s">
        <v>12850</v>
      </c>
      <c r="S1296" s="49" t="s">
        <v>12851</v>
      </c>
      <c r="T1296" s="49" t="s">
        <v>12852</v>
      </c>
      <c r="U1296" s="49" t="s">
        <v>670</v>
      </c>
      <c r="V1296" s="49" t="e">
        <v>#REF!</v>
      </c>
      <c r="AC1296" s="49"/>
      <c r="AD1296" s="49"/>
    </row>
    <row r="1297" spans="1:30" hidden="1" x14ac:dyDescent="0.3">
      <c r="A1297" s="49" t="s">
        <v>12853</v>
      </c>
      <c r="B1297" s="49">
        <v>0</v>
      </c>
      <c r="C1297" s="49"/>
      <c r="D1297" s="72" t="s">
        <v>717</v>
      </c>
      <c r="E1297" s="49" t="s">
        <v>3754</v>
      </c>
      <c r="F1297" s="49"/>
      <c r="G1297" s="49"/>
      <c r="H1297" s="49" t="s">
        <v>12854</v>
      </c>
      <c r="I1297" s="49" t="s">
        <v>12857</v>
      </c>
      <c r="J1297" s="49" t="s">
        <v>12855</v>
      </c>
      <c r="K1297" s="49" t="s">
        <v>12856</v>
      </c>
      <c r="L1297" s="49">
        <v>0</v>
      </c>
      <c r="M1297" s="49" t="s">
        <v>2220</v>
      </c>
      <c r="N1297" s="49" t="s">
        <v>11863</v>
      </c>
      <c r="O1297" s="49">
        <v>2</v>
      </c>
      <c r="P1297" s="49" t="s">
        <v>12858</v>
      </c>
      <c r="Q1297" s="49">
        <v>0</v>
      </c>
      <c r="R1297" s="49" t="s">
        <v>12850</v>
      </c>
      <c r="S1297" s="49" t="s">
        <v>12859</v>
      </c>
      <c r="T1297" s="49" t="s">
        <v>12852</v>
      </c>
      <c r="U1297" s="49" t="s">
        <v>670</v>
      </c>
      <c r="V1297" s="49" t="e">
        <v>#REF!</v>
      </c>
      <c r="AC1297" s="49"/>
      <c r="AD1297" s="49"/>
    </row>
    <row r="1298" spans="1:30" hidden="1" x14ac:dyDescent="0.3">
      <c r="A1298" s="49" t="s">
        <v>12860</v>
      </c>
      <c r="B1298" s="49">
        <v>0</v>
      </c>
      <c r="C1298" s="49"/>
      <c r="D1298" s="72" t="s">
        <v>717</v>
      </c>
      <c r="E1298" s="49" t="s">
        <v>3754</v>
      </c>
      <c r="F1298" s="49"/>
      <c r="G1298" s="49"/>
      <c r="H1298" s="49" t="s">
        <v>12861</v>
      </c>
      <c r="I1298" s="49" t="s">
        <v>12864</v>
      </c>
      <c r="J1298" s="49" t="s">
        <v>12862</v>
      </c>
      <c r="K1298" s="49" t="s">
        <v>12863</v>
      </c>
      <c r="L1298" s="49">
        <v>0</v>
      </c>
      <c r="M1298" s="49" t="s">
        <v>1826</v>
      </c>
      <c r="N1298" s="49" t="s">
        <v>8735</v>
      </c>
      <c r="O1298" s="49">
        <v>4</v>
      </c>
      <c r="P1298" s="49" t="s">
        <v>12865</v>
      </c>
      <c r="Q1298" s="49">
        <v>0</v>
      </c>
      <c r="R1298" s="49" t="s">
        <v>12866</v>
      </c>
      <c r="S1298" s="49" t="s">
        <v>12867</v>
      </c>
      <c r="T1298" s="49" t="s">
        <v>12868</v>
      </c>
      <c r="U1298" s="49" t="s">
        <v>670</v>
      </c>
      <c r="V1298" s="49" t="e">
        <v>#REF!</v>
      </c>
      <c r="AC1298" s="49"/>
      <c r="AD1298" s="49"/>
    </row>
    <row r="1299" spans="1:30" hidden="1" x14ac:dyDescent="0.3">
      <c r="A1299" s="49" t="s">
        <v>12869</v>
      </c>
      <c r="B1299" s="49">
        <v>0</v>
      </c>
      <c r="C1299" s="49"/>
      <c r="D1299" s="72" t="s">
        <v>717</v>
      </c>
      <c r="E1299" s="49" t="s">
        <v>3754</v>
      </c>
      <c r="F1299" s="49"/>
      <c r="G1299" s="49"/>
      <c r="H1299" s="49" t="s">
        <v>12870</v>
      </c>
      <c r="I1299" s="49" t="s">
        <v>12873</v>
      </c>
      <c r="J1299" s="49" t="s">
        <v>12871</v>
      </c>
      <c r="K1299" s="49" t="s">
        <v>12872</v>
      </c>
      <c r="L1299" s="49">
        <v>0</v>
      </c>
      <c r="M1299" s="49" t="s">
        <v>2456</v>
      </c>
      <c r="N1299" s="49" t="s">
        <v>12874</v>
      </c>
      <c r="O1299" s="49">
        <v>56</v>
      </c>
      <c r="P1299" s="49" t="s">
        <v>12875</v>
      </c>
      <c r="Q1299" s="49">
        <v>0</v>
      </c>
      <c r="R1299" s="49" t="s">
        <v>12876</v>
      </c>
      <c r="S1299" s="49" t="s">
        <v>12877</v>
      </c>
      <c r="T1299" s="49" t="s">
        <v>12878</v>
      </c>
      <c r="U1299" s="49" t="s">
        <v>670</v>
      </c>
      <c r="V1299" s="49" t="e">
        <v>#REF!</v>
      </c>
      <c r="AC1299" s="49"/>
      <c r="AD1299" s="49"/>
    </row>
    <row r="1300" spans="1:30" hidden="1" x14ac:dyDescent="0.3">
      <c r="A1300" s="49" t="s">
        <v>12879</v>
      </c>
      <c r="B1300" s="49">
        <v>0</v>
      </c>
      <c r="C1300" s="49"/>
      <c r="D1300" s="72" t="s">
        <v>717</v>
      </c>
      <c r="E1300" s="49" t="s">
        <v>3754</v>
      </c>
      <c r="F1300" s="49"/>
      <c r="G1300" s="49"/>
      <c r="H1300" s="49" t="s">
        <v>12880</v>
      </c>
      <c r="I1300" s="49" t="s">
        <v>12883</v>
      </c>
      <c r="J1300" s="49" t="s">
        <v>12881</v>
      </c>
      <c r="K1300" s="49" t="s">
        <v>12882</v>
      </c>
      <c r="L1300" s="49">
        <v>0</v>
      </c>
      <c r="M1300" s="49" t="s">
        <v>2456</v>
      </c>
      <c r="N1300" s="49" t="s">
        <v>5276</v>
      </c>
      <c r="O1300" s="49">
        <v>281</v>
      </c>
      <c r="P1300" s="49" t="s">
        <v>12884</v>
      </c>
      <c r="Q1300" s="49">
        <v>0</v>
      </c>
      <c r="R1300" s="49" t="s">
        <v>12885</v>
      </c>
      <c r="S1300" s="49" t="s">
        <v>12886</v>
      </c>
      <c r="T1300" s="49" t="s">
        <v>12887</v>
      </c>
      <c r="U1300" s="49" t="s">
        <v>670</v>
      </c>
      <c r="V1300" s="49" t="e">
        <v>#REF!</v>
      </c>
      <c r="AC1300" s="49"/>
      <c r="AD1300" s="49"/>
    </row>
    <row r="1301" spans="1:30" hidden="1" x14ac:dyDescent="0.3">
      <c r="A1301" s="49" t="s">
        <v>12888</v>
      </c>
      <c r="B1301" s="49">
        <v>0</v>
      </c>
      <c r="C1301" s="49"/>
      <c r="D1301" s="72" t="s">
        <v>717</v>
      </c>
      <c r="E1301" s="49" t="s">
        <v>3754</v>
      </c>
      <c r="F1301" s="49"/>
      <c r="G1301" s="49"/>
      <c r="H1301" s="49" t="s">
        <v>12889</v>
      </c>
      <c r="I1301" s="49" t="s">
        <v>12892</v>
      </c>
      <c r="J1301" s="49" t="s">
        <v>12890</v>
      </c>
      <c r="K1301" s="49" t="s">
        <v>12891</v>
      </c>
      <c r="L1301" s="49">
        <v>0</v>
      </c>
      <c r="M1301" s="49" t="s">
        <v>1777</v>
      </c>
      <c r="N1301" s="49" t="s">
        <v>12893</v>
      </c>
      <c r="O1301" s="49">
        <v>3</v>
      </c>
      <c r="P1301" s="49" t="s">
        <v>12894</v>
      </c>
      <c r="Q1301" s="49">
        <v>0</v>
      </c>
      <c r="R1301" s="49" t="s">
        <v>12895</v>
      </c>
      <c r="S1301" s="49" t="s">
        <v>12896</v>
      </c>
      <c r="T1301" s="49" t="s">
        <v>646</v>
      </c>
      <c r="U1301" s="49" t="s">
        <v>655</v>
      </c>
      <c r="V1301" s="49" t="e">
        <v>#REF!</v>
      </c>
      <c r="AC1301" s="49"/>
      <c r="AD1301" s="49"/>
    </row>
    <row r="1302" spans="1:30" hidden="1" x14ac:dyDescent="0.3">
      <c r="A1302" s="49" t="s">
        <v>12897</v>
      </c>
      <c r="B1302" s="49">
        <v>0</v>
      </c>
      <c r="C1302" s="49"/>
      <c r="D1302" s="72" t="s">
        <v>717</v>
      </c>
      <c r="E1302" s="49" t="s">
        <v>3754</v>
      </c>
      <c r="F1302" s="49"/>
      <c r="G1302" s="49"/>
      <c r="H1302" s="49" t="s">
        <v>646</v>
      </c>
      <c r="I1302" s="49" t="s">
        <v>11448</v>
      </c>
      <c r="J1302" s="49" t="s">
        <v>11446</v>
      </c>
      <c r="K1302" s="49" t="s">
        <v>12898</v>
      </c>
      <c r="L1302" s="49">
        <v>0</v>
      </c>
      <c r="M1302" s="49" t="s">
        <v>3570</v>
      </c>
      <c r="N1302" s="49" t="s">
        <v>12899</v>
      </c>
      <c r="O1302" s="49">
        <v>2</v>
      </c>
      <c r="P1302" s="49" t="s">
        <v>12900</v>
      </c>
      <c r="Q1302" s="49">
        <v>0</v>
      </c>
      <c r="R1302" s="49" t="s">
        <v>12901</v>
      </c>
      <c r="S1302" s="49" t="s">
        <v>12902</v>
      </c>
      <c r="T1302" s="49" t="s">
        <v>12903</v>
      </c>
      <c r="U1302" s="49" t="s">
        <v>670</v>
      </c>
      <c r="V1302" s="49" t="e">
        <v>#REF!</v>
      </c>
      <c r="AC1302" s="49"/>
      <c r="AD1302" s="49"/>
    </row>
    <row r="1303" spans="1:30" hidden="1" x14ac:dyDescent="0.3">
      <c r="A1303" s="49" t="s">
        <v>1591</v>
      </c>
      <c r="B1303" s="49">
        <v>0</v>
      </c>
      <c r="C1303" s="49"/>
      <c r="D1303" s="72" t="s">
        <v>717</v>
      </c>
      <c r="E1303" s="49" t="s">
        <v>3754</v>
      </c>
      <c r="F1303" s="49"/>
      <c r="G1303" s="49"/>
      <c r="H1303" s="49" t="s">
        <v>1593</v>
      </c>
      <c r="I1303" s="49" t="s">
        <v>1594</v>
      </c>
      <c r="J1303" s="49" t="s">
        <v>12904</v>
      </c>
      <c r="K1303" s="49" t="s">
        <v>1596</v>
      </c>
      <c r="L1303" s="49">
        <v>0</v>
      </c>
      <c r="M1303" s="49" t="s">
        <v>1826</v>
      </c>
      <c r="N1303" s="49" t="s">
        <v>1597</v>
      </c>
      <c r="O1303" s="49">
        <v>7</v>
      </c>
      <c r="P1303" s="49" t="s">
        <v>1598</v>
      </c>
      <c r="Q1303" s="49">
        <v>0</v>
      </c>
      <c r="R1303" s="49" t="s">
        <v>1599</v>
      </c>
      <c r="S1303" s="49" t="s">
        <v>1600</v>
      </c>
      <c r="T1303" s="49" t="s">
        <v>646</v>
      </c>
      <c r="U1303" s="49" t="s">
        <v>655</v>
      </c>
      <c r="V1303" s="49" t="e">
        <v>#REF!</v>
      </c>
      <c r="AC1303" s="49"/>
      <c r="AD1303" s="49"/>
    </row>
    <row r="1304" spans="1:30" hidden="1" x14ac:dyDescent="0.3">
      <c r="A1304" s="49" t="s">
        <v>12905</v>
      </c>
      <c r="B1304" s="49">
        <v>0</v>
      </c>
      <c r="C1304" s="49"/>
      <c r="D1304" s="72" t="s">
        <v>717</v>
      </c>
      <c r="E1304" s="49" t="s">
        <v>3754</v>
      </c>
      <c r="F1304" s="49"/>
      <c r="G1304" s="49"/>
      <c r="H1304" s="49" t="s">
        <v>12906</v>
      </c>
      <c r="I1304" s="49" t="s">
        <v>12909</v>
      </c>
      <c r="J1304" s="49" t="s">
        <v>12907</v>
      </c>
      <c r="K1304" s="49" t="s">
        <v>12908</v>
      </c>
      <c r="L1304" s="49">
        <v>0</v>
      </c>
      <c r="M1304" s="49" t="s">
        <v>2456</v>
      </c>
      <c r="N1304" s="49" t="s">
        <v>818</v>
      </c>
      <c r="O1304" s="49">
        <v>19</v>
      </c>
      <c r="P1304" s="49" t="s">
        <v>12910</v>
      </c>
      <c r="Q1304" s="49">
        <v>0</v>
      </c>
      <c r="R1304" s="49" t="s">
        <v>12911</v>
      </c>
      <c r="S1304" s="49" t="s">
        <v>12912</v>
      </c>
      <c r="T1304" s="49" t="s">
        <v>12913</v>
      </c>
      <c r="U1304" s="49" t="s">
        <v>670</v>
      </c>
      <c r="V1304" s="49" t="e">
        <v>#REF!</v>
      </c>
      <c r="AC1304" s="49"/>
      <c r="AD1304" s="49"/>
    </row>
    <row r="1305" spans="1:30" hidden="1" x14ac:dyDescent="0.3">
      <c r="A1305" s="49" t="s">
        <v>12914</v>
      </c>
      <c r="B1305" s="49">
        <v>0</v>
      </c>
      <c r="C1305" s="49"/>
      <c r="D1305" s="72" t="s">
        <v>717</v>
      </c>
      <c r="E1305" s="49" t="s">
        <v>3754</v>
      </c>
      <c r="F1305" s="49"/>
      <c r="G1305" s="49"/>
      <c r="H1305" s="49" t="s">
        <v>12915</v>
      </c>
      <c r="I1305" s="49" t="s">
        <v>12918</v>
      </c>
      <c r="J1305" s="49" t="s">
        <v>12916</v>
      </c>
      <c r="K1305" s="49" t="s">
        <v>12917</v>
      </c>
      <c r="L1305" s="49">
        <v>0</v>
      </c>
      <c r="M1305" s="49" t="s">
        <v>4114</v>
      </c>
      <c r="N1305" s="49" t="s">
        <v>3949</v>
      </c>
      <c r="O1305" s="49">
        <v>12</v>
      </c>
      <c r="P1305" s="49" t="s">
        <v>12919</v>
      </c>
      <c r="Q1305" s="49">
        <v>0</v>
      </c>
      <c r="R1305" s="49" t="s">
        <v>12920</v>
      </c>
      <c r="S1305" s="49" t="s">
        <v>12921</v>
      </c>
      <c r="T1305" s="49" t="s">
        <v>12922</v>
      </c>
      <c r="U1305" s="49" t="s">
        <v>655</v>
      </c>
      <c r="V1305" s="49" t="e">
        <v>#REF!</v>
      </c>
      <c r="AC1305" s="49"/>
      <c r="AD1305" s="49"/>
    </row>
    <row r="1306" spans="1:30" hidden="1" x14ac:dyDescent="0.3">
      <c r="A1306" s="49" t="s">
        <v>12923</v>
      </c>
      <c r="B1306" s="49">
        <v>0</v>
      </c>
      <c r="C1306" s="49"/>
      <c r="D1306" s="72" t="s">
        <v>717</v>
      </c>
      <c r="E1306" s="49" t="s">
        <v>3754</v>
      </c>
      <c r="F1306" s="49"/>
      <c r="G1306" s="49"/>
      <c r="H1306" s="49" t="s">
        <v>12924</v>
      </c>
      <c r="I1306" s="49" t="s">
        <v>12927</v>
      </c>
      <c r="J1306" s="49" t="s">
        <v>12925</v>
      </c>
      <c r="K1306" s="49" t="s">
        <v>12926</v>
      </c>
      <c r="L1306" s="49">
        <v>0</v>
      </c>
      <c r="M1306" s="49" t="s">
        <v>1777</v>
      </c>
      <c r="N1306" s="49" t="s">
        <v>12848</v>
      </c>
      <c r="P1306" s="49" t="s">
        <v>12928</v>
      </c>
      <c r="Q1306" s="49">
        <v>0</v>
      </c>
      <c r="R1306" s="49" t="s">
        <v>12929</v>
      </c>
      <c r="S1306" s="49" t="s">
        <v>12930</v>
      </c>
      <c r="T1306" s="49" t="s">
        <v>646</v>
      </c>
      <c r="U1306" s="49" t="s">
        <v>670</v>
      </c>
      <c r="V1306" s="49" t="e">
        <v>#REF!</v>
      </c>
      <c r="AC1306" s="49"/>
      <c r="AD1306" s="49"/>
    </row>
    <row r="1307" spans="1:30" hidden="1" x14ac:dyDescent="0.3">
      <c r="A1307" s="49" t="s">
        <v>12931</v>
      </c>
      <c r="B1307" s="49">
        <v>0</v>
      </c>
      <c r="C1307" s="49"/>
      <c r="D1307" s="72" t="s">
        <v>717</v>
      </c>
      <c r="E1307" s="49" t="s">
        <v>3754</v>
      </c>
      <c r="F1307" s="49"/>
      <c r="G1307" s="49"/>
      <c r="H1307" s="49" t="s">
        <v>12932</v>
      </c>
      <c r="I1307" s="49" t="s">
        <v>12935</v>
      </c>
      <c r="J1307" s="49" t="s">
        <v>12933</v>
      </c>
      <c r="K1307" s="49" t="s">
        <v>12934</v>
      </c>
      <c r="L1307" s="49">
        <v>0</v>
      </c>
      <c r="M1307" s="49" t="s">
        <v>4114</v>
      </c>
      <c r="N1307" s="49" t="s">
        <v>12936</v>
      </c>
      <c r="O1307" s="49">
        <v>12</v>
      </c>
      <c r="P1307" s="49" t="s">
        <v>12937</v>
      </c>
      <c r="Q1307" s="49">
        <v>0</v>
      </c>
      <c r="R1307" s="49" t="s">
        <v>12938</v>
      </c>
      <c r="S1307" s="49" t="s">
        <v>12939</v>
      </c>
      <c r="T1307" s="49" t="s">
        <v>12940</v>
      </c>
      <c r="U1307" s="49" t="s">
        <v>655</v>
      </c>
      <c r="V1307" s="49" t="e">
        <v>#REF!</v>
      </c>
      <c r="AC1307" s="49"/>
      <c r="AD1307" s="49"/>
    </row>
    <row r="1308" spans="1:30" hidden="1" x14ac:dyDescent="0.3">
      <c r="A1308" s="49" t="s">
        <v>12941</v>
      </c>
      <c r="B1308" s="49">
        <v>0</v>
      </c>
      <c r="C1308" s="49"/>
      <c r="D1308" s="72" t="s">
        <v>717</v>
      </c>
      <c r="E1308" s="49" t="s">
        <v>3754</v>
      </c>
      <c r="F1308" s="49"/>
      <c r="G1308" s="49"/>
      <c r="H1308" s="49" t="s">
        <v>12942</v>
      </c>
      <c r="I1308" s="49" t="s">
        <v>12945</v>
      </c>
      <c r="J1308" s="49" t="s">
        <v>12943</v>
      </c>
      <c r="K1308" s="49" t="s">
        <v>12944</v>
      </c>
      <c r="L1308" s="49">
        <v>0</v>
      </c>
      <c r="M1308" s="49" t="s">
        <v>4084</v>
      </c>
      <c r="N1308" s="49" t="s">
        <v>4521</v>
      </c>
      <c r="O1308" s="49">
        <v>4</v>
      </c>
      <c r="P1308" s="49" t="s">
        <v>12946</v>
      </c>
      <c r="Q1308" s="49">
        <v>0</v>
      </c>
      <c r="R1308" s="49" t="s">
        <v>12947</v>
      </c>
      <c r="S1308" s="49" t="s">
        <v>12948</v>
      </c>
      <c r="T1308" s="49" t="s">
        <v>12949</v>
      </c>
      <c r="U1308" s="49" t="s">
        <v>670</v>
      </c>
      <c r="V1308" s="49" t="e">
        <v>#REF!</v>
      </c>
      <c r="AC1308" s="49"/>
      <c r="AD1308" s="49"/>
    </row>
    <row r="1309" spans="1:30" hidden="1" x14ac:dyDescent="0.3">
      <c r="A1309" s="49" t="s">
        <v>12950</v>
      </c>
      <c r="B1309" s="49">
        <v>0</v>
      </c>
      <c r="C1309" s="49"/>
      <c r="D1309" s="72" t="s">
        <v>717</v>
      </c>
      <c r="E1309" s="49" t="s">
        <v>3754</v>
      </c>
      <c r="F1309" s="49"/>
      <c r="G1309" s="49"/>
      <c r="H1309" s="49" t="s">
        <v>12951</v>
      </c>
      <c r="I1309" s="49" t="s">
        <v>12954</v>
      </c>
      <c r="J1309" s="49" t="s">
        <v>12952</v>
      </c>
      <c r="K1309" s="49" t="s">
        <v>12953</v>
      </c>
      <c r="L1309" s="49">
        <v>0</v>
      </c>
      <c r="M1309" s="49" t="s">
        <v>1745</v>
      </c>
      <c r="N1309" s="49" t="s">
        <v>12955</v>
      </c>
      <c r="O1309" s="49">
        <v>3</v>
      </c>
      <c r="P1309" s="49" t="s">
        <v>12956</v>
      </c>
      <c r="Q1309" s="49">
        <v>0</v>
      </c>
      <c r="R1309" s="49" t="s">
        <v>12957</v>
      </c>
      <c r="S1309" s="49" t="s">
        <v>12958</v>
      </c>
      <c r="T1309" s="49" t="s">
        <v>12959</v>
      </c>
      <c r="U1309" s="49" t="s">
        <v>655</v>
      </c>
      <c r="V1309" s="49" t="e">
        <v>#REF!</v>
      </c>
      <c r="AC1309" s="49"/>
      <c r="AD1309" s="49"/>
    </row>
    <row r="1310" spans="1:30" hidden="1" x14ac:dyDescent="0.3">
      <c r="A1310" s="49" t="s">
        <v>12960</v>
      </c>
      <c r="B1310" s="49">
        <v>0</v>
      </c>
      <c r="C1310" s="49"/>
      <c r="D1310" s="72" t="s">
        <v>717</v>
      </c>
      <c r="E1310" s="49" t="s">
        <v>3754</v>
      </c>
      <c r="F1310" s="49"/>
      <c r="G1310" s="49"/>
      <c r="H1310" s="49" t="s">
        <v>12961</v>
      </c>
      <c r="I1310" s="49" t="s">
        <v>12964</v>
      </c>
      <c r="J1310" s="49" t="s">
        <v>12962</v>
      </c>
      <c r="K1310" s="49" t="s">
        <v>12963</v>
      </c>
      <c r="L1310" s="49">
        <v>0</v>
      </c>
      <c r="M1310" s="49" t="s">
        <v>6551</v>
      </c>
      <c r="N1310" s="49" t="s">
        <v>818</v>
      </c>
      <c r="P1310" s="49" t="s">
        <v>12965</v>
      </c>
      <c r="Q1310" s="49">
        <v>0</v>
      </c>
      <c r="R1310" s="49" t="s">
        <v>12966</v>
      </c>
      <c r="S1310" s="49" t="s">
        <v>12967</v>
      </c>
      <c r="T1310" s="49" t="s">
        <v>12968</v>
      </c>
      <c r="U1310" s="49" t="s">
        <v>670</v>
      </c>
      <c r="V1310" s="49" t="e">
        <v>#REF!</v>
      </c>
      <c r="AC1310" s="49"/>
      <c r="AD1310" s="49"/>
    </row>
    <row r="1311" spans="1:30" hidden="1" x14ac:dyDescent="0.3">
      <c r="A1311" s="49" t="s">
        <v>12969</v>
      </c>
      <c r="B1311" s="49">
        <v>0</v>
      </c>
      <c r="C1311" s="49"/>
      <c r="D1311" s="72" t="s">
        <v>717</v>
      </c>
      <c r="E1311" s="49" t="s">
        <v>3754</v>
      </c>
      <c r="F1311" s="49"/>
      <c r="G1311" s="49"/>
      <c r="H1311" s="49" t="s">
        <v>12970</v>
      </c>
      <c r="I1311" s="49" t="s">
        <v>12973</v>
      </c>
      <c r="J1311" s="49" t="s">
        <v>12971</v>
      </c>
      <c r="K1311" s="49" t="s">
        <v>12972</v>
      </c>
      <c r="L1311" s="49">
        <v>0</v>
      </c>
      <c r="M1311" s="49" t="s">
        <v>1745</v>
      </c>
      <c r="N1311" s="49" t="s">
        <v>12974</v>
      </c>
      <c r="O1311" s="49">
        <v>1</v>
      </c>
      <c r="P1311" s="49" t="s">
        <v>12975</v>
      </c>
      <c r="Q1311" s="49">
        <v>0</v>
      </c>
      <c r="R1311" s="49" t="s">
        <v>12976</v>
      </c>
      <c r="S1311" s="49" t="s">
        <v>12977</v>
      </c>
      <c r="T1311" s="49" t="s">
        <v>12978</v>
      </c>
      <c r="U1311" s="49" t="s">
        <v>655</v>
      </c>
      <c r="V1311" s="49" t="e">
        <v>#REF!</v>
      </c>
      <c r="AC1311" s="49"/>
      <c r="AD1311" s="49"/>
    </row>
    <row r="1312" spans="1:30" hidden="1" x14ac:dyDescent="0.3">
      <c r="A1312" s="49" t="s">
        <v>12979</v>
      </c>
      <c r="B1312" s="49">
        <v>0</v>
      </c>
      <c r="C1312" s="49"/>
      <c r="D1312" s="72" t="s">
        <v>717</v>
      </c>
      <c r="E1312" s="49" t="s">
        <v>3754</v>
      </c>
      <c r="F1312" s="49"/>
      <c r="G1312" s="49"/>
      <c r="H1312" s="49" t="s">
        <v>12980</v>
      </c>
      <c r="I1312" s="49" t="s">
        <v>12983</v>
      </c>
      <c r="J1312" s="49" t="s">
        <v>12981</v>
      </c>
      <c r="K1312" s="49" t="s">
        <v>12982</v>
      </c>
      <c r="L1312" s="49">
        <v>0</v>
      </c>
      <c r="M1312" s="49" t="s">
        <v>2142</v>
      </c>
      <c r="N1312" s="49" t="s">
        <v>6942</v>
      </c>
      <c r="O1312" s="49">
        <v>4</v>
      </c>
      <c r="P1312" s="49" t="s">
        <v>12984</v>
      </c>
      <c r="Q1312" s="49">
        <v>0</v>
      </c>
      <c r="R1312" s="49" t="s">
        <v>12985</v>
      </c>
      <c r="S1312" s="49" t="s">
        <v>12986</v>
      </c>
      <c r="T1312" s="49" t="s">
        <v>12987</v>
      </c>
      <c r="U1312" s="49" t="s">
        <v>655</v>
      </c>
      <c r="V1312" s="49" t="e">
        <v>#REF!</v>
      </c>
      <c r="AC1312" s="49"/>
      <c r="AD1312" s="49"/>
    </row>
    <row r="1313" spans="1:30" hidden="1" x14ac:dyDescent="0.3">
      <c r="A1313" s="49" t="s">
        <v>12988</v>
      </c>
      <c r="B1313" s="49">
        <v>0</v>
      </c>
      <c r="C1313" s="49"/>
      <c r="D1313" s="72" t="s">
        <v>717</v>
      </c>
      <c r="E1313" s="49" t="s">
        <v>3754</v>
      </c>
      <c r="F1313" s="49"/>
      <c r="G1313" s="49"/>
      <c r="H1313" s="49" t="s">
        <v>12989</v>
      </c>
      <c r="I1313" s="49" t="s">
        <v>12992</v>
      </c>
      <c r="J1313" s="49" t="s">
        <v>12990</v>
      </c>
      <c r="K1313" s="49" t="s">
        <v>12991</v>
      </c>
      <c r="L1313" s="49">
        <v>0</v>
      </c>
      <c r="M1313" s="49" t="s">
        <v>1865</v>
      </c>
      <c r="N1313" s="49" t="s">
        <v>2448</v>
      </c>
      <c r="O1313" s="49">
        <v>9</v>
      </c>
      <c r="P1313" s="49" t="s">
        <v>12993</v>
      </c>
      <c r="Q1313" s="49">
        <v>0</v>
      </c>
      <c r="R1313" s="49" t="s">
        <v>12994</v>
      </c>
      <c r="S1313" s="49" t="s">
        <v>12995</v>
      </c>
      <c r="T1313" s="49" t="s">
        <v>12996</v>
      </c>
      <c r="U1313" s="49" t="s">
        <v>655</v>
      </c>
      <c r="V1313" s="49" t="e">
        <v>#REF!</v>
      </c>
      <c r="AC1313" s="49"/>
      <c r="AD1313" s="49"/>
    </row>
    <row r="1314" spans="1:30" hidden="1" x14ac:dyDescent="0.3">
      <c r="A1314" s="49" t="s">
        <v>12997</v>
      </c>
      <c r="B1314" s="49">
        <v>0</v>
      </c>
      <c r="C1314" s="49"/>
      <c r="D1314" s="72" t="s">
        <v>717</v>
      </c>
      <c r="E1314" s="49" t="s">
        <v>3754</v>
      </c>
      <c r="F1314" s="49"/>
      <c r="G1314" s="49"/>
      <c r="H1314" s="49" t="s">
        <v>12998</v>
      </c>
      <c r="I1314" s="49" t="s">
        <v>13001</v>
      </c>
      <c r="J1314" s="49" t="s">
        <v>12999</v>
      </c>
      <c r="K1314" s="49" t="s">
        <v>13000</v>
      </c>
      <c r="L1314" s="49">
        <v>0</v>
      </c>
      <c r="M1314" s="49" t="s">
        <v>1826</v>
      </c>
      <c r="N1314" s="49" t="s">
        <v>11011</v>
      </c>
      <c r="P1314" s="49" t="s">
        <v>13002</v>
      </c>
      <c r="Q1314" s="49">
        <v>0</v>
      </c>
      <c r="R1314" s="49" t="s">
        <v>13003</v>
      </c>
      <c r="S1314" s="49" t="s">
        <v>13004</v>
      </c>
      <c r="T1314" s="49" t="s">
        <v>13005</v>
      </c>
      <c r="U1314" s="49" t="s">
        <v>670</v>
      </c>
      <c r="V1314" s="49" t="e">
        <v>#REF!</v>
      </c>
      <c r="AC1314" s="49"/>
      <c r="AD1314" s="49"/>
    </row>
    <row r="1315" spans="1:30" hidden="1" x14ac:dyDescent="0.3">
      <c r="A1315" s="49" t="s">
        <v>13006</v>
      </c>
      <c r="B1315" s="49">
        <v>0</v>
      </c>
      <c r="C1315" s="49"/>
      <c r="D1315" s="72" t="s">
        <v>717</v>
      </c>
      <c r="E1315" s="49" t="s">
        <v>3754</v>
      </c>
      <c r="F1315" s="49"/>
      <c r="G1315" s="49"/>
      <c r="H1315" s="49" t="s">
        <v>13007</v>
      </c>
      <c r="I1315" s="49" t="s">
        <v>13010</v>
      </c>
      <c r="J1315" s="49" t="s">
        <v>13008</v>
      </c>
      <c r="K1315" s="49" t="s">
        <v>13009</v>
      </c>
      <c r="L1315" s="49">
        <v>0</v>
      </c>
      <c r="M1315" s="49" t="s">
        <v>1826</v>
      </c>
      <c r="N1315" s="49" t="s">
        <v>13011</v>
      </c>
      <c r="O1315" s="49">
        <v>8</v>
      </c>
      <c r="P1315" s="49" t="s">
        <v>13012</v>
      </c>
      <c r="Q1315" s="49">
        <v>0</v>
      </c>
      <c r="R1315" s="49" t="s">
        <v>13013</v>
      </c>
      <c r="S1315" s="49" t="s">
        <v>13014</v>
      </c>
      <c r="T1315" s="49" t="s">
        <v>13015</v>
      </c>
      <c r="U1315" s="49" t="s">
        <v>655</v>
      </c>
      <c r="V1315" s="49" t="e">
        <v>#REF!</v>
      </c>
      <c r="AC1315" s="49"/>
      <c r="AD1315" s="49"/>
    </row>
    <row r="1316" spans="1:30" hidden="1" x14ac:dyDescent="0.3">
      <c r="A1316" s="49" t="s">
        <v>13016</v>
      </c>
      <c r="B1316" s="49">
        <v>0</v>
      </c>
      <c r="C1316" s="49"/>
      <c r="D1316" s="72" t="s">
        <v>717</v>
      </c>
      <c r="E1316" s="49" t="s">
        <v>3754</v>
      </c>
      <c r="F1316" s="49"/>
      <c r="G1316" s="49"/>
      <c r="H1316" s="49" t="s">
        <v>13017</v>
      </c>
      <c r="I1316" s="49" t="s">
        <v>13020</v>
      </c>
      <c r="J1316" s="49" t="s">
        <v>13018</v>
      </c>
      <c r="K1316" s="49" t="s">
        <v>13019</v>
      </c>
      <c r="L1316" s="49">
        <v>0</v>
      </c>
      <c r="M1316" s="49" t="s">
        <v>1817</v>
      </c>
      <c r="N1316" s="49" t="s">
        <v>7384</v>
      </c>
      <c r="O1316" s="49">
        <v>13</v>
      </c>
      <c r="P1316" s="49" t="s">
        <v>13021</v>
      </c>
      <c r="Q1316" s="49">
        <v>0</v>
      </c>
      <c r="R1316" s="49" t="s">
        <v>13022</v>
      </c>
      <c r="S1316" s="49" t="s">
        <v>13023</v>
      </c>
      <c r="T1316" s="49" t="s">
        <v>13024</v>
      </c>
      <c r="U1316" s="49" t="s">
        <v>670</v>
      </c>
      <c r="V1316" s="49" t="e">
        <v>#REF!</v>
      </c>
      <c r="AC1316" s="49"/>
      <c r="AD1316" s="49"/>
    </row>
    <row r="1317" spans="1:30" hidden="1" x14ac:dyDescent="0.3">
      <c r="A1317" s="49" t="s">
        <v>13025</v>
      </c>
      <c r="B1317" s="49">
        <v>0</v>
      </c>
      <c r="C1317" s="49"/>
      <c r="D1317" s="72" t="s">
        <v>717</v>
      </c>
      <c r="E1317" s="49" t="s">
        <v>3754</v>
      </c>
      <c r="F1317" s="49"/>
      <c r="G1317" s="49"/>
      <c r="H1317" s="49" t="s">
        <v>13026</v>
      </c>
      <c r="I1317" s="49" t="s">
        <v>13029</v>
      </c>
      <c r="J1317" s="49" t="s">
        <v>13027</v>
      </c>
      <c r="K1317" s="49" t="s">
        <v>13028</v>
      </c>
      <c r="L1317" s="49">
        <v>0</v>
      </c>
      <c r="M1317" s="49" t="s">
        <v>1826</v>
      </c>
      <c r="N1317" s="49" t="s">
        <v>13030</v>
      </c>
      <c r="O1317" s="49">
        <v>1</v>
      </c>
      <c r="P1317" s="49" t="s">
        <v>13031</v>
      </c>
      <c r="Q1317" s="49">
        <v>0</v>
      </c>
      <c r="R1317" s="49" t="s">
        <v>13032</v>
      </c>
      <c r="S1317" s="49" t="s">
        <v>13033</v>
      </c>
      <c r="T1317" s="49" t="s">
        <v>13034</v>
      </c>
      <c r="U1317" s="49" t="s">
        <v>655</v>
      </c>
      <c r="V1317" s="49" t="e">
        <v>#REF!</v>
      </c>
      <c r="AC1317" s="49"/>
      <c r="AD1317" s="49"/>
    </row>
    <row r="1318" spans="1:30" hidden="1" x14ac:dyDescent="0.3">
      <c r="A1318" s="49" t="s">
        <v>13035</v>
      </c>
      <c r="B1318" s="49">
        <v>0</v>
      </c>
      <c r="C1318" s="49"/>
      <c r="D1318" s="72" t="s">
        <v>717</v>
      </c>
      <c r="E1318" s="49" t="s">
        <v>3754</v>
      </c>
      <c r="F1318" s="49"/>
      <c r="G1318" s="49"/>
      <c r="H1318" s="49" t="s">
        <v>13036</v>
      </c>
      <c r="I1318" s="49" t="s">
        <v>13039</v>
      </c>
      <c r="J1318" s="49" t="s">
        <v>13037</v>
      </c>
      <c r="K1318" s="49" t="s">
        <v>13038</v>
      </c>
      <c r="L1318" s="49">
        <v>0</v>
      </c>
      <c r="M1318" s="49" t="s">
        <v>2484</v>
      </c>
      <c r="N1318" s="49" t="s">
        <v>697</v>
      </c>
      <c r="O1318" s="49">
        <v>4</v>
      </c>
      <c r="P1318" s="49" t="s">
        <v>13040</v>
      </c>
      <c r="Q1318" s="49">
        <v>0</v>
      </c>
      <c r="R1318" s="49" t="s">
        <v>13041</v>
      </c>
      <c r="S1318" s="49" t="s">
        <v>13042</v>
      </c>
      <c r="T1318" s="49" t="s">
        <v>13043</v>
      </c>
      <c r="U1318" s="49" t="s">
        <v>655</v>
      </c>
      <c r="V1318" s="49" t="e">
        <v>#REF!</v>
      </c>
      <c r="AC1318" s="49"/>
      <c r="AD1318" s="49"/>
    </row>
    <row r="1319" spans="1:30" hidden="1" x14ac:dyDescent="0.3">
      <c r="A1319" s="49" t="s">
        <v>13044</v>
      </c>
      <c r="B1319" s="49">
        <v>0</v>
      </c>
      <c r="C1319" s="49"/>
      <c r="D1319" s="72" t="s">
        <v>717</v>
      </c>
      <c r="E1319" s="49" t="s">
        <v>3754</v>
      </c>
      <c r="F1319" s="49"/>
      <c r="G1319" s="49"/>
      <c r="H1319" s="49" t="s">
        <v>13045</v>
      </c>
      <c r="I1319" s="49" t="s">
        <v>13048</v>
      </c>
      <c r="J1319" s="49" t="s">
        <v>13046</v>
      </c>
      <c r="K1319" s="49" t="s">
        <v>13047</v>
      </c>
      <c r="L1319" s="49">
        <v>0</v>
      </c>
      <c r="M1319" s="49" t="s">
        <v>4064</v>
      </c>
      <c r="N1319" s="49" t="s">
        <v>11018</v>
      </c>
      <c r="O1319" s="49">
        <v>66</v>
      </c>
      <c r="P1319" s="49" t="s">
        <v>13049</v>
      </c>
      <c r="Q1319" s="49">
        <v>0</v>
      </c>
      <c r="R1319" s="49" t="s">
        <v>13050</v>
      </c>
      <c r="S1319" s="49" t="s">
        <v>13051</v>
      </c>
      <c r="T1319" s="49" t="s">
        <v>13052</v>
      </c>
      <c r="U1319" s="49" t="s">
        <v>670</v>
      </c>
      <c r="V1319" s="49" t="e">
        <v>#REF!</v>
      </c>
      <c r="AC1319" s="49"/>
      <c r="AD1319" s="49"/>
    </row>
    <row r="1320" spans="1:30" hidden="1" x14ac:dyDescent="0.3">
      <c r="A1320" s="49" t="s">
        <v>13053</v>
      </c>
      <c r="B1320" s="49">
        <v>0</v>
      </c>
      <c r="C1320" s="49"/>
      <c r="D1320" s="72" t="s">
        <v>717</v>
      </c>
      <c r="E1320" s="49" t="s">
        <v>3754</v>
      </c>
      <c r="F1320" s="49"/>
      <c r="G1320" s="49"/>
      <c r="H1320" s="49" t="s">
        <v>13054</v>
      </c>
      <c r="I1320" s="49" t="s">
        <v>13057</v>
      </c>
      <c r="J1320" s="49" t="s">
        <v>13055</v>
      </c>
      <c r="K1320" s="49" t="s">
        <v>13056</v>
      </c>
      <c r="L1320" s="49">
        <v>0</v>
      </c>
      <c r="M1320" s="49" t="s">
        <v>4114</v>
      </c>
      <c r="N1320" s="49" t="s">
        <v>13058</v>
      </c>
      <c r="O1320" s="49">
        <v>46</v>
      </c>
      <c r="P1320" s="49" t="s">
        <v>13059</v>
      </c>
      <c r="Q1320" s="49">
        <v>0</v>
      </c>
      <c r="R1320" s="49" t="s">
        <v>13060</v>
      </c>
      <c r="S1320" s="49" t="s">
        <v>13061</v>
      </c>
      <c r="T1320" s="49" t="s">
        <v>646</v>
      </c>
      <c r="U1320" s="49" t="s">
        <v>670</v>
      </c>
      <c r="V1320" s="49" t="e">
        <v>#REF!</v>
      </c>
      <c r="AC1320" s="49"/>
      <c r="AD1320" s="49"/>
    </row>
    <row r="1321" spans="1:30" hidden="1" x14ac:dyDescent="0.3">
      <c r="A1321" s="49" t="s">
        <v>13062</v>
      </c>
      <c r="B1321" s="49">
        <v>0</v>
      </c>
      <c r="C1321" s="49"/>
      <c r="D1321" s="72" t="s">
        <v>717</v>
      </c>
      <c r="E1321" s="49" t="s">
        <v>3754</v>
      </c>
      <c r="F1321" s="49"/>
      <c r="G1321" s="49"/>
      <c r="H1321" s="49" t="s">
        <v>13063</v>
      </c>
      <c r="I1321" s="49" t="s">
        <v>13066</v>
      </c>
      <c r="J1321" s="49" t="s">
        <v>13064</v>
      </c>
      <c r="K1321" s="49" t="s">
        <v>13065</v>
      </c>
      <c r="L1321" s="49">
        <v>0</v>
      </c>
      <c r="M1321" s="49" t="s">
        <v>1777</v>
      </c>
      <c r="N1321" s="49" t="s">
        <v>13067</v>
      </c>
      <c r="O1321" s="49">
        <v>15</v>
      </c>
      <c r="P1321" s="49" t="s">
        <v>13068</v>
      </c>
      <c r="Q1321" s="49">
        <v>0</v>
      </c>
      <c r="R1321" s="49" t="s">
        <v>13069</v>
      </c>
      <c r="S1321" s="49" t="s">
        <v>13070</v>
      </c>
      <c r="T1321" s="49" t="s">
        <v>13071</v>
      </c>
      <c r="U1321" s="49" t="s">
        <v>655</v>
      </c>
      <c r="V1321" s="49" t="e">
        <v>#REF!</v>
      </c>
      <c r="AC1321" s="49"/>
      <c r="AD1321" s="49"/>
    </row>
    <row r="1322" spans="1:30" hidden="1" x14ac:dyDescent="0.3">
      <c r="A1322" s="49" t="s">
        <v>13072</v>
      </c>
      <c r="B1322" s="49">
        <v>0</v>
      </c>
      <c r="C1322" s="49"/>
      <c r="D1322" s="72" t="s">
        <v>717</v>
      </c>
      <c r="E1322" s="49" t="s">
        <v>3754</v>
      </c>
      <c r="F1322" s="49"/>
      <c r="G1322" s="49"/>
      <c r="H1322" s="49" t="s">
        <v>13073</v>
      </c>
      <c r="I1322" s="49" t="s">
        <v>13076</v>
      </c>
      <c r="J1322" s="49" t="s">
        <v>13074</v>
      </c>
      <c r="K1322" s="49" t="s">
        <v>13075</v>
      </c>
      <c r="L1322" s="49">
        <v>0</v>
      </c>
      <c r="M1322" s="49" t="s">
        <v>1777</v>
      </c>
      <c r="N1322" s="49" t="s">
        <v>12377</v>
      </c>
      <c r="O1322" s="49">
        <v>198</v>
      </c>
      <c r="P1322" s="49" t="s">
        <v>13077</v>
      </c>
      <c r="Q1322" s="49">
        <v>0</v>
      </c>
      <c r="R1322" s="49" t="s">
        <v>13078</v>
      </c>
      <c r="S1322" s="49" t="s">
        <v>13079</v>
      </c>
      <c r="T1322" s="49" t="s">
        <v>646</v>
      </c>
      <c r="U1322" s="49" t="s">
        <v>655</v>
      </c>
      <c r="V1322" s="49" t="e">
        <v>#REF!</v>
      </c>
      <c r="AC1322" s="49"/>
      <c r="AD1322" s="49"/>
    </row>
    <row r="1323" spans="1:30" hidden="1" x14ac:dyDescent="0.3">
      <c r="A1323" s="49" t="s">
        <v>13080</v>
      </c>
      <c r="B1323" s="49">
        <v>0</v>
      </c>
      <c r="C1323" s="49"/>
      <c r="D1323" s="72" t="s">
        <v>717</v>
      </c>
      <c r="E1323" s="49" t="s">
        <v>3754</v>
      </c>
      <c r="F1323" s="49"/>
      <c r="G1323" s="49"/>
      <c r="H1323" s="49" t="s">
        <v>13081</v>
      </c>
      <c r="I1323" s="49" t="s">
        <v>13084</v>
      </c>
      <c r="J1323" s="49" t="s">
        <v>13082</v>
      </c>
      <c r="K1323" s="49" t="s">
        <v>13083</v>
      </c>
      <c r="L1323" s="49">
        <v>0</v>
      </c>
      <c r="M1323" s="49" t="s">
        <v>1826</v>
      </c>
      <c r="N1323" s="49" t="s">
        <v>5112</v>
      </c>
      <c r="O1323" s="49">
        <v>22</v>
      </c>
      <c r="P1323" s="49" t="s">
        <v>13085</v>
      </c>
      <c r="Q1323" s="49">
        <v>0</v>
      </c>
      <c r="R1323" s="49" t="s">
        <v>13086</v>
      </c>
      <c r="S1323" s="49" t="s">
        <v>13087</v>
      </c>
      <c r="T1323" s="49" t="s">
        <v>13088</v>
      </c>
      <c r="U1323" s="49" t="s">
        <v>655</v>
      </c>
      <c r="V1323" s="49" t="e">
        <v>#REF!</v>
      </c>
      <c r="AC1323" s="49"/>
      <c r="AD1323" s="49"/>
    </row>
    <row r="1324" spans="1:30" hidden="1" x14ac:dyDescent="0.3">
      <c r="A1324" s="49" t="s">
        <v>13089</v>
      </c>
      <c r="B1324" s="49">
        <v>0</v>
      </c>
      <c r="C1324" s="49"/>
      <c r="D1324" s="72" t="s">
        <v>717</v>
      </c>
      <c r="E1324" s="49" t="s">
        <v>3754</v>
      </c>
      <c r="F1324" s="49"/>
      <c r="G1324" s="49"/>
      <c r="H1324" s="49" t="s">
        <v>13090</v>
      </c>
      <c r="I1324" s="49" t="s">
        <v>13093</v>
      </c>
      <c r="J1324" s="49" t="s">
        <v>13091</v>
      </c>
      <c r="K1324" s="49" t="s">
        <v>13092</v>
      </c>
      <c r="L1324" s="49">
        <v>0</v>
      </c>
      <c r="M1324" s="49" t="s">
        <v>2636</v>
      </c>
      <c r="N1324" s="49" t="s">
        <v>959</v>
      </c>
      <c r="O1324" s="49">
        <v>44</v>
      </c>
      <c r="P1324" s="49" t="s">
        <v>13094</v>
      </c>
      <c r="Q1324" s="49">
        <v>0</v>
      </c>
      <c r="R1324" s="49" t="s">
        <v>13095</v>
      </c>
      <c r="S1324" s="49" t="s">
        <v>13096</v>
      </c>
      <c r="T1324" s="49" t="s">
        <v>13097</v>
      </c>
      <c r="U1324" s="49" t="s">
        <v>670</v>
      </c>
      <c r="V1324" s="49" t="e">
        <v>#REF!</v>
      </c>
      <c r="AC1324" s="49"/>
      <c r="AD1324" s="49"/>
    </row>
    <row r="1325" spans="1:30" hidden="1" x14ac:dyDescent="0.3">
      <c r="A1325" s="49" t="s">
        <v>13098</v>
      </c>
      <c r="B1325" s="49">
        <v>0</v>
      </c>
      <c r="C1325" s="49"/>
      <c r="D1325" s="72" t="s">
        <v>717</v>
      </c>
      <c r="E1325" s="49" t="s">
        <v>3754</v>
      </c>
      <c r="F1325" s="49"/>
      <c r="G1325" s="49"/>
      <c r="H1325" s="49" t="s">
        <v>13099</v>
      </c>
      <c r="I1325" s="49" t="s">
        <v>13102</v>
      </c>
      <c r="J1325" s="49" t="s">
        <v>13100</v>
      </c>
      <c r="K1325" s="49" t="s">
        <v>13101</v>
      </c>
      <c r="L1325" s="49">
        <v>0</v>
      </c>
      <c r="M1325" s="49" t="s">
        <v>1826</v>
      </c>
      <c r="N1325" s="49" t="s">
        <v>3456</v>
      </c>
      <c r="O1325" s="49">
        <v>52</v>
      </c>
      <c r="P1325" s="49" t="s">
        <v>13103</v>
      </c>
      <c r="Q1325" s="49">
        <v>0</v>
      </c>
      <c r="R1325" s="49" t="s">
        <v>13104</v>
      </c>
      <c r="S1325" s="49" t="s">
        <v>13105</v>
      </c>
      <c r="T1325" s="49" t="s">
        <v>13106</v>
      </c>
      <c r="U1325" s="49" t="s">
        <v>655</v>
      </c>
      <c r="V1325" s="49" t="e">
        <v>#REF!</v>
      </c>
      <c r="AC1325" s="49"/>
      <c r="AD1325" s="49"/>
    </row>
    <row r="1326" spans="1:30" hidden="1" x14ac:dyDescent="0.3">
      <c r="A1326" s="49" t="s">
        <v>13107</v>
      </c>
      <c r="B1326" s="49">
        <v>0</v>
      </c>
      <c r="C1326" s="49"/>
      <c r="D1326" s="72" t="s">
        <v>717</v>
      </c>
      <c r="E1326" s="49" t="s">
        <v>3754</v>
      </c>
      <c r="F1326" s="49"/>
      <c r="G1326" s="49"/>
      <c r="H1326" s="49" t="s">
        <v>13108</v>
      </c>
      <c r="I1326" s="49" t="s">
        <v>13111</v>
      </c>
      <c r="J1326" s="49" t="s">
        <v>13109</v>
      </c>
      <c r="K1326" s="49" t="s">
        <v>13110</v>
      </c>
      <c r="L1326" s="49">
        <v>0</v>
      </c>
      <c r="M1326" s="49" t="s">
        <v>2484</v>
      </c>
      <c r="N1326" s="49" t="s">
        <v>13112</v>
      </c>
      <c r="O1326" s="49">
        <v>4</v>
      </c>
      <c r="P1326" s="49" t="s">
        <v>13113</v>
      </c>
      <c r="Q1326" s="49">
        <v>0</v>
      </c>
      <c r="R1326" s="49" t="s">
        <v>13114</v>
      </c>
      <c r="S1326" s="49" t="s">
        <v>13115</v>
      </c>
      <c r="T1326" s="49" t="s">
        <v>13116</v>
      </c>
      <c r="U1326" s="49" t="s">
        <v>655</v>
      </c>
      <c r="V1326" s="49" t="e">
        <v>#REF!</v>
      </c>
      <c r="AC1326" s="49"/>
      <c r="AD1326" s="49"/>
    </row>
    <row r="1327" spans="1:30" hidden="1" x14ac:dyDescent="0.3">
      <c r="A1327" s="49" t="s">
        <v>13117</v>
      </c>
      <c r="B1327" s="49">
        <v>0</v>
      </c>
      <c r="C1327" s="49"/>
      <c r="D1327" s="72" t="s">
        <v>717</v>
      </c>
      <c r="E1327" s="49" t="s">
        <v>3754</v>
      </c>
      <c r="F1327" s="49"/>
      <c r="G1327" s="49"/>
      <c r="H1327" s="49" t="s">
        <v>13118</v>
      </c>
      <c r="I1327" s="49" t="s">
        <v>13121</v>
      </c>
      <c r="J1327" s="49" t="s">
        <v>13119</v>
      </c>
      <c r="K1327" s="49" t="s">
        <v>13120</v>
      </c>
      <c r="L1327" s="49">
        <v>0</v>
      </c>
      <c r="M1327" s="49" t="s">
        <v>1826</v>
      </c>
      <c r="N1327" s="49" t="s">
        <v>2239</v>
      </c>
      <c r="O1327" s="49">
        <v>3</v>
      </c>
      <c r="P1327" s="49" t="s">
        <v>13122</v>
      </c>
      <c r="Q1327" s="49">
        <v>0</v>
      </c>
      <c r="R1327" s="49" t="s">
        <v>13123</v>
      </c>
      <c r="S1327" s="49" t="s">
        <v>13124</v>
      </c>
      <c r="T1327" s="49" t="s">
        <v>13125</v>
      </c>
      <c r="U1327" s="49" t="s">
        <v>670</v>
      </c>
      <c r="V1327" s="49" t="e">
        <v>#REF!</v>
      </c>
      <c r="AC1327" s="49"/>
      <c r="AD1327" s="49"/>
    </row>
    <row r="1328" spans="1:30" hidden="1" x14ac:dyDescent="0.3">
      <c r="A1328" s="49" t="s">
        <v>13126</v>
      </c>
      <c r="B1328" s="49">
        <v>0</v>
      </c>
      <c r="C1328" s="49"/>
      <c r="D1328" s="72" t="s">
        <v>717</v>
      </c>
      <c r="E1328" s="49" t="s">
        <v>3754</v>
      </c>
      <c r="F1328" s="49"/>
      <c r="G1328" s="49"/>
      <c r="H1328" s="49" t="s">
        <v>13127</v>
      </c>
      <c r="I1328" s="49" t="s">
        <v>13130</v>
      </c>
      <c r="J1328" s="49" t="s">
        <v>13128</v>
      </c>
      <c r="K1328" s="49" t="s">
        <v>13129</v>
      </c>
      <c r="L1328" s="49">
        <v>0</v>
      </c>
      <c r="M1328" s="49" t="s">
        <v>2142</v>
      </c>
      <c r="N1328" s="49" t="s">
        <v>4801</v>
      </c>
      <c r="O1328" s="49">
        <v>39</v>
      </c>
      <c r="P1328" s="49" t="s">
        <v>13131</v>
      </c>
      <c r="Q1328" s="49">
        <v>0</v>
      </c>
      <c r="R1328" s="49" t="s">
        <v>13132</v>
      </c>
      <c r="S1328" s="49" t="s">
        <v>13133</v>
      </c>
      <c r="T1328" s="49" t="s">
        <v>646</v>
      </c>
      <c r="U1328" s="49" t="s">
        <v>670</v>
      </c>
      <c r="V1328" s="49" t="e">
        <v>#REF!</v>
      </c>
      <c r="AC1328" s="49"/>
      <c r="AD1328" s="49"/>
    </row>
    <row r="1329" spans="1:30" hidden="1" x14ac:dyDescent="0.3">
      <c r="A1329" s="49" t="s">
        <v>13134</v>
      </c>
      <c r="B1329" s="49">
        <v>0</v>
      </c>
      <c r="C1329" s="49"/>
      <c r="D1329" s="72" t="s">
        <v>717</v>
      </c>
      <c r="E1329" s="49" t="s">
        <v>3754</v>
      </c>
      <c r="F1329" s="49"/>
      <c r="G1329" s="49"/>
      <c r="H1329" s="49" t="s">
        <v>13135</v>
      </c>
      <c r="I1329" s="49" t="s">
        <v>13138</v>
      </c>
      <c r="J1329" s="49" t="s">
        <v>13136</v>
      </c>
      <c r="K1329" s="49" t="s">
        <v>13137</v>
      </c>
      <c r="L1329" s="49">
        <v>0</v>
      </c>
      <c r="M1329" s="49" t="s">
        <v>1865</v>
      </c>
      <c r="N1329" s="49" t="s">
        <v>13139</v>
      </c>
      <c r="O1329" s="49">
        <v>3</v>
      </c>
      <c r="P1329" s="49" t="s">
        <v>13140</v>
      </c>
      <c r="Q1329" s="49">
        <v>0</v>
      </c>
      <c r="R1329" s="49" t="s">
        <v>13141</v>
      </c>
      <c r="S1329" s="49" t="s">
        <v>13142</v>
      </c>
      <c r="T1329" s="49" t="s">
        <v>13143</v>
      </c>
      <c r="U1329" s="49" t="s">
        <v>655</v>
      </c>
      <c r="V1329" s="49" t="e">
        <v>#REF!</v>
      </c>
      <c r="AC1329" s="49"/>
      <c r="AD1329" s="49"/>
    </row>
    <row r="1330" spans="1:30" hidden="1" x14ac:dyDescent="0.3">
      <c r="A1330" s="49" t="s">
        <v>13144</v>
      </c>
      <c r="B1330" s="49">
        <v>0</v>
      </c>
      <c r="C1330" s="49"/>
      <c r="D1330" s="72" t="s">
        <v>717</v>
      </c>
      <c r="E1330" s="49" t="s">
        <v>3754</v>
      </c>
      <c r="F1330" s="49"/>
      <c r="G1330" s="49"/>
      <c r="H1330" s="49" t="s">
        <v>13145</v>
      </c>
      <c r="I1330" s="49" t="s">
        <v>13148</v>
      </c>
      <c r="J1330" s="49" t="s">
        <v>13146</v>
      </c>
      <c r="K1330" s="49" t="s">
        <v>13147</v>
      </c>
      <c r="L1330" s="49">
        <v>0</v>
      </c>
      <c r="M1330" s="49" t="s">
        <v>1764</v>
      </c>
      <c r="N1330" s="49" t="s">
        <v>6582</v>
      </c>
      <c r="O1330" s="49">
        <v>6</v>
      </c>
      <c r="P1330" s="49" t="s">
        <v>13149</v>
      </c>
      <c r="Q1330" s="49">
        <v>0</v>
      </c>
      <c r="R1330" s="49" t="s">
        <v>13150</v>
      </c>
      <c r="S1330" s="49" t="s">
        <v>13151</v>
      </c>
      <c r="T1330" s="49" t="s">
        <v>646</v>
      </c>
      <c r="U1330" s="49" t="s">
        <v>655</v>
      </c>
      <c r="V1330" s="49" t="e">
        <v>#REF!</v>
      </c>
      <c r="AC1330" s="49"/>
      <c r="AD1330" s="49"/>
    </row>
    <row r="1331" spans="1:30" hidden="1" x14ac:dyDescent="0.3">
      <c r="A1331" s="49" t="s">
        <v>13152</v>
      </c>
      <c r="B1331" s="49">
        <v>0</v>
      </c>
      <c r="C1331" s="49"/>
      <c r="D1331" s="72" t="s">
        <v>717</v>
      </c>
      <c r="E1331" s="49" t="s">
        <v>3754</v>
      </c>
      <c r="F1331" s="49"/>
      <c r="G1331" s="49"/>
      <c r="H1331" s="49" t="s">
        <v>13153</v>
      </c>
      <c r="I1331" s="49" t="s">
        <v>13156</v>
      </c>
      <c r="J1331" s="49" t="s">
        <v>13154</v>
      </c>
      <c r="K1331" s="49" t="s">
        <v>13155</v>
      </c>
      <c r="L1331" s="49">
        <v>0</v>
      </c>
      <c r="M1331" s="49" t="s">
        <v>1826</v>
      </c>
      <c r="N1331" s="49" t="s">
        <v>4491</v>
      </c>
      <c r="O1331" s="49">
        <v>11</v>
      </c>
      <c r="P1331" s="49" t="s">
        <v>13157</v>
      </c>
      <c r="Q1331" s="49">
        <v>0</v>
      </c>
      <c r="R1331" s="49" t="s">
        <v>13158</v>
      </c>
      <c r="S1331" s="49" t="s">
        <v>13159</v>
      </c>
      <c r="T1331" s="49" t="s">
        <v>13160</v>
      </c>
      <c r="U1331" s="49" t="s">
        <v>655</v>
      </c>
      <c r="V1331" s="49" t="e">
        <v>#REF!</v>
      </c>
      <c r="AC1331" s="49"/>
      <c r="AD1331" s="49"/>
    </row>
    <row r="1332" spans="1:30" hidden="1" x14ac:dyDescent="0.3">
      <c r="A1332" s="49" t="s">
        <v>13161</v>
      </c>
      <c r="B1332" s="49">
        <v>0</v>
      </c>
      <c r="C1332" s="49"/>
      <c r="D1332" s="72" t="s">
        <v>717</v>
      </c>
      <c r="E1332" s="49" t="s">
        <v>3754</v>
      </c>
      <c r="F1332" s="49"/>
      <c r="G1332" s="49"/>
      <c r="H1332" s="49" t="s">
        <v>13162</v>
      </c>
      <c r="I1332" s="49" t="s">
        <v>13165</v>
      </c>
      <c r="J1332" s="49" t="s">
        <v>13163</v>
      </c>
      <c r="K1332" s="49" t="s">
        <v>13164</v>
      </c>
      <c r="L1332" s="49">
        <v>0</v>
      </c>
      <c r="M1332" s="49" t="s">
        <v>2484</v>
      </c>
      <c r="N1332" s="49" t="s">
        <v>13166</v>
      </c>
      <c r="O1332" s="49">
        <v>10</v>
      </c>
      <c r="P1332" s="49" t="s">
        <v>13167</v>
      </c>
      <c r="Q1332" s="49">
        <v>0</v>
      </c>
      <c r="R1332" s="49" t="s">
        <v>13168</v>
      </c>
      <c r="S1332" s="49" t="s">
        <v>13169</v>
      </c>
      <c r="T1332" s="49" t="s">
        <v>13170</v>
      </c>
      <c r="U1332" s="49" t="s">
        <v>655</v>
      </c>
      <c r="V1332" s="49" t="e">
        <v>#REF!</v>
      </c>
      <c r="AC1332" s="49"/>
      <c r="AD1332" s="49"/>
    </row>
    <row r="1333" spans="1:30" hidden="1" x14ac:dyDescent="0.3">
      <c r="A1333" s="49" t="s">
        <v>13171</v>
      </c>
      <c r="B1333" s="49">
        <v>0</v>
      </c>
      <c r="C1333" s="49"/>
      <c r="D1333" s="72" t="s">
        <v>717</v>
      </c>
      <c r="E1333" s="49" t="s">
        <v>3754</v>
      </c>
      <c r="F1333" s="49"/>
      <c r="G1333" s="49"/>
      <c r="H1333" s="49" t="s">
        <v>13172</v>
      </c>
      <c r="I1333" s="49" t="s">
        <v>13175</v>
      </c>
      <c r="J1333" s="49" t="s">
        <v>13173</v>
      </c>
      <c r="K1333" s="49" t="s">
        <v>13174</v>
      </c>
      <c r="L1333" s="49">
        <v>0</v>
      </c>
      <c r="M1333" s="49" t="s">
        <v>2142</v>
      </c>
      <c r="N1333" s="49" t="s">
        <v>3690</v>
      </c>
      <c r="O1333" s="49">
        <v>5</v>
      </c>
      <c r="P1333" s="49" t="s">
        <v>13176</v>
      </c>
      <c r="Q1333" s="49">
        <v>0</v>
      </c>
      <c r="R1333" s="49" t="s">
        <v>13177</v>
      </c>
      <c r="S1333" s="49" t="s">
        <v>13178</v>
      </c>
      <c r="T1333" s="49" t="s">
        <v>646</v>
      </c>
      <c r="U1333" s="49" t="s">
        <v>670</v>
      </c>
      <c r="V1333" s="49" t="e">
        <v>#REF!</v>
      </c>
      <c r="AC1333" s="49"/>
      <c r="AD1333" s="49"/>
    </row>
    <row r="1334" spans="1:30" hidden="1" x14ac:dyDescent="0.3">
      <c r="A1334" s="49" t="s">
        <v>13179</v>
      </c>
      <c r="B1334" s="49">
        <v>0</v>
      </c>
      <c r="C1334" s="49"/>
      <c r="D1334" s="72" t="s">
        <v>717</v>
      </c>
      <c r="E1334" s="49" t="s">
        <v>3754</v>
      </c>
      <c r="F1334" s="49"/>
      <c r="G1334" s="49"/>
      <c r="H1334" s="49" t="s">
        <v>13180</v>
      </c>
      <c r="I1334" s="49" t="s">
        <v>13183</v>
      </c>
      <c r="J1334" s="49" t="s">
        <v>13181</v>
      </c>
      <c r="K1334" s="49" t="s">
        <v>13182</v>
      </c>
      <c r="L1334" s="49">
        <v>0</v>
      </c>
      <c r="M1334" s="49" t="s">
        <v>2636</v>
      </c>
      <c r="N1334" s="49" t="s">
        <v>13184</v>
      </c>
      <c r="O1334" s="49">
        <v>23</v>
      </c>
      <c r="P1334" s="49" t="s">
        <v>13185</v>
      </c>
      <c r="Q1334" s="49">
        <v>0</v>
      </c>
      <c r="R1334" s="49" t="s">
        <v>13186</v>
      </c>
      <c r="S1334" s="49" t="s">
        <v>13187</v>
      </c>
      <c r="T1334" s="49" t="s">
        <v>13188</v>
      </c>
      <c r="U1334" s="49" t="s">
        <v>655</v>
      </c>
      <c r="V1334" s="49" t="e">
        <v>#REF!</v>
      </c>
      <c r="AC1334" s="49"/>
      <c r="AD1334" s="49"/>
    </row>
    <row r="1335" spans="1:30" hidden="1" x14ac:dyDescent="0.3">
      <c r="A1335" s="49" t="s">
        <v>725</v>
      </c>
      <c r="B1335" s="49">
        <v>0</v>
      </c>
      <c r="C1335" s="49"/>
      <c r="D1335" s="72" t="s">
        <v>717</v>
      </c>
      <c r="E1335" s="49" t="s">
        <v>3754</v>
      </c>
      <c r="F1335" s="49"/>
      <c r="G1335" s="49"/>
      <c r="H1335" s="49" t="s">
        <v>727</v>
      </c>
      <c r="I1335" s="49" t="s">
        <v>728</v>
      </c>
      <c r="J1335" s="49" t="s">
        <v>729</v>
      </c>
      <c r="K1335" s="49" t="s">
        <v>730</v>
      </c>
      <c r="L1335" s="49">
        <v>0</v>
      </c>
      <c r="M1335" s="49" t="s">
        <v>1764</v>
      </c>
      <c r="N1335" s="49" t="s">
        <v>731</v>
      </c>
      <c r="O1335" s="49">
        <v>1</v>
      </c>
      <c r="P1335" s="49" t="s">
        <v>732</v>
      </c>
      <c r="Q1335" s="49">
        <v>0</v>
      </c>
      <c r="R1335" s="49" t="s">
        <v>733</v>
      </c>
      <c r="S1335" s="49" t="s">
        <v>734</v>
      </c>
      <c r="T1335" s="49" t="s">
        <v>13189</v>
      </c>
      <c r="U1335" s="49" t="s">
        <v>670</v>
      </c>
      <c r="V1335" s="49" t="e">
        <v>#REF!</v>
      </c>
      <c r="AC1335" s="49"/>
      <c r="AD1335" s="49"/>
    </row>
    <row r="1336" spans="1:30" hidden="1" x14ac:dyDescent="0.3">
      <c r="A1336" s="49" t="s">
        <v>13190</v>
      </c>
      <c r="B1336" s="49">
        <v>0</v>
      </c>
      <c r="C1336" s="49"/>
      <c r="D1336" s="72" t="s">
        <v>717</v>
      </c>
      <c r="E1336" s="49" t="s">
        <v>3754</v>
      </c>
      <c r="F1336" s="49"/>
      <c r="G1336" s="49"/>
      <c r="H1336" s="49" t="s">
        <v>13191</v>
      </c>
      <c r="I1336" s="49" t="s">
        <v>5518</v>
      </c>
      <c r="J1336" s="49" t="s">
        <v>5516</v>
      </c>
      <c r="K1336" s="49" t="s">
        <v>13192</v>
      </c>
      <c r="L1336" s="49">
        <v>0</v>
      </c>
      <c r="M1336" s="49" t="s">
        <v>2456</v>
      </c>
      <c r="N1336" s="49" t="s">
        <v>2741</v>
      </c>
      <c r="O1336" s="49">
        <v>7</v>
      </c>
      <c r="P1336" s="49" t="s">
        <v>13193</v>
      </c>
      <c r="Q1336" s="49">
        <v>0</v>
      </c>
      <c r="R1336" s="49" t="s">
        <v>4675</v>
      </c>
      <c r="S1336" s="49" t="s">
        <v>5520</v>
      </c>
      <c r="T1336" s="49" t="s">
        <v>5521</v>
      </c>
      <c r="U1336" s="49" t="s">
        <v>670</v>
      </c>
      <c r="V1336" s="49" t="e">
        <v>#REF!</v>
      </c>
      <c r="AC1336" s="49"/>
      <c r="AD1336" s="49"/>
    </row>
    <row r="1337" spans="1:30" hidden="1" x14ac:dyDescent="0.3">
      <c r="A1337" s="49" t="s">
        <v>13194</v>
      </c>
      <c r="B1337" s="49">
        <v>0</v>
      </c>
      <c r="C1337" s="49"/>
      <c r="D1337" s="72" t="s">
        <v>717</v>
      </c>
      <c r="E1337" s="49" t="s">
        <v>3754</v>
      </c>
      <c r="F1337" s="49"/>
      <c r="G1337" s="49"/>
      <c r="H1337" s="49" t="s">
        <v>13195</v>
      </c>
      <c r="I1337" s="49" t="s">
        <v>13198</v>
      </c>
      <c r="J1337" s="49" t="s">
        <v>13196</v>
      </c>
      <c r="K1337" s="49" t="s">
        <v>13197</v>
      </c>
      <c r="L1337" s="49">
        <v>0</v>
      </c>
      <c r="M1337" s="49" t="s">
        <v>1777</v>
      </c>
      <c r="N1337" s="49" t="s">
        <v>13199</v>
      </c>
      <c r="O1337" s="49">
        <v>5</v>
      </c>
      <c r="P1337" s="49" t="s">
        <v>13200</v>
      </c>
      <c r="Q1337" s="49">
        <v>0</v>
      </c>
      <c r="R1337" s="49" t="s">
        <v>13201</v>
      </c>
      <c r="S1337" s="49" t="s">
        <v>13202</v>
      </c>
      <c r="T1337" s="49" t="s">
        <v>646</v>
      </c>
      <c r="U1337" s="49" t="s">
        <v>670</v>
      </c>
      <c r="V1337" s="49" t="e">
        <v>#REF!</v>
      </c>
      <c r="AC1337" s="49"/>
      <c r="AD1337" s="49"/>
    </row>
    <row r="1338" spans="1:30" hidden="1" x14ac:dyDescent="0.3">
      <c r="A1338" s="49" t="s">
        <v>13203</v>
      </c>
      <c r="B1338" s="49">
        <v>0</v>
      </c>
      <c r="C1338" s="49"/>
      <c r="D1338" s="72" t="s">
        <v>717</v>
      </c>
      <c r="E1338" s="49" t="s">
        <v>3754</v>
      </c>
      <c r="F1338" s="49"/>
      <c r="G1338" s="49"/>
      <c r="H1338" s="49" t="s">
        <v>13204</v>
      </c>
      <c r="I1338" s="49" t="s">
        <v>13207</v>
      </c>
      <c r="J1338" s="49" t="s">
        <v>13205</v>
      </c>
      <c r="K1338" s="49" t="s">
        <v>13206</v>
      </c>
      <c r="L1338" s="49">
        <v>0</v>
      </c>
      <c r="M1338" s="49" t="s">
        <v>1764</v>
      </c>
      <c r="N1338" s="49" t="s">
        <v>13208</v>
      </c>
      <c r="O1338" s="49">
        <v>31</v>
      </c>
      <c r="P1338" s="49" t="s">
        <v>13209</v>
      </c>
      <c r="Q1338" s="49">
        <v>0</v>
      </c>
      <c r="R1338" s="49" t="s">
        <v>13210</v>
      </c>
      <c r="S1338" s="49" t="s">
        <v>13211</v>
      </c>
      <c r="T1338" s="49" t="s">
        <v>646</v>
      </c>
      <c r="U1338" s="49" t="s">
        <v>655</v>
      </c>
      <c r="V1338" s="49" t="e">
        <v>#REF!</v>
      </c>
      <c r="AC1338" s="49"/>
      <c r="AD1338" s="49"/>
    </row>
    <row r="1339" spans="1:30" hidden="1" x14ac:dyDescent="0.3">
      <c r="A1339" s="49" t="s">
        <v>13212</v>
      </c>
      <c r="B1339" s="49">
        <v>0</v>
      </c>
      <c r="C1339" s="49"/>
      <c r="D1339" s="72" t="s">
        <v>717</v>
      </c>
      <c r="E1339" s="49" t="s">
        <v>3754</v>
      </c>
      <c r="F1339" s="49"/>
      <c r="G1339" s="49"/>
      <c r="H1339" s="49" t="s">
        <v>13213</v>
      </c>
      <c r="I1339" s="49" t="s">
        <v>13216</v>
      </c>
      <c r="J1339" s="49" t="s">
        <v>13214</v>
      </c>
      <c r="K1339" s="49" t="s">
        <v>13215</v>
      </c>
      <c r="L1339" s="49">
        <v>0</v>
      </c>
      <c r="M1339" s="49" t="s">
        <v>1826</v>
      </c>
      <c r="N1339" s="49" t="s">
        <v>13217</v>
      </c>
      <c r="O1339" s="49">
        <v>2</v>
      </c>
      <c r="P1339" s="49" t="s">
        <v>13218</v>
      </c>
      <c r="Q1339" s="49">
        <v>0</v>
      </c>
      <c r="R1339" s="49" t="s">
        <v>13219</v>
      </c>
      <c r="S1339" s="49" t="s">
        <v>13220</v>
      </c>
      <c r="T1339" s="49" t="s">
        <v>13221</v>
      </c>
      <c r="U1339" s="49" t="s">
        <v>655</v>
      </c>
      <c r="V1339" s="49" t="e">
        <v>#REF!</v>
      </c>
      <c r="AC1339" s="49"/>
      <c r="AD1339" s="49"/>
    </row>
    <row r="1340" spans="1:30" hidden="1" x14ac:dyDescent="0.3">
      <c r="A1340" s="49" t="s">
        <v>1234</v>
      </c>
      <c r="B1340" s="49">
        <v>0</v>
      </c>
      <c r="C1340" s="49"/>
      <c r="D1340" s="72" t="s">
        <v>717</v>
      </c>
      <c r="E1340" s="49" t="s">
        <v>3754</v>
      </c>
      <c r="F1340" s="49"/>
      <c r="G1340" s="49"/>
      <c r="H1340" s="49" t="s">
        <v>1236</v>
      </c>
      <c r="I1340" s="49" t="s">
        <v>1237</v>
      </c>
      <c r="J1340" s="49" t="s">
        <v>13222</v>
      </c>
      <c r="K1340" s="49" t="s">
        <v>1239</v>
      </c>
      <c r="L1340" s="49">
        <v>0</v>
      </c>
      <c r="M1340" s="49" t="s">
        <v>1826</v>
      </c>
      <c r="N1340" s="49" t="s">
        <v>1240</v>
      </c>
      <c r="O1340" s="49">
        <v>61</v>
      </c>
      <c r="P1340" s="49" t="s">
        <v>1241</v>
      </c>
      <c r="Q1340" s="49">
        <v>0</v>
      </c>
      <c r="R1340" s="49" t="s">
        <v>1242</v>
      </c>
      <c r="S1340" s="49" t="s">
        <v>1243</v>
      </c>
      <c r="T1340" s="49" t="s">
        <v>13223</v>
      </c>
      <c r="U1340" s="49" t="s">
        <v>655</v>
      </c>
      <c r="V1340" s="49" t="e">
        <v>#REF!</v>
      </c>
      <c r="AC1340" s="49"/>
      <c r="AD1340" s="49"/>
    </row>
    <row r="1341" spans="1:30" hidden="1" x14ac:dyDescent="0.3">
      <c r="A1341" s="49" t="s">
        <v>13224</v>
      </c>
      <c r="B1341" s="49">
        <v>0</v>
      </c>
      <c r="C1341" s="49"/>
      <c r="D1341" s="72" t="s">
        <v>717</v>
      </c>
      <c r="E1341" s="49" t="s">
        <v>3754</v>
      </c>
      <c r="F1341" s="49"/>
      <c r="G1341" s="49"/>
      <c r="H1341" s="49" t="s">
        <v>13225</v>
      </c>
      <c r="I1341" s="49" t="s">
        <v>13228</v>
      </c>
      <c r="J1341" s="49" t="s">
        <v>13226</v>
      </c>
      <c r="K1341" s="49" t="s">
        <v>13227</v>
      </c>
      <c r="L1341" s="49">
        <v>0</v>
      </c>
      <c r="M1341" s="49" t="s">
        <v>1764</v>
      </c>
      <c r="N1341" s="49" t="s">
        <v>13229</v>
      </c>
      <c r="O1341" s="49">
        <v>3</v>
      </c>
      <c r="P1341" s="49" t="s">
        <v>13230</v>
      </c>
      <c r="Q1341" s="49">
        <v>0</v>
      </c>
      <c r="R1341" s="49" t="s">
        <v>13231</v>
      </c>
      <c r="S1341" s="49" t="s">
        <v>13232</v>
      </c>
      <c r="T1341" s="49" t="s">
        <v>646</v>
      </c>
      <c r="U1341" s="49" t="s">
        <v>670</v>
      </c>
      <c r="V1341" s="49" t="e">
        <v>#REF!</v>
      </c>
      <c r="AC1341" s="49"/>
      <c r="AD1341" s="49"/>
    </row>
    <row r="1342" spans="1:30" hidden="1" x14ac:dyDescent="0.3">
      <c r="A1342" s="49" t="s">
        <v>13233</v>
      </c>
      <c r="B1342" s="49">
        <v>0</v>
      </c>
      <c r="C1342" s="49"/>
      <c r="D1342" s="72" t="s">
        <v>717</v>
      </c>
      <c r="E1342" s="49" t="s">
        <v>3754</v>
      </c>
      <c r="F1342" s="49"/>
      <c r="G1342" s="49"/>
      <c r="H1342" s="49" t="s">
        <v>13234</v>
      </c>
      <c r="I1342" s="49" t="s">
        <v>13237</v>
      </c>
      <c r="J1342" s="49" t="s">
        <v>13235</v>
      </c>
      <c r="K1342" s="49" t="s">
        <v>13236</v>
      </c>
      <c r="L1342" s="49">
        <v>0</v>
      </c>
      <c r="M1342" s="49" t="s">
        <v>1745</v>
      </c>
      <c r="N1342" s="49" t="s">
        <v>13238</v>
      </c>
      <c r="O1342" s="49">
        <v>19</v>
      </c>
      <c r="P1342" s="49" t="s">
        <v>13239</v>
      </c>
      <c r="Q1342" s="49">
        <v>0</v>
      </c>
      <c r="R1342" s="49" t="s">
        <v>13240</v>
      </c>
      <c r="S1342" s="49" t="s">
        <v>13241</v>
      </c>
      <c r="T1342" s="49" t="s">
        <v>13242</v>
      </c>
      <c r="U1342" s="49" t="s">
        <v>655</v>
      </c>
      <c r="V1342" s="49" t="e">
        <v>#REF!</v>
      </c>
      <c r="AC1342" s="49"/>
      <c r="AD1342" s="49"/>
    </row>
    <row r="1343" spans="1:30" hidden="1" x14ac:dyDescent="0.3">
      <c r="A1343" s="49" t="s">
        <v>13243</v>
      </c>
      <c r="B1343" s="49">
        <v>0</v>
      </c>
      <c r="C1343" s="49"/>
      <c r="D1343" s="72" t="s">
        <v>717</v>
      </c>
      <c r="E1343" s="49" t="s">
        <v>3754</v>
      </c>
      <c r="F1343" s="49"/>
      <c r="G1343" s="49"/>
      <c r="H1343" s="49" t="s">
        <v>13244</v>
      </c>
      <c r="I1343" s="49" t="s">
        <v>13247</v>
      </c>
      <c r="J1343" s="49" t="s">
        <v>13245</v>
      </c>
      <c r="K1343" s="49" t="s">
        <v>13246</v>
      </c>
      <c r="L1343" s="49">
        <v>0</v>
      </c>
      <c r="M1343" s="49" t="s">
        <v>1865</v>
      </c>
      <c r="N1343" s="49" t="s">
        <v>13248</v>
      </c>
      <c r="O1343" s="49">
        <v>14</v>
      </c>
      <c r="P1343" s="49" t="s">
        <v>13249</v>
      </c>
      <c r="Q1343" s="49">
        <v>0</v>
      </c>
      <c r="R1343" s="49" t="s">
        <v>13250</v>
      </c>
      <c r="S1343" s="49" t="s">
        <v>13251</v>
      </c>
      <c r="T1343" s="49" t="s">
        <v>13252</v>
      </c>
      <c r="U1343" s="49" t="s">
        <v>655</v>
      </c>
      <c r="V1343" s="49" t="e">
        <v>#REF!</v>
      </c>
      <c r="AC1343" s="49"/>
      <c r="AD1343" s="49"/>
    </row>
    <row r="1344" spans="1:30" hidden="1" x14ac:dyDescent="0.3">
      <c r="A1344" s="49" t="s">
        <v>13253</v>
      </c>
      <c r="B1344" s="49">
        <v>0</v>
      </c>
      <c r="C1344" s="49"/>
      <c r="D1344" s="72" t="s">
        <v>717</v>
      </c>
      <c r="E1344" s="49" t="s">
        <v>3754</v>
      </c>
      <c r="F1344" s="49"/>
      <c r="G1344" s="49"/>
      <c r="H1344" s="49" t="s">
        <v>13254</v>
      </c>
      <c r="I1344" s="49" t="s">
        <v>13257</v>
      </c>
      <c r="J1344" s="49" t="s">
        <v>13255</v>
      </c>
      <c r="K1344" s="49" t="s">
        <v>13256</v>
      </c>
      <c r="L1344" s="49">
        <v>0</v>
      </c>
      <c r="M1344" s="49" t="s">
        <v>1764</v>
      </c>
      <c r="N1344" s="49" t="s">
        <v>5122</v>
      </c>
      <c r="O1344" s="49">
        <v>110</v>
      </c>
      <c r="P1344" s="49" t="s">
        <v>13258</v>
      </c>
      <c r="Q1344" s="49">
        <v>0</v>
      </c>
      <c r="R1344" s="49" t="s">
        <v>13259</v>
      </c>
      <c r="S1344" s="49" t="s">
        <v>13260</v>
      </c>
      <c r="T1344" s="49" t="s">
        <v>13261</v>
      </c>
      <c r="U1344" s="49" t="s">
        <v>655</v>
      </c>
      <c r="V1344" s="49" t="e">
        <v>#REF!</v>
      </c>
      <c r="AC1344" s="49"/>
      <c r="AD1344" s="49"/>
    </row>
    <row r="1345" spans="1:30" hidden="1" x14ac:dyDescent="0.3">
      <c r="A1345" s="49" t="s">
        <v>13262</v>
      </c>
      <c r="B1345" s="49">
        <v>0</v>
      </c>
      <c r="C1345" s="49"/>
      <c r="D1345" s="72" t="s">
        <v>717</v>
      </c>
      <c r="E1345" s="49" t="s">
        <v>3754</v>
      </c>
      <c r="F1345" s="49"/>
      <c r="G1345" s="49"/>
      <c r="H1345" s="49" t="s">
        <v>13263</v>
      </c>
      <c r="I1345" s="49" t="s">
        <v>13266</v>
      </c>
      <c r="J1345" s="49" t="s">
        <v>13264</v>
      </c>
      <c r="K1345" s="49" t="s">
        <v>13265</v>
      </c>
      <c r="L1345" s="49">
        <v>0</v>
      </c>
      <c r="M1345" s="49" t="s">
        <v>2142</v>
      </c>
      <c r="N1345" s="49" t="s">
        <v>13267</v>
      </c>
      <c r="O1345" s="49">
        <v>2</v>
      </c>
      <c r="P1345" s="49" t="s">
        <v>13268</v>
      </c>
      <c r="Q1345" s="49">
        <v>0</v>
      </c>
      <c r="R1345" s="49" t="s">
        <v>13269</v>
      </c>
      <c r="S1345" s="49" t="s">
        <v>13270</v>
      </c>
      <c r="T1345" s="49" t="s">
        <v>13271</v>
      </c>
      <c r="U1345" s="49" t="s">
        <v>655</v>
      </c>
      <c r="V1345" s="49" t="e">
        <v>#REF!</v>
      </c>
      <c r="AC1345" s="49"/>
      <c r="AD1345" s="49"/>
    </row>
    <row r="1346" spans="1:30" hidden="1" x14ac:dyDescent="0.3">
      <c r="A1346" s="49" t="s">
        <v>13272</v>
      </c>
      <c r="B1346" s="49">
        <v>0</v>
      </c>
      <c r="C1346" s="49"/>
      <c r="D1346" s="72" t="s">
        <v>717</v>
      </c>
      <c r="E1346" s="49" t="s">
        <v>3754</v>
      </c>
      <c r="F1346" s="49"/>
      <c r="G1346" s="49"/>
      <c r="H1346" s="49" t="s">
        <v>13273</v>
      </c>
      <c r="I1346" s="49" t="s">
        <v>13276</v>
      </c>
      <c r="J1346" s="49" t="s">
        <v>13274</v>
      </c>
      <c r="K1346" s="49" t="s">
        <v>13275</v>
      </c>
      <c r="L1346" s="49">
        <v>0</v>
      </c>
      <c r="M1346" s="49" t="s">
        <v>1764</v>
      </c>
      <c r="N1346" s="49" t="s">
        <v>13184</v>
      </c>
      <c r="O1346" s="49">
        <v>3</v>
      </c>
      <c r="P1346" s="49" t="s">
        <v>13277</v>
      </c>
      <c r="Q1346" s="49">
        <v>0</v>
      </c>
      <c r="R1346" s="49" t="s">
        <v>13278</v>
      </c>
      <c r="S1346" s="49" t="s">
        <v>13279</v>
      </c>
      <c r="T1346" s="49" t="s">
        <v>13280</v>
      </c>
      <c r="U1346" s="49" t="s">
        <v>655</v>
      </c>
      <c r="V1346" s="49" t="e">
        <v>#REF!</v>
      </c>
      <c r="AC1346" s="49"/>
      <c r="AD1346" s="49"/>
    </row>
    <row r="1347" spans="1:30" hidden="1" x14ac:dyDescent="0.3">
      <c r="A1347" s="49" t="s">
        <v>13281</v>
      </c>
      <c r="B1347" s="49">
        <v>0</v>
      </c>
      <c r="C1347" s="49"/>
      <c r="D1347" s="72" t="s">
        <v>717</v>
      </c>
      <c r="E1347" s="49" t="s">
        <v>3754</v>
      </c>
      <c r="F1347" s="49"/>
      <c r="G1347" s="49"/>
      <c r="H1347" s="49" t="s">
        <v>13282</v>
      </c>
      <c r="I1347" s="49" t="s">
        <v>13285</v>
      </c>
      <c r="J1347" s="49" t="s">
        <v>13283</v>
      </c>
      <c r="K1347" s="49" t="s">
        <v>13284</v>
      </c>
      <c r="L1347" s="49">
        <v>0</v>
      </c>
      <c r="M1347" s="49" t="s">
        <v>2636</v>
      </c>
      <c r="N1347" s="49" t="s">
        <v>1382</v>
      </c>
      <c r="O1347" s="49">
        <v>9</v>
      </c>
      <c r="P1347" s="49" t="s">
        <v>13286</v>
      </c>
      <c r="Q1347" s="49">
        <v>0</v>
      </c>
      <c r="R1347" s="49" t="s">
        <v>13287</v>
      </c>
      <c r="S1347" s="49" t="s">
        <v>13288</v>
      </c>
      <c r="T1347" s="49" t="s">
        <v>13289</v>
      </c>
      <c r="U1347" s="49" t="s">
        <v>670</v>
      </c>
      <c r="V1347" s="49" t="e">
        <v>#REF!</v>
      </c>
      <c r="AC1347" s="49"/>
      <c r="AD1347" s="49"/>
    </row>
    <row r="1348" spans="1:30" hidden="1" x14ac:dyDescent="0.3">
      <c r="A1348" s="49" t="s">
        <v>13290</v>
      </c>
      <c r="B1348" s="49">
        <v>0</v>
      </c>
      <c r="C1348" s="49"/>
      <c r="D1348" s="72" t="s">
        <v>717</v>
      </c>
      <c r="E1348" s="49" t="s">
        <v>3754</v>
      </c>
      <c r="F1348" s="49"/>
      <c r="G1348" s="49"/>
      <c r="H1348" s="49" t="s">
        <v>13291</v>
      </c>
      <c r="I1348" s="49" t="s">
        <v>13294</v>
      </c>
      <c r="J1348" s="49" t="s">
        <v>13292</v>
      </c>
      <c r="K1348" s="49" t="s">
        <v>13293</v>
      </c>
      <c r="L1348" s="49">
        <v>0</v>
      </c>
      <c r="M1348" s="49" t="s">
        <v>2142</v>
      </c>
      <c r="N1348" s="49" t="s">
        <v>13295</v>
      </c>
      <c r="O1348" s="49">
        <v>23</v>
      </c>
      <c r="P1348" s="49" t="s">
        <v>13296</v>
      </c>
      <c r="Q1348" s="49">
        <v>0</v>
      </c>
      <c r="R1348" s="49" t="s">
        <v>13297</v>
      </c>
      <c r="S1348" s="49" t="s">
        <v>13298</v>
      </c>
      <c r="T1348" s="49" t="s">
        <v>13299</v>
      </c>
      <c r="U1348" s="49" t="s">
        <v>655</v>
      </c>
      <c r="V1348" s="49" t="e">
        <v>#REF!</v>
      </c>
      <c r="AC1348" s="49"/>
      <c r="AD1348" s="49"/>
    </row>
    <row r="1349" spans="1:30" hidden="1" x14ac:dyDescent="0.3">
      <c r="A1349" s="49" t="s">
        <v>1344</v>
      </c>
      <c r="B1349" s="49">
        <v>0</v>
      </c>
      <c r="C1349" s="49"/>
      <c r="D1349" s="72" t="s">
        <v>717</v>
      </c>
      <c r="E1349" s="49" t="s">
        <v>3754</v>
      </c>
      <c r="F1349" s="49"/>
      <c r="G1349" s="49"/>
      <c r="H1349" s="49" t="s">
        <v>1346</v>
      </c>
      <c r="I1349" s="49" t="s">
        <v>1347</v>
      </c>
      <c r="J1349" s="49" t="s">
        <v>1348</v>
      </c>
      <c r="K1349" s="49" t="s">
        <v>1349</v>
      </c>
      <c r="L1349" s="49">
        <v>0</v>
      </c>
      <c r="M1349" s="49" t="s">
        <v>2142</v>
      </c>
      <c r="N1349" s="49" t="s">
        <v>1350</v>
      </c>
      <c r="O1349" s="49">
        <v>13</v>
      </c>
      <c r="P1349" s="49" t="s">
        <v>1351</v>
      </c>
      <c r="Q1349" s="49">
        <v>0</v>
      </c>
      <c r="R1349" s="49" t="s">
        <v>1352</v>
      </c>
      <c r="S1349" s="49" t="s">
        <v>1353</v>
      </c>
      <c r="T1349" s="49" t="s">
        <v>13300</v>
      </c>
      <c r="U1349" s="49" t="s">
        <v>655</v>
      </c>
      <c r="V1349" s="49" t="e">
        <v>#REF!</v>
      </c>
      <c r="AC1349" s="49"/>
      <c r="AD1349" s="49"/>
    </row>
    <row r="1350" spans="1:30" hidden="1" x14ac:dyDescent="0.3">
      <c r="A1350" s="49" t="s">
        <v>13301</v>
      </c>
      <c r="B1350" s="49">
        <v>0</v>
      </c>
      <c r="C1350" s="49"/>
      <c r="D1350" s="72" t="s">
        <v>717</v>
      </c>
      <c r="E1350" s="49" t="s">
        <v>3754</v>
      </c>
      <c r="F1350" s="49"/>
      <c r="G1350" s="49"/>
      <c r="H1350" s="49" t="s">
        <v>13302</v>
      </c>
      <c r="I1350" s="49" t="s">
        <v>13305</v>
      </c>
      <c r="J1350" s="49" t="s">
        <v>13303</v>
      </c>
      <c r="K1350" s="49" t="s">
        <v>13304</v>
      </c>
      <c r="L1350" s="49">
        <v>0</v>
      </c>
      <c r="M1350" s="49" t="s">
        <v>4114</v>
      </c>
      <c r="N1350" s="49" t="s">
        <v>708</v>
      </c>
      <c r="O1350" s="49">
        <v>31</v>
      </c>
      <c r="P1350" s="49" t="s">
        <v>13306</v>
      </c>
      <c r="Q1350" s="49">
        <v>0</v>
      </c>
      <c r="R1350" s="49" t="s">
        <v>13307</v>
      </c>
      <c r="S1350" s="49" t="s">
        <v>13308</v>
      </c>
      <c r="T1350" s="49" t="s">
        <v>13309</v>
      </c>
      <c r="U1350" s="49" t="s">
        <v>655</v>
      </c>
      <c r="V1350" s="49" t="e">
        <v>#REF!</v>
      </c>
      <c r="AC1350" s="49"/>
      <c r="AD1350" s="49"/>
    </row>
    <row r="1351" spans="1:30" hidden="1" x14ac:dyDescent="0.3">
      <c r="A1351" s="49" t="s">
        <v>13310</v>
      </c>
      <c r="B1351" s="49">
        <v>0</v>
      </c>
      <c r="C1351" s="49"/>
      <c r="D1351" s="72" t="s">
        <v>717</v>
      </c>
      <c r="E1351" s="49" t="s">
        <v>3754</v>
      </c>
      <c r="F1351" s="49"/>
      <c r="G1351" s="49"/>
      <c r="H1351" s="49" t="s">
        <v>13311</v>
      </c>
      <c r="I1351" s="49" t="s">
        <v>13314</v>
      </c>
      <c r="J1351" s="49" t="s">
        <v>13312</v>
      </c>
      <c r="K1351" s="49" t="s">
        <v>13313</v>
      </c>
      <c r="L1351" s="49">
        <v>0</v>
      </c>
      <c r="M1351" s="49" t="s">
        <v>4156</v>
      </c>
      <c r="N1351" s="49" t="s">
        <v>13315</v>
      </c>
      <c r="O1351" s="49">
        <v>31</v>
      </c>
      <c r="P1351" s="49" t="s">
        <v>13316</v>
      </c>
      <c r="Q1351" s="49">
        <v>0</v>
      </c>
      <c r="R1351" s="49" t="s">
        <v>13317</v>
      </c>
      <c r="S1351" s="49" t="s">
        <v>13318</v>
      </c>
      <c r="T1351" s="49" t="s">
        <v>13319</v>
      </c>
      <c r="U1351" s="49" t="s">
        <v>670</v>
      </c>
      <c r="V1351" s="49" t="e">
        <v>#REF!</v>
      </c>
      <c r="AC1351" s="49"/>
      <c r="AD1351" s="49"/>
    </row>
    <row r="1352" spans="1:30" hidden="1" x14ac:dyDescent="0.3">
      <c r="A1352" s="49" t="s">
        <v>13320</v>
      </c>
      <c r="B1352" s="49">
        <v>0</v>
      </c>
      <c r="C1352" s="49"/>
      <c r="D1352" s="72" t="s">
        <v>717</v>
      </c>
      <c r="E1352" s="49" t="s">
        <v>3754</v>
      </c>
      <c r="F1352" s="49"/>
      <c r="G1352" s="49"/>
      <c r="H1352" s="49" t="s">
        <v>13321</v>
      </c>
      <c r="I1352" s="49" t="s">
        <v>13324</v>
      </c>
      <c r="J1352" s="49" t="s">
        <v>13322</v>
      </c>
      <c r="K1352" s="49" t="s">
        <v>13323</v>
      </c>
      <c r="L1352" s="49">
        <v>0</v>
      </c>
      <c r="M1352" s="49" t="s">
        <v>4084</v>
      </c>
      <c r="N1352" s="49" t="s">
        <v>6582</v>
      </c>
      <c r="O1352" s="49">
        <v>26</v>
      </c>
      <c r="P1352" s="49" t="s">
        <v>13325</v>
      </c>
      <c r="Q1352" s="49">
        <v>0</v>
      </c>
      <c r="R1352" s="49" t="s">
        <v>13326</v>
      </c>
      <c r="S1352" s="49" t="s">
        <v>13327</v>
      </c>
      <c r="T1352" s="49" t="s">
        <v>13328</v>
      </c>
      <c r="U1352" s="49" t="s">
        <v>655</v>
      </c>
      <c r="V1352" s="49" t="e">
        <v>#REF!</v>
      </c>
      <c r="AC1352" s="49"/>
      <c r="AD1352" s="49"/>
    </row>
    <row r="1353" spans="1:30" hidden="1" x14ac:dyDescent="0.3">
      <c r="A1353" s="49" t="s">
        <v>13329</v>
      </c>
      <c r="B1353" s="49">
        <v>0</v>
      </c>
      <c r="C1353" s="49"/>
      <c r="D1353" s="72" t="s">
        <v>717</v>
      </c>
      <c r="E1353" s="49" t="s">
        <v>3754</v>
      </c>
      <c r="F1353" s="49"/>
      <c r="G1353" s="49"/>
      <c r="H1353" s="49" t="s">
        <v>13330</v>
      </c>
      <c r="I1353" s="49" t="s">
        <v>13333</v>
      </c>
      <c r="J1353" s="49" t="s">
        <v>13331</v>
      </c>
      <c r="K1353" s="49" t="s">
        <v>13332</v>
      </c>
      <c r="L1353" s="49">
        <v>0</v>
      </c>
      <c r="M1353" s="49" t="s">
        <v>1764</v>
      </c>
      <c r="N1353" s="49" t="s">
        <v>13334</v>
      </c>
      <c r="O1353" s="49">
        <v>10</v>
      </c>
      <c r="P1353" s="49" t="s">
        <v>13335</v>
      </c>
      <c r="Q1353" s="49">
        <v>0</v>
      </c>
      <c r="R1353" s="49" t="s">
        <v>13336</v>
      </c>
      <c r="S1353" s="49" t="s">
        <v>13337</v>
      </c>
      <c r="T1353" s="49" t="s">
        <v>13338</v>
      </c>
      <c r="U1353" s="49" t="s">
        <v>655</v>
      </c>
      <c r="V1353" s="49" t="e">
        <v>#REF!</v>
      </c>
      <c r="AC1353" s="49"/>
      <c r="AD1353" s="49"/>
    </row>
    <row r="1354" spans="1:30" hidden="1" x14ac:dyDescent="0.3">
      <c r="A1354" s="49" t="s">
        <v>13339</v>
      </c>
      <c r="B1354" s="49">
        <v>0</v>
      </c>
      <c r="C1354" s="49"/>
      <c r="D1354" s="72" t="s">
        <v>717</v>
      </c>
      <c r="E1354" s="49" t="s">
        <v>3754</v>
      </c>
      <c r="F1354" s="49"/>
      <c r="G1354" s="49"/>
      <c r="H1354" s="49" t="s">
        <v>13340</v>
      </c>
      <c r="I1354" s="49" t="s">
        <v>13343</v>
      </c>
      <c r="J1354" s="49" t="s">
        <v>13341</v>
      </c>
      <c r="K1354" s="49" t="s">
        <v>13342</v>
      </c>
      <c r="L1354" s="49">
        <v>0</v>
      </c>
      <c r="M1354" s="49" t="s">
        <v>4114</v>
      </c>
      <c r="N1354" s="49" t="s">
        <v>6962</v>
      </c>
      <c r="O1354" s="49">
        <v>37</v>
      </c>
      <c r="P1354" s="49" t="s">
        <v>13344</v>
      </c>
      <c r="Q1354" s="49">
        <v>0</v>
      </c>
      <c r="R1354" s="49" t="s">
        <v>13345</v>
      </c>
      <c r="S1354" s="49" t="s">
        <v>13346</v>
      </c>
      <c r="T1354" s="49" t="s">
        <v>646</v>
      </c>
      <c r="U1354" s="49" t="s">
        <v>670</v>
      </c>
      <c r="V1354" s="49" t="e">
        <v>#REF!</v>
      </c>
      <c r="AC1354" s="49"/>
      <c r="AD1354" s="49"/>
    </row>
    <row r="1355" spans="1:30" hidden="1" x14ac:dyDescent="0.3">
      <c r="A1355" s="49" t="s">
        <v>13347</v>
      </c>
      <c r="B1355" s="49">
        <v>0</v>
      </c>
      <c r="C1355" s="49"/>
      <c r="D1355" s="72" t="s">
        <v>717</v>
      </c>
      <c r="E1355" s="49" t="s">
        <v>3754</v>
      </c>
      <c r="F1355" s="49"/>
      <c r="G1355" s="49"/>
      <c r="H1355" s="49" t="s">
        <v>13348</v>
      </c>
      <c r="I1355" s="49" t="s">
        <v>13351</v>
      </c>
      <c r="J1355" s="49" t="s">
        <v>13349</v>
      </c>
      <c r="K1355" s="49" t="s">
        <v>13350</v>
      </c>
      <c r="L1355" s="49">
        <v>0</v>
      </c>
      <c r="M1355" s="49" t="s">
        <v>1764</v>
      </c>
      <c r="N1355" s="49" t="s">
        <v>13352</v>
      </c>
      <c r="O1355" s="49">
        <v>3</v>
      </c>
      <c r="P1355" s="49" t="s">
        <v>13353</v>
      </c>
      <c r="Q1355" s="49">
        <v>0</v>
      </c>
      <c r="R1355" s="49" t="s">
        <v>13354</v>
      </c>
      <c r="S1355" s="49" t="s">
        <v>13355</v>
      </c>
      <c r="T1355" s="49" t="s">
        <v>646</v>
      </c>
      <c r="U1355" s="49" t="s">
        <v>670</v>
      </c>
      <c r="V1355" s="49" t="e">
        <v>#REF!</v>
      </c>
      <c r="AC1355" s="49"/>
      <c r="AD1355" s="49"/>
    </row>
    <row r="1356" spans="1:30" hidden="1" x14ac:dyDescent="0.3">
      <c r="A1356" s="49" t="s">
        <v>13356</v>
      </c>
      <c r="B1356" s="49">
        <v>0</v>
      </c>
      <c r="C1356" s="49"/>
      <c r="D1356" s="72" t="s">
        <v>717</v>
      </c>
      <c r="E1356" s="49" t="s">
        <v>3754</v>
      </c>
      <c r="F1356" s="49"/>
      <c r="G1356" s="49"/>
      <c r="H1356" s="49" t="s">
        <v>13357</v>
      </c>
      <c r="I1356" s="49" t="s">
        <v>13360</v>
      </c>
      <c r="J1356" s="49" t="s">
        <v>13358</v>
      </c>
      <c r="K1356" s="49" t="s">
        <v>13359</v>
      </c>
      <c r="L1356" s="49">
        <v>0</v>
      </c>
      <c r="M1356" s="49" t="s">
        <v>2142</v>
      </c>
      <c r="N1356" s="49" t="s">
        <v>12377</v>
      </c>
      <c r="O1356" s="49">
        <v>29</v>
      </c>
      <c r="P1356" s="49" t="s">
        <v>13361</v>
      </c>
      <c r="Q1356" s="49">
        <v>0</v>
      </c>
      <c r="R1356" s="49" t="s">
        <v>13362</v>
      </c>
      <c r="S1356" s="49" t="s">
        <v>13363</v>
      </c>
      <c r="T1356" s="49" t="s">
        <v>646</v>
      </c>
      <c r="U1356" s="49" t="s">
        <v>655</v>
      </c>
      <c r="V1356" s="49" t="e">
        <v>#REF!</v>
      </c>
      <c r="AC1356" s="49"/>
      <c r="AD1356" s="49"/>
    </row>
    <row r="1357" spans="1:30" hidden="1" x14ac:dyDescent="0.3">
      <c r="A1357" s="49" t="s">
        <v>13364</v>
      </c>
      <c r="B1357" s="49">
        <v>0</v>
      </c>
      <c r="C1357" s="49"/>
      <c r="D1357" s="72" t="s">
        <v>717</v>
      </c>
      <c r="E1357" s="49" t="s">
        <v>3754</v>
      </c>
      <c r="F1357" s="49"/>
      <c r="G1357" s="49"/>
      <c r="H1357" s="49" t="s">
        <v>13365</v>
      </c>
      <c r="I1357" s="49" t="s">
        <v>13368</v>
      </c>
      <c r="J1357" s="49" t="s">
        <v>13366</v>
      </c>
      <c r="K1357" s="49" t="s">
        <v>13367</v>
      </c>
      <c r="L1357" s="49">
        <v>0</v>
      </c>
      <c r="M1357" s="49" t="s">
        <v>1826</v>
      </c>
      <c r="N1357" s="49" t="s">
        <v>9970</v>
      </c>
      <c r="O1357" s="49">
        <v>8</v>
      </c>
      <c r="P1357" s="49" t="s">
        <v>13369</v>
      </c>
      <c r="Q1357" s="49">
        <v>0</v>
      </c>
      <c r="R1357" s="49" t="s">
        <v>13370</v>
      </c>
      <c r="S1357" s="49" t="s">
        <v>13371</v>
      </c>
      <c r="T1357" s="49" t="s">
        <v>13372</v>
      </c>
      <c r="U1357" s="49" t="s">
        <v>655</v>
      </c>
      <c r="V1357" s="49" t="e">
        <v>#REF!</v>
      </c>
      <c r="AC1357" s="49"/>
      <c r="AD1357" s="49"/>
    </row>
    <row r="1358" spans="1:30" hidden="1" x14ac:dyDescent="0.3">
      <c r="A1358" s="49" t="s">
        <v>13373</v>
      </c>
      <c r="B1358" s="49">
        <v>0</v>
      </c>
      <c r="C1358" s="49"/>
      <c r="D1358" s="72" t="s">
        <v>717</v>
      </c>
      <c r="E1358" s="49" t="s">
        <v>3754</v>
      </c>
      <c r="F1358" s="49"/>
      <c r="G1358" s="49"/>
      <c r="H1358" s="49" t="s">
        <v>13374</v>
      </c>
      <c r="I1358" s="49" t="s">
        <v>13377</v>
      </c>
      <c r="J1358" s="49" t="s">
        <v>13375</v>
      </c>
      <c r="K1358" s="49" t="s">
        <v>13376</v>
      </c>
      <c r="L1358" s="49">
        <v>0</v>
      </c>
      <c r="M1358" s="49" t="s">
        <v>1826</v>
      </c>
      <c r="N1358" s="49" t="s">
        <v>10930</v>
      </c>
      <c r="P1358" s="49" t="s">
        <v>13378</v>
      </c>
      <c r="Q1358" s="49">
        <v>0</v>
      </c>
      <c r="R1358" s="49" t="s">
        <v>13379</v>
      </c>
      <c r="S1358" s="49" t="s">
        <v>13380</v>
      </c>
      <c r="T1358" s="49" t="s">
        <v>646</v>
      </c>
      <c r="U1358" s="49" t="s">
        <v>670</v>
      </c>
      <c r="V1358" s="49" t="e">
        <v>#REF!</v>
      </c>
      <c r="AC1358" s="49"/>
      <c r="AD1358" s="49"/>
    </row>
    <row r="1359" spans="1:30" hidden="1" x14ac:dyDescent="0.3">
      <c r="A1359" s="49" t="s">
        <v>13381</v>
      </c>
      <c r="B1359" s="49">
        <v>0</v>
      </c>
      <c r="C1359" s="49"/>
      <c r="D1359" s="72" t="s">
        <v>717</v>
      </c>
      <c r="E1359" s="49" t="s">
        <v>3754</v>
      </c>
      <c r="F1359" s="49"/>
      <c r="G1359" s="49"/>
      <c r="H1359" s="49" t="s">
        <v>13382</v>
      </c>
      <c r="I1359" s="49" t="s">
        <v>13385</v>
      </c>
      <c r="J1359" s="49" t="s">
        <v>13383</v>
      </c>
      <c r="K1359" s="49" t="s">
        <v>13384</v>
      </c>
      <c r="L1359" s="49">
        <v>0</v>
      </c>
      <c r="M1359" s="49" t="s">
        <v>1865</v>
      </c>
      <c r="N1359" s="49" t="s">
        <v>8910</v>
      </c>
      <c r="O1359" s="49">
        <v>24</v>
      </c>
      <c r="P1359" s="49" t="s">
        <v>13386</v>
      </c>
      <c r="Q1359" s="49">
        <v>0</v>
      </c>
      <c r="R1359" s="49" t="s">
        <v>13387</v>
      </c>
      <c r="S1359" s="49" t="s">
        <v>13388</v>
      </c>
      <c r="T1359" s="49" t="s">
        <v>13389</v>
      </c>
      <c r="U1359" s="49" t="s">
        <v>655</v>
      </c>
      <c r="V1359" s="49" t="e">
        <v>#REF!</v>
      </c>
      <c r="AC1359" s="49"/>
      <c r="AD1359" s="49"/>
    </row>
    <row r="1360" spans="1:30" hidden="1" x14ac:dyDescent="0.3">
      <c r="A1360" s="49" t="s">
        <v>1081</v>
      </c>
      <c r="B1360" s="49">
        <v>0</v>
      </c>
      <c r="C1360" s="49"/>
      <c r="D1360" s="72" t="s">
        <v>717</v>
      </c>
      <c r="E1360" s="49" t="s">
        <v>3754</v>
      </c>
      <c r="F1360" s="49"/>
      <c r="G1360" s="49"/>
      <c r="H1360" s="49" t="s">
        <v>1083</v>
      </c>
      <c r="I1360" s="49" t="s">
        <v>1084</v>
      </c>
      <c r="J1360" s="49" t="s">
        <v>1085</v>
      </c>
      <c r="K1360" s="49" t="s">
        <v>1086</v>
      </c>
      <c r="L1360" s="49">
        <v>0</v>
      </c>
      <c r="M1360" s="49" t="s">
        <v>2142</v>
      </c>
      <c r="N1360" s="49" t="s">
        <v>1088</v>
      </c>
      <c r="O1360" s="49">
        <v>12</v>
      </c>
      <c r="P1360" s="49" t="s">
        <v>1089</v>
      </c>
      <c r="Q1360" s="49">
        <v>0</v>
      </c>
      <c r="R1360" s="49" t="s">
        <v>1091</v>
      </c>
      <c r="S1360" s="49" t="s">
        <v>1092</v>
      </c>
      <c r="T1360" s="49" t="s">
        <v>1093</v>
      </c>
      <c r="U1360" s="49" t="s">
        <v>670</v>
      </c>
      <c r="V1360" s="49" t="e">
        <v>#REF!</v>
      </c>
      <c r="AC1360" s="49"/>
      <c r="AD1360" s="49"/>
    </row>
    <row r="1361" spans="1:30" hidden="1" x14ac:dyDescent="0.3">
      <c r="A1361" s="49" t="s">
        <v>13390</v>
      </c>
      <c r="B1361" s="49">
        <v>0</v>
      </c>
      <c r="C1361" s="49"/>
      <c r="D1361" s="72" t="s">
        <v>717</v>
      </c>
      <c r="E1361" s="49" t="s">
        <v>3754</v>
      </c>
      <c r="F1361" s="49"/>
      <c r="G1361" s="49"/>
      <c r="H1361" s="49" t="s">
        <v>13391</v>
      </c>
      <c r="I1361" s="49" t="s">
        <v>13394</v>
      </c>
      <c r="J1361" s="49" t="s">
        <v>13392</v>
      </c>
      <c r="K1361" s="49" t="s">
        <v>13393</v>
      </c>
      <c r="L1361" s="49">
        <v>0</v>
      </c>
      <c r="M1361" s="49" t="s">
        <v>1826</v>
      </c>
      <c r="N1361" s="49" t="s">
        <v>13395</v>
      </c>
      <c r="O1361" s="49">
        <v>8</v>
      </c>
      <c r="P1361" s="49" t="s">
        <v>13396</v>
      </c>
      <c r="Q1361" s="49">
        <v>0</v>
      </c>
      <c r="R1361" s="49" t="s">
        <v>13397</v>
      </c>
      <c r="S1361" s="49" t="s">
        <v>13398</v>
      </c>
      <c r="T1361" s="49" t="s">
        <v>13399</v>
      </c>
      <c r="U1361" s="49" t="s">
        <v>655</v>
      </c>
      <c r="V1361" s="49" t="e">
        <v>#REF!</v>
      </c>
      <c r="AC1361" s="49"/>
      <c r="AD1361" s="49"/>
    </row>
    <row r="1362" spans="1:30" hidden="1" x14ac:dyDescent="0.3">
      <c r="A1362" s="49" t="s">
        <v>13400</v>
      </c>
      <c r="B1362" s="49">
        <v>0</v>
      </c>
      <c r="C1362" s="49"/>
      <c r="D1362" s="72" t="s">
        <v>717</v>
      </c>
      <c r="E1362" s="49" t="s">
        <v>3754</v>
      </c>
      <c r="F1362" s="49"/>
      <c r="G1362" s="49"/>
      <c r="H1362" s="49" t="s">
        <v>13401</v>
      </c>
      <c r="I1362" s="49" t="s">
        <v>13404</v>
      </c>
      <c r="J1362" s="49" t="s">
        <v>13402</v>
      </c>
      <c r="K1362" s="49" t="s">
        <v>13403</v>
      </c>
      <c r="L1362" s="49">
        <v>0</v>
      </c>
      <c r="M1362" s="49" t="s">
        <v>2484</v>
      </c>
      <c r="N1362" s="49" t="s">
        <v>13405</v>
      </c>
      <c r="O1362" s="49">
        <v>5</v>
      </c>
      <c r="P1362" s="49" t="s">
        <v>13406</v>
      </c>
      <c r="Q1362" s="49">
        <v>0</v>
      </c>
      <c r="R1362" s="49" t="s">
        <v>13407</v>
      </c>
      <c r="S1362" s="49" t="s">
        <v>13408</v>
      </c>
      <c r="T1362" s="49" t="s">
        <v>13409</v>
      </c>
      <c r="U1362" s="49" t="s">
        <v>670</v>
      </c>
      <c r="V1362" s="49" t="e">
        <v>#REF!</v>
      </c>
      <c r="AC1362" s="49"/>
      <c r="AD1362" s="49"/>
    </row>
    <row r="1363" spans="1:30" hidden="1" x14ac:dyDescent="0.3">
      <c r="A1363" s="49" t="s">
        <v>13410</v>
      </c>
      <c r="B1363" s="49">
        <v>0</v>
      </c>
      <c r="C1363" s="49"/>
      <c r="D1363" s="72" t="s">
        <v>717</v>
      </c>
      <c r="E1363" s="49" t="s">
        <v>3754</v>
      </c>
      <c r="F1363" s="49"/>
      <c r="G1363" s="49"/>
      <c r="H1363" s="49" t="s">
        <v>13411</v>
      </c>
      <c r="I1363" s="49" t="s">
        <v>13414</v>
      </c>
      <c r="J1363" s="49" t="s">
        <v>13412</v>
      </c>
      <c r="K1363" s="49" t="s">
        <v>13413</v>
      </c>
      <c r="L1363" s="49">
        <v>0</v>
      </c>
      <c r="M1363" s="49" t="s">
        <v>2484</v>
      </c>
      <c r="N1363" s="49" t="s">
        <v>3949</v>
      </c>
      <c r="O1363" s="49">
        <v>30</v>
      </c>
      <c r="P1363" s="49" t="s">
        <v>13415</v>
      </c>
      <c r="Q1363" s="49">
        <v>0</v>
      </c>
      <c r="R1363" s="49" t="s">
        <v>13416</v>
      </c>
      <c r="S1363" s="49" t="s">
        <v>13417</v>
      </c>
      <c r="T1363" s="49" t="s">
        <v>13418</v>
      </c>
      <c r="U1363" s="49" t="s">
        <v>655</v>
      </c>
      <c r="V1363" s="49" t="e">
        <v>#REF!</v>
      </c>
      <c r="AC1363" s="49"/>
      <c r="AD1363" s="49"/>
    </row>
    <row r="1364" spans="1:30" hidden="1" x14ac:dyDescent="0.3">
      <c r="A1364" s="49" t="s">
        <v>13419</v>
      </c>
      <c r="B1364" s="49">
        <v>0</v>
      </c>
      <c r="C1364" s="49"/>
      <c r="D1364" s="72" t="s">
        <v>717</v>
      </c>
      <c r="E1364" s="49" t="s">
        <v>3754</v>
      </c>
      <c r="F1364" s="49"/>
      <c r="G1364" s="49"/>
      <c r="H1364" s="49" t="s">
        <v>13420</v>
      </c>
      <c r="I1364" s="49" t="s">
        <v>11448</v>
      </c>
      <c r="J1364" s="49" t="s">
        <v>11446</v>
      </c>
      <c r="K1364" s="49" t="s">
        <v>13421</v>
      </c>
      <c r="L1364" s="49">
        <v>0</v>
      </c>
      <c r="M1364" s="49" t="s">
        <v>4156</v>
      </c>
      <c r="N1364" s="49" t="s">
        <v>818</v>
      </c>
      <c r="O1364" s="49">
        <v>8</v>
      </c>
      <c r="P1364" s="49" t="s">
        <v>13422</v>
      </c>
      <c r="Q1364" s="49">
        <v>0</v>
      </c>
      <c r="R1364" s="49" t="s">
        <v>13423</v>
      </c>
      <c r="S1364" s="49" t="s">
        <v>13424</v>
      </c>
      <c r="T1364" s="49" t="s">
        <v>13425</v>
      </c>
      <c r="U1364" s="49" t="s">
        <v>670</v>
      </c>
      <c r="V1364" s="49" t="e">
        <v>#REF!</v>
      </c>
      <c r="AC1364" s="49"/>
      <c r="AD1364" s="49"/>
    </row>
    <row r="1365" spans="1:30" hidden="1" x14ac:dyDescent="0.3">
      <c r="A1365" s="49" t="s">
        <v>13426</v>
      </c>
      <c r="B1365" s="49">
        <v>0</v>
      </c>
      <c r="C1365" s="49"/>
      <c r="D1365" s="72" t="s">
        <v>717</v>
      </c>
      <c r="E1365" s="49" t="s">
        <v>3754</v>
      </c>
      <c r="F1365" s="49"/>
      <c r="G1365" s="49"/>
      <c r="H1365" s="49" t="s">
        <v>13427</v>
      </c>
      <c r="I1365" s="49" t="s">
        <v>13430</v>
      </c>
      <c r="J1365" s="49" t="s">
        <v>13428</v>
      </c>
      <c r="K1365" s="49" t="s">
        <v>13429</v>
      </c>
      <c r="L1365" s="49">
        <v>0</v>
      </c>
      <c r="M1365" s="49" t="s">
        <v>1865</v>
      </c>
      <c r="N1365" s="49" t="s">
        <v>13431</v>
      </c>
      <c r="O1365" s="49">
        <v>3</v>
      </c>
      <c r="P1365" s="49" t="s">
        <v>13432</v>
      </c>
      <c r="Q1365" s="49">
        <v>0</v>
      </c>
      <c r="R1365" s="49" t="s">
        <v>13433</v>
      </c>
      <c r="S1365" s="49" t="s">
        <v>13434</v>
      </c>
      <c r="T1365" s="49" t="s">
        <v>13435</v>
      </c>
      <c r="U1365" s="49" t="s">
        <v>655</v>
      </c>
      <c r="V1365" s="49" t="e">
        <v>#REF!</v>
      </c>
      <c r="AC1365" s="49"/>
      <c r="AD1365" s="49"/>
    </row>
    <row r="1366" spans="1:30" hidden="1" x14ac:dyDescent="0.3">
      <c r="A1366" s="49" t="s">
        <v>13436</v>
      </c>
      <c r="B1366" s="49">
        <v>0</v>
      </c>
      <c r="C1366" s="49"/>
      <c r="D1366" s="72" t="s">
        <v>717</v>
      </c>
      <c r="E1366" s="49" t="s">
        <v>3754</v>
      </c>
      <c r="F1366" s="49"/>
      <c r="G1366" s="49"/>
      <c r="H1366" s="49" t="s">
        <v>13437</v>
      </c>
      <c r="I1366" s="49" t="s">
        <v>13440</v>
      </c>
      <c r="J1366" s="49" t="s">
        <v>13438</v>
      </c>
      <c r="K1366" s="49" t="s">
        <v>13439</v>
      </c>
      <c r="L1366" s="49">
        <v>0</v>
      </c>
      <c r="M1366" s="49" t="s">
        <v>1826</v>
      </c>
      <c r="N1366" s="49" t="s">
        <v>1472</v>
      </c>
      <c r="O1366" s="49">
        <v>5</v>
      </c>
      <c r="P1366" s="49" t="s">
        <v>13441</v>
      </c>
      <c r="Q1366" s="49">
        <v>0</v>
      </c>
      <c r="R1366" s="49" t="s">
        <v>13442</v>
      </c>
      <c r="S1366" s="49" t="s">
        <v>13443</v>
      </c>
      <c r="T1366" s="49" t="s">
        <v>13444</v>
      </c>
      <c r="U1366" s="49" t="s">
        <v>655</v>
      </c>
      <c r="V1366" s="49" t="e">
        <v>#REF!</v>
      </c>
      <c r="AC1366" s="49"/>
      <c r="AD1366" s="49"/>
    </row>
    <row r="1367" spans="1:30" hidden="1" x14ac:dyDescent="0.3">
      <c r="A1367" s="49" t="s">
        <v>13445</v>
      </c>
      <c r="B1367" s="49">
        <v>0</v>
      </c>
      <c r="C1367" s="49"/>
      <c r="D1367" s="72" t="s">
        <v>717</v>
      </c>
      <c r="E1367" s="49" t="s">
        <v>3754</v>
      </c>
      <c r="F1367" s="49"/>
      <c r="G1367" s="49"/>
      <c r="H1367" s="49" t="s">
        <v>13446</v>
      </c>
      <c r="I1367" s="49" t="s">
        <v>13449</v>
      </c>
      <c r="J1367" s="49" t="s">
        <v>13447</v>
      </c>
      <c r="K1367" s="49" t="s">
        <v>13448</v>
      </c>
      <c r="L1367" s="49">
        <v>0</v>
      </c>
      <c r="M1367" s="49" t="s">
        <v>1777</v>
      </c>
      <c r="N1367" s="49" t="s">
        <v>12075</v>
      </c>
      <c r="O1367" s="49">
        <v>149</v>
      </c>
      <c r="P1367" s="49" t="s">
        <v>13450</v>
      </c>
      <c r="Q1367" s="49">
        <v>0</v>
      </c>
      <c r="R1367" s="49" t="s">
        <v>13451</v>
      </c>
      <c r="S1367" s="49" t="s">
        <v>13452</v>
      </c>
      <c r="T1367" s="49" t="s">
        <v>646</v>
      </c>
      <c r="U1367" s="49" t="s">
        <v>670</v>
      </c>
      <c r="V1367" s="49" t="e">
        <v>#REF!</v>
      </c>
      <c r="AC1367" s="49"/>
      <c r="AD1367" s="49"/>
    </row>
    <row r="1368" spans="1:30" hidden="1" x14ac:dyDescent="0.3">
      <c r="A1368" s="49" t="s">
        <v>1601</v>
      </c>
      <c r="B1368" s="49">
        <v>0</v>
      </c>
      <c r="C1368" s="49"/>
      <c r="D1368" s="72" t="s">
        <v>717</v>
      </c>
      <c r="E1368" s="49" t="s">
        <v>3754</v>
      </c>
      <c r="F1368" s="49"/>
      <c r="G1368" s="49"/>
      <c r="H1368" s="49" t="s">
        <v>1603</v>
      </c>
      <c r="I1368" s="49" t="s">
        <v>1604</v>
      </c>
      <c r="J1368" s="49" t="s">
        <v>729</v>
      </c>
      <c r="K1368" s="49" t="s">
        <v>1605</v>
      </c>
      <c r="L1368" s="49">
        <v>0</v>
      </c>
      <c r="M1368" s="49" t="s">
        <v>2484</v>
      </c>
      <c r="N1368" s="49" t="s">
        <v>731</v>
      </c>
      <c r="O1368" s="49">
        <v>2</v>
      </c>
      <c r="P1368" s="49" t="s">
        <v>1606</v>
      </c>
      <c r="Q1368" s="49">
        <v>0</v>
      </c>
      <c r="R1368" s="49" t="s">
        <v>1607</v>
      </c>
      <c r="S1368" s="49" t="s">
        <v>1608</v>
      </c>
      <c r="T1368" s="49" t="s">
        <v>13453</v>
      </c>
      <c r="U1368" s="49" t="s">
        <v>670</v>
      </c>
      <c r="V1368" s="49" t="e">
        <v>#REF!</v>
      </c>
      <c r="AC1368" s="49"/>
      <c r="AD1368" s="49"/>
    </row>
    <row r="1369" spans="1:30" hidden="1" x14ac:dyDescent="0.3">
      <c r="A1369" s="49" t="s">
        <v>13454</v>
      </c>
      <c r="B1369" s="49">
        <v>0</v>
      </c>
      <c r="C1369" s="49"/>
      <c r="D1369" s="72" t="s">
        <v>717</v>
      </c>
      <c r="E1369" s="49" t="s">
        <v>3754</v>
      </c>
      <c r="F1369" s="49"/>
      <c r="G1369" s="49"/>
      <c r="H1369" s="49" t="s">
        <v>13455</v>
      </c>
      <c r="I1369" s="49" t="s">
        <v>13458</v>
      </c>
      <c r="J1369" s="49" t="s">
        <v>13456</v>
      </c>
      <c r="K1369" s="49" t="s">
        <v>13457</v>
      </c>
      <c r="L1369" s="49">
        <v>0</v>
      </c>
      <c r="M1369" s="49" t="s">
        <v>2220</v>
      </c>
      <c r="N1369" s="49" t="s">
        <v>818</v>
      </c>
      <c r="O1369" s="49">
        <v>10</v>
      </c>
      <c r="P1369" s="49" t="s">
        <v>13459</v>
      </c>
      <c r="Q1369" s="49">
        <v>0</v>
      </c>
      <c r="R1369" s="49" t="s">
        <v>13460</v>
      </c>
      <c r="S1369" s="49" t="s">
        <v>13461</v>
      </c>
      <c r="T1369" s="49" t="s">
        <v>13462</v>
      </c>
      <c r="U1369" s="49" t="s">
        <v>670</v>
      </c>
      <c r="V1369" s="49" t="e">
        <v>#REF!</v>
      </c>
      <c r="AC1369" s="49"/>
      <c r="AD1369" s="49"/>
    </row>
    <row r="1370" spans="1:30" hidden="1" x14ac:dyDescent="0.3">
      <c r="A1370" s="49" t="s">
        <v>13463</v>
      </c>
      <c r="B1370" s="49">
        <v>0</v>
      </c>
      <c r="C1370" s="49"/>
      <c r="D1370" s="72" t="s">
        <v>717</v>
      </c>
      <c r="E1370" s="49" t="s">
        <v>3754</v>
      </c>
      <c r="F1370" s="49"/>
      <c r="G1370" s="49"/>
      <c r="H1370" s="49" t="s">
        <v>13464</v>
      </c>
      <c r="I1370" s="49" t="s">
        <v>13467</v>
      </c>
      <c r="J1370" s="49" t="s">
        <v>13465</v>
      </c>
      <c r="K1370" s="49" t="s">
        <v>13466</v>
      </c>
      <c r="L1370" s="49">
        <v>0</v>
      </c>
      <c r="M1370" s="49" t="s">
        <v>2484</v>
      </c>
      <c r="N1370" s="49" t="s">
        <v>13468</v>
      </c>
      <c r="O1370" s="49">
        <v>8</v>
      </c>
      <c r="P1370" s="49" t="s">
        <v>13469</v>
      </c>
      <c r="Q1370" s="49">
        <v>0</v>
      </c>
      <c r="R1370" s="49" t="s">
        <v>13470</v>
      </c>
      <c r="S1370" s="49" t="s">
        <v>13471</v>
      </c>
      <c r="T1370" s="49" t="s">
        <v>13472</v>
      </c>
      <c r="U1370" s="49" t="s">
        <v>655</v>
      </c>
      <c r="V1370" s="49" t="e">
        <v>#REF!</v>
      </c>
      <c r="AC1370" s="49"/>
      <c r="AD1370" s="49"/>
    </row>
    <row r="1371" spans="1:30" hidden="1" x14ac:dyDescent="0.3">
      <c r="A1371" s="49" t="s">
        <v>13473</v>
      </c>
      <c r="B1371" s="49">
        <v>0</v>
      </c>
      <c r="C1371" s="49"/>
      <c r="D1371" s="72" t="s">
        <v>717</v>
      </c>
      <c r="E1371" s="49" t="s">
        <v>3754</v>
      </c>
      <c r="F1371" s="49"/>
      <c r="G1371" s="49"/>
      <c r="H1371" s="49" t="s">
        <v>13474</v>
      </c>
      <c r="I1371" s="49" t="s">
        <v>13477</v>
      </c>
      <c r="J1371" s="49" t="s">
        <v>13475</v>
      </c>
      <c r="K1371" s="49" t="s">
        <v>13476</v>
      </c>
      <c r="L1371" s="49">
        <v>0</v>
      </c>
      <c r="M1371" s="49" t="s">
        <v>1826</v>
      </c>
      <c r="N1371" s="49" t="s">
        <v>6970</v>
      </c>
      <c r="O1371" s="49">
        <v>2</v>
      </c>
      <c r="P1371" s="49" t="s">
        <v>13478</v>
      </c>
      <c r="Q1371" s="49">
        <v>0</v>
      </c>
      <c r="R1371" s="49" t="s">
        <v>13479</v>
      </c>
      <c r="S1371" s="49" t="s">
        <v>13480</v>
      </c>
      <c r="T1371" s="49" t="s">
        <v>646</v>
      </c>
      <c r="U1371" s="49" t="s">
        <v>670</v>
      </c>
      <c r="V1371" s="49" t="e">
        <v>#REF!</v>
      </c>
      <c r="AC1371" s="49"/>
      <c r="AD1371" s="49"/>
    </row>
    <row r="1372" spans="1:30" hidden="1" x14ac:dyDescent="0.3">
      <c r="A1372" s="49" t="s">
        <v>13481</v>
      </c>
      <c r="B1372" s="49">
        <v>0</v>
      </c>
      <c r="C1372" s="49"/>
      <c r="D1372" s="72" t="s">
        <v>717</v>
      </c>
      <c r="E1372" s="49" t="s">
        <v>3754</v>
      </c>
      <c r="F1372" s="49"/>
      <c r="G1372" s="49"/>
      <c r="H1372" s="49" t="s">
        <v>13482</v>
      </c>
      <c r="I1372" s="49" t="s">
        <v>13485</v>
      </c>
      <c r="J1372" s="49" t="s">
        <v>13483</v>
      </c>
      <c r="K1372" s="49" t="s">
        <v>13484</v>
      </c>
      <c r="L1372" s="49">
        <v>0</v>
      </c>
      <c r="M1372" s="49" t="s">
        <v>2484</v>
      </c>
      <c r="N1372" s="49" t="s">
        <v>818</v>
      </c>
      <c r="P1372" s="49" t="s">
        <v>13486</v>
      </c>
      <c r="Q1372" s="49">
        <v>0</v>
      </c>
      <c r="R1372" s="49" t="s">
        <v>12554</v>
      </c>
      <c r="S1372" s="49" t="s">
        <v>13487</v>
      </c>
      <c r="T1372" s="49" t="s">
        <v>13488</v>
      </c>
      <c r="U1372" s="49" t="s">
        <v>670</v>
      </c>
      <c r="V1372" s="49" t="e">
        <v>#REF!</v>
      </c>
      <c r="AC1372" s="49"/>
      <c r="AD1372" s="49"/>
    </row>
    <row r="1373" spans="1:30" hidden="1" x14ac:dyDescent="0.3">
      <c r="A1373" s="49" t="s">
        <v>13489</v>
      </c>
      <c r="B1373" s="49">
        <v>0</v>
      </c>
      <c r="C1373" s="49"/>
      <c r="D1373" s="72" t="s">
        <v>717</v>
      </c>
      <c r="E1373" s="49" t="s">
        <v>3754</v>
      </c>
      <c r="F1373" s="49"/>
      <c r="G1373" s="49"/>
      <c r="H1373" s="49" t="s">
        <v>13490</v>
      </c>
      <c r="I1373" s="49" t="s">
        <v>13493</v>
      </c>
      <c r="J1373" s="49" t="s">
        <v>13491</v>
      </c>
      <c r="K1373" s="49" t="s">
        <v>13492</v>
      </c>
      <c r="L1373" s="49">
        <v>0</v>
      </c>
      <c r="M1373" s="49" t="s">
        <v>1826</v>
      </c>
      <c r="N1373" s="49" t="s">
        <v>2826</v>
      </c>
      <c r="O1373" s="49">
        <v>11</v>
      </c>
      <c r="P1373" s="49" t="s">
        <v>13494</v>
      </c>
      <c r="Q1373" s="49">
        <v>0</v>
      </c>
      <c r="R1373" s="49" t="s">
        <v>13495</v>
      </c>
      <c r="S1373" s="49" t="s">
        <v>13496</v>
      </c>
      <c r="T1373" s="49" t="s">
        <v>13497</v>
      </c>
      <c r="U1373" s="49" t="s">
        <v>655</v>
      </c>
      <c r="V1373" s="49" t="e">
        <v>#REF!</v>
      </c>
      <c r="AC1373" s="49"/>
      <c r="AD1373" s="49"/>
    </row>
    <row r="1374" spans="1:30" hidden="1" x14ac:dyDescent="0.3">
      <c r="A1374" s="49" t="s">
        <v>13498</v>
      </c>
      <c r="B1374" s="49">
        <v>0</v>
      </c>
      <c r="C1374" s="49"/>
      <c r="D1374" s="72" t="s">
        <v>717</v>
      </c>
      <c r="E1374" s="49" t="s">
        <v>3754</v>
      </c>
      <c r="F1374" s="49"/>
      <c r="G1374" s="49"/>
      <c r="H1374" s="49" t="s">
        <v>13499</v>
      </c>
      <c r="I1374" s="49" t="s">
        <v>13502</v>
      </c>
      <c r="J1374" s="49" t="s">
        <v>13500</v>
      </c>
      <c r="K1374" s="49" t="s">
        <v>13501</v>
      </c>
      <c r="L1374" s="49">
        <v>0</v>
      </c>
      <c r="M1374" s="49" t="s">
        <v>2142</v>
      </c>
      <c r="N1374" s="49" t="s">
        <v>13503</v>
      </c>
      <c r="O1374" s="49">
        <v>45</v>
      </c>
      <c r="P1374" s="49" t="s">
        <v>13504</v>
      </c>
      <c r="Q1374" s="49">
        <v>0</v>
      </c>
      <c r="R1374" s="49" t="s">
        <v>13505</v>
      </c>
      <c r="S1374" s="49" t="s">
        <v>13506</v>
      </c>
      <c r="T1374" s="49" t="s">
        <v>13507</v>
      </c>
      <c r="U1374" s="49" t="s">
        <v>655</v>
      </c>
      <c r="V1374" s="49" t="e">
        <v>#REF!</v>
      </c>
      <c r="AC1374" s="49"/>
      <c r="AD1374" s="49"/>
    </row>
    <row r="1375" spans="1:30" hidden="1" x14ac:dyDescent="0.3">
      <c r="A1375" s="49" t="s">
        <v>13508</v>
      </c>
      <c r="B1375" s="49">
        <v>0</v>
      </c>
      <c r="C1375" s="49"/>
      <c r="D1375" s="72" t="s">
        <v>717</v>
      </c>
      <c r="E1375" s="49" t="s">
        <v>3754</v>
      </c>
      <c r="F1375" s="49"/>
      <c r="G1375" s="49"/>
      <c r="H1375" s="49" t="s">
        <v>13509</v>
      </c>
      <c r="I1375" s="49" t="s">
        <v>13512</v>
      </c>
      <c r="J1375" s="49" t="s">
        <v>13510</v>
      </c>
      <c r="K1375" s="49" t="s">
        <v>13511</v>
      </c>
      <c r="L1375" s="49">
        <v>0</v>
      </c>
      <c r="M1375" s="49" t="s">
        <v>1826</v>
      </c>
      <c r="N1375" s="49" t="s">
        <v>3949</v>
      </c>
      <c r="O1375" s="49">
        <v>8</v>
      </c>
      <c r="P1375" s="49" t="s">
        <v>13513</v>
      </c>
      <c r="Q1375" s="49">
        <v>0</v>
      </c>
      <c r="R1375" s="49" t="s">
        <v>13514</v>
      </c>
      <c r="S1375" s="49" t="s">
        <v>13515</v>
      </c>
      <c r="T1375" s="49" t="s">
        <v>13516</v>
      </c>
      <c r="U1375" s="49" t="s">
        <v>655</v>
      </c>
      <c r="V1375" s="49" t="e">
        <v>#REF!</v>
      </c>
      <c r="AC1375" s="49"/>
      <c r="AD1375" s="49"/>
    </row>
    <row r="1376" spans="1:30" hidden="1" x14ac:dyDescent="0.3">
      <c r="A1376" s="49" t="s">
        <v>13517</v>
      </c>
      <c r="B1376" s="49">
        <v>0</v>
      </c>
      <c r="C1376" s="49"/>
      <c r="D1376" s="72" t="s">
        <v>717</v>
      </c>
      <c r="E1376" s="49" t="s">
        <v>3754</v>
      </c>
      <c r="F1376" s="49"/>
      <c r="G1376" s="49"/>
      <c r="H1376" s="49" t="s">
        <v>13518</v>
      </c>
      <c r="I1376" s="49" t="s">
        <v>13521</v>
      </c>
      <c r="J1376" s="49" t="s">
        <v>13519</v>
      </c>
      <c r="K1376" s="49" t="s">
        <v>13520</v>
      </c>
      <c r="L1376" s="49">
        <v>0</v>
      </c>
      <c r="M1376" s="49" t="s">
        <v>1777</v>
      </c>
      <c r="N1376" s="49" t="s">
        <v>13522</v>
      </c>
      <c r="O1376" s="49">
        <v>12</v>
      </c>
      <c r="P1376" s="49" t="s">
        <v>13523</v>
      </c>
      <c r="Q1376" s="49">
        <v>0</v>
      </c>
      <c r="R1376" s="49" t="s">
        <v>13524</v>
      </c>
      <c r="S1376" s="49" t="s">
        <v>13525</v>
      </c>
      <c r="T1376" s="49" t="s">
        <v>646</v>
      </c>
      <c r="U1376" s="49" t="s">
        <v>670</v>
      </c>
      <c r="V1376" s="49" t="e">
        <v>#REF!</v>
      </c>
      <c r="AC1376" s="49"/>
      <c r="AD1376" s="49"/>
    </row>
    <row r="1377" spans="1:30" hidden="1" x14ac:dyDescent="0.3">
      <c r="A1377" s="49" t="s">
        <v>13526</v>
      </c>
      <c r="B1377" s="49">
        <v>0</v>
      </c>
      <c r="C1377" s="49"/>
      <c r="D1377" s="72" t="s">
        <v>717</v>
      </c>
      <c r="E1377" s="49" t="s">
        <v>3754</v>
      </c>
      <c r="F1377" s="49"/>
      <c r="G1377" s="49"/>
      <c r="H1377" s="49" t="s">
        <v>13527</v>
      </c>
      <c r="I1377" s="49" t="s">
        <v>13530</v>
      </c>
      <c r="J1377" s="49" t="s">
        <v>13528</v>
      </c>
      <c r="K1377" s="49" t="s">
        <v>13529</v>
      </c>
      <c r="L1377" s="49">
        <v>0</v>
      </c>
      <c r="M1377" s="49" t="s">
        <v>1764</v>
      </c>
      <c r="N1377" s="49" t="s">
        <v>2826</v>
      </c>
      <c r="O1377" s="49">
        <v>41</v>
      </c>
      <c r="P1377" s="49" t="s">
        <v>13531</v>
      </c>
      <c r="Q1377" s="49">
        <v>0</v>
      </c>
      <c r="R1377" s="49" t="s">
        <v>13532</v>
      </c>
      <c r="S1377" s="49" t="s">
        <v>13533</v>
      </c>
      <c r="T1377" s="49" t="s">
        <v>13534</v>
      </c>
      <c r="U1377" s="49" t="s">
        <v>655</v>
      </c>
      <c r="V1377" s="49" t="e">
        <v>#REF!</v>
      </c>
      <c r="AC1377" s="49"/>
      <c r="AD1377" s="49"/>
    </row>
    <row r="1378" spans="1:30" hidden="1" x14ac:dyDescent="0.3">
      <c r="A1378" s="49" t="s">
        <v>13535</v>
      </c>
      <c r="B1378" s="49">
        <v>0</v>
      </c>
      <c r="C1378" s="49"/>
      <c r="D1378" s="72" t="s">
        <v>717</v>
      </c>
      <c r="E1378" s="49" t="s">
        <v>3754</v>
      </c>
      <c r="F1378" s="49"/>
      <c r="G1378" s="49"/>
      <c r="H1378" s="49" t="s">
        <v>13536</v>
      </c>
      <c r="I1378" s="49" t="s">
        <v>5499</v>
      </c>
      <c r="J1378" s="49" t="s">
        <v>5497</v>
      </c>
      <c r="K1378" s="49" t="s">
        <v>13537</v>
      </c>
      <c r="L1378" s="49">
        <v>0</v>
      </c>
      <c r="M1378" s="49" t="s">
        <v>2142</v>
      </c>
      <c r="N1378" s="49" t="s">
        <v>13538</v>
      </c>
      <c r="O1378" s="49">
        <v>17</v>
      </c>
      <c r="P1378" s="49" t="s">
        <v>13539</v>
      </c>
      <c r="Q1378" s="49">
        <v>0</v>
      </c>
      <c r="R1378" s="49" t="s">
        <v>13540</v>
      </c>
      <c r="S1378" s="49" t="s">
        <v>13541</v>
      </c>
      <c r="T1378" s="49" t="s">
        <v>646</v>
      </c>
      <c r="U1378" s="49" t="s">
        <v>670</v>
      </c>
      <c r="V1378" s="49" t="e">
        <v>#REF!</v>
      </c>
      <c r="AC1378" s="49"/>
      <c r="AD1378" s="49"/>
    </row>
    <row r="1379" spans="1:30" hidden="1" x14ac:dyDescent="0.3">
      <c r="A1379" s="49" t="s">
        <v>13542</v>
      </c>
      <c r="B1379" s="49">
        <v>0</v>
      </c>
      <c r="C1379" s="49"/>
      <c r="D1379" s="72" t="s">
        <v>717</v>
      </c>
      <c r="E1379" s="49" t="s">
        <v>3754</v>
      </c>
      <c r="F1379" s="49"/>
      <c r="G1379" s="49"/>
      <c r="H1379" s="49" t="s">
        <v>13543</v>
      </c>
      <c r="I1379" s="49" t="s">
        <v>13546</v>
      </c>
      <c r="J1379" s="49" t="s">
        <v>13544</v>
      </c>
      <c r="K1379" s="49" t="s">
        <v>13545</v>
      </c>
      <c r="L1379" s="49">
        <v>0</v>
      </c>
      <c r="M1379" s="49" t="s">
        <v>4156</v>
      </c>
      <c r="N1379" s="49" t="s">
        <v>13547</v>
      </c>
      <c r="O1379" s="49">
        <v>6</v>
      </c>
      <c r="P1379" s="49" t="s">
        <v>13548</v>
      </c>
      <c r="Q1379" s="49">
        <v>0</v>
      </c>
      <c r="R1379" s="49" t="s">
        <v>13549</v>
      </c>
      <c r="S1379" s="49" t="s">
        <v>13550</v>
      </c>
      <c r="T1379" s="49" t="s">
        <v>13551</v>
      </c>
      <c r="U1379" s="49" t="s">
        <v>791</v>
      </c>
      <c r="V1379" s="49" t="e">
        <v>#REF!</v>
      </c>
      <c r="AC1379" s="49"/>
      <c r="AD1379" s="49"/>
    </row>
    <row r="1380" spans="1:30" hidden="1" x14ac:dyDescent="0.3">
      <c r="A1380" s="49" t="s">
        <v>13552</v>
      </c>
      <c r="B1380" s="49">
        <v>0</v>
      </c>
      <c r="C1380" s="49"/>
      <c r="D1380" s="72" t="s">
        <v>717</v>
      </c>
      <c r="E1380" s="49" t="s">
        <v>3754</v>
      </c>
      <c r="F1380" s="49"/>
      <c r="G1380" s="49"/>
      <c r="H1380" s="49" t="s">
        <v>13553</v>
      </c>
      <c r="I1380" s="49" t="s">
        <v>13556</v>
      </c>
      <c r="J1380" s="49" t="s">
        <v>13554</v>
      </c>
      <c r="K1380" s="49" t="s">
        <v>13555</v>
      </c>
      <c r="L1380" s="49">
        <v>0</v>
      </c>
      <c r="M1380" s="49" t="s">
        <v>4114</v>
      </c>
      <c r="N1380" s="49" t="s">
        <v>13557</v>
      </c>
      <c r="O1380" s="49">
        <v>17</v>
      </c>
      <c r="P1380" s="49" t="s">
        <v>13558</v>
      </c>
      <c r="Q1380" s="49">
        <v>0</v>
      </c>
      <c r="R1380" s="49" t="s">
        <v>13559</v>
      </c>
      <c r="S1380" s="49" t="s">
        <v>13560</v>
      </c>
      <c r="T1380" s="49" t="s">
        <v>646</v>
      </c>
      <c r="U1380" s="49" t="s">
        <v>670</v>
      </c>
      <c r="V1380" s="49" t="e">
        <v>#REF!</v>
      </c>
      <c r="AC1380" s="49"/>
      <c r="AD1380" s="49"/>
    </row>
    <row r="1381" spans="1:30" hidden="1" x14ac:dyDescent="0.3">
      <c r="A1381" s="49" t="s">
        <v>13561</v>
      </c>
      <c r="B1381" s="49">
        <v>0</v>
      </c>
      <c r="C1381" s="49"/>
      <c r="D1381" s="72" t="s">
        <v>717</v>
      </c>
      <c r="E1381" s="49" t="s">
        <v>3754</v>
      </c>
      <c r="F1381" s="49"/>
      <c r="G1381" s="49"/>
      <c r="H1381" s="49" t="s">
        <v>13562</v>
      </c>
      <c r="I1381" s="49" t="s">
        <v>13565</v>
      </c>
      <c r="J1381" s="49" t="s">
        <v>13563</v>
      </c>
      <c r="K1381" s="49" t="s">
        <v>13564</v>
      </c>
      <c r="L1381" s="49">
        <v>0</v>
      </c>
      <c r="M1381" s="49" t="s">
        <v>6445</v>
      </c>
      <c r="N1381" s="49" t="s">
        <v>13566</v>
      </c>
      <c r="O1381" s="49">
        <v>36</v>
      </c>
      <c r="P1381" s="49" t="s">
        <v>13567</v>
      </c>
      <c r="Q1381" s="49">
        <v>0</v>
      </c>
      <c r="R1381" s="49" t="s">
        <v>13568</v>
      </c>
      <c r="S1381" s="49" t="s">
        <v>13569</v>
      </c>
      <c r="T1381" s="49" t="s">
        <v>13570</v>
      </c>
      <c r="U1381" s="49" t="s">
        <v>655</v>
      </c>
      <c r="V1381" s="49" t="e">
        <v>#REF!</v>
      </c>
      <c r="AC1381" s="49"/>
      <c r="AD1381" s="49"/>
    </row>
    <row r="1382" spans="1:30" hidden="1" x14ac:dyDescent="0.3">
      <c r="A1382" s="49" t="s">
        <v>13571</v>
      </c>
      <c r="B1382" s="49">
        <v>0</v>
      </c>
      <c r="C1382" s="49"/>
      <c r="D1382" s="72" t="s">
        <v>717</v>
      </c>
      <c r="E1382" s="49" t="s">
        <v>3754</v>
      </c>
      <c r="F1382" s="49"/>
      <c r="G1382" s="49"/>
      <c r="H1382" s="49" t="s">
        <v>13572</v>
      </c>
      <c r="I1382" s="49" t="s">
        <v>13575</v>
      </c>
      <c r="J1382" s="49" t="s">
        <v>13573</v>
      </c>
      <c r="K1382" s="49" t="s">
        <v>13574</v>
      </c>
      <c r="L1382" s="49">
        <v>0</v>
      </c>
      <c r="M1382" s="49" t="s">
        <v>1826</v>
      </c>
      <c r="N1382" s="49" t="s">
        <v>4830</v>
      </c>
      <c r="O1382" s="49">
        <v>7</v>
      </c>
      <c r="P1382" s="49" t="s">
        <v>13576</v>
      </c>
      <c r="Q1382" s="49">
        <v>0</v>
      </c>
      <c r="R1382" s="49" t="s">
        <v>13577</v>
      </c>
      <c r="S1382" s="49" t="s">
        <v>13578</v>
      </c>
      <c r="T1382" s="49" t="s">
        <v>13579</v>
      </c>
      <c r="U1382" s="49" t="s">
        <v>655</v>
      </c>
      <c r="V1382" s="49" t="e">
        <v>#REF!</v>
      </c>
      <c r="AC1382" s="49"/>
      <c r="AD1382" s="49"/>
    </row>
    <row r="1383" spans="1:30" hidden="1" x14ac:dyDescent="0.3">
      <c r="A1383" s="49" t="s">
        <v>13580</v>
      </c>
      <c r="B1383" s="49">
        <v>0</v>
      </c>
      <c r="C1383" s="49"/>
      <c r="D1383" s="72" t="s">
        <v>717</v>
      </c>
      <c r="E1383" s="49" t="s">
        <v>3754</v>
      </c>
      <c r="F1383" s="49"/>
      <c r="G1383" s="49"/>
      <c r="H1383" s="49" t="s">
        <v>646</v>
      </c>
      <c r="I1383" s="49" t="s">
        <v>13583</v>
      </c>
      <c r="J1383" s="49" t="s">
        <v>13581</v>
      </c>
      <c r="K1383" s="49" t="s">
        <v>13582</v>
      </c>
      <c r="L1383" s="49">
        <v>0</v>
      </c>
      <c r="M1383" s="49" t="s">
        <v>2484</v>
      </c>
      <c r="N1383" s="49" t="s">
        <v>13584</v>
      </c>
      <c r="O1383" s="49">
        <v>1</v>
      </c>
      <c r="P1383" s="49" t="s">
        <v>13585</v>
      </c>
      <c r="Q1383" s="49">
        <v>0</v>
      </c>
      <c r="R1383" s="49" t="s">
        <v>13586</v>
      </c>
      <c r="S1383" s="49" t="s">
        <v>13587</v>
      </c>
      <c r="T1383" s="49" t="s">
        <v>13588</v>
      </c>
      <c r="U1383" s="49" t="s">
        <v>670</v>
      </c>
      <c r="V1383" s="49" t="e">
        <v>#REF!</v>
      </c>
      <c r="AC1383" s="49"/>
      <c r="AD1383" s="49"/>
    </row>
    <row r="1384" spans="1:30" hidden="1" x14ac:dyDescent="0.3">
      <c r="A1384" s="49" t="s">
        <v>13589</v>
      </c>
      <c r="B1384" s="49">
        <v>0</v>
      </c>
      <c r="C1384" s="49"/>
      <c r="D1384" s="72" t="s">
        <v>717</v>
      </c>
      <c r="E1384" s="49" t="s">
        <v>3754</v>
      </c>
      <c r="F1384" s="49"/>
      <c r="G1384" s="49"/>
      <c r="H1384" s="49" t="s">
        <v>13590</v>
      </c>
      <c r="I1384" s="49" t="s">
        <v>13593</v>
      </c>
      <c r="J1384" s="49" t="s">
        <v>13591</v>
      </c>
      <c r="K1384" s="49" t="s">
        <v>13592</v>
      </c>
      <c r="L1384" s="49">
        <v>0</v>
      </c>
      <c r="M1384" s="49" t="s">
        <v>4084</v>
      </c>
      <c r="N1384" s="49" t="s">
        <v>13594</v>
      </c>
      <c r="P1384" s="49" t="s">
        <v>13595</v>
      </c>
      <c r="Q1384" s="49">
        <v>0</v>
      </c>
      <c r="R1384" s="49" t="s">
        <v>13596</v>
      </c>
      <c r="S1384" s="49" t="s">
        <v>13597</v>
      </c>
      <c r="T1384" s="49" t="s">
        <v>13598</v>
      </c>
      <c r="U1384" s="49" t="s">
        <v>655</v>
      </c>
      <c r="V1384" s="49" t="e">
        <v>#REF!</v>
      </c>
      <c r="AC1384" s="49"/>
      <c r="AD1384" s="49"/>
    </row>
    <row r="1385" spans="1:30" hidden="1" x14ac:dyDescent="0.3">
      <c r="A1385" s="49" t="s">
        <v>13599</v>
      </c>
      <c r="B1385" s="49">
        <v>0</v>
      </c>
      <c r="C1385" s="49"/>
      <c r="D1385" s="72" t="s">
        <v>717</v>
      </c>
      <c r="E1385" s="49" t="s">
        <v>3754</v>
      </c>
      <c r="F1385" s="49"/>
      <c r="G1385" s="49"/>
      <c r="H1385" s="49" t="s">
        <v>646</v>
      </c>
      <c r="I1385" s="49" t="s">
        <v>13602</v>
      </c>
      <c r="J1385" s="49" t="s">
        <v>13600</v>
      </c>
      <c r="K1385" s="49" t="s">
        <v>13601</v>
      </c>
      <c r="L1385" s="49">
        <v>0</v>
      </c>
      <c r="M1385" s="49" t="s">
        <v>1817</v>
      </c>
      <c r="N1385" s="49" t="s">
        <v>13603</v>
      </c>
      <c r="O1385" s="49">
        <v>6</v>
      </c>
      <c r="P1385" s="49" t="s">
        <v>13604</v>
      </c>
      <c r="Q1385" s="49">
        <v>0</v>
      </c>
      <c r="R1385" s="49" t="s">
        <v>13605</v>
      </c>
      <c r="S1385" s="49" t="s">
        <v>13606</v>
      </c>
      <c r="T1385" s="49" t="s">
        <v>13607</v>
      </c>
      <c r="U1385" s="49" t="s">
        <v>655</v>
      </c>
      <c r="V1385" s="49" t="e">
        <v>#REF!</v>
      </c>
      <c r="AC1385" s="49"/>
      <c r="AD1385" s="49"/>
    </row>
    <row r="1386" spans="1:30" hidden="1" x14ac:dyDescent="0.3">
      <c r="A1386" s="49" t="s">
        <v>13608</v>
      </c>
      <c r="B1386" s="49">
        <v>0</v>
      </c>
      <c r="C1386" s="49"/>
      <c r="D1386" s="72" t="s">
        <v>717</v>
      </c>
      <c r="E1386" s="49" t="s">
        <v>3754</v>
      </c>
      <c r="F1386" s="49"/>
      <c r="G1386" s="49"/>
      <c r="H1386" s="49" t="s">
        <v>646</v>
      </c>
      <c r="I1386" s="49" t="s">
        <v>13611</v>
      </c>
      <c r="J1386" s="49" t="s">
        <v>13609</v>
      </c>
      <c r="K1386" s="49" t="s">
        <v>13610</v>
      </c>
      <c r="L1386" s="49">
        <v>0</v>
      </c>
      <c r="M1386" s="49" t="s">
        <v>2142</v>
      </c>
      <c r="N1386" s="49" t="s">
        <v>13612</v>
      </c>
      <c r="O1386" s="49">
        <v>5</v>
      </c>
      <c r="P1386" s="49" t="s">
        <v>13613</v>
      </c>
      <c r="Q1386" s="49">
        <v>0</v>
      </c>
      <c r="R1386" s="49" t="s">
        <v>13614</v>
      </c>
      <c r="S1386" s="49" t="s">
        <v>13615</v>
      </c>
      <c r="T1386" s="49" t="s">
        <v>646</v>
      </c>
      <c r="U1386" s="49" t="s">
        <v>670</v>
      </c>
      <c r="V1386" s="49" t="e">
        <v>#REF!</v>
      </c>
      <c r="AC1386" s="49"/>
      <c r="AD1386" s="49"/>
    </row>
    <row r="1387" spans="1:30" hidden="1" x14ac:dyDescent="0.3">
      <c r="A1387" s="49" t="s">
        <v>1499</v>
      </c>
      <c r="B1387" s="49">
        <v>0</v>
      </c>
      <c r="C1387" s="49"/>
      <c r="D1387" s="72" t="s">
        <v>717</v>
      </c>
      <c r="E1387" s="49" t="s">
        <v>3754</v>
      </c>
      <c r="F1387" s="49"/>
      <c r="G1387" s="49"/>
      <c r="H1387" s="49" t="s">
        <v>1501</v>
      </c>
      <c r="I1387" s="49" t="s">
        <v>1502</v>
      </c>
      <c r="J1387" s="49" t="s">
        <v>1503</v>
      </c>
      <c r="K1387" s="49" t="s">
        <v>1504</v>
      </c>
      <c r="L1387" s="49">
        <v>0</v>
      </c>
      <c r="M1387" s="49" t="s">
        <v>2484</v>
      </c>
      <c r="N1387" s="49" t="s">
        <v>1505</v>
      </c>
      <c r="O1387" s="49">
        <v>24</v>
      </c>
      <c r="P1387" s="49" t="s">
        <v>1506</v>
      </c>
      <c r="Q1387" s="49">
        <v>0</v>
      </c>
      <c r="R1387" s="49" t="s">
        <v>1507</v>
      </c>
      <c r="S1387" s="49" t="s">
        <v>1508</v>
      </c>
      <c r="T1387" s="49" t="s">
        <v>11359</v>
      </c>
      <c r="U1387" s="49" t="s">
        <v>655</v>
      </c>
      <c r="V1387" s="49" t="e">
        <v>#REF!</v>
      </c>
      <c r="AC1387" s="49"/>
      <c r="AD1387" s="49"/>
    </row>
    <row r="1388" spans="1:30" hidden="1" x14ac:dyDescent="0.3">
      <c r="A1388" s="49" t="s">
        <v>13616</v>
      </c>
      <c r="B1388" s="49">
        <v>0</v>
      </c>
      <c r="C1388" s="49"/>
      <c r="D1388" s="72" t="s">
        <v>717</v>
      </c>
      <c r="E1388" s="49" t="s">
        <v>3754</v>
      </c>
      <c r="F1388" s="49"/>
      <c r="G1388" s="49"/>
      <c r="H1388" s="49" t="s">
        <v>13617</v>
      </c>
      <c r="I1388" s="49" t="s">
        <v>13620</v>
      </c>
      <c r="J1388" s="49" t="s">
        <v>13618</v>
      </c>
      <c r="K1388" s="49" t="s">
        <v>13619</v>
      </c>
      <c r="L1388" s="49">
        <v>0</v>
      </c>
      <c r="M1388" s="49" t="s">
        <v>1777</v>
      </c>
      <c r="N1388" s="49" t="s">
        <v>13621</v>
      </c>
      <c r="O1388" s="49">
        <v>6</v>
      </c>
      <c r="P1388" s="49" t="s">
        <v>13622</v>
      </c>
      <c r="Q1388" s="49">
        <v>0</v>
      </c>
      <c r="R1388" s="49" t="s">
        <v>13623</v>
      </c>
      <c r="S1388" s="49" t="s">
        <v>13624</v>
      </c>
      <c r="T1388" s="49" t="s">
        <v>646</v>
      </c>
      <c r="U1388" s="49" t="s">
        <v>670</v>
      </c>
      <c r="V1388" s="49" t="e">
        <v>#REF!</v>
      </c>
      <c r="AC1388" s="49"/>
      <c r="AD1388" s="49"/>
    </row>
    <row r="1389" spans="1:30" hidden="1" x14ac:dyDescent="0.3">
      <c r="A1389" s="49" t="s">
        <v>13625</v>
      </c>
      <c r="B1389" s="49">
        <v>0</v>
      </c>
      <c r="C1389" s="49"/>
      <c r="D1389" s="72" t="s">
        <v>717</v>
      </c>
      <c r="E1389" s="49" t="s">
        <v>3754</v>
      </c>
      <c r="F1389" s="49"/>
      <c r="G1389" s="49"/>
      <c r="H1389" s="49" t="s">
        <v>13626</v>
      </c>
      <c r="I1389" s="49" t="s">
        <v>13629</v>
      </c>
      <c r="J1389" s="49" t="s">
        <v>13627</v>
      </c>
      <c r="K1389" s="49" t="s">
        <v>13628</v>
      </c>
      <c r="L1389" s="49">
        <v>0</v>
      </c>
      <c r="M1389" s="49" t="s">
        <v>4084</v>
      </c>
      <c r="N1389" s="49" t="s">
        <v>13630</v>
      </c>
      <c r="O1389" s="49">
        <v>6</v>
      </c>
      <c r="P1389" s="49" t="s">
        <v>13631</v>
      </c>
      <c r="Q1389" s="49">
        <v>0</v>
      </c>
      <c r="R1389" s="49" t="s">
        <v>13632</v>
      </c>
      <c r="S1389" s="49" t="s">
        <v>13633</v>
      </c>
      <c r="T1389" s="49" t="s">
        <v>13634</v>
      </c>
      <c r="U1389" s="49" t="s">
        <v>670</v>
      </c>
      <c r="V1389" s="49" t="e">
        <v>#REF!</v>
      </c>
      <c r="AC1389" s="49"/>
      <c r="AD1389" s="49"/>
    </row>
    <row r="1390" spans="1:30" hidden="1" x14ac:dyDescent="0.3">
      <c r="A1390" s="49" t="s">
        <v>13635</v>
      </c>
      <c r="B1390" s="49">
        <v>0</v>
      </c>
      <c r="C1390" s="49"/>
      <c r="D1390" s="72" t="s">
        <v>717</v>
      </c>
      <c r="E1390" s="49" t="s">
        <v>3754</v>
      </c>
      <c r="F1390" s="49"/>
      <c r="G1390" s="49"/>
      <c r="H1390" s="49" t="s">
        <v>13636</v>
      </c>
      <c r="I1390" s="49" t="s">
        <v>13639</v>
      </c>
      <c r="J1390" s="49" t="s">
        <v>13637</v>
      </c>
      <c r="K1390" s="49" t="s">
        <v>13638</v>
      </c>
      <c r="L1390" s="49">
        <v>0</v>
      </c>
      <c r="M1390" s="49" t="s">
        <v>1826</v>
      </c>
      <c r="N1390" s="49" t="s">
        <v>13640</v>
      </c>
      <c r="O1390" s="49">
        <v>2</v>
      </c>
      <c r="P1390" s="49" t="s">
        <v>13641</v>
      </c>
      <c r="Q1390" s="49">
        <v>0</v>
      </c>
      <c r="R1390" s="49" t="s">
        <v>646</v>
      </c>
      <c r="S1390" s="49" t="s">
        <v>13642</v>
      </c>
      <c r="T1390" s="49" t="s">
        <v>13642</v>
      </c>
      <c r="U1390" s="49" t="s">
        <v>655</v>
      </c>
      <c r="V1390" s="49" t="e">
        <v>#REF!</v>
      </c>
      <c r="AC1390" s="49"/>
      <c r="AD1390" s="49"/>
    </row>
    <row r="1391" spans="1:30" hidden="1" x14ac:dyDescent="0.3">
      <c r="A1391" s="49" t="s">
        <v>13643</v>
      </c>
      <c r="B1391" s="49">
        <v>0</v>
      </c>
      <c r="C1391" s="49"/>
      <c r="D1391" s="72" t="s">
        <v>717</v>
      </c>
      <c r="E1391" s="49" t="s">
        <v>3754</v>
      </c>
      <c r="F1391" s="49"/>
      <c r="G1391" s="49"/>
      <c r="H1391" s="49" t="s">
        <v>13644</v>
      </c>
      <c r="I1391" s="49" t="s">
        <v>13647</v>
      </c>
      <c r="J1391" s="49" t="s">
        <v>13645</v>
      </c>
      <c r="K1391" s="49" t="s">
        <v>13646</v>
      </c>
      <c r="L1391" s="49">
        <v>0</v>
      </c>
      <c r="M1391" s="49" t="s">
        <v>3570</v>
      </c>
      <c r="N1391" s="49" t="s">
        <v>818</v>
      </c>
      <c r="O1391" s="49">
        <v>4</v>
      </c>
      <c r="P1391" s="49" t="s">
        <v>13648</v>
      </c>
      <c r="Q1391" s="49">
        <v>0</v>
      </c>
      <c r="R1391" s="49" t="s">
        <v>13649</v>
      </c>
      <c r="S1391" s="49" t="s">
        <v>13650</v>
      </c>
      <c r="T1391" s="49" t="s">
        <v>13651</v>
      </c>
      <c r="U1391" s="49" t="s">
        <v>670</v>
      </c>
      <c r="V1391" s="49" t="e">
        <v>#REF!</v>
      </c>
      <c r="AC1391" s="49"/>
      <c r="AD1391" s="49"/>
    </row>
    <row r="1392" spans="1:30" hidden="1" x14ac:dyDescent="0.3">
      <c r="A1392" s="49" t="s">
        <v>13652</v>
      </c>
      <c r="B1392" s="49">
        <v>0</v>
      </c>
      <c r="C1392" s="49"/>
      <c r="D1392" s="72" t="s">
        <v>717</v>
      </c>
      <c r="E1392" s="49" t="s">
        <v>3754</v>
      </c>
      <c r="F1392" s="49"/>
      <c r="G1392" s="49"/>
      <c r="H1392" s="49" t="s">
        <v>13653</v>
      </c>
      <c r="I1392" s="49" t="s">
        <v>13656</v>
      </c>
      <c r="J1392" s="49" t="s">
        <v>13654</v>
      </c>
      <c r="K1392" s="49" t="s">
        <v>13655</v>
      </c>
      <c r="L1392" s="49">
        <v>0</v>
      </c>
      <c r="M1392" s="49" t="s">
        <v>2484</v>
      </c>
      <c r="N1392" s="49" t="s">
        <v>13657</v>
      </c>
      <c r="O1392" s="49">
        <v>14</v>
      </c>
      <c r="P1392" s="49" t="s">
        <v>13658</v>
      </c>
      <c r="Q1392" s="49">
        <v>0</v>
      </c>
      <c r="R1392" s="49" t="s">
        <v>13659</v>
      </c>
      <c r="S1392" s="49" t="s">
        <v>13660</v>
      </c>
      <c r="T1392" s="49" t="s">
        <v>13661</v>
      </c>
      <c r="U1392" s="49" t="s">
        <v>655</v>
      </c>
      <c r="V1392" s="49" t="e">
        <v>#REF!</v>
      </c>
      <c r="AC1392" s="49"/>
      <c r="AD1392" s="49"/>
    </row>
    <row r="1393" spans="1:30" hidden="1" x14ac:dyDescent="0.3">
      <c r="A1393" s="49" t="s">
        <v>1213</v>
      </c>
      <c r="B1393" s="49">
        <v>0</v>
      </c>
      <c r="C1393" s="49"/>
      <c r="D1393" s="72" t="s">
        <v>717</v>
      </c>
      <c r="E1393" s="49" t="s">
        <v>3754</v>
      </c>
      <c r="F1393" s="49"/>
      <c r="G1393" s="49"/>
      <c r="H1393" s="49" t="s">
        <v>1215</v>
      </c>
      <c r="I1393" s="49" t="s">
        <v>1216</v>
      </c>
      <c r="J1393" s="49" t="s">
        <v>13662</v>
      </c>
      <c r="K1393" s="49" t="s">
        <v>1218</v>
      </c>
      <c r="L1393" s="49">
        <v>0</v>
      </c>
      <c r="M1393" s="49" t="s">
        <v>1865</v>
      </c>
      <c r="N1393" s="49" t="s">
        <v>1219</v>
      </c>
      <c r="O1393" s="49">
        <v>4</v>
      </c>
      <c r="P1393" s="49" t="s">
        <v>1220</v>
      </c>
      <c r="Q1393" s="49">
        <v>0</v>
      </c>
      <c r="R1393" s="49" t="s">
        <v>1222</v>
      </c>
      <c r="S1393" s="49" t="s">
        <v>1223</v>
      </c>
      <c r="T1393" s="49" t="s">
        <v>646</v>
      </c>
      <c r="U1393" s="49" t="s">
        <v>655</v>
      </c>
      <c r="V1393" s="49" t="e">
        <v>#REF!</v>
      </c>
      <c r="AC1393" s="49"/>
      <c r="AD1393" s="49"/>
    </row>
    <row r="1394" spans="1:30" hidden="1" x14ac:dyDescent="0.3">
      <c r="A1394" s="49" t="s">
        <v>13663</v>
      </c>
      <c r="B1394" s="49">
        <v>0</v>
      </c>
      <c r="C1394" s="49"/>
      <c r="D1394" s="72" t="s">
        <v>717</v>
      </c>
      <c r="E1394" s="49" t="s">
        <v>3754</v>
      </c>
      <c r="F1394" s="49"/>
      <c r="G1394" s="49"/>
      <c r="H1394" s="49" t="s">
        <v>13664</v>
      </c>
      <c r="I1394" s="49" t="s">
        <v>13667</v>
      </c>
      <c r="J1394" s="49" t="s">
        <v>13665</v>
      </c>
      <c r="K1394" s="49" t="s">
        <v>13666</v>
      </c>
      <c r="L1394" s="49">
        <v>0</v>
      </c>
      <c r="M1394" s="49" t="s">
        <v>1826</v>
      </c>
      <c r="N1394" s="49" t="s">
        <v>4168</v>
      </c>
      <c r="O1394" s="49">
        <v>1</v>
      </c>
      <c r="P1394" s="49" t="s">
        <v>13668</v>
      </c>
      <c r="Q1394" s="49">
        <v>0</v>
      </c>
      <c r="R1394" s="49" t="s">
        <v>13669</v>
      </c>
      <c r="S1394" s="49" t="s">
        <v>13670</v>
      </c>
      <c r="T1394" s="49" t="s">
        <v>13671</v>
      </c>
      <c r="U1394" s="49" t="s">
        <v>670</v>
      </c>
      <c r="V1394" s="49" t="e">
        <v>#REF!</v>
      </c>
      <c r="AC1394" s="49"/>
      <c r="AD1394" s="49"/>
    </row>
    <row r="1395" spans="1:30" hidden="1" x14ac:dyDescent="0.3">
      <c r="A1395" s="49" t="s">
        <v>13672</v>
      </c>
      <c r="B1395" s="49">
        <v>0</v>
      </c>
      <c r="C1395" s="49"/>
      <c r="D1395" s="72" t="s">
        <v>717</v>
      </c>
      <c r="E1395" s="49" t="s">
        <v>3754</v>
      </c>
      <c r="F1395" s="49"/>
      <c r="G1395" s="49"/>
      <c r="H1395" s="49" t="s">
        <v>13673</v>
      </c>
      <c r="I1395" s="49" t="s">
        <v>13676</v>
      </c>
      <c r="J1395" s="49" t="s">
        <v>13674</v>
      </c>
      <c r="K1395" s="49" t="s">
        <v>13675</v>
      </c>
      <c r="L1395" s="49">
        <v>0</v>
      </c>
      <c r="M1395" s="49" t="s">
        <v>1826</v>
      </c>
      <c r="N1395" s="49" t="s">
        <v>13677</v>
      </c>
      <c r="O1395" s="49">
        <v>16</v>
      </c>
      <c r="P1395" s="49" t="s">
        <v>13678</v>
      </c>
      <c r="Q1395" s="49">
        <v>0</v>
      </c>
      <c r="R1395" s="49" t="s">
        <v>13679</v>
      </c>
      <c r="S1395" s="49" t="s">
        <v>13680</v>
      </c>
      <c r="T1395" s="49" t="s">
        <v>13681</v>
      </c>
      <c r="U1395" s="49" t="s">
        <v>655</v>
      </c>
      <c r="V1395" s="49" t="e">
        <v>#REF!</v>
      </c>
      <c r="AC1395" s="49"/>
      <c r="AD1395" s="49"/>
    </row>
    <row r="1396" spans="1:30" hidden="1" x14ac:dyDescent="0.3">
      <c r="A1396" s="49" t="s">
        <v>13682</v>
      </c>
      <c r="B1396" s="49">
        <v>0</v>
      </c>
      <c r="C1396" s="49"/>
      <c r="D1396" s="72" t="s">
        <v>717</v>
      </c>
      <c r="E1396" s="49" t="s">
        <v>3754</v>
      </c>
      <c r="F1396" s="49"/>
      <c r="G1396" s="49"/>
      <c r="H1396" s="49" t="s">
        <v>13683</v>
      </c>
      <c r="I1396" s="49" t="s">
        <v>13686</v>
      </c>
      <c r="J1396" s="49" t="s">
        <v>13684</v>
      </c>
      <c r="K1396" s="49" t="s">
        <v>13685</v>
      </c>
      <c r="L1396" s="49">
        <v>0</v>
      </c>
      <c r="M1396" s="49" t="s">
        <v>3570</v>
      </c>
      <c r="N1396" s="49" t="s">
        <v>818</v>
      </c>
      <c r="O1396" s="49">
        <v>1</v>
      </c>
      <c r="P1396" s="49" t="s">
        <v>13687</v>
      </c>
      <c r="Q1396" s="49">
        <v>0</v>
      </c>
      <c r="R1396" s="49" t="s">
        <v>13688</v>
      </c>
      <c r="S1396" s="49" t="s">
        <v>13689</v>
      </c>
      <c r="T1396" s="49" t="s">
        <v>13690</v>
      </c>
      <c r="U1396" s="49" t="s">
        <v>670</v>
      </c>
      <c r="V1396" s="49" t="e">
        <v>#REF!</v>
      </c>
      <c r="AC1396" s="49"/>
      <c r="AD1396" s="49"/>
    </row>
    <row r="1397" spans="1:30" hidden="1" x14ac:dyDescent="0.3">
      <c r="A1397" s="49" t="s">
        <v>13691</v>
      </c>
      <c r="B1397" s="49">
        <v>0</v>
      </c>
      <c r="C1397" s="49"/>
      <c r="D1397" s="72" t="s">
        <v>717</v>
      </c>
      <c r="E1397" s="49" t="s">
        <v>3754</v>
      </c>
      <c r="F1397" s="49"/>
      <c r="G1397" s="49"/>
      <c r="H1397" s="49" t="s">
        <v>13692</v>
      </c>
      <c r="I1397" s="49" t="s">
        <v>13695</v>
      </c>
      <c r="J1397" s="49" t="s">
        <v>13693</v>
      </c>
      <c r="K1397" s="49" t="s">
        <v>13694</v>
      </c>
      <c r="L1397" s="49">
        <v>0</v>
      </c>
      <c r="M1397" s="49" t="s">
        <v>2484</v>
      </c>
      <c r="N1397" s="49" t="s">
        <v>7379</v>
      </c>
      <c r="O1397" s="49">
        <v>8</v>
      </c>
      <c r="P1397" s="49" t="s">
        <v>13696</v>
      </c>
      <c r="Q1397" s="49">
        <v>0</v>
      </c>
      <c r="R1397" s="49" t="s">
        <v>13697</v>
      </c>
      <c r="S1397" s="49" t="s">
        <v>13698</v>
      </c>
      <c r="T1397" s="49" t="s">
        <v>13699</v>
      </c>
      <c r="U1397" s="49" t="s">
        <v>655</v>
      </c>
      <c r="V1397" s="49" t="e">
        <v>#REF!</v>
      </c>
      <c r="AC1397" s="49"/>
      <c r="AD1397" s="49"/>
    </row>
    <row r="1398" spans="1:30" hidden="1" x14ac:dyDescent="0.3">
      <c r="A1398" s="49" t="s">
        <v>13700</v>
      </c>
      <c r="B1398" s="49">
        <v>0</v>
      </c>
      <c r="C1398" s="49"/>
      <c r="D1398" s="72" t="s">
        <v>717</v>
      </c>
      <c r="E1398" s="49" t="s">
        <v>3754</v>
      </c>
      <c r="F1398" s="49"/>
      <c r="G1398" s="49"/>
      <c r="H1398" s="49" t="s">
        <v>13701</v>
      </c>
      <c r="I1398" s="49" t="s">
        <v>1563</v>
      </c>
      <c r="J1398" s="49" t="s">
        <v>1564</v>
      </c>
      <c r="K1398" s="49" t="s">
        <v>13702</v>
      </c>
      <c r="L1398" s="49">
        <v>0</v>
      </c>
      <c r="M1398" s="49" t="s">
        <v>3570</v>
      </c>
      <c r="N1398" s="49" t="s">
        <v>2093</v>
      </c>
      <c r="O1398" s="49">
        <v>49</v>
      </c>
      <c r="P1398" s="49" t="s">
        <v>13703</v>
      </c>
      <c r="Q1398" s="49">
        <v>0</v>
      </c>
      <c r="R1398" s="49" t="s">
        <v>13704</v>
      </c>
      <c r="S1398" s="49" t="s">
        <v>13705</v>
      </c>
      <c r="T1398" s="49" t="s">
        <v>13706</v>
      </c>
      <c r="U1398" s="49" t="s">
        <v>655</v>
      </c>
      <c r="V1398" s="49" t="e">
        <v>#REF!</v>
      </c>
      <c r="AC1398" s="49"/>
      <c r="AD1398" s="49"/>
    </row>
    <row r="1399" spans="1:30" hidden="1" x14ac:dyDescent="0.3">
      <c r="A1399" s="49" t="s">
        <v>13707</v>
      </c>
      <c r="B1399" s="49">
        <v>0</v>
      </c>
      <c r="C1399" s="49"/>
      <c r="D1399" s="72" t="s">
        <v>717</v>
      </c>
      <c r="E1399" s="49" t="s">
        <v>3754</v>
      </c>
      <c r="F1399" s="49"/>
      <c r="G1399" s="49"/>
      <c r="H1399" s="49" t="s">
        <v>13708</v>
      </c>
      <c r="I1399" s="49" t="s">
        <v>13711</v>
      </c>
      <c r="J1399" s="49" t="s">
        <v>13709</v>
      </c>
      <c r="K1399" s="49" t="s">
        <v>13710</v>
      </c>
      <c r="L1399" s="49">
        <v>0</v>
      </c>
      <c r="M1399" s="49" t="s">
        <v>4084</v>
      </c>
      <c r="N1399" s="49" t="s">
        <v>13712</v>
      </c>
      <c r="O1399" s="49">
        <v>22</v>
      </c>
      <c r="P1399" s="49" t="s">
        <v>13713</v>
      </c>
      <c r="Q1399" s="49">
        <v>0</v>
      </c>
      <c r="R1399" s="49" t="s">
        <v>13714</v>
      </c>
      <c r="S1399" s="49" t="s">
        <v>13715</v>
      </c>
      <c r="T1399" s="49" t="s">
        <v>13716</v>
      </c>
      <c r="U1399" s="49" t="s">
        <v>655</v>
      </c>
      <c r="V1399" s="49" t="e">
        <v>#REF!</v>
      </c>
      <c r="AC1399" s="49"/>
      <c r="AD1399" s="49"/>
    </row>
    <row r="1400" spans="1:30" hidden="1" x14ac:dyDescent="0.3">
      <c r="A1400" s="49" t="s">
        <v>13717</v>
      </c>
      <c r="B1400" s="49">
        <v>0</v>
      </c>
      <c r="C1400" s="49"/>
      <c r="D1400" s="72" t="s">
        <v>717</v>
      </c>
      <c r="E1400" s="49" t="s">
        <v>3754</v>
      </c>
      <c r="F1400" s="49"/>
      <c r="G1400" s="49"/>
      <c r="H1400" s="49" t="s">
        <v>13718</v>
      </c>
      <c r="I1400" s="49" t="s">
        <v>13721</v>
      </c>
      <c r="J1400" s="49" t="s">
        <v>13719</v>
      </c>
      <c r="K1400" s="49" t="s">
        <v>13720</v>
      </c>
      <c r="L1400" s="49">
        <v>0</v>
      </c>
      <c r="M1400" s="49" t="s">
        <v>1865</v>
      </c>
      <c r="N1400" s="49" t="s">
        <v>13722</v>
      </c>
      <c r="O1400" s="49">
        <v>26</v>
      </c>
      <c r="P1400" s="49" t="s">
        <v>13723</v>
      </c>
      <c r="Q1400" s="49">
        <v>0</v>
      </c>
      <c r="R1400" s="49" t="s">
        <v>13724</v>
      </c>
      <c r="S1400" s="49" t="s">
        <v>13725</v>
      </c>
      <c r="T1400" s="49" t="s">
        <v>13726</v>
      </c>
      <c r="U1400" s="49" t="s">
        <v>791</v>
      </c>
      <c r="V1400" s="49" t="e">
        <v>#REF!</v>
      </c>
      <c r="AC1400" s="49"/>
      <c r="AD1400" s="49"/>
    </row>
    <row r="1401" spans="1:30" hidden="1" x14ac:dyDescent="0.3">
      <c r="A1401" s="49" t="s">
        <v>13727</v>
      </c>
      <c r="B1401" s="49">
        <v>0</v>
      </c>
      <c r="C1401" s="49"/>
      <c r="D1401" s="72" t="s">
        <v>717</v>
      </c>
      <c r="E1401" s="49" t="s">
        <v>3754</v>
      </c>
      <c r="F1401" s="49"/>
      <c r="G1401" s="49"/>
      <c r="H1401" s="49" t="s">
        <v>13728</v>
      </c>
      <c r="I1401" s="49" t="s">
        <v>13731</v>
      </c>
      <c r="J1401" s="49" t="s">
        <v>13729</v>
      </c>
      <c r="K1401" s="49" t="s">
        <v>13730</v>
      </c>
      <c r="L1401" s="49">
        <v>0</v>
      </c>
      <c r="M1401" s="49" t="s">
        <v>4114</v>
      </c>
      <c r="N1401" s="49" t="s">
        <v>13732</v>
      </c>
      <c r="O1401" s="49">
        <v>133</v>
      </c>
      <c r="P1401" s="49" t="s">
        <v>13733</v>
      </c>
      <c r="Q1401" s="49">
        <v>0</v>
      </c>
      <c r="R1401" s="49" t="s">
        <v>13734</v>
      </c>
      <c r="S1401" s="49" t="s">
        <v>13735</v>
      </c>
      <c r="T1401" s="49" t="s">
        <v>13736</v>
      </c>
      <c r="U1401" s="49" t="s">
        <v>670</v>
      </c>
      <c r="V1401" s="49" t="e">
        <v>#REF!</v>
      </c>
      <c r="AC1401" s="49"/>
      <c r="AD1401" s="49"/>
    </row>
    <row r="1402" spans="1:30" hidden="1" x14ac:dyDescent="0.3">
      <c r="A1402" s="49" t="s">
        <v>13737</v>
      </c>
      <c r="B1402" s="49">
        <v>0</v>
      </c>
      <c r="C1402" s="49"/>
      <c r="D1402" s="72" t="s">
        <v>717</v>
      </c>
      <c r="E1402" s="49" t="s">
        <v>3754</v>
      </c>
      <c r="F1402" s="49"/>
      <c r="G1402" s="49"/>
      <c r="H1402" s="49" t="s">
        <v>13738</v>
      </c>
      <c r="I1402" s="49" t="s">
        <v>13741</v>
      </c>
      <c r="J1402" s="49" t="s">
        <v>13739</v>
      </c>
      <c r="K1402" s="49" t="s">
        <v>13740</v>
      </c>
      <c r="L1402" s="49">
        <v>0</v>
      </c>
      <c r="M1402" s="49" t="s">
        <v>1865</v>
      </c>
      <c r="N1402" s="49" t="s">
        <v>13742</v>
      </c>
      <c r="O1402" s="49">
        <v>20</v>
      </c>
      <c r="P1402" s="49" t="s">
        <v>13743</v>
      </c>
      <c r="Q1402" s="49">
        <v>0</v>
      </c>
      <c r="R1402" s="49" t="s">
        <v>13744</v>
      </c>
      <c r="S1402" s="49" t="s">
        <v>13745</v>
      </c>
      <c r="T1402" s="49" t="s">
        <v>646</v>
      </c>
      <c r="U1402" s="49" t="s">
        <v>670</v>
      </c>
      <c r="V1402" s="49" t="e">
        <v>#REF!</v>
      </c>
      <c r="AC1402" s="49"/>
      <c r="AD1402" s="49"/>
    </row>
    <row r="1403" spans="1:30" hidden="1" x14ac:dyDescent="0.3">
      <c r="A1403" s="49" t="s">
        <v>13746</v>
      </c>
      <c r="B1403" s="49">
        <v>0</v>
      </c>
      <c r="C1403" s="49"/>
      <c r="D1403" s="72" t="s">
        <v>717</v>
      </c>
      <c r="E1403" s="49" t="s">
        <v>3754</v>
      </c>
      <c r="F1403" s="49"/>
      <c r="G1403" s="49"/>
      <c r="H1403" s="49" t="s">
        <v>646</v>
      </c>
      <c r="I1403" s="49" t="s">
        <v>13749</v>
      </c>
      <c r="J1403" s="49" t="s">
        <v>13747</v>
      </c>
      <c r="K1403" s="49" t="s">
        <v>13748</v>
      </c>
      <c r="L1403" s="49">
        <v>0</v>
      </c>
      <c r="M1403" s="49" t="s">
        <v>2636</v>
      </c>
      <c r="N1403" s="49" t="s">
        <v>13750</v>
      </c>
      <c r="O1403" s="49">
        <v>8</v>
      </c>
      <c r="P1403" s="49" t="s">
        <v>13751</v>
      </c>
      <c r="Q1403" s="49">
        <v>0</v>
      </c>
      <c r="R1403" s="49" t="s">
        <v>13752</v>
      </c>
      <c r="S1403" s="49" t="s">
        <v>13753</v>
      </c>
      <c r="T1403" s="49" t="s">
        <v>13754</v>
      </c>
      <c r="U1403" s="49" t="s">
        <v>670</v>
      </c>
      <c r="V1403" s="49" t="e">
        <v>#REF!</v>
      </c>
      <c r="AC1403" s="49"/>
      <c r="AD1403" s="49"/>
    </row>
    <row r="1404" spans="1:30" hidden="1" x14ac:dyDescent="0.3">
      <c r="A1404" s="49" t="s">
        <v>736</v>
      </c>
      <c r="B1404" s="49">
        <v>0</v>
      </c>
      <c r="C1404" s="49"/>
      <c r="D1404" s="72" t="s">
        <v>717</v>
      </c>
      <c r="E1404" s="49" t="s">
        <v>3754</v>
      </c>
      <c r="F1404" s="49"/>
      <c r="G1404" s="49"/>
      <c r="H1404" s="49" t="s">
        <v>738</v>
      </c>
      <c r="I1404" s="49" t="s">
        <v>739</v>
      </c>
      <c r="J1404" s="49" t="s">
        <v>740</v>
      </c>
      <c r="K1404" s="49" t="s">
        <v>741</v>
      </c>
      <c r="L1404" s="49">
        <v>0</v>
      </c>
      <c r="M1404" s="49" t="s">
        <v>2220</v>
      </c>
      <c r="N1404" s="49" t="s">
        <v>743</v>
      </c>
      <c r="O1404" s="49">
        <v>99</v>
      </c>
      <c r="P1404" s="49" t="s">
        <v>744</v>
      </c>
      <c r="Q1404" s="49">
        <v>0</v>
      </c>
      <c r="R1404" s="49" t="s">
        <v>746</v>
      </c>
      <c r="S1404" s="49" t="s">
        <v>747</v>
      </c>
      <c r="T1404" s="49" t="s">
        <v>13755</v>
      </c>
      <c r="U1404" s="49" t="s">
        <v>655</v>
      </c>
      <c r="V1404" s="49" t="e">
        <v>#REF!</v>
      </c>
      <c r="AC1404" s="49"/>
      <c r="AD1404" s="49"/>
    </row>
    <row r="1405" spans="1:30" hidden="1" x14ac:dyDescent="0.3">
      <c r="A1405" s="49" t="s">
        <v>13756</v>
      </c>
      <c r="B1405" s="49">
        <v>0</v>
      </c>
      <c r="C1405" s="49"/>
      <c r="D1405" s="72" t="s">
        <v>717</v>
      </c>
      <c r="E1405" s="49" t="s">
        <v>3754</v>
      </c>
      <c r="F1405" s="49"/>
      <c r="G1405" s="49"/>
      <c r="H1405" s="49" t="s">
        <v>13757</v>
      </c>
      <c r="I1405" s="49" t="s">
        <v>13760</v>
      </c>
      <c r="J1405" s="49" t="s">
        <v>13758</v>
      </c>
      <c r="K1405" s="49" t="s">
        <v>13759</v>
      </c>
      <c r="L1405" s="49">
        <v>0</v>
      </c>
      <c r="M1405" s="49" t="s">
        <v>4114</v>
      </c>
      <c r="N1405" s="49" t="s">
        <v>13761</v>
      </c>
      <c r="P1405" s="49" t="s">
        <v>13762</v>
      </c>
      <c r="Q1405" s="49">
        <v>0</v>
      </c>
      <c r="R1405" s="49" t="s">
        <v>13763</v>
      </c>
      <c r="S1405" s="49" t="s">
        <v>13764</v>
      </c>
      <c r="T1405" s="49" t="s">
        <v>646</v>
      </c>
      <c r="U1405" s="49" t="s">
        <v>655</v>
      </c>
      <c r="V1405" s="49" t="e">
        <v>#REF!</v>
      </c>
      <c r="AC1405" s="49"/>
      <c r="AD1405" s="49"/>
    </row>
    <row r="1406" spans="1:30" hidden="1" x14ac:dyDescent="0.3">
      <c r="A1406" s="49" t="s">
        <v>13765</v>
      </c>
      <c r="B1406" s="49">
        <v>0</v>
      </c>
      <c r="C1406" s="49"/>
      <c r="D1406" s="72" t="s">
        <v>717</v>
      </c>
      <c r="E1406" s="49" t="s">
        <v>3754</v>
      </c>
      <c r="F1406" s="49"/>
      <c r="G1406" s="49"/>
      <c r="H1406" s="49" t="s">
        <v>13766</v>
      </c>
      <c r="I1406" s="49" t="s">
        <v>13769</v>
      </c>
      <c r="J1406" s="49" t="s">
        <v>13767</v>
      </c>
      <c r="K1406" s="49" t="s">
        <v>13768</v>
      </c>
      <c r="L1406" s="49">
        <v>0</v>
      </c>
      <c r="M1406" s="49" t="s">
        <v>1826</v>
      </c>
      <c r="N1406" s="49" t="s">
        <v>7035</v>
      </c>
      <c r="O1406" s="49">
        <v>23</v>
      </c>
      <c r="P1406" s="49" t="s">
        <v>13770</v>
      </c>
      <c r="Q1406" s="49">
        <v>0</v>
      </c>
      <c r="R1406" s="49" t="s">
        <v>13771</v>
      </c>
      <c r="S1406" s="49" t="s">
        <v>13772</v>
      </c>
      <c r="T1406" s="49" t="s">
        <v>13773</v>
      </c>
      <c r="U1406" s="49" t="s">
        <v>655</v>
      </c>
      <c r="V1406" s="49" t="e">
        <v>#REF!</v>
      </c>
      <c r="AC1406" s="49"/>
      <c r="AD1406" s="49"/>
    </row>
    <row r="1407" spans="1:30" hidden="1" x14ac:dyDescent="0.3">
      <c r="A1407" s="49" t="s">
        <v>13774</v>
      </c>
      <c r="B1407" s="49">
        <v>0</v>
      </c>
      <c r="C1407" s="49"/>
      <c r="D1407" s="72" t="s">
        <v>717</v>
      </c>
      <c r="E1407" s="49" t="s">
        <v>3754</v>
      </c>
      <c r="F1407" s="49"/>
      <c r="G1407" s="49"/>
      <c r="H1407" s="49" t="s">
        <v>13775</v>
      </c>
      <c r="I1407" s="49" t="s">
        <v>13778</v>
      </c>
      <c r="J1407" s="49" t="s">
        <v>13776</v>
      </c>
      <c r="K1407" s="49" t="s">
        <v>13777</v>
      </c>
      <c r="L1407" s="49">
        <v>0</v>
      </c>
      <c r="M1407" s="49" t="s">
        <v>1865</v>
      </c>
      <c r="N1407" s="49" t="s">
        <v>13779</v>
      </c>
      <c r="O1407" s="49">
        <v>13</v>
      </c>
      <c r="P1407" s="49" t="s">
        <v>13780</v>
      </c>
      <c r="Q1407" s="49">
        <v>0</v>
      </c>
      <c r="R1407" s="49" t="s">
        <v>13781</v>
      </c>
      <c r="S1407" s="49" t="s">
        <v>13782</v>
      </c>
      <c r="T1407" s="49" t="s">
        <v>13783</v>
      </c>
      <c r="U1407" s="49" t="s">
        <v>655</v>
      </c>
      <c r="V1407" s="49" t="e">
        <v>#REF!</v>
      </c>
      <c r="AC1407" s="49"/>
      <c r="AD1407" s="49"/>
    </row>
    <row r="1408" spans="1:30" hidden="1" x14ac:dyDescent="0.3">
      <c r="A1408" s="49" t="s">
        <v>13784</v>
      </c>
      <c r="B1408" s="49">
        <v>0</v>
      </c>
      <c r="C1408" s="49"/>
      <c r="D1408" s="72" t="s">
        <v>717</v>
      </c>
      <c r="E1408" s="49" t="s">
        <v>3754</v>
      </c>
      <c r="F1408" s="49"/>
      <c r="G1408" s="49"/>
      <c r="H1408" s="49" t="s">
        <v>13785</v>
      </c>
      <c r="I1408" s="49" t="s">
        <v>13788</v>
      </c>
      <c r="J1408" s="49" t="s">
        <v>13786</v>
      </c>
      <c r="K1408" s="49" t="s">
        <v>13787</v>
      </c>
      <c r="L1408" s="49">
        <v>0</v>
      </c>
      <c r="M1408" s="49" t="s">
        <v>1826</v>
      </c>
      <c r="N1408" s="49" t="s">
        <v>6942</v>
      </c>
      <c r="O1408" s="49">
        <v>10</v>
      </c>
      <c r="P1408" s="49" t="s">
        <v>13789</v>
      </c>
      <c r="Q1408" s="49">
        <v>0</v>
      </c>
      <c r="R1408" s="49" t="s">
        <v>13790</v>
      </c>
      <c r="S1408" s="49" t="s">
        <v>13791</v>
      </c>
      <c r="T1408" s="49" t="s">
        <v>13792</v>
      </c>
      <c r="U1408" s="49" t="s">
        <v>655</v>
      </c>
      <c r="V1408" s="49" t="e">
        <v>#REF!</v>
      </c>
      <c r="AC1408" s="49"/>
      <c r="AD1408" s="49"/>
    </row>
    <row r="1409" spans="1:30" hidden="1" x14ac:dyDescent="0.3">
      <c r="A1409" s="49" t="s">
        <v>13793</v>
      </c>
      <c r="B1409" s="49">
        <v>0</v>
      </c>
      <c r="C1409" s="49"/>
      <c r="D1409" s="72" t="s">
        <v>717</v>
      </c>
      <c r="E1409" s="49" t="s">
        <v>3754</v>
      </c>
      <c r="F1409" s="49"/>
      <c r="G1409" s="49"/>
      <c r="H1409" s="49" t="s">
        <v>13794</v>
      </c>
      <c r="I1409" s="49" t="s">
        <v>13797</v>
      </c>
      <c r="J1409" s="49" t="s">
        <v>13795</v>
      </c>
      <c r="K1409" s="49" t="s">
        <v>13796</v>
      </c>
      <c r="L1409" s="49">
        <v>0</v>
      </c>
      <c r="M1409" s="49" t="s">
        <v>2484</v>
      </c>
      <c r="N1409" s="49" t="s">
        <v>9725</v>
      </c>
      <c r="O1409" s="49">
        <v>8</v>
      </c>
      <c r="P1409" s="49" t="s">
        <v>13798</v>
      </c>
      <c r="Q1409" s="49">
        <v>0</v>
      </c>
      <c r="R1409" s="49" t="s">
        <v>13799</v>
      </c>
      <c r="S1409" s="49" t="s">
        <v>13800</v>
      </c>
      <c r="T1409" s="49" t="s">
        <v>13801</v>
      </c>
      <c r="U1409" s="49" t="s">
        <v>655</v>
      </c>
      <c r="V1409" s="49" t="e">
        <v>#REF!</v>
      </c>
      <c r="AC1409" s="49"/>
      <c r="AD1409" s="49"/>
    </row>
    <row r="1410" spans="1:30" hidden="1" x14ac:dyDescent="0.3">
      <c r="A1410" s="49" t="s">
        <v>13802</v>
      </c>
      <c r="B1410" s="49">
        <v>0</v>
      </c>
      <c r="C1410" s="49"/>
      <c r="D1410" s="72" t="s">
        <v>717</v>
      </c>
      <c r="E1410" s="49" t="s">
        <v>3754</v>
      </c>
      <c r="F1410" s="49"/>
      <c r="G1410" s="49"/>
      <c r="H1410" s="49" t="s">
        <v>13803</v>
      </c>
      <c r="I1410" s="49" t="s">
        <v>13806</v>
      </c>
      <c r="J1410" s="49" t="s">
        <v>13804</v>
      </c>
      <c r="K1410" s="49" t="s">
        <v>13805</v>
      </c>
      <c r="L1410" s="49">
        <v>0</v>
      </c>
      <c r="M1410" s="49" t="s">
        <v>4114</v>
      </c>
      <c r="N1410" s="49" t="s">
        <v>13807</v>
      </c>
      <c r="O1410" s="49">
        <v>160</v>
      </c>
      <c r="P1410" s="49" t="s">
        <v>13808</v>
      </c>
      <c r="Q1410" s="49">
        <v>0</v>
      </c>
      <c r="R1410" s="49" t="s">
        <v>13809</v>
      </c>
      <c r="S1410" s="49" t="s">
        <v>13810</v>
      </c>
      <c r="T1410" s="49" t="s">
        <v>646</v>
      </c>
      <c r="U1410" s="49" t="s">
        <v>655</v>
      </c>
      <c r="V1410" s="49" t="e">
        <v>#REF!</v>
      </c>
      <c r="AC1410" s="49"/>
      <c r="AD1410" s="49"/>
    </row>
    <row r="1411" spans="1:30" hidden="1" x14ac:dyDescent="0.3">
      <c r="A1411" s="49" t="s">
        <v>13811</v>
      </c>
      <c r="B1411" s="49">
        <v>0</v>
      </c>
      <c r="C1411" s="49"/>
      <c r="D1411" s="72" t="s">
        <v>717</v>
      </c>
      <c r="E1411" s="49" t="s">
        <v>3754</v>
      </c>
      <c r="F1411" s="49"/>
      <c r="G1411" s="49"/>
      <c r="H1411" s="49" t="s">
        <v>13812</v>
      </c>
      <c r="I1411" s="49" t="s">
        <v>13815</v>
      </c>
      <c r="J1411" s="49" t="s">
        <v>13813</v>
      </c>
      <c r="K1411" s="49" t="s">
        <v>13814</v>
      </c>
      <c r="L1411" s="49">
        <v>0</v>
      </c>
      <c r="M1411" s="49" t="s">
        <v>2220</v>
      </c>
      <c r="N1411" s="49" t="s">
        <v>12377</v>
      </c>
      <c r="O1411" s="49">
        <v>31</v>
      </c>
      <c r="P1411" s="49" t="s">
        <v>13816</v>
      </c>
      <c r="Q1411" s="49">
        <v>0</v>
      </c>
      <c r="R1411" s="49" t="s">
        <v>13817</v>
      </c>
      <c r="S1411" s="49" t="s">
        <v>13818</v>
      </c>
      <c r="T1411" s="49" t="s">
        <v>13819</v>
      </c>
      <c r="U1411" s="49" t="s">
        <v>655</v>
      </c>
      <c r="V1411" s="49" t="e">
        <v>#REF!</v>
      </c>
      <c r="AC1411" s="49"/>
      <c r="AD1411" s="49"/>
    </row>
    <row r="1412" spans="1:30" hidden="1" x14ac:dyDescent="0.3">
      <c r="A1412" s="49" t="s">
        <v>13820</v>
      </c>
      <c r="B1412" s="49">
        <v>0</v>
      </c>
      <c r="C1412" s="49"/>
      <c r="D1412" s="72" t="s">
        <v>717</v>
      </c>
      <c r="E1412" s="49" t="s">
        <v>3754</v>
      </c>
      <c r="F1412" s="49"/>
      <c r="G1412" s="49"/>
      <c r="H1412" s="49" t="s">
        <v>13821</v>
      </c>
      <c r="I1412" s="49" t="s">
        <v>13824</v>
      </c>
      <c r="J1412" s="49" t="s">
        <v>13822</v>
      </c>
      <c r="K1412" s="49" t="s">
        <v>13823</v>
      </c>
      <c r="L1412" s="49">
        <v>0</v>
      </c>
      <c r="M1412" s="49" t="s">
        <v>2484</v>
      </c>
      <c r="N1412" s="49" t="s">
        <v>776</v>
      </c>
      <c r="O1412" s="49">
        <v>4</v>
      </c>
      <c r="P1412" s="49" t="s">
        <v>13825</v>
      </c>
      <c r="Q1412" s="49">
        <v>0</v>
      </c>
      <c r="R1412" s="49" t="s">
        <v>13826</v>
      </c>
      <c r="S1412" s="49" t="s">
        <v>13827</v>
      </c>
      <c r="T1412" s="49" t="s">
        <v>13828</v>
      </c>
      <c r="U1412" s="49" t="s">
        <v>655</v>
      </c>
      <c r="V1412" s="49" t="e">
        <v>#REF!</v>
      </c>
      <c r="AC1412" s="49"/>
      <c r="AD1412" s="49"/>
    </row>
    <row r="1413" spans="1:30" hidden="1" x14ac:dyDescent="0.3">
      <c r="A1413" s="49" t="s">
        <v>13829</v>
      </c>
      <c r="B1413" s="49">
        <v>0</v>
      </c>
      <c r="C1413" s="49"/>
      <c r="D1413" s="72" t="s">
        <v>717</v>
      </c>
      <c r="E1413" s="49" t="s">
        <v>3754</v>
      </c>
      <c r="F1413" s="49"/>
      <c r="G1413" s="49"/>
      <c r="H1413" s="49" t="s">
        <v>646</v>
      </c>
      <c r="I1413" s="49" t="s">
        <v>13832</v>
      </c>
      <c r="J1413" s="49" t="s">
        <v>13830</v>
      </c>
      <c r="K1413" s="49" t="s">
        <v>13831</v>
      </c>
      <c r="L1413" s="49">
        <v>0</v>
      </c>
      <c r="M1413" s="49" t="s">
        <v>4114</v>
      </c>
      <c r="N1413" s="49" t="s">
        <v>6473</v>
      </c>
      <c r="O1413" s="49">
        <v>102</v>
      </c>
      <c r="P1413" s="49" t="s">
        <v>13833</v>
      </c>
      <c r="Q1413" s="49">
        <v>0</v>
      </c>
      <c r="R1413" s="49" t="s">
        <v>13834</v>
      </c>
      <c r="S1413" s="49" t="s">
        <v>13835</v>
      </c>
      <c r="T1413" s="49" t="s">
        <v>646</v>
      </c>
      <c r="U1413" s="49" t="s">
        <v>670</v>
      </c>
      <c r="V1413" s="49" t="e">
        <v>#REF!</v>
      </c>
      <c r="AC1413" s="49"/>
      <c r="AD1413" s="49"/>
    </row>
    <row r="1414" spans="1:30" hidden="1" x14ac:dyDescent="0.3">
      <c r="A1414" s="49" t="s">
        <v>13836</v>
      </c>
      <c r="B1414" s="49">
        <v>0</v>
      </c>
      <c r="C1414" s="49"/>
      <c r="D1414" s="72" t="s">
        <v>717</v>
      </c>
      <c r="E1414" s="49" t="s">
        <v>3754</v>
      </c>
      <c r="F1414" s="49"/>
      <c r="G1414" s="49"/>
      <c r="H1414" s="49" t="s">
        <v>13837</v>
      </c>
      <c r="I1414" s="49" t="s">
        <v>13840</v>
      </c>
      <c r="J1414" s="49" t="s">
        <v>13838</v>
      </c>
      <c r="K1414" s="49" t="s">
        <v>13839</v>
      </c>
      <c r="L1414" s="49">
        <v>0</v>
      </c>
      <c r="M1414" s="49" t="s">
        <v>2484</v>
      </c>
      <c r="N1414" s="49" t="s">
        <v>11160</v>
      </c>
      <c r="O1414" s="49">
        <v>12</v>
      </c>
      <c r="P1414" s="49" t="s">
        <v>13841</v>
      </c>
      <c r="Q1414" s="49">
        <v>0</v>
      </c>
      <c r="R1414" s="49" t="s">
        <v>13842</v>
      </c>
      <c r="S1414" s="49" t="s">
        <v>13843</v>
      </c>
      <c r="T1414" s="49" t="s">
        <v>13844</v>
      </c>
      <c r="U1414" s="49" t="s">
        <v>655</v>
      </c>
      <c r="V1414" s="49" t="e">
        <v>#REF!</v>
      </c>
      <c r="AC1414" s="49"/>
      <c r="AD1414" s="49"/>
    </row>
    <row r="1415" spans="1:30" hidden="1" x14ac:dyDescent="0.3">
      <c r="A1415" s="49" t="s">
        <v>13845</v>
      </c>
      <c r="B1415" s="49">
        <v>0</v>
      </c>
      <c r="C1415" s="49"/>
      <c r="D1415" s="72" t="s">
        <v>717</v>
      </c>
      <c r="E1415" s="49" t="s">
        <v>3754</v>
      </c>
      <c r="F1415" s="49"/>
      <c r="G1415" s="49"/>
      <c r="H1415" s="49" t="s">
        <v>13846</v>
      </c>
      <c r="I1415" s="49" t="s">
        <v>13849</v>
      </c>
      <c r="J1415" s="49" t="s">
        <v>13847</v>
      </c>
      <c r="K1415" s="49" t="s">
        <v>13848</v>
      </c>
      <c r="L1415" s="49">
        <v>0</v>
      </c>
      <c r="M1415" s="49" t="s">
        <v>2484</v>
      </c>
      <c r="N1415" s="49" t="s">
        <v>13850</v>
      </c>
      <c r="O1415" s="49">
        <v>8</v>
      </c>
      <c r="P1415" s="49" t="s">
        <v>13851</v>
      </c>
      <c r="Q1415" s="49">
        <v>0</v>
      </c>
      <c r="R1415" s="49" t="s">
        <v>13852</v>
      </c>
      <c r="S1415" s="49" t="s">
        <v>13853</v>
      </c>
      <c r="T1415" s="49" t="s">
        <v>13854</v>
      </c>
      <c r="U1415" s="49" t="s">
        <v>655</v>
      </c>
      <c r="V1415" s="49" t="e">
        <v>#REF!</v>
      </c>
      <c r="AC1415" s="49"/>
      <c r="AD1415" s="49"/>
    </row>
    <row r="1416" spans="1:30" hidden="1" x14ac:dyDescent="0.3">
      <c r="A1416" s="49" t="s">
        <v>13855</v>
      </c>
      <c r="B1416" s="49">
        <v>0</v>
      </c>
      <c r="C1416" s="49"/>
      <c r="D1416" s="72" t="s">
        <v>717</v>
      </c>
      <c r="E1416" s="49" t="s">
        <v>3754</v>
      </c>
      <c r="F1416" s="49"/>
      <c r="G1416" s="49"/>
      <c r="H1416" s="49" t="s">
        <v>13856</v>
      </c>
      <c r="I1416" s="49" t="s">
        <v>13859</v>
      </c>
      <c r="J1416" s="49" t="s">
        <v>13857</v>
      </c>
      <c r="K1416" s="49" t="s">
        <v>13858</v>
      </c>
      <c r="L1416" s="49">
        <v>0</v>
      </c>
      <c r="M1416" s="49" t="s">
        <v>1817</v>
      </c>
      <c r="N1416" s="49" t="s">
        <v>13860</v>
      </c>
      <c r="O1416" s="49">
        <v>18</v>
      </c>
      <c r="P1416" s="49" t="s">
        <v>13861</v>
      </c>
      <c r="Q1416" s="49">
        <v>0</v>
      </c>
      <c r="R1416" s="49" t="s">
        <v>13862</v>
      </c>
      <c r="S1416" s="49" t="s">
        <v>13863</v>
      </c>
      <c r="T1416" s="49" t="s">
        <v>13864</v>
      </c>
      <c r="U1416" s="49" t="s">
        <v>670</v>
      </c>
      <c r="V1416" s="49" t="e">
        <v>#REF!</v>
      </c>
      <c r="AC1416" s="49"/>
      <c r="AD1416" s="49"/>
    </row>
    <row r="1417" spans="1:30" hidden="1" x14ac:dyDescent="0.3">
      <c r="A1417" s="49" t="s">
        <v>13865</v>
      </c>
      <c r="B1417" s="49">
        <v>0</v>
      </c>
      <c r="C1417" s="49"/>
      <c r="D1417" s="72" t="s">
        <v>717</v>
      </c>
      <c r="E1417" s="49" t="s">
        <v>3754</v>
      </c>
      <c r="F1417" s="49"/>
      <c r="G1417" s="49"/>
      <c r="H1417" s="49" t="s">
        <v>13866</v>
      </c>
      <c r="I1417" s="49" t="s">
        <v>13869</v>
      </c>
      <c r="J1417" s="49" t="s">
        <v>13867</v>
      </c>
      <c r="K1417" s="49" t="s">
        <v>13868</v>
      </c>
      <c r="L1417" s="49">
        <v>0</v>
      </c>
      <c r="M1417" s="49" t="s">
        <v>2220</v>
      </c>
      <c r="N1417" s="49" t="s">
        <v>13870</v>
      </c>
      <c r="O1417" s="49">
        <v>2</v>
      </c>
      <c r="P1417" s="49" t="s">
        <v>13871</v>
      </c>
      <c r="Q1417" s="49">
        <v>0</v>
      </c>
      <c r="R1417" s="49" t="s">
        <v>13872</v>
      </c>
      <c r="S1417" s="49" t="s">
        <v>13873</v>
      </c>
      <c r="T1417" s="49" t="s">
        <v>13874</v>
      </c>
      <c r="U1417" s="49" t="s">
        <v>670</v>
      </c>
      <c r="V1417" s="49" t="e">
        <v>#REF!</v>
      </c>
      <c r="AC1417" s="49"/>
      <c r="AD1417" s="49"/>
    </row>
    <row r="1418" spans="1:30" hidden="1" x14ac:dyDescent="0.3">
      <c r="A1418" s="49" t="s">
        <v>13875</v>
      </c>
      <c r="B1418" s="49">
        <v>0</v>
      </c>
      <c r="C1418" s="49"/>
      <c r="D1418" s="72" t="s">
        <v>717</v>
      </c>
      <c r="E1418" s="49" t="s">
        <v>3754</v>
      </c>
      <c r="F1418" s="49"/>
      <c r="G1418" s="49"/>
      <c r="H1418" s="49" t="s">
        <v>13876</v>
      </c>
      <c r="I1418" s="49" t="s">
        <v>13879</v>
      </c>
      <c r="J1418" s="49" t="s">
        <v>13877</v>
      </c>
      <c r="K1418" s="49" t="s">
        <v>13878</v>
      </c>
      <c r="L1418" s="49">
        <v>0</v>
      </c>
      <c r="M1418" s="49" t="s">
        <v>2484</v>
      </c>
      <c r="N1418" s="49" t="s">
        <v>9076</v>
      </c>
      <c r="O1418" s="49">
        <v>4</v>
      </c>
      <c r="P1418" s="49" t="s">
        <v>13880</v>
      </c>
      <c r="Q1418" s="49">
        <v>0</v>
      </c>
      <c r="R1418" s="49" t="s">
        <v>13881</v>
      </c>
      <c r="S1418" s="49" t="s">
        <v>13882</v>
      </c>
      <c r="T1418" s="49" t="s">
        <v>13883</v>
      </c>
      <c r="U1418" s="49" t="s">
        <v>655</v>
      </c>
      <c r="V1418" s="49" t="e">
        <v>#REF!</v>
      </c>
      <c r="AC1418" s="49"/>
      <c r="AD1418" s="49"/>
    </row>
    <row r="1419" spans="1:30" hidden="1" x14ac:dyDescent="0.3">
      <c r="A1419" s="49" t="s">
        <v>13884</v>
      </c>
      <c r="B1419" s="49">
        <v>0</v>
      </c>
      <c r="C1419" s="49"/>
      <c r="D1419" s="72" t="s">
        <v>717</v>
      </c>
      <c r="E1419" s="49" t="s">
        <v>3754</v>
      </c>
      <c r="F1419" s="49"/>
      <c r="G1419" s="49"/>
      <c r="H1419" s="49" t="s">
        <v>13885</v>
      </c>
      <c r="I1419" s="49" t="s">
        <v>13888</v>
      </c>
      <c r="J1419" s="49" t="s">
        <v>13886</v>
      </c>
      <c r="K1419" s="49" t="s">
        <v>13887</v>
      </c>
      <c r="L1419" s="49">
        <v>0</v>
      </c>
      <c r="M1419" s="49" t="s">
        <v>4114</v>
      </c>
      <c r="N1419" s="49" t="s">
        <v>13889</v>
      </c>
      <c r="O1419" s="49">
        <v>7</v>
      </c>
      <c r="P1419" s="49" t="s">
        <v>13890</v>
      </c>
      <c r="Q1419" s="49">
        <v>0</v>
      </c>
      <c r="R1419" s="49" t="s">
        <v>13891</v>
      </c>
      <c r="S1419" s="49" t="s">
        <v>13892</v>
      </c>
      <c r="T1419" s="49" t="s">
        <v>13893</v>
      </c>
      <c r="U1419" s="49" t="s">
        <v>670</v>
      </c>
      <c r="V1419" s="49" t="e">
        <v>#REF!</v>
      </c>
      <c r="AC1419" s="49"/>
      <c r="AD1419" s="49"/>
    </row>
    <row r="1420" spans="1:30" hidden="1" x14ac:dyDescent="0.3">
      <c r="A1420" s="49" t="s">
        <v>13894</v>
      </c>
      <c r="B1420" s="49">
        <v>0</v>
      </c>
      <c r="C1420" s="49"/>
      <c r="D1420" s="72" t="s">
        <v>717</v>
      </c>
      <c r="E1420" s="49" t="s">
        <v>3754</v>
      </c>
      <c r="F1420" s="49"/>
      <c r="G1420" s="49"/>
      <c r="H1420" s="49" t="s">
        <v>13895</v>
      </c>
      <c r="I1420" s="49" t="s">
        <v>13898</v>
      </c>
      <c r="J1420" s="49" t="s">
        <v>13896</v>
      </c>
      <c r="K1420" s="49" t="s">
        <v>13897</v>
      </c>
      <c r="L1420" s="49">
        <v>0</v>
      </c>
      <c r="M1420" s="49" t="s">
        <v>4064</v>
      </c>
      <c r="N1420" s="49" t="s">
        <v>13899</v>
      </c>
      <c r="O1420" s="49">
        <v>101</v>
      </c>
      <c r="P1420" s="49" t="s">
        <v>13900</v>
      </c>
      <c r="Q1420" s="49">
        <v>0</v>
      </c>
      <c r="R1420" s="49" t="s">
        <v>13901</v>
      </c>
      <c r="S1420" s="49" t="s">
        <v>13902</v>
      </c>
      <c r="T1420" s="49" t="s">
        <v>13903</v>
      </c>
      <c r="U1420" s="49" t="s">
        <v>670</v>
      </c>
      <c r="V1420" s="49" t="e">
        <v>#REF!</v>
      </c>
      <c r="AC1420" s="49"/>
      <c r="AD1420" s="49"/>
    </row>
    <row r="1421" spans="1:30" hidden="1" x14ac:dyDescent="0.3">
      <c r="A1421" s="49" t="s">
        <v>13904</v>
      </c>
      <c r="B1421" s="49">
        <v>0</v>
      </c>
      <c r="C1421" s="49"/>
      <c r="D1421" s="72" t="s">
        <v>717</v>
      </c>
      <c r="E1421" s="49" t="s">
        <v>3754</v>
      </c>
      <c r="F1421" s="49"/>
      <c r="G1421" s="49"/>
      <c r="H1421" s="49" t="s">
        <v>13905</v>
      </c>
      <c r="I1421" s="49" t="s">
        <v>13908</v>
      </c>
      <c r="J1421" s="49" t="s">
        <v>13906</v>
      </c>
      <c r="K1421" s="49" t="s">
        <v>13907</v>
      </c>
      <c r="L1421" s="49">
        <v>0</v>
      </c>
      <c r="M1421" s="49" t="s">
        <v>1745</v>
      </c>
      <c r="N1421" s="49" t="s">
        <v>2647</v>
      </c>
      <c r="P1421" s="49" t="s">
        <v>13909</v>
      </c>
      <c r="Q1421" s="49">
        <v>0</v>
      </c>
      <c r="R1421" s="49" t="s">
        <v>13910</v>
      </c>
      <c r="S1421" s="49" t="s">
        <v>13911</v>
      </c>
      <c r="T1421" s="49" t="s">
        <v>13912</v>
      </c>
      <c r="U1421" s="49" t="s">
        <v>655</v>
      </c>
      <c r="V1421" s="49" t="e">
        <v>#REF!</v>
      </c>
      <c r="AC1421" s="49"/>
      <c r="AD1421" s="49"/>
    </row>
    <row r="1422" spans="1:30" hidden="1" x14ac:dyDescent="0.3">
      <c r="A1422" s="49" t="s">
        <v>13913</v>
      </c>
      <c r="B1422" s="49">
        <v>0</v>
      </c>
      <c r="C1422" s="49"/>
      <c r="D1422" s="72" t="s">
        <v>717</v>
      </c>
      <c r="E1422" s="49" t="s">
        <v>3754</v>
      </c>
      <c r="F1422" s="49"/>
      <c r="G1422" s="49"/>
      <c r="H1422" s="49" t="s">
        <v>13914</v>
      </c>
      <c r="I1422" s="49" t="s">
        <v>13917</v>
      </c>
      <c r="J1422" s="49" t="s">
        <v>13915</v>
      </c>
      <c r="K1422" s="49" t="s">
        <v>13916</v>
      </c>
      <c r="L1422" s="49">
        <v>0</v>
      </c>
      <c r="M1422" s="49" t="s">
        <v>1745</v>
      </c>
      <c r="N1422" s="49" t="s">
        <v>3456</v>
      </c>
      <c r="O1422" s="49">
        <v>22</v>
      </c>
      <c r="P1422" s="49" t="s">
        <v>13918</v>
      </c>
      <c r="Q1422" s="49">
        <v>0</v>
      </c>
      <c r="R1422" s="49" t="s">
        <v>13919</v>
      </c>
      <c r="S1422" s="49" t="s">
        <v>13920</v>
      </c>
      <c r="T1422" s="49" t="s">
        <v>13921</v>
      </c>
      <c r="U1422" s="49" t="s">
        <v>655</v>
      </c>
      <c r="V1422" s="49" t="e">
        <v>#REF!</v>
      </c>
      <c r="AC1422" s="49"/>
      <c r="AD1422" s="49"/>
    </row>
    <row r="1423" spans="1:30" hidden="1" x14ac:dyDescent="0.3">
      <c r="A1423" s="49" t="s">
        <v>13922</v>
      </c>
      <c r="B1423" s="49">
        <v>0</v>
      </c>
      <c r="C1423" s="49"/>
      <c r="D1423" s="72" t="s">
        <v>717</v>
      </c>
      <c r="E1423" s="49" t="s">
        <v>3754</v>
      </c>
      <c r="F1423" s="49"/>
      <c r="G1423" s="49"/>
      <c r="H1423" s="49" t="s">
        <v>13923</v>
      </c>
      <c r="I1423" s="49" t="s">
        <v>13926</v>
      </c>
      <c r="J1423" s="49" t="s">
        <v>13924</v>
      </c>
      <c r="K1423" s="49" t="s">
        <v>13925</v>
      </c>
      <c r="L1423" s="49">
        <v>0</v>
      </c>
      <c r="M1423" s="49" t="s">
        <v>2636</v>
      </c>
      <c r="N1423" s="49" t="s">
        <v>2093</v>
      </c>
      <c r="O1423" s="49">
        <v>9</v>
      </c>
      <c r="P1423" s="49" t="s">
        <v>13927</v>
      </c>
      <c r="Q1423" s="49">
        <v>0</v>
      </c>
      <c r="R1423" s="49" t="s">
        <v>13928</v>
      </c>
      <c r="S1423" s="49" t="s">
        <v>13929</v>
      </c>
      <c r="T1423" s="49" t="s">
        <v>13930</v>
      </c>
      <c r="U1423" s="49" t="s">
        <v>655</v>
      </c>
      <c r="V1423" s="49" t="e">
        <v>#REF!</v>
      </c>
      <c r="AC1423" s="49"/>
      <c r="AD1423" s="49"/>
    </row>
    <row r="1424" spans="1:30" hidden="1" x14ac:dyDescent="0.3">
      <c r="A1424" s="49" t="s">
        <v>13931</v>
      </c>
      <c r="B1424" s="49">
        <v>0</v>
      </c>
      <c r="C1424" s="49"/>
      <c r="D1424" s="72" t="s">
        <v>717</v>
      </c>
      <c r="E1424" s="49" t="s">
        <v>3754</v>
      </c>
      <c r="F1424" s="49"/>
      <c r="G1424" s="49"/>
      <c r="H1424" s="49" t="s">
        <v>13932</v>
      </c>
      <c r="I1424" s="49" t="s">
        <v>13935</v>
      </c>
      <c r="J1424" s="49" t="s">
        <v>13933</v>
      </c>
      <c r="K1424" s="49" t="s">
        <v>13934</v>
      </c>
      <c r="L1424" s="49">
        <v>0</v>
      </c>
      <c r="M1424" s="49" t="s">
        <v>1764</v>
      </c>
      <c r="N1424" s="49" t="s">
        <v>13936</v>
      </c>
      <c r="O1424" s="49">
        <v>32</v>
      </c>
      <c r="P1424" s="49" t="s">
        <v>13937</v>
      </c>
      <c r="Q1424" s="49">
        <v>0</v>
      </c>
      <c r="R1424" s="49" t="s">
        <v>13938</v>
      </c>
      <c r="S1424" s="49" t="s">
        <v>13939</v>
      </c>
      <c r="T1424" s="49" t="s">
        <v>646</v>
      </c>
      <c r="U1424" s="49" t="s">
        <v>670</v>
      </c>
      <c r="V1424" s="49" t="e">
        <v>#REF!</v>
      </c>
      <c r="AC1424" s="49"/>
      <c r="AD1424" s="49"/>
    </row>
    <row r="1425" spans="1:30" hidden="1" x14ac:dyDescent="0.3">
      <c r="A1425" s="49" t="s">
        <v>13940</v>
      </c>
      <c r="B1425" s="49">
        <v>0</v>
      </c>
      <c r="C1425" s="49"/>
      <c r="D1425" s="72" t="s">
        <v>717</v>
      </c>
      <c r="E1425" s="49" t="s">
        <v>3754</v>
      </c>
      <c r="F1425" s="49"/>
      <c r="G1425" s="49"/>
      <c r="H1425" s="49" t="s">
        <v>13941</v>
      </c>
      <c r="I1425" s="49" t="s">
        <v>13944</v>
      </c>
      <c r="J1425" s="49" t="s">
        <v>13942</v>
      </c>
      <c r="K1425" s="49" t="s">
        <v>13943</v>
      </c>
      <c r="L1425" s="49">
        <v>0</v>
      </c>
      <c r="M1425" s="49" t="s">
        <v>2484</v>
      </c>
      <c r="N1425" s="49" t="s">
        <v>13945</v>
      </c>
      <c r="O1425" s="49">
        <v>82</v>
      </c>
      <c r="P1425" s="49" t="s">
        <v>13946</v>
      </c>
      <c r="Q1425" s="49">
        <v>0</v>
      </c>
      <c r="R1425" s="49" t="s">
        <v>13947</v>
      </c>
      <c r="S1425" s="49" t="s">
        <v>13948</v>
      </c>
      <c r="T1425" s="49" t="s">
        <v>13949</v>
      </c>
      <c r="U1425" s="49" t="s">
        <v>791</v>
      </c>
      <c r="V1425" s="49" t="e">
        <v>#REF!</v>
      </c>
      <c r="AC1425" s="49"/>
      <c r="AD1425" s="49"/>
    </row>
    <row r="1426" spans="1:30" hidden="1" x14ac:dyDescent="0.3">
      <c r="A1426" s="49" t="s">
        <v>13950</v>
      </c>
      <c r="B1426" s="49">
        <v>0</v>
      </c>
      <c r="C1426" s="49"/>
      <c r="D1426" s="72" t="s">
        <v>717</v>
      </c>
      <c r="E1426" s="49" t="s">
        <v>3754</v>
      </c>
      <c r="F1426" s="49"/>
      <c r="G1426" s="49"/>
      <c r="H1426" s="49" t="s">
        <v>13951</v>
      </c>
      <c r="I1426" s="49" t="s">
        <v>13954</v>
      </c>
      <c r="J1426" s="49" t="s">
        <v>13952</v>
      </c>
      <c r="K1426" s="49" t="s">
        <v>13953</v>
      </c>
      <c r="L1426" s="49">
        <v>0</v>
      </c>
      <c r="M1426" s="49" t="s">
        <v>2220</v>
      </c>
      <c r="N1426" s="49" t="s">
        <v>13955</v>
      </c>
      <c r="O1426" s="49">
        <v>34</v>
      </c>
      <c r="P1426" s="49" t="s">
        <v>13956</v>
      </c>
      <c r="Q1426" s="49">
        <v>0</v>
      </c>
      <c r="R1426" s="49" t="s">
        <v>13957</v>
      </c>
      <c r="S1426" s="49" t="s">
        <v>13958</v>
      </c>
      <c r="T1426" s="49" t="s">
        <v>13959</v>
      </c>
      <c r="U1426" s="49" t="s">
        <v>655</v>
      </c>
      <c r="V1426" s="49" t="e">
        <v>#REF!</v>
      </c>
      <c r="AC1426" s="49"/>
      <c r="AD1426" s="49"/>
    </row>
    <row r="1427" spans="1:30" hidden="1" x14ac:dyDescent="0.3">
      <c r="A1427" s="49" t="s">
        <v>13960</v>
      </c>
      <c r="B1427" s="49">
        <v>0</v>
      </c>
      <c r="C1427" s="49"/>
      <c r="D1427" s="72" t="s">
        <v>717</v>
      </c>
      <c r="E1427" s="49" t="s">
        <v>3754</v>
      </c>
      <c r="F1427" s="49"/>
      <c r="G1427" s="49"/>
      <c r="H1427" s="49" t="s">
        <v>13961</v>
      </c>
      <c r="I1427" s="49" t="s">
        <v>13964</v>
      </c>
      <c r="J1427" s="49" t="s">
        <v>13962</v>
      </c>
      <c r="K1427" s="49" t="s">
        <v>13963</v>
      </c>
      <c r="L1427" s="49">
        <v>0</v>
      </c>
      <c r="M1427" s="49" t="s">
        <v>2142</v>
      </c>
      <c r="N1427" s="49" t="s">
        <v>11982</v>
      </c>
      <c r="O1427" s="49">
        <v>2</v>
      </c>
      <c r="P1427" s="49" t="s">
        <v>13965</v>
      </c>
      <c r="Q1427" s="49">
        <v>0</v>
      </c>
      <c r="R1427" s="49" t="s">
        <v>13966</v>
      </c>
      <c r="S1427" s="49" t="s">
        <v>13967</v>
      </c>
      <c r="T1427" s="49" t="s">
        <v>646</v>
      </c>
      <c r="U1427" s="49" t="s">
        <v>670</v>
      </c>
      <c r="V1427" s="49" t="e">
        <v>#REF!</v>
      </c>
      <c r="AC1427" s="49"/>
      <c r="AD1427" s="49"/>
    </row>
    <row r="1428" spans="1:30" hidden="1" x14ac:dyDescent="0.3">
      <c r="A1428" s="49" t="s">
        <v>13968</v>
      </c>
      <c r="B1428" s="49">
        <v>0</v>
      </c>
      <c r="C1428" s="49"/>
      <c r="D1428" s="72" t="s">
        <v>717</v>
      </c>
      <c r="E1428" s="49" t="s">
        <v>3754</v>
      </c>
      <c r="F1428" s="49"/>
      <c r="G1428" s="49"/>
      <c r="H1428" s="49" t="s">
        <v>13969</v>
      </c>
      <c r="I1428" s="49" t="s">
        <v>13972</v>
      </c>
      <c r="J1428" s="49" t="s">
        <v>13970</v>
      </c>
      <c r="K1428" s="49" t="s">
        <v>13971</v>
      </c>
      <c r="L1428" s="49">
        <v>0</v>
      </c>
      <c r="M1428" s="49" t="s">
        <v>1764</v>
      </c>
      <c r="N1428" s="49" t="s">
        <v>13973</v>
      </c>
      <c r="O1428" s="49">
        <v>57</v>
      </c>
      <c r="P1428" s="49" t="s">
        <v>13974</v>
      </c>
      <c r="Q1428" s="49">
        <v>0</v>
      </c>
      <c r="R1428" s="49" t="s">
        <v>13975</v>
      </c>
      <c r="S1428" s="49" t="s">
        <v>13976</v>
      </c>
      <c r="T1428" s="49" t="s">
        <v>13977</v>
      </c>
      <c r="U1428" s="49" t="s">
        <v>655</v>
      </c>
      <c r="V1428" s="49" t="e">
        <v>#REF!</v>
      </c>
      <c r="AC1428" s="49"/>
      <c r="AD1428" s="49"/>
    </row>
    <row r="1429" spans="1:30" hidden="1" x14ac:dyDescent="0.3">
      <c r="A1429" s="49" t="s">
        <v>13978</v>
      </c>
      <c r="B1429" s="49">
        <v>0</v>
      </c>
      <c r="C1429" s="49"/>
      <c r="D1429" s="72" t="s">
        <v>717</v>
      </c>
      <c r="E1429" s="49" t="s">
        <v>3754</v>
      </c>
      <c r="F1429" s="49"/>
      <c r="G1429" s="49"/>
      <c r="H1429" s="49" t="s">
        <v>13979</v>
      </c>
      <c r="I1429" s="49" t="s">
        <v>13982</v>
      </c>
      <c r="J1429" s="49" t="s">
        <v>13980</v>
      </c>
      <c r="K1429" s="49" t="s">
        <v>13981</v>
      </c>
      <c r="L1429" s="49">
        <v>0</v>
      </c>
      <c r="M1429" s="49" t="s">
        <v>1826</v>
      </c>
      <c r="N1429" s="49" t="s">
        <v>5865</v>
      </c>
      <c r="O1429" s="49">
        <v>4</v>
      </c>
      <c r="P1429" s="49" t="s">
        <v>13983</v>
      </c>
      <c r="Q1429" s="49">
        <v>0</v>
      </c>
      <c r="R1429" s="49" t="s">
        <v>13984</v>
      </c>
      <c r="S1429" s="49" t="s">
        <v>13985</v>
      </c>
      <c r="T1429" s="49" t="s">
        <v>13986</v>
      </c>
      <c r="U1429" s="49" t="s">
        <v>655</v>
      </c>
      <c r="V1429" s="49" t="e">
        <v>#REF!</v>
      </c>
      <c r="AC1429" s="49"/>
      <c r="AD1429" s="49"/>
    </row>
    <row r="1430" spans="1:30" hidden="1" x14ac:dyDescent="0.3">
      <c r="A1430" s="49" t="s">
        <v>13987</v>
      </c>
      <c r="B1430" s="49">
        <v>0</v>
      </c>
      <c r="C1430" s="49"/>
      <c r="D1430" s="72" t="s">
        <v>717</v>
      </c>
      <c r="E1430" s="49" t="s">
        <v>3754</v>
      </c>
      <c r="F1430" s="49"/>
      <c r="G1430" s="49"/>
      <c r="H1430" s="49" t="s">
        <v>13988</v>
      </c>
      <c r="I1430" s="49" t="s">
        <v>13991</v>
      </c>
      <c r="J1430" s="49" t="s">
        <v>13989</v>
      </c>
      <c r="K1430" s="49" t="s">
        <v>13990</v>
      </c>
      <c r="L1430" s="49">
        <v>0</v>
      </c>
      <c r="M1430" s="49" t="s">
        <v>2484</v>
      </c>
      <c r="N1430" s="49" t="s">
        <v>9449</v>
      </c>
      <c r="O1430" s="49">
        <v>22</v>
      </c>
      <c r="P1430" s="49" t="s">
        <v>13992</v>
      </c>
      <c r="Q1430" s="49">
        <v>0</v>
      </c>
      <c r="R1430" s="49" t="s">
        <v>13993</v>
      </c>
      <c r="S1430" s="49" t="s">
        <v>13994</v>
      </c>
      <c r="T1430" s="49" t="s">
        <v>13995</v>
      </c>
      <c r="U1430" s="49" t="s">
        <v>655</v>
      </c>
      <c r="V1430" s="49" t="e">
        <v>#REF!</v>
      </c>
      <c r="AC1430" s="49"/>
      <c r="AD1430" s="49"/>
    </row>
    <row r="1431" spans="1:30" hidden="1" x14ac:dyDescent="0.3">
      <c r="A1431" s="49" t="s">
        <v>13996</v>
      </c>
      <c r="B1431" s="49">
        <v>0</v>
      </c>
      <c r="C1431" s="49"/>
      <c r="D1431" s="72" t="s">
        <v>717</v>
      </c>
      <c r="E1431" s="49" t="s">
        <v>3754</v>
      </c>
      <c r="F1431" s="49"/>
      <c r="G1431" s="49"/>
      <c r="H1431" s="49" t="s">
        <v>13997</v>
      </c>
      <c r="I1431" s="49" t="s">
        <v>14000</v>
      </c>
      <c r="J1431" s="49" t="s">
        <v>13998</v>
      </c>
      <c r="K1431" s="49" t="s">
        <v>13999</v>
      </c>
      <c r="L1431" s="49">
        <v>0</v>
      </c>
      <c r="M1431" s="49" t="s">
        <v>2484</v>
      </c>
      <c r="N1431" s="49" t="s">
        <v>3661</v>
      </c>
      <c r="O1431" s="49">
        <v>68</v>
      </c>
      <c r="P1431" s="49" t="s">
        <v>14001</v>
      </c>
      <c r="Q1431" s="49">
        <v>0</v>
      </c>
      <c r="R1431" s="49" t="s">
        <v>14002</v>
      </c>
      <c r="S1431" s="49" t="s">
        <v>14003</v>
      </c>
      <c r="T1431" s="49" t="s">
        <v>14004</v>
      </c>
      <c r="U1431" s="49" t="s">
        <v>655</v>
      </c>
      <c r="V1431" s="49" t="e">
        <v>#REF!</v>
      </c>
      <c r="AC1431" s="49"/>
      <c r="AD1431" s="49"/>
    </row>
    <row r="1432" spans="1:30" hidden="1" x14ac:dyDescent="0.3">
      <c r="A1432" s="49" t="s">
        <v>14005</v>
      </c>
      <c r="B1432" s="49">
        <v>0</v>
      </c>
      <c r="C1432" s="49"/>
      <c r="D1432" s="72" t="s">
        <v>717</v>
      </c>
      <c r="E1432" s="49" t="s">
        <v>3754</v>
      </c>
      <c r="F1432" s="49"/>
      <c r="G1432" s="49"/>
      <c r="H1432" s="49" t="s">
        <v>14006</v>
      </c>
      <c r="I1432" s="49" t="s">
        <v>14009</v>
      </c>
      <c r="J1432" s="49" t="s">
        <v>14007</v>
      </c>
      <c r="K1432" s="49" t="s">
        <v>14008</v>
      </c>
      <c r="L1432" s="49">
        <v>0</v>
      </c>
      <c r="M1432" s="49" t="s">
        <v>4114</v>
      </c>
      <c r="N1432" s="49" t="s">
        <v>4288</v>
      </c>
      <c r="O1432" s="49">
        <v>1</v>
      </c>
      <c r="P1432" s="49" t="s">
        <v>14010</v>
      </c>
      <c r="Q1432" s="49">
        <v>0</v>
      </c>
      <c r="R1432" s="49" t="s">
        <v>14011</v>
      </c>
      <c r="S1432" s="49" t="s">
        <v>14012</v>
      </c>
      <c r="T1432" s="49" t="s">
        <v>14013</v>
      </c>
      <c r="U1432" s="49" t="s">
        <v>655</v>
      </c>
      <c r="V1432" s="49" t="e">
        <v>#REF!</v>
      </c>
      <c r="AC1432" s="49"/>
      <c r="AD1432" s="49"/>
    </row>
    <row r="1433" spans="1:30" hidden="1" x14ac:dyDescent="0.3">
      <c r="A1433" s="49" t="s">
        <v>14014</v>
      </c>
      <c r="B1433" s="49">
        <v>0</v>
      </c>
      <c r="C1433" s="49"/>
      <c r="D1433" s="72" t="s">
        <v>717</v>
      </c>
      <c r="E1433" s="49" t="s">
        <v>3754</v>
      </c>
      <c r="F1433" s="49"/>
      <c r="G1433" s="49"/>
      <c r="H1433" s="49" t="s">
        <v>14015</v>
      </c>
      <c r="I1433" s="49" t="s">
        <v>14018</v>
      </c>
      <c r="J1433" s="49" t="s">
        <v>14016</v>
      </c>
      <c r="K1433" s="49" t="s">
        <v>14017</v>
      </c>
      <c r="L1433" s="49">
        <v>0</v>
      </c>
      <c r="M1433" s="49" t="s">
        <v>1826</v>
      </c>
      <c r="N1433" s="49" t="s">
        <v>3690</v>
      </c>
      <c r="P1433" s="49" t="s">
        <v>14019</v>
      </c>
      <c r="Q1433" s="49">
        <v>0</v>
      </c>
      <c r="R1433" s="49" t="s">
        <v>14020</v>
      </c>
      <c r="S1433" s="49" t="s">
        <v>14021</v>
      </c>
      <c r="T1433" s="49" t="s">
        <v>646</v>
      </c>
      <c r="U1433" s="49" t="s">
        <v>670</v>
      </c>
      <c r="V1433" s="49" t="e">
        <v>#REF!</v>
      </c>
      <c r="AC1433" s="49"/>
      <c r="AD1433" s="49"/>
    </row>
    <row r="1434" spans="1:30" hidden="1" x14ac:dyDescent="0.3">
      <c r="A1434" s="49" t="s">
        <v>14022</v>
      </c>
      <c r="B1434" s="49">
        <v>0</v>
      </c>
      <c r="C1434" s="49"/>
      <c r="D1434" s="72" t="s">
        <v>717</v>
      </c>
      <c r="E1434" s="49" t="s">
        <v>3754</v>
      </c>
      <c r="F1434" s="49"/>
      <c r="G1434" s="49"/>
      <c r="H1434" s="49" t="s">
        <v>14023</v>
      </c>
      <c r="I1434" s="49" t="s">
        <v>14026</v>
      </c>
      <c r="J1434" s="49" t="s">
        <v>14024</v>
      </c>
      <c r="K1434" s="49" t="s">
        <v>14025</v>
      </c>
      <c r="L1434" s="49">
        <v>0</v>
      </c>
      <c r="M1434" s="49" t="s">
        <v>1764</v>
      </c>
      <c r="N1434" s="49" t="s">
        <v>9611</v>
      </c>
      <c r="O1434" s="49">
        <v>16</v>
      </c>
      <c r="P1434" s="49" t="s">
        <v>14027</v>
      </c>
      <c r="Q1434" s="49">
        <v>0</v>
      </c>
      <c r="R1434" s="49" t="s">
        <v>14028</v>
      </c>
      <c r="S1434" s="49" t="s">
        <v>14029</v>
      </c>
      <c r="T1434" s="49" t="s">
        <v>14030</v>
      </c>
      <c r="U1434" s="49" t="s">
        <v>655</v>
      </c>
      <c r="V1434" s="49" t="e">
        <v>#REF!</v>
      </c>
      <c r="AC1434" s="49"/>
      <c r="AD1434" s="49"/>
    </row>
    <row r="1435" spans="1:30" hidden="1" x14ac:dyDescent="0.3">
      <c r="A1435" s="49" t="s">
        <v>14031</v>
      </c>
      <c r="B1435" s="49">
        <v>0</v>
      </c>
      <c r="C1435" s="49"/>
      <c r="D1435" s="72" t="s">
        <v>717</v>
      </c>
      <c r="E1435" s="49" t="s">
        <v>3754</v>
      </c>
      <c r="F1435" s="49"/>
      <c r="G1435" s="49"/>
      <c r="H1435" s="49" t="s">
        <v>14032</v>
      </c>
      <c r="I1435" s="49" t="s">
        <v>14035</v>
      </c>
      <c r="J1435" s="49" t="s">
        <v>14033</v>
      </c>
      <c r="K1435" s="49" t="s">
        <v>14034</v>
      </c>
      <c r="L1435" s="49">
        <v>0</v>
      </c>
      <c r="M1435" s="49" t="s">
        <v>1826</v>
      </c>
      <c r="N1435" s="49" t="s">
        <v>6970</v>
      </c>
      <c r="O1435" s="49">
        <v>2</v>
      </c>
      <c r="P1435" s="49" t="s">
        <v>14036</v>
      </c>
      <c r="Q1435" s="49">
        <v>0</v>
      </c>
      <c r="R1435" s="49" t="s">
        <v>14037</v>
      </c>
      <c r="S1435" s="49" t="s">
        <v>14038</v>
      </c>
      <c r="T1435" s="49" t="s">
        <v>14039</v>
      </c>
      <c r="U1435" s="49" t="s">
        <v>670</v>
      </c>
      <c r="V1435" s="49" t="e">
        <v>#REF!</v>
      </c>
      <c r="AC1435" s="49"/>
      <c r="AD1435" s="49"/>
    </row>
    <row r="1436" spans="1:30" hidden="1" x14ac:dyDescent="0.3">
      <c r="A1436" s="49" t="s">
        <v>14040</v>
      </c>
      <c r="B1436" s="49">
        <v>0</v>
      </c>
      <c r="C1436" s="49"/>
      <c r="D1436" s="72" t="s">
        <v>717</v>
      </c>
      <c r="E1436" s="49" t="s">
        <v>3754</v>
      </c>
      <c r="F1436" s="49"/>
      <c r="G1436" s="49"/>
      <c r="H1436" s="49" t="s">
        <v>14041</v>
      </c>
      <c r="I1436" s="49" t="s">
        <v>14044</v>
      </c>
      <c r="J1436" s="49" t="s">
        <v>14042</v>
      </c>
      <c r="K1436" s="49" t="s">
        <v>14043</v>
      </c>
      <c r="L1436" s="49">
        <v>0</v>
      </c>
      <c r="M1436" s="49" t="s">
        <v>2142</v>
      </c>
      <c r="N1436" s="49" t="s">
        <v>14045</v>
      </c>
      <c r="O1436" s="49">
        <v>91</v>
      </c>
      <c r="P1436" s="49" t="s">
        <v>14046</v>
      </c>
      <c r="Q1436" s="49">
        <v>0</v>
      </c>
      <c r="R1436" s="49" t="s">
        <v>14047</v>
      </c>
      <c r="S1436" s="49" t="s">
        <v>14048</v>
      </c>
      <c r="T1436" s="49" t="s">
        <v>646</v>
      </c>
      <c r="U1436" s="49" t="s">
        <v>670</v>
      </c>
      <c r="V1436" s="49" t="e">
        <v>#REF!</v>
      </c>
      <c r="AC1436" s="49"/>
      <c r="AD1436" s="49"/>
    </row>
    <row r="1437" spans="1:30" hidden="1" x14ac:dyDescent="0.3">
      <c r="A1437" s="49" t="s">
        <v>14049</v>
      </c>
      <c r="B1437" s="49">
        <v>0</v>
      </c>
      <c r="C1437" s="49"/>
      <c r="D1437" s="72" t="s">
        <v>717</v>
      </c>
      <c r="E1437" s="49" t="s">
        <v>3754</v>
      </c>
      <c r="F1437" s="49"/>
      <c r="G1437" s="49"/>
      <c r="H1437" s="49" t="s">
        <v>14050</v>
      </c>
      <c r="I1437" s="49" t="s">
        <v>7987</v>
      </c>
      <c r="J1437" s="49" t="s">
        <v>7985</v>
      </c>
      <c r="K1437" s="49" t="s">
        <v>14051</v>
      </c>
      <c r="L1437" s="49">
        <v>0</v>
      </c>
      <c r="M1437" s="49" t="s">
        <v>2456</v>
      </c>
      <c r="N1437" s="49" t="s">
        <v>1382</v>
      </c>
      <c r="O1437" s="49">
        <v>6</v>
      </c>
      <c r="P1437" s="49" t="s">
        <v>14052</v>
      </c>
      <c r="Q1437" s="49">
        <v>0</v>
      </c>
      <c r="R1437" s="49" t="s">
        <v>7989</v>
      </c>
      <c r="S1437" s="49" t="s">
        <v>14053</v>
      </c>
      <c r="T1437" s="49" t="s">
        <v>7991</v>
      </c>
      <c r="U1437" s="49" t="s">
        <v>670</v>
      </c>
      <c r="V1437" s="49" t="e">
        <v>#REF!</v>
      </c>
      <c r="AC1437" s="49"/>
      <c r="AD1437" s="49"/>
    </row>
    <row r="1438" spans="1:30" hidden="1" x14ac:dyDescent="0.3">
      <c r="A1438" s="49" t="s">
        <v>14054</v>
      </c>
      <c r="B1438" s="49">
        <v>0</v>
      </c>
      <c r="C1438" s="49"/>
      <c r="D1438" s="72" t="s">
        <v>717</v>
      </c>
      <c r="E1438" s="49" t="s">
        <v>3754</v>
      </c>
      <c r="F1438" s="49"/>
      <c r="G1438" s="49"/>
      <c r="H1438" s="49" t="s">
        <v>14055</v>
      </c>
      <c r="I1438" s="49" t="s">
        <v>14058</v>
      </c>
      <c r="J1438" s="49" t="s">
        <v>14056</v>
      </c>
      <c r="K1438" s="49" t="s">
        <v>14057</v>
      </c>
      <c r="L1438" s="49">
        <v>0</v>
      </c>
      <c r="M1438" s="49" t="s">
        <v>6445</v>
      </c>
      <c r="N1438" s="49" t="s">
        <v>14059</v>
      </c>
      <c r="O1438" s="49">
        <v>18</v>
      </c>
      <c r="P1438" s="49" t="s">
        <v>14060</v>
      </c>
      <c r="Q1438" s="49">
        <v>0</v>
      </c>
      <c r="R1438" s="49" t="s">
        <v>14061</v>
      </c>
      <c r="S1438" s="49" t="s">
        <v>14062</v>
      </c>
      <c r="T1438" s="49" t="s">
        <v>14063</v>
      </c>
      <c r="U1438" s="49" t="s">
        <v>655</v>
      </c>
      <c r="V1438" s="49" t="e">
        <v>#REF!</v>
      </c>
      <c r="AC1438" s="49"/>
      <c r="AD1438" s="49"/>
    </row>
    <row r="1439" spans="1:30" hidden="1" x14ac:dyDescent="0.3">
      <c r="A1439" s="49" t="s">
        <v>14064</v>
      </c>
      <c r="B1439" s="49">
        <v>0</v>
      </c>
      <c r="C1439" s="49"/>
      <c r="D1439" s="72" t="s">
        <v>717</v>
      </c>
      <c r="E1439" s="49" t="s">
        <v>3754</v>
      </c>
      <c r="F1439" s="49"/>
      <c r="G1439" s="49"/>
      <c r="H1439" s="49" t="s">
        <v>14065</v>
      </c>
      <c r="I1439" s="49" t="s">
        <v>14068</v>
      </c>
      <c r="J1439" s="49" t="s">
        <v>14066</v>
      </c>
      <c r="K1439" s="49" t="s">
        <v>14067</v>
      </c>
      <c r="L1439" s="49">
        <v>0</v>
      </c>
      <c r="M1439" s="49" t="s">
        <v>1764</v>
      </c>
      <c r="N1439" s="49" t="s">
        <v>14069</v>
      </c>
      <c r="O1439" s="49">
        <v>1</v>
      </c>
      <c r="P1439" s="49" t="s">
        <v>14070</v>
      </c>
      <c r="Q1439" s="49">
        <v>0</v>
      </c>
      <c r="R1439" s="49" t="s">
        <v>14071</v>
      </c>
      <c r="S1439" s="49" t="s">
        <v>14072</v>
      </c>
      <c r="T1439" s="49" t="s">
        <v>14073</v>
      </c>
      <c r="U1439" s="49" t="s">
        <v>655</v>
      </c>
      <c r="V1439" s="49" t="e">
        <v>#REF!</v>
      </c>
      <c r="AC1439" s="49"/>
      <c r="AD1439" s="49"/>
    </row>
    <row r="1440" spans="1:30" hidden="1" x14ac:dyDescent="0.3">
      <c r="A1440" s="49" t="s">
        <v>14074</v>
      </c>
      <c r="B1440" s="49">
        <v>0</v>
      </c>
      <c r="C1440" s="49"/>
      <c r="D1440" s="72" t="s">
        <v>717</v>
      </c>
      <c r="E1440" s="49" t="s">
        <v>3754</v>
      </c>
      <c r="F1440" s="49"/>
      <c r="G1440" s="49"/>
      <c r="H1440" s="49" t="s">
        <v>14075</v>
      </c>
      <c r="I1440" s="49" t="s">
        <v>14078</v>
      </c>
      <c r="J1440" s="49" t="s">
        <v>14076</v>
      </c>
      <c r="K1440" s="49" t="s">
        <v>14077</v>
      </c>
      <c r="L1440" s="49">
        <v>0</v>
      </c>
      <c r="M1440" s="49" t="s">
        <v>2484</v>
      </c>
      <c r="N1440" s="49" t="s">
        <v>697</v>
      </c>
      <c r="O1440" s="49">
        <v>35</v>
      </c>
      <c r="P1440" s="49" t="s">
        <v>14079</v>
      </c>
      <c r="Q1440" s="49">
        <v>0</v>
      </c>
      <c r="R1440" s="49" t="s">
        <v>14080</v>
      </c>
      <c r="S1440" s="49" t="s">
        <v>14081</v>
      </c>
      <c r="T1440" s="49" t="s">
        <v>14082</v>
      </c>
      <c r="U1440" s="49" t="s">
        <v>655</v>
      </c>
      <c r="V1440" s="49" t="e">
        <v>#REF!</v>
      </c>
      <c r="AC1440" s="49"/>
      <c r="AD1440" s="49"/>
    </row>
    <row r="1441" spans="1:30" hidden="1" x14ac:dyDescent="0.3">
      <c r="A1441" s="49" t="s">
        <v>14083</v>
      </c>
      <c r="B1441" s="49">
        <v>0</v>
      </c>
      <c r="C1441" s="49"/>
      <c r="D1441" s="72" t="s">
        <v>717</v>
      </c>
      <c r="E1441" s="49" t="s">
        <v>3754</v>
      </c>
      <c r="F1441" s="49"/>
      <c r="G1441" s="49"/>
      <c r="H1441" s="49" t="s">
        <v>14084</v>
      </c>
      <c r="I1441" s="49" t="s">
        <v>14087</v>
      </c>
      <c r="J1441" s="49" t="s">
        <v>14085</v>
      </c>
      <c r="K1441" s="49" t="s">
        <v>14086</v>
      </c>
      <c r="L1441" s="49">
        <v>0</v>
      </c>
      <c r="M1441" s="49" t="s">
        <v>2484</v>
      </c>
      <c r="N1441" s="49" t="s">
        <v>14088</v>
      </c>
      <c r="O1441" s="49">
        <v>3</v>
      </c>
      <c r="P1441" s="49" t="s">
        <v>14089</v>
      </c>
      <c r="Q1441" s="49">
        <v>0</v>
      </c>
      <c r="R1441" s="49" t="s">
        <v>14090</v>
      </c>
      <c r="S1441" s="49" t="s">
        <v>14091</v>
      </c>
      <c r="T1441" s="49" t="s">
        <v>14092</v>
      </c>
      <c r="U1441" s="49" t="s">
        <v>655</v>
      </c>
      <c r="V1441" s="49" t="e">
        <v>#REF!</v>
      </c>
      <c r="AC1441" s="49"/>
      <c r="AD1441" s="49"/>
    </row>
    <row r="1442" spans="1:30" hidden="1" x14ac:dyDescent="0.3">
      <c r="A1442" s="49" t="s">
        <v>14093</v>
      </c>
      <c r="B1442" s="49">
        <v>0</v>
      </c>
      <c r="C1442" s="49"/>
      <c r="D1442" s="72" t="s">
        <v>717</v>
      </c>
      <c r="E1442" s="49" t="s">
        <v>3754</v>
      </c>
      <c r="F1442" s="49"/>
      <c r="G1442" s="49"/>
      <c r="H1442" s="49" t="s">
        <v>646</v>
      </c>
      <c r="I1442" s="49" t="s">
        <v>14096</v>
      </c>
      <c r="J1442" s="49" t="s">
        <v>14094</v>
      </c>
      <c r="K1442" s="49" t="s">
        <v>14095</v>
      </c>
      <c r="L1442" s="49">
        <v>0</v>
      </c>
      <c r="M1442" s="49" t="s">
        <v>6445</v>
      </c>
      <c r="N1442" s="49" t="s">
        <v>14097</v>
      </c>
      <c r="P1442" s="49" t="s">
        <v>14098</v>
      </c>
      <c r="Q1442" s="49">
        <v>0</v>
      </c>
      <c r="R1442" s="49" t="s">
        <v>14099</v>
      </c>
      <c r="S1442" s="49" t="s">
        <v>14100</v>
      </c>
      <c r="T1442" s="49" t="s">
        <v>14101</v>
      </c>
      <c r="U1442" s="49" t="s">
        <v>670</v>
      </c>
      <c r="V1442" s="49" t="e">
        <v>#REF!</v>
      </c>
      <c r="AC1442" s="49"/>
      <c r="AD1442" s="49"/>
    </row>
    <row r="1443" spans="1:30" hidden="1" x14ac:dyDescent="0.3">
      <c r="A1443" s="49" t="s">
        <v>14102</v>
      </c>
      <c r="B1443" s="49">
        <v>0</v>
      </c>
      <c r="C1443" s="49"/>
      <c r="D1443" s="72" t="s">
        <v>717</v>
      </c>
      <c r="E1443" s="49" t="s">
        <v>3754</v>
      </c>
      <c r="F1443" s="49"/>
      <c r="G1443" s="49"/>
      <c r="H1443" s="49" t="s">
        <v>14103</v>
      </c>
      <c r="I1443" s="49" t="s">
        <v>14106</v>
      </c>
      <c r="J1443" s="49" t="s">
        <v>14104</v>
      </c>
      <c r="K1443" s="49" t="s">
        <v>14105</v>
      </c>
      <c r="L1443" s="49">
        <v>0</v>
      </c>
      <c r="M1443" s="49" t="s">
        <v>1826</v>
      </c>
      <c r="N1443" s="49" t="s">
        <v>14107</v>
      </c>
      <c r="O1443" s="49">
        <v>8</v>
      </c>
      <c r="P1443" s="49" t="s">
        <v>14108</v>
      </c>
      <c r="Q1443" s="49">
        <v>0</v>
      </c>
      <c r="R1443" s="49" t="s">
        <v>14109</v>
      </c>
      <c r="S1443" s="49" t="s">
        <v>14110</v>
      </c>
      <c r="T1443" s="49" t="s">
        <v>646</v>
      </c>
      <c r="U1443" s="49" t="s">
        <v>670</v>
      </c>
      <c r="V1443" s="49" t="e">
        <v>#REF!</v>
      </c>
      <c r="AC1443" s="49"/>
      <c r="AD1443" s="49"/>
    </row>
    <row r="1444" spans="1:30" hidden="1" x14ac:dyDescent="0.3">
      <c r="A1444" s="49" t="s">
        <v>14111</v>
      </c>
      <c r="B1444" s="49">
        <v>0</v>
      </c>
      <c r="C1444" s="49"/>
      <c r="D1444" s="72" t="s">
        <v>717</v>
      </c>
      <c r="E1444" s="49" t="s">
        <v>3754</v>
      </c>
      <c r="F1444" s="49"/>
      <c r="G1444" s="49"/>
      <c r="H1444" s="49" t="s">
        <v>14112</v>
      </c>
      <c r="I1444" s="49" t="s">
        <v>14115</v>
      </c>
      <c r="J1444" s="49" t="s">
        <v>14113</v>
      </c>
      <c r="K1444" s="49" t="s">
        <v>14114</v>
      </c>
      <c r="L1444" s="49">
        <v>0</v>
      </c>
      <c r="M1444" s="49" t="s">
        <v>1865</v>
      </c>
      <c r="N1444" s="49" t="s">
        <v>14116</v>
      </c>
      <c r="O1444" s="49">
        <v>5</v>
      </c>
      <c r="P1444" s="49" t="s">
        <v>14117</v>
      </c>
      <c r="Q1444" s="49">
        <v>0</v>
      </c>
      <c r="R1444" s="49" t="s">
        <v>14118</v>
      </c>
      <c r="S1444" s="49" t="s">
        <v>14119</v>
      </c>
      <c r="T1444" s="49" t="s">
        <v>2267</v>
      </c>
      <c r="U1444" s="49" t="s">
        <v>655</v>
      </c>
      <c r="V1444" s="49" t="e">
        <v>#REF!</v>
      </c>
      <c r="AC1444" s="49"/>
      <c r="AD1444" s="49"/>
    </row>
    <row r="1445" spans="1:30" hidden="1" x14ac:dyDescent="0.3">
      <c r="A1445" s="49" t="s">
        <v>14120</v>
      </c>
      <c r="B1445" s="49">
        <v>0</v>
      </c>
      <c r="C1445" s="49"/>
      <c r="D1445" s="72" t="s">
        <v>717</v>
      </c>
      <c r="E1445" s="49" t="s">
        <v>3754</v>
      </c>
      <c r="F1445" s="49"/>
      <c r="G1445" s="49"/>
      <c r="H1445" s="49" t="s">
        <v>14121</v>
      </c>
      <c r="I1445" s="49" t="s">
        <v>14124</v>
      </c>
      <c r="J1445" s="49" t="s">
        <v>14122</v>
      </c>
      <c r="K1445" s="49" t="s">
        <v>14123</v>
      </c>
      <c r="L1445" s="49">
        <v>0</v>
      </c>
      <c r="M1445" s="49" t="s">
        <v>1777</v>
      </c>
      <c r="N1445" s="49" t="s">
        <v>13732</v>
      </c>
      <c r="O1445" s="49">
        <v>152</v>
      </c>
      <c r="P1445" s="49" t="s">
        <v>14125</v>
      </c>
      <c r="Q1445" s="49">
        <v>0</v>
      </c>
      <c r="R1445" s="49" t="s">
        <v>14126</v>
      </c>
      <c r="S1445" s="49" t="s">
        <v>14127</v>
      </c>
      <c r="T1445" s="49" t="s">
        <v>646</v>
      </c>
      <c r="U1445" s="49" t="s">
        <v>670</v>
      </c>
      <c r="V1445" s="49" t="e">
        <v>#REF!</v>
      </c>
      <c r="AC1445" s="49"/>
      <c r="AD1445" s="49"/>
    </row>
    <row r="1446" spans="1:30" hidden="1" x14ac:dyDescent="0.3">
      <c r="A1446" s="49" t="s">
        <v>953</v>
      </c>
      <c r="B1446" s="49">
        <v>0</v>
      </c>
      <c r="C1446" s="49"/>
      <c r="D1446" s="72" t="s">
        <v>717</v>
      </c>
      <c r="E1446" s="49" t="s">
        <v>3754</v>
      </c>
      <c r="F1446" s="49"/>
      <c r="G1446" s="49"/>
      <c r="H1446" s="49" t="s">
        <v>955</v>
      </c>
      <c r="I1446" s="49" t="s">
        <v>956</v>
      </c>
      <c r="J1446" s="49" t="s">
        <v>957</v>
      </c>
      <c r="K1446" s="49" t="s">
        <v>958</v>
      </c>
      <c r="L1446" s="49">
        <v>0</v>
      </c>
      <c r="M1446" s="49" t="s">
        <v>2484</v>
      </c>
      <c r="N1446" s="49" t="s">
        <v>959</v>
      </c>
      <c r="O1446" s="49">
        <v>1</v>
      </c>
      <c r="P1446" s="49" t="s">
        <v>960</v>
      </c>
      <c r="Q1446" s="49">
        <v>0</v>
      </c>
      <c r="R1446" s="49" t="s">
        <v>961</v>
      </c>
      <c r="S1446" s="49" t="s">
        <v>962</v>
      </c>
      <c r="T1446" s="49" t="s">
        <v>646</v>
      </c>
      <c r="U1446" s="49" t="s">
        <v>670</v>
      </c>
      <c r="V1446" s="49" t="e">
        <v>#REF!</v>
      </c>
      <c r="AC1446" s="49"/>
      <c r="AD1446" s="49"/>
    </row>
    <row r="1447" spans="1:30" hidden="1" x14ac:dyDescent="0.3">
      <c r="A1447" s="49" t="s">
        <v>14128</v>
      </c>
      <c r="B1447" s="49">
        <v>0</v>
      </c>
      <c r="C1447" s="49"/>
      <c r="D1447" s="72" t="s">
        <v>717</v>
      </c>
      <c r="E1447" s="49" t="s">
        <v>3754</v>
      </c>
      <c r="F1447" s="49"/>
      <c r="G1447" s="49"/>
      <c r="H1447" s="49" t="s">
        <v>14129</v>
      </c>
      <c r="I1447" s="49" t="s">
        <v>14132</v>
      </c>
      <c r="J1447" s="49" t="s">
        <v>14130</v>
      </c>
      <c r="K1447" s="49" t="s">
        <v>14131</v>
      </c>
      <c r="L1447" s="49">
        <v>0</v>
      </c>
      <c r="M1447" s="49" t="s">
        <v>1777</v>
      </c>
      <c r="N1447" s="49" t="s">
        <v>14133</v>
      </c>
      <c r="O1447" s="49">
        <v>19</v>
      </c>
      <c r="P1447" s="49" t="s">
        <v>14134</v>
      </c>
      <c r="Q1447" s="49">
        <v>0</v>
      </c>
      <c r="R1447" s="49" t="s">
        <v>14135</v>
      </c>
      <c r="S1447" s="49" t="s">
        <v>14136</v>
      </c>
      <c r="T1447" s="49" t="s">
        <v>14137</v>
      </c>
      <c r="U1447" s="49" t="s">
        <v>655</v>
      </c>
      <c r="V1447" s="49" t="e">
        <v>#REF!</v>
      </c>
      <c r="AC1447" s="49"/>
      <c r="AD1447" s="49"/>
    </row>
    <row r="1448" spans="1:30" hidden="1" x14ac:dyDescent="0.3">
      <c r="A1448" s="49" t="s">
        <v>14138</v>
      </c>
      <c r="B1448" s="49">
        <v>0</v>
      </c>
      <c r="C1448" s="49"/>
      <c r="D1448" s="72" t="s">
        <v>717</v>
      </c>
      <c r="E1448" s="49" t="s">
        <v>3754</v>
      </c>
      <c r="F1448" s="49"/>
      <c r="G1448" s="49"/>
      <c r="H1448" s="49" t="s">
        <v>14139</v>
      </c>
      <c r="I1448" s="49" t="s">
        <v>14142</v>
      </c>
      <c r="J1448" s="49" t="s">
        <v>14140</v>
      </c>
      <c r="K1448" s="49" t="s">
        <v>14141</v>
      </c>
      <c r="L1448" s="49">
        <v>0</v>
      </c>
      <c r="M1448" s="49" t="s">
        <v>1865</v>
      </c>
      <c r="N1448" s="49" t="s">
        <v>5112</v>
      </c>
      <c r="O1448" s="49">
        <v>17</v>
      </c>
      <c r="P1448" s="49" t="s">
        <v>14143</v>
      </c>
      <c r="Q1448" s="49">
        <v>0</v>
      </c>
      <c r="R1448" s="49" t="s">
        <v>14144</v>
      </c>
      <c r="S1448" s="49" t="s">
        <v>14145</v>
      </c>
      <c r="T1448" s="49" t="s">
        <v>14146</v>
      </c>
      <c r="U1448" s="49" t="s">
        <v>655</v>
      </c>
      <c r="V1448" s="49" t="e">
        <v>#REF!</v>
      </c>
      <c r="AC1448" s="49"/>
      <c r="AD1448" s="49"/>
    </row>
    <row r="1449" spans="1:30" hidden="1" x14ac:dyDescent="0.3">
      <c r="A1449" s="49" t="s">
        <v>14147</v>
      </c>
      <c r="B1449" s="49">
        <v>0</v>
      </c>
      <c r="C1449" s="49"/>
      <c r="D1449" s="72" t="s">
        <v>717</v>
      </c>
      <c r="E1449" s="49" t="s">
        <v>3754</v>
      </c>
      <c r="F1449" s="49"/>
      <c r="G1449" s="49"/>
      <c r="H1449" s="49" t="s">
        <v>14148</v>
      </c>
      <c r="I1449" s="49" t="s">
        <v>14151</v>
      </c>
      <c r="J1449" s="49" t="s">
        <v>14149</v>
      </c>
      <c r="K1449" s="49" t="s">
        <v>14150</v>
      </c>
      <c r="L1449" s="49">
        <v>0</v>
      </c>
      <c r="M1449" s="49" t="s">
        <v>1826</v>
      </c>
      <c r="N1449" s="49" t="s">
        <v>14152</v>
      </c>
      <c r="O1449" s="49">
        <v>2</v>
      </c>
      <c r="P1449" s="49" t="s">
        <v>14153</v>
      </c>
      <c r="Q1449" s="49">
        <v>0</v>
      </c>
      <c r="R1449" s="49" t="s">
        <v>14154</v>
      </c>
      <c r="S1449" s="49" t="s">
        <v>14155</v>
      </c>
      <c r="T1449" s="49" t="s">
        <v>646</v>
      </c>
      <c r="U1449" s="49" t="s">
        <v>670</v>
      </c>
      <c r="V1449" s="49" t="e">
        <v>#REF!</v>
      </c>
      <c r="AC1449" s="49"/>
      <c r="AD1449" s="49"/>
    </row>
    <row r="1450" spans="1:30" hidden="1" x14ac:dyDescent="0.3">
      <c r="A1450" s="49" t="s">
        <v>14156</v>
      </c>
      <c r="B1450" s="49">
        <v>0</v>
      </c>
      <c r="C1450" s="49"/>
      <c r="D1450" s="72" t="s">
        <v>717</v>
      </c>
      <c r="E1450" s="49" t="s">
        <v>3754</v>
      </c>
      <c r="F1450" s="49"/>
      <c r="G1450" s="49"/>
      <c r="H1450" s="49" t="s">
        <v>14157</v>
      </c>
      <c r="I1450" s="49" t="s">
        <v>14160</v>
      </c>
      <c r="J1450" s="49" t="s">
        <v>14158</v>
      </c>
      <c r="K1450" s="49" t="s">
        <v>14159</v>
      </c>
      <c r="L1450" s="49">
        <v>0</v>
      </c>
      <c r="M1450" s="49" t="s">
        <v>2484</v>
      </c>
      <c r="N1450" s="49" t="s">
        <v>7379</v>
      </c>
      <c r="O1450" s="49">
        <v>2</v>
      </c>
      <c r="P1450" s="49" t="s">
        <v>14161</v>
      </c>
      <c r="Q1450" s="49">
        <v>0</v>
      </c>
      <c r="R1450" s="49" t="s">
        <v>14162</v>
      </c>
      <c r="S1450" s="49" t="s">
        <v>14163</v>
      </c>
      <c r="T1450" s="49" t="s">
        <v>14164</v>
      </c>
      <c r="U1450" s="49" t="s">
        <v>655</v>
      </c>
      <c r="V1450" s="49" t="e">
        <v>#REF!</v>
      </c>
      <c r="AC1450" s="49"/>
      <c r="AD1450" s="49"/>
    </row>
    <row r="1451" spans="1:30" hidden="1" x14ac:dyDescent="0.3">
      <c r="A1451" s="49" t="s">
        <v>14165</v>
      </c>
      <c r="B1451" s="49">
        <v>0</v>
      </c>
      <c r="C1451" s="49"/>
      <c r="D1451" s="72" t="s">
        <v>717</v>
      </c>
      <c r="E1451" s="49" t="s">
        <v>3754</v>
      </c>
      <c r="F1451" s="49"/>
      <c r="G1451" s="49"/>
      <c r="H1451" s="49" t="s">
        <v>14166</v>
      </c>
      <c r="I1451" s="49" t="s">
        <v>14169</v>
      </c>
      <c r="J1451" s="49" t="s">
        <v>14167</v>
      </c>
      <c r="K1451" s="49" t="s">
        <v>14168</v>
      </c>
      <c r="L1451" s="49">
        <v>0</v>
      </c>
      <c r="M1451" s="49" t="s">
        <v>1865</v>
      </c>
      <c r="N1451" s="49" t="s">
        <v>14170</v>
      </c>
      <c r="O1451" s="49">
        <v>3</v>
      </c>
      <c r="P1451" s="49" t="s">
        <v>14171</v>
      </c>
      <c r="Q1451" s="49">
        <v>0</v>
      </c>
      <c r="R1451" s="49" t="s">
        <v>14172</v>
      </c>
      <c r="S1451" s="49" t="s">
        <v>14173</v>
      </c>
      <c r="T1451" s="49" t="s">
        <v>14174</v>
      </c>
      <c r="U1451" s="49" t="s">
        <v>655</v>
      </c>
      <c r="V1451" s="49" t="e">
        <v>#REF!</v>
      </c>
      <c r="AC1451" s="49"/>
      <c r="AD1451" s="49"/>
    </row>
    <row r="1452" spans="1:30" hidden="1" x14ac:dyDescent="0.3">
      <c r="A1452" s="49" t="s">
        <v>14175</v>
      </c>
      <c r="B1452" s="49">
        <v>0</v>
      </c>
      <c r="C1452" s="49"/>
      <c r="D1452" s="72" t="s">
        <v>717</v>
      </c>
      <c r="E1452" s="49" t="s">
        <v>3754</v>
      </c>
      <c r="F1452" s="49"/>
      <c r="G1452" s="49"/>
      <c r="H1452" s="49" t="s">
        <v>14176</v>
      </c>
      <c r="I1452" s="49" t="s">
        <v>14179</v>
      </c>
      <c r="J1452" s="49" t="s">
        <v>14177</v>
      </c>
      <c r="K1452" s="49" t="s">
        <v>14178</v>
      </c>
      <c r="L1452" s="49">
        <v>0</v>
      </c>
      <c r="M1452" s="49" t="s">
        <v>1745</v>
      </c>
      <c r="N1452" s="49" t="s">
        <v>14180</v>
      </c>
      <c r="O1452" s="49">
        <v>5</v>
      </c>
      <c r="P1452" s="49" t="s">
        <v>14181</v>
      </c>
      <c r="Q1452" s="49">
        <v>0</v>
      </c>
      <c r="R1452" s="49" t="s">
        <v>14182</v>
      </c>
      <c r="S1452" s="49" t="s">
        <v>14183</v>
      </c>
      <c r="T1452" s="49" t="s">
        <v>14184</v>
      </c>
      <c r="U1452" s="49" t="s">
        <v>655</v>
      </c>
      <c r="V1452" s="49" t="e">
        <v>#REF!</v>
      </c>
      <c r="AC1452" s="49"/>
      <c r="AD1452" s="49"/>
    </row>
    <row r="1453" spans="1:30" hidden="1" x14ac:dyDescent="0.3">
      <c r="A1453" s="49" t="s">
        <v>14185</v>
      </c>
      <c r="B1453" s="49">
        <v>0</v>
      </c>
      <c r="C1453" s="49"/>
      <c r="D1453" s="72" t="s">
        <v>717</v>
      </c>
      <c r="E1453" s="49" t="s">
        <v>3754</v>
      </c>
      <c r="F1453" s="49"/>
      <c r="G1453" s="49"/>
      <c r="H1453" s="49" t="s">
        <v>14186</v>
      </c>
      <c r="I1453" s="49" t="s">
        <v>14189</v>
      </c>
      <c r="J1453" s="49" t="s">
        <v>14187</v>
      </c>
      <c r="K1453" s="49" t="s">
        <v>14188</v>
      </c>
      <c r="L1453" s="49">
        <v>0</v>
      </c>
      <c r="M1453" s="49" t="s">
        <v>1826</v>
      </c>
      <c r="N1453" s="49" t="s">
        <v>3229</v>
      </c>
      <c r="O1453" s="49">
        <v>4</v>
      </c>
      <c r="P1453" s="49" t="s">
        <v>14190</v>
      </c>
      <c r="Q1453" s="49">
        <v>0</v>
      </c>
      <c r="R1453" s="49" t="s">
        <v>646</v>
      </c>
      <c r="S1453" s="49" t="s">
        <v>14191</v>
      </c>
      <c r="T1453" s="49" t="s">
        <v>14192</v>
      </c>
      <c r="U1453" s="49" t="s">
        <v>655</v>
      </c>
      <c r="V1453" s="49" t="e">
        <v>#REF!</v>
      </c>
      <c r="AC1453" s="49"/>
      <c r="AD1453" s="49"/>
    </row>
    <row r="1454" spans="1:30" hidden="1" x14ac:dyDescent="0.3">
      <c r="A1454" s="49" t="s">
        <v>14193</v>
      </c>
      <c r="B1454" s="49">
        <v>0</v>
      </c>
      <c r="C1454" s="49"/>
      <c r="D1454" s="72" t="s">
        <v>717</v>
      </c>
      <c r="E1454" s="49" t="s">
        <v>3754</v>
      </c>
      <c r="F1454" s="49"/>
      <c r="G1454" s="49"/>
      <c r="H1454" s="49" t="s">
        <v>646</v>
      </c>
      <c r="I1454" s="49" t="s">
        <v>14196</v>
      </c>
      <c r="J1454" s="49" t="s">
        <v>14194</v>
      </c>
      <c r="K1454" s="49" t="s">
        <v>14195</v>
      </c>
      <c r="L1454" s="49">
        <v>0</v>
      </c>
      <c r="M1454" s="49" t="s">
        <v>4084</v>
      </c>
      <c r="N1454" s="49" t="s">
        <v>11047</v>
      </c>
      <c r="P1454" s="49" t="s">
        <v>14197</v>
      </c>
      <c r="Q1454" s="49">
        <v>0</v>
      </c>
      <c r="R1454" s="49" t="s">
        <v>14198</v>
      </c>
      <c r="S1454" s="49" t="s">
        <v>14199</v>
      </c>
      <c r="T1454" s="49" t="s">
        <v>14200</v>
      </c>
      <c r="U1454" s="49" t="s">
        <v>655</v>
      </c>
      <c r="V1454" s="49" t="e">
        <v>#REF!</v>
      </c>
      <c r="AC1454" s="49"/>
      <c r="AD1454" s="49"/>
    </row>
    <row r="1455" spans="1:30" hidden="1" x14ac:dyDescent="0.3">
      <c r="A1455" s="49" t="s">
        <v>14201</v>
      </c>
      <c r="B1455" s="49">
        <v>0</v>
      </c>
      <c r="C1455" s="49"/>
      <c r="D1455" s="72" t="s">
        <v>717</v>
      </c>
      <c r="E1455" s="49" t="s">
        <v>3754</v>
      </c>
      <c r="F1455" s="49"/>
      <c r="G1455" s="49"/>
      <c r="H1455" s="49" t="s">
        <v>14202</v>
      </c>
      <c r="I1455" s="49" t="s">
        <v>14205</v>
      </c>
      <c r="J1455" s="49" t="s">
        <v>14203</v>
      </c>
      <c r="K1455" s="49" t="s">
        <v>14204</v>
      </c>
      <c r="L1455" s="49">
        <v>0</v>
      </c>
      <c r="M1455" s="49" t="s">
        <v>3570</v>
      </c>
      <c r="N1455" s="49" t="s">
        <v>14206</v>
      </c>
      <c r="O1455" s="49">
        <v>49</v>
      </c>
      <c r="P1455" s="49" t="s">
        <v>14207</v>
      </c>
      <c r="Q1455" s="49">
        <v>0</v>
      </c>
      <c r="R1455" s="49" t="s">
        <v>14208</v>
      </c>
      <c r="S1455" s="49" t="s">
        <v>14209</v>
      </c>
      <c r="T1455" s="49" t="s">
        <v>14210</v>
      </c>
      <c r="U1455" s="49" t="s">
        <v>655</v>
      </c>
      <c r="V1455" s="49" t="e">
        <v>#REF!</v>
      </c>
      <c r="AC1455" s="49"/>
      <c r="AD1455" s="49"/>
    </row>
    <row r="1456" spans="1:30" hidden="1" x14ac:dyDescent="0.3">
      <c r="A1456" s="49" t="s">
        <v>14211</v>
      </c>
      <c r="B1456" s="49">
        <v>0</v>
      </c>
      <c r="C1456" s="49"/>
      <c r="D1456" s="72" t="s">
        <v>717</v>
      </c>
      <c r="E1456" s="49" t="s">
        <v>3754</v>
      </c>
      <c r="F1456" s="49"/>
      <c r="G1456" s="49"/>
      <c r="H1456" s="49" t="s">
        <v>14212</v>
      </c>
      <c r="I1456" s="49" t="s">
        <v>7474</v>
      </c>
      <c r="J1456" s="49" t="s">
        <v>7472</v>
      </c>
      <c r="K1456" s="49" t="s">
        <v>14213</v>
      </c>
      <c r="L1456" s="49">
        <v>0</v>
      </c>
      <c r="M1456" s="49" t="s">
        <v>1817</v>
      </c>
      <c r="N1456" s="49" t="s">
        <v>14214</v>
      </c>
      <c r="O1456" s="49">
        <v>36</v>
      </c>
      <c r="P1456" s="49" t="s">
        <v>14215</v>
      </c>
      <c r="Q1456" s="49">
        <v>0</v>
      </c>
      <c r="R1456" s="49" t="s">
        <v>14216</v>
      </c>
      <c r="S1456" s="49" t="s">
        <v>14217</v>
      </c>
      <c r="T1456" s="49" t="s">
        <v>7478</v>
      </c>
      <c r="U1456" s="49" t="s">
        <v>670</v>
      </c>
      <c r="V1456" s="49" t="e">
        <v>#REF!</v>
      </c>
      <c r="AC1456" s="49"/>
      <c r="AD1456" s="49"/>
    </row>
    <row r="1457" spans="1:30" hidden="1" x14ac:dyDescent="0.3">
      <c r="A1457" s="49" t="s">
        <v>14218</v>
      </c>
      <c r="B1457" s="49">
        <v>0</v>
      </c>
      <c r="C1457" s="49"/>
      <c r="D1457" s="72" t="s">
        <v>717</v>
      </c>
      <c r="E1457" s="49" t="s">
        <v>3754</v>
      </c>
      <c r="F1457" s="49"/>
      <c r="G1457" s="49"/>
      <c r="H1457" s="49" t="s">
        <v>14219</v>
      </c>
      <c r="I1457" s="49" t="s">
        <v>5807</v>
      </c>
      <c r="J1457" s="49" t="s">
        <v>5805</v>
      </c>
      <c r="K1457" s="49" t="s">
        <v>14220</v>
      </c>
      <c r="L1457" s="49">
        <v>0</v>
      </c>
      <c r="M1457" s="49" t="s">
        <v>2484</v>
      </c>
      <c r="N1457" s="49" t="s">
        <v>14221</v>
      </c>
      <c r="O1457" s="49">
        <v>10</v>
      </c>
      <c r="P1457" s="49" t="s">
        <v>14222</v>
      </c>
      <c r="Q1457" s="49">
        <v>0</v>
      </c>
      <c r="R1457" s="49" t="s">
        <v>14223</v>
      </c>
      <c r="S1457" s="49" t="s">
        <v>14224</v>
      </c>
      <c r="T1457" s="49" t="s">
        <v>14225</v>
      </c>
      <c r="U1457" s="49" t="s">
        <v>655</v>
      </c>
      <c r="V1457" s="49" t="e">
        <v>#REF!</v>
      </c>
      <c r="AC1457" s="49"/>
      <c r="AD1457" s="49"/>
    </row>
    <row r="1458" spans="1:30" hidden="1" x14ac:dyDescent="0.3">
      <c r="A1458" s="49" t="s">
        <v>14226</v>
      </c>
      <c r="B1458" s="49">
        <v>0</v>
      </c>
      <c r="C1458" s="49"/>
      <c r="D1458" s="72" t="s">
        <v>717</v>
      </c>
      <c r="E1458" s="49" t="s">
        <v>3754</v>
      </c>
      <c r="F1458" s="49"/>
      <c r="G1458" s="49"/>
      <c r="H1458" s="49" t="s">
        <v>14227</v>
      </c>
      <c r="I1458" s="49" t="s">
        <v>14230</v>
      </c>
      <c r="J1458" s="49" t="s">
        <v>14228</v>
      </c>
      <c r="K1458" s="49" t="s">
        <v>14229</v>
      </c>
      <c r="L1458" s="49">
        <v>0</v>
      </c>
      <c r="M1458" s="49" t="s">
        <v>2636</v>
      </c>
      <c r="N1458" s="49" t="s">
        <v>4381</v>
      </c>
      <c r="O1458" s="49">
        <v>55</v>
      </c>
      <c r="P1458" s="49" t="s">
        <v>14231</v>
      </c>
      <c r="Q1458" s="49">
        <v>0</v>
      </c>
      <c r="R1458" s="49" t="s">
        <v>14232</v>
      </c>
      <c r="S1458" s="49" t="s">
        <v>14233</v>
      </c>
      <c r="T1458" s="49" t="s">
        <v>14234</v>
      </c>
      <c r="U1458" s="49" t="s">
        <v>655</v>
      </c>
      <c r="V1458" s="49" t="e">
        <v>#REF!</v>
      </c>
      <c r="AC1458" s="49"/>
      <c r="AD1458" s="49"/>
    </row>
    <row r="1459" spans="1:30" hidden="1" x14ac:dyDescent="0.3">
      <c r="A1459" s="49" t="s">
        <v>14235</v>
      </c>
      <c r="B1459" s="49">
        <v>0</v>
      </c>
      <c r="C1459" s="49"/>
      <c r="D1459" s="72" t="s">
        <v>717</v>
      </c>
      <c r="E1459" s="49" t="s">
        <v>3754</v>
      </c>
      <c r="F1459" s="49"/>
      <c r="G1459" s="49"/>
      <c r="H1459" s="49" t="s">
        <v>14236</v>
      </c>
      <c r="I1459" s="49" t="s">
        <v>14239</v>
      </c>
      <c r="J1459" s="49" t="s">
        <v>14237</v>
      </c>
      <c r="K1459" s="49" t="s">
        <v>14238</v>
      </c>
      <c r="L1459" s="49">
        <v>0</v>
      </c>
      <c r="M1459" s="49" t="s">
        <v>1826</v>
      </c>
      <c r="N1459" s="49" t="s">
        <v>2826</v>
      </c>
      <c r="O1459" s="49">
        <v>11</v>
      </c>
      <c r="P1459" s="49" t="s">
        <v>14240</v>
      </c>
      <c r="Q1459" s="49">
        <v>0</v>
      </c>
      <c r="R1459" s="49" t="s">
        <v>14241</v>
      </c>
      <c r="S1459" s="49" t="s">
        <v>14242</v>
      </c>
      <c r="T1459" s="49" t="s">
        <v>14243</v>
      </c>
      <c r="U1459" s="49" t="s">
        <v>655</v>
      </c>
      <c r="V1459" s="49" t="e">
        <v>#REF!</v>
      </c>
      <c r="AC1459" s="49"/>
      <c r="AD1459" s="49"/>
    </row>
    <row r="1460" spans="1:30" hidden="1" x14ac:dyDescent="0.3">
      <c r="A1460" s="49" t="s">
        <v>14244</v>
      </c>
      <c r="B1460" s="49">
        <v>0</v>
      </c>
      <c r="C1460" s="49"/>
      <c r="D1460" s="72" t="s">
        <v>717</v>
      </c>
      <c r="E1460" s="49" t="s">
        <v>3754</v>
      </c>
      <c r="F1460" s="49"/>
      <c r="G1460" s="49"/>
      <c r="H1460" s="49" t="s">
        <v>14245</v>
      </c>
      <c r="I1460" s="49" t="s">
        <v>14248</v>
      </c>
      <c r="J1460" s="49" t="s">
        <v>14246</v>
      </c>
      <c r="K1460" s="49" t="s">
        <v>14247</v>
      </c>
      <c r="L1460" s="49">
        <v>0</v>
      </c>
      <c r="M1460" s="49" t="s">
        <v>2142</v>
      </c>
      <c r="N1460" s="49" t="s">
        <v>697</v>
      </c>
      <c r="O1460" s="49">
        <v>7</v>
      </c>
      <c r="P1460" s="49" t="s">
        <v>14249</v>
      </c>
      <c r="Q1460" s="49">
        <v>0</v>
      </c>
      <c r="R1460" s="49" t="s">
        <v>14250</v>
      </c>
      <c r="S1460" s="49" t="s">
        <v>14251</v>
      </c>
      <c r="T1460" s="49" t="s">
        <v>646</v>
      </c>
      <c r="U1460" s="49" t="s">
        <v>655</v>
      </c>
      <c r="V1460" s="49" t="e">
        <v>#REF!</v>
      </c>
      <c r="AC1460" s="49"/>
      <c r="AD1460" s="49"/>
    </row>
    <row r="1461" spans="1:30" hidden="1" x14ac:dyDescent="0.3">
      <c r="A1461" s="49" t="s">
        <v>14252</v>
      </c>
      <c r="B1461" s="49">
        <v>0</v>
      </c>
      <c r="C1461" s="49"/>
      <c r="D1461" s="72" t="s">
        <v>717</v>
      </c>
      <c r="E1461" s="49" t="s">
        <v>3754</v>
      </c>
      <c r="F1461" s="49"/>
      <c r="G1461" s="49"/>
      <c r="H1461" s="49" t="s">
        <v>14253</v>
      </c>
      <c r="I1461" s="49" t="s">
        <v>14256</v>
      </c>
      <c r="J1461" s="49" t="s">
        <v>14254</v>
      </c>
      <c r="K1461" s="49" t="s">
        <v>14255</v>
      </c>
      <c r="L1461" s="49">
        <v>0</v>
      </c>
      <c r="M1461" s="49" t="s">
        <v>2220</v>
      </c>
      <c r="N1461" s="49" t="s">
        <v>818</v>
      </c>
      <c r="O1461" s="49">
        <v>11</v>
      </c>
      <c r="P1461" s="49" t="s">
        <v>14257</v>
      </c>
      <c r="Q1461" s="49">
        <v>0</v>
      </c>
      <c r="R1461" s="49" t="s">
        <v>14258</v>
      </c>
      <c r="S1461" s="49" t="s">
        <v>14259</v>
      </c>
      <c r="T1461" s="49" t="s">
        <v>14260</v>
      </c>
      <c r="U1461" s="49" t="s">
        <v>670</v>
      </c>
      <c r="V1461" s="49" t="e">
        <v>#REF!</v>
      </c>
      <c r="AC1461" s="49"/>
      <c r="AD1461" s="49"/>
    </row>
    <row r="1462" spans="1:30" hidden="1" x14ac:dyDescent="0.3">
      <c r="A1462" s="49" t="s">
        <v>14261</v>
      </c>
      <c r="B1462" s="49">
        <v>0</v>
      </c>
      <c r="C1462" s="49"/>
      <c r="D1462" s="72" t="s">
        <v>717</v>
      </c>
      <c r="E1462" s="49" t="s">
        <v>3754</v>
      </c>
      <c r="F1462" s="49"/>
      <c r="G1462" s="49"/>
      <c r="H1462" s="49" t="s">
        <v>14262</v>
      </c>
      <c r="I1462" s="49" t="s">
        <v>14265</v>
      </c>
      <c r="J1462" s="49" t="s">
        <v>14263</v>
      </c>
      <c r="K1462" s="49" t="s">
        <v>14264</v>
      </c>
      <c r="L1462" s="49">
        <v>0</v>
      </c>
      <c r="M1462" s="49" t="s">
        <v>1865</v>
      </c>
      <c r="N1462" s="49" t="s">
        <v>14266</v>
      </c>
      <c r="O1462" s="49">
        <v>10</v>
      </c>
      <c r="P1462" s="49" t="s">
        <v>14267</v>
      </c>
      <c r="Q1462" s="49">
        <v>0</v>
      </c>
      <c r="R1462" s="49" t="s">
        <v>14268</v>
      </c>
      <c r="S1462" s="49" t="s">
        <v>14269</v>
      </c>
      <c r="T1462" s="49" t="s">
        <v>14270</v>
      </c>
      <c r="U1462" s="49" t="s">
        <v>655</v>
      </c>
      <c r="V1462" s="49" t="e">
        <v>#REF!</v>
      </c>
      <c r="AC1462" s="49"/>
      <c r="AD1462" s="49"/>
    </row>
    <row r="1463" spans="1:30" hidden="1" x14ac:dyDescent="0.3">
      <c r="A1463" s="49" t="s">
        <v>14271</v>
      </c>
      <c r="B1463" s="49">
        <v>0</v>
      </c>
      <c r="C1463" s="49"/>
      <c r="D1463" s="72" t="s">
        <v>717</v>
      </c>
      <c r="E1463" s="49" t="s">
        <v>3754</v>
      </c>
      <c r="F1463" s="49"/>
      <c r="G1463" s="49"/>
      <c r="H1463" s="49" t="s">
        <v>646</v>
      </c>
      <c r="I1463" s="49" t="s">
        <v>14274</v>
      </c>
      <c r="J1463" s="49" t="s">
        <v>14272</v>
      </c>
      <c r="K1463" s="49" t="s">
        <v>14273</v>
      </c>
      <c r="L1463" s="49">
        <v>0</v>
      </c>
      <c r="M1463" s="49" t="s">
        <v>2142</v>
      </c>
      <c r="N1463" s="49" t="s">
        <v>721</v>
      </c>
      <c r="O1463" s="49">
        <v>27</v>
      </c>
      <c r="P1463" s="49" t="s">
        <v>14275</v>
      </c>
      <c r="Q1463" s="49">
        <v>0</v>
      </c>
      <c r="R1463" s="49" t="s">
        <v>14276</v>
      </c>
      <c r="S1463" s="49" t="s">
        <v>14277</v>
      </c>
      <c r="T1463" s="49" t="s">
        <v>646</v>
      </c>
      <c r="U1463" s="49" t="s">
        <v>670</v>
      </c>
      <c r="V1463" s="49" t="e">
        <v>#REF!</v>
      </c>
      <c r="AC1463" s="49"/>
      <c r="AD1463" s="49"/>
    </row>
    <row r="1464" spans="1:30" hidden="1" x14ac:dyDescent="0.3">
      <c r="A1464" s="49" t="s">
        <v>1265</v>
      </c>
      <c r="B1464" s="49">
        <v>0</v>
      </c>
      <c r="C1464" s="49"/>
      <c r="D1464" s="72" t="s">
        <v>717</v>
      </c>
      <c r="E1464" s="49" t="s">
        <v>3754</v>
      </c>
      <c r="F1464" s="49"/>
      <c r="G1464" s="49"/>
      <c r="H1464" s="49" t="s">
        <v>1267</v>
      </c>
      <c r="I1464" s="49" t="s">
        <v>1268</v>
      </c>
      <c r="J1464" s="49" t="s">
        <v>1269</v>
      </c>
      <c r="K1464" s="49" t="s">
        <v>1270</v>
      </c>
      <c r="L1464" s="49">
        <v>0</v>
      </c>
      <c r="M1464" s="49" t="s">
        <v>2220</v>
      </c>
      <c r="N1464" s="49" t="s">
        <v>1271</v>
      </c>
      <c r="O1464" s="49">
        <v>1</v>
      </c>
      <c r="P1464" s="49" t="s">
        <v>1272</v>
      </c>
      <c r="Q1464" s="49">
        <v>0</v>
      </c>
      <c r="R1464" s="49" t="s">
        <v>1273</v>
      </c>
      <c r="S1464" s="49" t="s">
        <v>1274</v>
      </c>
      <c r="T1464" s="49" t="s">
        <v>14278</v>
      </c>
      <c r="U1464" s="49" t="s">
        <v>670</v>
      </c>
      <c r="V1464" s="49" t="e">
        <v>#REF!</v>
      </c>
      <c r="AC1464" s="49"/>
      <c r="AD1464" s="49"/>
    </row>
    <row r="1465" spans="1:30" hidden="1" x14ac:dyDescent="0.3">
      <c r="A1465" s="49" t="s">
        <v>14279</v>
      </c>
      <c r="B1465" s="49">
        <v>0</v>
      </c>
      <c r="C1465" s="49"/>
      <c r="D1465" s="72" t="s">
        <v>717</v>
      </c>
      <c r="E1465" s="49" t="s">
        <v>3754</v>
      </c>
      <c r="F1465" s="49"/>
      <c r="G1465" s="49"/>
      <c r="H1465" s="49" t="s">
        <v>14280</v>
      </c>
      <c r="I1465" s="49" t="s">
        <v>14283</v>
      </c>
      <c r="J1465" s="49" t="s">
        <v>14281</v>
      </c>
      <c r="K1465" s="49" t="s">
        <v>14282</v>
      </c>
      <c r="L1465" s="49">
        <v>0</v>
      </c>
      <c r="M1465" s="49" t="s">
        <v>1817</v>
      </c>
      <c r="N1465" s="49" t="s">
        <v>9960</v>
      </c>
      <c r="O1465" s="49">
        <v>59</v>
      </c>
      <c r="P1465" s="49" t="s">
        <v>14284</v>
      </c>
      <c r="Q1465" s="49">
        <v>0</v>
      </c>
      <c r="R1465" s="49" t="s">
        <v>14285</v>
      </c>
      <c r="S1465" s="49" t="s">
        <v>14286</v>
      </c>
      <c r="T1465" s="49" t="s">
        <v>14287</v>
      </c>
      <c r="U1465" s="49" t="s">
        <v>655</v>
      </c>
      <c r="V1465" s="49" t="e">
        <v>#REF!</v>
      </c>
      <c r="AC1465" s="49"/>
      <c r="AD1465" s="49"/>
    </row>
    <row r="1466" spans="1:30" hidden="1" x14ac:dyDescent="0.3">
      <c r="A1466" s="49" t="s">
        <v>14288</v>
      </c>
      <c r="B1466" s="49">
        <v>0</v>
      </c>
      <c r="C1466" s="49"/>
      <c r="D1466" s="72" t="s">
        <v>717</v>
      </c>
      <c r="E1466" s="49" t="s">
        <v>3754</v>
      </c>
      <c r="F1466" s="49"/>
      <c r="G1466" s="49"/>
      <c r="H1466" s="49" t="s">
        <v>14289</v>
      </c>
      <c r="I1466" s="49" t="s">
        <v>14292</v>
      </c>
      <c r="J1466" s="49" t="s">
        <v>14290</v>
      </c>
      <c r="K1466" s="49" t="s">
        <v>14291</v>
      </c>
      <c r="L1466" s="49">
        <v>0</v>
      </c>
      <c r="M1466" s="49" t="s">
        <v>1826</v>
      </c>
      <c r="N1466" s="49" t="s">
        <v>14293</v>
      </c>
      <c r="O1466" s="49">
        <v>5</v>
      </c>
      <c r="P1466" s="49" t="s">
        <v>14294</v>
      </c>
      <c r="Q1466" s="49">
        <v>0</v>
      </c>
      <c r="R1466" s="49" t="s">
        <v>14295</v>
      </c>
      <c r="S1466" s="49" t="s">
        <v>14296</v>
      </c>
      <c r="T1466" s="49" t="s">
        <v>14297</v>
      </c>
      <c r="U1466" s="49" t="s">
        <v>655</v>
      </c>
      <c r="V1466" s="49" t="e">
        <v>#REF!</v>
      </c>
      <c r="AC1466" s="49"/>
      <c r="AD1466" s="49"/>
    </row>
    <row r="1467" spans="1:30" hidden="1" x14ac:dyDescent="0.3">
      <c r="A1467" s="49" t="s">
        <v>14298</v>
      </c>
      <c r="B1467" s="49">
        <v>0</v>
      </c>
      <c r="C1467" s="49"/>
      <c r="D1467" s="72" t="s">
        <v>717</v>
      </c>
      <c r="E1467" s="49" t="s">
        <v>3754</v>
      </c>
      <c r="F1467" s="49"/>
      <c r="G1467" s="49"/>
      <c r="H1467" s="49" t="s">
        <v>14299</v>
      </c>
      <c r="I1467" s="49" t="s">
        <v>14302</v>
      </c>
      <c r="J1467" s="49" t="s">
        <v>14300</v>
      </c>
      <c r="K1467" s="49" t="s">
        <v>14301</v>
      </c>
      <c r="L1467" s="49">
        <v>0</v>
      </c>
      <c r="M1467" s="49" t="s">
        <v>1865</v>
      </c>
      <c r="N1467" s="49" t="s">
        <v>14293</v>
      </c>
      <c r="O1467" s="49">
        <v>4</v>
      </c>
      <c r="P1467" s="49" t="s">
        <v>14303</v>
      </c>
      <c r="Q1467" s="49">
        <v>0</v>
      </c>
      <c r="R1467" s="49" t="s">
        <v>6283</v>
      </c>
      <c r="S1467" s="49" t="s">
        <v>14304</v>
      </c>
      <c r="T1467" s="49" t="s">
        <v>14305</v>
      </c>
      <c r="U1467" s="49" t="s">
        <v>655</v>
      </c>
      <c r="V1467" s="49" t="e">
        <v>#REF!</v>
      </c>
      <c r="AC1467" s="49"/>
      <c r="AD1467" s="49"/>
    </row>
    <row r="1468" spans="1:30" hidden="1" x14ac:dyDescent="0.3">
      <c r="A1468" s="49" t="s">
        <v>14306</v>
      </c>
      <c r="B1468" s="49">
        <v>0</v>
      </c>
      <c r="C1468" s="49"/>
      <c r="D1468" s="72" t="s">
        <v>717</v>
      </c>
      <c r="E1468" s="49" t="s">
        <v>3754</v>
      </c>
      <c r="F1468" s="49"/>
      <c r="G1468" s="49"/>
      <c r="H1468" s="49" t="s">
        <v>14307</v>
      </c>
      <c r="I1468" s="49" t="s">
        <v>14310</v>
      </c>
      <c r="J1468" s="49" t="s">
        <v>14308</v>
      </c>
      <c r="K1468" s="49" t="s">
        <v>14309</v>
      </c>
      <c r="L1468" s="49">
        <v>0</v>
      </c>
      <c r="M1468" s="49" t="s">
        <v>4114</v>
      </c>
      <c r="N1468" s="49" t="s">
        <v>14311</v>
      </c>
      <c r="O1468" s="49">
        <v>5</v>
      </c>
      <c r="P1468" s="49" t="s">
        <v>14312</v>
      </c>
      <c r="Q1468" s="49">
        <v>0</v>
      </c>
      <c r="R1468" s="49" t="s">
        <v>14313</v>
      </c>
      <c r="S1468" s="49" t="s">
        <v>14314</v>
      </c>
      <c r="T1468" s="49" t="s">
        <v>646</v>
      </c>
      <c r="U1468" s="49" t="s">
        <v>670</v>
      </c>
      <c r="V1468" s="49" t="e">
        <v>#REF!</v>
      </c>
      <c r="AC1468" s="49"/>
      <c r="AD1468" s="49"/>
    </row>
    <row r="1469" spans="1:30" hidden="1" x14ac:dyDescent="0.3">
      <c r="A1469" s="49" t="s">
        <v>14315</v>
      </c>
      <c r="B1469" s="49">
        <v>0</v>
      </c>
      <c r="C1469" s="49"/>
      <c r="D1469" s="72" t="s">
        <v>717</v>
      </c>
      <c r="E1469" s="49" t="s">
        <v>3754</v>
      </c>
      <c r="F1469" s="49"/>
      <c r="G1469" s="49"/>
      <c r="H1469" s="49" t="s">
        <v>14316</v>
      </c>
      <c r="I1469" s="49" t="s">
        <v>14319</v>
      </c>
      <c r="J1469" s="49" t="s">
        <v>14317</v>
      </c>
      <c r="K1469" s="49" t="s">
        <v>14318</v>
      </c>
      <c r="L1469" s="49">
        <v>0</v>
      </c>
      <c r="M1469" s="49" t="s">
        <v>1826</v>
      </c>
      <c r="N1469" s="49" t="s">
        <v>4521</v>
      </c>
      <c r="P1469" s="49" t="s">
        <v>14320</v>
      </c>
      <c r="Q1469" s="49">
        <v>0</v>
      </c>
      <c r="R1469" s="49" t="s">
        <v>14321</v>
      </c>
      <c r="S1469" s="49" t="s">
        <v>14322</v>
      </c>
      <c r="T1469" s="49" t="s">
        <v>646</v>
      </c>
      <c r="U1469" s="49" t="s">
        <v>670</v>
      </c>
      <c r="V1469" s="49" t="e">
        <v>#REF!</v>
      </c>
      <c r="AC1469" s="49"/>
      <c r="AD1469" s="49"/>
    </row>
    <row r="1470" spans="1:30" hidden="1" x14ac:dyDescent="0.3">
      <c r="A1470" s="49" t="s">
        <v>14323</v>
      </c>
      <c r="B1470" s="49">
        <v>0</v>
      </c>
      <c r="C1470" s="49"/>
      <c r="D1470" s="72" t="s">
        <v>717</v>
      </c>
      <c r="E1470" s="49" t="s">
        <v>3754</v>
      </c>
      <c r="F1470" s="49"/>
      <c r="G1470" s="49"/>
      <c r="H1470" s="49" t="s">
        <v>14324</v>
      </c>
      <c r="I1470" s="49" t="s">
        <v>14327</v>
      </c>
      <c r="J1470" s="49" t="s">
        <v>14325</v>
      </c>
      <c r="K1470" s="49" t="s">
        <v>14326</v>
      </c>
      <c r="L1470" s="49">
        <v>0</v>
      </c>
      <c r="M1470" s="49" t="s">
        <v>1865</v>
      </c>
      <c r="N1470" s="49" t="s">
        <v>14328</v>
      </c>
      <c r="P1470" s="49" t="s">
        <v>14329</v>
      </c>
      <c r="Q1470" s="49">
        <v>0</v>
      </c>
      <c r="R1470" s="49" t="s">
        <v>14330</v>
      </c>
      <c r="S1470" s="49" t="s">
        <v>14331</v>
      </c>
      <c r="T1470" s="49" t="s">
        <v>14332</v>
      </c>
      <c r="U1470" s="49" t="s">
        <v>655</v>
      </c>
      <c r="V1470" s="49" t="e">
        <v>#REF!</v>
      </c>
      <c r="AC1470" s="49"/>
      <c r="AD1470" s="49"/>
    </row>
    <row r="1471" spans="1:30" hidden="1" x14ac:dyDescent="0.3">
      <c r="A1471" s="49" t="s">
        <v>14333</v>
      </c>
      <c r="B1471" s="49">
        <v>0</v>
      </c>
      <c r="C1471" s="49"/>
      <c r="D1471" s="72" t="s">
        <v>717</v>
      </c>
      <c r="E1471" s="49" t="s">
        <v>3754</v>
      </c>
      <c r="F1471" s="49"/>
      <c r="G1471" s="49"/>
      <c r="H1471" s="49" t="s">
        <v>14334</v>
      </c>
      <c r="I1471" s="49" t="s">
        <v>14337</v>
      </c>
      <c r="J1471" s="49" t="s">
        <v>14335</v>
      </c>
      <c r="K1471" s="49" t="s">
        <v>14336</v>
      </c>
      <c r="L1471" s="49">
        <v>0</v>
      </c>
      <c r="M1471" s="49" t="s">
        <v>1865</v>
      </c>
      <c r="N1471" s="49" t="s">
        <v>2591</v>
      </c>
      <c r="P1471" s="49" t="s">
        <v>14338</v>
      </c>
      <c r="Q1471" s="49">
        <v>0</v>
      </c>
      <c r="R1471" s="49" t="s">
        <v>14339</v>
      </c>
      <c r="S1471" s="49" t="s">
        <v>14340</v>
      </c>
      <c r="T1471" s="49" t="s">
        <v>14341</v>
      </c>
      <c r="U1471" s="49" t="s">
        <v>655</v>
      </c>
      <c r="V1471" s="49" t="e">
        <v>#REF!</v>
      </c>
      <c r="AC1471" s="49"/>
      <c r="AD1471" s="49"/>
    </row>
    <row r="1472" spans="1:30" hidden="1" x14ac:dyDescent="0.3">
      <c r="A1472" s="49" t="s">
        <v>14342</v>
      </c>
      <c r="B1472" s="49">
        <v>0</v>
      </c>
      <c r="C1472" s="49"/>
      <c r="D1472" s="72" t="s">
        <v>717</v>
      </c>
      <c r="E1472" s="49" t="s">
        <v>3754</v>
      </c>
      <c r="F1472" s="49"/>
      <c r="G1472" s="49"/>
      <c r="H1472" s="49" t="s">
        <v>14343</v>
      </c>
      <c r="I1472" s="49" t="s">
        <v>14346</v>
      </c>
      <c r="J1472" s="49" t="s">
        <v>14344</v>
      </c>
      <c r="K1472" s="49" t="s">
        <v>14345</v>
      </c>
      <c r="L1472" s="49">
        <v>0</v>
      </c>
      <c r="M1472" s="49" t="s">
        <v>1745</v>
      </c>
      <c r="N1472" s="49" t="s">
        <v>14347</v>
      </c>
      <c r="O1472" s="49">
        <v>19</v>
      </c>
      <c r="P1472" s="49" t="s">
        <v>14348</v>
      </c>
      <c r="Q1472" s="49">
        <v>0</v>
      </c>
      <c r="R1472" s="49" t="s">
        <v>14349</v>
      </c>
      <c r="S1472" s="49" t="s">
        <v>14350</v>
      </c>
      <c r="T1472" s="49" t="s">
        <v>14351</v>
      </c>
      <c r="U1472" s="49" t="s">
        <v>791</v>
      </c>
      <c r="V1472" s="49" t="e">
        <v>#REF!</v>
      </c>
      <c r="AC1472" s="49"/>
      <c r="AD1472" s="49"/>
    </row>
    <row r="1473" spans="1:30" hidden="1" x14ac:dyDescent="0.3">
      <c r="A1473" s="49" t="s">
        <v>14352</v>
      </c>
      <c r="B1473" s="49">
        <v>0</v>
      </c>
      <c r="C1473" s="49"/>
      <c r="D1473" s="72" t="s">
        <v>717</v>
      </c>
      <c r="E1473" s="49" t="s">
        <v>3754</v>
      </c>
      <c r="F1473" s="49"/>
      <c r="G1473" s="49"/>
      <c r="H1473" s="49" t="s">
        <v>14353</v>
      </c>
      <c r="I1473" s="49" t="s">
        <v>14356</v>
      </c>
      <c r="J1473" s="49" t="s">
        <v>14354</v>
      </c>
      <c r="K1473" s="49" t="s">
        <v>14355</v>
      </c>
      <c r="L1473" s="49">
        <v>0</v>
      </c>
      <c r="M1473" s="49" t="s">
        <v>2456</v>
      </c>
      <c r="N1473" s="49" t="s">
        <v>14357</v>
      </c>
      <c r="O1473" s="49">
        <v>1</v>
      </c>
      <c r="P1473" s="49" t="s">
        <v>14358</v>
      </c>
      <c r="Q1473" s="49">
        <v>0</v>
      </c>
      <c r="R1473" s="49" t="s">
        <v>14359</v>
      </c>
      <c r="S1473" s="49" t="s">
        <v>14360</v>
      </c>
      <c r="T1473" s="49" t="s">
        <v>14361</v>
      </c>
      <c r="U1473" s="49" t="s">
        <v>670</v>
      </c>
      <c r="V1473" s="49" t="e">
        <v>#REF!</v>
      </c>
      <c r="AC1473" s="49"/>
      <c r="AD1473" s="49"/>
    </row>
    <row r="1474" spans="1:30" hidden="1" x14ac:dyDescent="0.3">
      <c r="A1474" s="49" t="s">
        <v>14362</v>
      </c>
      <c r="B1474" s="49">
        <v>0</v>
      </c>
      <c r="C1474" s="49"/>
      <c r="D1474" s="72" t="s">
        <v>717</v>
      </c>
      <c r="E1474" s="49" t="s">
        <v>3754</v>
      </c>
      <c r="F1474" s="49"/>
      <c r="G1474" s="49"/>
      <c r="H1474" s="49" t="s">
        <v>14363</v>
      </c>
      <c r="I1474" s="49" t="s">
        <v>14366</v>
      </c>
      <c r="J1474" s="49" t="s">
        <v>14364</v>
      </c>
      <c r="K1474" s="49" t="s">
        <v>14365</v>
      </c>
      <c r="L1474" s="49">
        <v>0</v>
      </c>
      <c r="M1474" s="49" t="s">
        <v>1865</v>
      </c>
      <c r="N1474" s="49" t="s">
        <v>14367</v>
      </c>
      <c r="P1474" s="49" t="s">
        <v>14368</v>
      </c>
      <c r="Q1474" s="49">
        <v>0</v>
      </c>
      <c r="R1474" s="49" t="s">
        <v>14369</v>
      </c>
      <c r="S1474" s="49" t="s">
        <v>14370</v>
      </c>
      <c r="T1474" s="49" t="s">
        <v>14371</v>
      </c>
      <c r="U1474" s="49" t="s">
        <v>655</v>
      </c>
      <c r="V1474" s="49" t="e">
        <v>#REF!</v>
      </c>
      <c r="AC1474" s="49"/>
      <c r="AD1474" s="49"/>
    </row>
    <row r="1475" spans="1:30" hidden="1" x14ac:dyDescent="0.3">
      <c r="A1475" s="49" t="s">
        <v>14372</v>
      </c>
      <c r="B1475" s="49">
        <v>0</v>
      </c>
      <c r="C1475" s="49"/>
      <c r="D1475" s="72" t="s">
        <v>717</v>
      </c>
      <c r="E1475" s="49" t="s">
        <v>3754</v>
      </c>
      <c r="F1475" s="49"/>
      <c r="G1475" s="49"/>
      <c r="H1475" s="49" t="s">
        <v>14373</v>
      </c>
      <c r="I1475" s="49" t="s">
        <v>14376</v>
      </c>
      <c r="J1475" s="49" t="s">
        <v>14374</v>
      </c>
      <c r="K1475" s="49" t="s">
        <v>14375</v>
      </c>
      <c r="L1475" s="49">
        <v>0</v>
      </c>
      <c r="M1475" s="49" t="s">
        <v>2142</v>
      </c>
      <c r="N1475" s="49" t="s">
        <v>14377</v>
      </c>
      <c r="O1475" s="49">
        <v>37</v>
      </c>
      <c r="P1475" s="49" t="s">
        <v>14378</v>
      </c>
      <c r="Q1475" s="49">
        <v>0</v>
      </c>
      <c r="R1475" s="49" t="s">
        <v>14379</v>
      </c>
      <c r="S1475" s="49" t="s">
        <v>14380</v>
      </c>
      <c r="T1475" s="49" t="s">
        <v>14381</v>
      </c>
      <c r="U1475" s="49" t="s">
        <v>655</v>
      </c>
      <c r="V1475" s="49" t="e">
        <v>#REF!</v>
      </c>
      <c r="AC1475" s="49"/>
      <c r="AD1475" s="49"/>
    </row>
    <row r="1476" spans="1:30" hidden="1" x14ac:dyDescent="0.3">
      <c r="A1476" s="49" t="s">
        <v>14382</v>
      </c>
      <c r="B1476" s="49">
        <v>0</v>
      </c>
      <c r="C1476" s="49"/>
      <c r="D1476" s="72" t="s">
        <v>717</v>
      </c>
      <c r="E1476" s="49" t="s">
        <v>3754</v>
      </c>
      <c r="F1476" s="49"/>
      <c r="G1476" s="49"/>
      <c r="H1476" s="49" t="s">
        <v>14383</v>
      </c>
      <c r="I1476" s="49" t="s">
        <v>14386</v>
      </c>
      <c r="J1476" s="49" t="s">
        <v>14384</v>
      </c>
      <c r="K1476" s="49" t="s">
        <v>14385</v>
      </c>
      <c r="L1476" s="49">
        <v>0</v>
      </c>
      <c r="M1476" s="49" t="s">
        <v>2484</v>
      </c>
      <c r="N1476" s="49" t="s">
        <v>14387</v>
      </c>
      <c r="O1476" s="49">
        <v>3</v>
      </c>
      <c r="P1476" s="49" t="s">
        <v>14388</v>
      </c>
      <c r="Q1476" s="49">
        <v>0</v>
      </c>
      <c r="R1476" s="49" t="s">
        <v>14389</v>
      </c>
      <c r="S1476" s="49" t="s">
        <v>14390</v>
      </c>
      <c r="T1476" s="49" t="s">
        <v>14391</v>
      </c>
      <c r="U1476" s="49" t="s">
        <v>791</v>
      </c>
      <c r="V1476" s="49" t="e">
        <v>#REF!</v>
      </c>
      <c r="AC1476" s="49"/>
      <c r="AD1476" s="49"/>
    </row>
    <row r="1477" spans="1:30" hidden="1" x14ac:dyDescent="0.3">
      <c r="A1477" s="49" t="s">
        <v>14392</v>
      </c>
      <c r="B1477" s="49">
        <v>0</v>
      </c>
      <c r="C1477" s="49"/>
      <c r="D1477" s="72" t="s">
        <v>717</v>
      </c>
      <c r="E1477" s="49" t="s">
        <v>3754</v>
      </c>
      <c r="F1477" s="49"/>
      <c r="G1477" s="49"/>
      <c r="H1477" s="49" t="s">
        <v>646</v>
      </c>
      <c r="I1477" s="49" t="s">
        <v>14395</v>
      </c>
      <c r="J1477" s="49" t="s">
        <v>14393</v>
      </c>
      <c r="K1477" s="49" t="s">
        <v>14394</v>
      </c>
      <c r="L1477" s="49">
        <v>0</v>
      </c>
      <c r="M1477" s="49" t="s">
        <v>2484</v>
      </c>
      <c r="N1477" s="49" t="s">
        <v>13584</v>
      </c>
      <c r="P1477" s="49" t="s">
        <v>14396</v>
      </c>
      <c r="Q1477" s="49">
        <v>0</v>
      </c>
      <c r="R1477" s="49" t="s">
        <v>14397</v>
      </c>
      <c r="S1477" s="49" t="s">
        <v>14398</v>
      </c>
      <c r="T1477" s="49" t="s">
        <v>646</v>
      </c>
      <c r="U1477" s="49" t="s">
        <v>670</v>
      </c>
      <c r="V1477" s="49" t="e">
        <v>#REF!</v>
      </c>
      <c r="AC1477" s="49"/>
      <c r="AD1477" s="49"/>
    </row>
    <row r="1478" spans="1:30" hidden="1" x14ac:dyDescent="0.3">
      <c r="A1478" s="49" t="s">
        <v>1057</v>
      </c>
      <c r="B1478" s="49">
        <v>0</v>
      </c>
      <c r="C1478" s="49"/>
      <c r="D1478" s="72" t="s">
        <v>717</v>
      </c>
      <c r="E1478" s="49" t="s">
        <v>3754</v>
      </c>
      <c r="F1478" s="49"/>
      <c r="G1478" s="49"/>
      <c r="H1478" s="49" t="s">
        <v>1059</v>
      </c>
      <c r="I1478" s="49" t="s">
        <v>1060</v>
      </c>
      <c r="J1478" s="49" t="s">
        <v>1061</v>
      </c>
      <c r="K1478" s="49" t="s">
        <v>1062</v>
      </c>
      <c r="L1478" s="49">
        <v>0</v>
      </c>
      <c r="M1478" s="49" t="s">
        <v>4156</v>
      </c>
      <c r="N1478" s="49" t="s">
        <v>1064</v>
      </c>
      <c r="O1478" s="49">
        <v>79</v>
      </c>
      <c r="P1478" s="49" t="s">
        <v>1065</v>
      </c>
      <c r="Q1478" s="49">
        <v>0</v>
      </c>
      <c r="R1478" s="49" t="s">
        <v>1067</v>
      </c>
      <c r="S1478" s="49" t="s">
        <v>1068</v>
      </c>
      <c r="T1478" s="49" t="s">
        <v>1069</v>
      </c>
      <c r="U1478" s="49" t="s">
        <v>655</v>
      </c>
      <c r="V1478" s="49" t="e">
        <v>#REF!</v>
      </c>
      <c r="AC1478" s="49"/>
      <c r="AD1478" s="49"/>
    </row>
    <row r="1479" spans="1:30" hidden="1" x14ac:dyDescent="0.3">
      <c r="A1479" s="49" t="s">
        <v>14399</v>
      </c>
      <c r="B1479" s="49">
        <v>0</v>
      </c>
      <c r="C1479" s="49"/>
      <c r="D1479" s="72" t="s">
        <v>717</v>
      </c>
      <c r="E1479" s="49" t="s">
        <v>3754</v>
      </c>
      <c r="F1479" s="49"/>
      <c r="G1479" s="49"/>
      <c r="H1479" s="49" t="s">
        <v>14400</v>
      </c>
      <c r="I1479" s="49" t="s">
        <v>14403</v>
      </c>
      <c r="J1479" s="49" t="s">
        <v>14401</v>
      </c>
      <c r="K1479" s="49" t="s">
        <v>14402</v>
      </c>
      <c r="L1479" s="49">
        <v>0</v>
      </c>
      <c r="M1479" s="49" t="s">
        <v>2220</v>
      </c>
      <c r="N1479" s="49" t="s">
        <v>13315</v>
      </c>
      <c r="O1479" s="49">
        <v>8</v>
      </c>
      <c r="P1479" s="49" t="s">
        <v>14404</v>
      </c>
      <c r="Q1479" s="49">
        <v>0</v>
      </c>
      <c r="R1479" s="49" t="s">
        <v>14405</v>
      </c>
      <c r="S1479" s="49" t="s">
        <v>14406</v>
      </c>
      <c r="T1479" s="49" t="s">
        <v>14407</v>
      </c>
      <c r="U1479" s="49" t="s">
        <v>670</v>
      </c>
      <c r="V1479" s="49" t="e">
        <v>#REF!</v>
      </c>
      <c r="AC1479" s="49"/>
      <c r="AD1479" s="49"/>
    </row>
    <row r="1480" spans="1:30" hidden="1" x14ac:dyDescent="0.3">
      <c r="A1480" s="49" t="s">
        <v>14408</v>
      </c>
      <c r="B1480" s="49">
        <v>0</v>
      </c>
      <c r="C1480" s="49"/>
      <c r="D1480" s="72" t="s">
        <v>717</v>
      </c>
      <c r="E1480" s="49" t="s">
        <v>3754</v>
      </c>
      <c r="F1480" s="49"/>
      <c r="G1480" s="49"/>
      <c r="H1480" s="49" t="s">
        <v>14409</v>
      </c>
      <c r="I1480" s="49" t="s">
        <v>14412</v>
      </c>
      <c r="J1480" s="49" t="s">
        <v>14410</v>
      </c>
      <c r="K1480" s="49" t="s">
        <v>14411</v>
      </c>
      <c r="L1480" s="49">
        <v>0</v>
      </c>
      <c r="M1480" s="49" t="s">
        <v>1826</v>
      </c>
      <c r="N1480" s="49" t="s">
        <v>14413</v>
      </c>
      <c r="O1480" s="49">
        <v>15</v>
      </c>
      <c r="P1480" s="49" t="s">
        <v>14414</v>
      </c>
      <c r="Q1480" s="49">
        <v>0</v>
      </c>
      <c r="R1480" s="49" t="s">
        <v>14415</v>
      </c>
      <c r="S1480" s="49" t="s">
        <v>14416</v>
      </c>
      <c r="T1480" s="49" t="s">
        <v>646</v>
      </c>
      <c r="U1480" s="49" t="s">
        <v>670</v>
      </c>
      <c r="V1480" s="49" t="e">
        <v>#REF!</v>
      </c>
      <c r="AC1480" s="49"/>
      <c r="AD1480" s="49"/>
    </row>
    <row r="1481" spans="1:30" hidden="1" x14ac:dyDescent="0.3">
      <c r="A1481" s="49" t="s">
        <v>14417</v>
      </c>
      <c r="B1481" s="49">
        <v>0</v>
      </c>
      <c r="C1481" s="49"/>
      <c r="D1481" s="72" t="s">
        <v>717</v>
      </c>
      <c r="E1481" s="49" t="s">
        <v>3754</v>
      </c>
      <c r="F1481" s="49"/>
      <c r="G1481" s="49"/>
      <c r="H1481" s="49" t="s">
        <v>14418</v>
      </c>
      <c r="I1481" s="49" t="s">
        <v>14421</v>
      </c>
      <c r="J1481" s="49" t="s">
        <v>14419</v>
      </c>
      <c r="K1481" s="49" t="s">
        <v>14420</v>
      </c>
      <c r="L1481" s="49">
        <v>0</v>
      </c>
      <c r="M1481" s="49" t="s">
        <v>1865</v>
      </c>
      <c r="N1481" s="49" t="s">
        <v>14422</v>
      </c>
      <c r="O1481" s="49">
        <v>8</v>
      </c>
      <c r="P1481" s="49" t="s">
        <v>14423</v>
      </c>
      <c r="Q1481" s="49">
        <v>0</v>
      </c>
      <c r="R1481" s="49" t="s">
        <v>14424</v>
      </c>
      <c r="S1481" s="49" t="s">
        <v>14425</v>
      </c>
      <c r="T1481" s="49" t="s">
        <v>14426</v>
      </c>
      <c r="U1481" s="49" t="s">
        <v>655</v>
      </c>
      <c r="V1481" s="49" t="e">
        <v>#REF!</v>
      </c>
      <c r="AC1481" s="49"/>
      <c r="AD1481" s="49"/>
    </row>
    <row r="1482" spans="1:30" hidden="1" x14ac:dyDescent="0.3">
      <c r="A1482" s="49" t="s">
        <v>14427</v>
      </c>
      <c r="B1482" s="49">
        <v>0</v>
      </c>
      <c r="C1482" s="49"/>
      <c r="D1482" s="72" t="s">
        <v>717</v>
      </c>
      <c r="E1482" s="49" t="s">
        <v>3754</v>
      </c>
      <c r="F1482" s="49"/>
      <c r="G1482" s="49"/>
      <c r="H1482" s="49" t="s">
        <v>14428</v>
      </c>
      <c r="I1482" s="49" t="s">
        <v>14431</v>
      </c>
      <c r="J1482" s="49" t="s">
        <v>14429</v>
      </c>
      <c r="K1482" s="49" t="s">
        <v>14430</v>
      </c>
      <c r="L1482" s="49">
        <v>0</v>
      </c>
      <c r="M1482" s="49" t="s">
        <v>1764</v>
      </c>
      <c r="N1482" s="49" t="s">
        <v>3007</v>
      </c>
      <c r="O1482" s="49">
        <v>231</v>
      </c>
      <c r="P1482" s="49" t="s">
        <v>14432</v>
      </c>
      <c r="Q1482" s="49">
        <v>0</v>
      </c>
      <c r="R1482" s="49" t="s">
        <v>14433</v>
      </c>
      <c r="S1482" s="49" t="s">
        <v>14434</v>
      </c>
      <c r="T1482" s="49" t="s">
        <v>14435</v>
      </c>
      <c r="U1482" s="49" t="s">
        <v>655</v>
      </c>
      <c r="V1482" s="49" t="e">
        <v>#REF!</v>
      </c>
      <c r="AC1482" s="49"/>
      <c r="AD1482" s="49"/>
    </row>
    <row r="1483" spans="1:30" hidden="1" x14ac:dyDescent="0.3">
      <c r="A1483" s="49" t="s">
        <v>14436</v>
      </c>
      <c r="B1483" s="49">
        <v>0</v>
      </c>
      <c r="C1483" s="49"/>
      <c r="D1483" s="72" t="s">
        <v>717</v>
      </c>
      <c r="E1483" s="49" t="s">
        <v>3754</v>
      </c>
      <c r="F1483" s="49"/>
      <c r="G1483" s="49"/>
      <c r="H1483" s="49" t="s">
        <v>646</v>
      </c>
      <c r="I1483" s="49" t="s">
        <v>14439</v>
      </c>
      <c r="J1483" s="49" t="s">
        <v>14437</v>
      </c>
      <c r="K1483" s="49" t="s">
        <v>14438</v>
      </c>
      <c r="L1483" s="49">
        <v>0</v>
      </c>
      <c r="M1483" s="49" t="s">
        <v>1826</v>
      </c>
      <c r="N1483" s="49" t="s">
        <v>14440</v>
      </c>
      <c r="P1483" s="49" t="s">
        <v>14441</v>
      </c>
      <c r="Q1483" s="49">
        <v>0</v>
      </c>
      <c r="R1483" s="49" t="s">
        <v>14442</v>
      </c>
      <c r="S1483" s="49" t="s">
        <v>14443</v>
      </c>
      <c r="T1483" s="49" t="s">
        <v>14444</v>
      </c>
      <c r="U1483" s="49" t="s">
        <v>655</v>
      </c>
      <c r="V1483" s="49" t="e">
        <v>#REF!</v>
      </c>
      <c r="AC1483" s="49"/>
      <c r="AD1483" s="49"/>
    </row>
    <row r="1484" spans="1:30" hidden="1" x14ac:dyDescent="0.3">
      <c r="A1484" s="49" t="s">
        <v>14445</v>
      </c>
      <c r="B1484" s="49">
        <v>0</v>
      </c>
      <c r="C1484" s="49"/>
      <c r="D1484" s="72" t="s">
        <v>717</v>
      </c>
      <c r="E1484" s="49" t="s">
        <v>3754</v>
      </c>
      <c r="F1484" s="49"/>
      <c r="G1484" s="49"/>
      <c r="H1484" s="49" t="s">
        <v>14446</v>
      </c>
      <c r="I1484" s="49" t="s">
        <v>14449</v>
      </c>
      <c r="J1484" s="49" t="s">
        <v>14447</v>
      </c>
      <c r="K1484" s="49" t="s">
        <v>14448</v>
      </c>
      <c r="L1484" s="49">
        <v>0</v>
      </c>
      <c r="M1484" s="49" t="s">
        <v>1826</v>
      </c>
      <c r="N1484" s="49" t="s">
        <v>14450</v>
      </c>
      <c r="O1484" s="49">
        <v>3</v>
      </c>
      <c r="P1484" s="49" t="s">
        <v>14451</v>
      </c>
      <c r="Q1484" s="49">
        <v>0</v>
      </c>
      <c r="R1484" s="49" t="s">
        <v>14452</v>
      </c>
      <c r="S1484" s="49" t="s">
        <v>14453</v>
      </c>
      <c r="T1484" s="49" t="s">
        <v>14454</v>
      </c>
      <c r="U1484" s="49" t="s">
        <v>646</v>
      </c>
      <c r="V1484" s="49" t="e">
        <v>#REF!</v>
      </c>
      <c r="AC1484" s="49"/>
      <c r="AD1484" s="49"/>
    </row>
    <row r="1485" spans="1:30" hidden="1" x14ac:dyDescent="0.3">
      <c r="A1485" s="49" t="s">
        <v>14455</v>
      </c>
      <c r="B1485" s="49">
        <v>0</v>
      </c>
      <c r="C1485" s="49"/>
      <c r="D1485" s="72" t="s">
        <v>717</v>
      </c>
      <c r="E1485" s="49" t="s">
        <v>3754</v>
      </c>
      <c r="F1485" s="49"/>
      <c r="G1485" s="49"/>
      <c r="H1485" s="49" t="s">
        <v>14456</v>
      </c>
      <c r="I1485" s="49" t="s">
        <v>14459</v>
      </c>
      <c r="J1485" s="49" t="s">
        <v>14457</v>
      </c>
      <c r="K1485" s="49" t="s">
        <v>14458</v>
      </c>
      <c r="L1485" s="49">
        <v>0</v>
      </c>
      <c r="M1485" s="49" t="s">
        <v>1764</v>
      </c>
      <c r="N1485" s="49" t="s">
        <v>14460</v>
      </c>
      <c r="O1485" s="49">
        <v>17</v>
      </c>
      <c r="P1485" s="49" t="s">
        <v>14461</v>
      </c>
      <c r="Q1485" s="49">
        <v>0</v>
      </c>
      <c r="R1485" s="49" t="s">
        <v>14462</v>
      </c>
      <c r="S1485" s="49" t="s">
        <v>14463</v>
      </c>
      <c r="T1485" s="49" t="s">
        <v>646</v>
      </c>
      <c r="U1485" s="49" t="s">
        <v>655</v>
      </c>
      <c r="V1485" s="49" t="e">
        <v>#REF!</v>
      </c>
      <c r="AC1485" s="49"/>
      <c r="AD1485" s="49"/>
    </row>
    <row r="1486" spans="1:30" hidden="1" x14ac:dyDescent="0.3">
      <c r="A1486" s="49" t="s">
        <v>14464</v>
      </c>
      <c r="B1486" s="49">
        <v>0</v>
      </c>
      <c r="C1486" s="49"/>
      <c r="D1486" s="72" t="s">
        <v>717</v>
      </c>
      <c r="E1486" s="49" t="s">
        <v>3754</v>
      </c>
      <c r="F1486" s="49"/>
      <c r="G1486" s="49"/>
      <c r="H1486" s="49" t="s">
        <v>14465</v>
      </c>
      <c r="I1486" s="49" t="s">
        <v>14468</v>
      </c>
      <c r="J1486" s="49" t="s">
        <v>14466</v>
      </c>
      <c r="K1486" s="49" t="s">
        <v>14467</v>
      </c>
      <c r="L1486" s="49">
        <v>0</v>
      </c>
      <c r="M1486" s="49" t="s">
        <v>1764</v>
      </c>
      <c r="N1486" s="49" t="s">
        <v>14469</v>
      </c>
      <c r="O1486" s="49">
        <v>17</v>
      </c>
      <c r="P1486" s="49" t="s">
        <v>14470</v>
      </c>
      <c r="Q1486" s="49">
        <v>0</v>
      </c>
      <c r="R1486" s="49" t="s">
        <v>14471</v>
      </c>
      <c r="S1486" s="49" t="s">
        <v>14472</v>
      </c>
      <c r="T1486" s="49" t="s">
        <v>14473</v>
      </c>
      <c r="U1486" s="49" t="s">
        <v>655</v>
      </c>
      <c r="V1486" s="49" t="e">
        <v>#REF!</v>
      </c>
      <c r="AC1486" s="49"/>
      <c r="AD1486" s="49"/>
    </row>
    <row r="1487" spans="1:30" hidden="1" x14ac:dyDescent="0.3">
      <c r="A1487" s="49" t="s">
        <v>14474</v>
      </c>
      <c r="B1487" s="49">
        <v>0</v>
      </c>
      <c r="C1487" s="49"/>
      <c r="D1487" s="72" t="s">
        <v>717</v>
      </c>
      <c r="E1487" s="49" t="s">
        <v>3754</v>
      </c>
      <c r="F1487" s="49"/>
      <c r="G1487" s="49"/>
      <c r="H1487" s="49" t="s">
        <v>14475</v>
      </c>
      <c r="I1487" s="49" t="s">
        <v>14478</v>
      </c>
      <c r="J1487" s="49" t="s">
        <v>14476</v>
      </c>
      <c r="K1487" s="49" t="s">
        <v>14477</v>
      </c>
      <c r="L1487" s="49">
        <v>0</v>
      </c>
      <c r="M1487" s="49" t="s">
        <v>1865</v>
      </c>
      <c r="N1487" s="49" t="s">
        <v>14479</v>
      </c>
      <c r="O1487" s="49">
        <v>11</v>
      </c>
      <c r="P1487" s="49" t="s">
        <v>14480</v>
      </c>
      <c r="Q1487" s="49">
        <v>0</v>
      </c>
      <c r="R1487" s="49" t="s">
        <v>14481</v>
      </c>
      <c r="S1487" s="49" t="s">
        <v>14482</v>
      </c>
      <c r="T1487" s="49" t="s">
        <v>14483</v>
      </c>
      <c r="U1487" s="49" t="s">
        <v>646</v>
      </c>
      <c r="V1487" s="49" t="e">
        <v>#REF!</v>
      </c>
      <c r="AC1487" s="49"/>
      <c r="AD1487" s="49"/>
    </row>
    <row r="1488" spans="1:30" hidden="1" x14ac:dyDescent="0.3">
      <c r="A1488" s="49" t="s">
        <v>14484</v>
      </c>
      <c r="B1488" s="49">
        <v>0</v>
      </c>
      <c r="C1488" s="49"/>
      <c r="D1488" s="72" t="s">
        <v>717</v>
      </c>
      <c r="E1488" s="49" t="s">
        <v>3754</v>
      </c>
      <c r="F1488" s="49"/>
      <c r="G1488" s="49"/>
      <c r="H1488" s="49" t="s">
        <v>14485</v>
      </c>
      <c r="I1488" s="49" t="s">
        <v>14488</v>
      </c>
      <c r="J1488" s="49" t="s">
        <v>14486</v>
      </c>
      <c r="K1488" s="49" t="s">
        <v>14487</v>
      </c>
      <c r="L1488" s="49">
        <v>0</v>
      </c>
      <c r="M1488" s="49" t="s">
        <v>4084</v>
      </c>
      <c r="N1488" s="49" t="s">
        <v>14489</v>
      </c>
      <c r="O1488" s="49">
        <v>21</v>
      </c>
      <c r="P1488" s="49" t="s">
        <v>14490</v>
      </c>
      <c r="Q1488" s="49">
        <v>0</v>
      </c>
      <c r="R1488" s="49" t="s">
        <v>14491</v>
      </c>
      <c r="S1488" s="49" t="s">
        <v>14492</v>
      </c>
      <c r="T1488" s="49" t="s">
        <v>14493</v>
      </c>
      <c r="U1488" s="49" t="s">
        <v>655</v>
      </c>
      <c r="V1488" s="49" t="e">
        <v>#REF!</v>
      </c>
      <c r="AC1488" s="49"/>
      <c r="AD1488" s="49"/>
    </row>
    <row r="1489" spans="1:30" hidden="1" x14ac:dyDescent="0.3">
      <c r="A1489" s="49" t="s">
        <v>14494</v>
      </c>
      <c r="B1489" s="49">
        <v>0</v>
      </c>
      <c r="C1489" s="49"/>
      <c r="D1489" s="72" t="s">
        <v>717</v>
      </c>
      <c r="E1489" s="49" t="s">
        <v>3754</v>
      </c>
      <c r="F1489" s="49"/>
      <c r="G1489" s="49"/>
      <c r="H1489" s="49" t="s">
        <v>14495</v>
      </c>
      <c r="I1489" s="49" t="s">
        <v>14498</v>
      </c>
      <c r="J1489" s="49" t="s">
        <v>14496</v>
      </c>
      <c r="K1489" s="49" t="s">
        <v>14497</v>
      </c>
      <c r="L1489" s="49">
        <v>0</v>
      </c>
      <c r="M1489" s="49" t="s">
        <v>1764</v>
      </c>
      <c r="N1489" s="49" t="s">
        <v>14499</v>
      </c>
      <c r="O1489" s="49">
        <v>7</v>
      </c>
      <c r="P1489" s="49" t="s">
        <v>14500</v>
      </c>
      <c r="Q1489" s="49">
        <v>0</v>
      </c>
      <c r="R1489" s="49" t="s">
        <v>14501</v>
      </c>
      <c r="S1489" s="49" t="s">
        <v>14502</v>
      </c>
      <c r="T1489" s="49" t="s">
        <v>646</v>
      </c>
      <c r="U1489" s="49" t="s">
        <v>670</v>
      </c>
      <c r="V1489" s="49" t="e">
        <v>#REF!</v>
      </c>
      <c r="AC1489" s="49"/>
      <c r="AD1489" s="49"/>
    </row>
    <row r="1490" spans="1:30" hidden="1" x14ac:dyDescent="0.3">
      <c r="A1490" s="49" t="s">
        <v>14503</v>
      </c>
      <c r="B1490" s="49">
        <v>0</v>
      </c>
      <c r="C1490" s="49"/>
      <c r="D1490" s="72" t="s">
        <v>717</v>
      </c>
      <c r="E1490" s="49" t="s">
        <v>3754</v>
      </c>
      <c r="F1490" s="49"/>
      <c r="G1490" s="49"/>
      <c r="H1490" s="49" t="s">
        <v>14504</v>
      </c>
      <c r="I1490" s="49" t="s">
        <v>14507</v>
      </c>
      <c r="J1490" s="49" t="s">
        <v>14505</v>
      </c>
      <c r="K1490" s="49" t="s">
        <v>14506</v>
      </c>
      <c r="L1490" s="49">
        <v>0</v>
      </c>
      <c r="M1490" s="49" t="s">
        <v>1777</v>
      </c>
      <c r="N1490" s="49" t="s">
        <v>4783</v>
      </c>
      <c r="O1490" s="49">
        <v>22</v>
      </c>
      <c r="P1490" s="49" t="s">
        <v>14508</v>
      </c>
      <c r="Q1490" s="49">
        <v>0</v>
      </c>
      <c r="R1490" s="49" t="s">
        <v>14509</v>
      </c>
      <c r="S1490" s="49" t="s">
        <v>14510</v>
      </c>
      <c r="T1490" s="49" t="s">
        <v>646</v>
      </c>
      <c r="U1490" s="49" t="s">
        <v>670</v>
      </c>
      <c r="V1490" s="49" t="e">
        <v>#REF!</v>
      </c>
      <c r="AC1490" s="49"/>
      <c r="AD1490" s="49"/>
    </row>
    <row r="1491" spans="1:30" hidden="1" x14ac:dyDescent="0.3">
      <c r="A1491" s="49" t="s">
        <v>14511</v>
      </c>
      <c r="B1491" s="49">
        <v>0</v>
      </c>
      <c r="C1491" s="49"/>
      <c r="D1491" s="72" t="s">
        <v>717</v>
      </c>
      <c r="E1491" s="49" t="s">
        <v>3754</v>
      </c>
      <c r="F1491" s="49"/>
      <c r="G1491" s="49"/>
      <c r="H1491" s="49" t="s">
        <v>14512</v>
      </c>
      <c r="I1491" s="49" t="s">
        <v>14515</v>
      </c>
      <c r="J1491" s="49" t="s">
        <v>14513</v>
      </c>
      <c r="K1491" s="49" t="s">
        <v>14514</v>
      </c>
      <c r="L1491" s="49">
        <v>0</v>
      </c>
      <c r="M1491" s="49" t="s">
        <v>4114</v>
      </c>
      <c r="N1491" s="49" t="s">
        <v>14516</v>
      </c>
      <c r="O1491" s="49">
        <v>29</v>
      </c>
      <c r="P1491" s="49" t="s">
        <v>14517</v>
      </c>
      <c r="Q1491" s="49">
        <v>0</v>
      </c>
      <c r="R1491" s="49" t="s">
        <v>14518</v>
      </c>
      <c r="S1491" s="49" t="s">
        <v>14519</v>
      </c>
      <c r="T1491" s="49" t="s">
        <v>14520</v>
      </c>
      <c r="U1491" s="49" t="s">
        <v>655</v>
      </c>
      <c r="V1491" s="49" t="e">
        <v>#REF!</v>
      </c>
      <c r="AC1491" s="49"/>
      <c r="AD1491" s="49"/>
    </row>
    <row r="1492" spans="1:30" hidden="1" x14ac:dyDescent="0.3">
      <c r="A1492" s="49" t="s">
        <v>14521</v>
      </c>
      <c r="B1492" s="49">
        <v>0</v>
      </c>
      <c r="C1492" s="49"/>
      <c r="D1492" s="72" t="s">
        <v>717</v>
      </c>
      <c r="E1492" s="49" t="s">
        <v>3754</v>
      </c>
      <c r="F1492" s="49"/>
      <c r="G1492" s="49"/>
      <c r="H1492" s="49" t="s">
        <v>14522</v>
      </c>
      <c r="I1492" s="49" t="s">
        <v>14525</v>
      </c>
      <c r="J1492" s="49" t="s">
        <v>14523</v>
      </c>
      <c r="K1492" s="49" t="s">
        <v>14524</v>
      </c>
      <c r="L1492" s="49">
        <v>0</v>
      </c>
      <c r="M1492" s="49" t="s">
        <v>1826</v>
      </c>
      <c r="N1492" s="49" t="s">
        <v>2239</v>
      </c>
      <c r="O1492" s="49">
        <v>19</v>
      </c>
      <c r="P1492" s="49" t="s">
        <v>14526</v>
      </c>
      <c r="Q1492" s="49">
        <v>0</v>
      </c>
      <c r="R1492" s="49" t="s">
        <v>14527</v>
      </c>
      <c r="S1492" s="49" t="s">
        <v>14528</v>
      </c>
      <c r="T1492" s="49" t="s">
        <v>646</v>
      </c>
      <c r="U1492" s="49" t="s">
        <v>670</v>
      </c>
      <c r="V1492" s="49" t="e">
        <v>#REF!</v>
      </c>
      <c r="AC1492" s="49"/>
      <c r="AD1492" s="49"/>
    </row>
    <row r="1493" spans="1:30" hidden="1" x14ac:dyDescent="0.3">
      <c r="A1493" s="49" t="s">
        <v>14529</v>
      </c>
      <c r="B1493" s="49">
        <v>0</v>
      </c>
      <c r="C1493" s="49"/>
      <c r="D1493" s="72" t="s">
        <v>717</v>
      </c>
      <c r="E1493" s="49" t="s">
        <v>3754</v>
      </c>
      <c r="F1493" s="49"/>
      <c r="G1493" s="49"/>
      <c r="H1493" s="49" t="s">
        <v>14530</v>
      </c>
      <c r="I1493" s="49" t="s">
        <v>14533</v>
      </c>
      <c r="J1493" s="49" t="s">
        <v>14531</v>
      </c>
      <c r="K1493" s="49" t="s">
        <v>14532</v>
      </c>
      <c r="L1493" s="49">
        <v>0</v>
      </c>
      <c r="M1493" s="49" t="s">
        <v>1777</v>
      </c>
      <c r="N1493" s="49" t="s">
        <v>14534</v>
      </c>
      <c r="O1493" s="49">
        <v>13</v>
      </c>
      <c r="P1493" s="49" t="s">
        <v>14535</v>
      </c>
      <c r="Q1493" s="49">
        <v>0</v>
      </c>
      <c r="R1493" s="49" t="s">
        <v>14536</v>
      </c>
      <c r="S1493" s="49" t="s">
        <v>14537</v>
      </c>
      <c r="T1493" s="49" t="s">
        <v>646</v>
      </c>
      <c r="U1493" s="49" t="s">
        <v>670</v>
      </c>
      <c r="V1493" s="49" t="e">
        <v>#REF!</v>
      </c>
      <c r="AC1493" s="49"/>
      <c r="AD1493" s="49"/>
    </row>
    <row r="1494" spans="1:30" hidden="1" x14ac:dyDescent="0.3">
      <c r="A1494" s="49" t="s">
        <v>14538</v>
      </c>
      <c r="B1494" s="49">
        <v>0</v>
      </c>
      <c r="C1494" s="49"/>
      <c r="D1494" s="72" t="s">
        <v>717</v>
      </c>
      <c r="E1494" s="49" t="s">
        <v>3754</v>
      </c>
      <c r="F1494" s="49"/>
      <c r="G1494" s="49"/>
      <c r="H1494" s="49" t="s">
        <v>14539</v>
      </c>
      <c r="I1494" s="49" t="s">
        <v>14542</v>
      </c>
      <c r="J1494" s="49" t="s">
        <v>14540</v>
      </c>
      <c r="K1494" s="49" t="s">
        <v>14541</v>
      </c>
      <c r="L1494" s="49">
        <v>0</v>
      </c>
      <c r="M1494" s="49" t="s">
        <v>2142</v>
      </c>
      <c r="N1494" s="49" t="s">
        <v>10780</v>
      </c>
      <c r="O1494" s="49">
        <v>61</v>
      </c>
      <c r="P1494" s="49" t="s">
        <v>14543</v>
      </c>
      <c r="Q1494" s="49">
        <v>0</v>
      </c>
      <c r="R1494" s="49" t="s">
        <v>14544</v>
      </c>
      <c r="S1494" s="49" t="s">
        <v>14545</v>
      </c>
      <c r="T1494" s="49" t="s">
        <v>14546</v>
      </c>
      <c r="U1494" s="49" t="s">
        <v>655</v>
      </c>
      <c r="V1494" s="49" t="e">
        <v>#REF!</v>
      </c>
      <c r="AC1494" s="49"/>
      <c r="AD1494" s="49"/>
    </row>
    <row r="1495" spans="1:30" hidden="1" x14ac:dyDescent="0.3">
      <c r="A1495" s="49" t="s">
        <v>14547</v>
      </c>
      <c r="B1495" s="49">
        <v>0</v>
      </c>
      <c r="C1495" s="49"/>
      <c r="D1495" s="72" t="s">
        <v>717</v>
      </c>
      <c r="E1495" s="49" t="s">
        <v>3754</v>
      </c>
      <c r="F1495" s="49"/>
      <c r="G1495" s="49"/>
      <c r="H1495" s="49" t="s">
        <v>14548</v>
      </c>
      <c r="I1495" s="49" t="s">
        <v>14551</v>
      </c>
      <c r="J1495" s="49" t="s">
        <v>14549</v>
      </c>
      <c r="K1495" s="49" t="s">
        <v>14550</v>
      </c>
      <c r="L1495" s="49">
        <v>0</v>
      </c>
      <c r="M1495" s="49" t="s">
        <v>4114</v>
      </c>
      <c r="N1495" s="49" t="s">
        <v>1361</v>
      </c>
      <c r="O1495" s="49">
        <v>66</v>
      </c>
      <c r="P1495" s="49" t="s">
        <v>14552</v>
      </c>
      <c r="Q1495" s="49">
        <v>0</v>
      </c>
      <c r="R1495" s="49" t="s">
        <v>14553</v>
      </c>
      <c r="S1495" s="49" t="s">
        <v>14554</v>
      </c>
      <c r="T1495" s="49" t="s">
        <v>14555</v>
      </c>
      <c r="U1495" s="49" t="s">
        <v>655</v>
      </c>
      <c r="V1495" s="49" t="e">
        <v>#REF!</v>
      </c>
      <c r="AC1495" s="49"/>
      <c r="AD1495" s="49"/>
    </row>
    <row r="1496" spans="1:30" hidden="1" x14ac:dyDescent="0.3">
      <c r="A1496" s="49" t="s">
        <v>14556</v>
      </c>
      <c r="B1496" s="49">
        <v>0</v>
      </c>
      <c r="C1496" s="49"/>
      <c r="D1496" s="72" t="s">
        <v>717</v>
      </c>
      <c r="E1496" s="49" t="s">
        <v>3754</v>
      </c>
      <c r="F1496" s="49"/>
      <c r="G1496" s="49"/>
      <c r="H1496" s="49" t="s">
        <v>14557</v>
      </c>
      <c r="I1496" s="49" t="s">
        <v>14560</v>
      </c>
      <c r="J1496" s="49" t="s">
        <v>14558</v>
      </c>
      <c r="K1496" s="49" t="s">
        <v>14559</v>
      </c>
      <c r="L1496" s="49">
        <v>0</v>
      </c>
      <c r="M1496" s="49" t="s">
        <v>1865</v>
      </c>
      <c r="N1496" s="49" t="s">
        <v>14561</v>
      </c>
      <c r="O1496" s="49">
        <v>26</v>
      </c>
      <c r="P1496" s="49" t="s">
        <v>14562</v>
      </c>
      <c r="Q1496" s="49">
        <v>0</v>
      </c>
      <c r="R1496" s="49" t="s">
        <v>14563</v>
      </c>
      <c r="S1496" s="49" t="s">
        <v>14564</v>
      </c>
      <c r="T1496" s="49" t="s">
        <v>14565</v>
      </c>
      <c r="U1496" s="49" t="s">
        <v>655</v>
      </c>
      <c r="V1496" s="49" t="e">
        <v>#REF!</v>
      </c>
      <c r="AC1496" s="49"/>
      <c r="AD1496" s="49"/>
    </row>
    <row r="1497" spans="1:30" hidden="1" x14ac:dyDescent="0.3">
      <c r="A1497" s="49" t="s">
        <v>14566</v>
      </c>
      <c r="B1497" s="49">
        <v>0</v>
      </c>
      <c r="C1497" s="49"/>
      <c r="D1497" s="72" t="s">
        <v>717</v>
      </c>
      <c r="E1497" s="49" t="s">
        <v>3754</v>
      </c>
      <c r="F1497" s="49"/>
      <c r="G1497" s="49"/>
      <c r="H1497" s="49" t="s">
        <v>14567</v>
      </c>
      <c r="I1497" s="49" t="s">
        <v>14570</v>
      </c>
      <c r="J1497" s="49" t="s">
        <v>14568</v>
      </c>
      <c r="K1497" s="49" t="s">
        <v>14569</v>
      </c>
      <c r="L1497" s="49">
        <v>0</v>
      </c>
      <c r="M1497" s="49" t="s">
        <v>2484</v>
      </c>
      <c r="N1497" s="49" t="s">
        <v>14571</v>
      </c>
      <c r="P1497" s="49" t="s">
        <v>14572</v>
      </c>
      <c r="Q1497" s="49">
        <v>0</v>
      </c>
      <c r="R1497" s="49" t="s">
        <v>14573</v>
      </c>
      <c r="S1497" s="49" t="s">
        <v>14574</v>
      </c>
      <c r="T1497" s="49" t="s">
        <v>646</v>
      </c>
      <c r="U1497" s="49" t="s">
        <v>670</v>
      </c>
      <c r="V1497" s="49" t="e">
        <v>#REF!</v>
      </c>
      <c r="AC1497" s="49"/>
      <c r="AD1497" s="49"/>
    </row>
    <row r="1498" spans="1:30" hidden="1" x14ac:dyDescent="0.3">
      <c r="A1498" s="49" t="s">
        <v>14575</v>
      </c>
      <c r="B1498" s="49">
        <v>0</v>
      </c>
      <c r="C1498" s="49"/>
      <c r="D1498" s="72" t="s">
        <v>717</v>
      </c>
      <c r="E1498" s="49" t="s">
        <v>3754</v>
      </c>
      <c r="F1498" s="49"/>
      <c r="G1498" s="49"/>
      <c r="H1498" s="49" t="s">
        <v>14576</v>
      </c>
      <c r="I1498" s="49" t="s">
        <v>14579</v>
      </c>
      <c r="J1498" s="49" t="s">
        <v>14577</v>
      </c>
      <c r="K1498" s="49" t="s">
        <v>14578</v>
      </c>
      <c r="L1498" s="49">
        <v>0</v>
      </c>
      <c r="M1498" s="49" t="s">
        <v>2142</v>
      </c>
      <c r="N1498" s="49" t="s">
        <v>14580</v>
      </c>
      <c r="O1498" s="49">
        <v>10</v>
      </c>
      <c r="P1498" s="49" t="s">
        <v>14581</v>
      </c>
      <c r="Q1498" s="49">
        <v>0</v>
      </c>
      <c r="R1498" s="49" t="s">
        <v>14582</v>
      </c>
      <c r="S1498" s="49" t="s">
        <v>14583</v>
      </c>
      <c r="T1498" s="49" t="s">
        <v>14584</v>
      </c>
      <c r="U1498" s="49" t="s">
        <v>655</v>
      </c>
      <c r="V1498" s="49" t="e">
        <v>#REF!</v>
      </c>
      <c r="AC1498" s="49"/>
      <c r="AD1498" s="49"/>
    </row>
    <row r="1499" spans="1:30" hidden="1" x14ac:dyDescent="0.3">
      <c r="A1499" s="49" t="s">
        <v>14585</v>
      </c>
      <c r="B1499" s="49">
        <v>0</v>
      </c>
      <c r="C1499" s="49"/>
      <c r="D1499" s="72" t="s">
        <v>717</v>
      </c>
      <c r="E1499" s="49" t="s">
        <v>3754</v>
      </c>
      <c r="F1499" s="49"/>
      <c r="G1499" s="49"/>
      <c r="H1499" s="49" t="s">
        <v>14586</v>
      </c>
      <c r="I1499" s="49" t="s">
        <v>14589</v>
      </c>
      <c r="J1499" s="49" t="s">
        <v>14587</v>
      </c>
      <c r="K1499" s="49" t="s">
        <v>14588</v>
      </c>
      <c r="L1499" s="49">
        <v>0</v>
      </c>
      <c r="M1499" s="49" t="s">
        <v>1865</v>
      </c>
      <c r="N1499" s="49" t="s">
        <v>3152</v>
      </c>
      <c r="O1499" s="49">
        <v>38</v>
      </c>
      <c r="P1499" s="49" t="s">
        <v>14590</v>
      </c>
      <c r="Q1499" s="49">
        <v>0</v>
      </c>
      <c r="R1499" s="49" t="s">
        <v>14591</v>
      </c>
      <c r="S1499" s="49" t="s">
        <v>14592</v>
      </c>
      <c r="T1499" s="49" t="s">
        <v>14593</v>
      </c>
      <c r="U1499" s="49" t="s">
        <v>655</v>
      </c>
      <c r="V1499" s="49" t="e">
        <v>#REF!</v>
      </c>
      <c r="AC1499" s="49"/>
      <c r="AD1499" s="49"/>
    </row>
    <row r="1500" spans="1:30" hidden="1" x14ac:dyDescent="0.3">
      <c r="A1500" s="49" t="s">
        <v>14594</v>
      </c>
      <c r="B1500" s="49">
        <v>0</v>
      </c>
      <c r="C1500" s="49"/>
      <c r="D1500" s="72" t="s">
        <v>717</v>
      </c>
      <c r="E1500" s="49" t="s">
        <v>3754</v>
      </c>
      <c r="F1500" s="49"/>
      <c r="G1500" s="49"/>
      <c r="H1500" s="49" t="s">
        <v>14595</v>
      </c>
      <c r="I1500" s="49" t="s">
        <v>14598</v>
      </c>
      <c r="J1500" s="49" t="s">
        <v>14596</v>
      </c>
      <c r="K1500" s="49" t="s">
        <v>14597</v>
      </c>
      <c r="L1500" s="49">
        <v>0</v>
      </c>
      <c r="M1500" s="49" t="s">
        <v>2484</v>
      </c>
      <c r="N1500" s="49" t="s">
        <v>14599</v>
      </c>
      <c r="O1500" s="49">
        <v>36</v>
      </c>
      <c r="P1500" s="49" t="s">
        <v>14600</v>
      </c>
      <c r="Q1500" s="49">
        <v>0</v>
      </c>
      <c r="R1500" s="49" t="s">
        <v>14601</v>
      </c>
      <c r="S1500" s="49" t="s">
        <v>14602</v>
      </c>
      <c r="T1500" s="49" t="s">
        <v>14603</v>
      </c>
      <c r="U1500" s="49" t="s">
        <v>655</v>
      </c>
      <c r="V1500" s="49" t="e">
        <v>#REF!</v>
      </c>
      <c r="AC1500" s="49"/>
      <c r="AD1500" s="49"/>
    </row>
    <row r="1501" spans="1:30" hidden="1" x14ac:dyDescent="0.3">
      <c r="A1501" s="49" t="s">
        <v>14604</v>
      </c>
      <c r="B1501" s="49">
        <v>0</v>
      </c>
      <c r="C1501" s="49"/>
      <c r="D1501" s="72" t="s">
        <v>717</v>
      </c>
      <c r="E1501" s="49" t="s">
        <v>3754</v>
      </c>
      <c r="F1501" s="49"/>
      <c r="G1501" s="49"/>
      <c r="H1501" s="49" t="s">
        <v>14605</v>
      </c>
      <c r="I1501" s="49" t="s">
        <v>14608</v>
      </c>
      <c r="J1501" s="49" t="s">
        <v>14606</v>
      </c>
      <c r="K1501" s="49" t="s">
        <v>14607</v>
      </c>
      <c r="L1501" s="49">
        <v>0</v>
      </c>
      <c r="M1501" s="49" t="s">
        <v>1865</v>
      </c>
      <c r="N1501" s="49" t="s">
        <v>14609</v>
      </c>
      <c r="O1501" s="49">
        <v>4</v>
      </c>
      <c r="P1501" s="49" t="s">
        <v>14610</v>
      </c>
      <c r="Q1501" s="49">
        <v>0</v>
      </c>
      <c r="R1501" s="49" t="s">
        <v>14611</v>
      </c>
      <c r="S1501" s="49" t="s">
        <v>14612</v>
      </c>
      <c r="T1501" s="49" t="s">
        <v>646</v>
      </c>
      <c r="U1501" s="49" t="s">
        <v>655</v>
      </c>
      <c r="V1501" s="49" t="e">
        <v>#REF!</v>
      </c>
      <c r="AC1501" s="49"/>
      <c r="AD1501" s="49"/>
    </row>
    <row r="1502" spans="1:30" hidden="1" x14ac:dyDescent="0.3">
      <c r="A1502" s="49" t="s">
        <v>14613</v>
      </c>
      <c r="B1502" s="49">
        <v>0</v>
      </c>
      <c r="C1502" s="49"/>
      <c r="D1502" s="72" t="s">
        <v>717</v>
      </c>
      <c r="E1502" s="49" t="s">
        <v>3754</v>
      </c>
      <c r="F1502" s="49"/>
      <c r="G1502" s="49"/>
      <c r="H1502" s="49" t="s">
        <v>14614</v>
      </c>
      <c r="I1502" s="49" t="s">
        <v>14617</v>
      </c>
      <c r="J1502" s="49" t="s">
        <v>14615</v>
      </c>
      <c r="K1502" s="49" t="s">
        <v>14616</v>
      </c>
      <c r="L1502" s="49">
        <v>0</v>
      </c>
      <c r="M1502" s="49" t="s">
        <v>1777</v>
      </c>
      <c r="N1502" s="49" t="s">
        <v>12075</v>
      </c>
      <c r="O1502" s="49">
        <v>149</v>
      </c>
      <c r="P1502" s="49" t="s">
        <v>14618</v>
      </c>
      <c r="Q1502" s="49">
        <v>0</v>
      </c>
      <c r="R1502" s="49" t="s">
        <v>14619</v>
      </c>
      <c r="S1502" s="49" t="s">
        <v>14620</v>
      </c>
      <c r="T1502" s="49" t="s">
        <v>646</v>
      </c>
      <c r="U1502" s="49" t="s">
        <v>670</v>
      </c>
      <c r="V1502" s="49" t="e">
        <v>#REF!</v>
      </c>
      <c r="AC1502" s="49"/>
      <c r="AD1502" s="49"/>
    </row>
    <row r="1503" spans="1:30" hidden="1" x14ac:dyDescent="0.3">
      <c r="A1503" s="49" t="s">
        <v>14621</v>
      </c>
      <c r="B1503" s="49">
        <v>0</v>
      </c>
      <c r="C1503" s="49"/>
      <c r="D1503" s="72" t="s">
        <v>717</v>
      </c>
      <c r="E1503" s="49" t="s">
        <v>3754</v>
      </c>
      <c r="F1503" s="49"/>
      <c r="G1503" s="49"/>
      <c r="H1503" s="49" t="s">
        <v>14622</v>
      </c>
      <c r="I1503" s="49" t="s">
        <v>14625</v>
      </c>
      <c r="J1503" s="49" t="s">
        <v>14623</v>
      </c>
      <c r="K1503" s="49" t="s">
        <v>14624</v>
      </c>
      <c r="L1503" s="49">
        <v>0</v>
      </c>
      <c r="M1503" s="49" t="s">
        <v>2142</v>
      </c>
      <c r="N1503" s="49" t="s">
        <v>14626</v>
      </c>
      <c r="O1503" s="49">
        <v>2</v>
      </c>
      <c r="P1503" s="49" t="s">
        <v>14627</v>
      </c>
      <c r="Q1503" s="49">
        <v>0</v>
      </c>
      <c r="R1503" s="49" t="s">
        <v>14628</v>
      </c>
      <c r="S1503" s="49" t="s">
        <v>14629</v>
      </c>
      <c r="T1503" s="49" t="s">
        <v>646</v>
      </c>
      <c r="U1503" s="49" t="s">
        <v>670</v>
      </c>
      <c r="V1503" s="49" t="e">
        <v>#REF!</v>
      </c>
      <c r="AC1503" s="49"/>
      <c r="AD1503" s="49"/>
    </row>
    <row r="1504" spans="1:30" hidden="1" x14ac:dyDescent="0.3">
      <c r="A1504" s="49" t="s">
        <v>14630</v>
      </c>
      <c r="B1504" s="49">
        <v>0</v>
      </c>
      <c r="C1504" s="49"/>
      <c r="D1504" s="72" t="s">
        <v>717</v>
      </c>
      <c r="E1504" s="49" t="s">
        <v>3754</v>
      </c>
      <c r="F1504" s="49"/>
      <c r="G1504" s="49"/>
      <c r="H1504" s="49" t="s">
        <v>14631</v>
      </c>
      <c r="I1504" s="49" t="s">
        <v>4267</v>
      </c>
      <c r="J1504" s="49" t="s">
        <v>4265</v>
      </c>
      <c r="K1504" s="49" t="s">
        <v>14632</v>
      </c>
      <c r="L1504" s="49">
        <v>0</v>
      </c>
      <c r="M1504" s="49" t="s">
        <v>1817</v>
      </c>
      <c r="N1504" s="49" t="s">
        <v>7384</v>
      </c>
      <c r="O1504" s="49">
        <v>10</v>
      </c>
      <c r="P1504" s="49" t="s">
        <v>14633</v>
      </c>
      <c r="Q1504" s="49">
        <v>0</v>
      </c>
      <c r="R1504" s="49" t="s">
        <v>14634</v>
      </c>
      <c r="S1504" s="49" t="s">
        <v>14635</v>
      </c>
      <c r="T1504" s="49" t="s">
        <v>6801</v>
      </c>
      <c r="U1504" s="49" t="s">
        <v>670</v>
      </c>
      <c r="V1504" s="49" t="e">
        <v>#REF!</v>
      </c>
      <c r="AC1504" s="49"/>
      <c r="AD1504" s="49"/>
    </row>
    <row r="1505" spans="1:30" hidden="1" x14ac:dyDescent="0.3">
      <c r="A1505" s="49" t="s">
        <v>14636</v>
      </c>
      <c r="B1505" s="49">
        <v>0</v>
      </c>
      <c r="C1505" s="49"/>
      <c r="D1505" s="72" t="s">
        <v>717</v>
      </c>
      <c r="E1505" s="49" t="s">
        <v>3754</v>
      </c>
      <c r="F1505" s="49"/>
      <c r="G1505" s="49"/>
      <c r="H1505" s="49" t="s">
        <v>14637</v>
      </c>
      <c r="I1505" s="49" t="s">
        <v>14639</v>
      </c>
      <c r="J1505" s="49" t="s">
        <v>4265</v>
      </c>
      <c r="K1505" s="49" t="s">
        <v>14638</v>
      </c>
      <c r="L1505" s="49">
        <v>0</v>
      </c>
      <c r="M1505" s="49" t="s">
        <v>4084</v>
      </c>
      <c r="N1505" s="49" t="s">
        <v>1039</v>
      </c>
      <c r="O1505" s="49">
        <v>8</v>
      </c>
      <c r="P1505" s="49" t="s">
        <v>14640</v>
      </c>
      <c r="Q1505" s="49">
        <v>0</v>
      </c>
      <c r="R1505" s="49" t="s">
        <v>14634</v>
      </c>
      <c r="S1505" s="49" t="s">
        <v>14641</v>
      </c>
      <c r="T1505" s="49" t="s">
        <v>14642</v>
      </c>
      <c r="U1505" s="49" t="s">
        <v>670</v>
      </c>
      <c r="V1505" s="49" t="e">
        <v>#REF!</v>
      </c>
      <c r="AC1505" s="49"/>
      <c r="AD1505" s="49"/>
    </row>
    <row r="1506" spans="1:30" hidden="1" x14ac:dyDescent="0.3">
      <c r="A1506" s="49" t="s">
        <v>14643</v>
      </c>
      <c r="B1506" s="49">
        <v>0</v>
      </c>
      <c r="C1506" s="49"/>
      <c r="D1506" s="72" t="s">
        <v>717</v>
      </c>
      <c r="E1506" s="49" t="s">
        <v>3754</v>
      </c>
      <c r="F1506" s="49"/>
      <c r="G1506" s="49"/>
      <c r="H1506" s="49" t="s">
        <v>14644</v>
      </c>
      <c r="I1506" s="49" t="s">
        <v>14647</v>
      </c>
      <c r="J1506" s="49" t="s">
        <v>14645</v>
      </c>
      <c r="K1506" s="49" t="s">
        <v>14646</v>
      </c>
      <c r="L1506" s="49">
        <v>0</v>
      </c>
      <c r="M1506" s="49" t="s">
        <v>4114</v>
      </c>
      <c r="N1506" s="49" t="s">
        <v>14377</v>
      </c>
      <c r="O1506" s="49">
        <v>114</v>
      </c>
      <c r="P1506" s="49" t="s">
        <v>14648</v>
      </c>
      <c r="Q1506" s="49">
        <v>0</v>
      </c>
      <c r="R1506" s="49" t="s">
        <v>14649</v>
      </c>
      <c r="S1506" s="49" t="s">
        <v>14650</v>
      </c>
      <c r="T1506" s="49" t="s">
        <v>14651</v>
      </c>
      <c r="U1506" s="49" t="s">
        <v>655</v>
      </c>
      <c r="V1506" s="49" t="e">
        <v>#REF!</v>
      </c>
      <c r="AC1506" s="49"/>
      <c r="AD1506" s="49"/>
    </row>
    <row r="1507" spans="1:30" hidden="1" x14ac:dyDescent="0.3">
      <c r="A1507" s="49" t="s">
        <v>14652</v>
      </c>
      <c r="B1507" s="49">
        <v>0</v>
      </c>
      <c r="C1507" s="49"/>
      <c r="D1507" s="72" t="s">
        <v>717</v>
      </c>
      <c r="E1507" s="49" t="s">
        <v>3754</v>
      </c>
      <c r="F1507" s="49"/>
      <c r="G1507" s="49"/>
      <c r="H1507" s="49" t="s">
        <v>14653</v>
      </c>
      <c r="I1507" s="49" t="s">
        <v>14656</v>
      </c>
      <c r="J1507" s="49" t="s">
        <v>14654</v>
      </c>
      <c r="K1507" s="49" t="s">
        <v>14655</v>
      </c>
      <c r="L1507" s="49">
        <v>0</v>
      </c>
      <c r="M1507" s="49" t="s">
        <v>1865</v>
      </c>
      <c r="N1507" s="49" t="s">
        <v>14657</v>
      </c>
      <c r="P1507" s="49" t="s">
        <v>14658</v>
      </c>
      <c r="Q1507" s="49">
        <v>0</v>
      </c>
      <c r="R1507" s="49" t="s">
        <v>14659</v>
      </c>
      <c r="S1507" s="49" t="s">
        <v>14660</v>
      </c>
      <c r="T1507" s="49" t="s">
        <v>14661</v>
      </c>
      <c r="U1507" s="49" t="s">
        <v>655</v>
      </c>
      <c r="V1507" s="49" t="e">
        <v>#REF!</v>
      </c>
      <c r="AC1507" s="49"/>
      <c r="AD1507" s="49"/>
    </row>
    <row r="1508" spans="1:30" hidden="1" x14ac:dyDescent="0.3">
      <c r="A1508" s="49" t="s">
        <v>14662</v>
      </c>
      <c r="B1508" s="49">
        <v>0</v>
      </c>
      <c r="C1508" s="49"/>
      <c r="D1508" s="72" t="s">
        <v>717</v>
      </c>
      <c r="E1508" s="49" t="s">
        <v>3754</v>
      </c>
      <c r="F1508" s="49"/>
      <c r="G1508" s="49"/>
      <c r="H1508" s="49" t="s">
        <v>14663</v>
      </c>
      <c r="I1508" s="49" t="s">
        <v>14666</v>
      </c>
      <c r="J1508" s="49" t="s">
        <v>14664</v>
      </c>
      <c r="K1508" s="49" t="s">
        <v>14665</v>
      </c>
      <c r="L1508" s="49">
        <v>0</v>
      </c>
      <c r="M1508" s="49" t="s">
        <v>2636</v>
      </c>
      <c r="N1508" s="49" t="s">
        <v>818</v>
      </c>
      <c r="O1508" s="49">
        <v>48</v>
      </c>
      <c r="P1508" s="49" t="s">
        <v>14667</v>
      </c>
      <c r="Q1508" s="49">
        <v>0</v>
      </c>
      <c r="R1508" s="49" t="s">
        <v>14668</v>
      </c>
      <c r="S1508" s="49" t="s">
        <v>14669</v>
      </c>
      <c r="T1508" s="49" t="s">
        <v>14670</v>
      </c>
      <c r="U1508" s="49" t="s">
        <v>670</v>
      </c>
      <c r="V1508" s="49" t="e">
        <v>#REF!</v>
      </c>
      <c r="AC1508" s="49"/>
      <c r="AD1508" s="49"/>
    </row>
    <row r="1509" spans="1:30" hidden="1" x14ac:dyDescent="0.3">
      <c r="A1509" s="49" t="s">
        <v>14671</v>
      </c>
      <c r="B1509" s="49">
        <v>0</v>
      </c>
      <c r="C1509" s="49"/>
      <c r="D1509" s="72" t="s">
        <v>717</v>
      </c>
      <c r="E1509" s="49" t="s">
        <v>3754</v>
      </c>
      <c r="F1509" s="49"/>
      <c r="G1509" s="49"/>
      <c r="H1509" s="49" t="s">
        <v>14672</v>
      </c>
      <c r="I1509" s="49" t="s">
        <v>14675</v>
      </c>
      <c r="J1509" s="49" t="s">
        <v>14673</v>
      </c>
      <c r="K1509" s="49" t="s">
        <v>14674</v>
      </c>
      <c r="L1509" s="49">
        <v>0</v>
      </c>
      <c r="M1509" s="49" t="s">
        <v>1865</v>
      </c>
      <c r="N1509" s="49" t="s">
        <v>12075</v>
      </c>
      <c r="O1509" s="49">
        <v>8</v>
      </c>
      <c r="P1509" s="49" t="s">
        <v>14676</v>
      </c>
      <c r="Q1509" s="49">
        <v>0</v>
      </c>
      <c r="R1509" s="49" t="s">
        <v>14677</v>
      </c>
      <c r="S1509" s="49" t="s">
        <v>14678</v>
      </c>
      <c r="T1509" s="49" t="s">
        <v>646</v>
      </c>
      <c r="U1509" s="49" t="s">
        <v>670</v>
      </c>
      <c r="V1509" s="49" t="e">
        <v>#REF!</v>
      </c>
      <c r="AC1509" s="49"/>
      <c r="AD1509" s="49"/>
    </row>
    <row r="1510" spans="1:30" hidden="1" x14ac:dyDescent="0.3">
      <c r="A1510" s="49" t="s">
        <v>14679</v>
      </c>
      <c r="B1510" s="49">
        <v>0</v>
      </c>
      <c r="C1510" s="49"/>
      <c r="D1510" s="72" t="s">
        <v>717</v>
      </c>
      <c r="E1510" s="49" t="s">
        <v>3754</v>
      </c>
      <c r="F1510" s="49"/>
      <c r="G1510" s="49"/>
      <c r="H1510" s="49" t="s">
        <v>14680</v>
      </c>
      <c r="I1510" s="49" t="s">
        <v>14683</v>
      </c>
      <c r="J1510" s="49" t="s">
        <v>14681</v>
      </c>
      <c r="K1510" s="49" t="s">
        <v>14682</v>
      </c>
      <c r="L1510" s="49">
        <v>0</v>
      </c>
      <c r="M1510" s="49" t="s">
        <v>1826</v>
      </c>
      <c r="N1510" s="49" t="s">
        <v>3007</v>
      </c>
      <c r="O1510" s="49">
        <v>5</v>
      </c>
      <c r="P1510" s="49" t="s">
        <v>14684</v>
      </c>
      <c r="Q1510" s="49">
        <v>0</v>
      </c>
      <c r="R1510" s="49" t="s">
        <v>14685</v>
      </c>
      <c r="S1510" s="49" t="s">
        <v>14686</v>
      </c>
      <c r="T1510" s="49" t="s">
        <v>14687</v>
      </c>
      <c r="U1510" s="49" t="s">
        <v>655</v>
      </c>
      <c r="V1510" s="49" t="e">
        <v>#REF!</v>
      </c>
      <c r="AC1510" s="49"/>
      <c r="AD1510" s="49"/>
    </row>
    <row r="1511" spans="1:30" hidden="1" x14ac:dyDescent="0.3">
      <c r="A1511" s="49" t="s">
        <v>14688</v>
      </c>
      <c r="B1511" s="49">
        <v>0</v>
      </c>
      <c r="C1511" s="49"/>
      <c r="D1511" s="72" t="s">
        <v>717</v>
      </c>
      <c r="E1511" s="49" t="s">
        <v>3754</v>
      </c>
      <c r="F1511" s="49"/>
      <c r="G1511" s="49"/>
      <c r="H1511" s="49" t="s">
        <v>14689</v>
      </c>
      <c r="I1511" s="49" t="s">
        <v>14692</v>
      </c>
      <c r="J1511" s="49" t="s">
        <v>14690</v>
      </c>
      <c r="K1511" s="49" t="s">
        <v>14691</v>
      </c>
      <c r="L1511" s="49">
        <v>0</v>
      </c>
      <c r="M1511" s="49" t="s">
        <v>4114</v>
      </c>
      <c r="N1511" s="49" t="s">
        <v>818</v>
      </c>
      <c r="O1511" s="49">
        <v>69</v>
      </c>
      <c r="P1511" s="49" t="s">
        <v>14693</v>
      </c>
      <c r="Q1511" s="49">
        <v>0</v>
      </c>
      <c r="R1511" s="49" t="s">
        <v>14694</v>
      </c>
      <c r="S1511" s="49" t="s">
        <v>14695</v>
      </c>
      <c r="T1511" s="49" t="s">
        <v>646</v>
      </c>
      <c r="U1511" s="49" t="s">
        <v>670</v>
      </c>
      <c r="V1511" s="49" t="e">
        <v>#REF!</v>
      </c>
      <c r="AC1511" s="49"/>
      <c r="AD1511" s="49"/>
    </row>
    <row r="1512" spans="1:30" hidden="1" x14ac:dyDescent="0.3">
      <c r="A1512" s="49" t="s">
        <v>14696</v>
      </c>
      <c r="B1512" s="49">
        <v>0</v>
      </c>
      <c r="C1512" s="49"/>
      <c r="D1512" s="72" t="s">
        <v>717</v>
      </c>
      <c r="E1512" s="49" t="s">
        <v>3754</v>
      </c>
      <c r="F1512" s="49"/>
      <c r="G1512" s="49"/>
      <c r="H1512" s="49" t="s">
        <v>646</v>
      </c>
      <c r="I1512" s="49" t="s">
        <v>14699</v>
      </c>
      <c r="J1512" s="49" t="s">
        <v>14697</v>
      </c>
      <c r="K1512" s="49" t="s">
        <v>14698</v>
      </c>
      <c r="L1512" s="49">
        <v>0</v>
      </c>
      <c r="M1512" s="49" t="s">
        <v>2636</v>
      </c>
      <c r="N1512" s="49" t="s">
        <v>6310</v>
      </c>
      <c r="O1512" s="49">
        <v>68</v>
      </c>
      <c r="P1512" s="49" t="s">
        <v>14700</v>
      </c>
      <c r="Q1512" s="49">
        <v>0</v>
      </c>
      <c r="R1512" s="49" t="s">
        <v>14701</v>
      </c>
      <c r="S1512" s="49" t="s">
        <v>14702</v>
      </c>
      <c r="T1512" s="49" t="s">
        <v>14703</v>
      </c>
      <c r="U1512" s="49" t="s">
        <v>670</v>
      </c>
      <c r="V1512" s="49" t="e">
        <v>#REF!</v>
      </c>
      <c r="AC1512" s="49"/>
      <c r="AD1512" s="49"/>
    </row>
    <row r="1513" spans="1:30" hidden="1" x14ac:dyDescent="0.3">
      <c r="A1513" s="49" t="s">
        <v>14704</v>
      </c>
      <c r="B1513" s="49">
        <v>0</v>
      </c>
      <c r="C1513" s="49"/>
      <c r="D1513" s="72" t="s">
        <v>717</v>
      </c>
      <c r="E1513" s="49" t="s">
        <v>3754</v>
      </c>
      <c r="F1513" s="49"/>
      <c r="G1513" s="49"/>
      <c r="H1513" s="49" t="s">
        <v>14705</v>
      </c>
      <c r="I1513" s="49" t="s">
        <v>14708</v>
      </c>
      <c r="J1513" s="49" t="s">
        <v>14706</v>
      </c>
      <c r="K1513" s="49" t="s">
        <v>14707</v>
      </c>
      <c r="L1513" s="49">
        <v>0</v>
      </c>
      <c r="M1513" s="49" t="s">
        <v>1764</v>
      </c>
      <c r="N1513" s="49" t="s">
        <v>14709</v>
      </c>
      <c r="O1513" s="49">
        <v>9</v>
      </c>
      <c r="P1513" s="49" t="s">
        <v>14710</v>
      </c>
      <c r="Q1513" s="49">
        <v>0</v>
      </c>
      <c r="R1513" s="49" t="s">
        <v>14711</v>
      </c>
      <c r="S1513" s="49" t="s">
        <v>14712</v>
      </c>
      <c r="T1513" s="49" t="s">
        <v>14713</v>
      </c>
      <c r="U1513" s="49" t="s">
        <v>655</v>
      </c>
      <c r="V1513" s="49" t="e">
        <v>#REF!</v>
      </c>
      <c r="AC1513" s="49"/>
      <c r="AD1513" s="49"/>
    </row>
    <row r="1514" spans="1:30" hidden="1" x14ac:dyDescent="0.3">
      <c r="A1514" s="49" t="s">
        <v>14714</v>
      </c>
      <c r="B1514" s="49">
        <v>0</v>
      </c>
      <c r="C1514" s="49"/>
      <c r="D1514" s="72" t="s">
        <v>717</v>
      </c>
      <c r="E1514" s="49" t="s">
        <v>3754</v>
      </c>
      <c r="F1514" s="49"/>
      <c r="G1514" s="49"/>
      <c r="H1514" s="49" t="s">
        <v>14715</v>
      </c>
      <c r="I1514" s="49" t="s">
        <v>14718</v>
      </c>
      <c r="J1514" s="49" t="s">
        <v>14716</v>
      </c>
      <c r="K1514" s="49" t="s">
        <v>14717</v>
      </c>
      <c r="L1514" s="49">
        <v>0</v>
      </c>
      <c r="M1514" s="49" t="s">
        <v>1764</v>
      </c>
      <c r="N1514" s="49" t="s">
        <v>9096</v>
      </c>
      <c r="O1514" s="49">
        <v>30</v>
      </c>
      <c r="P1514" s="49" t="s">
        <v>14719</v>
      </c>
      <c r="Q1514" s="49">
        <v>0</v>
      </c>
      <c r="R1514" s="49" t="s">
        <v>14720</v>
      </c>
      <c r="S1514" s="49" t="s">
        <v>14721</v>
      </c>
      <c r="T1514" s="49" t="s">
        <v>14722</v>
      </c>
      <c r="U1514" s="49" t="s">
        <v>655</v>
      </c>
      <c r="V1514" s="49" t="e">
        <v>#REF!</v>
      </c>
      <c r="AC1514" s="49"/>
      <c r="AD1514" s="49"/>
    </row>
    <row r="1515" spans="1:30" hidden="1" x14ac:dyDescent="0.3">
      <c r="A1515" s="49" t="s">
        <v>14723</v>
      </c>
      <c r="B1515" s="49">
        <v>0</v>
      </c>
      <c r="C1515" s="49"/>
      <c r="D1515" s="72" t="s">
        <v>717</v>
      </c>
      <c r="E1515" s="49" t="s">
        <v>3754</v>
      </c>
      <c r="F1515" s="49"/>
      <c r="G1515" s="49"/>
      <c r="H1515" s="49" t="s">
        <v>14724</v>
      </c>
      <c r="I1515" s="49" t="s">
        <v>14727</v>
      </c>
      <c r="J1515" s="49" t="s">
        <v>14725</v>
      </c>
      <c r="K1515" s="49" t="s">
        <v>14726</v>
      </c>
      <c r="L1515" s="49">
        <v>0</v>
      </c>
      <c r="M1515" s="49" t="s">
        <v>1826</v>
      </c>
      <c r="N1515" s="49" t="s">
        <v>1766</v>
      </c>
      <c r="O1515" s="49">
        <v>26</v>
      </c>
      <c r="P1515" s="49" t="s">
        <v>14728</v>
      </c>
      <c r="Q1515" s="49">
        <v>0</v>
      </c>
      <c r="R1515" s="49" t="s">
        <v>14729</v>
      </c>
      <c r="S1515" s="49" t="s">
        <v>14730</v>
      </c>
      <c r="T1515" s="49" t="s">
        <v>14731</v>
      </c>
      <c r="U1515" s="49" t="s">
        <v>655</v>
      </c>
      <c r="V1515" s="49" t="e">
        <v>#REF!</v>
      </c>
      <c r="AC1515" s="49"/>
      <c r="AD1515" s="49"/>
    </row>
    <row r="1516" spans="1:30" hidden="1" x14ac:dyDescent="0.3">
      <c r="A1516" s="49" t="s">
        <v>14732</v>
      </c>
      <c r="B1516" s="49">
        <v>0</v>
      </c>
      <c r="C1516" s="49"/>
      <c r="D1516" s="72" t="s">
        <v>717</v>
      </c>
      <c r="E1516" s="49" t="s">
        <v>3754</v>
      </c>
      <c r="F1516" s="49"/>
      <c r="G1516" s="49"/>
      <c r="H1516" s="49" t="s">
        <v>14733</v>
      </c>
      <c r="I1516" s="49" t="s">
        <v>14736</v>
      </c>
      <c r="J1516" s="49" t="s">
        <v>14734</v>
      </c>
      <c r="K1516" s="49" t="s">
        <v>14735</v>
      </c>
      <c r="L1516" s="49">
        <v>0</v>
      </c>
      <c r="M1516" s="49" t="s">
        <v>1745</v>
      </c>
      <c r="N1516" s="49" t="s">
        <v>1766</v>
      </c>
      <c r="O1516" s="49">
        <v>3</v>
      </c>
      <c r="P1516" s="49" t="s">
        <v>14737</v>
      </c>
      <c r="Q1516" s="49">
        <v>0</v>
      </c>
      <c r="R1516" s="49" t="s">
        <v>14738</v>
      </c>
      <c r="S1516" s="49" t="s">
        <v>14739</v>
      </c>
      <c r="T1516" s="49" t="s">
        <v>14740</v>
      </c>
      <c r="U1516" s="49" t="s">
        <v>655</v>
      </c>
      <c r="V1516" s="49" t="e">
        <v>#REF!</v>
      </c>
      <c r="AC1516" s="49"/>
      <c r="AD1516" s="49"/>
    </row>
    <row r="1517" spans="1:30" hidden="1" x14ac:dyDescent="0.3">
      <c r="A1517" s="49" t="s">
        <v>14741</v>
      </c>
      <c r="B1517" s="49">
        <v>0</v>
      </c>
      <c r="C1517" s="49"/>
      <c r="D1517" s="72" t="s">
        <v>717</v>
      </c>
      <c r="E1517" s="49" t="s">
        <v>3754</v>
      </c>
      <c r="F1517" s="49"/>
      <c r="G1517" s="49"/>
      <c r="H1517" s="49" t="s">
        <v>14742</v>
      </c>
      <c r="I1517" s="49" t="s">
        <v>14745</v>
      </c>
      <c r="J1517" s="49" t="s">
        <v>14743</v>
      </c>
      <c r="K1517" s="49" t="s">
        <v>14744</v>
      </c>
      <c r="L1517" s="49">
        <v>0</v>
      </c>
      <c r="M1517" s="49" t="s">
        <v>1826</v>
      </c>
      <c r="N1517" s="49" t="s">
        <v>9021</v>
      </c>
      <c r="O1517" s="49">
        <v>9</v>
      </c>
      <c r="P1517" s="49" t="s">
        <v>14746</v>
      </c>
      <c r="Q1517" s="49">
        <v>0</v>
      </c>
      <c r="R1517" s="49" t="s">
        <v>14747</v>
      </c>
      <c r="S1517" s="49" t="s">
        <v>14748</v>
      </c>
      <c r="T1517" s="49" t="s">
        <v>14749</v>
      </c>
      <c r="U1517" s="49" t="s">
        <v>655</v>
      </c>
      <c r="V1517" s="49" t="e">
        <v>#REF!</v>
      </c>
      <c r="AC1517" s="49"/>
      <c r="AD1517" s="49"/>
    </row>
    <row r="1518" spans="1:30" hidden="1" x14ac:dyDescent="0.3">
      <c r="A1518" s="49" t="s">
        <v>14750</v>
      </c>
      <c r="B1518" s="49">
        <v>0</v>
      </c>
      <c r="C1518" s="49"/>
      <c r="D1518" s="72" t="s">
        <v>717</v>
      </c>
      <c r="E1518" s="49" t="s">
        <v>3754</v>
      </c>
      <c r="F1518" s="49"/>
      <c r="G1518" s="49"/>
      <c r="H1518" s="49" t="s">
        <v>14751</v>
      </c>
      <c r="I1518" s="49" t="s">
        <v>14754</v>
      </c>
      <c r="J1518" s="49" t="s">
        <v>14752</v>
      </c>
      <c r="K1518" s="49" t="s">
        <v>14753</v>
      </c>
      <c r="L1518" s="49">
        <v>0</v>
      </c>
      <c r="M1518" s="49" t="s">
        <v>1777</v>
      </c>
      <c r="N1518" s="49" t="s">
        <v>14755</v>
      </c>
      <c r="O1518" s="49">
        <v>3</v>
      </c>
      <c r="P1518" s="49" t="s">
        <v>14756</v>
      </c>
      <c r="Q1518" s="49">
        <v>0</v>
      </c>
      <c r="R1518" s="49" t="s">
        <v>14757</v>
      </c>
      <c r="S1518" s="49" t="s">
        <v>14758</v>
      </c>
      <c r="T1518" s="49" t="s">
        <v>14759</v>
      </c>
      <c r="U1518" s="49" t="s">
        <v>655</v>
      </c>
      <c r="V1518" s="49" t="e">
        <v>#REF!</v>
      </c>
      <c r="AC1518" s="49"/>
      <c r="AD1518" s="49"/>
    </row>
    <row r="1519" spans="1:30" hidden="1" x14ac:dyDescent="0.3">
      <c r="A1519" s="49" t="s">
        <v>14760</v>
      </c>
      <c r="B1519" s="49">
        <v>0</v>
      </c>
      <c r="C1519" s="49"/>
      <c r="D1519" s="72" t="s">
        <v>717</v>
      </c>
      <c r="E1519" s="49" t="s">
        <v>3754</v>
      </c>
      <c r="F1519" s="49"/>
      <c r="G1519" s="49"/>
      <c r="H1519" s="49" t="s">
        <v>14761</v>
      </c>
      <c r="I1519" s="49" t="s">
        <v>7575</v>
      </c>
      <c r="J1519" s="49" t="s">
        <v>7573</v>
      </c>
      <c r="K1519" s="49" t="s">
        <v>14762</v>
      </c>
      <c r="L1519" s="49">
        <v>0</v>
      </c>
      <c r="M1519" s="49" t="s">
        <v>4084</v>
      </c>
      <c r="N1519" s="49" t="s">
        <v>1039</v>
      </c>
      <c r="O1519" s="49">
        <v>29</v>
      </c>
      <c r="P1519" s="49" t="s">
        <v>14763</v>
      </c>
      <c r="Q1519" s="49">
        <v>0</v>
      </c>
      <c r="R1519" s="49" t="s">
        <v>14764</v>
      </c>
      <c r="S1519" s="49" t="s">
        <v>14765</v>
      </c>
      <c r="T1519" s="49" t="s">
        <v>14766</v>
      </c>
      <c r="U1519" s="49" t="s">
        <v>655</v>
      </c>
      <c r="V1519" s="49" t="e">
        <v>#REF!</v>
      </c>
      <c r="AC1519" s="49"/>
      <c r="AD1519" s="49"/>
    </row>
    <row r="1520" spans="1:30" hidden="1" x14ac:dyDescent="0.3">
      <c r="A1520" s="49" t="s">
        <v>14767</v>
      </c>
      <c r="B1520" s="49">
        <v>0</v>
      </c>
      <c r="C1520" s="49"/>
      <c r="D1520" s="72" t="s">
        <v>717</v>
      </c>
      <c r="E1520" s="49" t="s">
        <v>3754</v>
      </c>
      <c r="F1520" s="49"/>
      <c r="G1520" s="49"/>
      <c r="H1520" s="49" t="s">
        <v>14768</v>
      </c>
      <c r="I1520" s="49" t="s">
        <v>14771</v>
      </c>
      <c r="J1520" s="49" t="s">
        <v>14769</v>
      </c>
      <c r="K1520" s="49" t="s">
        <v>14770</v>
      </c>
      <c r="L1520" s="49">
        <v>0</v>
      </c>
      <c r="M1520" s="49" t="s">
        <v>1865</v>
      </c>
      <c r="N1520" s="49" t="s">
        <v>7585</v>
      </c>
      <c r="O1520" s="49">
        <v>15</v>
      </c>
      <c r="P1520" s="49" t="s">
        <v>14772</v>
      </c>
      <c r="Q1520" s="49">
        <v>0</v>
      </c>
      <c r="R1520" s="49" t="s">
        <v>14773</v>
      </c>
      <c r="S1520" s="49" t="s">
        <v>14774</v>
      </c>
      <c r="T1520" s="49" t="s">
        <v>7589</v>
      </c>
      <c r="U1520" s="49" t="s">
        <v>655</v>
      </c>
      <c r="V1520" s="49" t="e">
        <v>#REF!</v>
      </c>
      <c r="AC1520" s="49"/>
      <c r="AD1520" s="49"/>
    </row>
    <row r="1521" spans="1:30" hidden="1" x14ac:dyDescent="0.3">
      <c r="A1521" s="49" t="s">
        <v>14775</v>
      </c>
      <c r="B1521" s="49">
        <v>0</v>
      </c>
      <c r="C1521" s="49"/>
      <c r="D1521" s="72" t="s">
        <v>717</v>
      </c>
      <c r="E1521" s="49" t="s">
        <v>3754</v>
      </c>
      <c r="F1521" s="49"/>
      <c r="G1521" s="49"/>
      <c r="H1521" s="49" t="s">
        <v>14776</v>
      </c>
      <c r="I1521" s="49" t="s">
        <v>14779</v>
      </c>
      <c r="J1521" s="49" t="s">
        <v>14777</v>
      </c>
      <c r="K1521" s="49" t="s">
        <v>14778</v>
      </c>
      <c r="L1521" s="49">
        <v>0</v>
      </c>
      <c r="M1521" s="49" t="s">
        <v>1817</v>
      </c>
      <c r="N1521" s="49" t="s">
        <v>14780</v>
      </c>
      <c r="O1521" s="49">
        <v>18</v>
      </c>
      <c r="P1521" s="49" t="s">
        <v>14781</v>
      </c>
      <c r="Q1521" s="49">
        <v>0</v>
      </c>
      <c r="R1521" s="49" t="s">
        <v>14782</v>
      </c>
      <c r="S1521" s="49" t="s">
        <v>14783</v>
      </c>
      <c r="T1521" s="49" t="s">
        <v>14784</v>
      </c>
      <c r="U1521" s="49" t="s">
        <v>670</v>
      </c>
      <c r="V1521" s="49" t="e">
        <v>#REF!</v>
      </c>
      <c r="AC1521" s="49"/>
      <c r="AD1521" s="49"/>
    </row>
    <row r="1522" spans="1:30" hidden="1" x14ac:dyDescent="0.3">
      <c r="A1522" s="49" t="s">
        <v>14785</v>
      </c>
      <c r="B1522" s="49">
        <v>0</v>
      </c>
      <c r="C1522" s="49"/>
      <c r="D1522" s="72" t="s">
        <v>717</v>
      </c>
      <c r="E1522" s="49" t="s">
        <v>3754</v>
      </c>
      <c r="F1522" s="49"/>
      <c r="G1522" s="49"/>
      <c r="H1522" s="49" t="s">
        <v>14786</v>
      </c>
      <c r="I1522" s="49" t="s">
        <v>14789</v>
      </c>
      <c r="J1522" s="49" t="s">
        <v>14787</v>
      </c>
      <c r="K1522" s="49" t="s">
        <v>14788</v>
      </c>
      <c r="L1522" s="49">
        <v>0</v>
      </c>
      <c r="M1522" s="49" t="s">
        <v>1826</v>
      </c>
      <c r="N1522" s="49" t="s">
        <v>14790</v>
      </c>
      <c r="O1522" s="49">
        <v>20</v>
      </c>
      <c r="P1522" s="49" t="s">
        <v>14791</v>
      </c>
      <c r="Q1522" s="49">
        <v>0</v>
      </c>
      <c r="R1522" s="49" t="s">
        <v>14792</v>
      </c>
      <c r="S1522" s="49" t="s">
        <v>14793</v>
      </c>
      <c r="T1522" s="49" t="s">
        <v>14794</v>
      </c>
      <c r="U1522" s="49" t="s">
        <v>655</v>
      </c>
      <c r="V1522" s="49" t="e">
        <v>#REF!</v>
      </c>
      <c r="AC1522" s="49"/>
      <c r="AD1522" s="49"/>
    </row>
    <row r="1523" spans="1:30" hidden="1" x14ac:dyDescent="0.3">
      <c r="A1523" s="49" t="s">
        <v>14795</v>
      </c>
      <c r="B1523" s="49">
        <v>0</v>
      </c>
      <c r="C1523" s="49"/>
      <c r="D1523" s="72" t="s">
        <v>717</v>
      </c>
      <c r="E1523" s="49" t="s">
        <v>3754</v>
      </c>
      <c r="F1523" s="49"/>
      <c r="G1523" s="49"/>
      <c r="H1523" s="49" t="s">
        <v>14796</v>
      </c>
      <c r="I1523" s="49" t="s">
        <v>14799</v>
      </c>
      <c r="J1523" s="49" t="s">
        <v>14797</v>
      </c>
      <c r="K1523" s="49" t="s">
        <v>14798</v>
      </c>
      <c r="L1523" s="49">
        <v>0</v>
      </c>
      <c r="M1523" s="49" t="s">
        <v>4114</v>
      </c>
      <c r="N1523" s="49" t="s">
        <v>14489</v>
      </c>
      <c r="O1523" s="49">
        <v>45</v>
      </c>
      <c r="P1523" s="49" t="s">
        <v>14800</v>
      </c>
      <c r="Q1523" s="49">
        <v>0</v>
      </c>
      <c r="R1523" s="49" t="s">
        <v>14801</v>
      </c>
      <c r="S1523" s="49" t="s">
        <v>14802</v>
      </c>
      <c r="T1523" s="49" t="s">
        <v>646</v>
      </c>
      <c r="U1523" s="49" t="s">
        <v>655</v>
      </c>
      <c r="V1523" s="49" t="e">
        <v>#REF!</v>
      </c>
      <c r="AC1523" s="49"/>
      <c r="AD1523" s="49"/>
    </row>
    <row r="1524" spans="1:30" hidden="1" x14ac:dyDescent="0.3">
      <c r="A1524" s="49" t="s">
        <v>14803</v>
      </c>
      <c r="B1524" s="49">
        <v>0</v>
      </c>
      <c r="C1524" s="49"/>
      <c r="D1524" s="72" t="s">
        <v>717</v>
      </c>
      <c r="E1524" s="49" t="s">
        <v>3754</v>
      </c>
      <c r="F1524" s="49"/>
      <c r="G1524" s="49"/>
      <c r="H1524" s="49" t="s">
        <v>14804</v>
      </c>
      <c r="I1524" s="49" t="s">
        <v>14807</v>
      </c>
      <c r="J1524" s="49" t="s">
        <v>14805</v>
      </c>
      <c r="K1524" s="49" t="s">
        <v>14806</v>
      </c>
      <c r="L1524" s="49">
        <v>0</v>
      </c>
      <c r="M1524" s="49" t="s">
        <v>1777</v>
      </c>
      <c r="N1524" s="49" t="s">
        <v>3142</v>
      </c>
      <c r="O1524" s="49">
        <v>42</v>
      </c>
      <c r="P1524" s="49" t="s">
        <v>14808</v>
      </c>
      <c r="Q1524" s="49">
        <v>0</v>
      </c>
      <c r="R1524" s="49" t="s">
        <v>14809</v>
      </c>
      <c r="S1524" s="49" t="s">
        <v>14810</v>
      </c>
      <c r="T1524" s="49" t="s">
        <v>14811</v>
      </c>
      <c r="U1524" s="49" t="s">
        <v>655</v>
      </c>
      <c r="V1524" s="49" t="e">
        <v>#REF!</v>
      </c>
      <c r="AC1524" s="49"/>
      <c r="AD1524" s="49"/>
    </row>
    <row r="1525" spans="1:30" hidden="1" x14ac:dyDescent="0.3">
      <c r="A1525" s="49" t="s">
        <v>14812</v>
      </c>
      <c r="B1525" s="49">
        <v>0</v>
      </c>
      <c r="C1525" s="49"/>
      <c r="D1525" s="72" t="s">
        <v>717</v>
      </c>
      <c r="E1525" s="49" t="s">
        <v>3754</v>
      </c>
      <c r="F1525" s="49"/>
      <c r="G1525" s="49"/>
      <c r="H1525" s="49" t="s">
        <v>14813</v>
      </c>
      <c r="I1525" s="49" t="s">
        <v>14816</v>
      </c>
      <c r="J1525" s="49" t="s">
        <v>14814</v>
      </c>
      <c r="K1525" s="49" t="s">
        <v>14815</v>
      </c>
      <c r="L1525" s="49">
        <v>0</v>
      </c>
      <c r="M1525" s="49" t="s">
        <v>1826</v>
      </c>
      <c r="N1525" s="49" t="s">
        <v>14817</v>
      </c>
      <c r="O1525" s="49">
        <v>1</v>
      </c>
      <c r="P1525" s="49" t="s">
        <v>14818</v>
      </c>
      <c r="Q1525" s="49">
        <v>0</v>
      </c>
      <c r="R1525" s="49" t="s">
        <v>14819</v>
      </c>
      <c r="S1525" s="49" t="s">
        <v>14820</v>
      </c>
      <c r="T1525" s="49" t="s">
        <v>646</v>
      </c>
      <c r="U1525" s="49" t="s">
        <v>670</v>
      </c>
      <c r="V1525" s="49" t="e">
        <v>#REF!</v>
      </c>
      <c r="AC1525" s="49"/>
      <c r="AD1525" s="49"/>
    </row>
    <row r="1526" spans="1:30" hidden="1" x14ac:dyDescent="0.3">
      <c r="A1526" s="49" t="s">
        <v>14821</v>
      </c>
      <c r="B1526" s="49">
        <v>0</v>
      </c>
      <c r="C1526" s="49"/>
      <c r="D1526" s="72" t="s">
        <v>717</v>
      </c>
      <c r="E1526" s="49" t="s">
        <v>3754</v>
      </c>
      <c r="F1526" s="49"/>
      <c r="G1526" s="49"/>
      <c r="H1526" s="49" t="s">
        <v>14822</v>
      </c>
      <c r="I1526" s="49" t="s">
        <v>14825</v>
      </c>
      <c r="J1526" s="49" t="s">
        <v>14823</v>
      </c>
      <c r="K1526" s="49" t="s">
        <v>14824</v>
      </c>
      <c r="L1526" s="49">
        <v>0</v>
      </c>
      <c r="M1526" s="49" t="s">
        <v>4114</v>
      </c>
      <c r="N1526" s="49" t="s">
        <v>3661</v>
      </c>
      <c r="O1526" s="49">
        <v>917</v>
      </c>
      <c r="P1526" s="49" t="s">
        <v>14826</v>
      </c>
      <c r="Q1526" s="49">
        <v>0</v>
      </c>
      <c r="R1526" s="49" t="s">
        <v>14827</v>
      </c>
      <c r="S1526" s="49" t="s">
        <v>14828</v>
      </c>
      <c r="T1526" s="49" t="s">
        <v>14829</v>
      </c>
      <c r="U1526" s="49" t="s">
        <v>655</v>
      </c>
      <c r="V1526" s="49" t="e">
        <v>#REF!</v>
      </c>
      <c r="AC1526" s="49"/>
      <c r="AD1526" s="49"/>
    </row>
    <row r="1527" spans="1:30" hidden="1" x14ac:dyDescent="0.3">
      <c r="A1527" s="49" t="s">
        <v>14830</v>
      </c>
      <c r="B1527" s="49">
        <v>0</v>
      </c>
      <c r="C1527" s="49"/>
      <c r="D1527" s="72" t="s">
        <v>717</v>
      </c>
      <c r="E1527" s="49" t="s">
        <v>3754</v>
      </c>
      <c r="F1527" s="49"/>
      <c r="G1527" s="49"/>
      <c r="H1527" s="49" t="s">
        <v>14831</v>
      </c>
      <c r="I1527" s="49" t="s">
        <v>14834</v>
      </c>
      <c r="J1527" s="49" t="s">
        <v>14832</v>
      </c>
      <c r="K1527" s="49" t="s">
        <v>14833</v>
      </c>
      <c r="L1527" s="49">
        <v>0</v>
      </c>
      <c r="M1527" s="49" t="s">
        <v>4084</v>
      </c>
      <c r="N1527" s="49" t="s">
        <v>14835</v>
      </c>
      <c r="O1527" s="49">
        <v>18</v>
      </c>
      <c r="P1527" s="49" t="s">
        <v>14836</v>
      </c>
      <c r="Q1527" s="49">
        <v>0</v>
      </c>
      <c r="R1527" s="49" t="s">
        <v>14837</v>
      </c>
      <c r="S1527" s="49" t="s">
        <v>14838</v>
      </c>
      <c r="T1527" s="49" t="s">
        <v>14839</v>
      </c>
      <c r="U1527" s="49" t="s">
        <v>670</v>
      </c>
      <c r="V1527" s="49" t="e">
        <v>#REF!</v>
      </c>
      <c r="AC1527" s="49"/>
      <c r="AD1527" s="49"/>
    </row>
    <row r="1528" spans="1:30" hidden="1" x14ac:dyDescent="0.3">
      <c r="A1528" s="49" t="s">
        <v>14840</v>
      </c>
      <c r="B1528" s="49">
        <v>0</v>
      </c>
      <c r="C1528" s="49"/>
      <c r="D1528" s="72" t="s">
        <v>717</v>
      </c>
      <c r="E1528" s="49" t="s">
        <v>3754</v>
      </c>
      <c r="F1528" s="49"/>
      <c r="G1528" s="49"/>
      <c r="H1528" s="49" t="s">
        <v>14841</v>
      </c>
      <c r="I1528" s="49" t="s">
        <v>14844</v>
      </c>
      <c r="J1528" s="49" t="s">
        <v>14842</v>
      </c>
      <c r="K1528" s="49" t="s">
        <v>14843</v>
      </c>
      <c r="L1528" s="49">
        <v>0</v>
      </c>
      <c r="M1528" s="49" t="s">
        <v>6445</v>
      </c>
      <c r="N1528" s="49" t="s">
        <v>4521</v>
      </c>
      <c r="O1528" s="49">
        <v>1</v>
      </c>
      <c r="P1528" s="49" t="s">
        <v>14845</v>
      </c>
      <c r="Q1528" s="49">
        <v>0</v>
      </c>
      <c r="R1528" s="49" t="s">
        <v>14846</v>
      </c>
      <c r="S1528" s="49" t="s">
        <v>14847</v>
      </c>
      <c r="T1528" s="49" t="s">
        <v>14848</v>
      </c>
      <c r="U1528" s="49" t="s">
        <v>670</v>
      </c>
      <c r="V1528" s="49" t="e">
        <v>#REF!</v>
      </c>
      <c r="AC1528" s="49"/>
      <c r="AD1528" s="49"/>
    </row>
    <row r="1529" spans="1:30" hidden="1" x14ac:dyDescent="0.3">
      <c r="A1529" s="49" t="s">
        <v>14849</v>
      </c>
      <c r="B1529" s="49">
        <v>0</v>
      </c>
      <c r="C1529" s="49"/>
      <c r="D1529" s="72" t="s">
        <v>717</v>
      </c>
      <c r="E1529" s="49" t="s">
        <v>3754</v>
      </c>
      <c r="F1529" s="49"/>
      <c r="G1529" s="49"/>
      <c r="H1529" s="49" t="s">
        <v>14850</v>
      </c>
      <c r="I1529" s="49" t="s">
        <v>14853</v>
      </c>
      <c r="J1529" s="49" t="s">
        <v>14851</v>
      </c>
      <c r="K1529" s="49" t="s">
        <v>14852</v>
      </c>
      <c r="L1529" s="49">
        <v>0</v>
      </c>
      <c r="M1529" s="49" t="s">
        <v>1745</v>
      </c>
      <c r="N1529" s="49" t="s">
        <v>14170</v>
      </c>
      <c r="O1529" s="49">
        <v>1</v>
      </c>
      <c r="P1529" s="49" t="s">
        <v>14854</v>
      </c>
      <c r="Q1529" s="49">
        <v>0</v>
      </c>
      <c r="R1529" s="49" t="s">
        <v>14855</v>
      </c>
      <c r="S1529" s="49" t="s">
        <v>14856</v>
      </c>
      <c r="T1529" s="49" t="s">
        <v>14857</v>
      </c>
      <c r="U1529" s="49" t="s">
        <v>655</v>
      </c>
      <c r="V1529" s="49" t="e">
        <v>#REF!</v>
      </c>
      <c r="AC1529" s="49"/>
      <c r="AD1529" s="49"/>
    </row>
    <row r="1530" spans="1:30" hidden="1" x14ac:dyDescent="0.3">
      <c r="A1530" s="49" t="s">
        <v>14858</v>
      </c>
      <c r="B1530" s="49">
        <v>0</v>
      </c>
      <c r="C1530" s="49"/>
      <c r="D1530" s="72" t="s">
        <v>717</v>
      </c>
      <c r="E1530" s="49" t="s">
        <v>3754</v>
      </c>
      <c r="F1530" s="49"/>
      <c r="G1530" s="49"/>
      <c r="H1530" s="49" t="s">
        <v>14859</v>
      </c>
      <c r="I1530" s="49" t="s">
        <v>9959</v>
      </c>
      <c r="J1530" s="49" t="s">
        <v>9957</v>
      </c>
      <c r="K1530" s="49" t="s">
        <v>14860</v>
      </c>
      <c r="L1530" s="49">
        <v>0</v>
      </c>
      <c r="M1530" s="49" t="s">
        <v>1826</v>
      </c>
      <c r="N1530" s="49" t="s">
        <v>14450</v>
      </c>
      <c r="O1530" s="49">
        <v>3</v>
      </c>
      <c r="P1530" s="49" t="s">
        <v>14861</v>
      </c>
      <c r="Q1530" s="49">
        <v>0</v>
      </c>
      <c r="R1530" s="49" t="s">
        <v>14862</v>
      </c>
      <c r="S1530" s="49" t="s">
        <v>14863</v>
      </c>
      <c r="T1530" s="49" t="s">
        <v>14864</v>
      </c>
      <c r="U1530" s="49" t="s">
        <v>655</v>
      </c>
      <c r="V1530" s="49" t="e">
        <v>#REF!</v>
      </c>
      <c r="AC1530" s="49"/>
      <c r="AD1530" s="49"/>
    </row>
    <row r="1531" spans="1:30" hidden="1" x14ac:dyDescent="0.3">
      <c r="A1531" s="49" t="s">
        <v>1610</v>
      </c>
      <c r="B1531" s="49">
        <v>0</v>
      </c>
      <c r="C1531" s="49"/>
      <c r="D1531" s="72" t="s">
        <v>717</v>
      </c>
      <c r="E1531" s="49" t="s">
        <v>3754</v>
      </c>
      <c r="F1531" s="49"/>
      <c r="G1531" s="49"/>
      <c r="H1531" s="49" t="s">
        <v>1612</v>
      </c>
      <c r="I1531" s="49" t="s">
        <v>1613</v>
      </c>
      <c r="J1531" s="49" t="s">
        <v>1614</v>
      </c>
      <c r="K1531" s="49" t="s">
        <v>1615</v>
      </c>
      <c r="L1531" s="49">
        <v>0</v>
      </c>
      <c r="M1531" s="49" t="s">
        <v>1764</v>
      </c>
      <c r="N1531" s="49" t="s">
        <v>1616</v>
      </c>
      <c r="O1531" s="49">
        <v>15</v>
      </c>
      <c r="P1531" s="49" t="s">
        <v>1617</v>
      </c>
      <c r="Q1531" s="49">
        <v>0</v>
      </c>
      <c r="R1531" s="49" t="s">
        <v>1618</v>
      </c>
      <c r="S1531" s="49" t="s">
        <v>1619</v>
      </c>
      <c r="T1531" s="49" t="s">
        <v>646</v>
      </c>
      <c r="U1531" s="49" t="s">
        <v>791</v>
      </c>
      <c r="V1531" s="49" t="e">
        <v>#REF!</v>
      </c>
      <c r="AC1531" s="49"/>
      <c r="AD1531" s="49"/>
    </row>
    <row r="1532" spans="1:30" hidden="1" x14ac:dyDescent="0.3">
      <c r="A1532" s="49" t="s">
        <v>14865</v>
      </c>
      <c r="B1532" s="49">
        <v>0</v>
      </c>
      <c r="C1532" s="49"/>
      <c r="D1532" s="72" t="s">
        <v>717</v>
      </c>
      <c r="E1532" s="49" t="s">
        <v>3754</v>
      </c>
      <c r="F1532" s="49"/>
      <c r="G1532" s="49"/>
      <c r="H1532" s="49" t="s">
        <v>14866</v>
      </c>
      <c r="I1532" s="49" t="s">
        <v>14869</v>
      </c>
      <c r="J1532" s="49" t="s">
        <v>14867</v>
      </c>
      <c r="K1532" s="49" t="s">
        <v>14868</v>
      </c>
      <c r="L1532" s="49">
        <v>0</v>
      </c>
      <c r="M1532" s="49" t="s">
        <v>1826</v>
      </c>
      <c r="N1532" s="49" t="s">
        <v>14870</v>
      </c>
      <c r="O1532" s="49">
        <v>3</v>
      </c>
      <c r="P1532" s="49" t="s">
        <v>14871</v>
      </c>
      <c r="Q1532" s="49">
        <v>0</v>
      </c>
      <c r="R1532" s="49" t="s">
        <v>14872</v>
      </c>
      <c r="S1532" s="49" t="s">
        <v>14873</v>
      </c>
      <c r="T1532" s="49" t="s">
        <v>14874</v>
      </c>
      <c r="U1532" s="49" t="s">
        <v>655</v>
      </c>
      <c r="V1532" s="49" t="e">
        <v>#REF!</v>
      </c>
      <c r="AC1532" s="49"/>
      <c r="AD1532" s="49"/>
    </row>
    <row r="1533" spans="1:30" hidden="1" x14ac:dyDescent="0.3">
      <c r="A1533" s="49" t="s">
        <v>14875</v>
      </c>
      <c r="B1533" s="49">
        <v>0</v>
      </c>
      <c r="C1533" s="49"/>
      <c r="D1533" s="72" t="s">
        <v>717</v>
      </c>
      <c r="E1533" s="49" t="s">
        <v>3754</v>
      </c>
      <c r="F1533" s="49"/>
      <c r="G1533" s="49"/>
      <c r="H1533" s="49" t="s">
        <v>14876</v>
      </c>
      <c r="I1533" s="49" t="s">
        <v>14879</v>
      </c>
      <c r="J1533" s="49" t="s">
        <v>14877</v>
      </c>
      <c r="K1533" s="49" t="s">
        <v>14878</v>
      </c>
      <c r="L1533" s="49">
        <v>0</v>
      </c>
      <c r="M1533" s="49" t="s">
        <v>1764</v>
      </c>
      <c r="N1533" s="49" t="s">
        <v>14880</v>
      </c>
      <c r="O1533" s="49">
        <v>1</v>
      </c>
      <c r="P1533" s="49" t="s">
        <v>14881</v>
      </c>
      <c r="Q1533" s="49">
        <v>0</v>
      </c>
      <c r="R1533" s="49" t="s">
        <v>14882</v>
      </c>
      <c r="S1533" s="49" t="s">
        <v>14883</v>
      </c>
      <c r="T1533" s="49" t="s">
        <v>646</v>
      </c>
      <c r="U1533" s="49" t="s">
        <v>670</v>
      </c>
      <c r="V1533" s="49" t="e">
        <v>#REF!</v>
      </c>
      <c r="AC1533" s="49"/>
      <c r="AD1533" s="49"/>
    </row>
    <row r="1534" spans="1:30" hidden="1" x14ac:dyDescent="0.3">
      <c r="A1534" s="49" t="s">
        <v>14884</v>
      </c>
      <c r="B1534" s="49">
        <v>0</v>
      </c>
      <c r="C1534" s="49"/>
      <c r="D1534" s="72" t="s">
        <v>717</v>
      </c>
      <c r="E1534" s="49" t="s">
        <v>3754</v>
      </c>
      <c r="F1534" s="49"/>
      <c r="G1534" s="49"/>
      <c r="H1534" s="49" t="s">
        <v>14885</v>
      </c>
      <c r="I1534" s="49" t="s">
        <v>14888</v>
      </c>
      <c r="J1534" s="49" t="s">
        <v>14886</v>
      </c>
      <c r="K1534" s="49" t="s">
        <v>14887</v>
      </c>
      <c r="L1534" s="49">
        <v>0</v>
      </c>
      <c r="M1534" s="49" t="s">
        <v>2456</v>
      </c>
      <c r="N1534" s="49" t="s">
        <v>14889</v>
      </c>
      <c r="O1534" s="49">
        <v>21</v>
      </c>
      <c r="P1534" s="49" t="s">
        <v>14890</v>
      </c>
      <c r="Q1534" s="49">
        <v>0</v>
      </c>
      <c r="R1534" s="49" t="s">
        <v>14891</v>
      </c>
      <c r="S1534" s="49" t="s">
        <v>14892</v>
      </c>
      <c r="T1534" s="49" t="s">
        <v>14893</v>
      </c>
      <c r="U1534" s="49" t="s">
        <v>655</v>
      </c>
      <c r="V1534" s="49" t="e">
        <v>#REF!</v>
      </c>
      <c r="AC1534" s="49"/>
      <c r="AD1534" s="49"/>
    </row>
    <row r="1535" spans="1:30" hidden="1" x14ac:dyDescent="0.3">
      <c r="A1535" s="49" t="s">
        <v>14894</v>
      </c>
      <c r="B1535" s="49">
        <v>0</v>
      </c>
      <c r="C1535" s="49"/>
      <c r="D1535" s="72" t="s">
        <v>717</v>
      </c>
      <c r="E1535" s="49" t="s">
        <v>3754</v>
      </c>
      <c r="F1535" s="49"/>
      <c r="G1535" s="49"/>
      <c r="H1535" s="49" t="s">
        <v>14895</v>
      </c>
      <c r="I1535" s="49" t="s">
        <v>14898</v>
      </c>
      <c r="J1535" s="49" t="s">
        <v>14896</v>
      </c>
      <c r="K1535" s="49" t="s">
        <v>14897</v>
      </c>
      <c r="L1535" s="49">
        <v>0</v>
      </c>
      <c r="M1535" s="49" t="s">
        <v>1826</v>
      </c>
      <c r="N1535" s="49" t="s">
        <v>14899</v>
      </c>
      <c r="O1535" s="49">
        <v>10</v>
      </c>
      <c r="P1535" s="49" t="s">
        <v>14900</v>
      </c>
      <c r="Q1535" s="49">
        <v>0</v>
      </c>
      <c r="R1535" s="49" t="s">
        <v>14901</v>
      </c>
      <c r="S1535" s="49" t="s">
        <v>14902</v>
      </c>
      <c r="T1535" s="49" t="s">
        <v>14903</v>
      </c>
      <c r="U1535" s="49" t="s">
        <v>655</v>
      </c>
      <c r="V1535" s="49" t="e">
        <v>#REF!</v>
      </c>
      <c r="AC1535" s="49"/>
      <c r="AD1535" s="49"/>
    </row>
    <row r="1536" spans="1:30" hidden="1" x14ac:dyDescent="0.3">
      <c r="A1536" s="49" t="s">
        <v>14904</v>
      </c>
      <c r="B1536" s="49">
        <v>0</v>
      </c>
      <c r="C1536" s="49"/>
      <c r="D1536" s="72" t="s">
        <v>717</v>
      </c>
      <c r="E1536" s="49" t="s">
        <v>3754</v>
      </c>
      <c r="F1536" s="49"/>
      <c r="G1536" s="49"/>
      <c r="H1536" s="49" t="s">
        <v>14905</v>
      </c>
      <c r="I1536" s="49" t="s">
        <v>14908</v>
      </c>
      <c r="J1536" s="49" t="s">
        <v>14906</v>
      </c>
      <c r="K1536" s="49" t="s">
        <v>14907</v>
      </c>
      <c r="L1536" s="49">
        <v>0</v>
      </c>
      <c r="M1536" s="49" t="s">
        <v>2636</v>
      </c>
      <c r="N1536" s="49" t="s">
        <v>1406</v>
      </c>
      <c r="O1536" s="49">
        <v>9</v>
      </c>
      <c r="P1536" s="49" t="s">
        <v>14909</v>
      </c>
      <c r="Q1536" s="49">
        <v>0</v>
      </c>
      <c r="R1536" s="49" t="s">
        <v>14910</v>
      </c>
      <c r="S1536" s="49" t="s">
        <v>14911</v>
      </c>
      <c r="T1536" s="49" t="s">
        <v>14912</v>
      </c>
      <c r="U1536" s="49" t="s">
        <v>670</v>
      </c>
      <c r="V1536" s="49" t="e">
        <v>#REF!</v>
      </c>
      <c r="AC1536" s="49"/>
      <c r="AD1536" s="49"/>
    </row>
    <row r="1537" spans="1:30" hidden="1" x14ac:dyDescent="0.3">
      <c r="A1537" s="49" t="s">
        <v>14913</v>
      </c>
      <c r="B1537" s="49">
        <v>0</v>
      </c>
      <c r="C1537" s="49"/>
      <c r="D1537" s="72" t="s">
        <v>717</v>
      </c>
      <c r="E1537" s="49" t="s">
        <v>3754</v>
      </c>
      <c r="F1537" s="49"/>
      <c r="G1537" s="49"/>
      <c r="H1537" s="49" t="s">
        <v>14914</v>
      </c>
      <c r="I1537" s="49" t="s">
        <v>14917</v>
      </c>
      <c r="J1537" s="49" t="s">
        <v>14915</v>
      </c>
      <c r="K1537" s="49" t="s">
        <v>14916</v>
      </c>
      <c r="L1537" s="49">
        <v>0</v>
      </c>
      <c r="M1537" s="49" t="s">
        <v>1865</v>
      </c>
      <c r="N1537" s="49" t="s">
        <v>1450</v>
      </c>
      <c r="O1537" s="49">
        <v>7</v>
      </c>
      <c r="P1537" s="49" t="s">
        <v>14918</v>
      </c>
      <c r="Q1537" s="49">
        <v>0</v>
      </c>
      <c r="R1537" s="49" t="s">
        <v>14919</v>
      </c>
      <c r="S1537" s="49" t="s">
        <v>14920</v>
      </c>
      <c r="T1537" s="49" t="s">
        <v>14921</v>
      </c>
      <c r="U1537" s="49" t="s">
        <v>655</v>
      </c>
      <c r="V1537" s="49" t="e">
        <v>#REF!</v>
      </c>
      <c r="AC1537" s="49"/>
      <c r="AD1537" s="49"/>
    </row>
    <row r="1538" spans="1:30" hidden="1" x14ac:dyDescent="0.3">
      <c r="A1538" s="49" t="s">
        <v>14922</v>
      </c>
      <c r="B1538" s="49">
        <v>0</v>
      </c>
      <c r="C1538" s="49"/>
      <c r="D1538" s="72" t="s">
        <v>717</v>
      </c>
      <c r="E1538" s="49" t="s">
        <v>3754</v>
      </c>
      <c r="F1538" s="49"/>
      <c r="G1538" s="49"/>
      <c r="H1538" s="49" t="s">
        <v>14923</v>
      </c>
      <c r="I1538" s="49" t="s">
        <v>14926</v>
      </c>
      <c r="J1538" s="49" t="s">
        <v>14924</v>
      </c>
      <c r="K1538" s="49" t="s">
        <v>14925</v>
      </c>
      <c r="L1538" s="49">
        <v>0</v>
      </c>
      <c r="M1538" s="49" t="s">
        <v>1777</v>
      </c>
      <c r="N1538" s="49" t="s">
        <v>14927</v>
      </c>
      <c r="O1538" s="49">
        <v>29</v>
      </c>
      <c r="P1538" s="49" t="s">
        <v>14928</v>
      </c>
      <c r="Q1538" s="49">
        <v>0</v>
      </c>
      <c r="R1538" s="49" t="s">
        <v>14929</v>
      </c>
      <c r="S1538" s="49" t="s">
        <v>14930</v>
      </c>
      <c r="T1538" s="49" t="s">
        <v>14931</v>
      </c>
      <c r="U1538" s="49" t="s">
        <v>655</v>
      </c>
      <c r="V1538" s="49" t="e">
        <v>#REF!</v>
      </c>
      <c r="AC1538" s="49"/>
      <c r="AD1538" s="49"/>
    </row>
    <row r="1539" spans="1:30" hidden="1" x14ac:dyDescent="0.3">
      <c r="A1539" s="49" t="s">
        <v>14932</v>
      </c>
      <c r="B1539" s="49">
        <v>0</v>
      </c>
      <c r="C1539" s="49"/>
      <c r="D1539" s="72" t="s">
        <v>717</v>
      </c>
      <c r="E1539" s="49" t="s">
        <v>3754</v>
      </c>
      <c r="F1539" s="49"/>
      <c r="G1539" s="49"/>
      <c r="H1539" s="49" t="s">
        <v>14933</v>
      </c>
      <c r="I1539" s="49" t="s">
        <v>14936</v>
      </c>
      <c r="J1539" s="49" t="s">
        <v>14934</v>
      </c>
      <c r="K1539" s="49" t="s">
        <v>14935</v>
      </c>
      <c r="L1539" s="49">
        <v>0</v>
      </c>
      <c r="M1539" s="49" t="s">
        <v>1817</v>
      </c>
      <c r="N1539" s="49" t="s">
        <v>1382</v>
      </c>
      <c r="O1539" s="49">
        <v>3</v>
      </c>
      <c r="P1539" s="49" t="s">
        <v>14937</v>
      </c>
      <c r="Q1539" s="49">
        <v>0</v>
      </c>
      <c r="R1539" s="49" t="s">
        <v>14938</v>
      </c>
      <c r="S1539" s="49" t="s">
        <v>14939</v>
      </c>
      <c r="T1539" s="49" t="s">
        <v>14940</v>
      </c>
      <c r="U1539" s="49" t="s">
        <v>670</v>
      </c>
      <c r="V1539" s="49" t="e">
        <v>#REF!</v>
      </c>
      <c r="AC1539" s="49"/>
      <c r="AD1539" s="49"/>
    </row>
    <row r="1540" spans="1:30" hidden="1" x14ac:dyDescent="0.3">
      <c r="A1540" s="49" t="s">
        <v>14941</v>
      </c>
      <c r="B1540" s="49">
        <v>0</v>
      </c>
      <c r="C1540" s="49"/>
      <c r="D1540" s="72" t="s">
        <v>717</v>
      </c>
      <c r="E1540" s="49" t="s">
        <v>3754</v>
      </c>
      <c r="F1540" s="49"/>
      <c r="G1540" s="49"/>
      <c r="H1540" s="49" t="s">
        <v>14942</v>
      </c>
      <c r="I1540" s="49" t="s">
        <v>14945</v>
      </c>
      <c r="J1540" s="49" t="s">
        <v>14943</v>
      </c>
      <c r="K1540" s="49" t="s">
        <v>14944</v>
      </c>
      <c r="L1540" s="49">
        <v>0</v>
      </c>
      <c r="M1540" s="49" t="s">
        <v>1826</v>
      </c>
      <c r="N1540" s="49" t="s">
        <v>14946</v>
      </c>
      <c r="O1540" s="49">
        <v>26</v>
      </c>
      <c r="P1540" s="49" t="s">
        <v>14947</v>
      </c>
      <c r="Q1540" s="49">
        <v>0</v>
      </c>
      <c r="R1540" s="49" t="s">
        <v>14948</v>
      </c>
      <c r="S1540" s="49" t="s">
        <v>14949</v>
      </c>
      <c r="T1540" s="49" t="s">
        <v>14950</v>
      </c>
      <c r="U1540" s="49" t="s">
        <v>655</v>
      </c>
      <c r="V1540" s="49" t="e">
        <v>#REF!</v>
      </c>
      <c r="AC1540" s="49"/>
      <c r="AD1540" s="49"/>
    </row>
    <row r="1541" spans="1:30" hidden="1" x14ac:dyDescent="0.3">
      <c r="A1541" s="49" t="s">
        <v>1412</v>
      </c>
      <c r="B1541" s="49">
        <v>0</v>
      </c>
      <c r="C1541" s="49"/>
      <c r="D1541" s="72" t="s">
        <v>717</v>
      </c>
      <c r="E1541" s="49" t="s">
        <v>3754</v>
      </c>
      <c r="F1541" s="49"/>
      <c r="G1541" s="49"/>
      <c r="H1541" s="49" t="s">
        <v>1414</v>
      </c>
      <c r="I1541" s="49" t="s">
        <v>1415</v>
      </c>
      <c r="J1541" s="49" t="s">
        <v>14951</v>
      </c>
      <c r="K1541" s="49" t="s">
        <v>1417</v>
      </c>
      <c r="L1541" s="49">
        <v>0</v>
      </c>
      <c r="M1541" s="49" t="s">
        <v>1826</v>
      </c>
      <c r="N1541" s="49" t="s">
        <v>1418</v>
      </c>
      <c r="O1541" s="49">
        <v>2</v>
      </c>
      <c r="P1541" s="49" t="s">
        <v>1419</v>
      </c>
      <c r="Q1541" s="49">
        <v>0</v>
      </c>
      <c r="R1541" s="49" t="s">
        <v>1420</v>
      </c>
      <c r="S1541" s="49" t="s">
        <v>1421</v>
      </c>
      <c r="T1541" s="49" t="s">
        <v>14952</v>
      </c>
      <c r="U1541" s="49" t="s">
        <v>655</v>
      </c>
      <c r="V1541" s="49" t="e">
        <v>#REF!</v>
      </c>
      <c r="AC1541" s="49"/>
      <c r="AD1541" s="49"/>
    </row>
    <row r="1542" spans="1:30" hidden="1" x14ac:dyDescent="0.3">
      <c r="A1542" s="49" t="s">
        <v>14953</v>
      </c>
      <c r="B1542" s="49">
        <v>0</v>
      </c>
      <c r="C1542" s="49"/>
      <c r="D1542" s="72" t="s">
        <v>717</v>
      </c>
      <c r="E1542" s="49" t="s">
        <v>3754</v>
      </c>
      <c r="F1542" s="49"/>
      <c r="G1542" s="49"/>
      <c r="H1542" s="49" t="s">
        <v>14954</v>
      </c>
      <c r="I1542" s="49" t="s">
        <v>14957</v>
      </c>
      <c r="J1542" s="49" t="s">
        <v>14955</v>
      </c>
      <c r="K1542" s="49" t="s">
        <v>14956</v>
      </c>
      <c r="L1542" s="49">
        <v>0</v>
      </c>
      <c r="M1542" s="49" t="s">
        <v>1826</v>
      </c>
      <c r="N1542" s="49" t="s">
        <v>818</v>
      </c>
      <c r="P1542" s="49" t="s">
        <v>14958</v>
      </c>
      <c r="Q1542" s="49">
        <v>0</v>
      </c>
      <c r="R1542" s="49" t="s">
        <v>14959</v>
      </c>
      <c r="S1542" s="49" t="s">
        <v>14960</v>
      </c>
      <c r="T1542" s="49" t="s">
        <v>14961</v>
      </c>
      <c r="U1542" s="49" t="s">
        <v>670</v>
      </c>
      <c r="V1542" s="49" t="e">
        <v>#REF!</v>
      </c>
      <c r="AC1542" s="49"/>
      <c r="AD1542" s="49"/>
    </row>
    <row r="1543" spans="1:30" hidden="1" x14ac:dyDescent="0.3">
      <c r="A1543" s="49" t="s">
        <v>14962</v>
      </c>
      <c r="B1543" s="49">
        <v>0</v>
      </c>
      <c r="C1543" s="49"/>
      <c r="D1543" s="72" t="s">
        <v>717</v>
      </c>
      <c r="E1543" s="49" t="s">
        <v>3754</v>
      </c>
      <c r="F1543" s="49"/>
      <c r="G1543" s="49"/>
      <c r="H1543" s="49" t="s">
        <v>14963</v>
      </c>
      <c r="I1543" s="49" t="s">
        <v>14966</v>
      </c>
      <c r="J1543" s="49" t="s">
        <v>14964</v>
      </c>
      <c r="K1543" s="49" t="s">
        <v>14965</v>
      </c>
      <c r="L1543" s="49">
        <v>0</v>
      </c>
      <c r="M1543" s="49" t="s">
        <v>1865</v>
      </c>
      <c r="N1543" s="49" t="s">
        <v>697</v>
      </c>
      <c r="O1543" s="49">
        <v>49</v>
      </c>
      <c r="P1543" s="49" t="s">
        <v>14967</v>
      </c>
      <c r="Q1543" s="49">
        <v>0</v>
      </c>
      <c r="R1543" s="49" t="s">
        <v>14968</v>
      </c>
      <c r="S1543" s="49" t="s">
        <v>14969</v>
      </c>
      <c r="T1543" s="49" t="s">
        <v>14970</v>
      </c>
      <c r="U1543" s="49" t="s">
        <v>655</v>
      </c>
      <c r="V1543" s="49" t="e">
        <v>#REF!</v>
      </c>
      <c r="AC1543" s="49"/>
      <c r="AD1543" s="49"/>
    </row>
    <row r="1544" spans="1:30" hidden="1" x14ac:dyDescent="0.3">
      <c r="A1544" s="49" t="s">
        <v>14971</v>
      </c>
      <c r="B1544" s="49">
        <v>0</v>
      </c>
      <c r="C1544" s="49"/>
      <c r="D1544" s="72" t="s">
        <v>717</v>
      </c>
      <c r="E1544" s="49" t="s">
        <v>3754</v>
      </c>
      <c r="F1544" s="49"/>
      <c r="G1544" s="49"/>
      <c r="H1544" s="49" t="s">
        <v>14972</v>
      </c>
      <c r="I1544" s="49" t="s">
        <v>14975</v>
      </c>
      <c r="J1544" s="49" t="s">
        <v>14973</v>
      </c>
      <c r="K1544" s="49" t="s">
        <v>14974</v>
      </c>
      <c r="L1544" s="49">
        <v>0</v>
      </c>
      <c r="M1544" s="49" t="s">
        <v>2456</v>
      </c>
      <c r="N1544" s="49" t="s">
        <v>14976</v>
      </c>
      <c r="O1544" s="49">
        <v>1</v>
      </c>
      <c r="P1544" s="49" t="s">
        <v>14977</v>
      </c>
      <c r="Q1544" s="49">
        <v>0</v>
      </c>
      <c r="R1544" s="49" t="s">
        <v>14978</v>
      </c>
      <c r="S1544" s="49" t="s">
        <v>14979</v>
      </c>
      <c r="T1544" s="49" t="s">
        <v>14980</v>
      </c>
      <c r="U1544" s="49" t="s">
        <v>655</v>
      </c>
      <c r="V1544" s="49" t="e">
        <v>#REF!</v>
      </c>
      <c r="AC1544" s="49"/>
      <c r="AD1544" s="49"/>
    </row>
    <row r="1545" spans="1:30" hidden="1" x14ac:dyDescent="0.3">
      <c r="A1545" s="49" t="s">
        <v>14981</v>
      </c>
      <c r="B1545" s="49">
        <v>0</v>
      </c>
      <c r="C1545" s="49"/>
      <c r="D1545" s="72" t="s">
        <v>717</v>
      </c>
      <c r="E1545" s="49" t="s">
        <v>3754</v>
      </c>
      <c r="F1545" s="49"/>
      <c r="G1545" s="49"/>
      <c r="H1545" s="49" t="s">
        <v>14982</v>
      </c>
      <c r="I1545" s="49" t="s">
        <v>14985</v>
      </c>
      <c r="J1545" s="49" t="s">
        <v>14983</v>
      </c>
      <c r="K1545" s="49" t="s">
        <v>14984</v>
      </c>
      <c r="L1545" s="49">
        <v>0</v>
      </c>
      <c r="M1545" s="49" t="s">
        <v>1826</v>
      </c>
      <c r="N1545" s="49" t="s">
        <v>14986</v>
      </c>
      <c r="P1545" s="49" t="s">
        <v>14987</v>
      </c>
      <c r="Q1545" s="49">
        <v>0</v>
      </c>
      <c r="R1545" s="49" t="s">
        <v>14988</v>
      </c>
      <c r="S1545" s="49" t="s">
        <v>14989</v>
      </c>
      <c r="T1545" s="49" t="s">
        <v>646</v>
      </c>
      <c r="U1545" s="49" t="s">
        <v>670</v>
      </c>
      <c r="V1545" s="49" t="e">
        <v>#REF!</v>
      </c>
      <c r="AC1545" s="49"/>
      <c r="AD1545" s="49"/>
    </row>
    <row r="1546" spans="1:30" hidden="1" x14ac:dyDescent="0.3">
      <c r="A1546" s="49" t="s">
        <v>14990</v>
      </c>
      <c r="B1546" s="49">
        <v>0</v>
      </c>
      <c r="C1546" s="49"/>
      <c r="D1546" s="72" t="s">
        <v>717</v>
      </c>
      <c r="E1546" s="49" t="s">
        <v>3754</v>
      </c>
      <c r="F1546" s="49"/>
      <c r="G1546" s="49"/>
      <c r="H1546" s="49" t="s">
        <v>646</v>
      </c>
      <c r="I1546" s="49" t="s">
        <v>14993</v>
      </c>
      <c r="J1546" s="49" t="s">
        <v>14991</v>
      </c>
      <c r="K1546" s="49" t="s">
        <v>14992</v>
      </c>
      <c r="L1546" s="49">
        <v>0</v>
      </c>
      <c r="M1546" s="49" t="s">
        <v>4084</v>
      </c>
      <c r="N1546" s="49" t="s">
        <v>14994</v>
      </c>
      <c r="O1546" s="49">
        <v>8</v>
      </c>
      <c r="P1546" s="49" t="s">
        <v>14995</v>
      </c>
      <c r="Q1546" s="49">
        <v>0</v>
      </c>
      <c r="R1546" s="49" t="s">
        <v>14996</v>
      </c>
      <c r="S1546" s="49" t="s">
        <v>14997</v>
      </c>
      <c r="T1546" s="49" t="s">
        <v>14996</v>
      </c>
      <c r="U1546" s="49" t="s">
        <v>670</v>
      </c>
      <c r="V1546" s="49" t="e">
        <v>#REF!</v>
      </c>
      <c r="AC1546" s="49"/>
      <c r="AD1546" s="49"/>
    </row>
    <row r="1547" spans="1:30" hidden="1" x14ac:dyDescent="0.3">
      <c r="A1547" s="49" t="s">
        <v>14998</v>
      </c>
      <c r="B1547" s="49">
        <v>0</v>
      </c>
      <c r="C1547" s="49"/>
      <c r="D1547" s="72" t="s">
        <v>717</v>
      </c>
      <c r="E1547" s="49" t="s">
        <v>3754</v>
      </c>
      <c r="F1547" s="49"/>
      <c r="G1547" s="49"/>
      <c r="H1547" s="49" t="s">
        <v>14999</v>
      </c>
      <c r="I1547" s="49" t="s">
        <v>15002</v>
      </c>
      <c r="J1547" s="49" t="s">
        <v>15000</v>
      </c>
      <c r="K1547" s="49" t="s">
        <v>15001</v>
      </c>
      <c r="L1547" s="49">
        <v>0</v>
      </c>
      <c r="M1547" s="49" t="s">
        <v>1826</v>
      </c>
      <c r="N1547" s="49" t="s">
        <v>13030</v>
      </c>
      <c r="O1547" s="49">
        <v>3</v>
      </c>
      <c r="P1547" s="49" t="s">
        <v>15003</v>
      </c>
      <c r="Q1547" s="49">
        <v>0</v>
      </c>
      <c r="R1547" s="49" t="s">
        <v>15004</v>
      </c>
      <c r="S1547" s="49" t="s">
        <v>15005</v>
      </c>
      <c r="T1547" s="49" t="s">
        <v>15006</v>
      </c>
      <c r="U1547" s="49" t="s">
        <v>655</v>
      </c>
      <c r="V1547" s="49" t="e">
        <v>#REF!</v>
      </c>
      <c r="AC1547" s="49"/>
      <c r="AD1547" s="49"/>
    </row>
    <row r="1548" spans="1:30" hidden="1" x14ac:dyDescent="0.3">
      <c r="A1548" s="49" t="s">
        <v>15007</v>
      </c>
      <c r="B1548" s="49">
        <v>0</v>
      </c>
      <c r="C1548" s="49"/>
      <c r="D1548" s="72" t="s">
        <v>717</v>
      </c>
      <c r="E1548" s="49" t="s">
        <v>3754</v>
      </c>
      <c r="F1548" s="49"/>
      <c r="G1548" s="49"/>
      <c r="H1548" s="49" t="s">
        <v>15008</v>
      </c>
      <c r="I1548" s="49" t="s">
        <v>15011</v>
      </c>
      <c r="J1548" s="49" t="s">
        <v>15009</v>
      </c>
      <c r="K1548" s="49" t="s">
        <v>15010</v>
      </c>
      <c r="L1548" s="49">
        <v>0</v>
      </c>
      <c r="M1548" s="49" t="s">
        <v>2484</v>
      </c>
      <c r="N1548" s="49" t="s">
        <v>15012</v>
      </c>
      <c r="O1548" s="49">
        <v>15</v>
      </c>
      <c r="P1548" s="49" t="s">
        <v>15013</v>
      </c>
      <c r="Q1548" s="49">
        <v>0</v>
      </c>
      <c r="R1548" s="49" t="s">
        <v>15014</v>
      </c>
      <c r="S1548" s="49" t="s">
        <v>15015</v>
      </c>
      <c r="T1548" s="49" t="s">
        <v>15016</v>
      </c>
      <c r="U1548" s="49" t="s">
        <v>655</v>
      </c>
      <c r="V1548" s="49" t="e">
        <v>#REF!</v>
      </c>
      <c r="AC1548" s="49"/>
      <c r="AD1548" s="49"/>
    </row>
    <row r="1549" spans="1:30" hidden="1" x14ac:dyDescent="0.3">
      <c r="A1549" s="49" t="s">
        <v>15017</v>
      </c>
      <c r="B1549" s="49">
        <v>0</v>
      </c>
      <c r="C1549" s="49"/>
      <c r="D1549" s="72" t="s">
        <v>717</v>
      </c>
      <c r="E1549" s="49" t="s">
        <v>3754</v>
      </c>
      <c r="F1549" s="49"/>
      <c r="G1549" s="49"/>
      <c r="H1549" s="49" t="s">
        <v>15018</v>
      </c>
      <c r="I1549" s="49" t="s">
        <v>15021</v>
      </c>
      <c r="J1549" s="49" t="s">
        <v>15019</v>
      </c>
      <c r="K1549" s="49" t="s">
        <v>15020</v>
      </c>
      <c r="L1549" s="49">
        <v>0</v>
      </c>
      <c r="M1549" s="49" t="s">
        <v>1826</v>
      </c>
      <c r="N1549" s="49" t="s">
        <v>3406</v>
      </c>
      <c r="O1549" s="49">
        <v>19</v>
      </c>
      <c r="P1549" s="49" t="s">
        <v>15022</v>
      </c>
      <c r="Q1549" s="49">
        <v>0</v>
      </c>
      <c r="R1549" s="49" t="s">
        <v>15023</v>
      </c>
      <c r="S1549" s="49" t="s">
        <v>15024</v>
      </c>
      <c r="T1549" s="49" t="s">
        <v>15025</v>
      </c>
      <c r="U1549" s="49" t="s">
        <v>655</v>
      </c>
      <c r="V1549" s="49" t="e">
        <v>#REF!</v>
      </c>
      <c r="AC1549" s="49"/>
      <c r="AD1549" s="49"/>
    </row>
    <row r="1550" spans="1:30" hidden="1" x14ac:dyDescent="0.3">
      <c r="A1550" s="49" t="s">
        <v>1444</v>
      </c>
      <c r="B1550" s="49">
        <v>0</v>
      </c>
      <c r="C1550" s="49"/>
      <c r="D1550" s="72" t="s">
        <v>717</v>
      </c>
      <c r="E1550" s="49" t="s">
        <v>3754</v>
      </c>
      <c r="F1550" s="49"/>
      <c r="G1550" s="49"/>
      <c r="H1550" s="49" t="s">
        <v>1446</v>
      </c>
      <c r="I1550" s="49" t="s">
        <v>1447</v>
      </c>
      <c r="J1550" s="49" t="s">
        <v>1448</v>
      </c>
      <c r="K1550" s="49" t="s">
        <v>1449</v>
      </c>
      <c r="L1550" s="49">
        <v>0</v>
      </c>
      <c r="M1550" s="49" t="s">
        <v>1826</v>
      </c>
      <c r="N1550" s="49" t="s">
        <v>1450</v>
      </c>
      <c r="O1550" s="49">
        <v>47</v>
      </c>
      <c r="P1550" s="49" t="s">
        <v>1451</v>
      </c>
      <c r="Q1550" s="49">
        <v>0</v>
      </c>
      <c r="R1550" s="49" t="s">
        <v>1452</v>
      </c>
      <c r="S1550" s="49" t="s">
        <v>1453</v>
      </c>
      <c r="T1550" s="49" t="s">
        <v>15026</v>
      </c>
      <c r="U1550" s="49" t="s">
        <v>655</v>
      </c>
      <c r="V1550" s="49" t="e">
        <v>#REF!</v>
      </c>
      <c r="AC1550" s="49"/>
      <c r="AD1550" s="49"/>
    </row>
    <row r="1551" spans="1:30" hidden="1" x14ac:dyDescent="0.3">
      <c r="A1551" s="49" t="s">
        <v>15027</v>
      </c>
      <c r="B1551" s="49">
        <v>0</v>
      </c>
      <c r="C1551" s="49"/>
      <c r="D1551" s="72" t="s">
        <v>717</v>
      </c>
      <c r="E1551" s="49" t="s">
        <v>3754</v>
      </c>
      <c r="F1551" s="49"/>
      <c r="G1551" s="49"/>
      <c r="H1551" s="49" t="s">
        <v>15028</v>
      </c>
      <c r="I1551" s="49" t="s">
        <v>15031</v>
      </c>
      <c r="J1551" s="49" t="s">
        <v>15029</v>
      </c>
      <c r="K1551" s="49" t="s">
        <v>15030</v>
      </c>
      <c r="L1551" s="49">
        <v>0</v>
      </c>
      <c r="M1551" s="49" t="s">
        <v>2142</v>
      </c>
      <c r="N1551" s="49" t="s">
        <v>3738</v>
      </c>
      <c r="O1551" s="49">
        <v>157</v>
      </c>
      <c r="P1551" s="49" t="s">
        <v>15032</v>
      </c>
      <c r="Q1551" s="49">
        <v>0</v>
      </c>
      <c r="R1551" s="49" t="s">
        <v>15033</v>
      </c>
      <c r="S1551" s="49" t="s">
        <v>15034</v>
      </c>
      <c r="T1551" s="49" t="s">
        <v>646</v>
      </c>
      <c r="U1551" s="49" t="s">
        <v>655</v>
      </c>
      <c r="V1551" s="49" t="e">
        <v>#REF!</v>
      </c>
      <c r="AC1551" s="49"/>
      <c r="AD1551" s="49"/>
    </row>
    <row r="1552" spans="1:30" hidden="1" x14ac:dyDescent="0.3">
      <c r="A1552" s="49" t="s">
        <v>15035</v>
      </c>
      <c r="B1552" s="49">
        <v>0</v>
      </c>
      <c r="C1552" s="49"/>
      <c r="D1552" s="72" t="s">
        <v>717</v>
      </c>
      <c r="E1552" s="49" t="s">
        <v>3754</v>
      </c>
      <c r="F1552" s="49"/>
      <c r="G1552" s="49"/>
      <c r="H1552" s="49" t="s">
        <v>15036</v>
      </c>
      <c r="I1552" s="49" t="s">
        <v>15039</v>
      </c>
      <c r="J1552" s="49" t="s">
        <v>15037</v>
      </c>
      <c r="K1552" s="49" t="s">
        <v>15038</v>
      </c>
      <c r="L1552" s="49">
        <v>0</v>
      </c>
      <c r="M1552" s="49" t="s">
        <v>1865</v>
      </c>
      <c r="N1552" s="49" t="s">
        <v>15040</v>
      </c>
      <c r="O1552" s="49">
        <v>101</v>
      </c>
      <c r="P1552" s="49" t="s">
        <v>15041</v>
      </c>
      <c r="Q1552" s="49">
        <v>0</v>
      </c>
      <c r="R1552" s="49" t="s">
        <v>15042</v>
      </c>
      <c r="S1552" s="49" t="s">
        <v>15043</v>
      </c>
      <c r="T1552" s="49" t="s">
        <v>646</v>
      </c>
      <c r="U1552" s="49" t="s">
        <v>655</v>
      </c>
      <c r="V1552" s="49" t="e">
        <v>#REF!</v>
      </c>
      <c r="AC1552" s="49"/>
      <c r="AD1552" s="49"/>
    </row>
    <row r="1553" spans="1:30" hidden="1" x14ac:dyDescent="0.3">
      <c r="A1553" s="49" t="s">
        <v>15044</v>
      </c>
      <c r="B1553" s="49">
        <v>0</v>
      </c>
      <c r="C1553" s="49"/>
      <c r="D1553" s="72" t="s">
        <v>717</v>
      </c>
      <c r="E1553" s="49" t="s">
        <v>3754</v>
      </c>
      <c r="F1553" s="49"/>
      <c r="G1553" s="49"/>
      <c r="H1553" s="49" t="s">
        <v>15045</v>
      </c>
      <c r="I1553" s="49" t="s">
        <v>15048</v>
      </c>
      <c r="J1553" s="49" t="s">
        <v>15046</v>
      </c>
      <c r="K1553" s="49" t="s">
        <v>15047</v>
      </c>
      <c r="L1553" s="49">
        <v>0</v>
      </c>
      <c r="M1553" s="49" t="s">
        <v>1865</v>
      </c>
      <c r="N1553" s="49" t="s">
        <v>15049</v>
      </c>
      <c r="O1553" s="49">
        <v>2</v>
      </c>
      <c r="P1553" s="49" t="s">
        <v>15050</v>
      </c>
      <c r="Q1553" s="49">
        <v>0</v>
      </c>
      <c r="R1553" s="49" t="s">
        <v>15051</v>
      </c>
      <c r="S1553" s="49" t="s">
        <v>15052</v>
      </c>
      <c r="T1553" s="49" t="s">
        <v>15053</v>
      </c>
      <c r="U1553" s="49" t="s">
        <v>655</v>
      </c>
      <c r="V1553" s="49" t="e">
        <v>#REF!</v>
      </c>
      <c r="AC1553" s="49"/>
      <c r="AD1553" s="49"/>
    </row>
    <row r="1554" spans="1:30" hidden="1" x14ac:dyDescent="0.3">
      <c r="A1554" s="49" t="s">
        <v>15054</v>
      </c>
      <c r="B1554" s="49">
        <v>0</v>
      </c>
      <c r="C1554" s="49"/>
      <c r="D1554" s="72" t="s">
        <v>717</v>
      </c>
      <c r="E1554" s="49" t="s">
        <v>3754</v>
      </c>
      <c r="F1554" s="49"/>
      <c r="G1554" s="49"/>
      <c r="H1554" s="49" t="s">
        <v>15055</v>
      </c>
      <c r="I1554" s="49" t="s">
        <v>15058</v>
      </c>
      <c r="J1554" s="49" t="s">
        <v>15056</v>
      </c>
      <c r="K1554" s="49" t="s">
        <v>15057</v>
      </c>
      <c r="L1554" s="49">
        <v>0</v>
      </c>
      <c r="M1554" s="49" t="s">
        <v>1764</v>
      </c>
      <c r="N1554" s="49" t="s">
        <v>5655</v>
      </c>
      <c r="O1554" s="49">
        <v>33</v>
      </c>
      <c r="P1554" s="49" t="s">
        <v>15059</v>
      </c>
      <c r="Q1554" s="49">
        <v>0</v>
      </c>
      <c r="R1554" s="49" t="s">
        <v>15060</v>
      </c>
      <c r="S1554" s="49" t="s">
        <v>15061</v>
      </c>
      <c r="T1554" s="49" t="s">
        <v>646</v>
      </c>
      <c r="U1554" s="49" t="s">
        <v>655</v>
      </c>
      <c r="V1554" s="49" t="e">
        <v>#REF!</v>
      </c>
      <c r="AC1554" s="49"/>
      <c r="AD1554" s="49"/>
    </row>
    <row r="1555" spans="1:30" hidden="1" x14ac:dyDescent="0.3">
      <c r="A1555" s="49" t="s">
        <v>15062</v>
      </c>
      <c r="B1555" s="49">
        <v>0</v>
      </c>
      <c r="C1555" s="49"/>
      <c r="D1555" s="72" t="s">
        <v>717</v>
      </c>
      <c r="E1555" s="49" t="s">
        <v>3754</v>
      </c>
      <c r="F1555" s="49"/>
      <c r="G1555" s="49"/>
      <c r="H1555" s="49" t="s">
        <v>15063</v>
      </c>
      <c r="I1555" s="49" t="s">
        <v>15066</v>
      </c>
      <c r="J1555" s="49" t="s">
        <v>15064</v>
      </c>
      <c r="K1555" s="49" t="s">
        <v>15065</v>
      </c>
      <c r="L1555" s="49">
        <v>0</v>
      </c>
      <c r="M1555" s="49" t="s">
        <v>1865</v>
      </c>
      <c r="N1555" s="49" t="s">
        <v>15067</v>
      </c>
      <c r="O1555" s="49">
        <v>52</v>
      </c>
      <c r="P1555" s="49" t="s">
        <v>15068</v>
      </c>
      <c r="Q1555" s="49">
        <v>0</v>
      </c>
      <c r="R1555" s="49" t="s">
        <v>15069</v>
      </c>
      <c r="S1555" s="49" t="s">
        <v>15070</v>
      </c>
      <c r="T1555" s="49" t="s">
        <v>15071</v>
      </c>
      <c r="U1555" s="49" t="s">
        <v>655</v>
      </c>
      <c r="V1555" s="49" t="e">
        <v>#REF!</v>
      </c>
      <c r="AC1555" s="49"/>
      <c r="AD1555" s="49"/>
    </row>
    <row r="1556" spans="1:30" hidden="1" x14ac:dyDescent="0.3">
      <c r="A1556" s="49" t="s">
        <v>15072</v>
      </c>
      <c r="B1556" s="49">
        <v>0</v>
      </c>
      <c r="C1556" s="49"/>
      <c r="D1556" s="72" t="s">
        <v>717</v>
      </c>
      <c r="E1556" s="49" t="s">
        <v>3754</v>
      </c>
      <c r="F1556" s="49"/>
      <c r="G1556" s="49"/>
      <c r="H1556" s="49" t="s">
        <v>15073</v>
      </c>
      <c r="I1556" s="49" t="s">
        <v>15076</v>
      </c>
      <c r="J1556" s="49" t="s">
        <v>15074</v>
      </c>
      <c r="K1556" s="49" t="s">
        <v>15075</v>
      </c>
      <c r="L1556" s="49">
        <v>0</v>
      </c>
      <c r="M1556" s="49" t="s">
        <v>2142</v>
      </c>
      <c r="N1556" s="49" t="s">
        <v>2093</v>
      </c>
      <c r="O1556" s="49">
        <v>10</v>
      </c>
      <c r="P1556" s="49" t="s">
        <v>15077</v>
      </c>
      <c r="Q1556" s="49">
        <v>0</v>
      </c>
      <c r="R1556" s="49" t="s">
        <v>15078</v>
      </c>
      <c r="S1556" s="49" t="s">
        <v>15079</v>
      </c>
      <c r="T1556" s="49" t="s">
        <v>15080</v>
      </c>
      <c r="U1556" s="49" t="s">
        <v>655</v>
      </c>
      <c r="V1556" s="49" t="e">
        <v>#REF!</v>
      </c>
      <c r="AC1556" s="49"/>
      <c r="AD1556" s="49"/>
    </row>
    <row r="1557" spans="1:30" hidden="1" x14ac:dyDescent="0.3">
      <c r="A1557" s="49" t="s">
        <v>15081</v>
      </c>
      <c r="B1557" s="49">
        <v>0</v>
      </c>
      <c r="C1557" s="49"/>
      <c r="D1557" s="72" t="s">
        <v>717</v>
      </c>
      <c r="E1557" s="49" t="s">
        <v>3754</v>
      </c>
      <c r="F1557" s="49"/>
      <c r="G1557" s="49"/>
      <c r="H1557" s="49" t="s">
        <v>15082</v>
      </c>
      <c r="I1557" s="49" t="s">
        <v>15085</v>
      </c>
      <c r="J1557" s="49" t="s">
        <v>15083</v>
      </c>
      <c r="K1557" s="49" t="s">
        <v>15084</v>
      </c>
      <c r="L1557" s="49">
        <v>0</v>
      </c>
      <c r="M1557" s="49" t="s">
        <v>1826</v>
      </c>
      <c r="N1557" s="49" t="s">
        <v>15086</v>
      </c>
      <c r="O1557" s="49">
        <v>77</v>
      </c>
      <c r="P1557" s="49" t="s">
        <v>15087</v>
      </c>
      <c r="Q1557" s="49">
        <v>0</v>
      </c>
      <c r="R1557" s="49" t="s">
        <v>15088</v>
      </c>
      <c r="S1557" s="49" t="s">
        <v>15089</v>
      </c>
      <c r="T1557" s="49" t="s">
        <v>15090</v>
      </c>
      <c r="U1557" s="49" t="s">
        <v>655</v>
      </c>
      <c r="V1557" s="49" t="e">
        <v>#REF!</v>
      </c>
      <c r="AC1557" s="49"/>
      <c r="AD1557" s="49"/>
    </row>
    <row r="1558" spans="1:30" hidden="1" x14ac:dyDescent="0.3">
      <c r="A1558" s="49" t="s">
        <v>15091</v>
      </c>
      <c r="B1558" s="49">
        <v>0</v>
      </c>
      <c r="C1558" s="49"/>
      <c r="D1558" s="72" t="s">
        <v>717</v>
      </c>
      <c r="E1558" s="49" t="s">
        <v>3754</v>
      </c>
      <c r="F1558" s="49"/>
      <c r="G1558" s="49"/>
      <c r="H1558" s="49" t="s">
        <v>15092</v>
      </c>
      <c r="I1558" s="49" t="s">
        <v>15095</v>
      </c>
      <c r="J1558" s="49" t="s">
        <v>15093</v>
      </c>
      <c r="K1558" s="49" t="s">
        <v>15094</v>
      </c>
      <c r="L1558" s="49">
        <v>0</v>
      </c>
      <c r="M1558" s="49" t="s">
        <v>4084</v>
      </c>
      <c r="N1558" s="49" t="s">
        <v>15096</v>
      </c>
      <c r="O1558" s="49">
        <v>6</v>
      </c>
      <c r="P1558" s="49" t="s">
        <v>15097</v>
      </c>
      <c r="Q1558" s="49">
        <v>0</v>
      </c>
      <c r="R1558" s="49" t="s">
        <v>15098</v>
      </c>
      <c r="S1558" s="49" t="s">
        <v>15099</v>
      </c>
      <c r="T1558" s="49" t="s">
        <v>15100</v>
      </c>
      <c r="U1558" s="49" t="s">
        <v>655</v>
      </c>
      <c r="V1558" s="49" t="e">
        <v>#REF!</v>
      </c>
      <c r="AC1558" s="49"/>
      <c r="AD1558" s="49"/>
    </row>
    <row r="1559" spans="1:30" hidden="1" x14ac:dyDescent="0.3">
      <c r="A1559" s="49" t="s">
        <v>15101</v>
      </c>
      <c r="B1559" s="49">
        <v>0</v>
      </c>
      <c r="C1559" s="49"/>
      <c r="D1559" s="72" t="s">
        <v>717</v>
      </c>
      <c r="E1559" s="49" t="s">
        <v>3754</v>
      </c>
      <c r="F1559" s="49"/>
      <c r="G1559" s="49"/>
      <c r="H1559" s="49" t="s">
        <v>15102</v>
      </c>
      <c r="I1559" s="49" t="s">
        <v>15105</v>
      </c>
      <c r="J1559" s="49" t="s">
        <v>15103</v>
      </c>
      <c r="K1559" s="49" t="s">
        <v>15104</v>
      </c>
      <c r="L1559" s="49">
        <v>0</v>
      </c>
      <c r="M1559" s="49" t="s">
        <v>1865</v>
      </c>
      <c r="N1559" s="49" t="s">
        <v>15106</v>
      </c>
      <c r="O1559" s="49">
        <v>2</v>
      </c>
      <c r="P1559" s="49" t="s">
        <v>15107</v>
      </c>
      <c r="Q1559" s="49">
        <v>0</v>
      </c>
      <c r="R1559" s="49" t="s">
        <v>15108</v>
      </c>
      <c r="S1559" s="49" t="s">
        <v>15109</v>
      </c>
      <c r="T1559" s="49" t="s">
        <v>15110</v>
      </c>
      <c r="U1559" s="49" t="s">
        <v>791</v>
      </c>
      <c r="V1559" s="49" t="e">
        <v>#REF!</v>
      </c>
      <c r="AC1559" s="49"/>
      <c r="AD1559" s="49"/>
    </row>
    <row r="1560" spans="1:30" hidden="1" x14ac:dyDescent="0.3">
      <c r="A1560" s="49" t="s">
        <v>15111</v>
      </c>
      <c r="B1560" s="49">
        <v>0</v>
      </c>
      <c r="C1560" s="49"/>
      <c r="D1560" s="72" t="s">
        <v>717</v>
      </c>
      <c r="E1560" s="49" t="s">
        <v>3754</v>
      </c>
      <c r="F1560" s="49"/>
      <c r="G1560" s="49"/>
      <c r="H1560" s="49" t="s">
        <v>15112</v>
      </c>
      <c r="I1560" s="49" t="s">
        <v>15115</v>
      </c>
      <c r="J1560" s="49" t="s">
        <v>15113</v>
      </c>
      <c r="K1560" s="49" t="s">
        <v>15114</v>
      </c>
      <c r="L1560" s="49">
        <v>0</v>
      </c>
      <c r="M1560" s="49" t="s">
        <v>2484</v>
      </c>
      <c r="N1560" s="49" t="s">
        <v>15116</v>
      </c>
      <c r="O1560" s="49">
        <v>10</v>
      </c>
      <c r="P1560" s="49" t="s">
        <v>15117</v>
      </c>
      <c r="Q1560" s="49">
        <v>0</v>
      </c>
      <c r="R1560" s="49" t="s">
        <v>15118</v>
      </c>
      <c r="S1560" s="49" t="s">
        <v>15119</v>
      </c>
      <c r="T1560" s="49" t="s">
        <v>15120</v>
      </c>
      <c r="U1560" s="49" t="s">
        <v>655</v>
      </c>
      <c r="V1560" s="49" t="e">
        <v>#REF!</v>
      </c>
      <c r="AC1560" s="49"/>
      <c r="AD1560" s="49"/>
    </row>
    <row r="1561" spans="1:30" hidden="1" x14ac:dyDescent="0.3">
      <c r="A1561" s="49" t="s">
        <v>15121</v>
      </c>
      <c r="B1561" s="49">
        <v>0</v>
      </c>
      <c r="C1561" s="49"/>
      <c r="D1561" s="72" t="s">
        <v>717</v>
      </c>
      <c r="E1561" s="49" t="s">
        <v>3754</v>
      </c>
      <c r="F1561" s="49"/>
      <c r="G1561" s="49"/>
      <c r="H1561" s="49" t="s">
        <v>15122</v>
      </c>
      <c r="I1561" s="49" t="s">
        <v>15125</v>
      </c>
      <c r="J1561" s="49" t="s">
        <v>15123</v>
      </c>
      <c r="K1561" s="49" t="s">
        <v>15124</v>
      </c>
      <c r="L1561" s="49">
        <v>0</v>
      </c>
      <c r="M1561" s="49" t="s">
        <v>1817</v>
      </c>
      <c r="N1561" s="49" t="s">
        <v>15126</v>
      </c>
      <c r="O1561" s="49">
        <v>80</v>
      </c>
      <c r="P1561" s="49" t="s">
        <v>15127</v>
      </c>
      <c r="Q1561" s="49">
        <v>0</v>
      </c>
      <c r="R1561" s="49" t="s">
        <v>15128</v>
      </c>
      <c r="S1561" s="49" t="s">
        <v>15129</v>
      </c>
      <c r="T1561" s="49" t="s">
        <v>15130</v>
      </c>
      <c r="U1561" s="49" t="s">
        <v>655</v>
      </c>
      <c r="V1561" s="49" t="e">
        <v>#REF!</v>
      </c>
      <c r="AC1561" s="49"/>
      <c r="AD1561" s="49"/>
    </row>
    <row r="1562" spans="1:30" hidden="1" x14ac:dyDescent="0.3">
      <c r="A1562" s="49" t="s">
        <v>1477</v>
      </c>
      <c r="B1562" s="49">
        <v>0</v>
      </c>
      <c r="C1562" s="49"/>
      <c r="D1562" s="72" t="s">
        <v>717</v>
      </c>
      <c r="E1562" s="49" t="s">
        <v>3754</v>
      </c>
      <c r="F1562" s="49"/>
      <c r="G1562" s="49"/>
      <c r="H1562" s="49" t="s">
        <v>1479</v>
      </c>
      <c r="I1562" s="49" t="s">
        <v>1480</v>
      </c>
      <c r="J1562" s="49" t="s">
        <v>1481</v>
      </c>
      <c r="K1562" s="49" t="s">
        <v>1482</v>
      </c>
      <c r="L1562" s="49">
        <v>0</v>
      </c>
      <c r="M1562" s="49" t="s">
        <v>1826</v>
      </c>
      <c r="N1562" s="49" t="s">
        <v>1483</v>
      </c>
      <c r="O1562" s="49">
        <v>18</v>
      </c>
      <c r="P1562" s="49" t="s">
        <v>1484</v>
      </c>
      <c r="Q1562" s="49">
        <v>0</v>
      </c>
      <c r="R1562" s="49" t="s">
        <v>1485</v>
      </c>
      <c r="S1562" s="49" t="s">
        <v>1486</v>
      </c>
      <c r="T1562" s="49" t="s">
        <v>15131</v>
      </c>
      <c r="U1562" s="49" t="s">
        <v>655</v>
      </c>
      <c r="V1562" s="49" t="e">
        <v>#REF!</v>
      </c>
      <c r="AC1562" s="49"/>
      <c r="AD1562" s="49"/>
    </row>
    <row r="1563" spans="1:30" hidden="1" x14ac:dyDescent="0.3">
      <c r="A1563" s="49" t="s">
        <v>15132</v>
      </c>
      <c r="B1563" s="49">
        <v>0</v>
      </c>
      <c r="C1563" s="49"/>
      <c r="D1563" s="72" t="s">
        <v>717</v>
      </c>
      <c r="E1563" s="49" t="s">
        <v>3754</v>
      </c>
      <c r="F1563" s="49"/>
      <c r="G1563" s="49"/>
      <c r="H1563" s="49" t="s">
        <v>15133</v>
      </c>
      <c r="I1563" s="49" t="s">
        <v>15136</v>
      </c>
      <c r="J1563" s="49" t="s">
        <v>15134</v>
      </c>
      <c r="K1563" s="49" t="s">
        <v>15135</v>
      </c>
      <c r="L1563" s="49">
        <v>0</v>
      </c>
      <c r="M1563" s="49" t="s">
        <v>1817</v>
      </c>
      <c r="N1563" s="49" t="s">
        <v>818</v>
      </c>
      <c r="O1563" s="49">
        <v>13</v>
      </c>
      <c r="P1563" s="49" t="s">
        <v>15137</v>
      </c>
      <c r="Q1563" s="49">
        <v>0</v>
      </c>
      <c r="R1563" s="49" t="s">
        <v>15138</v>
      </c>
      <c r="S1563" s="49" t="s">
        <v>15139</v>
      </c>
      <c r="T1563" s="49" t="s">
        <v>15140</v>
      </c>
      <c r="U1563" s="49" t="s">
        <v>670</v>
      </c>
      <c r="V1563" s="49" t="e">
        <v>#REF!</v>
      </c>
      <c r="AC1563" s="49"/>
      <c r="AD1563" s="49"/>
    </row>
    <row r="1564" spans="1:30" hidden="1" x14ac:dyDescent="0.3">
      <c r="A1564" s="49" t="s">
        <v>15141</v>
      </c>
      <c r="B1564" s="49">
        <v>0</v>
      </c>
      <c r="C1564" s="49"/>
      <c r="D1564" s="72" t="s">
        <v>717</v>
      </c>
      <c r="E1564" s="49" t="s">
        <v>3754</v>
      </c>
      <c r="F1564" s="49"/>
      <c r="G1564" s="49"/>
      <c r="H1564" s="49" t="s">
        <v>15142</v>
      </c>
      <c r="I1564" s="49" t="s">
        <v>15145</v>
      </c>
      <c r="J1564" s="49" t="s">
        <v>15143</v>
      </c>
      <c r="K1564" s="49" t="s">
        <v>15144</v>
      </c>
      <c r="L1564" s="49">
        <v>0</v>
      </c>
      <c r="M1564" s="49" t="s">
        <v>2220</v>
      </c>
      <c r="N1564" s="49" t="s">
        <v>15146</v>
      </c>
      <c r="O1564" s="49">
        <v>24</v>
      </c>
      <c r="P1564" s="49" t="s">
        <v>15147</v>
      </c>
      <c r="Q1564" s="49">
        <v>0</v>
      </c>
      <c r="R1564" s="49" t="s">
        <v>15148</v>
      </c>
      <c r="S1564" s="49" t="s">
        <v>15149</v>
      </c>
      <c r="T1564" s="49" t="s">
        <v>15150</v>
      </c>
      <c r="U1564" s="49" t="s">
        <v>670</v>
      </c>
      <c r="V1564" s="49" t="e">
        <v>#REF!</v>
      </c>
      <c r="AC1564" s="49"/>
      <c r="AD1564" s="49"/>
    </row>
    <row r="1565" spans="1:30" hidden="1" x14ac:dyDescent="0.3">
      <c r="A1565" s="49" t="s">
        <v>975</v>
      </c>
      <c r="B1565" s="49">
        <v>0</v>
      </c>
      <c r="C1565" s="49"/>
      <c r="D1565" s="72" t="s">
        <v>717</v>
      </c>
      <c r="E1565" s="49" t="s">
        <v>3754</v>
      </c>
      <c r="F1565" s="49"/>
      <c r="G1565" s="49"/>
      <c r="H1565" s="49" t="s">
        <v>977</v>
      </c>
      <c r="I1565" s="49" t="s">
        <v>978</v>
      </c>
      <c r="J1565" s="49" t="s">
        <v>4666</v>
      </c>
      <c r="K1565" s="49" t="s">
        <v>980</v>
      </c>
      <c r="L1565" s="49">
        <v>0</v>
      </c>
      <c r="M1565" s="49" t="s">
        <v>1764</v>
      </c>
      <c r="N1565" s="49" t="s">
        <v>982</v>
      </c>
      <c r="O1565" s="49">
        <v>16</v>
      </c>
      <c r="P1565" s="49" t="s">
        <v>983</v>
      </c>
      <c r="Q1565" s="49">
        <v>0</v>
      </c>
      <c r="R1565" s="49" t="s">
        <v>985</v>
      </c>
      <c r="S1565" s="49" t="s">
        <v>986</v>
      </c>
      <c r="T1565" s="49" t="s">
        <v>15151</v>
      </c>
      <c r="U1565" s="49" t="s">
        <v>655</v>
      </c>
      <c r="V1565" s="49" t="e">
        <v>#REF!</v>
      </c>
      <c r="AC1565" s="49"/>
      <c r="AD1565" s="49"/>
    </row>
    <row r="1566" spans="1:30" hidden="1" x14ac:dyDescent="0.3">
      <c r="A1566" s="49" t="s">
        <v>1399</v>
      </c>
      <c r="B1566" s="49">
        <v>0</v>
      </c>
      <c r="C1566" s="49"/>
      <c r="D1566" s="72" t="s">
        <v>717</v>
      </c>
      <c r="E1566" s="49" t="s">
        <v>3754</v>
      </c>
      <c r="F1566" s="49"/>
      <c r="G1566" s="49"/>
      <c r="H1566" s="49" t="s">
        <v>1401</v>
      </c>
      <c r="I1566" s="49" t="s">
        <v>1402</v>
      </c>
      <c r="J1566" s="49" t="s">
        <v>1403</v>
      </c>
      <c r="K1566" s="49" t="s">
        <v>1404</v>
      </c>
      <c r="L1566" s="49">
        <v>0</v>
      </c>
      <c r="M1566" s="49" t="s">
        <v>2636</v>
      </c>
      <c r="N1566" s="49" t="s">
        <v>1406</v>
      </c>
      <c r="O1566" s="49">
        <v>3</v>
      </c>
      <c r="P1566" s="49" t="s">
        <v>1407</v>
      </c>
      <c r="Q1566" s="49">
        <v>0</v>
      </c>
      <c r="R1566" s="49" t="s">
        <v>1409</v>
      </c>
      <c r="S1566" s="49" t="s">
        <v>1410</v>
      </c>
      <c r="T1566" s="49" t="s">
        <v>15152</v>
      </c>
      <c r="U1566" s="49" t="s">
        <v>670</v>
      </c>
      <c r="V1566" s="49" t="e">
        <v>#REF!</v>
      </c>
      <c r="AC1566" s="49"/>
      <c r="AD1566" s="49"/>
    </row>
    <row r="1567" spans="1:30" hidden="1" x14ac:dyDescent="0.3">
      <c r="A1567" s="49" t="s">
        <v>801</v>
      </c>
      <c r="B1567" s="49">
        <v>0</v>
      </c>
      <c r="C1567" s="49"/>
      <c r="D1567" s="72" t="s">
        <v>717</v>
      </c>
      <c r="E1567" s="49" t="s">
        <v>3754</v>
      </c>
      <c r="F1567" s="49"/>
      <c r="G1567" s="49"/>
      <c r="H1567" s="49" t="s">
        <v>803</v>
      </c>
      <c r="I1567" s="49" t="s">
        <v>804</v>
      </c>
      <c r="J1567" s="49" t="s">
        <v>15153</v>
      </c>
      <c r="K1567" s="49" t="s">
        <v>806</v>
      </c>
      <c r="L1567" s="49">
        <v>0</v>
      </c>
      <c r="M1567" s="49" t="s">
        <v>2484</v>
      </c>
      <c r="N1567" s="49" t="s">
        <v>807</v>
      </c>
      <c r="O1567" s="49">
        <v>12</v>
      </c>
      <c r="P1567" s="49" t="s">
        <v>808</v>
      </c>
      <c r="Q1567" s="49">
        <v>0</v>
      </c>
      <c r="R1567" s="49" t="s">
        <v>809</v>
      </c>
      <c r="S1567" s="49" t="s">
        <v>810</v>
      </c>
      <c r="T1567" s="49" t="s">
        <v>15154</v>
      </c>
      <c r="U1567" s="49" t="s">
        <v>655</v>
      </c>
      <c r="V1567" s="49" t="e">
        <v>#REF!</v>
      </c>
      <c r="AC1567" s="49"/>
      <c r="AD1567" s="49"/>
    </row>
    <row r="1568" spans="1:30" hidden="1" x14ac:dyDescent="0.3">
      <c r="A1568" s="49" t="s">
        <v>15155</v>
      </c>
      <c r="B1568" s="49">
        <v>0</v>
      </c>
      <c r="C1568" s="49"/>
      <c r="D1568" s="72" t="s">
        <v>717</v>
      </c>
      <c r="E1568" s="49" t="s">
        <v>3754</v>
      </c>
      <c r="F1568" s="49"/>
      <c r="G1568" s="49"/>
      <c r="H1568" s="49" t="s">
        <v>15156</v>
      </c>
      <c r="I1568" s="49" t="s">
        <v>15159</v>
      </c>
      <c r="J1568" s="49" t="s">
        <v>15157</v>
      </c>
      <c r="K1568" s="49" t="s">
        <v>15158</v>
      </c>
      <c r="L1568" s="49">
        <v>0</v>
      </c>
      <c r="M1568" s="49" t="s">
        <v>4114</v>
      </c>
      <c r="N1568" s="49" t="s">
        <v>708</v>
      </c>
      <c r="O1568" s="49">
        <v>16</v>
      </c>
      <c r="P1568" s="49" t="s">
        <v>15160</v>
      </c>
      <c r="Q1568" s="49">
        <v>0</v>
      </c>
      <c r="R1568" s="49" t="s">
        <v>15161</v>
      </c>
      <c r="S1568" s="49" t="s">
        <v>15162</v>
      </c>
      <c r="T1568" s="49" t="s">
        <v>15163</v>
      </c>
      <c r="U1568" s="49" t="s">
        <v>655</v>
      </c>
      <c r="V1568" s="49" t="e">
        <v>#REF!</v>
      </c>
      <c r="AC1568" s="49"/>
      <c r="AD1568" s="49"/>
    </row>
    <row r="1569" spans="1:30" hidden="1" x14ac:dyDescent="0.3">
      <c r="A1569" s="49" t="s">
        <v>15164</v>
      </c>
      <c r="B1569" s="49">
        <v>0</v>
      </c>
      <c r="C1569" s="49"/>
      <c r="D1569" s="72" t="s">
        <v>717</v>
      </c>
      <c r="E1569" s="49" t="s">
        <v>3754</v>
      </c>
      <c r="F1569" s="49"/>
      <c r="G1569" s="49"/>
      <c r="H1569" s="49" t="s">
        <v>15165</v>
      </c>
      <c r="I1569" s="49" t="s">
        <v>15168</v>
      </c>
      <c r="J1569" s="49" t="s">
        <v>15166</v>
      </c>
      <c r="K1569" s="49" t="s">
        <v>15167</v>
      </c>
      <c r="L1569" s="49">
        <v>0</v>
      </c>
      <c r="M1569" s="49" t="s">
        <v>1777</v>
      </c>
      <c r="N1569" s="49" t="s">
        <v>15169</v>
      </c>
      <c r="O1569" s="49">
        <v>2</v>
      </c>
      <c r="P1569" s="49" t="s">
        <v>15170</v>
      </c>
      <c r="Q1569" s="49">
        <v>0</v>
      </c>
      <c r="R1569" s="49" t="s">
        <v>15171</v>
      </c>
      <c r="S1569" s="49" t="s">
        <v>15172</v>
      </c>
      <c r="T1569" s="49" t="s">
        <v>15173</v>
      </c>
      <c r="U1569" s="49" t="s">
        <v>670</v>
      </c>
      <c r="V1569" s="49" t="e">
        <v>#REF!</v>
      </c>
      <c r="AC1569" s="49"/>
      <c r="AD1569" s="49"/>
    </row>
    <row r="1570" spans="1:30" hidden="1" x14ac:dyDescent="0.3">
      <c r="A1570" s="49" t="s">
        <v>15174</v>
      </c>
      <c r="B1570" s="49">
        <v>0</v>
      </c>
      <c r="C1570" s="49"/>
      <c r="D1570" s="72" t="s">
        <v>717</v>
      </c>
      <c r="E1570" s="49" t="s">
        <v>3754</v>
      </c>
      <c r="F1570" s="49"/>
      <c r="G1570" s="49"/>
      <c r="H1570" s="49" t="s">
        <v>15175</v>
      </c>
      <c r="I1570" s="49" t="s">
        <v>15178</v>
      </c>
      <c r="J1570" s="49" t="s">
        <v>15176</v>
      </c>
      <c r="K1570" s="49" t="s">
        <v>15177</v>
      </c>
      <c r="L1570" s="49">
        <v>0</v>
      </c>
      <c r="M1570" s="49" t="s">
        <v>1865</v>
      </c>
      <c r="N1570" s="49" t="s">
        <v>15179</v>
      </c>
      <c r="P1570" s="49" t="s">
        <v>15180</v>
      </c>
      <c r="Q1570" s="49">
        <v>0</v>
      </c>
      <c r="R1570" s="49" t="s">
        <v>15181</v>
      </c>
      <c r="S1570" s="49" t="s">
        <v>15182</v>
      </c>
      <c r="T1570" s="49" t="s">
        <v>15183</v>
      </c>
      <c r="U1570" s="49" t="s">
        <v>646</v>
      </c>
      <c r="V1570" s="49" t="e">
        <v>#REF!</v>
      </c>
      <c r="AC1570" s="49"/>
      <c r="AD1570" s="49"/>
    </row>
    <row r="1571" spans="1:30" hidden="1" x14ac:dyDescent="0.3">
      <c r="A1571" s="49" t="s">
        <v>15184</v>
      </c>
      <c r="B1571" s="49">
        <v>0</v>
      </c>
      <c r="C1571" s="49"/>
      <c r="D1571" s="72" t="s">
        <v>717</v>
      </c>
      <c r="E1571" s="49" t="s">
        <v>3754</v>
      </c>
      <c r="F1571" s="49"/>
      <c r="G1571" s="49"/>
      <c r="H1571" s="49" t="s">
        <v>15185</v>
      </c>
      <c r="I1571" s="49" t="s">
        <v>15188</v>
      </c>
      <c r="J1571" s="49" t="s">
        <v>15186</v>
      </c>
      <c r="K1571" s="49" t="s">
        <v>15187</v>
      </c>
      <c r="L1571" s="49">
        <v>0</v>
      </c>
      <c r="M1571" s="49" t="s">
        <v>1764</v>
      </c>
      <c r="N1571" s="49" t="s">
        <v>15189</v>
      </c>
      <c r="O1571" s="49">
        <v>20</v>
      </c>
      <c r="P1571" s="49" t="s">
        <v>15190</v>
      </c>
      <c r="Q1571" s="49">
        <v>0</v>
      </c>
      <c r="R1571" s="49" t="s">
        <v>15191</v>
      </c>
      <c r="S1571" s="49" t="s">
        <v>15192</v>
      </c>
      <c r="T1571" s="49" t="s">
        <v>15193</v>
      </c>
      <c r="U1571" s="49" t="s">
        <v>655</v>
      </c>
      <c r="V1571" s="49" t="e">
        <v>#REF!</v>
      </c>
      <c r="AC1571" s="49"/>
      <c r="AD1571" s="49"/>
    </row>
    <row r="1572" spans="1:30" hidden="1" x14ac:dyDescent="0.3">
      <c r="A1572" s="49" t="s">
        <v>15194</v>
      </c>
      <c r="B1572" s="49">
        <v>0</v>
      </c>
      <c r="C1572" s="49"/>
      <c r="D1572" s="72" t="s">
        <v>717</v>
      </c>
      <c r="E1572" s="49" t="s">
        <v>3754</v>
      </c>
      <c r="F1572" s="49"/>
      <c r="G1572" s="49"/>
      <c r="H1572" s="49" t="s">
        <v>15195</v>
      </c>
      <c r="I1572" s="49" t="s">
        <v>15198</v>
      </c>
      <c r="J1572" s="49" t="s">
        <v>15196</v>
      </c>
      <c r="K1572" s="49" t="s">
        <v>15197</v>
      </c>
      <c r="L1572" s="49">
        <v>0</v>
      </c>
      <c r="M1572" s="49" t="s">
        <v>1865</v>
      </c>
      <c r="N1572" s="49" t="s">
        <v>13184</v>
      </c>
      <c r="O1572" s="49">
        <v>3</v>
      </c>
      <c r="P1572" s="49" t="s">
        <v>15199</v>
      </c>
      <c r="Q1572" s="49">
        <v>0</v>
      </c>
      <c r="R1572" s="49" t="s">
        <v>15200</v>
      </c>
      <c r="S1572" s="49" t="s">
        <v>15201</v>
      </c>
      <c r="T1572" s="49" t="s">
        <v>15202</v>
      </c>
      <c r="U1572" s="49" t="s">
        <v>655</v>
      </c>
      <c r="V1572" s="49" t="e">
        <v>#REF!</v>
      </c>
      <c r="AC1572" s="49"/>
      <c r="AD1572" s="49"/>
    </row>
    <row r="1573" spans="1:30" hidden="1" x14ac:dyDescent="0.3">
      <c r="A1573" s="49" t="s">
        <v>15203</v>
      </c>
      <c r="B1573" s="49">
        <v>0</v>
      </c>
      <c r="C1573" s="49"/>
      <c r="D1573" s="72" t="s">
        <v>717</v>
      </c>
      <c r="E1573" s="49" t="s">
        <v>3754</v>
      </c>
      <c r="F1573" s="49"/>
      <c r="G1573" s="49"/>
      <c r="H1573" s="49" t="s">
        <v>15204</v>
      </c>
      <c r="I1573" s="49" t="s">
        <v>15207</v>
      </c>
      <c r="J1573" s="49" t="s">
        <v>15205</v>
      </c>
      <c r="K1573" s="49" t="s">
        <v>15206</v>
      </c>
      <c r="L1573" s="49">
        <v>0</v>
      </c>
      <c r="M1573" s="49" t="s">
        <v>2220</v>
      </c>
      <c r="N1573" s="49" t="s">
        <v>4801</v>
      </c>
      <c r="O1573" s="49">
        <v>3</v>
      </c>
      <c r="P1573" s="49" t="s">
        <v>15208</v>
      </c>
      <c r="Q1573" s="49">
        <v>0</v>
      </c>
      <c r="R1573" s="49" t="s">
        <v>15209</v>
      </c>
      <c r="S1573" s="49" t="s">
        <v>15210</v>
      </c>
      <c r="T1573" s="49" t="s">
        <v>15211</v>
      </c>
      <c r="U1573" s="49" t="s">
        <v>670</v>
      </c>
      <c r="V1573" s="49" t="e">
        <v>#REF!</v>
      </c>
      <c r="AC1573" s="49"/>
      <c r="AD1573" s="49"/>
    </row>
    <row r="1574" spans="1:30" hidden="1" x14ac:dyDescent="0.3">
      <c r="A1574" s="49" t="s">
        <v>15212</v>
      </c>
      <c r="B1574" s="49">
        <v>0</v>
      </c>
      <c r="C1574" s="49"/>
      <c r="D1574" s="72" t="s">
        <v>717</v>
      </c>
      <c r="E1574" s="49" t="s">
        <v>3754</v>
      </c>
      <c r="F1574" s="49"/>
      <c r="G1574" s="49"/>
      <c r="H1574" s="49" t="s">
        <v>15213</v>
      </c>
      <c r="I1574" s="49" t="s">
        <v>15216</v>
      </c>
      <c r="J1574" s="49" t="s">
        <v>15214</v>
      </c>
      <c r="K1574" s="49" t="s">
        <v>15215</v>
      </c>
      <c r="L1574" s="49">
        <v>0</v>
      </c>
      <c r="M1574" s="49" t="s">
        <v>2484</v>
      </c>
      <c r="N1574" s="49" t="s">
        <v>11160</v>
      </c>
      <c r="O1574" s="49">
        <v>114</v>
      </c>
      <c r="P1574" s="49" t="s">
        <v>15217</v>
      </c>
      <c r="Q1574" s="49">
        <v>0</v>
      </c>
      <c r="R1574" s="49" t="s">
        <v>15218</v>
      </c>
      <c r="S1574" s="49" t="s">
        <v>15219</v>
      </c>
      <c r="T1574" s="49" t="s">
        <v>646</v>
      </c>
      <c r="U1574" s="49" t="s">
        <v>791</v>
      </c>
      <c r="V1574" s="49" t="e">
        <v>#REF!</v>
      </c>
      <c r="AC1574" s="49"/>
      <c r="AD1574" s="49"/>
    </row>
    <row r="1575" spans="1:30" hidden="1" x14ac:dyDescent="0.3">
      <c r="A1575" s="49" t="s">
        <v>1094</v>
      </c>
      <c r="B1575" s="49">
        <v>0</v>
      </c>
      <c r="C1575" s="49"/>
      <c r="D1575" s="72" t="s">
        <v>717</v>
      </c>
      <c r="E1575" s="49" t="s">
        <v>3754</v>
      </c>
      <c r="F1575" s="49"/>
      <c r="G1575" s="49"/>
      <c r="H1575" s="49" t="s">
        <v>1096</v>
      </c>
      <c r="I1575" s="49" t="s">
        <v>1097</v>
      </c>
      <c r="J1575" s="49" t="s">
        <v>1098</v>
      </c>
      <c r="K1575" s="49" t="s">
        <v>1099</v>
      </c>
      <c r="L1575" s="49">
        <v>0</v>
      </c>
      <c r="M1575" s="49" t="s">
        <v>2142</v>
      </c>
      <c r="N1575" s="49" t="s">
        <v>1100</v>
      </c>
      <c r="O1575" s="49">
        <v>6</v>
      </c>
      <c r="P1575" s="49" t="s">
        <v>1101</v>
      </c>
      <c r="Q1575" s="49">
        <v>0</v>
      </c>
      <c r="R1575" s="49" t="s">
        <v>1102</v>
      </c>
      <c r="S1575" s="49" t="s">
        <v>1103</v>
      </c>
      <c r="T1575" s="49" t="s">
        <v>646</v>
      </c>
      <c r="U1575" s="49" t="s">
        <v>655</v>
      </c>
      <c r="V1575" s="49" t="e">
        <v>#REF!</v>
      </c>
      <c r="AC1575" s="49"/>
      <c r="AD1575" s="49"/>
    </row>
    <row r="1576" spans="1:30" hidden="1" x14ac:dyDescent="0.3">
      <c r="A1576" s="49" t="s">
        <v>15220</v>
      </c>
      <c r="B1576" s="49">
        <v>0</v>
      </c>
      <c r="C1576" s="49"/>
      <c r="D1576" s="72" t="s">
        <v>717</v>
      </c>
      <c r="E1576" s="49" t="s">
        <v>3754</v>
      </c>
      <c r="F1576" s="49"/>
      <c r="G1576" s="49"/>
      <c r="H1576" s="49" t="s">
        <v>15221</v>
      </c>
      <c r="I1576" s="49" t="s">
        <v>15224</v>
      </c>
      <c r="J1576" s="49" t="s">
        <v>15222</v>
      </c>
      <c r="K1576" s="49" t="s">
        <v>15223</v>
      </c>
      <c r="L1576" s="49">
        <v>0</v>
      </c>
      <c r="M1576" s="49" t="s">
        <v>2142</v>
      </c>
      <c r="N1576" s="49" t="s">
        <v>2239</v>
      </c>
      <c r="O1576" s="49">
        <v>65</v>
      </c>
      <c r="P1576" s="49" t="s">
        <v>15225</v>
      </c>
      <c r="Q1576" s="49">
        <v>0</v>
      </c>
      <c r="R1576" s="49" t="s">
        <v>15226</v>
      </c>
      <c r="S1576" s="49" t="s">
        <v>15227</v>
      </c>
      <c r="T1576" s="49" t="s">
        <v>646</v>
      </c>
      <c r="U1576" s="49" t="s">
        <v>670</v>
      </c>
      <c r="V1576" s="49" t="e">
        <v>#REF!</v>
      </c>
      <c r="AC1576" s="49"/>
      <c r="AD1576" s="49"/>
    </row>
    <row r="1577" spans="1:30" hidden="1" x14ac:dyDescent="0.3">
      <c r="A1577" s="49" t="s">
        <v>15228</v>
      </c>
      <c r="B1577" s="49">
        <v>0</v>
      </c>
      <c r="C1577" s="49"/>
      <c r="D1577" s="72" t="s">
        <v>717</v>
      </c>
      <c r="E1577" s="49" t="s">
        <v>3754</v>
      </c>
      <c r="F1577" s="49"/>
      <c r="G1577" s="49"/>
      <c r="H1577" s="49" t="s">
        <v>15229</v>
      </c>
      <c r="I1577" s="49" t="s">
        <v>15232</v>
      </c>
      <c r="J1577" s="49" t="s">
        <v>15230</v>
      </c>
      <c r="K1577" s="49" t="s">
        <v>15231</v>
      </c>
      <c r="L1577" s="49">
        <v>0</v>
      </c>
      <c r="M1577" s="49" t="s">
        <v>1826</v>
      </c>
      <c r="N1577" s="49" t="s">
        <v>15233</v>
      </c>
      <c r="O1577" s="49">
        <v>1</v>
      </c>
      <c r="P1577" s="49" t="s">
        <v>15234</v>
      </c>
      <c r="Q1577" s="49">
        <v>0</v>
      </c>
      <c r="R1577" s="49" t="s">
        <v>15235</v>
      </c>
      <c r="S1577" s="49" t="s">
        <v>15236</v>
      </c>
      <c r="T1577" s="49" t="s">
        <v>15237</v>
      </c>
      <c r="U1577" s="49" t="s">
        <v>655</v>
      </c>
      <c r="V1577" s="49" t="e">
        <v>#REF!</v>
      </c>
      <c r="AC1577" s="49"/>
      <c r="AD1577" s="49"/>
    </row>
    <row r="1578" spans="1:30" hidden="1" x14ac:dyDescent="0.3">
      <c r="A1578" s="49" t="s">
        <v>15238</v>
      </c>
      <c r="B1578" s="49">
        <v>0</v>
      </c>
      <c r="C1578" s="49"/>
      <c r="D1578" s="72" t="s">
        <v>717</v>
      </c>
      <c r="E1578" s="49" t="s">
        <v>3754</v>
      </c>
      <c r="F1578" s="49"/>
      <c r="G1578" s="49"/>
      <c r="H1578" s="49" t="s">
        <v>15239</v>
      </c>
      <c r="I1578" s="49" t="s">
        <v>11448</v>
      </c>
      <c r="J1578" s="49" t="s">
        <v>11446</v>
      </c>
      <c r="K1578" s="49" t="s">
        <v>15240</v>
      </c>
      <c r="L1578" s="49">
        <v>0</v>
      </c>
      <c r="M1578" s="49" t="s">
        <v>3570</v>
      </c>
      <c r="N1578" s="49" t="s">
        <v>15241</v>
      </c>
      <c r="O1578" s="49">
        <v>6</v>
      </c>
      <c r="P1578" s="49" t="s">
        <v>15242</v>
      </c>
      <c r="Q1578" s="49">
        <v>0</v>
      </c>
      <c r="R1578" s="49" t="s">
        <v>15243</v>
      </c>
      <c r="S1578" s="49" t="s">
        <v>15244</v>
      </c>
      <c r="T1578" s="49" t="s">
        <v>15245</v>
      </c>
      <c r="U1578" s="49" t="s">
        <v>670</v>
      </c>
      <c r="V1578" s="49" t="e">
        <v>#REF!</v>
      </c>
      <c r="AC1578" s="49"/>
      <c r="AD1578" s="49"/>
    </row>
    <row r="1579" spans="1:30" hidden="1" x14ac:dyDescent="0.3">
      <c r="A1579" s="49" t="s">
        <v>15246</v>
      </c>
      <c r="B1579" s="49">
        <v>0</v>
      </c>
      <c r="C1579" s="49"/>
      <c r="D1579" s="72" t="s">
        <v>717</v>
      </c>
      <c r="E1579" s="49" t="s">
        <v>3754</v>
      </c>
      <c r="F1579" s="49"/>
      <c r="G1579" s="49"/>
      <c r="H1579" s="49" t="s">
        <v>15247</v>
      </c>
      <c r="I1579" s="49" t="s">
        <v>15250</v>
      </c>
      <c r="J1579" s="49" t="s">
        <v>15248</v>
      </c>
      <c r="K1579" s="49" t="s">
        <v>15249</v>
      </c>
      <c r="L1579" s="49">
        <v>0</v>
      </c>
      <c r="M1579" s="49" t="s">
        <v>1777</v>
      </c>
      <c r="N1579" s="49" t="s">
        <v>15251</v>
      </c>
      <c r="P1579" s="49" t="s">
        <v>15252</v>
      </c>
      <c r="Q1579" s="49">
        <v>0</v>
      </c>
      <c r="R1579" s="49" t="s">
        <v>15253</v>
      </c>
      <c r="S1579" s="49" t="s">
        <v>15254</v>
      </c>
      <c r="T1579" s="49" t="s">
        <v>646</v>
      </c>
      <c r="U1579" s="49" t="s">
        <v>670</v>
      </c>
      <c r="V1579" s="49" t="e">
        <v>#REF!</v>
      </c>
      <c r="AC1579" s="49"/>
      <c r="AD1579" s="49"/>
    </row>
    <row r="1580" spans="1:30" hidden="1" x14ac:dyDescent="0.3">
      <c r="A1580" s="49" t="s">
        <v>15255</v>
      </c>
      <c r="B1580" s="49">
        <v>0</v>
      </c>
      <c r="C1580" s="49"/>
      <c r="D1580" s="72" t="s">
        <v>717</v>
      </c>
      <c r="E1580" s="49" t="s">
        <v>3754</v>
      </c>
      <c r="F1580" s="49"/>
      <c r="G1580" s="49"/>
      <c r="H1580" s="49" t="s">
        <v>15256</v>
      </c>
      <c r="I1580" s="49" t="s">
        <v>15259</v>
      </c>
      <c r="J1580" s="49" t="s">
        <v>15257</v>
      </c>
      <c r="K1580" s="49" t="s">
        <v>15258</v>
      </c>
      <c r="L1580" s="49">
        <v>0</v>
      </c>
      <c r="M1580" s="49" t="s">
        <v>1764</v>
      </c>
      <c r="N1580" s="49" t="s">
        <v>2239</v>
      </c>
      <c r="O1580" s="49">
        <v>17</v>
      </c>
      <c r="P1580" s="49" t="s">
        <v>15260</v>
      </c>
      <c r="Q1580" s="49">
        <v>0</v>
      </c>
      <c r="R1580" s="49" t="s">
        <v>15261</v>
      </c>
      <c r="S1580" s="49" t="s">
        <v>15262</v>
      </c>
      <c r="T1580" s="49" t="s">
        <v>646</v>
      </c>
      <c r="U1580" s="49" t="s">
        <v>670</v>
      </c>
      <c r="V1580" s="49" t="e">
        <v>#REF!</v>
      </c>
      <c r="AC1580" s="49"/>
      <c r="AD1580" s="49"/>
    </row>
    <row r="1581" spans="1:30" hidden="1" x14ac:dyDescent="0.3">
      <c r="A1581" s="49" t="s">
        <v>15263</v>
      </c>
      <c r="B1581" s="49">
        <v>0</v>
      </c>
      <c r="C1581" s="49"/>
      <c r="D1581" s="72" t="s">
        <v>717</v>
      </c>
      <c r="E1581" s="49" t="s">
        <v>3754</v>
      </c>
      <c r="F1581" s="49"/>
      <c r="G1581" s="49"/>
      <c r="H1581" s="49" t="s">
        <v>15264</v>
      </c>
      <c r="I1581" s="49" t="s">
        <v>15267</v>
      </c>
      <c r="J1581" s="49" t="s">
        <v>15265</v>
      </c>
      <c r="K1581" s="49" t="s">
        <v>15266</v>
      </c>
      <c r="L1581" s="49">
        <v>0</v>
      </c>
      <c r="M1581" s="49" t="s">
        <v>4156</v>
      </c>
      <c r="N1581" s="49" t="s">
        <v>15268</v>
      </c>
      <c r="O1581" s="49">
        <v>5</v>
      </c>
      <c r="P1581" s="49" t="s">
        <v>15269</v>
      </c>
      <c r="Q1581" s="49">
        <v>0</v>
      </c>
      <c r="R1581" s="49" t="s">
        <v>15270</v>
      </c>
      <c r="S1581" s="49" t="s">
        <v>15271</v>
      </c>
      <c r="T1581" s="49" t="s">
        <v>15272</v>
      </c>
      <c r="U1581" s="49" t="s">
        <v>670</v>
      </c>
      <c r="V1581" s="49" t="e">
        <v>#REF!</v>
      </c>
      <c r="AC1581" s="49"/>
      <c r="AD1581" s="49"/>
    </row>
    <row r="1582" spans="1:30" hidden="1" x14ac:dyDescent="0.3">
      <c r="A1582" s="49" t="s">
        <v>15273</v>
      </c>
      <c r="B1582" s="49">
        <v>0</v>
      </c>
      <c r="C1582" s="49"/>
      <c r="D1582" s="72" t="s">
        <v>717</v>
      </c>
      <c r="E1582" s="49" t="s">
        <v>3754</v>
      </c>
      <c r="F1582" s="49"/>
      <c r="G1582" s="49"/>
      <c r="H1582" s="49" t="s">
        <v>15274</v>
      </c>
      <c r="I1582" s="49" t="s">
        <v>15277</v>
      </c>
      <c r="J1582" s="49" t="s">
        <v>15275</v>
      </c>
      <c r="K1582" s="49" t="s">
        <v>15276</v>
      </c>
      <c r="L1582" s="49">
        <v>0</v>
      </c>
      <c r="M1582" s="49" t="s">
        <v>1764</v>
      </c>
      <c r="N1582" s="49" t="s">
        <v>11595</v>
      </c>
      <c r="O1582" s="49">
        <v>37</v>
      </c>
      <c r="P1582" s="49" t="s">
        <v>15278</v>
      </c>
      <c r="Q1582" s="49">
        <v>0</v>
      </c>
      <c r="R1582" s="49" t="s">
        <v>15279</v>
      </c>
      <c r="S1582" s="49" t="s">
        <v>15280</v>
      </c>
      <c r="T1582" s="49" t="s">
        <v>646</v>
      </c>
      <c r="U1582" s="49" t="s">
        <v>670</v>
      </c>
      <c r="V1582" s="49" t="e">
        <v>#REF!</v>
      </c>
      <c r="AC1582" s="49"/>
      <c r="AD1582" s="49"/>
    </row>
    <row r="1583" spans="1:30" hidden="1" x14ac:dyDescent="0.3">
      <c r="A1583" s="49" t="s">
        <v>15281</v>
      </c>
      <c r="B1583" s="49">
        <v>0</v>
      </c>
      <c r="C1583" s="49"/>
      <c r="D1583" s="72" t="s">
        <v>717</v>
      </c>
      <c r="E1583" s="49" t="s">
        <v>3754</v>
      </c>
      <c r="F1583" s="49"/>
      <c r="G1583" s="49"/>
      <c r="H1583" s="49" t="s">
        <v>15282</v>
      </c>
      <c r="I1583" s="49" t="s">
        <v>15285</v>
      </c>
      <c r="J1583" s="49" t="s">
        <v>15283</v>
      </c>
      <c r="K1583" s="49" t="s">
        <v>15284</v>
      </c>
      <c r="L1583" s="49">
        <v>0</v>
      </c>
      <c r="M1583" s="49" t="s">
        <v>1764</v>
      </c>
      <c r="N1583" s="49" t="s">
        <v>687</v>
      </c>
      <c r="O1583" s="49">
        <v>1</v>
      </c>
      <c r="P1583" s="49" t="s">
        <v>15286</v>
      </c>
      <c r="Q1583" s="49">
        <v>0</v>
      </c>
      <c r="R1583" s="49" t="s">
        <v>15287</v>
      </c>
      <c r="S1583" s="49" t="s">
        <v>15288</v>
      </c>
      <c r="T1583" s="49" t="s">
        <v>646</v>
      </c>
      <c r="U1583" s="49" t="s">
        <v>670</v>
      </c>
      <c r="V1583" s="49" t="e">
        <v>#REF!</v>
      </c>
      <c r="AC1583" s="49"/>
      <c r="AD1583" s="49"/>
    </row>
    <row r="1584" spans="1:30" hidden="1" x14ac:dyDescent="0.3">
      <c r="A1584" s="49" t="s">
        <v>15289</v>
      </c>
      <c r="B1584" s="49">
        <v>0</v>
      </c>
      <c r="C1584" s="49"/>
      <c r="D1584" s="72" t="s">
        <v>717</v>
      </c>
      <c r="E1584" s="49" t="s">
        <v>3754</v>
      </c>
      <c r="F1584" s="49"/>
      <c r="G1584" s="49"/>
      <c r="H1584" s="49" t="s">
        <v>15290</v>
      </c>
      <c r="I1584" s="49" t="s">
        <v>15293</v>
      </c>
      <c r="J1584" s="49" t="s">
        <v>15291</v>
      </c>
      <c r="K1584" s="49" t="s">
        <v>15292</v>
      </c>
      <c r="L1584" s="49">
        <v>0</v>
      </c>
      <c r="M1584" s="49" t="s">
        <v>3570</v>
      </c>
      <c r="N1584" s="49" t="s">
        <v>818</v>
      </c>
      <c r="O1584" s="49">
        <v>3</v>
      </c>
      <c r="P1584" s="49" t="s">
        <v>15294</v>
      </c>
      <c r="Q1584" s="49">
        <v>0</v>
      </c>
      <c r="R1584" s="49" t="s">
        <v>15295</v>
      </c>
      <c r="S1584" s="49" t="s">
        <v>15296</v>
      </c>
      <c r="T1584" s="49" t="s">
        <v>15297</v>
      </c>
      <c r="U1584" s="49" t="s">
        <v>670</v>
      </c>
      <c r="V1584" s="49" t="e">
        <v>#REF!</v>
      </c>
      <c r="AC1584" s="49"/>
      <c r="AD1584" s="49"/>
    </row>
    <row r="1585" spans="1:30" hidden="1" x14ac:dyDescent="0.3">
      <c r="A1585" s="49" t="s">
        <v>15298</v>
      </c>
      <c r="B1585" s="49">
        <v>0</v>
      </c>
      <c r="C1585" s="49"/>
      <c r="D1585" s="72" t="s">
        <v>717</v>
      </c>
      <c r="E1585" s="49" t="s">
        <v>3754</v>
      </c>
      <c r="F1585" s="49"/>
      <c r="G1585" s="49"/>
      <c r="H1585" s="49" t="s">
        <v>15299</v>
      </c>
      <c r="I1585" s="49" t="s">
        <v>15302</v>
      </c>
      <c r="J1585" s="49" t="s">
        <v>15300</v>
      </c>
      <c r="K1585" s="49" t="s">
        <v>15301</v>
      </c>
      <c r="L1585" s="49">
        <v>0</v>
      </c>
      <c r="M1585" s="49" t="s">
        <v>4114</v>
      </c>
      <c r="N1585" s="49" t="s">
        <v>15303</v>
      </c>
      <c r="O1585" s="49">
        <v>34</v>
      </c>
      <c r="P1585" s="49" t="s">
        <v>15304</v>
      </c>
      <c r="Q1585" s="49">
        <v>0</v>
      </c>
      <c r="R1585" s="49" t="s">
        <v>15305</v>
      </c>
      <c r="S1585" s="49" t="s">
        <v>15306</v>
      </c>
      <c r="T1585" s="49" t="s">
        <v>646</v>
      </c>
      <c r="U1585" s="49" t="s">
        <v>670</v>
      </c>
      <c r="V1585" s="49" t="e">
        <v>#REF!</v>
      </c>
      <c r="AC1585" s="49"/>
      <c r="AD1585" s="49"/>
    </row>
    <row r="1586" spans="1:30" hidden="1" x14ac:dyDescent="0.3">
      <c r="A1586" s="49" t="s">
        <v>1020</v>
      </c>
      <c r="B1586" s="49">
        <v>0</v>
      </c>
      <c r="C1586" s="49"/>
      <c r="D1586" s="72" t="s">
        <v>717</v>
      </c>
      <c r="E1586" s="49" t="s">
        <v>3754</v>
      </c>
      <c r="F1586" s="49"/>
      <c r="G1586" s="49"/>
      <c r="H1586" s="49" t="s">
        <v>1022</v>
      </c>
      <c r="I1586" s="49" t="s">
        <v>1023</v>
      </c>
      <c r="J1586" s="49" t="s">
        <v>1024</v>
      </c>
      <c r="K1586" s="49" t="s">
        <v>1025</v>
      </c>
      <c r="L1586" s="49">
        <v>0</v>
      </c>
      <c r="M1586" s="49" t="s">
        <v>4114</v>
      </c>
      <c r="N1586" s="49" t="s">
        <v>1027</v>
      </c>
      <c r="O1586" s="49">
        <v>11</v>
      </c>
      <c r="P1586" s="49" t="s">
        <v>1028</v>
      </c>
      <c r="Q1586" s="49">
        <v>0</v>
      </c>
      <c r="R1586" s="49" t="s">
        <v>1030</v>
      </c>
      <c r="S1586" s="49" t="s">
        <v>1031</v>
      </c>
      <c r="T1586" s="49" t="s">
        <v>646</v>
      </c>
      <c r="U1586" s="49" t="s">
        <v>670</v>
      </c>
      <c r="V1586" s="49" t="e">
        <v>#REF!</v>
      </c>
      <c r="AC1586" s="49"/>
      <c r="AD1586" s="49"/>
    </row>
    <row r="1587" spans="1:30" hidden="1" x14ac:dyDescent="0.3">
      <c r="A1587" s="49" t="s">
        <v>15307</v>
      </c>
      <c r="B1587" s="49">
        <v>0</v>
      </c>
      <c r="C1587" s="49"/>
      <c r="D1587" s="72" t="s">
        <v>717</v>
      </c>
      <c r="E1587" s="49" t="s">
        <v>3754</v>
      </c>
      <c r="F1587" s="49"/>
      <c r="G1587" s="49"/>
      <c r="H1587" s="49" t="s">
        <v>15308</v>
      </c>
      <c r="I1587" s="49" t="s">
        <v>1073</v>
      </c>
      <c r="J1587" s="49" t="s">
        <v>1074</v>
      </c>
      <c r="K1587" s="49" t="s">
        <v>15309</v>
      </c>
      <c r="L1587" s="49">
        <v>0</v>
      </c>
      <c r="M1587" s="49" t="s">
        <v>2142</v>
      </c>
      <c r="N1587" s="49" t="s">
        <v>15310</v>
      </c>
      <c r="O1587" s="49">
        <v>1</v>
      </c>
      <c r="P1587" s="49" t="s">
        <v>15311</v>
      </c>
      <c r="Q1587" s="49">
        <v>0</v>
      </c>
      <c r="R1587" s="49" t="s">
        <v>15312</v>
      </c>
      <c r="S1587" s="49" t="s">
        <v>15313</v>
      </c>
      <c r="T1587" s="49" t="s">
        <v>646</v>
      </c>
      <c r="U1587" s="49" t="s">
        <v>670</v>
      </c>
      <c r="V1587" s="49" t="e">
        <v>#REF!</v>
      </c>
      <c r="AC1587" s="49"/>
      <c r="AD1587" s="49"/>
    </row>
    <row r="1588" spans="1:30" hidden="1" x14ac:dyDescent="0.3">
      <c r="A1588" s="49" t="s">
        <v>1325</v>
      </c>
      <c r="B1588" s="49">
        <v>0</v>
      </c>
      <c r="C1588" s="49"/>
      <c r="D1588" s="72" t="s">
        <v>717</v>
      </c>
      <c r="E1588" s="49" t="s">
        <v>3754</v>
      </c>
      <c r="F1588" s="49"/>
      <c r="G1588" s="49"/>
      <c r="H1588" s="49" t="s">
        <v>1327</v>
      </c>
      <c r="I1588" s="49" t="s">
        <v>1328</v>
      </c>
      <c r="J1588" s="49" t="s">
        <v>1329</v>
      </c>
      <c r="K1588" s="49" t="s">
        <v>1330</v>
      </c>
      <c r="L1588" s="49">
        <v>0</v>
      </c>
      <c r="M1588" s="49" t="s">
        <v>1865</v>
      </c>
      <c r="N1588" s="49" t="s">
        <v>982</v>
      </c>
      <c r="O1588" s="49">
        <v>16</v>
      </c>
      <c r="P1588" s="49" t="s">
        <v>1331</v>
      </c>
      <c r="Q1588" s="49">
        <v>0</v>
      </c>
      <c r="R1588" s="49" t="s">
        <v>1332</v>
      </c>
      <c r="S1588" s="49" t="s">
        <v>1333</v>
      </c>
      <c r="T1588" s="49" t="s">
        <v>13223</v>
      </c>
      <c r="U1588" s="49" t="s">
        <v>655</v>
      </c>
      <c r="V1588" s="49" t="e">
        <v>#REF!</v>
      </c>
      <c r="AC1588" s="49"/>
      <c r="AD1588" s="49"/>
    </row>
    <row r="1589" spans="1:30" hidden="1" x14ac:dyDescent="0.3">
      <c r="A1589" s="49" t="s">
        <v>15314</v>
      </c>
      <c r="B1589" s="49">
        <v>0</v>
      </c>
      <c r="C1589" s="49"/>
      <c r="D1589" s="72" t="s">
        <v>717</v>
      </c>
      <c r="E1589" s="49" t="s">
        <v>3754</v>
      </c>
      <c r="F1589" s="49"/>
      <c r="G1589" s="49"/>
      <c r="H1589" s="49" t="s">
        <v>15315</v>
      </c>
      <c r="I1589" s="49" t="s">
        <v>15318</v>
      </c>
      <c r="J1589" s="49" t="s">
        <v>15316</v>
      </c>
      <c r="K1589" s="49" t="s">
        <v>15317</v>
      </c>
      <c r="L1589" s="49">
        <v>0</v>
      </c>
      <c r="M1589" s="49" t="s">
        <v>2484</v>
      </c>
      <c r="N1589" s="49" t="s">
        <v>5220</v>
      </c>
      <c r="O1589" s="49">
        <v>12</v>
      </c>
      <c r="P1589" s="49" t="s">
        <v>15319</v>
      </c>
      <c r="Q1589" s="49">
        <v>0</v>
      </c>
      <c r="R1589" s="49" t="s">
        <v>15320</v>
      </c>
      <c r="S1589" s="49" t="s">
        <v>15321</v>
      </c>
      <c r="T1589" s="49" t="s">
        <v>15322</v>
      </c>
      <c r="U1589" s="49" t="s">
        <v>791</v>
      </c>
      <c r="V1589" s="49" t="e">
        <v>#REF!</v>
      </c>
      <c r="AC1589" s="49"/>
      <c r="AD1589" s="49"/>
    </row>
    <row r="1590" spans="1:30" hidden="1" x14ac:dyDescent="0.3">
      <c r="A1590" s="49" t="s">
        <v>15323</v>
      </c>
      <c r="B1590" s="49">
        <v>0</v>
      </c>
      <c r="C1590" s="49"/>
      <c r="D1590" s="72" t="s">
        <v>717</v>
      </c>
      <c r="E1590" s="49" t="s">
        <v>3754</v>
      </c>
      <c r="F1590" s="49"/>
      <c r="G1590" s="49"/>
      <c r="H1590" s="49" t="s">
        <v>15324</v>
      </c>
      <c r="I1590" s="49" t="s">
        <v>15327</v>
      </c>
      <c r="J1590" s="49" t="s">
        <v>15325</v>
      </c>
      <c r="K1590" s="49" t="s">
        <v>15326</v>
      </c>
      <c r="L1590" s="49">
        <v>0</v>
      </c>
      <c r="M1590" s="49" t="s">
        <v>2484</v>
      </c>
      <c r="N1590" s="49" t="s">
        <v>15328</v>
      </c>
      <c r="O1590" s="49">
        <v>3</v>
      </c>
      <c r="P1590" s="49" t="s">
        <v>15329</v>
      </c>
      <c r="Q1590" s="49">
        <v>0</v>
      </c>
      <c r="R1590" s="49" t="s">
        <v>15330</v>
      </c>
      <c r="S1590" s="49" t="s">
        <v>15331</v>
      </c>
      <c r="T1590" s="49" t="s">
        <v>646</v>
      </c>
      <c r="U1590" s="49" t="s">
        <v>670</v>
      </c>
      <c r="V1590" s="49" t="e">
        <v>#REF!</v>
      </c>
      <c r="AC1590" s="49"/>
      <c r="AD1590" s="49"/>
    </row>
    <row r="1591" spans="1:30" hidden="1" x14ac:dyDescent="0.3">
      <c r="A1591" s="49" t="s">
        <v>1434</v>
      </c>
      <c r="B1591" s="49">
        <v>0</v>
      </c>
      <c r="C1591" s="49"/>
      <c r="D1591" s="72" t="s">
        <v>717</v>
      </c>
      <c r="E1591" s="49" t="s">
        <v>3754</v>
      </c>
      <c r="F1591" s="49"/>
      <c r="G1591" s="49"/>
      <c r="H1591" s="49" t="s">
        <v>1436</v>
      </c>
      <c r="I1591" s="49" t="s">
        <v>1437</v>
      </c>
      <c r="J1591" s="49" t="s">
        <v>1438</v>
      </c>
      <c r="K1591" s="49" t="s">
        <v>1439</v>
      </c>
      <c r="L1591" s="49">
        <v>0</v>
      </c>
      <c r="M1591" s="49" t="s">
        <v>1817</v>
      </c>
      <c r="N1591" s="49" t="s">
        <v>818</v>
      </c>
      <c r="O1591" s="49">
        <v>9</v>
      </c>
      <c r="P1591" s="49" t="s">
        <v>1440</v>
      </c>
      <c r="Q1591" s="49">
        <v>0</v>
      </c>
      <c r="R1591" s="49" t="s">
        <v>1441</v>
      </c>
      <c r="S1591" s="49" t="s">
        <v>1442</v>
      </c>
      <c r="T1591" s="49" t="s">
        <v>1443</v>
      </c>
      <c r="U1591" s="49" t="s">
        <v>670</v>
      </c>
      <c r="V1591" s="49" t="e">
        <v>#REF!</v>
      </c>
      <c r="AC1591" s="49"/>
      <c r="AD1591" s="49"/>
    </row>
    <row r="1592" spans="1:30" hidden="1" x14ac:dyDescent="0.3">
      <c r="A1592" s="49" t="s">
        <v>15332</v>
      </c>
      <c r="B1592" s="49">
        <v>0</v>
      </c>
      <c r="C1592" s="49"/>
      <c r="D1592" s="72" t="s">
        <v>717</v>
      </c>
      <c r="E1592" s="49" t="s">
        <v>3754</v>
      </c>
      <c r="F1592" s="49"/>
      <c r="G1592" s="49"/>
      <c r="H1592" s="49" t="s">
        <v>15333</v>
      </c>
      <c r="I1592" s="49" t="s">
        <v>15336</v>
      </c>
      <c r="J1592" s="49" t="s">
        <v>15334</v>
      </c>
      <c r="K1592" s="49" t="s">
        <v>15335</v>
      </c>
      <c r="L1592" s="49">
        <v>0</v>
      </c>
      <c r="M1592" s="49" t="s">
        <v>1764</v>
      </c>
      <c r="N1592" s="49" t="s">
        <v>3142</v>
      </c>
      <c r="O1592" s="49">
        <v>146</v>
      </c>
      <c r="P1592" s="49" t="s">
        <v>15337</v>
      </c>
      <c r="Q1592" s="49">
        <v>0</v>
      </c>
      <c r="R1592" s="49" t="s">
        <v>15338</v>
      </c>
      <c r="S1592" s="49" t="s">
        <v>15339</v>
      </c>
      <c r="T1592" s="49" t="s">
        <v>15340</v>
      </c>
      <c r="U1592" s="49" t="s">
        <v>791</v>
      </c>
      <c r="V1592" s="49" t="e">
        <v>#REF!</v>
      </c>
      <c r="AC1592" s="49"/>
      <c r="AD1592" s="49"/>
    </row>
    <row r="1593" spans="1:30" hidden="1" x14ac:dyDescent="0.3">
      <c r="A1593" s="49" t="s">
        <v>15341</v>
      </c>
      <c r="B1593" s="49">
        <v>0</v>
      </c>
      <c r="C1593" s="49"/>
      <c r="D1593" s="72" t="s">
        <v>717</v>
      </c>
      <c r="E1593" s="49" t="s">
        <v>3754</v>
      </c>
      <c r="F1593" s="49"/>
      <c r="G1593" s="49"/>
      <c r="H1593" s="49" t="s">
        <v>15342</v>
      </c>
      <c r="I1593" s="49" t="s">
        <v>15345</v>
      </c>
      <c r="J1593" s="49" t="s">
        <v>15343</v>
      </c>
      <c r="K1593" s="49" t="s">
        <v>15344</v>
      </c>
      <c r="L1593" s="49">
        <v>0</v>
      </c>
      <c r="M1593" s="49" t="s">
        <v>1764</v>
      </c>
      <c r="N1593" s="49" t="s">
        <v>15346</v>
      </c>
      <c r="O1593" s="49">
        <v>3</v>
      </c>
      <c r="P1593" s="49" t="s">
        <v>15347</v>
      </c>
      <c r="Q1593" s="49">
        <v>0</v>
      </c>
      <c r="R1593" s="49" t="s">
        <v>15348</v>
      </c>
      <c r="S1593" s="49" t="s">
        <v>15349</v>
      </c>
      <c r="T1593" s="49" t="s">
        <v>646</v>
      </c>
      <c r="U1593" s="49" t="s">
        <v>655</v>
      </c>
      <c r="V1593" s="49" t="e">
        <v>#REF!</v>
      </c>
      <c r="AC1593" s="49"/>
      <c r="AD1593" s="49"/>
    </row>
    <row r="1594" spans="1:30" hidden="1" x14ac:dyDescent="0.3">
      <c r="A1594" s="49" t="s">
        <v>15350</v>
      </c>
      <c r="B1594" s="49">
        <v>0</v>
      </c>
      <c r="C1594" s="49"/>
      <c r="D1594" s="72" t="s">
        <v>717</v>
      </c>
      <c r="E1594" s="49" t="s">
        <v>3754</v>
      </c>
      <c r="F1594" s="49"/>
      <c r="G1594" s="49"/>
      <c r="H1594" s="49" t="s">
        <v>15351</v>
      </c>
      <c r="I1594" s="49" t="s">
        <v>15354</v>
      </c>
      <c r="J1594" s="49" t="s">
        <v>15352</v>
      </c>
      <c r="K1594" s="49" t="s">
        <v>15353</v>
      </c>
      <c r="L1594" s="49">
        <v>0</v>
      </c>
      <c r="M1594" s="49" t="s">
        <v>2142</v>
      </c>
      <c r="N1594" s="49" t="s">
        <v>15355</v>
      </c>
      <c r="O1594" s="49">
        <v>29</v>
      </c>
      <c r="P1594" s="49" t="s">
        <v>15356</v>
      </c>
      <c r="Q1594" s="49">
        <v>0</v>
      </c>
      <c r="R1594" s="49" t="s">
        <v>15357</v>
      </c>
      <c r="S1594" s="49" t="s">
        <v>15358</v>
      </c>
      <c r="T1594" s="49" t="s">
        <v>646</v>
      </c>
      <c r="U1594" s="49" t="s">
        <v>670</v>
      </c>
      <c r="V1594" s="49" t="e">
        <v>#REF!</v>
      </c>
      <c r="AC1594" s="49"/>
      <c r="AD1594" s="49"/>
    </row>
    <row r="1595" spans="1:30" hidden="1" x14ac:dyDescent="0.3">
      <c r="A1595" s="49" t="s">
        <v>15359</v>
      </c>
      <c r="B1595" s="49">
        <v>0</v>
      </c>
      <c r="C1595" s="49"/>
      <c r="D1595" s="72" t="s">
        <v>717</v>
      </c>
      <c r="E1595" s="49" t="s">
        <v>3754</v>
      </c>
      <c r="F1595" s="49"/>
      <c r="G1595" s="49"/>
      <c r="H1595" s="49" t="s">
        <v>15360</v>
      </c>
      <c r="I1595" s="49" t="s">
        <v>15363</v>
      </c>
      <c r="J1595" s="49" t="s">
        <v>15361</v>
      </c>
      <c r="K1595" s="49" t="s">
        <v>15362</v>
      </c>
      <c r="L1595" s="49">
        <v>0</v>
      </c>
      <c r="M1595" s="49" t="s">
        <v>1777</v>
      </c>
      <c r="N1595" s="49" t="s">
        <v>12075</v>
      </c>
      <c r="O1595" s="49">
        <v>15</v>
      </c>
      <c r="P1595" s="49" t="s">
        <v>15364</v>
      </c>
      <c r="Q1595" s="49">
        <v>0</v>
      </c>
      <c r="R1595" s="49" t="s">
        <v>6574</v>
      </c>
      <c r="S1595" s="49" t="s">
        <v>15365</v>
      </c>
      <c r="T1595" s="49" t="s">
        <v>646</v>
      </c>
      <c r="U1595" s="49" t="s">
        <v>670</v>
      </c>
      <c r="V1595" s="49" t="e">
        <v>#REF!</v>
      </c>
      <c r="AC1595" s="49"/>
      <c r="AD1595" s="49"/>
    </row>
    <row r="1596" spans="1:30" hidden="1" x14ac:dyDescent="0.3">
      <c r="A1596" s="49" t="s">
        <v>15366</v>
      </c>
      <c r="B1596" s="49">
        <v>0</v>
      </c>
      <c r="C1596" s="49"/>
      <c r="D1596" s="72" t="s">
        <v>717</v>
      </c>
      <c r="E1596" s="49" t="s">
        <v>3754</v>
      </c>
      <c r="F1596" s="49"/>
      <c r="G1596" s="49"/>
      <c r="H1596" s="49" t="s">
        <v>15367</v>
      </c>
      <c r="I1596" s="49" t="s">
        <v>15370</v>
      </c>
      <c r="J1596" s="49" t="s">
        <v>15368</v>
      </c>
      <c r="K1596" s="49" t="s">
        <v>15369</v>
      </c>
      <c r="L1596" s="49">
        <v>0</v>
      </c>
      <c r="M1596" s="49" t="s">
        <v>2142</v>
      </c>
      <c r="N1596" s="49" t="s">
        <v>959</v>
      </c>
      <c r="O1596" s="49">
        <v>4</v>
      </c>
      <c r="P1596" s="49" t="s">
        <v>15371</v>
      </c>
      <c r="Q1596" s="49">
        <v>0</v>
      </c>
      <c r="R1596" s="49" t="s">
        <v>15372</v>
      </c>
      <c r="S1596" s="49" t="s">
        <v>15373</v>
      </c>
      <c r="T1596" s="49" t="s">
        <v>646</v>
      </c>
      <c r="U1596" s="49" t="s">
        <v>670</v>
      </c>
      <c r="V1596" s="49" t="e">
        <v>#REF!</v>
      </c>
      <c r="AC1596" s="49"/>
      <c r="AD1596" s="49"/>
    </row>
    <row r="1597" spans="1:30" hidden="1" x14ac:dyDescent="0.3">
      <c r="A1597" s="49" t="s">
        <v>15374</v>
      </c>
      <c r="B1597" s="49">
        <v>0</v>
      </c>
      <c r="C1597" s="49"/>
      <c r="D1597" s="72" t="s">
        <v>717</v>
      </c>
      <c r="E1597" s="49" t="s">
        <v>3754</v>
      </c>
      <c r="F1597" s="49"/>
      <c r="G1597" s="49"/>
      <c r="H1597" s="49" t="s">
        <v>15375</v>
      </c>
      <c r="I1597" s="49" t="s">
        <v>15378</v>
      </c>
      <c r="J1597" s="49" t="s">
        <v>15376</v>
      </c>
      <c r="K1597" s="49" t="s">
        <v>15377</v>
      </c>
      <c r="L1597" s="49">
        <v>0</v>
      </c>
      <c r="M1597" s="49" t="s">
        <v>1865</v>
      </c>
      <c r="N1597" s="49" t="s">
        <v>15379</v>
      </c>
      <c r="P1597" s="49" t="s">
        <v>15380</v>
      </c>
      <c r="Q1597" s="49">
        <v>0</v>
      </c>
      <c r="R1597" s="49" t="s">
        <v>15381</v>
      </c>
      <c r="S1597" s="49" t="s">
        <v>15382</v>
      </c>
      <c r="T1597" s="49" t="s">
        <v>15383</v>
      </c>
      <c r="U1597" s="49" t="s">
        <v>791</v>
      </c>
      <c r="V1597" s="49" t="e">
        <v>#REF!</v>
      </c>
      <c r="AC1597" s="49"/>
      <c r="AD1597" s="49"/>
    </row>
    <row r="1598" spans="1:30" hidden="1" x14ac:dyDescent="0.3">
      <c r="A1598" s="49" t="s">
        <v>15384</v>
      </c>
      <c r="B1598" s="49">
        <v>0</v>
      </c>
      <c r="C1598" s="49"/>
      <c r="D1598" s="72" t="s">
        <v>717</v>
      </c>
      <c r="E1598" s="49" t="s">
        <v>3754</v>
      </c>
      <c r="F1598" s="49"/>
      <c r="G1598" s="49"/>
      <c r="H1598" s="49" t="s">
        <v>15385</v>
      </c>
      <c r="I1598" s="49" t="s">
        <v>15388</v>
      </c>
      <c r="J1598" s="49" t="s">
        <v>15386</v>
      </c>
      <c r="K1598" s="49" t="s">
        <v>15387</v>
      </c>
      <c r="L1598" s="49">
        <v>0</v>
      </c>
      <c r="M1598" s="49" t="s">
        <v>4064</v>
      </c>
      <c r="N1598" s="49" t="s">
        <v>11018</v>
      </c>
      <c r="O1598" s="49">
        <v>20</v>
      </c>
      <c r="P1598" s="49" t="s">
        <v>15389</v>
      </c>
      <c r="Q1598" s="49">
        <v>0</v>
      </c>
      <c r="R1598" s="49" t="s">
        <v>15390</v>
      </c>
      <c r="S1598" s="49" t="s">
        <v>15391</v>
      </c>
      <c r="T1598" s="49" t="s">
        <v>15392</v>
      </c>
      <c r="U1598" s="49" t="s">
        <v>670</v>
      </c>
      <c r="V1598" s="49" t="e">
        <v>#REF!</v>
      </c>
      <c r="AC1598" s="49"/>
      <c r="AD1598" s="49"/>
    </row>
    <row r="1599" spans="1:30" hidden="1" x14ac:dyDescent="0.3">
      <c r="A1599" s="49" t="s">
        <v>15393</v>
      </c>
      <c r="B1599" s="49">
        <v>0</v>
      </c>
      <c r="C1599" s="49"/>
      <c r="D1599" s="72" t="s">
        <v>717</v>
      </c>
      <c r="E1599" s="49" t="s">
        <v>3754</v>
      </c>
      <c r="F1599" s="49"/>
      <c r="G1599" s="49"/>
      <c r="H1599" s="49" t="s">
        <v>15394</v>
      </c>
      <c r="I1599" s="49" t="s">
        <v>15397</v>
      </c>
      <c r="J1599" s="49" t="s">
        <v>15395</v>
      </c>
      <c r="K1599" s="49" t="s">
        <v>15396</v>
      </c>
      <c r="L1599" s="49">
        <v>0</v>
      </c>
      <c r="M1599" s="49" t="s">
        <v>2484</v>
      </c>
      <c r="N1599" s="49" t="s">
        <v>9050</v>
      </c>
      <c r="O1599" s="49">
        <v>8</v>
      </c>
      <c r="P1599" s="49" t="s">
        <v>15398</v>
      </c>
      <c r="Q1599" s="49">
        <v>0</v>
      </c>
      <c r="R1599" s="49" t="s">
        <v>10885</v>
      </c>
      <c r="S1599" s="49" t="s">
        <v>15399</v>
      </c>
      <c r="T1599" s="49" t="s">
        <v>15400</v>
      </c>
      <c r="U1599" s="49" t="s">
        <v>655</v>
      </c>
      <c r="V1599" s="49" t="e">
        <v>#REF!</v>
      </c>
      <c r="AC1599" s="49"/>
      <c r="AD1599" s="49"/>
    </row>
    <row r="1600" spans="1:30" hidden="1" x14ac:dyDescent="0.3">
      <c r="A1600" s="49" t="s">
        <v>15401</v>
      </c>
      <c r="B1600" s="49">
        <v>0</v>
      </c>
      <c r="C1600" s="49"/>
      <c r="D1600" s="72" t="s">
        <v>717</v>
      </c>
      <c r="E1600" s="49" t="s">
        <v>3754</v>
      </c>
      <c r="F1600" s="49"/>
      <c r="G1600" s="49"/>
      <c r="H1600" s="49" t="s">
        <v>15402</v>
      </c>
      <c r="I1600" s="49" t="s">
        <v>15405</v>
      </c>
      <c r="J1600" s="49" t="s">
        <v>15403</v>
      </c>
      <c r="K1600" s="49" t="s">
        <v>15404</v>
      </c>
      <c r="L1600" s="49">
        <v>0</v>
      </c>
      <c r="M1600" s="49" t="s">
        <v>4114</v>
      </c>
      <c r="N1600" s="49" t="s">
        <v>15406</v>
      </c>
      <c r="O1600" s="49">
        <v>15</v>
      </c>
      <c r="P1600" s="49" t="s">
        <v>15407</v>
      </c>
      <c r="Q1600" s="49">
        <v>0</v>
      </c>
      <c r="R1600" s="49" t="s">
        <v>15408</v>
      </c>
      <c r="S1600" s="49" t="s">
        <v>15409</v>
      </c>
      <c r="T1600" s="49" t="s">
        <v>646</v>
      </c>
      <c r="U1600" s="49" t="s">
        <v>655</v>
      </c>
      <c r="V1600" s="49" t="e">
        <v>#REF!</v>
      </c>
      <c r="AC1600" s="49"/>
      <c r="AD1600" s="49"/>
    </row>
    <row r="1601" spans="1:30" hidden="1" x14ac:dyDescent="0.3">
      <c r="A1601" s="49" t="s">
        <v>15410</v>
      </c>
      <c r="B1601" s="49">
        <v>0</v>
      </c>
      <c r="C1601" s="49"/>
      <c r="D1601" s="72" t="s">
        <v>717</v>
      </c>
      <c r="E1601" s="49" t="s">
        <v>3754</v>
      </c>
      <c r="F1601" s="49"/>
      <c r="G1601" s="49"/>
      <c r="H1601" s="49" t="s">
        <v>15411</v>
      </c>
      <c r="I1601" s="49" t="s">
        <v>15414</v>
      </c>
      <c r="J1601" s="49" t="s">
        <v>15412</v>
      </c>
      <c r="K1601" s="49" t="s">
        <v>15413</v>
      </c>
      <c r="L1601" s="49">
        <v>0</v>
      </c>
      <c r="M1601" s="49" t="s">
        <v>1865</v>
      </c>
      <c r="N1601" s="49" t="s">
        <v>15415</v>
      </c>
      <c r="P1601" s="49" t="s">
        <v>15416</v>
      </c>
      <c r="Q1601" s="49">
        <v>0</v>
      </c>
      <c r="R1601" s="49" t="s">
        <v>15417</v>
      </c>
      <c r="S1601" s="49" t="s">
        <v>15418</v>
      </c>
      <c r="T1601" s="49" t="s">
        <v>15419</v>
      </c>
      <c r="U1601" s="49" t="s">
        <v>791</v>
      </c>
      <c r="V1601" s="49" t="e">
        <v>#REF!</v>
      </c>
      <c r="AC1601" s="49"/>
      <c r="AD1601" s="49"/>
    </row>
    <row r="1602" spans="1:30" hidden="1" x14ac:dyDescent="0.3">
      <c r="A1602" s="49" t="s">
        <v>15420</v>
      </c>
      <c r="B1602" s="49">
        <v>0</v>
      </c>
      <c r="C1602" s="49"/>
      <c r="D1602" s="72" t="s">
        <v>717</v>
      </c>
      <c r="E1602" s="49" t="s">
        <v>3754</v>
      </c>
      <c r="F1602" s="49"/>
      <c r="G1602" s="49"/>
      <c r="H1602" s="49" t="s">
        <v>15421</v>
      </c>
      <c r="I1602" s="49" t="s">
        <v>15424</v>
      </c>
      <c r="J1602" s="49" t="s">
        <v>15422</v>
      </c>
      <c r="K1602" s="49" t="s">
        <v>15423</v>
      </c>
      <c r="L1602" s="49">
        <v>0</v>
      </c>
      <c r="M1602" s="49" t="s">
        <v>1764</v>
      </c>
      <c r="N1602" s="49" t="s">
        <v>10790</v>
      </c>
      <c r="O1602" s="49">
        <v>69</v>
      </c>
      <c r="P1602" s="49" t="s">
        <v>15425</v>
      </c>
      <c r="Q1602" s="49">
        <v>0</v>
      </c>
      <c r="R1602" s="49" t="s">
        <v>15426</v>
      </c>
      <c r="S1602" s="49" t="s">
        <v>15427</v>
      </c>
      <c r="T1602" s="49" t="s">
        <v>15428</v>
      </c>
      <c r="U1602" s="49" t="s">
        <v>655</v>
      </c>
      <c r="V1602" s="49" t="e">
        <v>#REF!</v>
      </c>
      <c r="AC1602" s="49"/>
      <c r="AD1602" s="49"/>
    </row>
    <row r="1603" spans="1:30" hidden="1" x14ac:dyDescent="0.3">
      <c r="A1603" s="49" t="s">
        <v>15429</v>
      </c>
      <c r="B1603" s="49">
        <v>0</v>
      </c>
      <c r="C1603" s="49"/>
      <c r="D1603" s="72" t="s">
        <v>717</v>
      </c>
      <c r="E1603" s="49" t="s">
        <v>3754</v>
      </c>
      <c r="F1603" s="49"/>
      <c r="G1603" s="49"/>
      <c r="H1603" s="49" t="s">
        <v>15430</v>
      </c>
      <c r="I1603" s="49" t="s">
        <v>15433</v>
      </c>
      <c r="J1603" s="49" t="s">
        <v>15431</v>
      </c>
      <c r="K1603" s="49" t="s">
        <v>15432</v>
      </c>
      <c r="L1603" s="49">
        <v>0</v>
      </c>
      <c r="M1603" s="49" t="s">
        <v>1764</v>
      </c>
      <c r="N1603" s="49" t="s">
        <v>15434</v>
      </c>
      <c r="O1603" s="49">
        <v>11</v>
      </c>
      <c r="P1603" s="49" t="s">
        <v>15435</v>
      </c>
      <c r="Q1603" s="49">
        <v>0</v>
      </c>
      <c r="R1603" s="49" t="s">
        <v>15436</v>
      </c>
      <c r="S1603" s="49" t="s">
        <v>15437</v>
      </c>
      <c r="T1603" s="49" t="s">
        <v>15438</v>
      </c>
      <c r="U1603" s="49" t="s">
        <v>655</v>
      </c>
      <c r="V1603" s="49" t="e">
        <v>#REF!</v>
      </c>
      <c r="AC1603" s="49"/>
      <c r="AD1603" s="49"/>
    </row>
    <row r="1604" spans="1:30" hidden="1" x14ac:dyDescent="0.3">
      <c r="A1604" s="49" t="s">
        <v>15439</v>
      </c>
      <c r="B1604" s="49">
        <v>0</v>
      </c>
      <c r="C1604" s="49"/>
      <c r="D1604" s="72" t="s">
        <v>717</v>
      </c>
      <c r="E1604" s="49" t="s">
        <v>3754</v>
      </c>
      <c r="F1604" s="49"/>
      <c r="G1604" s="49"/>
      <c r="H1604" s="49" t="s">
        <v>15440</v>
      </c>
      <c r="I1604" s="49" t="s">
        <v>15443</v>
      </c>
      <c r="J1604" s="49" t="s">
        <v>15441</v>
      </c>
      <c r="K1604" s="49" t="s">
        <v>15442</v>
      </c>
      <c r="L1604" s="49">
        <v>0</v>
      </c>
      <c r="M1604" s="49" t="s">
        <v>1764</v>
      </c>
      <c r="N1604" s="49" t="s">
        <v>3690</v>
      </c>
      <c r="O1604" s="49">
        <v>27</v>
      </c>
      <c r="P1604" s="49" t="s">
        <v>15444</v>
      </c>
      <c r="Q1604" s="49">
        <v>0</v>
      </c>
      <c r="R1604" s="49" t="s">
        <v>15445</v>
      </c>
      <c r="S1604" s="49" t="s">
        <v>15446</v>
      </c>
      <c r="T1604" s="49" t="s">
        <v>646</v>
      </c>
      <c r="U1604" s="49" t="s">
        <v>670</v>
      </c>
      <c r="V1604" s="49" t="e">
        <v>#REF!</v>
      </c>
      <c r="AC1604" s="49"/>
      <c r="AD1604" s="49"/>
    </row>
    <row r="1605" spans="1:30" hidden="1" x14ac:dyDescent="0.3">
      <c r="A1605" s="49" t="s">
        <v>15447</v>
      </c>
      <c r="B1605" s="49">
        <v>0</v>
      </c>
      <c r="C1605" s="49"/>
      <c r="D1605" s="72" t="s">
        <v>717</v>
      </c>
      <c r="E1605" s="49" t="s">
        <v>3754</v>
      </c>
      <c r="F1605" s="49"/>
      <c r="G1605" s="49"/>
      <c r="H1605" s="49" t="s">
        <v>15448</v>
      </c>
      <c r="I1605" s="49" t="s">
        <v>15451</v>
      </c>
      <c r="J1605" s="49" t="s">
        <v>15449</v>
      </c>
      <c r="K1605" s="49" t="s">
        <v>15450</v>
      </c>
      <c r="L1605" s="49">
        <v>0</v>
      </c>
      <c r="M1605" s="49" t="s">
        <v>1865</v>
      </c>
      <c r="N1605" s="49" t="s">
        <v>15452</v>
      </c>
      <c r="O1605" s="49">
        <v>16</v>
      </c>
      <c r="P1605" s="49" t="s">
        <v>15453</v>
      </c>
      <c r="Q1605" s="49">
        <v>0</v>
      </c>
      <c r="R1605" s="49" t="s">
        <v>15454</v>
      </c>
      <c r="S1605" s="49" t="s">
        <v>15455</v>
      </c>
      <c r="T1605" s="49" t="s">
        <v>15456</v>
      </c>
      <c r="U1605" s="49" t="s">
        <v>655</v>
      </c>
      <c r="V1605" s="49" t="e">
        <v>#REF!</v>
      </c>
      <c r="AC1605" s="49"/>
      <c r="AD1605" s="49"/>
    </row>
    <row r="1606" spans="1:30" hidden="1" x14ac:dyDescent="0.3">
      <c r="A1606" s="49" t="s">
        <v>15457</v>
      </c>
      <c r="B1606" s="49">
        <v>0</v>
      </c>
      <c r="C1606" s="49"/>
      <c r="D1606" s="72" t="s">
        <v>717</v>
      </c>
      <c r="E1606" s="49" t="s">
        <v>3754</v>
      </c>
      <c r="F1606" s="49"/>
      <c r="G1606" s="49"/>
      <c r="H1606" s="49" t="s">
        <v>15458</v>
      </c>
      <c r="I1606" s="49" t="s">
        <v>15461</v>
      </c>
      <c r="J1606" s="49" t="s">
        <v>15459</v>
      </c>
      <c r="K1606" s="49" t="s">
        <v>15460</v>
      </c>
      <c r="L1606" s="49">
        <v>0</v>
      </c>
      <c r="M1606" s="49" t="s">
        <v>1777</v>
      </c>
      <c r="N1606" s="49" t="s">
        <v>8606</v>
      </c>
      <c r="O1606" s="49">
        <v>419</v>
      </c>
      <c r="P1606" s="49" t="s">
        <v>15462</v>
      </c>
      <c r="Q1606" s="49">
        <v>0</v>
      </c>
      <c r="R1606" s="49" t="s">
        <v>15463</v>
      </c>
      <c r="S1606" s="49" t="s">
        <v>15464</v>
      </c>
      <c r="T1606" s="49" t="s">
        <v>15465</v>
      </c>
      <c r="U1606" s="49" t="s">
        <v>655</v>
      </c>
      <c r="V1606" s="49" t="e">
        <v>#REF!</v>
      </c>
      <c r="AC1606" s="49"/>
      <c r="AD1606" s="49"/>
    </row>
    <row r="1607" spans="1:30" hidden="1" x14ac:dyDescent="0.3">
      <c r="A1607" s="49" t="s">
        <v>15466</v>
      </c>
      <c r="B1607" s="49">
        <v>0</v>
      </c>
      <c r="C1607" s="49"/>
      <c r="D1607" s="72" t="s">
        <v>717</v>
      </c>
      <c r="E1607" s="49" t="s">
        <v>3754</v>
      </c>
      <c r="F1607" s="49"/>
      <c r="G1607" s="49"/>
      <c r="H1607" s="49" t="s">
        <v>15467</v>
      </c>
      <c r="I1607" s="49" t="s">
        <v>15470</v>
      </c>
      <c r="J1607" s="49" t="s">
        <v>15468</v>
      </c>
      <c r="K1607" s="49" t="s">
        <v>15469</v>
      </c>
      <c r="L1607" s="49">
        <v>0</v>
      </c>
      <c r="M1607" s="49" t="s">
        <v>2484</v>
      </c>
      <c r="N1607" s="49" t="s">
        <v>15471</v>
      </c>
      <c r="O1607" s="49">
        <v>16</v>
      </c>
      <c r="P1607" s="49" t="s">
        <v>15472</v>
      </c>
      <c r="Q1607" s="49">
        <v>0</v>
      </c>
      <c r="R1607" s="49" t="s">
        <v>15473</v>
      </c>
      <c r="S1607" s="49" t="s">
        <v>15474</v>
      </c>
      <c r="T1607" s="49" t="s">
        <v>15475</v>
      </c>
      <c r="U1607" s="49" t="s">
        <v>655</v>
      </c>
      <c r="V1607" s="49" t="e">
        <v>#REF!</v>
      </c>
      <c r="AC1607" s="49"/>
      <c r="AD1607" s="49"/>
    </row>
    <row r="1608" spans="1:30" hidden="1" x14ac:dyDescent="0.3">
      <c r="A1608" s="49" t="s">
        <v>15476</v>
      </c>
      <c r="B1608" s="49">
        <v>0</v>
      </c>
      <c r="C1608" s="49"/>
      <c r="D1608" s="72" t="s">
        <v>717</v>
      </c>
      <c r="E1608" s="49" t="s">
        <v>3754</v>
      </c>
      <c r="F1608" s="49"/>
      <c r="G1608" s="49"/>
      <c r="H1608" s="49" t="s">
        <v>15477</v>
      </c>
      <c r="I1608" s="49" t="s">
        <v>15480</v>
      </c>
      <c r="J1608" s="49" t="s">
        <v>15478</v>
      </c>
      <c r="K1608" s="49" t="s">
        <v>15479</v>
      </c>
      <c r="L1608" s="49">
        <v>0</v>
      </c>
      <c r="M1608" s="49" t="s">
        <v>1745</v>
      </c>
      <c r="N1608" s="49" t="s">
        <v>15481</v>
      </c>
      <c r="O1608" s="49">
        <v>5</v>
      </c>
      <c r="P1608" s="49" t="s">
        <v>15482</v>
      </c>
      <c r="Q1608" s="49">
        <v>0</v>
      </c>
      <c r="R1608" s="49" t="s">
        <v>15483</v>
      </c>
      <c r="S1608" s="49" t="s">
        <v>15484</v>
      </c>
      <c r="T1608" s="49" t="s">
        <v>15485</v>
      </c>
      <c r="U1608" s="49" t="s">
        <v>655</v>
      </c>
      <c r="V1608" s="49" t="e">
        <v>#REF!</v>
      </c>
      <c r="AC1608" s="49"/>
      <c r="AD1608" s="49"/>
    </row>
    <row r="1609" spans="1:30" hidden="1" x14ac:dyDescent="0.3">
      <c r="A1609" s="49" t="s">
        <v>15486</v>
      </c>
      <c r="B1609" s="49">
        <v>0</v>
      </c>
      <c r="C1609" s="49"/>
      <c r="D1609" s="72" t="s">
        <v>717</v>
      </c>
      <c r="E1609" s="49" t="s">
        <v>3754</v>
      </c>
      <c r="F1609" s="49"/>
      <c r="G1609" s="49"/>
      <c r="H1609" s="49" t="s">
        <v>15487</v>
      </c>
      <c r="I1609" s="49" t="s">
        <v>15490</v>
      </c>
      <c r="J1609" s="49" t="s">
        <v>15488</v>
      </c>
      <c r="K1609" s="49" t="s">
        <v>15489</v>
      </c>
      <c r="L1609" s="49">
        <v>0</v>
      </c>
      <c r="M1609" s="49" t="s">
        <v>2484</v>
      </c>
      <c r="N1609" s="49" t="s">
        <v>9659</v>
      </c>
      <c r="O1609" s="49">
        <v>37</v>
      </c>
      <c r="P1609" s="49" t="s">
        <v>15491</v>
      </c>
      <c r="Q1609" s="49">
        <v>0</v>
      </c>
      <c r="R1609" s="49" t="s">
        <v>15492</v>
      </c>
      <c r="S1609" s="49" t="s">
        <v>15493</v>
      </c>
      <c r="T1609" s="49" t="s">
        <v>646</v>
      </c>
      <c r="U1609" s="49" t="s">
        <v>655</v>
      </c>
      <c r="V1609" s="49" t="e">
        <v>#REF!</v>
      </c>
      <c r="AC1609" s="49"/>
      <c r="AD1609" s="49"/>
    </row>
    <row r="1610" spans="1:30" hidden="1" x14ac:dyDescent="0.3">
      <c r="A1610" s="49" t="s">
        <v>15494</v>
      </c>
      <c r="B1610" s="49">
        <v>0</v>
      </c>
      <c r="C1610" s="49"/>
      <c r="D1610" s="72" t="s">
        <v>717</v>
      </c>
      <c r="E1610" s="49" t="s">
        <v>3754</v>
      </c>
      <c r="F1610" s="49"/>
      <c r="G1610" s="49"/>
      <c r="H1610" s="49" t="s">
        <v>15495</v>
      </c>
      <c r="I1610" s="49" t="s">
        <v>15498</v>
      </c>
      <c r="J1610" s="49" t="s">
        <v>15496</v>
      </c>
      <c r="K1610" s="49" t="s">
        <v>15497</v>
      </c>
      <c r="L1610" s="49">
        <v>0</v>
      </c>
      <c r="M1610" s="49" t="s">
        <v>2484</v>
      </c>
      <c r="N1610" s="49" t="s">
        <v>15499</v>
      </c>
      <c r="O1610" s="49">
        <v>4</v>
      </c>
      <c r="P1610" s="49" t="s">
        <v>15500</v>
      </c>
      <c r="Q1610" s="49">
        <v>0</v>
      </c>
      <c r="R1610" s="49" t="s">
        <v>15501</v>
      </c>
      <c r="S1610" s="49" t="s">
        <v>15502</v>
      </c>
      <c r="T1610" s="49" t="s">
        <v>15503</v>
      </c>
      <c r="U1610" s="49" t="s">
        <v>655</v>
      </c>
      <c r="V1610" s="49" t="e">
        <v>#REF!</v>
      </c>
      <c r="AC1610" s="49"/>
      <c r="AD1610" s="49"/>
    </row>
    <row r="1611" spans="1:30" hidden="1" x14ac:dyDescent="0.3">
      <c r="A1611" s="49" t="s">
        <v>15504</v>
      </c>
      <c r="B1611" s="49">
        <v>0</v>
      </c>
      <c r="C1611" s="49"/>
      <c r="D1611" s="72" t="s">
        <v>717</v>
      </c>
      <c r="E1611" s="49" t="s">
        <v>3754</v>
      </c>
      <c r="F1611" s="49"/>
      <c r="G1611" s="49"/>
      <c r="H1611" s="49" t="s">
        <v>15505</v>
      </c>
      <c r="I1611" s="49" t="s">
        <v>15508</v>
      </c>
      <c r="J1611" s="49" t="s">
        <v>15506</v>
      </c>
      <c r="K1611" s="49" t="s">
        <v>15507</v>
      </c>
      <c r="L1611" s="49">
        <v>0</v>
      </c>
      <c r="M1611" s="49" t="s">
        <v>1826</v>
      </c>
      <c r="N1611" s="49" t="s">
        <v>15509</v>
      </c>
      <c r="O1611" s="49">
        <v>5</v>
      </c>
      <c r="P1611" s="49" t="s">
        <v>15510</v>
      </c>
      <c r="Q1611" s="49">
        <v>0</v>
      </c>
      <c r="R1611" s="49" t="s">
        <v>15511</v>
      </c>
      <c r="S1611" s="49" t="s">
        <v>15512</v>
      </c>
      <c r="T1611" s="49" t="s">
        <v>646</v>
      </c>
      <c r="U1611" s="49" t="s">
        <v>655</v>
      </c>
      <c r="V1611" s="49" t="e">
        <v>#REF!</v>
      </c>
      <c r="AC1611" s="49"/>
      <c r="AD1611" s="49"/>
    </row>
    <row r="1612" spans="1:30" hidden="1" x14ac:dyDescent="0.3">
      <c r="A1612" s="49" t="s">
        <v>15513</v>
      </c>
      <c r="B1612" s="49">
        <v>0</v>
      </c>
      <c r="C1612" s="49"/>
      <c r="D1612" s="72" t="s">
        <v>717</v>
      </c>
      <c r="E1612" s="49" t="s">
        <v>3754</v>
      </c>
      <c r="F1612" s="49"/>
      <c r="G1612" s="49"/>
      <c r="H1612" s="49" t="s">
        <v>15514</v>
      </c>
      <c r="I1612" s="49" t="s">
        <v>15517</v>
      </c>
      <c r="J1612" s="49" t="s">
        <v>15515</v>
      </c>
      <c r="K1612" s="49" t="s">
        <v>15516</v>
      </c>
      <c r="L1612" s="49">
        <v>0</v>
      </c>
      <c r="M1612" s="49" t="s">
        <v>4114</v>
      </c>
      <c r="N1612" s="49" t="s">
        <v>2307</v>
      </c>
      <c r="O1612" s="49">
        <v>30</v>
      </c>
      <c r="P1612" s="49" t="s">
        <v>15518</v>
      </c>
      <c r="Q1612" s="49">
        <v>0</v>
      </c>
      <c r="R1612" s="49" t="s">
        <v>15519</v>
      </c>
      <c r="S1612" s="49" t="s">
        <v>15520</v>
      </c>
      <c r="T1612" s="49" t="s">
        <v>15521</v>
      </c>
      <c r="U1612" s="49" t="s">
        <v>655</v>
      </c>
      <c r="V1612" s="49" t="e">
        <v>#REF!</v>
      </c>
      <c r="AC1612" s="49"/>
      <c r="AD1612" s="49"/>
    </row>
    <row r="1613" spans="1:30" hidden="1" x14ac:dyDescent="0.3">
      <c r="A1613" s="49" t="s">
        <v>15522</v>
      </c>
      <c r="B1613" s="49">
        <v>0</v>
      </c>
      <c r="C1613" s="49"/>
      <c r="D1613" s="72" t="s">
        <v>717</v>
      </c>
      <c r="E1613" s="49" t="s">
        <v>3754</v>
      </c>
      <c r="F1613" s="49"/>
      <c r="G1613" s="49"/>
      <c r="H1613" s="49" t="s">
        <v>15523</v>
      </c>
      <c r="I1613" s="49" t="s">
        <v>15526</v>
      </c>
      <c r="J1613" s="49" t="s">
        <v>15524</v>
      </c>
      <c r="K1613" s="49" t="s">
        <v>15525</v>
      </c>
      <c r="L1613" s="49">
        <v>0</v>
      </c>
      <c r="M1613" s="49" t="s">
        <v>1826</v>
      </c>
      <c r="N1613" s="49" t="s">
        <v>12395</v>
      </c>
      <c r="O1613" s="49">
        <v>4</v>
      </c>
      <c r="P1613" s="49" t="s">
        <v>15527</v>
      </c>
      <c r="Q1613" s="49">
        <v>0</v>
      </c>
      <c r="R1613" s="49" t="s">
        <v>15528</v>
      </c>
      <c r="S1613" s="49" t="s">
        <v>15529</v>
      </c>
      <c r="T1613" s="49" t="s">
        <v>15530</v>
      </c>
      <c r="U1613" s="49" t="s">
        <v>655</v>
      </c>
      <c r="V1613" s="49" t="e">
        <v>#REF!</v>
      </c>
      <c r="AC1613" s="49"/>
      <c r="AD1613" s="49"/>
    </row>
    <row r="1614" spans="1:30" hidden="1" x14ac:dyDescent="0.3">
      <c r="A1614" s="49" t="s">
        <v>15531</v>
      </c>
      <c r="B1614" s="49">
        <v>0</v>
      </c>
      <c r="C1614" s="49"/>
      <c r="D1614" s="72" t="s">
        <v>717</v>
      </c>
      <c r="E1614" s="49" t="s">
        <v>3754</v>
      </c>
      <c r="F1614" s="49"/>
      <c r="G1614" s="49"/>
      <c r="H1614" s="49" t="s">
        <v>15532</v>
      </c>
      <c r="I1614" s="49" t="s">
        <v>15535</v>
      </c>
      <c r="J1614" s="49" t="s">
        <v>15533</v>
      </c>
      <c r="K1614" s="49" t="s">
        <v>15534</v>
      </c>
      <c r="L1614" s="49">
        <v>0</v>
      </c>
      <c r="M1614" s="49" t="s">
        <v>4114</v>
      </c>
      <c r="N1614" s="49" t="s">
        <v>708</v>
      </c>
      <c r="O1614" s="49">
        <v>24</v>
      </c>
      <c r="P1614" s="49" t="s">
        <v>15536</v>
      </c>
      <c r="Q1614" s="49">
        <v>0</v>
      </c>
      <c r="R1614" s="49" t="s">
        <v>15537</v>
      </c>
      <c r="S1614" s="49" t="s">
        <v>15538</v>
      </c>
      <c r="T1614" s="49" t="s">
        <v>15539</v>
      </c>
      <c r="U1614" s="49" t="s">
        <v>655</v>
      </c>
      <c r="V1614" s="49" t="e">
        <v>#REF!</v>
      </c>
      <c r="AC1614" s="49"/>
      <c r="AD1614" s="49"/>
    </row>
    <row r="1615" spans="1:30" hidden="1" x14ac:dyDescent="0.3">
      <c r="A1615" s="49" t="s">
        <v>15540</v>
      </c>
      <c r="B1615" s="49">
        <v>0</v>
      </c>
      <c r="C1615" s="49"/>
      <c r="D1615" s="72" t="s">
        <v>717</v>
      </c>
      <c r="E1615" s="49" t="s">
        <v>3754</v>
      </c>
      <c r="F1615" s="49"/>
      <c r="G1615" s="49"/>
      <c r="H1615" s="49" t="s">
        <v>15541</v>
      </c>
      <c r="I1615" s="49" t="s">
        <v>15544</v>
      </c>
      <c r="J1615" s="49" t="s">
        <v>15542</v>
      </c>
      <c r="K1615" s="49" t="s">
        <v>15543</v>
      </c>
      <c r="L1615" s="49">
        <v>0</v>
      </c>
      <c r="M1615" s="49" t="s">
        <v>2484</v>
      </c>
      <c r="N1615" s="49" t="s">
        <v>15545</v>
      </c>
      <c r="P1615" s="49" t="s">
        <v>15546</v>
      </c>
      <c r="Q1615" s="49">
        <v>0</v>
      </c>
      <c r="R1615" s="49" t="s">
        <v>6331</v>
      </c>
      <c r="S1615" s="49" t="s">
        <v>15547</v>
      </c>
      <c r="T1615" s="49" t="s">
        <v>646</v>
      </c>
      <c r="U1615" s="49" t="s">
        <v>670</v>
      </c>
      <c r="V1615" s="49" t="e">
        <v>#REF!</v>
      </c>
      <c r="AC1615" s="49"/>
      <c r="AD1615" s="49"/>
    </row>
    <row r="1616" spans="1:30" hidden="1" x14ac:dyDescent="0.3">
      <c r="A1616" s="49" t="s">
        <v>15548</v>
      </c>
      <c r="B1616" s="49">
        <v>0</v>
      </c>
      <c r="C1616" s="49"/>
      <c r="D1616" s="72" t="s">
        <v>717</v>
      </c>
      <c r="E1616" s="49" t="s">
        <v>3754</v>
      </c>
      <c r="F1616" s="49"/>
      <c r="G1616" s="49"/>
      <c r="H1616" s="49" t="s">
        <v>15549</v>
      </c>
      <c r="I1616" s="49" t="s">
        <v>15552</v>
      </c>
      <c r="J1616" s="49" t="s">
        <v>15550</v>
      </c>
      <c r="K1616" s="49" t="s">
        <v>15551</v>
      </c>
      <c r="L1616" s="49">
        <v>0</v>
      </c>
      <c r="M1616" s="49" t="s">
        <v>2142</v>
      </c>
      <c r="N1616" s="49" t="s">
        <v>15553</v>
      </c>
      <c r="O1616" s="49">
        <v>12</v>
      </c>
      <c r="P1616" s="49" t="s">
        <v>15554</v>
      </c>
      <c r="Q1616" s="49">
        <v>0</v>
      </c>
      <c r="R1616" s="49" t="s">
        <v>15555</v>
      </c>
      <c r="S1616" s="49" t="s">
        <v>15556</v>
      </c>
      <c r="T1616" s="49" t="s">
        <v>15557</v>
      </c>
      <c r="U1616" s="49" t="s">
        <v>655</v>
      </c>
      <c r="V1616" s="49" t="e">
        <v>#REF!</v>
      </c>
      <c r="AC1616" s="49"/>
      <c r="AD1616" s="49"/>
    </row>
    <row r="1617" spans="1:30" hidden="1" x14ac:dyDescent="0.3">
      <c r="A1617" s="49" t="s">
        <v>15558</v>
      </c>
      <c r="B1617" s="49">
        <v>0</v>
      </c>
      <c r="C1617" s="49"/>
      <c r="D1617" s="72" t="s">
        <v>717</v>
      </c>
      <c r="E1617" s="49" t="s">
        <v>3754</v>
      </c>
      <c r="F1617" s="49"/>
      <c r="G1617" s="49"/>
      <c r="H1617" s="49" t="s">
        <v>15559</v>
      </c>
      <c r="I1617" s="49" t="s">
        <v>15562</v>
      </c>
      <c r="J1617" s="49" t="s">
        <v>15560</v>
      </c>
      <c r="K1617" s="49" t="s">
        <v>15561</v>
      </c>
      <c r="L1617" s="49">
        <v>0</v>
      </c>
      <c r="M1617" s="49" t="s">
        <v>2484</v>
      </c>
      <c r="N1617" s="49" t="s">
        <v>15563</v>
      </c>
      <c r="O1617" s="49">
        <v>8</v>
      </c>
      <c r="P1617" s="49" t="s">
        <v>15564</v>
      </c>
      <c r="Q1617" s="49">
        <v>0</v>
      </c>
      <c r="R1617" s="49" t="s">
        <v>15565</v>
      </c>
      <c r="S1617" s="49" t="s">
        <v>15566</v>
      </c>
      <c r="T1617" s="49" t="s">
        <v>15567</v>
      </c>
      <c r="U1617" s="49" t="s">
        <v>655</v>
      </c>
      <c r="V1617" s="49" t="e">
        <v>#REF!</v>
      </c>
      <c r="AC1617" s="49"/>
      <c r="AD1617" s="49"/>
    </row>
    <row r="1618" spans="1:30" hidden="1" x14ac:dyDescent="0.3">
      <c r="A1618" s="49" t="s">
        <v>15568</v>
      </c>
      <c r="B1618" s="49">
        <v>0</v>
      </c>
      <c r="C1618" s="49"/>
      <c r="D1618" s="72" t="s">
        <v>717</v>
      </c>
      <c r="E1618" s="49" t="s">
        <v>3754</v>
      </c>
      <c r="F1618" s="49"/>
      <c r="G1618" s="49"/>
      <c r="H1618" s="49" t="s">
        <v>15569</v>
      </c>
      <c r="I1618" s="49" t="s">
        <v>15572</v>
      </c>
      <c r="J1618" s="49" t="s">
        <v>15570</v>
      </c>
      <c r="K1618" s="49" t="s">
        <v>15571</v>
      </c>
      <c r="L1618" s="49">
        <v>0</v>
      </c>
      <c r="M1618" s="49" t="s">
        <v>1764</v>
      </c>
      <c r="N1618" s="49" t="s">
        <v>15573</v>
      </c>
      <c r="O1618" s="49">
        <v>14</v>
      </c>
      <c r="P1618" s="49" t="s">
        <v>15574</v>
      </c>
      <c r="Q1618" s="49">
        <v>0</v>
      </c>
      <c r="R1618" s="49" t="s">
        <v>15575</v>
      </c>
      <c r="S1618" s="49" t="s">
        <v>15576</v>
      </c>
      <c r="T1618" s="49" t="s">
        <v>15577</v>
      </c>
      <c r="U1618" s="49" t="s">
        <v>655</v>
      </c>
      <c r="V1618" s="49" t="e">
        <v>#REF!</v>
      </c>
      <c r="AC1618" s="49"/>
      <c r="AD1618" s="49"/>
    </row>
    <row r="1619" spans="1:30" hidden="1" x14ac:dyDescent="0.3">
      <c r="A1619" s="49" t="s">
        <v>15578</v>
      </c>
      <c r="B1619" s="49">
        <v>0</v>
      </c>
      <c r="C1619" s="49"/>
      <c r="D1619" s="72" t="s">
        <v>717</v>
      </c>
      <c r="E1619" s="49" t="s">
        <v>3754</v>
      </c>
      <c r="F1619" s="49"/>
      <c r="G1619" s="49"/>
      <c r="H1619" s="49" t="s">
        <v>15579</v>
      </c>
      <c r="I1619" s="49" t="s">
        <v>15582</v>
      </c>
      <c r="J1619" s="49" t="s">
        <v>15580</v>
      </c>
      <c r="K1619" s="49" t="s">
        <v>15581</v>
      </c>
      <c r="L1619" s="49">
        <v>0</v>
      </c>
      <c r="M1619" s="49" t="s">
        <v>1826</v>
      </c>
      <c r="N1619" s="49" t="s">
        <v>3456</v>
      </c>
      <c r="O1619" s="49">
        <v>8</v>
      </c>
      <c r="P1619" s="49" t="s">
        <v>15583</v>
      </c>
      <c r="Q1619" s="49">
        <v>0</v>
      </c>
      <c r="R1619" s="49" t="s">
        <v>15584</v>
      </c>
      <c r="S1619" s="49" t="s">
        <v>15585</v>
      </c>
      <c r="T1619" s="49" t="s">
        <v>15586</v>
      </c>
      <c r="U1619" s="49" t="s">
        <v>655</v>
      </c>
      <c r="V1619" s="49" t="e">
        <v>#REF!</v>
      </c>
      <c r="AC1619" s="49"/>
      <c r="AD1619" s="49"/>
    </row>
    <row r="1620" spans="1:30" hidden="1" x14ac:dyDescent="0.3">
      <c r="A1620" s="49" t="s">
        <v>15587</v>
      </c>
      <c r="B1620" s="49">
        <v>0</v>
      </c>
      <c r="C1620" s="49"/>
      <c r="D1620" s="72" t="s">
        <v>717</v>
      </c>
      <c r="E1620" s="49" t="s">
        <v>3754</v>
      </c>
      <c r="F1620" s="49"/>
      <c r="G1620" s="49"/>
      <c r="H1620" s="49" t="s">
        <v>15588</v>
      </c>
      <c r="I1620" s="49" t="s">
        <v>15591</v>
      </c>
      <c r="J1620" s="49" t="s">
        <v>15589</v>
      </c>
      <c r="K1620" s="49" t="s">
        <v>15590</v>
      </c>
      <c r="L1620" s="49">
        <v>0</v>
      </c>
      <c r="M1620" s="49" t="s">
        <v>2484</v>
      </c>
      <c r="N1620" s="49" t="s">
        <v>9363</v>
      </c>
      <c r="O1620" s="49">
        <v>17</v>
      </c>
      <c r="P1620" s="49" t="s">
        <v>15592</v>
      </c>
      <c r="Q1620" s="49">
        <v>0</v>
      </c>
      <c r="R1620" s="49" t="s">
        <v>15593</v>
      </c>
      <c r="S1620" s="49" t="s">
        <v>15594</v>
      </c>
      <c r="T1620" s="49" t="s">
        <v>15595</v>
      </c>
      <c r="U1620" s="49" t="s">
        <v>655</v>
      </c>
      <c r="V1620" s="49" t="e">
        <v>#REF!</v>
      </c>
      <c r="AC1620" s="49"/>
      <c r="AD1620" s="49"/>
    </row>
    <row r="1621" spans="1:30" hidden="1" x14ac:dyDescent="0.3">
      <c r="A1621" s="49" t="s">
        <v>15596</v>
      </c>
      <c r="B1621" s="49">
        <v>0</v>
      </c>
      <c r="C1621" s="49"/>
      <c r="D1621" s="72" t="s">
        <v>717</v>
      </c>
      <c r="E1621" s="49" t="s">
        <v>3754</v>
      </c>
      <c r="F1621" s="49"/>
      <c r="G1621" s="49"/>
      <c r="H1621" s="49" t="s">
        <v>15597</v>
      </c>
      <c r="I1621" s="49" t="s">
        <v>15599</v>
      </c>
      <c r="J1621" s="49" t="s">
        <v>15598</v>
      </c>
      <c r="K1621" s="49" t="s">
        <v>5525</v>
      </c>
      <c r="L1621" s="49">
        <v>0</v>
      </c>
      <c r="M1621" s="49" t="s">
        <v>2636</v>
      </c>
      <c r="N1621" s="49" t="s">
        <v>5527</v>
      </c>
      <c r="O1621" s="49">
        <v>6</v>
      </c>
      <c r="P1621" s="49" t="s">
        <v>15600</v>
      </c>
      <c r="Q1621" s="49">
        <v>0</v>
      </c>
      <c r="R1621" s="49" t="s">
        <v>15601</v>
      </c>
      <c r="S1621" s="49" t="s">
        <v>15602</v>
      </c>
      <c r="T1621" s="49" t="s">
        <v>15603</v>
      </c>
      <c r="U1621" s="49" t="s">
        <v>670</v>
      </c>
      <c r="V1621" s="49" t="e">
        <v>#REF!</v>
      </c>
      <c r="AC1621" s="49"/>
      <c r="AD1621" s="49"/>
    </row>
    <row r="1622" spans="1:30" hidden="1" x14ac:dyDescent="0.3">
      <c r="A1622" s="49" t="s">
        <v>15604</v>
      </c>
      <c r="B1622" s="49">
        <v>0</v>
      </c>
      <c r="C1622" s="49"/>
      <c r="D1622" s="72" t="s">
        <v>717</v>
      </c>
      <c r="E1622" s="49" t="s">
        <v>3754</v>
      </c>
      <c r="F1622" s="49"/>
      <c r="G1622" s="49"/>
      <c r="H1622" s="49" t="s">
        <v>15605</v>
      </c>
      <c r="I1622" s="49" t="s">
        <v>15608</v>
      </c>
      <c r="J1622" s="49" t="s">
        <v>15606</v>
      </c>
      <c r="K1622" s="49" t="s">
        <v>15607</v>
      </c>
      <c r="L1622" s="49">
        <v>0</v>
      </c>
      <c r="M1622" s="49" t="s">
        <v>1826</v>
      </c>
      <c r="N1622" s="49" t="s">
        <v>15609</v>
      </c>
      <c r="O1622" s="49">
        <v>4</v>
      </c>
      <c r="P1622" s="49" t="s">
        <v>15610</v>
      </c>
      <c r="Q1622" s="49">
        <v>0</v>
      </c>
      <c r="R1622" s="49" t="s">
        <v>15611</v>
      </c>
      <c r="S1622" s="49" t="s">
        <v>15612</v>
      </c>
      <c r="T1622" s="49" t="s">
        <v>15613</v>
      </c>
      <c r="U1622" s="49" t="s">
        <v>655</v>
      </c>
      <c r="V1622" s="49" t="e">
        <v>#REF!</v>
      </c>
      <c r="AC1622" s="49"/>
      <c r="AD1622" s="49"/>
    </row>
    <row r="1623" spans="1:30" hidden="1" x14ac:dyDescent="0.3">
      <c r="A1623" s="49" t="s">
        <v>15614</v>
      </c>
      <c r="B1623" s="49">
        <v>0</v>
      </c>
      <c r="C1623" s="49"/>
      <c r="D1623" s="72" t="s">
        <v>717</v>
      </c>
      <c r="E1623" s="49" t="s">
        <v>3754</v>
      </c>
      <c r="F1623" s="49"/>
      <c r="G1623" s="49"/>
      <c r="H1623" s="49" t="s">
        <v>15615</v>
      </c>
      <c r="I1623" s="49" t="s">
        <v>2894</v>
      </c>
      <c r="J1623" s="49" t="s">
        <v>2892</v>
      </c>
      <c r="K1623" s="49" t="s">
        <v>15616</v>
      </c>
      <c r="L1623" s="49">
        <v>0</v>
      </c>
      <c r="M1623" s="49" t="s">
        <v>1865</v>
      </c>
      <c r="N1623" s="49" t="s">
        <v>15617</v>
      </c>
      <c r="O1623" s="49">
        <v>26</v>
      </c>
      <c r="P1623" s="49" t="s">
        <v>15618</v>
      </c>
      <c r="Q1623" s="49">
        <v>0</v>
      </c>
      <c r="R1623" s="49" t="s">
        <v>15619</v>
      </c>
      <c r="S1623" s="49" t="s">
        <v>15620</v>
      </c>
      <c r="T1623" s="49" t="s">
        <v>15621</v>
      </c>
      <c r="U1623" s="49" t="s">
        <v>655</v>
      </c>
      <c r="V1623" s="49" t="e">
        <v>#REF!</v>
      </c>
      <c r="AC1623" s="49"/>
      <c r="AD1623" s="49"/>
    </row>
    <row r="1624" spans="1:30" hidden="1" x14ac:dyDescent="0.3">
      <c r="A1624" s="49" t="s">
        <v>15622</v>
      </c>
      <c r="B1624" s="49">
        <v>0</v>
      </c>
      <c r="C1624" s="49"/>
      <c r="D1624" s="72" t="s">
        <v>717</v>
      </c>
      <c r="E1624" s="49" t="s">
        <v>3754</v>
      </c>
      <c r="F1624" s="49"/>
      <c r="G1624" s="49"/>
      <c r="H1624" s="49" t="s">
        <v>15623</v>
      </c>
      <c r="I1624" s="49" t="s">
        <v>15626</v>
      </c>
      <c r="J1624" s="49" t="s">
        <v>15624</v>
      </c>
      <c r="K1624" s="49" t="s">
        <v>15625</v>
      </c>
      <c r="L1624" s="49">
        <v>0</v>
      </c>
      <c r="M1624" s="49" t="s">
        <v>1865</v>
      </c>
      <c r="N1624" s="49" t="s">
        <v>15627</v>
      </c>
      <c r="O1624" s="49">
        <v>2</v>
      </c>
      <c r="P1624" s="49" t="s">
        <v>15628</v>
      </c>
      <c r="Q1624" s="49">
        <v>0</v>
      </c>
      <c r="R1624" s="49" t="s">
        <v>15629</v>
      </c>
      <c r="S1624" s="49" t="s">
        <v>15630</v>
      </c>
      <c r="T1624" s="49" t="s">
        <v>15631</v>
      </c>
      <c r="U1624" s="49" t="s">
        <v>655</v>
      </c>
      <c r="V1624" s="49" t="e">
        <v>#REF!</v>
      </c>
      <c r="AC1624" s="49"/>
      <c r="AD1624" s="49"/>
    </row>
    <row r="1625" spans="1:30" hidden="1" x14ac:dyDescent="0.3">
      <c r="A1625" s="49" t="s">
        <v>15632</v>
      </c>
      <c r="B1625" s="49">
        <v>0</v>
      </c>
      <c r="C1625" s="49"/>
      <c r="D1625" s="72" t="s">
        <v>717</v>
      </c>
      <c r="E1625" s="49" t="s">
        <v>3754</v>
      </c>
      <c r="F1625" s="49"/>
      <c r="G1625" s="49"/>
      <c r="H1625" s="49" t="s">
        <v>15633</v>
      </c>
      <c r="I1625" s="49" t="s">
        <v>15636</v>
      </c>
      <c r="J1625" s="49" t="s">
        <v>15634</v>
      </c>
      <c r="K1625" s="49" t="s">
        <v>15635</v>
      </c>
      <c r="L1625" s="49">
        <v>0</v>
      </c>
      <c r="M1625" s="49" t="s">
        <v>1764</v>
      </c>
      <c r="N1625" s="49" t="s">
        <v>3949</v>
      </c>
      <c r="O1625" s="49">
        <v>10</v>
      </c>
      <c r="P1625" s="49" t="s">
        <v>15637</v>
      </c>
      <c r="Q1625" s="49">
        <v>0</v>
      </c>
      <c r="R1625" s="49" t="s">
        <v>15638</v>
      </c>
      <c r="S1625" s="49" t="s">
        <v>15639</v>
      </c>
      <c r="T1625" s="49" t="s">
        <v>15640</v>
      </c>
      <c r="U1625" s="49" t="s">
        <v>791</v>
      </c>
      <c r="V1625" s="49" t="e">
        <v>#REF!</v>
      </c>
      <c r="AC1625" s="49"/>
      <c r="AD1625" s="49"/>
    </row>
    <row r="1626" spans="1:30" hidden="1" x14ac:dyDescent="0.3">
      <c r="A1626" s="49" t="s">
        <v>15641</v>
      </c>
      <c r="B1626" s="49">
        <v>0</v>
      </c>
      <c r="C1626" s="49"/>
      <c r="D1626" s="72" t="s">
        <v>717</v>
      </c>
      <c r="E1626" s="49" t="s">
        <v>3754</v>
      </c>
      <c r="F1626" s="49"/>
      <c r="G1626" s="49"/>
      <c r="H1626" s="49" t="s">
        <v>15642</v>
      </c>
      <c r="I1626" s="49" t="s">
        <v>15645</v>
      </c>
      <c r="J1626" s="49" t="s">
        <v>15643</v>
      </c>
      <c r="K1626" s="49" t="s">
        <v>15644</v>
      </c>
      <c r="L1626" s="49">
        <v>0</v>
      </c>
      <c r="M1626" s="49" t="s">
        <v>4084</v>
      </c>
      <c r="N1626" s="49" t="s">
        <v>15646</v>
      </c>
      <c r="O1626" s="49">
        <v>420</v>
      </c>
      <c r="P1626" s="49" t="s">
        <v>15647</v>
      </c>
      <c r="Q1626" s="49">
        <v>0</v>
      </c>
      <c r="R1626" s="49" t="s">
        <v>15648</v>
      </c>
      <c r="S1626" s="49" t="s">
        <v>15649</v>
      </c>
      <c r="T1626" s="49" t="s">
        <v>15650</v>
      </c>
      <c r="U1626" s="49" t="s">
        <v>655</v>
      </c>
      <c r="V1626" s="49" t="e">
        <v>#REF!</v>
      </c>
      <c r="AC1626" s="49"/>
      <c r="AD1626" s="49"/>
    </row>
    <row r="1627" spans="1:30" hidden="1" x14ac:dyDescent="0.3">
      <c r="A1627" s="49" t="s">
        <v>15651</v>
      </c>
      <c r="B1627" s="49">
        <v>0</v>
      </c>
      <c r="C1627" s="49"/>
      <c r="D1627" s="72" t="s">
        <v>717</v>
      </c>
      <c r="E1627" s="49" t="s">
        <v>3754</v>
      </c>
      <c r="F1627" s="49"/>
      <c r="G1627" s="49"/>
      <c r="H1627" s="49" t="s">
        <v>15652</v>
      </c>
      <c r="I1627" s="49" t="s">
        <v>15655</v>
      </c>
      <c r="J1627" s="49" t="s">
        <v>15653</v>
      </c>
      <c r="K1627" s="49" t="s">
        <v>15654</v>
      </c>
      <c r="L1627" s="49">
        <v>0</v>
      </c>
      <c r="M1627" s="49" t="s">
        <v>1826</v>
      </c>
      <c r="N1627" s="49" t="s">
        <v>9363</v>
      </c>
      <c r="O1627" s="49">
        <v>8</v>
      </c>
      <c r="P1627" s="49" t="s">
        <v>15656</v>
      </c>
      <c r="Q1627" s="49">
        <v>0</v>
      </c>
      <c r="R1627" s="49" t="s">
        <v>15657</v>
      </c>
      <c r="S1627" s="49" t="s">
        <v>15658</v>
      </c>
      <c r="T1627" s="49" t="s">
        <v>15659</v>
      </c>
      <c r="U1627" s="49" t="s">
        <v>655</v>
      </c>
      <c r="V1627" s="49" t="e">
        <v>#REF!</v>
      </c>
      <c r="AC1627" s="49"/>
      <c r="AD1627" s="49"/>
    </row>
    <row r="1628" spans="1:30" hidden="1" x14ac:dyDescent="0.3">
      <c r="A1628" s="49" t="s">
        <v>15660</v>
      </c>
      <c r="B1628" s="49">
        <v>0</v>
      </c>
      <c r="C1628" s="49"/>
      <c r="D1628" s="72" t="s">
        <v>717</v>
      </c>
      <c r="E1628" s="49" t="s">
        <v>3754</v>
      </c>
      <c r="F1628" s="49"/>
      <c r="G1628" s="49"/>
      <c r="H1628" s="49" t="s">
        <v>646</v>
      </c>
      <c r="I1628" s="49" t="s">
        <v>15663</v>
      </c>
      <c r="J1628" s="49" t="s">
        <v>15661</v>
      </c>
      <c r="K1628" s="49" t="s">
        <v>15662</v>
      </c>
      <c r="L1628" s="49">
        <v>0</v>
      </c>
      <c r="M1628" s="49" t="s">
        <v>1764</v>
      </c>
      <c r="N1628" s="49" t="s">
        <v>9066</v>
      </c>
      <c r="O1628" s="49">
        <v>10</v>
      </c>
      <c r="P1628" s="49" t="s">
        <v>15664</v>
      </c>
      <c r="Q1628" s="49">
        <v>0</v>
      </c>
      <c r="R1628" s="49" t="s">
        <v>15665</v>
      </c>
      <c r="S1628" s="49" t="s">
        <v>15666</v>
      </c>
      <c r="T1628" s="49" t="s">
        <v>15667</v>
      </c>
      <c r="U1628" s="49" t="s">
        <v>655</v>
      </c>
      <c r="V1628" s="49" t="e">
        <v>#REF!</v>
      </c>
      <c r="AC1628" s="49"/>
      <c r="AD1628" s="49"/>
    </row>
    <row r="1629" spans="1:30" hidden="1" x14ac:dyDescent="0.3">
      <c r="A1629" s="49" t="s">
        <v>1455</v>
      </c>
      <c r="B1629" s="49">
        <v>0</v>
      </c>
      <c r="C1629" s="49"/>
      <c r="D1629" s="72" t="s">
        <v>717</v>
      </c>
      <c r="E1629" s="49" t="s">
        <v>3754</v>
      </c>
      <c r="F1629" s="49"/>
      <c r="G1629" s="49"/>
      <c r="H1629" s="49" t="s">
        <v>1457</v>
      </c>
      <c r="I1629" s="49" t="s">
        <v>1458</v>
      </c>
      <c r="J1629" s="49" t="s">
        <v>1459</v>
      </c>
      <c r="K1629" s="49" t="s">
        <v>1460</v>
      </c>
      <c r="L1629" s="49">
        <v>0</v>
      </c>
      <c r="M1629" s="49" t="s">
        <v>1865</v>
      </c>
      <c r="N1629" s="49" t="s">
        <v>1461</v>
      </c>
      <c r="O1629" s="49">
        <v>9</v>
      </c>
      <c r="P1629" s="49" t="s">
        <v>1462</v>
      </c>
      <c r="Q1629" s="49">
        <v>0</v>
      </c>
      <c r="R1629" s="49" t="s">
        <v>1463</v>
      </c>
      <c r="S1629" s="49" t="s">
        <v>1464</v>
      </c>
      <c r="T1629" s="49" t="s">
        <v>15668</v>
      </c>
      <c r="U1629" s="49" t="s">
        <v>646</v>
      </c>
      <c r="V1629" s="49" t="e">
        <v>#REF!</v>
      </c>
      <c r="AC1629" s="49"/>
      <c r="AD1629" s="49"/>
    </row>
    <row r="1630" spans="1:30" hidden="1" x14ac:dyDescent="0.3">
      <c r="A1630" s="49" t="s">
        <v>15669</v>
      </c>
      <c r="B1630" s="49">
        <v>0</v>
      </c>
      <c r="C1630" s="49"/>
      <c r="D1630" s="72" t="s">
        <v>717</v>
      </c>
      <c r="E1630" s="49" t="s">
        <v>3754</v>
      </c>
      <c r="F1630" s="49"/>
      <c r="G1630" s="49"/>
      <c r="H1630" s="49" t="s">
        <v>15670</v>
      </c>
      <c r="I1630" s="49" t="s">
        <v>15673</v>
      </c>
      <c r="J1630" s="49" t="s">
        <v>15671</v>
      </c>
      <c r="K1630" s="49" t="s">
        <v>15672</v>
      </c>
      <c r="L1630" s="49">
        <v>0</v>
      </c>
      <c r="M1630" s="49" t="s">
        <v>4084</v>
      </c>
      <c r="N1630" s="49" t="s">
        <v>15674</v>
      </c>
      <c r="O1630" s="49">
        <v>2</v>
      </c>
      <c r="P1630" s="49" t="s">
        <v>15675</v>
      </c>
      <c r="Q1630" s="49">
        <v>0</v>
      </c>
      <c r="R1630" s="49" t="s">
        <v>15676</v>
      </c>
      <c r="S1630" s="49" t="s">
        <v>15677</v>
      </c>
      <c r="T1630" s="49" t="s">
        <v>15678</v>
      </c>
      <c r="U1630" s="49" t="s">
        <v>670</v>
      </c>
      <c r="V1630" s="49" t="e">
        <v>#REF!</v>
      </c>
      <c r="AC1630" s="49"/>
      <c r="AD1630" s="49"/>
    </row>
    <row r="1631" spans="1:30" hidden="1" x14ac:dyDescent="0.3">
      <c r="A1631" s="49" t="s">
        <v>15679</v>
      </c>
      <c r="B1631" s="49">
        <v>0</v>
      </c>
      <c r="C1631" s="49"/>
      <c r="D1631" s="72" t="s">
        <v>717</v>
      </c>
      <c r="E1631" s="49" t="s">
        <v>3754</v>
      </c>
      <c r="F1631" s="49"/>
      <c r="G1631" s="49"/>
      <c r="H1631" s="49" t="s">
        <v>15680</v>
      </c>
      <c r="I1631" s="49" t="s">
        <v>15683</v>
      </c>
      <c r="J1631" s="49" t="s">
        <v>15681</v>
      </c>
      <c r="K1631" s="49" t="s">
        <v>15682</v>
      </c>
      <c r="L1631" s="49">
        <v>0</v>
      </c>
      <c r="M1631" s="49" t="s">
        <v>1865</v>
      </c>
      <c r="N1631" s="49" t="s">
        <v>15684</v>
      </c>
      <c r="O1631" s="49">
        <v>4</v>
      </c>
      <c r="P1631" s="49" t="s">
        <v>15685</v>
      </c>
      <c r="Q1631" s="49">
        <v>0</v>
      </c>
      <c r="R1631" s="49" t="s">
        <v>15686</v>
      </c>
      <c r="S1631" s="49" t="s">
        <v>15687</v>
      </c>
      <c r="T1631" s="49" t="s">
        <v>15688</v>
      </c>
      <c r="U1631" s="49" t="s">
        <v>655</v>
      </c>
      <c r="V1631" s="49" t="e">
        <v>#REF!</v>
      </c>
      <c r="AC1631" s="49"/>
      <c r="AD1631" s="49"/>
    </row>
    <row r="1632" spans="1:30" hidden="1" x14ac:dyDescent="0.3">
      <c r="A1632" s="49" t="s">
        <v>15689</v>
      </c>
      <c r="B1632" s="49">
        <v>0</v>
      </c>
      <c r="C1632" s="49"/>
      <c r="D1632" s="72" t="s">
        <v>717</v>
      </c>
      <c r="E1632" s="49" t="s">
        <v>3754</v>
      </c>
      <c r="F1632" s="49"/>
      <c r="G1632" s="49"/>
      <c r="H1632" s="49" t="s">
        <v>15690</v>
      </c>
      <c r="I1632" s="49" t="s">
        <v>1563</v>
      </c>
      <c r="J1632" s="49" t="s">
        <v>1564</v>
      </c>
      <c r="K1632" s="49" t="s">
        <v>15691</v>
      </c>
      <c r="L1632" s="49">
        <v>0</v>
      </c>
      <c r="M1632" s="49" t="s">
        <v>4156</v>
      </c>
      <c r="N1632" s="49" t="s">
        <v>12752</v>
      </c>
      <c r="O1632" s="49">
        <v>59</v>
      </c>
      <c r="P1632" s="49" t="s">
        <v>15692</v>
      </c>
      <c r="Q1632" s="49">
        <v>0</v>
      </c>
      <c r="R1632" s="49" t="s">
        <v>15693</v>
      </c>
      <c r="S1632" s="49" t="s">
        <v>15694</v>
      </c>
      <c r="T1632" s="49" t="s">
        <v>15695</v>
      </c>
      <c r="U1632" s="49" t="s">
        <v>655</v>
      </c>
      <c r="V1632" s="49" t="e">
        <v>#REF!</v>
      </c>
      <c r="AC1632" s="49"/>
      <c r="AD1632" s="49"/>
    </row>
    <row r="1633" spans="1:30" hidden="1" x14ac:dyDescent="0.3">
      <c r="A1633" s="49" t="s">
        <v>15696</v>
      </c>
      <c r="B1633" s="49">
        <v>0</v>
      </c>
      <c r="C1633" s="49"/>
      <c r="D1633" s="72" t="s">
        <v>717</v>
      </c>
      <c r="E1633" s="49" t="s">
        <v>3754</v>
      </c>
      <c r="F1633" s="49"/>
      <c r="G1633" s="49"/>
      <c r="H1633" s="49" t="s">
        <v>15697</v>
      </c>
      <c r="I1633" s="49" t="s">
        <v>15700</v>
      </c>
      <c r="J1633" s="49" t="s">
        <v>15698</v>
      </c>
      <c r="K1633" s="49" t="s">
        <v>15699</v>
      </c>
      <c r="L1633" s="49">
        <v>0</v>
      </c>
      <c r="M1633" s="49" t="s">
        <v>2142</v>
      </c>
      <c r="N1633" s="49" t="s">
        <v>15701</v>
      </c>
      <c r="O1633" s="49">
        <v>9</v>
      </c>
      <c r="P1633" s="49" t="s">
        <v>15702</v>
      </c>
      <c r="Q1633" s="49">
        <v>0</v>
      </c>
      <c r="R1633" s="49" t="s">
        <v>15703</v>
      </c>
      <c r="S1633" s="49" t="s">
        <v>15704</v>
      </c>
      <c r="T1633" s="49" t="s">
        <v>15705</v>
      </c>
      <c r="U1633" s="49" t="s">
        <v>655</v>
      </c>
      <c r="V1633" s="49" t="e">
        <v>#REF!</v>
      </c>
      <c r="AC1633" s="49"/>
      <c r="AD1633" s="49"/>
    </row>
    <row r="1634" spans="1:30" hidden="1" x14ac:dyDescent="0.3">
      <c r="A1634" s="49" t="s">
        <v>15706</v>
      </c>
      <c r="B1634" s="49">
        <v>0</v>
      </c>
      <c r="C1634" s="49"/>
      <c r="D1634" s="72" t="s">
        <v>717</v>
      </c>
      <c r="E1634" s="49" t="s">
        <v>3754</v>
      </c>
      <c r="F1634" s="49"/>
      <c r="G1634" s="49"/>
      <c r="H1634" s="49" t="s">
        <v>15707</v>
      </c>
      <c r="I1634" s="49" t="s">
        <v>15710</v>
      </c>
      <c r="J1634" s="49" t="s">
        <v>15708</v>
      </c>
      <c r="K1634" s="49" t="s">
        <v>15709</v>
      </c>
      <c r="L1634" s="49">
        <v>0</v>
      </c>
      <c r="M1634" s="49" t="s">
        <v>1764</v>
      </c>
      <c r="N1634" s="49" t="s">
        <v>13860</v>
      </c>
      <c r="O1634" s="49">
        <v>39</v>
      </c>
      <c r="P1634" s="49" t="s">
        <v>15711</v>
      </c>
      <c r="Q1634" s="49">
        <v>0</v>
      </c>
      <c r="R1634" s="49" t="s">
        <v>15712</v>
      </c>
      <c r="S1634" s="49" t="s">
        <v>15713</v>
      </c>
      <c r="T1634" s="49" t="s">
        <v>646</v>
      </c>
      <c r="U1634" s="49" t="s">
        <v>655</v>
      </c>
      <c r="V1634" s="49" t="e">
        <v>#REF!</v>
      </c>
      <c r="AC1634" s="49"/>
      <c r="AD1634" s="49"/>
    </row>
    <row r="1635" spans="1:30" hidden="1" x14ac:dyDescent="0.3">
      <c r="A1635" s="49" t="s">
        <v>15714</v>
      </c>
      <c r="B1635" s="49">
        <v>0</v>
      </c>
      <c r="C1635" s="49"/>
      <c r="D1635" s="72" t="s">
        <v>717</v>
      </c>
      <c r="E1635" s="49" t="s">
        <v>3754</v>
      </c>
      <c r="F1635" s="49"/>
      <c r="G1635" s="49"/>
      <c r="H1635" s="49" t="s">
        <v>15715</v>
      </c>
      <c r="I1635" s="49" t="s">
        <v>15718</v>
      </c>
      <c r="J1635" s="49" t="s">
        <v>15716</v>
      </c>
      <c r="K1635" s="49" t="s">
        <v>15717</v>
      </c>
      <c r="L1635" s="49">
        <v>0</v>
      </c>
      <c r="M1635" s="49" t="s">
        <v>1865</v>
      </c>
      <c r="N1635" s="49" t="s">
        <v>15719</v>
      </c>
      <c r="O1635" s="49">
        <v>6</v>
      </c>
      <c r="P1635" s="49" t="s">
        <v>15720</v>
      </c>
      <c r="Q1635" s="49">
        <v>0</v>
      </c>
      <c r="R1635" s="49" t="s">
        <v>15721</v>
      </c>
      <c r="S1635" s="49" t="s">
        <v>15722</v>
      </c>
      <c r="T1635" s="49" t="s">
        <v>15723</v>
      </c>
      <c r="U1635" s="49" t="s">
        <v>655</v>
      </c>
      <c r="V1635" s="49" t="e">
        <v>#REF!</v>
      </c>
      <c r="AC1635" s="49"/>
      <c r="AD1635" s="49"/>
    </row>
    <row r="1636" spans="1:30" hidden="1" x14ac:dyDescent="0.3">
      <c r="A1636" s="49" t="s">
        <v>15724</v>
      </c>
      <c r="B1636" s="49">
        <v>0</v>
      </c>
      <c r="C1636" s="49"/>
      <c r="D1636" s="72" t="s">
        <v>717</v>
      </c>
      <c r="E1636" s="49" t="s">
        <v>3754</v>
      </c>
      <c r="F1636" s="49"/>
      <c r="G1636" s="49"/>
      <c r="H1636" s="49" t="s">
        <v>15725</v>
      </c>
      <c r="I1636" s="49" t="s">
        <v>15728</v>
      </c>
      <c r="J1636" s="49" t="s">
        <v>15726</v>
      </c>
      <c r="K1636" s="49" t="s">
        <v>15727</v>
      </c>
      <c r="L1636" s="49">
        <v>0</v>
      </c>
      <c r="M1636" s="49" t="s">
        <v>1865</v>
      </c>
      <c r="N1636" s="49" t="s">
        <v>15729</v>
      </c>
      <c r="O1636" s="49">
        <v>22</v>
      </c>
      <c r="P1636" s="49" t="s">
        <v>15730</v>
      </c>
      <c r="Q1636" s="49">
        <v>0</v>
      </c>
      <c r="R1636" s="49" t="s">
        <v>15731</v>
      </c>
      <c r="S1636" s="49" t="s">
        <v>15732</v>
      </c>
      <c r="T1636" s="49" t="s">
        <v>15733</v>
      </c>
      <c r="U1636" s="49" t="s">
        <v>655</v>
      </c>
      <c r="V1636" s="49" t="e">
        <v>#REF!</v>
      </c>
      <c r="AC1636" s="49"/>
      <c r="AD1636" s="49"/>
    </row>
    <row r="1637" spans="1:30" hidden="1" x14ac:dyDescent="0.3">
      <c r="A1637" s="49" t="s">
        <v>15734</v>
      </c>
      <c r="B1637" s="49">
        <v>0</v>
      </c>
      <c r="C1637" s="49"/>
      <c r="D1637" s="72" t="s">
        <v>717</v>
      </c>
      <c r="E1637" s="49" t="s">
        <v>3754</v>
      </c>
      <c r="F1637" s="49"/>
      <c r="G1637" s="49"/>
      <c r="H1637" s="49" t="s">
        <v>15735</v>
      </c>
      <c r="I1637" s="49" t="s">
        <v>15738</v>
      </c>
      <c r="J1637" s="49" t="s">
        <v>15736</v>
      </c>
      <c r="K1637" s="49" t="s">
        <v>15737</v>
      </c>
      <c r="L1637" s="49">
        <v>0</v>
      </c>
      <c r="M1637" s="49" t="s">
        <v>1826</v>
      </c>
      <c r="N1637" s="49" t="s">
        <v>15739</v>
      </c>
      <c r="P1637" s="49" t="s">
        <v>15740</v>
      </c>
      <c r="Q1637" s="49">
        <v>0</v>
      </c>
      <c r="R1637" s="49" t="s">
        <v>15741</v>
      </c>
      <c r="S1637" s="49" t="s">
        <v>15742</v>
      </c>
      <c r="T1637" s="49" t="s">
        <v>15743</v>
      </c>
      <c r="U1637" s="49" t="s">
        <v>655</v>
      </c>
      <c r="V1637" s="49" t="e">
        <v>#REF!</v>
      </c>
      <c r="AC1637" s="49"/>
      <c r="AD1637" s="49"/>
    </row>
    <row r="1638" spans="1:30" hidden="1" x14ac:dyDescent="0.3">
      <c r="A1638" s="49" t="s">
        <v>15744</v>
      </c>
      <c r="B1638" s="49">
        <v>0</v>
      </c>
      <c r="C1638" s="49"/>
      <c r="D1638" s="72" t="s">
        <v>717</v>
      </c>
      <c r="E1638" s="49" t="s">
        <v>3754</v>
      </c>
      <c r="F1638" s="49"/>
      <c r="G1638" s="49"/>
      <c r="H1638" s="49" t="s">
        <v>15745</v>
      </c>
      <c r="I1638" s="49" t="s">
        <v>15748</v>
      </c>
      <c r="J1638" s="49" t="s">
        <v>15746</v>
      </c>
      <c r="K1638" s="49" t="s">
        <v>15747</v>
      </c>
      <c r="L1638" s="49">
        <v>0</v>
      </c>
      <c r="M1638" s="49" t="s">
        <v>1764</v>
      </c>
      <c r="N1638" s="49" t="s">
        <v>2036</v>
      </c>
      <c r="O1638" s="49">
        <v>28</v>
      </c>
      <c r="P1638" s="49" t="s">
        <v>15749</v>
      </c>
      <c r="Q1638" s="49">
        <v>0</v>
      </c>
      <c r="R1638" s="49" t="s">
        <v>15750</v>
      </c>
      <c r="S1638" s="49" t="s">
        <v>15751</v>
      </c>
      <c r="T1638" s="49" t="s">
        <v>15752</v>
      </c>
      <c r="U1638" s="49" t="s">
        <v>655</v>
      </c>
      <c r="V1638" s="49" t="e">
        <v>#REF!</v>
      </c>
      <c r="AC1638" s="49"/>
      <c r="AD1638" s="49"/>
    </row>
    <row r="1639" spans="1:30" hidden="1" x14ac:dyDescent="0.3">
      <c r="A1639" s="49" t="s">
        <v>15753</v>
      </c>
      <c r="B1639" s="49">
        <v>0</v>
      </c>
      <c r="C1639" s="49"/>
      <c r="D1639" s="72" t="s">
        <v>717</v>
      </c>
      <c r="E1639" s="49" t="s">
        <v>3754</v>
      </c>
      <c r="F1639" s="49"/>
      <c r="G1639" s="49"/>
      <c r="H1639" s="49" t="s">
        <v>15754</v>
      </c>
      <c r="I1639" s="49" t="s">
        <v>15757</v>
      </c>
      <c r="J1639" s="49" t="s">
        <v>15755</v>
      </c>
      <c r="K1639" s="49" t="s">
        <v>15756</v>
      </c>
      <c r="L1639" s="49">
        <v>0</v>
      </c>
      <c r="M1639" s="49" t="s">
        <v>2484</v>
      </c>
      <c r="N1639" s="49" t="s">
        <v>2845</v>
      </c>
      <c r="O1639" s="49">
        <v>10</v>
      </c>
      <c r="P1639" s="49" t="s">
        <v>15758</v>
      </c>
      <c r="Q1639" s="49">
        <v>0</v>
      </c>
      <c r="R1639" s="49" t="s">
        <v>15759</v>
      </c>
      <c r="S1639" s="49" t="s">
        <v>15760</v>
      </c>
      <c r="T1639" s="49" t="s">
        <v>15761</v>
      </c>
      <c r="U1639" s="49" t="s">
        <v>655</v>
      </c>
      <c r="V1639" s="49" t="e">
        <v>#REF!</v>
      </c>
      <c r="AC1639" s="49"/>
      <c r="AD1639" s="49"/>
    </row>
    <row r="1640" spans="1:30" hidden="1" x14ac:dyDescent="0.3">
      <c r="A1640" s="49" t="s">
        <v>15762</v>
      </c>
      <c r="B1640" s="49">
        <v>0</v>
      </c>
      <c r="C1640" s="49"/>
      <c r="D1640" s="72" t="s">
        <v>717</v>
      </c>
      <c r="E1640" s="49" t="s">
        <v>3754</v>
      </c>
      <c r="F1640" s="49"/>
      <c r="G1640" s="49"/>
      <c r="H1640" s="49" t="s">
        <v>15763</v>
      </c>
      <c r="I1640" s="49" t="s">
        <v>15766</v>
      </c>
      <c r="J1640" s="49" t="s">
        <v>15764</v>
      </c>
      <c r="K1640" s="49" t="s">
        <v>15765</v>
      </c>
      <c r="L1640" s="49">
        <v>0</v>
      </c>
      <c r="M1640" s="49" t="s">
        <v>4114</v>
      </c>
      <c r="N1640" s="49" t="s">
        <v>15767</v>
      </c>
      <c r="O1640" s="49">
        <v>8</v>
      </c>
      <c r="P1640" s="49" t="s">
        <v>15768</v>
      </c>
      <c r="Q1640" s="49">
        <v>0</v>
      </c>
      <c r="R1640" s="49" t="s">
        <v>15769</v>
      </c>
      <c r="S1640" s="49" t="s">
        <v>15770</v>
      </c>
      <c r="T1640" s="49" t="s">
        <v>15771</v>
      </c>
      <c r="U1640" s="49" t="s">
        <v>655</v>
      </c>
      <c r="V1640" s="49" t="e">
        <v>#REF!</v>
      </c>
      <c r="AC1640" s="49"/>
      <c r="AD1640" s="49"/>
    </row>
    <row r="1641" spans="1:30" hidden="1" x14ac:dyDescent="0.3">
      <c r="A1641" s="49" t="s">
        <v>1044</v>
      </c>
      <c r="B1641" s="49">
        <v>0</v>
      </c>
      <c r="C1641" s="49"/>
      <c r="D1641" s="72" t="s">
        <v>717</v>
      </c>
      <c r="E1641" s="49" t="s">
        <v>3754</v>
      </c>
      <c r="F1641" s="49"/>
      <c r="G1641" s="49"/>
      <c r="H1641" s="49" t="s">
        <v>1046</v>
      </c>
      <c r="I1641" s="49" t="s">
        <v>1047</v>
      </c>
      <c r="J1641" s="49" t="s">
        <v>1048</v>
      </c>
      <c r="K1641" s="49" t="s">
        <v>1049</v>
      </c>
      <c r="L1641" s="49">
        <v>0</v>
      </c>
      <c r="M1641" s="49" t="s">
        <v>2636</v>
      </c>
      <c r="N1641" s="49" t="s">
        <v>1051</v>
      </c>
      <c r="O1641" s="49">
        <v>16</v>
      </c>
      <c r="P1641" s="49" t="s">
        <v>1052</v>
      </c>
      <c r="Q1641" s="49">
        <v>0</v>
      </c>
      <c r="R1641" s="49" t="s">
        <v>1054</v>
      </c>
      <c r="S1641" s="49" t="s">
        <v>1055</v>
      </c>
      <c r="T1641" s="49" t="s">
        <v>15772</v>
      </c>
      <c r="U1641" s="49" t="s">
        <v>670</v>
      </c>
      <c r="V1641" s="49" t="e">
        <v>#REF!</v>
      </c>
      <c r="AC1641" s="49"/>
      <c r="AD1641" s="49"/>
    </row>
    <row r="1642" spans="1:30" hidden="1" x14ac:dyDescent="0.3">
      <c r="A1642" s="49" t="s">
        <v>1423</v>
      </c>
      <c r="B1642" s="49">
        <v>0</v>
      </c>
      <c r="C1642" s="49"/>
      <c r="D1642" s="72" t="s">
        <v>717</v>
      </c>
      <c r="E1642" s="49" t="s">
        <v>3754</v>
      </c>
      <c r="F1642" s="49"/>
      <c r="G1642" s="49"/>
      <c r="H1642" s="49" t="s">
        <v>1425</v>
      </c>
      <c r="I1642" s="49" t="s">
        <v>1426</v>
      </c>
      <c r="J1642" s="49" t="s">
        <v>1427</v>
      </c>
      <c r="K1642" s="49" t="s">
        <v>1428</v>
      </c>
      <c r="L1642" s="49">
        <v>0</v>
      </c>
      <c r="M1642" s="49" t="s">
        <v>2220</v>
      </c>
      <c r="N1642" s="49" t="s">
        <v>1429</v>
      </c>
      <c r="O1642" s="49">
        <v>4</v>
      </c>
      <c r="P1642" s="49" t="s">
        <v>1430</v>
      </c>
      <c r="Q1642" s="49">
        <v>0</v>
      </c>
      <c r="R1642" s="49" t="s">
        <v>1432</v>
      </c>
      <c r="S1642" s="49" t="s">
        <v>1433</v>
      </c>
      <c r="T1642" s="49" t="s">
        <v>15773</v>
      </c>
      <c r="U1642" s="49" t="s">
        <v>670</v>
      </c>
      <c r="V1642" s="49" t="e">
        <v>#REF!</v>
      </c>
      <c r="AC1642" s="49"/>
      <c r="AD1642" s="49"/>
    </row>
    <row r="1643" spans="1:30" hidden="1" x14ac:dyDescent="0.3">
      <c r="A1643" s="49" t="s">
        <v>781</v>
      </c>
      <c r="B1643" s="49">
        <v>0</v>
      </c>
      <c r="C1643" s="49"/>
      <c r="D1643" s="72" t="s">
        <v>717</v>
      </c>
      <c r="E1643" s="49" t="s">
        <v>3754</v>
      </c>
      <c r="F1643" s="49"/>
      <c r="G1643" s="49"/>
      <c r="H1643" s="49" t="s">
        <v>783</v>
      </c>
      <c r="I1643" s="49" t="s">
        <v>784</v>
      </c>
      <c r="J1643" s="49" t="s">
        <v>785</v>
      </c>
      <c r="K1643" s="49" t="s">
        <v>786</v>
      </c>
      <c r="L1643" s="49">
        <v>0</v>
      </c>
      <c r="M1643" s="49" t="s">
        <v>4084</v>
      </c>
      <c r="N1643" s="49" t="s">
        <v>708</v>
      </c>
      <c r="O1643" s="49">
        <v>83</v>
      </c>
      <c r="P1643" s="49" t="s">
        <v>787</v>
      </c>
      <c r="Q1643" s="49">
        <v>0</v>
      </c>
      <c r="R1643" s="49" t="s">
        <v>788</v>
      </c>
      <c r="S1643" s="49" t="s">
        <v>789</v>
      </c>
      <c r="T1643" s="49" t="s">
        <v>15774</v>
      </c>
      <c r="U1643" s="49" t="s">
        <v>791</v>
      </c>
      <c r="V1643" s="49" t="e">
        <v>#REF!</v>
      </c>
      <c r="AC1643" s="49"/>
      <c r="AD1643" s="49"/>
    </row>
    <row r="1644" spans="1:30" hidden="1" x14ac:dyDescent="0.3">
      <c r="A1644" s="49" t="s">
        <v>15775</v>
      </c>
      <c r="B1644" s="49">
        <v>0</v>
      </c>
      <c r="C1644" s="49"/>
      <c r="D1644" s="72" t="s">
        <v>717</v>
      </c>
      <c r="E1644" s="49" t="s">
        <v>3754</v>
      </c>
      <c r="F1644" s="49"/>
      <c r="G1644" s="49"/>
      <c r="H1644" s="49" t="s">
        <v>15776</v>
      </c>
      <c r="I1644" s="49" t="s">
        <v>15779</v>
      </c>
      <c r="J1644" s="49" t="s">
        <v>15777</v>
      </c>
      <c r="K1644" s="49" t="s">
        <v>15778</v>
      </c>
      <c r="L1644" s="49">
        <v>0</v>
      </c>
      <c r="M1644" s="49" t="s">
        <v>2484</v>
      </c>
      <c r="N1644" s="49" t="s">
        <v>15780</v>
      </c>
      <c r="O1644" s="49">
        <v>4</v>
      </c>
      <c r="P1644" s="49" t="s">
        <v>15781</v>
      </c>
      <c r="Q1644" s="49">
        <v>0</v>
      </c>
      <c r="R1644" s="49" t="s">
        <v>15782</v>
      </c>
      <c r="S1644" s="49" t="s">
        <v>15783</v>
      </c>
      <c r="T1644" s="49" t="s">
        <v>646</v>
      </c>
      <c r="U1644" s="49" t="s">
        <v>670</v>
      </c>
      <c r="V1644" s="49" t="e">
        <v>#REF!</v>
      </c>
      <c r="AC1644" s="49"/>
      <c r="AD1644" s="49"/>
    </row>
    <row r="1645" spans="1:30" hidden="1" x14ac:dyDescent="0.3">
      <c r="A1645" s="49" t="s">
        <v>15784</v>
      </c>
      <c r="B1645" s="49">
        <v>0</v>
      </c>
      <c r="C1645" s="49"/>
      <c r="D1645" s="72" t="s">
        <v>717</v>
      </c>
      <c r="E1645" s="49" t="s">
        <v>3754</v>
      </c>
      <c r="F1645" s="49"/>
      <c r="G1645" s="49"/>
      <c r="H1645" s="49" t="s">
        <v>15785</v>
      </c>
      <c r="I1645" s="49" t="s">
        <v>15788</v>
      </c>
      <c r="J1645" s="49" t="s">
        <v>15786</v>
      </c>
      <c r="K1645" s="49" t="s">
        <v>15787</v>
      </c>
      <c r="L1645" s="49">
        <v>0</v>
      </c>
      <c r="M1645" s="49" t="s">
        <v>2142</v>
      </c>
      <c r="N1645" s="49" t="s">
        <v>10667</v>
      </c>
      <c r="O1645" s="49">
        <v>4</v>
      </c>
      <c r="P1645" s="49" t="s">
        <v>15789</v>
      </c>
      <c r="Q1645" s="49">
        <v>0</v>
      </c>
      <c r="R1645" s="49" t="s">
        <v>15790</v>
      </c>
      <c r="S1645" s="49" t="s">
        <v>15791</v>
      </c>
      <c r="T1645" s="49" t="s">
        <v>15792</v>
      </c>
      <c r="U1645" s="49" t="s">
        <v>655</v>
      </c>
      <c r="V1645" s="49" t="e">
        <v>#REF!</v>
      </c>
      <c r="AC1645" s="49"/>
      <c r="AD1645" s="49"/>
    </row>
    <row r="1646" spans="1:30" hidden="1" x14ac:dyDescent="0.3">
      <c r="A1646" s="49" t="s">
        <v>15793</v>
      </c>
      <c r="B1646" s="49">
        <v>0</v>
      </c>
      <c r="C1646" s="49"/>
      <c r="D1646" s="72" t="s">
        <v>717</v>
      </c>
      <c r="E1646" s="49" t="s">
        <v>3754</v>
      </c>
      <c r="F1646" s="49"/>
      <c r="G1646" s="49"/>
      <c r="H1646" s="49" t="s">
        <v>15794</v>
      </c>
      <c r="I1646" s="49" t="s">
        <v>15797</v>
      </c>
      <c r="J1646" s="49" t="s">
        <v>15795</v>
      </c>
      <c r="K1646" s="49" t="s">
        <v>15796</v>
      </c>
      <c r="L1646" s="49">
        <v>0</v>
      </c>
      <c r="M1646" s="49" t="s">
        <v>2456</v>
      </c>
      <c r="N1646" s="49" t="s">
        <v>15798</v>
      </c>
      <c r="O1646" s="49">
        <v>11</v>
      </c>
      <c r="P1646" s="49" t="s">
        <v>15799</v>
      </c>
      <c r="Q1646" s="49">
        <v>0</v>
      </c>
      <c r="R1646" s="49" t="s">
        <v>15800</v>
      </c>
      <c r="S1646" s="49" t="s">
        <v>15801</v>
      </c>
      <c r="T1646" s="49" t="s">
        <v>15802</v>
      </c>
      <c r="U1646" s="49" t="s">
        <v>655</v>
      </c>
      <c r="V1646" s="49" t="e">
        <v>#REF!</v>
      </c>
      <c r="AC1646" s="49"/>
      <c r="AD1646" s="49"/>
    </row>
    <row r="1647" spans="1:30" hidden="1" x14ac:dyDescent="0.3">
      <c r="A1647" s="49" t="s">
        <v>1133</v>
      </c>
      <c r="B1647" s="49">
        <v>0</v>
      </c>
      <c r="C1647" s="49"/>
      <c r="D1647" s="72" t="s">
        <v>717</v>
      </c>
      <c r="E1647" s="49" t="s">
        <v>3754</v>
      </c>
      <c r="F1647" s="49"/>
      <c r="G1647" s="49"/>
      <c r="H1647" s="49" t="s">
        <v>1135</v>
      </c>
      <c r="I1647" s="49" t="s">
        <v>1136</v>
      </c>
      <c r="J1647" s="49" t="s">
        <v>1137</v>
      </c>
      <c r="K1647" s="49" t="s">
        <v>1138</v>
      </c>
      <c r="L1647" s="49">
        <v>0</v>
      </c>
      <c r="M1647" s="49" t="s">
        <v>1865</v>
      </c>
      <c r="N1647" s="49" t="s">
        <v>1051</v>
      </c>
      <c r="O1647" s="49">
        <v>14</v>
      </c>
      <c r="P1647" s="49" t="s">
        <v>1140</v>
      </c>
      <c r="Q1647" s="49">
        <v>0</v>
      </c>
      <c r="R1647" s="49" t="s">
        <v>1141</v>
      </c>
      <c r="S1647" s="49" t="s">
        <v>1142</v>
      </c>
      <c r="T1647" s="49" t="s">
        <v>1700</v>
      </c>
      <c r="U1647" s="49" t="s">
        <v>655</v>
      </c>
      <c r="V1647" s="49" t="e">
        <v>#REF!</v>
      </c>
      <c r="AC1647" s="49"/>
      <c r="AD1647" s="49"/>
    </row>
    <row r="1648" spans="1:30" hidden="1" x14ac:dyDescent="0.3">
      <c r="A1648" s="49" t="s">
        <v>15803</v>
      </c>
      <c r="B1648" s="49">
        <v>0</v>
      </c>
      <c r="C1648" s="49"/>
      <c r="D1648" s="72" t="s">
        <v>717</v>
      </c>
      <c r="E1648" s="49" t="s">
        <v>3754</v>
      </c>
      <c r="F1648" s="49"/>
      <c r="G1648" s="49"/>
      <c r="H1648" s="49" t="s">
        <v>15804</v>
      </c>
      <c r="I1648" s="49" t="s">
        <v>15807</v>
      </c>
      <c r="J1648" s="49" t="s">
        <v>15805</v>
      </c>
      <c r="K1648" s="49" t="s">
        <v>15806</v>
      </c>
      <c r="L1648" s="49">
        <v>0</v>
      </c>
      <c r="M1648" s="49" t="s">
        <v>3570</v>
      </c>
      <c r="N1648" s="49" t="s">
        <v>6090</v>
      </c>
      <c r="O1648" s="49">
        <v>29</v>
      </c>
      <c r="P1648" s="49" t="s">
        <v>15808</v>
      </c>
      <c r="Q1648" s="49">
        <v>0</v>
      </c>
      <c r="R1648" s="49" t="s">
        <v>15809</v>
      </c>
      <c r="S1648" s="49" t="s">
        <v>15810</v>
      </c>
      <c r="T1648" s="49" t="s">
        <v>7991</v>
      </c>
      <c r="U1648" s="49" t="s">
        <v>670</v>
      </c>
      <c r="V1648" s="49" t="e">
        <v>#REF!</v>
      </c>
      <c r="AC1648" s="49"/>
      <c r="AD1648" s="49"/>
    </row>
    <row r="1649" spans="1:30" hidden="1" x14ac:dyDescent="0.3">
      <c r="A1649" s="49" t="s">
        <v>15811</v>
      </c>
      <c r="B1649" s="49">
        <v>0</v>
      </c>
      <c r="C1649" s="49"/>
      <c r="D1649" s="72" t="s">
        <v>717</v>
      </c>
      <c r="E1649" s="49" t="s">
        <v>3754</v>
      </c>
      <c r="F1649" s="49"/>
      <c r="G1649" s="49"/>
      <c r="H1649" s="49" t="s">
        <v>15812</v>
      </c>
      <c r="I1649" s="49" t="s">
        <v>15815</v>
      </c>
      <c r="J1649" s="49" t="s">
        <v>15813</v>
      </c>
      <c r="K1649" s="49" t="s">
        <v>15814</v>
      </c>
      <c r="L1649" s="49">
        <v>0</v>
      </c>
      <c r="M1649" s="49" t="s">
        <v>1777</v>
      </c>
      <c r="N1649" s="49" t="s">
        <v>818</v>
      </c>
      <c r="O1649" s="49">
        <v>4</v>
      </c>
      <c r="P1649" s="49" t="s">
        <v>15816</v>
      </c>
      <c r="Q1649" s="49">
        <v>0</v>
      </c>
      <c r="R1649" s="49" t="s">
        <v>15817</v>
      </c>
      <c r="S1649" s="49" t="s">
        <v>15818</v>
      </c>
      <c r="T1649" s="49" t="s">
        <v>15819</v>
      </c>
      <c r="U1649" s="49" t="s">
        <v>670</v>
      </c>
      <c r="V1649" s="49" t="e">
        <v>#REF!</v>
      </c>
      <c r="AC1649" s="49"/>
      <c r="AD1649" s="49"/>
    </row>
    <row r="1650" spans="1:30" hidden="1" x14ac:dyDescent="0.3">
      <c r="A1650" s="49" t="s">
        <v>15820</v>
      </c>
      <c r="B1650" s="49">
        <v>0</v>
      </c>
      <c r="C1650" s="49"/>
      <c r="D1650" s="72" t="s">
        <v>717</v>
      </c>
      <c r="E1650" s="49" t="s">
        <v>3754</v>
      </c>
      <c r="F1650" s="49"/>
      <c r="G1650" s="49"/>
      <c r="H1650" s="49" t="s">
        <v>15821</v>
      </c>
      <c r="I1650" s="49" t="s">
        <v>15824</v>
      </c>
      <c r="J1650" s="49" t="s">
        <v>15822</v>
      </c>
      <c r="K1650" s="49" t="s">
        <v>15823</v>
      </c>
      <c r="L1650" s="49">
        <v>0</v>
      </c>
      <c r="M1650" s="49" t="s">
        <v>1826</v>
      </c>
      <c r="N1650" s="49" t="s">
        <v>708</v>
      </c>
      <c r="O1650" s="49">
        <v>25</v>
      </c>
      <c r="P1650" s="49" t="s">
        <v>15825</v>
      </c>
      <c r="Q1650" s="49">
        <v>0</v>
      </c>
      <c r="R1650" s="49" t="s">
        <v>15826</v>
      </c>
      <c r="S1650" s="49" t="s">
        <v>15827</v>
      </c>
      <c r="T1650" s="49" t="s">
        <v>15828</v>
      </c>
      <c r="U1650" s="49" t="s">
        <v>655</v>
      </c>
      <c r="V1650" s="49" t="e">
        <v>#REF!</v>
      </c>
      <c r="AC1650" s="49"/>
      <c r="AD1650" s="49"/>
    </row>
    <row r="1651" spans="1:30" hidden="1" x14ac:dyDescent="0.3">
      <c r="A1651" s="49" t="s">
        <v>15829</v>
      </c>
      <c r="B1651" s="49">
        <v>0</v>
      </c>
      <c r="C1651" s="49"/>
      <c r="D1651" s="72" t="s">
        <v>717</v>
      </c>
      <c r="E1651" s="49" t="s">
        <v>3754</v>
      </c>
      <c r="F1651" s="49"/>
      <c r="G1651" s="49"/>
      <c r="H1651" s="49" t="s">
        <v>646</v>
      </c>
      <c r="I1651" s="49" t="s">
        <v>15832</v>
      </c>
      <c r="J1651" s="49" t="s">
        <v>15830</v>
      </c>
      <c r="K1651" s="49" t="s">
        <v>15831</v>
      </c>
      <c r="L1651" s="49">
        <v>0</v>
      </c>
      <c r="M1651" s="49" t="s">
        <v>2484</v>
      </c>
      <c r="N1651" s="49" t="s">
        <v>721</v>
      </c>
      <c r="O1651" s="49">
        <v>1</v>
      </c>
      <c r="P1651" s="49" t="s">
        <v>15833</v>
      </c>
      <c r="Q1651" s="49">
        <v>0</v>
      </c>
      <c r="R1651" s="49" t="s">
        <v>15834</v>
      </c>
      <c r="S1651" s="49" t="s">
        <v>15835</v>
      </c>
      <c r="T1651" s="49" t="s">
        <v>646</v>
      </c>
      <c r="U1651" s="49" t="s">
        <v>670</v>
      </c>
      <c r="V1651" s="49" t="e">
        <v>#REF!</v>
      </c>
      <c r="AC1651" s="49"/>
      <c r="AD1651" s="49"/>
    </row>
    <row r="1652" spans="1:30" hidden="1" x14ac:dyDescent="0.3">
      <c r="A1652" s="49" t="s">
        <v>15836</v>
      </c>
      <c r="B1652" s="49">
        <v>0</v>
      </c>
      <c r="C1652" s="49"/>
      <c r="D1652" s="72" t="s">
        <v>717</v>
      </c>
      <c r="E1652" s="49" t="s">
        <v>3754</v>
      </c>
      <c r="F1652" s="49"/>
      <c r="G1652" s="49"/>
      <c r="H1652" s="49" t="s">
        <v>15837</v>
      </c>
      <c r="I1652" s="49" t="s">
        <v>15840</v>
      </c>
      <c r="J1652" s="49" t="s">
        <v>15838</v>
      </c>
      <c r="K1652" s="49" t="s">
        <v>15839</v>
      </c>
      <c r="L1652" s="49">
        <v>0</v>
      </c>
      <c r="M1652" s="49" t="s">
        <v>2484</v>
      </c>
      <c r="N1652" s="49" t="s">
        <v>15841</v>
      </c>
      <c r="P1652" s="49" t="s">
        <v>15842</v>
      </c>
      <c r="Q1652" s="49">
        <v>0</v>
      </c>
      <c r="R1652" s="49" t="s">
        <v>15843</v>
      </c>
      <c r="S1652" s="49" t="s">
        <v>15844</v>
      </c>
      <c r="T1652" s="49" t="s">
        <v>646</v>
      </c>
      <c r="U1652" s="49" t="s">
        <v>670</v>
      </c>
      <c r="V1652" s="49" t="e">
        <v>#REF!</v>
      </c>
      <c r="AC1652" s="49"/>
      <c r="AD1652" s="49"/>
    </row>
    <row r="1653" spans="1:30" hidden="1" x14ac:dyDescent="0.3">
      <c r="A1653" s="49" t="s">
        <v>15845</v>
      </c>
      <c r="B1653" s="49">
        <v>0</v>
      </c>
      <c r="C1653" s="49"/>
      <c r="D1653" s="72" t="s">
        <v>717</v>
      </c>
      <c r="E1653" s="49" t="s">
        <v>3754</v>
      </c>
      <c r="F1653" s="49"/>
      <c r="G1653" s="49"/>
      <c r="H1653" s="49" t="s">
        <v>15846</v>
      </c>
      <c r="I1653" s="49" t="s">
        <v>11594</v>
      </c>
      <c r="J1653" s="49" t="s">
        <v>11592</v>
      </c>
      <c r="K1653" s="49" t="s">
        <v>15847</v>
      </c>
      <c r="L1653" s="49">
        <v>0</v>
      </c>
      <c r="M1653" s="49" t="s">
        <v>1826</v>
      </c>
      <c r="N1653" s="49" t="s">
        <v>15848</v>
      </c>
      <c r="O1653" s="49">
        <v>13</v>
      </c>
      <c r="P1653" s="49" t="s">
        <v>15849</v>
      </c>
      <c r="Q1653" s="49">
        <v>0</v>
      </c>
      <c r="R1653" s="49" t="s">
        <v>15850</v>
      </c>
      <c r="S1653" s="49" t="s">
        <v>15851</v>
      </c>
      <c r="T1653" s="49" t="s">
        <v>15852</v>
      </c>
      <c r="U1653" s="49" t="s">
        <v>655</v>
      </c>
      <c r="V1653" s="49" t="e">
        <v>#REF!</v>
      </c>
      <c r="AC1653" s="49"/>
      <c r="AD1653" s="49"/>
    </row>
    <row r="1654" spans="1:30" hidden="1" x14ac:dyDescent="0.3">
      <c r="A1654" s="49" t="s">
        <v>15853</v>
      </c>
      <c r="B1654" s="49">
        <v>0</v>
      </c>
      <c r="C1654" s="49"/>
      <c r="D1654" s="72" t="s">
        <v>717</v>
      </c>
      <c r="E1654" s="49" t="s">
        <v>3754</v>
      </c>
      <c r="F1654" s="49"/>
      <c r="G1654" s="49"/>
      <c r="H1654" s="49" t="s">
        <v>15854</v>
      </c>
      <c r="I1654" s="49" t="s">
        <v>15857</v>
      </c>
      <c r="J1654" s="49" t="s">
        <v>15855</v>
      </c>
      <c r="K1654" s="49" t="s">
        <v>15856</v>
      </c>
      <c r="L1654" s="49">
        <v>0</v>
      </c>
      <c r="M1654" s="49" t="s">
        <v>1865</v>
      </c>
      <c r="N1654" s="49" t="s">
        <v>15858</v>
      </c>
      <c r="O1654" s="49">
        <v>1</v>
      </c>
      <c r="P1654" s="49" t="s">
        <v>15859</v>
      </c>
      <c r="Q1654" s="49">
        <v>0</v>
      </c>
      <c r="R1654" s="49" t="s">
        <v>15860</v>
      </c>
      <c r="S1654" s="49" t="s">
        <v>15861</v>
      </c>
      <c r="T1654" s="49" t="s">
        <v>15862</v>
      </c>
      <c r="U1654" s="49" t="s">
        <v>655</v>
      </c>
      <c r="V1654" s="49" t="e">
        <v>#REF!</v>
      </c>
      <c r="AC1654" s="49"/>
      <c r="AD1654" s="49"/>
    </row>
    <row r="1655" spans="1:30" hidden="1" x14ac:dyDescent="0.3">
      <c r="A1655" s="49" t="s">
        <v>1104</v>
      </c>
      <c r="B1655" s="49">
        <v>0</v>
      </c>
      <c r="C1655" s="49"/>
      <c r="D1655" s="72" t="s">
        <v>717</v>
      </c>
      <c r="E1655" s="49" t="s">
        <v>3754</v>
      </c>
      <c r="F1655" s="49"/>
      <c r="G1655" s="49"/>
      <c r="H1655" s="49" t="s">
        <v>1106</v>
      </c>
      <c r="I1655" s="49" t="s">
        <v>1107</v>
      </c>
      <c r="J1655" s="49" t="s">
        <v>1108</v>
      </c>
      <c r="K1655" s="49" t="s">
        <v>1109</v>
      </c>
      <c r="L1655" s="49">
        <v>0</v>
      </c>
      <c r="M1655" s="49" t="s">
        <v>1777</v>
      </c>
      <c r="N1655" s="49" t="s">
        <v>1110</v>
      </c>
      <c r="O1655" s="49">
        <v>27</v>
      </c>
      <c r="P1655" s="49" t="s">
        <v>1111</v>
      </c>
      <c r="Q1655" s="49">
        <v>0</v>
      </c>
      <c r="R1655" s="49" t="s">
        <v>1112</v>
      </c>
      <c r="S1655" s="49" t="s">
        <v>1113</v>
      </c>
      <c r="T1655" s="49" t="s">
        <v>1114</v>
      </c>
      <c r="U1655" s="49" t="s">
        <v>655</v>
      </c>
      <c r="V1655" s="49" t="e">
        <v>#REF!</v>
      </c>
      <c r="AC1655" s="49"/>
      <c r="AD1655" s="49"/>
    </row>
    <row r="1656" spans="1:30" hidden="1" x14ac:dyDescent="0.3">
      <c r="A1656" s="49" t="s">
        <v>15863</v>
      </c>
      <c r="B1656" s="49">
        <v>0</v>
      </c>
      <c r="C1656" s="49"/>
      <c r="D1656" s="72" t="s">
        <v>717</v>
      </c>
      <c r="E1656" s="49" t="s">
        <v>3754</v>
      </c>
      <c r="F1656" s="49"/>
      <c r="G1656" s="49"/>
      <c r="H1656" s="49" t="s">
        <v>15864</v>
      </c>
      <c r="I1656" s="49" t="s">
        <v>15867</v>
      </c>
      <c r="J1656" s="49" t="s">
        <v>15865</v>
      </c>
      <c r="K1656" s="49" t="s">
        <v>15866</v>
      </c>
      <c r="L1656" s="49">
        <v>0</v>
      </c>
      <c r="M1656" s="49" t="s">
        <v>1865</v>
      </c>
      <c r="N1656" s="49" t="s">
        <v>697</v>
      </c>
      <c r="O1656" s="49">
        <v>3</v>
      </c>
      <c r="P1656" s="49" t="s">
        <v>15868</v>
      </c>
      <c r="Q1656" s="49">
        <v>0</v>
      </c>
      <c r="R1656" s="49" t="s">
        <v>15869</v>
      </c>
      <c r="S1656" s="49" t="s">
        <v>15870</v>
      </c>
      <c r="T1656" s="49" t="s">
        <v>646</v>
      </c>
      <c r="U1656" s="49" t="s">
        <v>655</v>
      </c>
      <c r="V1656" s="49" t="e">
        <v>#REF!</v>
      </c>
      <c r="AC1656" s="49"/>
      <c r="AD1656" s="49"/>
    </row>
    <row r="1657" spans="1:30" hidden="1" x14ac:dyDescent="0.3">
      <c r="A1657" s="49" t="s">
        <v>15871</v>
      </c>
      <c r="B1657" s="49">
        <v>0</v>
      </c>
      <c r="C1657" s="49"/>
      <c r="D1657" s="72" t="s">
        <v>717</v>
      </c>
      <c r="E1657" s="49" t="s">
        <v>3754</v>
      </c>
      <c r="F1657" s="49"/>
      <c r="G1657" s="49"/>
      <c r="H1657" s="49" t="s">
        <v>15872</v>
      </c>
      <c r="I1657" s="49" t="s">
        <v>15875</v>
      </c>
      <c r="J1657" s="49" t="s">
        <v>15873</v>
      </c>
      <c r="K1657" s="49" t="s">
        <v>15874</v>
      </c>
      <c r="L1657" s="49">
        <v>0</v>
      </c>
      <c r="M1657" s="49" t="s">
        <v>1764</v>
      </c>
      <c r="N1657" s="49" t="s">
        <v>9181</v>
      </c>
      <c r="O1657" s="49">
        <v>38</v>
      </c>
      <c r="P1657" s="49" t="s">
        <v>15876</v>
      </c>
      <c r="Q1657" s="49">
        <v>0</v>
      </c>
      <c r="R1657" s="49" t="s">
        <v>646</v>
      </c>
      <c r="S1657" s="49" t="s">
        <v>15877</v>
      </c>
      <c r="T1657" s="49" t="s">
        <v>646</v>
      </c>
      <c r="U1657" s="49" t="s">
        <v>655</v>
      </c>
      <c r="V1657" s="49" t="e">
        <v>#REF!</v>
      </c>
      <c r="AC1657" s="49"/>
      <c r="AD1657" s="49"/>
    </row>
    <row r="1658" spans="1:30" hidden="1" x14ac:dyDescent="0.3">
      <c r="A1658" s="49" t="s">
        <v>15878</v>
      </c>
      <c r="B1658" s="49">
        <v>0</v>
      </c>
      <c r="C1658" s="49"/>
      <c r="D1658" s="72" t="s">
        <v>717</v>
      </c>
      <c r="E1658" s="49" t="s">
        <v>3754</v>
      </c>
      <c r="F1658" s="49"/>
      <c r="G1658" s="49"/>
      <c r="H1658" s="49" t="s">
        <v>15879</v>
      </c>
      <c r="I1658" s="49" t="s">
        <v>15882</v>
      </c>
      <c r="J1658" s="49" t="s">
        <v>15880</v>
      </c>
      <c r="K1658" s="49" t="s">
        <v>15881</v>
      </c>
      <c r="L1658" s="49">
        <v>0</v>
      </c>
      <c r="M1658" s="49" t="s">
        <v>1817</v>
      </c>
      <c r="N1658" s="49" t="s">
        <v>2093</v>
      </c>
      <c r="O1658" s="49">
        <v>15</v>
      </c>
      <c r="P1658" s="49" t="s">
        <v>15883</v>
      </c>
      <c r="Q1658" s="49">
        <v>0</v>
      </c>
      <c r="R1658" s="49" t="s">
        <v>15884</v>
      </c>
      <c r="S1658" s="49" t="s">
        <v>15885</v>
      </c>
      <c r="T1658" s="49" t="s">
        <v>15886</v>
      </c>
      <c r="U1658" s="49" t="s">
        <v>655</v>
      </c>
      <c r="V1658" s="49" t="e">
        <v>#REF!</v>
      </c>
      <c r="AC1658" s="49"/>
      <c r="AD1658" s="49"/>
    </row>
    <row r="1659" spans="1:30" hidden="1" x14ac:dyDescent="0.3">
      <c r="A1659" s="49" t="s">
        <v>15887</v>
      </c>
      <c r="B1659" s="49">
        <v>0</v>
      </c>
      <c r="C1659" s="49"/>
      <c r="D1659" s="72" t="s">
        <v>717</v>
      </c>
      <c r="E1659" s="49" t="s">
        <v>3754</v>
      </c>
      <c r="F1659" s="49"/>
      <c r="G1659" s="49"/>
      <c r="H1659" s="49" t="s">
        <v>15888</v>
      </c>
      <c r="I1659" s="49" t="s">
        <v>15891</v>
      </c>
      <c r="J1659" s="49" t="s">
        <v>15889</v>
      </c>
      <c r="K1659" s="49" t="s">
        <v>15890</v>
      </c>
      <c r="L1659" s="49">
        <v>0</v>
      </c>
      <c r="M1659" s="49" t="s">
        <v>1865</v>
      </c>
      <c r="N1659" s="49" t="s">
        <v>15892</v>
      </c>
      <c r="O1659" s="49">
        <v>31</v>
      </c>
      <c r="P1659" s="49" t="s">
        <v>15893</v>
      </c>
      <c r="Q1659" s="49">
        <v>0</v>
      </c>
      <c r="R1659" s="49" t="s">
        <v>15894</v>
      </c>
      <c r="S1659" s="49" t="s">
        <v>15895</v>
      </c>
      <c r="T1659" s="49" t="s">
        <v>15896</v>
      </c>
      <c r="U1659" s="49" t="s">
        <v>655</v>
      </c>
      <c r="V1659" s="49" t="e">
        <v>#REF!</v>
      </c>
      <c r="AC1659" s="49"/>
      <c r="AD1659" s="49"/>
    </row>
    <row r="1660" spans="1:30" hidden="1" x14ac:dyDescent="0.3">
      <c r="A1660" s="49" t="s">
        <v>15897</v>
      </c>
      <c r="B1660" s="49">
        <v>0</v>
      </c>
      <c r="C1660" s="49"/>
      <c r="D1660" s="72" t="s">
        <v>717</v>
      </c>
      <c r="E1660" s="49" t="s">
        <v>3754</v>
      </c>
      <c r="F1660" s="49"/>
      <c r="G1660" s="49"/>
      <c r="H1660" s="49" t="s">
        <v>15898</v>
      </c>
      <c r="I1660" s="49" t="s">
        <v>15901</v>
      </c>
      <c r="J1660" s="49" t="s">
        <v>15899</v>
      </c>
      <c r="K1660" s="49" t="s">
        <v>15900</v>
      </c>
      <c r="L1660" s="49">
        <v>0</v>
      </c>
      <c r="M1660" s="49" t="s">
        <v>4084</v>
      </c>
      <c r="N1660" s="49" t="s">
        <v>15902</v>
      </c>
      <c r="O1660" s="49">
        <v>58</v>
      </c>
      <c r="P1660" s="49" t="s">
        <v>15903</v>
      </c>
      <c r="Q1660" s="49">
        <v>0</v>
      </c>
      <c r="R1660" s="49" t="s">
        <v>15904</v>
      </c>
      <c r="S1660" s="49" t="s">
        <v>15905</v>
      </c>
      <c r="T1660" s="49" t="s">
        <v>15906</v>
      </c>
      <c r="U1660" s="49" t="s">
        <v>670</v>
      </c>
      <c r="V1660" s="49" t="e">
        <v>#REF!</v>
      </c>
      <c r="AC1660" s="49"/>
      <c r="AD1660" s="49"/>
    </row>
    <row r="1661" spans="1:30" hidden="1" x14ac:dyDescent="0.3">
      <c r="A1661" s="49" t="s">
        <v>1466</v>
      </c>
      <c r="B1661" s="49">
        <v>0</v>
      </c>
      <c r="C1661" s="49"/>
      <c r="D1661" s="72" t="s">
        <v>717</v>
      </c>
      <c r="E1661" s="49" t="s">
        <v>3754</v>
      </c>
      <c r="F1661" s="49"/>
      <c r="G1661" s="49"/>
      <c r="H1661" s="49" t="s">
        <v>1468</v>
      </c>
      <c r="I1661" s="49" t="s">
        <v>1469</v>
      </c>
      <c r="J1661" s="49" t="s">
        <v>1470</v>
      </c>
      <c r="K1661" s="49" t="s">
        <v>1471</v>
      </c>
      <c r="L1661" s="49">
        <v>0</v>
      </c>
      <c r="M1661" s="49" t="s">
        <v>1865</v>
      </c>
      <c r="N1661" s="49" t="s">
        <v>1472</v>
      </c>
      <c r="O1661" s="49">
        <v>9</v>
      </c>
      <c r="P1661" s="49" t="s">
        <v>1473</v>
      </c>
      <c r="Q1661" s="49">
        <v>0</v>
      </c>
      <c r="R1661" s="49" t="s">
        <v>1474</v>
      </c>
      <c r="S1661" s="49" t="s">
        <v>1475</v>
      </c>
      <c r="T1661" s="49" t="s">
        <v>15907</v>
      </c>
      <c r="U1661" s="49" t="s">
        <v>655</v>
      </c>
      <c r="V1661" s="49" t="e">
        <v>#REF!</v>
      </c>
      <c r="AC1661" s="49"/>
      <c r="AD1661" s="49"/>
    </row>
    <row r="1662" spans="1:30" hidden="1" x14ac:dyDescent="0.3">
      <c r="A1662" s="49" t="s">
        <v>15908</v>
      </c>
      <c r="B1662" s="49">
        <v>0</v>
      </c>
      <c r="C1662" s="49"/>
      <c r="D1662" s="72" t="s">
        <v>717</v>
      </c>
      <c r="E1662" s="49" t="s">
        <v>3754</v>
      </c>
      <c r="F1662" s="49"/>
      <c r="G1662" s="49"/>
      <c r="H1662" s="49" t="s">
        <v>15909</v>
      </c>
      <c r="I1662" s="49" t="s">
        <v>15912</v>
      </c>
      <c r="J1662" s="49" t="s">
        <v>15910</v>
      </c>
      <c r="K1662" s="49" t="s">
        <v>15911</v>
      </c>
      <c r="L1662" s="49">
        <v>0</v>
      </c>
      <c r="M1662" s="49" t="s">
        <v>2484</v>
      </c>
      <c r="N1662" s="49" t="s">
        <v>3456</v>
      </c>
      <c r="O1662" s="49">
        <v>58</v>
      </c>
      <c r="P1662" s="49" t="s">
        <v>15913</v>
      </c>
      <c r="Q1662" s="49">
        <v>0</v>
      </c>
      <c r="R1662" s="49" t="s">
        <v>15914</v>
      </c>
      <c r="S1662" s="49" t="s">
        <v>15915</v>
      </c>
      <c r="T1662" s="49" t="s">
        <v>15916</v>
      </c>
      <c r="U1662" s="49" t="s">
        <v>655</v>
      </c>
      <c r="V1662" s="49" t="e">
        <v>#REF!</v>
      </c>
      <c r="AC1662" s="49"/>
      <c r="AD1662" s="49"/>
    </row>
    <row r="1663" spans="1:30" hidden="1" x14ac:dyDescent="0.3">
      <c r="A1663" s="49" t="s">
        <v>15917</v>
      </c>
      <c r="B1663" s="49">
        <v>0</v>
      </c>
      <c r="C1663" s="49"/>
      <c r="D1663" s="72" t="s">
        <v>717</v>
      </c>
      <c r="E1663" s="49" t="s">
        <v>3754</v>
      </c>
      <c r="F1663" s="49"/>
      <c r="G1663" s="49"/>
      <c r="H1663" s="49" t="s">
        <v>15918</v>
      </c>
      <c r="I1663" s="49" t="s">
        <v>15921</v>
      </c>
      <c r="J1663" s="49" t="s">
        <v>15919</v>
      </c>
      <c r="K1663" s="49" t="s">
        <v>15920</v>
      </c>
      <c r="L1663" s="49">
        <v>0</v>
      </c>
      <c r="M1663" s="49" t="s">
        <v>1764</v>
      </c>
      <c r="N1663" s="49" t="s">
        <v>12161</v>
      </c>
      <c r="O1663" s="49">
        <v>2</v>
      </c>
      <c r="P1663" s="49" t="s">
        <v>15922</v>
      </c>
      <c r="Q1663" s="49">
        <v>0</v>
      </c>
      <c r="R1663" s="49" t="s">
        <v>15923</v>
      </c>
      <c r="S1663" s="49" t="s">
        <v>15924</v>
      </c>
      <c r="T1663" s="49" t="s">
        <v>646</v>
      </c>
      <c r="U1663" s="49" t="s">
        <v>670</v>
      </c>
      <c r="V1663" s="49" t="e">
        <v>#REF!</v>
      </c>
      <c r="AC1663" s="49"/>
      <c r="AD1663" s="49"/>
    </row>
    <row r="1664" spans="1:30" hidden="1" x14ac:dyDescent="0.3">
      <c r="A1664" s="49" t="s">
        <v>15925</v>
      </c>
      <c r="B1664" s="49">
        <v>0</v>
      </c>
      <c r="C1664" s="49"/>
      <c r="D1664" s="72" t="s">
        <v>717</v>
      </c>
      <c r="E1664" s="49" t="s">
        <v>3754</v>
      </c>
      <c r="F1664" s="49"/>
      <c r="G1664" s="49"/>
      <c r="H1664" s="49" t="s">
        <v>15926</v>
      </c>
      <c r="I1664" s="49" t="s">
        <v>15929</v>
      </c>
      <c r="J1664" s="49" t="s">
        <v>15927</v>
      </c>
      <c r="K1664" s="49" t="s">
        <v>15928</v>
      </c>
      <c r="L1664" s="49">
        <v>0</v>
      </c>
      <c r="M1664" s="49" t="s">
        <v>2142</v>
      </c>
      <c r="N1664" s="49" t="s">
        <v>755</v>
      </c>
      <c r="O1664" s="49">
        <v>49</v>
      </c>
      <c r="P1664" s="49" t="s">
        <v>15930</v>
      </c>
      <c r="Q1664" s="49">
        <v>0</v>
      </c>
      <c r="R1664" s="49" t="s">
        <v>15931</v>
      </c>
      <c r="S1664" s="49" t="s">
        <v>15932</v>
      </c>
      <c r="T1664" s="49" t="s">
        <v>15933</v>
      </c>
      <c r="U1664" s="49" t="s">
        <v>655</v>
      </c>
      <c r="V1664" s="49" t="e">
        <v>#REF!</v>
      </c>
      <c r="AC1664" s="49"/>
      <c r="AD1664" s="49"/>
    </row>
    <row r="1665" spans="1:30" hidden="1" x14ac:dyDescent="0.3">
      <c r="A1665" s="49" t="s">
        <v>15934</v>
      </c>
      <c r="B1665" s="49">
        <v>0</v>
      </c>
      <c r="C1665" s="49"/>
      <c r="D1665" s="72" t="s">
        <v>717</v>
      </c>
      <c r="E1665" s="49" t="s">
        <v>3754</v>
      </c>
      <c r="F1665" s="49"/>
      <c r="G1665" s="49"/>
      <c r="H1665" s="49" t="s">
        <v>15935</v>
      </c>
      <c r="I1665" s="49" t="s">
        <v>15938</v>
      </c>
      <c r="J1665" s="49" t="s">
        <v>15936</v>
      </c>
      <c r="K1665" s="49" t="s">
        <v>15937</v>
      </c>
      <c r="L1665" s="49">
        <v>0</v>
      </c>
      <c r="M1665" s="49" t="s">
        <v>1764</v>
      </c>
      <c r="N1665" s="49" t="s">
        <v>15939</v>
      </c>
      <c r="O1665" s="49">
        <v>16</v>
      </c>
      <c r="P1665" s="49" t="s">
        <v>15940</v>
      </c>
      <c r="Q1665" s="49">
        <v>0</v>
      </c>
      <c r="R1665" s="49" t="s">
        <v>15941</v>
      </c>
      <c r="S1665" s="49" t="s">
        <v>15942</v>
      </c>
      <c r="T1665" s="49" t="s">
        <v>15943</v>
      </c>
      <c r="U1665" s="49" t="s">
        <v>655</v>
      </c>
      <c r="V1665" s="49" t="e">
        <v>#REF!</v>
      </c>
      <c r="AC1665" s="49"/>
      <c r="AD1665" s="49"/>
    </row>
    <row r="1666" spans="1:30" hidden="1" x14ac:dyDescent="0.3">
      <c r="A1666" s="49" t="s">
        <v>15944</v>
      </c>
      <c r="B1666" s="49">
        <v>0</v>
      </c>
      <c r="C1666" s="49"/>
      <c r="D1666" s="72" t="s">
        <v>717</v>
      </c>
      <c r="E1666" s="49" t="s">
        <v>3754</v>
      </c>
      <c r="F1666" s="49"/>
      <c r="G1666" s="49"/>
      <c r="H1666" s="49" t="s">
        <v>15945</v>
      </c>
      <c r="I1666" s="49" t="s">
        <v>15948</v>
      </c>
      <c r="J1666" s="49" t="s">
        <v>15946</v>
      </c>
      <c r="K1666" s="49" t="s">
        <v>15947</v>
      </c>
      <c r="L1666" s="49">
        <v>0</v>
      </c>
      <c r="M1666" s="49" t="s">
        <v>4114</v>
      </c>
      <c r="N1666" s="49" t="s">
        <v>15949</v>
      </c>
      <c r="O1666" s="49">
        <v>32</v>
      </c>
      <c r="P1666" s="49" t="s">
        <v>15950</v>
      </c>
      <c r="Q1666" s="49">
        <v>0</v>
      </c>
      <c r="R1666" s="49" t="s">
        <v>15951</v>
      </c>
      <c r="S1666" s="49" t="s">
        <v>15952</v>
      </c>
      <c r="T1666" s="49" t="s">
        <v>15953</v>
      </c>
      <c r="U1666" s="49" t="s">
        <v>670</v>
      </c>
      <c r="V1666" s="49" t="e">
        <v>#REF!</v>
      </c>
      <c r="AC1666" s="49"/>
      <c r="AD1666" s="49"/>
    </row>
    <row r="1667" spans="1:30" hidden="1" x14ac:dyDescent="0.3">
      <c r="A1667" s="49" t="s">
        <v>15954</v>
      </c>
      <c r="B1667" s="49">
        <v>0</v>
      </c>
      <c r="C1667" s="49"/>
      <c r="D1667" s="72" t="s">
        <v>717</v>
      </c>
      <c r="E1667" s="49" t="s">
        <v>3754</v>
      </c>
      <c r="F1667" s="49"/>
      <c r="G1667" s="49"/>
      <c r="H1667" s="49" t="s">
        <v>15955</v>
      </c>
      <c r="I1667" s="49" t="s">
        <v>15958</v>
      </c>
      <c r="J1667" s="49" t="s">
        <v>15956</v>
      </c>
      <c r="K1667" s="49" t="s">
        <v>15957</v>
      </c>
      <c r="L1667" s="49">
        <v>0</v>
      </c>
      <c r="M1667" s="49" t="s">
        <v>1865</v>
      </c>
      <c r="N1667" s="49" t="s">
        <v>8819</v>
      </c>
      <c r="O1667" s="49">
        <v>3</v>
      </c>
      <c r="P1667" s="49" t="s">
        <v>15959</v>
      </c>
      <c r="Q1667" s="49">
        <v>0</v>
      </c>
      <c r="R1667" s="49" t="s">
        <v>15960</v>
      </c>
      <c r="S1667" s="49" t="s">
        <v>15961</v>
      </c>
      <c r="T1667" s="49" t="s">
        <v>15962</v>
      </c>
      <c r="U1667" s="49" t="s">
        <v>655</v>
      </c>
      <c r="V1667" s="49" t="e">
        <v>#REF!</v>
      </c>
      <c r="AC1667" s="49"/>
      <c r="AD1667" s="49"/>
    </row>
    <row r="1668" spans="1:30" hidden="1" x14ac:dyDescent="0.3">
      <c r="A1668" s="49" t="s">
        <v>15963</v>
      </c>
      <c r="B1668" s="49">
        <v>0</v>
      </c>
      <c r="C1668" s="49"/>
      <c r="D1668" s="72" t="s">
        <v>717</v>
      </c>
      <c r="E1668" s="49" t="s">
        <v>3754</v>
      </c>
      <c r="F1668" s="49"/>
      <c r="G1668" s="49"/>
      <c r="H1668" s="49" t="s">
        <v>15964</v>
      </c>
      <c r="I1668" s="49" t="s">
        <v>15967</v>
      </c>
      <c r="J1668" s="49" t="s">
        <v>15965</v>
      </c>
      <c r="K1668" s="49" t="s">
        <v>15966</v>
      </c>
      <c r="L1668" s="49">
        <v>0</v>
      </c>
      <c r="M1668" s="49" t="s">
        <v>2636</v>
      </c>
      <c r="N1668" s="49" t="s">
        <v>3132</v>
      </c>
      <c r="O1668" s="49">
        <v>12</v>
      </c>
      <c r="P1668" s="49" t="s">
        <v>15968</v>
      </c>
      <c r="Q1668" s="49">
        <v>0</v>
      </c>
      <c r="R1668" s="49" t="s">
        <v>15969</v>
      </c>
      <c r="S1668" s="49" t="s">
        <v>15970</v>
      </c>
      <c r="T1668" s="49" t="s">
        <v>15971</v>
      </c>
      <c r="U1668" s="49" t="s">
        <v>655</v>
      </c>
      <c r="V1668" s="49" t="e">
        <v>#REF!</v>
      </c>
      <c r="AC1668" s="49"/>
      <c r="AD1668" s="49"/>
    </row>
    <row r="1669" spans="1:30" hidden="1" x14ac:dyDescent="0.3">
      <c r="A1669" s="49" t="s">
        <v>15972</v>
      </c>
      <c r="B1669" s="49">
        <v>0</v>
      </c>
      <c r="C1669" s="49"/>
      <c r="D1669" s="72" t="s">
        <v>717</v>
      </c>
      <c r="E1669" s="49" t="s">
        <v>3754</v>
      </c>
      <c r="F1669" s="49"/>
      <c r="G1669" s="49"/>
      <c r="H1669" s="49" t="s">
        <v>15973</v>
      </c>
      <c r="I1669" s="49" t="s">
        <v>15976</v>
      </c>
      <c r="J1669" s="49" t="s">
        <v>15974</v>
      </c>
      <c r="K1669" s="49" t="s">
        <v>15975</v>
      </c>
      <c r="L1669" s="49">
        <v>0</v>
      </c>
      <c r="M1669" s="49" t="s">
        <v>1826</v>
      </c>
      <c r="N1669" s="49" t="s">
        <v>15977</v>
      </c>
      <c r="P1669" s="49" t="s">
        <v>15978</v>
      </c>
      <c r="Q1669" s="49">
        <v>0</v>
      </c>
      <c r="R1669" s="49" t="s">
        <v>15979</v>
      </c>
      <c r="S1669" s="49" t="s">
        <v>15980</v>
      </c>
      <c r="T1669" s="49" t="s">
        <v>646</v>
      </c>
      <c r="U1669" s="49" t="s">
        <v>670</v>
      </c>
      <c r="V1669" s="49" t="e">
        <v>#REF!</v>
      </c>
      <c r="AC1669" s="49"/>
      <c r="AD1669" s="49"/>
    </row>
    <row r="1670" spans="1:30" hidden="1" x14ac:dyDescent="0.3">
      <c r="A1670" s="49" t="s">
        <v>15981</v>
      </c>
      <c r="B1670" s="49">
        <v>0</v>
      </c>
      <c r="C1670" s="49"/>
      <c r="D1670" s="72" t="s">
        <v>717</v>
      </c>
      <c r="E1670" s="49" t="s">
        <v>3754</v>
      </c>
      <c r="F1670" s="49"/>
      <c r="G1670" s="49"/>
      <c r="H1670" s="49" t="s">
        <v>15982</v>
      </c>
      <c r="I1670" s="49" t="s">
        <v>15985</v>
      </c>
      <c r="J1670" s="49" t="s">
        <v>15983</v>
      </c>
      <c r="K1670" s="49" t="s">
        <v>15984</v>
      </c>
      <c r="L1670" s="49">
        <v>0</v>
      </c>
      <c r="M1670" s="49" t="s">
        <v>2142</v>
      </c>
      <c r="N1670" s="49" t="s">
        <v>14599</v>
      </c>
      <c r="O1670" s="49">
        <v>52</v>
      </c>
      <c r="P1670" s="49" t="s">
        <v>15986</v>
      </c>
      <c r="Q1670" s="49">
        <v>0</v>
      </c>
      <c r="R1670" s="49" t="s">
        <v>15987</v>
      </c>
      <c r="S1670" s="49" t="s">
        <v>15988</v>
      </c>
      <c r="T1670" s="49" t="s">
        <v>15989</v>
      </c>
      <c r="U1670" s="49" t="s">
        <v>655</v>
      </c>
      <c r="V1670" s="49" t="e">
        <v>#REF!</v>
      </c>
      <c r="AC1670" s="49"/>
      <c r="AD1670" s="49"/>
    </row>
    <row r="1671" spans="1:30" hidden="1" x14ac:dyDescent="0.3">
      <c r="A1671" s="49" t="s">
        <v>15990</v>
      </c>
      <c r="B1671" s="49">
        <v>0</v>
      </c>
      <c r="C1671" s="49"/>
      <c r="D1671" s="72" t="s">
        <v>717</v>
      </c>
      <c r="E1671" s="49" t="s">
        <v>3754</v>
      </c>
      <c r="F1671" s="49"/>
      <c r="G1671" s="49"/>
      <c r="H1671" s="49" t="s">
        <v>646</v>
      </c>
      <c r="I1671" s="49" t="s">
        <v>15293</v>
      </c>
      <c r="J1671" s="49" t="s">
        <v>15291</v>
      </c>
      <c r="K1671" s="49" t="s">
        <v>15991</v>
      </c>
      <c r="L1671" s="49">
        <v>0</v>
      </c>
      <c r="M1671" s="49" t="s">
        <v>2456</v>
      </c>
      <c r="N1671" s="49" t="s">
        <v>11047</v>
      </c>
      <c r="O1671" s="49">
        <v>29</v>
      </c>
      <c r="P1671" s="49" t="s">
        <v>15992</v>
      </c>
      <c r="Q1671" s="49">
        <v>0</v>
      </c>
      <c r="R1671" s="49" t="s">
        <v>15993</v>
      </c>
      <c r="S1671" s="49" t="s">
        <v>15994</v>
      </c>
      <c r="T1671" s="49" t="s">
        <v>15995</v>
      </c>
      <c r="U1671" s="49" t="s">
        <v>655</v>
      </c>
      <c r="V1671" s="49" t="e">
        <v>#REF!</v>
      </c>
      <c r="AC1671" s="49"/>
      <c r="AD1671" s="49"/>
    </row>
    <row r="1672" spans="1:30" hidden="1" x14ac:dyDescent="0.3">
      <c r="A1672" s="49" t="s">
        <v>15996</v>
      </c>
      <c r="B1672" s="49">
        <v>0</v>
      </c>
      <c r="C1672" s="49"/>
      <c r="D1672" s="72" t="s">
        <v>717</v>
      </c>
      <c r="E1672" s="49" t="s">
        <v>3754</v>
      </c>
      <c r="F1672" s="49"/>
      <c r="G1672" s="49"/>
      <c r="H1672" s="49" t="s">
        <v>15997</v>
      </c>
      <c r="I1672" s="49" t="s">
        <v>16000</v>
      </c>
      <c r="J1672" s="49" t="s">
        <v>15998</v>
      </c>
      <c r="K1672" s="49" t="s">
        <v>15999</v>
      </c>
      <c r="L1672" s="49">
        <v>0</v>
      </c>
      <c r="M1672" s="49" t="s">
        <v>1826</v>
      </c>
      <c r="N1672" s="49" t="s">
        <v>16001</v>
      </c>
      <c r="O1672" s="49">
        <v>52</v>
      </c>
      <c r="P1672" s="49" t="s">
        <v>16002</v>
      </c>
      <c r="Q1672" s="49">
        <v>0</v>
      </c>
      <c r="R1672" s="49" t="s">
        <v>16003</v>
      </c>
      <c r="S1672" s="49" t="s">
        <v>16004</v>
      </c>
      <c r="T1672" s="49" t="s">
        <v>16005</v>
      </c>
      <c r="U1672" s="49" t="s">
        <v>655</v>
      </c>
      <c r="V1672" s="49" t="e">
        <v>#REF!</v>
      </c>
      <c r="AC1672" s="49"/>
      <c r="AD1672" s="49"/>
    </row>
    <row r="1673" spans="1:30" hidden="1" x14ac:dyDescent="0.3">
      <c r="A1673" s="49" t="s">
        <v>16006</v>
      </c>
      <c r="B1673" s="49">
        <v>0</v>
      </c>
      <c r="C1673" s="49"/>
      <c r="D1673" s="72" t="s">
        <v>717</v>
      </c>
      <c r="E1673" s="49" t="s">
        <v>3754</v>
      </c>
      <c r="F1673" s="49"/>
      <c r="G1673" s="49"/>
      <c r="H1673" s="49" t="s">
        <v>16007</v>
      </c>
      <c r="I1673" s="49" t="s">
        <v>13276</v>
      </c>
      <c r="J1673" s="49" t="s">
        <v>13274</v>
      </c>
      <c r="K1673" s="49" t="s">
        <v>16008</v>
      </c>
      <c r="L1673" s="49">
        <v>0</v>
      </c>
      <c r="M1673" s="49" t="s">
        <v>2484</v>
      </c>
      <c r="N1673" s="49" t="s">
        <v>2093</v>
      </c>
      <c r="O1673" s="49">
        <v>15</v>
      </c>
      <c r="P1673" s="49" t="s">
        <v>16009</v>
      </c>
      <c r="Q1673" s="49">
        <v>0</v>
      </c>
      <c r="R1673" s="49" t="s">
        <v>16010</v>
      </c>
      <c r="S1673" s="49" t="s">
        <v>16011</v>
      </c>
      <c r="T1673" s="49" t="s">
        <v>16012</v>
      </c>
      <c r="U1673" s="49" t="s">
        <v>655</v>
      </c>
      <c r="V1673" s="49" t="e">
        <v>#REF!</v>
      </c>
      <c r="AC1673" s="49"/>
      <c r="AD1673" s="49"/>
    </row>
    <row r="1674" spans="1:30" hidden="1" x14ac:dyDescent="0.3">
      <c r="A1674" s="49" t="s">
        <v>16013</v>
      </c>
      <c r="B1674" s="49">
        <v>0</v>
      </c>
      <c r="C1674" s="49"/>
      <c r="D1674" s="72" t="s">
        <v>717</v>
      </c>
      <c r="E1674" s="49" t="s">
        <v>3754</v>
      </c>
      <c r="F1674" s="49"/>
      <c r="G1674" s="49"/>
      <c r="H1674" s="49" t="s">
        <v>16014</v>
      </c>
      <c r="I1674" s="49" t="s">
        <v>16017</v>
      </c>
      <c r="J1674" s="49" t="s">
        <v>16015</v>
      </c>
      <c r="K1674" s="49" t="s">
        <v>16016</v>
      </c>
      <c r="L1674" s="49">
        <v>0</v>
      </c>
      <c r="M1674" s="49" t="s">
        <v>2484</v>
      </c>
      <c r="N1674" s="49" t="s">
        <v>3142</v>
      </c>
      <c r="O1674" s="49">
        <v>27</v>
      </c>
      <c r="P1674" s="49" t="s">
        <v>16018</v>
      </c>
      <c r="Q1674" s="49">
        <v>0</v>
      </c>
      <c r="R1674" s="49" t="s">
        <v>16019</v>
      </c>
      <c r="S1674" s="49" t="s">
        <v>16020</v>
      </c>
      <c r="T1674" s="49" t="s">
        <v>16021</v>
      </c>
      <c r="U1674" s="49" t="s">
        <v>655</v>
      </c>
      <c r="V1674" s="49" t="e">
        <v>#REF!</v>
      </c>
      <c r="AC1674" s="49"/>
      <c r="AD1674" s="49"/>
    </row>
    <row r="1675" spans="1:30" hidden="1" x14ac:dyDescent="0.3">
      <c r="A1675" s="49" t="s">
        <v>16022</v>
      </c>
      <c r="B1675" s="49">
        <v>0</v>
      </c>
      <c r="C1675" s="49"/>
      <c r="D1675" s="72" t="s">
        <v>717</v>
      </c>
      <c r="E1675" s="49" t="s">
        <v>3754</v>
      </c>
      <c r="F1675" s="49"/>
      <c r="G1675" s="49"/>
      <c r="H1675" s="49" t="s">
        <v>16023</v>
      </c>
      <c r="I1675" s="49" t="s">
        <v>16026</v>
      </c>
      <c r="J1675" s="49" t="s">
        <v>16024</v>
      </c>
      <c r="K1675" s="49" t="s">
        <v>16025</v>
      </c>
      <c r="L1675" s="49">
        <v>0</v>
      </c>
      <c r="M1675" s="49" t="s">
        <v>4114</v>
      </c>
      <c r="N1675" s="49" t="s">
        <v>5838</v>
      </c>
      <c r="O1675" s="49">
        <v>7</v>
      </c>
      <c r="P1675" s="49" t="s">
        <v>16027</v>
      </c>
      <c r="Q1675" s="49">
        <v>0</v>
      </c>
      <c r="R1675" s="49" t="s">
        <v>16028</v>
      </c>
      <c r="S1675" s="49" t="s">
        <v>16029</v>
      </c>
      <c r="T1675" s="49" t="s">
        <v>646</v>
      </c>
      <c r="U1675" s="49" t="s">
        <v>670</v>
      </c>
      <c r="V1675" s="49" t="e">
        <v>#REF!</v>
      </c>
      <c r="AC1675" s="49"/>
      <c r="AD1675" s="49"/>
    </row>
    <row r="1676" spans="1:30" hidden="1" x14ac:dyDescent="0.3">
      <c r="A1676" s="49" t="s">
        <v>16030</v>
      </c>
      <c r="B1676" s="49">
        <v>0</v>
      </c>
      <c r="C1676" s="49"/>
      <c r="D1676" s="72" t="s">
        <v>717</v>
      </c>
      <c r="E1676" s="49" t="s">
        <v>3754</v>
      </c>
      <c r="F1676" s="49"/>
      <c r="G1676" s="49"/>
      <c r="H1676" s="49" t="s">
        <v>16031</v>
      </c>
      <c r="I1676" s="49" t="s">
        <v>14779</v>
      </c>
      <c r="J1676" s="49" t="s">
        <v>14777</v>
      </c>
      <c r="K1676" s="49" t="s">
        <v>16032</v>
      </c>
      <c r="L1676" s="49">
        <v>0</v>
      </c>
      <c r="M1676" s="49" t="s">
        <v>4084</v>
      </c>
      <c r="N1676" s="49" t="s">
        <v>16033</v>
      </c>
      <c r="O1676" s="49">
        <v>97</v>
      </c>
      <c r="P1676" s="49" t="s">
        <v>16034</v>
      </c>
      <c r="Q1676" s="49">
        <v>0</v>
      </c>
      <c r="R1676" s="49" t="s">
        <v>16035</v>
      </c>
      <c r="S1676" s="49" t="s">
        <v>16036</v>
      </c>
      <c r="T1676" s="49" t="s">
        <v>16037</v>
      </c>
      <c r="U1676" s="49" t="s">
        <v>655</v>
      </c>
      <c r="V1676" s="49" t="e">
        <v>#REF!</v>
      </c>
      <c r="AC1676" s="49"/>
      <c r="AD1676" s="49"/>
    </row>
    <row r="1677" spans="1:30" hidden="1" x14ac:dyDescent="0.3">
      <c r="A1677" s="49" t="s">
        <v>16038</v>
      </c>
      <c r="B1677" s="49">
        <v>0</v>
      </c>
      <c r="C1677" s="49"/>
      <c r="D1677" s="72" t="s">
        <v>717</v>
      </c>
      <c r="E1677" s="49" t="s">
        <v>3754</v>
      </c>
      <c r="F1677" s="49"/>
      <c r="G1677" s="49"/>
      <c r="H1677" s="49" t="s">
        <v>16039</v>
      </c>
      <c r="I1677" s="49" t="s">
        <v>16042</v>
      </c>
      <c r="J1677" s="49" t="s">
        <v>16040</v>
      </c>
      <c r="K1677" s="49" t="s">
        <v>16041</v>
      </c>
      <c r="L1677" s="49">
        <v>0</v>
      </c>
      <c r="M1677" s="49" t="s">
        <v>2220</v>
      </c>
      <c r="N1677" s="49" t="s">
        <v>3563</v>
      </c>
      <c r="O1677" s="49">
        <v>8</v>
      </c>
      <c r="P1677" s="49" t="s">
        <v>16043</v>
      </c>
      <c r="Q1677" s="49">
        <v>0</v>
      </c>
      <c r="R1677" s="49" t="s">
        <v>16044</v>
      </c>
      <c r="S1677" s="49" t="s">
        <v>16045</v>
      </c>
      <c r="T1677" s="49" t="s">
        <v>16046</v>
      </c>
      <c r="U1677" s="49" t="s">
        <v>670</v>
      </c>
      <c r="V1677" s="49" t="e">
        <v>#REF!</v>
      </c>
      <c r="AC1677" s="49"/>
      <c r="AD1677" s="49"/>
    </row>
    <row r="1678" spans="1:30" hidden="1" x14ac:dyDescent="0.3">
      <c r="A1678" s="49" t="s">
        <v>16047</v>
      </c>
      <c r="B1678" s="49">
        <v>0</v>
      </c>
      <c r="C1678" s="49"/>
      <c r="D1678" s="72" t="s">
        <v>717</v>
      </c>
      <c r="E1678" s="49" t="s">
        <v>3754</v>
      </c>
      <c r="F1678" s="49"/>
      <c r="G1678" s="49"/>
      <c r="H1678" s="49" t="s">
        <v>16048</v>
      </c>
      <c r="I1678" s="49" t="s">
        <v>16051</v>
      </c>
      <c r="J1678" s="49" t="s">
        <v>16049</v>
      </c>
      <c r="K1678" s="49" t="s">
        <v>16050</v>
      </c>
      <c r="L1678" s="49">
        <v>0</v>
      </c>
      <c r="M1678" s="49" t="s">
        <v>1777</v>
      </c>
      <c r="N1678" s="49" t="s">
        <v>12848</v>
      </c>
      <c r="O1678" s="49">
        <v>2</v>
      </c>
      <c r="P1678" s="49" t="s">
        <v>16052</v>
      </c>
      <c r="Q1678" s="49">
        <v>0</v>
      </c>
      <c r="R1678" s="49" t="s">
        <v>16053</v>
      </c>
      <c r="S1678" s="49" t="s">
        <v>16054</v>
      </c>
      <c r="T1678" s="49" t="s">
        <v>16055</v>
      </c>
      <c r="U1678" s="49" t="s">
        <v>670</v>
      </c>
      <c r="V1678" s="49" t="e">
        <v>#REF!</v>
      </c>
      <c r="AC1678" s="49"/>
      <c r="AD1678" s="49"/>
    </row>
    <row r="1679" spans="1:30" hidden="1" x14ac:dyDescent="0.3">
      <c r="A1679" s="49" t="s">
        <v>16056</v>
      </c>
      <c r="B1679" s="49">
        <v>0</v>
      </c>
      <c r="C1679" s="49"/>
      <c r="D1679" s="72" t="s">
        <v>717</v>
      </c>
      <c r="E1679" s="49" t="s">
        <v>3754</v>
      </c>
      <c r="F1679" s="49"/>
      <c r="G1679" s="49"/>
      <c r="H1679" s="49" t="s">
        <v>16057</v>
      </c>
      <c r="I1679" s="49" t="s">
        <v>16060</v>
      </c>
      <c r="J1679" s="49" t="s">
        <v>16058</v>
      </c>
      <c r="K1679" s="49" t="s">
        <v>16059</v>
      </c>
      <c r="L1679" s="49">
        <v>0</v>
      </c>
      <c r="M1679" s="49" t="s">
        <v>2484</v>
      </c>
      <c r="N1679" s="49" t="s">
        <v>2239</v>
      </c>
      <c r="O1679" s="49">
        <v>20</v>
      </c>
      <c r="P1679" s="49" t="s">
        <v>16061</v>
      </c>
      <c r="Q1679" s="49">
        <v>0</v>
      </c>
      <c r="R1679" s="49" t="s">
        <v>16062</v>
      </c>
      <c r="S1679" s="49" t="s">
        <v>16063</v>
      </c>
      <c r="T1679" s="49" t="s">
        <v>646</v>
      </c>
      <c r="U1679" s="49" t="s">
        <v>670</v>
      </c>
      <c r="V1679" s="49" t="e">
        <v>#REF!</v>
      </c>
      <c r="AC1679" s="49"/>
      <c r="AD1679" s="49"/>
    </row>
    <row r="1680" spans="1:30" hidden="1" x14ac:dyDescent="0.3">
      <c r="A1680" s="49" t="s">
        <v>16064</v>
      </c>
      <c r="B1680" s="49">
        <v>0</v>
      </c>
      <c r="C1680" s="49"/>
      <c r="D1680" s="72" t="s">
        <v>717</v>
      </c>
      <c r="E1680" s="49" t="s">
        <v>3754</v>
      </c>
      <c r="F1680" s="49"/>
      <c r="G1680" s="49"/>
      <c r="H1680" s="49" t="s">
        <v>16065</v>
      </c>
      <c r="I1680" s="49" t="s">
        <v>16068</v>
      </c>
      <c r="J1680" s="49" t="s">
        <v>16066</v>
      </c>
      <c r="K1680" s="49" t="s">
        <v>16067</v>
      </c>
      <c r="L1680" s="49">
        <v>0</v>
      </c>
      <c r="M1680" s="49" t="s">
        <v>1865</v>
      </c>
      <c r="N1680" s="49" t="s">
        <v>7081</v>
      </c>
      <c r="O1680" s="49">
        <v>1</v>
      </c>
      <c r="P1680" s="49" t="s">
        <v>16069</v>
      </c>
      <c r="Q1680" s="49">
        <v>0</v>
      </c>
      <c r="R1680" s="49" t="s">
        <v>16070</v>
      </c>
      <c r="S1680" s="49" t="s">
        <v>16071</v>
      </c>
      <c r="T1680" s="49" t="s">
        <v>16072</v>
      </c>
      <c r="U1680" s="49" t="s">
        <v>655</v>
      </c>
      <c r="V1680" s="49" t="e">
        <v>#REF!</v>
      </c>
      <c r="AC1680" s="49"/>
      <c r="AD1680" s="49"/>
    </row>
    <row r="1681" spans="1:30" hidden="1" x14ac:dyDescent="0.3">
      <c r="A1681" s="49" t="s">
        <v>16073</v>
      </c>
      <c r="B1681" s="49">
        <v>0</v>
      </c>
      <c r="C1681" s="49"/>
      <c r="D1681" s="72" t="s">
        <v>717</v>
      </c>
      <c r="E1681" s="49" t="s">
        <v>3754</v>
      </c>
      <c r="F1681" s="49"/>
      <c r="G1681" s="49"/>
      <c r="H1681" s="49" t="s">
        <v>16074</v>
      </c>
      <c r="I1681" s="49" t="s">
        <v>16077</v>
      </c>
      <c r="J1681" s="49" t="s">
        <v>16075</v>
      </c>
      <c r="K1681" s="49" t="s">
        <v>16076</v>
      </c>
      <c r="L1681" s="49">
        <v>0</v>
      </c>
      <c r="M1681" s="49" t="s">
        <v>2484</v>
      </c>
      <c r="N1681" s="49" t="s">
        <v>2307</v>
      </c>
      <c r="O1681" s="49">
        <v>12</v>
      </c>
      <c r="P1681" s="49" t="s">
        <v>16078</v>
      </c>
      <c r="Q1681" s="49">
        <v>0</v>
      </c>
      <c r="R1681" s="49" t="s">
        <v>16079</v>
      </c>
      <c r="S1681" s="49" t="s">
        <v>16080</v>
      </c>
      <c r="T1681" s="49" t="s">
        <v>16081</v>
      </c>
      <c r="U1681" s="49" t="s">
        <v>655</v>
      </c>
      <c r="V1681" s="49" t="e">
        <v>#REF!</v>
      </c>
      <c r="AC1681" s="49"/>
      <c r="AD1681" s="49"/>
    </row>
    <row r="1682" spans="1:30" hidden="1" x14ac:dyDescent="0.3">
      <c r="A1682" s="49" t="s">
        <v>16082</v>
      </c>
      <c r="B1682" s="49">
        <v>0</v>
      </c>
      <c r="C1682" s="49"/>
      <c r="D1682" s="72" t="s">
        <v>717</v>
      </c>
      <c r="E1682" s="49" t="s">
        <v>3754</v>
      </c>
      <c r="F1682" s="49"/>
      <c r="G1682" s="49"/>
      <c r="H1682" s="49" t="s">
        <v>16083</v>
      </c>
      <c r="I1682" s="49" t="s">
        <v>16086</v>
      </c>
      <c r="J1682" s="49" t="s">
        <v>16084</v>
      </c>
      <c r="K1682" s="49" t="s">
        <v>16085</v>
      </c>
      <c r="L1682" s="49">
        <v>0</v>
      </c>
      <c r="M1682" s="49" t="s">
        <v>2142</v>
      </c>
      <c r="N1682" s="49" t="s">
        <v>3436</v>
      </c>
      <c r="O1682" s="49">
        <v>23</v>
      </c>
      <c r="P1682" s="49" t="s">
        <v>16087</v>
      </c>
      <c r="Q1682" s="49">
        <v>0</v>
      </c>
      <c r="R1682" s="49" t="s">
        <v>16088</v>
      </c>
      <c r="S1682" s="49" t="s">
        <v>16089</v>
      </c>
      <c r="T1682" s="49" t="s">
        <v>16090</v>
      </c>
      <c r="U1682" s="49" t="s">
        <v>655</v>
      </c>
      <c r="V1682" s="49" t="e">
        <v>#REF!</v>
      </c>
      <c r="AC1682" s="49"/>
      <c r="AD1682" s="49"/>
    </row>
    <row r="1683" spans="1:30" hidden="1" x14ac:dyDescent="0.3">
      <c r="A1683" s="49" t="s">
        <v>16091</v>
      </c>
      <c r="B1683" s="49">
        <v>0</v>
      </c>
      <c r="C1683" s="49"/>
      <c r="D1683" s="72" t="s">
        <v>717</v>
      </c>
      <c r="E1683" s="49" t="s">
        <v>3754</v>
      </c>
      <c r="F1683" s="49"/>
      <c r="G1683" s="49"/>
      <c r="H1683" s="49" t="s">
        <v>16092</v>
      </c>
      <c r="I1683" s="49" t="s">
        <v>16095</v>
      </c>
      <c r="J1683" s="49" t="s">
        <v>16093</v>
      </c>
      <c r="K1683" s="49" t="s">
        <v>16094</v>
      </c>
      <c r="L1683" s="49">
        <v>0</v>
      </c>
      <c r="M1683" s="49" t="s">
        <v>2142</v>
      </c>
      <c r="N1683" s="49" t="s">
        <v>3690</v>
      </c>
      <c r="O1683" s="49">
        <v>5</v>
      </c>
      <c r="P1683" s="49" t="s">
        <v>16096</v>
      </c>
      <c r="Q1683" s="49">
        <v>0</v>
      </c>
      <c r="R1683" s="49" t="s">
        <v>16097</v>
      </c>
      <c r="S1683" s="49" t="s">
        <v>16098</v>
      </c>
      <c r="T1683" s="49" t="s">
        <v>646</v>
      </c>
      <c r="U1683" s="49" t="s">
        <v>670</v>
      </c>
      <c r="V1683" s="49" t="e">
        <v>#REF!</v>
      </c>
      <c r="AC1683" s="49"/>
      <c r="AD1683" s="49"/>
    </row>
    <row r="1684" spans="1:30" hidden="1" x14ac:dyDescent="0.3">
      <c r="A1684" s="49" t="s">
        <v>16099</v>
      </c>
      <c r="B1684" s="49">
        <v>0</v>
      </c>
      <c r="C1684" s="49"/>
      <c r="D1684" s="72" t="s">
        <v>717</v>
      </c>
      <c r="E1684" s="49" t="s">
        <v>3754</v>
      </c>
      <c r="F1684" s="49"/>
      <c r="G1684" s="49"/>
      <c r="H1684" s="49" t="s">
        <v>16100</v>
      </c>
      <c r="I1684" s="49" t="s">
        <v>16103</v>
      </c>
      <c r="J1684" s="49" t="s">
        <v>16101</v>
      </c>
      <c r="K1684" s="49" t="s">
        <v>16102</v>
      </c>
      <c r="L1684" s="49">
        <v>0</v>
      </c>
      <c r="M1684" s="49" t="s">
        <v>2484</v>
      </c>
      <c r="N1684" s="49" t="s">
        <v>5557</v>
      </c>
      <c r="O1684" s="49">
        <v>4</v>
      </c>
      <c r="P1684" s="49" t="s">
        <v>16104</v>
      </c>
      <c r="Q1684" s="49">
        <v>0</v>
      </c>
      <c r="R1684" s="49" t="s">
        <v>16105</v>
      </c>
      <c r="S1684" s="49" t="s">
        <v>16106</v>
      </c>
      <c r="T1684" s="49" t="s">
        <v>16107</v>
      </c>
      <c r="U1684" s="49" t="s">
        <v>655</v>
      </c>
      <c r="V1684" s="49" t="e">
        <v>#REF!</v>
      </c>
      <c r="AC1684" s="49"/>
      <c r="AD1684" s="49"/>
    </row>
    <row r="1685" spans="1:30" hidden="1" x14ac:dyDescent="0.3">
      <c r="A1685" s="49" t="s">
        <v>16108</v>
      </c>
      <c r="B1685" s="49">
        <v>0</v>
      </c>
      <c r="C1685" s="49"/>
      <c r="D1685" s="72" t="s">
        <v>717</v>
      </c>
      <c r="E1685" s="49" t="s">
        <v>3754</v>
      </c>
      <c r="F1685" s="49"/>
      <c r="G1685" s="49"/>
      <c r="H1685" s="49" t="s">
        <v>16109</v>
      </c>
      <c r="I1685" s="49" t="s">
        <v>16112</v>
      </c>
      <c r="J1685" s="49" t="s">
        <v>16110</v>
      </c>
      <c r="K1685" s="49" t="s">
        <v>16111</v>
      </c>
      <c r="L1685" s="49">
        <v>0</v>
      </c>
      <c r="M1685" s="49" t="s">
        <v>2484</v>
      </c>
      <c r="N1685" s="49" t="s">
        <v>16113</v>
      </c>
      <c r="O1685" s="49">
        <v>7</v>
      </c>
      <c r="P1685" s="49" t="s">
        <v>16114</v>
      </c>
      <c r="Q1685" s="49">
        <v>0</v>
      </c>
      <c r="R1685" s="49" t="s">
        <v>16115</v>
      </c>
      <c r="S1685" s="49" t="s">
        <v>16116</v>
      </c>
      <c r="T1685" s="49" t="s">
        <v>16117</v>
      </c>
      <c r="U1685" s="49" t="s">
        <v>655</v>
      </c>
      <c r="V1685" s="49" t="e">
        <v>#REF!</v>
      </c>
      <c r="AC1685" s="49"/>
      <c r="AD1685" s="49"/>
    </row>
    <row r="1686" spans="1:30" hidden="1" x14ac:dyDescent="0.3">
      <c r="A1686" s="49" t="s">
        <v>16118</v>
      </c>
      <c r="B1686" s="49">
        <v>0</v>
      </c>
      <c r="C1686" s="49"/>
      <c r="D1686" s="72" t="s">
        <v>717</v>
      </c>
      <c r="E1686" s="49" t="s">
        <v>3754</v>
      </c>
      <c r="F1686" s="49"/>
      <c r="G1686" s="49"/>
      <c r="H1686" s="49" t="s">
        <v>16119</v>
      </c>
      <c r="I1686" s="49" t="s">
        <v>16122</v>
      </c>
      <c r="J1686" s="49" t="s">
        <v>16120</v>
      </c>
      <c r="K1686" s="49" t="s">
        <v>16121</v>
      </c>
      <c r="L1686" s="49">
        <v>0</v>
      </c>
      <c r="M1686" s="49" t="s">
        <v>2484</v>
      </c>
      <c r="N1686" s="49" t="s">
        <v>9696</v>
      </c>
      <c r="O1686" s="49">
        <v>26</v>
      </c>
      <c r="P1686" s="49" t="s">
        <v>16123</v>
      </c>
      <c r="Q1686" s="49">
        <v>0</v>
      </c>
      <c r="R1686" s="49" t="s">
        <v>15501</v>
      </c>
      <c r="S1686" s="49" t="s">
        <v>16124</v>
      </c>
      <c r="T1686" s="49" t="s">
        <v>646</v>
      </c>
      <c r="U1686" s="49" t="s">
        <v>655</v>
      </c>
      <c r="V1686" s="49" t="e">
        <v>#REF!</v>
      </c>
      <c r="AC1686" s="49"/>
      <c r="AD1686" s="49"/>
    </row>
    <row r="1687" spans="1:30" hidden="1" x14ac:dyDescent="0.3">
      <c r="A1687" s="49" t="s">
        <v>16125</v>
      </c>
      <c r="B1687" s="49">
        <v>0</v>
      </c>
      <c r="C1687" s="49"/>
      <c r="D1687" s="72" t="s">
        <v>717</v>
      </c>
      <c r="E1687" s="49" t="s">
        <v>3754</v>
      </c>
      <c r="F1687" s="49"/>
      <c r="G1687" s="49"/>
      <c r="H1687" s="49" t="s">
        <v>16126</v>
      </c>
      <c r="I1687" s="49" t="s">
        <v>16129</v>
      </c>
      <c r="J1687" s="49" t="s">
        <v>16127</v>
      </c>
      <c r="K1687" s="49" t="s">
        <v>16128</v>
      </c>
      <c r="L1687" s="49">
        <v>0</v>
      </c>
      <c r="M1687" s="49" t="s">
        <v>1865</v>
      </c>
      <c r="N1687" s="49" t="s">
        <v>16130</v>
      </c>
      <c r="O1687" s="49">
        <v>1</v>
      </c>
      <c r="P1687" s="49" t="s">
        <v>16131</v>
      </c>
      <c r="Q1687" s="49">
        <v>0</v>
      </c>
      <c r="R1687" s="49" t="s">
        <v>16132</v>
      </c>
      <c r="S1687" s="49" t="s">
        <v>16133</v>
      </c>
      <c r="T1687" s="49" t="s">
        <v>16134</v>
      </c>
      <c r="U1687" s="49" t="s">
        <v>670</v>
      </c>
      <c r="V1687" s="49" t="e">
        <v>#REF!</v>
      </c>
      <c r="AC1687" s="49"/>
      <c r="AD1687" s="49"/>
    </row>
    <row r="1688" spans="1:30" hidden="1" x14ac:dyDescent="0.3">
      <c r="A1688" s="49" t="s">
        <v>16135</v>
      </c>
      <c r="B1688" s="49">
        <v>0</v>
      </c>
      <c r="C1688" s="49"/>
      <c r="D1688" s="72" t="s">
        <v>717</v>
      </c>
      <c r="E1688" s="49" t="s">
        <v>3754</v>
      </c>
      <c r="F1688" s="49"/>
      <c r="G1688" s="49"/>
      <c r="H1688" s="49" t="s">
        <v>16136</v>
      </c>
      <c r="I1688" s="49" t="s">
        <v>16139</v>
      </c>
      <c r="J1688" s="49" t="s">
        <v>16137</v>
      </c>
      <c r="K1688" s="49" t="s">
        <v>16138</v>
      </c>
      <c r="L1688" s="49">
        <v>0</v>
      </c>
      <c r="M1688" s="49" t="s">
        <v>1764</v>
      </c>
      <c r="N1688" s="49" t="s">
        <v>16140</v>
      </c>
      <c r="O1688" s="49">
        <v>34</v>
      </c>
      <c r="P1688" s="49" t="s">
        <v>16141</v>
      </c>
      <c r="Q1688" s="49">
        <v>0</v>
      </c>
      <c r="R1688" s="49" t="s">
        <v>16142</v>
      </c>
      <c r="S1688" s="49" t="s">
        <v>16143</v>
      </c>
      <c r="T1688" s="49" t="s">
        <v>16144</v>
      </c>
      <c r="U1688" s="49" t="s">
        <v>655</v>
      </c>
      <c r="V1688" s="49" t="e">
        <v>#REF!</v>
      </c>
      <c r="AC1688" s="49"/>
      <c r="AD1688" s="49"/>
    </row>
    <row r="1689" spans="1:30" hidden="1" x14ac:dyDescent="0.3">
      <c r="A1689" s="49" t="s">
        <v>16145</v>
      </c>
      <c r="B1689" s="49">
        <v>0</v>
      </c>
      <c r="C1689" s="49"/>
      <c r="D1689" s="72" t="s">
        <v>717</v>
      </c>
      <c r="E1689" s="49" t="s">
        <v>3754</v>
      </c>
      <c r="F1689" s="49"/>
      <c r="G1689" s="49"/>
      <c r="H1689" s="49" t="s">
        <v>16146</v>
      </c>
      <c r="I1689" s="49" t="s">
        <v>16149</v>
      </c>
      <c r="J1689" s="49" t="s">
        <v>16147</v>
      </c>
      <c r="K1689" s="49" t="s">
        <v>16148</v>
      </c>
      <c r="L1689" s="49">
        <v>0</v>
      </c>
      <c r="M1689" s="49" t="s">
        <v>2142</v>
      </c>
      <c r="N1689" s="49" t="s">
        <v>12562</v>
      </c>
      <c r="O1689" s="49">
        <v>24</v>
      </c>
      <c r="P1689" s="49" t="s">
        <v>16150</v>
      </c>
      <c r="Q1689" s="49">
        <v>0</v>
      </c>
      <c r="R1689" s="49" t="s">
        <v>16151</v>
      </c>
      <c r="S1689" s="49" t="s">
        <v>16152</v>
      </c>
      <c r="T1689" s="49" t="s">
        <v>16153</v>
      </c>
      <c r="U1689" s="49" t="s">
        <v>655</v>
      </c>
      <c r="V1689" s="49" t="e">
        <v>#REF!</v>
      </c>
      <c r="AC1689" s="49"/>
      <c r="AD1689" s="49"/>
    </row>
    <row r="1690" spans="1:30" hidden="1" x14ac:dyDescent="0.3">
      <c r="A1690" s="49" t="s">
        <v>16154</v>
      </c>
      <c r="B1690" s="49">
        <v>0</v>
      </c>
      <c r="C1690" s="49"/>
      <c r="D1690" s="72" t="s">
        <v>717</v>
      </c>
      <c r="E1690" s="49" t="s">
        <v>3754</v>
      </c>
      <c r="F1690" s="49"/>
      <c r="G1690" s="49"/>
      <c r="H1690" s="49" t="s">
        <v>16155</v>
      </c>
      <c r="I1690" s="49" t="s">
        <v>16158</v>
      </c>
      <c r="J1690" s="49" t="s">
        <v>16156</v>
      </c>
      <c r="K1690" s="49" t="s">
        <v>16157</v>
      </c>
      <c r="L1690" s="49">
        <v>0</v>
      </c>
      <c r="M1690" s="49" t="s">
        <v>1865</v>
      </c>
      <c r="N1690" s="49" t="s">
        <v>13395</v>
      </c>
      <c r="O1690" s="49">
        <v>5</v>
      </c>
      <c r="P1690" s="49" t="s">
        <v>16159</v>
      </c>
      <c r="Q1690" s="49">
        <v>0</v>
      </c>
      <c r="R1690" s="49" t="s">
        <v>16160</v>
      </c>
      <c r="S1690" s="49" t="s">
        <v>16161</v>
      </c>
      <c r="T1690" s="49" t="s">
        <v>16162</v>
      </c>
      <c r="U1690" s="49" t="s">
        <v>655</v>
      </c>
      <c r="V1690" s="49" t="e">
        <v>#REF!</v>
      </c>
      <c r="AC1690" s="49"/>
      <c r="AD1690" s="49"/>
    </row>
    <row r="1691" spans="1:30" hidden="1" x14ac:dyDescent="0.3">
      <c r="A1691" s="49" t="s">
        <v>16163</v>
      </c>
      <c r="B1691" s="49">
        <v>0</v>
      </c>
      <c r="C1691" s="49"/>
      <c r="D1691" s="72" t="s">
        <v>717</v>
      </c>
      <c r="E1691" s="49" t="s">
        <v>3754</v>
      </c>
      <c r="F1691" s="49"/>
      <c r="G1691" s="49"/>
      <c r="H1691" s="49" t="s">
        <v>16164</v>
      </c>
      <c r="I1691" s="49" t="s">
        <v>16167</v>
      </c>
      <c r="J1691" s="49" t="s">
        <v>16165</v>
      </c>
      <c r="K1691" s="49" t="s">
        <v>16166</v>
      </c>
      <c r="L1691" s="49">
        <v>0</v>
      </c>
      <c r="M1691" s="49" t="s">
        <v>1826</v>
      </c>
      <c r="N1691" s="49" t="s">
        <v>2448</v>
      </c>
      <c r="O1691" s="49">
        <v>8</v>
      </c>
      <c r="P1691" s="49" t="s">
        <v>16168</v>
      </c>
      <c r="Q1691" s="49">
        <v>0</v>
      </c>
      <c r="R1691" s="49" t="s">
        <v>16169</v>
      </c>
      <c r="S1691" s="49" t="s">
        <v>16170</v>
      </c>
      <c r="T1691" s="49" t="s">
        <v>15557</v>
      </c>
      <c r="U1691" s="49" t="s">
        <v>655</v>
      </c>
      <c r="V1691" s="49" t="e">
        <v>#REF!</v>
      </c>
      <c r="AC1691" s="49"/>
      <c r="AD1691" s="49"/>
    </row>
    <row r="1692" spans="1:30" hidden="1" x14ac:dyDescent="0.3">
      <c r="A1692" s="49" t="s">
        <v>16171</v>
      </c>
      <c r="B1692" s="49">
        <v>0</v>
      </c>
      <c r="C1692" s="49"/>
      <c r="D1692" s="72" t="s">
        <v>717</v>
      </c>
      <c r="E1692" s="49" t="s">
        <v>3754</v>
      </c>
      <c r="F1692" s="49"/>
      <c r="G1692" s="49"/>
      <c r="H1692" s="49" t="s">
        <v>16172</v>
      </c>
      <c r="I1692" s="49" t="s">
        <v>16175</v>
      </c>
      <c r="J1692" s="49" t="s">
        <v>16173</v>
      </c>
      <c r="K1692" s="49" t="s">
        <v>16174</v>
      </c>
      <c r="L1692" s="49">
        <v>0</v>
      </c>
      <c r="M1692" s="49" t="s">
        <v>1865</v>
      </c>
      <c r="N1692" s="49" t="s">
        <v>15563</v>
      </c>
      <c r="O1692" s="49">
        <v>13</v>
      </c>
      <c r="P1692" s="49" t="s">
        <v>16176</v>
      </c>
      <c r="Q1692" s="49">
        <v>0</v>
      </c>
      <c r="R1692" s="49" t="s">
        <v>16177</v>
      </c>
      <c r="S1692" s="49" t="s">
        <v>16178</v>
      </c>
      <c r="T1692" s="49" t="s">
        <v>16179</v>
      </c>
      <c r="U1692" s="49" t="s">
        <v>655</v>
      </c>
      <c r="V1692" s="49" t="e">
        <v>#REF!</v>
      </c>
      <c r="AC1692" s="49"/>
      <c r="AD1692" s="49"/>
    </row>
    <row r="1693" spans="1:30" hidden="1" x14ac:dyDescent="0.3">
      <c r="A1693" s="49" t="s">
        <v>16180</v>
      </c>
      <c r="B1693" s="49">
        <v>0</v>
      </c>
      <c r="C1693" s="49"/>
      <c r="D1693" s="72" t="s">
        <v>717</v>
      </c>
      <c r="E1693" s="49" t="s">
        <v>3754</v>
      </c>
      <c r="F1693" s="49"/>
      <c r="G1693" s="49"/>
      <c r="H1693" s="49" t="s">
        <v>16181</v>
      </c>
      <c r="I1693" s="49" t="s">
        <v>16184</v>
      </c>
      <c r="J1693" s="49" t="s">
        <v>16182</v>
      </c>
      <c r="K1693" s="49" t="s">
        <v>16183</v>
      </c>
      <c r="L1693" s="49">
        <v>0</v>
      </c>
      <c r="M1693" s="49" t="s">
        <v>2142</v>
      </c>
      <c r="N1693" s="49" t="s">
        <v>16185</v>
      </c>
      <c r="O1693" s="49">
        <v>88</v>
      </c>
      <c r="P1693" s="49" t="s">
        <v>16186</v>
      </c>
      <c r="Q1693" s="49">
        <v>0</v>
      </c>
      <c r="R1693" s="49" t="s">
        <v>16187</v>
      </c>
      <c r="S1693" s="49" t="s">
        <v>16188</v>
      </c>
      <c r="T1693" s="49" t="s">
        <v>646</v>
      </c>
      <c r="U1693" s="49" t="s">
        <v>655</v>
      </c>
      <c r="V1693" s="49" t="e">
        <v>#REF!</v>
      </c>
      <c r="AC1693" s="49"/>
      <c r="AD1693" s="49"/>
    </row>
    <row r="1694" spans="1:30" hidden="1" x14ac:dyDescent="0.3">
      <c r="A1694" s="49" t="s">
        <v>16189</v>
      </c>
      <c r="B1694" s="49">
        <v>0</v>
      </c>
      <c r="C1694" s="49"/>
      <c r="D1694" s="72" t="s">
        <v>717</v>
      </c>
      <c r="E1694" s="49" t="s">
        <v>3754</v>
      </c>
      <c r="F1694" s="49"/>
      <c r="G1694" s="49"/>
      <c r="H1694" s="49" t="s">
        <v>16190</v>
      </c>
      <c r="I1694" s="49" t="s">
        <v>16193</v>
      </c>
      <c r="J1694" s="49" t="s">
        <v>16191</v>
      </c>
      <c r="K1694" s="49" t="s">
        <v>16192</v>
      </c>
      <c r="L1694" s="49">
        <v>0</v>
      </c>
      <c r="M1694" s="49" t="s">
        <v>1777</v>
      </c>
      <c r="N1694" s="49" t="s">
        <v>1382</v>
      </c>
      <c r="O1694" s="49">
        <v>5</v>
      </c>
      <c r="P1694" s="49" t="s">
        <v>16194</v>
      </c>
      <c r="Q1694" s="49">
        <v>0</v>
      </c>
      <c r="R1694" s="49" t="s">
        <v>16195</v>
      </c>
      <c r="S1694" s="49" t="s">
        <v>16196</v>
      </c>
      <c r="T1694" s="49" t="s">
        <v>16197</v>
      </c>
      <c r="U1694" s="49" t="s">
        <v>670</v>
      </c>
      <c r="V1694" s="49" t="e">
        <v>#REF!</v>
      </c>
      <c r="AC1694" s="49"/>
      <c r="AD1694" s="49"/>
    </row>
    <row r="1695" spans="1:30" hidden="1" x14ac:dyDescent="0.3">
      <c r="A1695" s="49" t="s">
        <v>16198</v>
      </c>
      <c r="B1695" s="49">
        <v>0</v>
      </c>
      <c r="C1695" s="49"/>
      <c r="D1695" s="72" t="s">
        <v>717</v>
      </c>
      <c r="E1695" s="49" t="s">
        <v>3754</v>
      </c>
      <c r="F1695" s="49"/>
      <c r="G1695" s="49"/>
      <c r="H1695" s="49" t="s">
        <v>646</v>
      </c>
      <c r="I1695" s="49" t="s">
        <v>16201</v>
      </c>
      <c r="J1695" s="49" t="s">
        <v>16199</v>
      </c>
      <c r="K1695" s="49" t="s">
        <v>16200</v>
      </c>
      <c r="L1695" s="49">
        <v>0</v>
      </c>
      <c r="M1695" s="49" t="s">
        <v>1826</v>
      </c>
      <c r="N1695" s="49" t="s">
        <v>16202</v>
      </c>
      <c r="O1695" s="49">
        <v>3</v>
      </c>
      <c r="P1695" s="49" t="s">
        <v>16203</v>
      </c>
      <c r="Q1695" s="49">
        <v>0</v>
      </c>
      <c r="R1695" s="49" t="s">
        <v>16204</v>
      </c>
      <c r="S1695" s="49" t="s">
        <v>16205</v>
      </c>
      <c r="T1695" s="49" t="s">
        <v>646</v>
      </c>
      <c r="U1695" s="49" t="s">
        <v>670</v>
      </c>
      <c r="V1695" s="49" t="e">
        <v>#REF!</v>
      </c>
      <c r="AC1695" s="49"/>
      <c r="AD1695" s="49"/>
    </row>
    <row r="1696" spans="1:30" hidden="1" x14ac:dyDescent="0.3">
      <c r="A1696" s="49" t="s">
        <v>16206</v>
      </c>
      <c r="B1696" s="49">
        <v>0</v>
      </c>
      <c r="C1696" s="49"/>
      <c r="D1696" s="72" t="s">
        <v>717</v>
      </c>
      <c r="E1696" s="49" t="s">
        <v>3754</v>
      </c>
      <c r="F1696" s="49"/>
      <c r="G1696" s="49"/>
      <c r="H1696" s="49" t="s">
        <v>16207</v>
      </c>
      <c r="I1696" s="49" t="s">
        <v>16210</v>
      </c>
      <c r="J1696" s="49" t="s">
        <v>16208</v>
      </c>
      <c r="K1696" s="49" t="s">
        <v>16209</v>
      </c>
      <c r="L1696" s="49">
        <v>0</v>
      </c>
      <c r="M1696" s="49" t="s">
        <v>1865</v>
      </c>
      <c r="N1696" s="49" t="s">
        <v>16211</v>
      </c>
      <c r="O1696" s="49">
        <v>3</v>
      </c>
      <c r="P1696" s="49" t="s">
        <v>16212</v>
      </c>
      <c r="Q1696" s="49">
        <v>0</v>
      </c>
      <c r="R1696" s="49" t="s">
        <v>1579</v>
      </c>
      <c r="S1696" s="49" t="s">
        <v>16213</v>
      </c>
      <c r="T1696" s="49" t="s">
        <v>646</v>
      </c>
      <c r="U1696" s="49" t="s">
        <v>670</v>
      </c>
      <c r="V1696" s="49" t="e">
        <v>#REF!</v>
      </c>
      <c r="AC1696" s="49"/>
      <c r="AD1696" s="49"/>
    </row>
    <row r="1697" spans="1:30" hidden="1" x14ac:dyDescent="0.3">
      <c r="A1697" s="49" t="s">
        <v>16214</v>
      </c>
      <c r="B1697" s="49">
        <v>0</v>
      </c>
      <c r="C1697" s="49"/>
      <c r="D1697" s="72" t="s">
        <v>717</v>
      </c>
      <c r="E1697" s="49" t="s">
        <v>3754</v>
      </c>
      <c r="F1697" s="49"/>
      <c r="G1697" s="49"/>
      <c r="H1697" s="49" t="s">
        <v>16215</v>
      </c>
      <c r="I1697" s="49" t="s">
        <v>16218</v>
      </c>
      <c r="J1697" s="49" t="s">
        <v>16216</v>
      </c>
      <c r="K1697" s="49" t="s">
        <v>16217</v>
      </c>
      <c r="L1697" s="49">
        <v>0</v>
      </c>
      <c r="M1697" s="49" t="s">
        <v>1826</v>
      </c>
      <c r="N1697" s="49" t="s">
        <v>2239</v>
      </c>
      <c r="O1697" s="49">
        <v>10</v>
      </c>
      <c r="P1697" s="49" t="s">
        <v>16219</v>
      </c>
      <c r="Q1697" s="49">
        <v>0</v>
      </c>
      <c r="R1697" s="49" t="s">
        <v>16220</v>
      </c>
      <c r="S1697" s="49" t="s">
        <v>16221</v>
      </c>
      <c r="T1697" s="49" t="s">
        <v>646</v>
      </c>
      <c r="U1697" s="49" t="s">
        <v>670</v>
      </c>
      <c r="V1697" s="49" t="e">
        <v>#REF!</v>
      </c>
      <c r="AC1697" s="49"/>
      <c r="AD1697" s="49"/>
    </row>
    <row r="1698" spans="1:30" hidden="1" x14ac:dyDescent="0.3">
      <c r="A1698" s="49" t="s">
        <v>16222</v>
      </c>
      <c r="B1698" s="49">
        <v>0</v>
      </c>
      <c r="C1698" s="49"/>
      <c r="D1698" s="72" t="s">
        <v>717</v>
      </c>
      <c r="E1698" s="49" t="s">
        <v>3754</v>
      </c>
      <c r="F1698" s="49"/>
      <c r="G1698" s="49"/>
      <c r="H1698" s="49" t="s">
        <v>16223</v>
      </c>
      <c r="I1698" s="49" t="s">
        <v>16226</v>
      </c>
      <c r="J1698" s="49" t="s">
        <v>16224</v>
      </c>
      <c r="K1698" s="49" t="s">
        <v>16225</v>
      </c>
      <c r="L1698" s="49">
        <v>0</v>
      </c>
      <c r="M1698" s="49" t="s">
        <v>1764</v>
      </c>
      <c r="N1698" s="49" t="s">
        <v>16227</v>
      </c>
      <c r="O1698" s="49">
        <v>9</v>
      </c>
      <c r="P1698" s="49" t="s">
        <v>16228</v>
      </c>
      <c r="Q1698" s="49">
        <v>0</v>
      </c>
      <c r="R1698" s="49" t="s">
        <v>16229</v>
      </c>
      <c r="S1698" s="49" t="s">
        <v>16230</v>
      </c>
      <c r="T1698" s="49" t="s">
        <v>16231</v>
      </c>
      <c r="U1698" s="49" t="s">
        <v>655</v>
      </c>
      <c r="V1698" s="49" t="e">
        <v>#REF!</v>
      </c>
      <c r="AC1698" s="49"/>
      <c r="AD1698" s="49"/>
    </row>
    <row r="1699" spans="1:30" hidden="1" x14ac:dyDescent="0.3">
      <c r="A1699" s="49" t="s">
        <v>16232</v>
      </c>
      <c r="B1699" s="49">
        <v>0</v>
      </c>
      <c r="C1699" s="49"/>
      <c r="D1699" s="72" t="s">
        <v>717</v>
      </c>
      <c r="E1699" s="49" t="s">
        <v>3754</v>
      </c>
      <c r="F1699" s="49"/>
      <c r="G1699" s="49"/>
      <c r="H1699" s="49" t="s">
        <v>16233</v>
      </c>
      <c r="I1699" s="49" t="s">
        <v>16236</v>
      </c>
      <c r="J1699" s="49" t="s">
        <v>16234</v>
      </c>
      <c r="K1699" s="49" t="s">
        <v>16235</v>
      </c>
      <c r="L1699" s="49">
        <v>0</v>
      </c>
      <c r="M1699" s="49" t="s">
        <v>1777</v>
      </c>
      <c r="N1699" s="49" t="s">
        <v>2239</v>
      </c>
      <c r="O1699" s="49">
        <v>309</v>
      </c>
      <c r="P1699" s="49" t="s">
        <v>16237</v>
      </c>
      <c r="Q1699" s="49">
        <v>0</v>
      </c>
      <c r="R1699" s="49" t="s">
        <v>16238</v>
      </c>
      <c r="S1699" s="49" t="s">
        <v>16239</v>
      </c>
      <c r="T1699" s="49" t="s">
        <v>646</v>
      </c>
      <c r="U1699" s="49" t="s">
        <v>670</v>
      </c>
      <c r="V1699" s="49" t="e">
        <v>#REF!</v>
      </c>
      <c r="AC1699" s="49"/>
      <c r="AD1699" s="49"/>
    </row>
    <row r="1700" spans="1:30" hidden="1" x14ac:dyDescent="0.3">
      <c r="A1700" s="49" t="s">
        <v>16240</v>
      </c>
      <c r="B1700" s="49">
        <v>0</v>
      </c>
      <c r="C1700" s="49"/>
      <c r="D1700" s="72" t="s">
        <v>717</v>
      </c>
      <c r="E1700" s="49" t="s">
        <v>3754</v>
      </c>
      <c r="F1700" s="49"/>
      <c r="G1700" s="49"/>
      <c r="H1700" s="49" t="s">
        <v>16241</v>
      </c>
      <c r="I1700" s="49" t="s">
        <v>16244</v>
      </c>
      <c r="J1700" s="49" t="s">
        <v>16242</v>
      </c>
      <c r="K1700" s="49" t="s">
        <v>16243</v>
      </c>
      <c r="L1700" s="49">
        <v>0</v>
      </c>
      <c r="M1700" s="49" t="s">
        <v>1826</v>
      </c>
      <c r="N1700" s="49" t="s">
        <v>11160</v>
      </c>
      <c r="O1700" s="49">
        <v>84</v>
      </c>
      <c r="P1700" s="49" t="s">
        <v>16245</v>
      </c>
      <c r="Q1700" s="49">
        <v>0</v>
      </c>
      <c r="R1700" s="49" t="s">
        <v>16246</v>
      </c>
      <c r="S1700" s="49" t="s">
        <v>16247</v>
      </c>
      <c r="T1700" s="49" t="s">
        <v>646</v>
      </c>
      <c r="U1700" s="49" t="s">
        <v>655</v>
      </c>
      <c r="V1700" s="49" t="e">
        <v>#REF!</v>
      </c>
      <c r="AC1700" s="49"/>
      <c r="AD1700" s="49"/>
    </row>
    <row r="1701" spans="1:30" hidden="1" x14ac:dyDescent="0.3">
      <c r="A1701" s="49" t="s">
        <v>16248</v>
      </c>
      <c r="B1701" s="49">
        <v>0</v>
      </c>
      <c r="C1701" s="49"/>
      <c r="D1701" s="72" t="s">
        <v>717</v>
      </c>
      <c r="E1701" s="74" t="s">
        <v>645</v>
      </c>
      <c r="F1701" s="73">
        <v>0</v>
      </c>
      <c r="G1701" s="49"/>
      <c r="H1701" s="49" t="s">
        <v>16249</v>
      </c>
      <c r="I1701" s="49" t="s">
        <v>16252</v>
      </c>
      <c r="J1701" s="49" t="s">
        <v>16250</v>
      </c>
      <c r="K1701" s="49" t="s">
        <v>16251</v>
      </c>
      <c r="L1701" s="49">
        <v>0</v>
      </c>
      <c r="M1701" s="49" t="s">
        <v>1865</v>
      </c>
      <c r="N1701" s="49" t="s">
        <v>16253</v>
      </c>
      <c r="O1701" s="49">
        <v>7</v>
      </c>
      <c r="P1701" s="49" t="s">
        <v>16254</v>
      </c>
      <c r="Q1701" s="49">
        <v>0</v>
      </c>
      <c r="R1701" s="49" t="s">
        <v>16255</v>
      </c>
      <c r="S1701" s="49" t="s">
        <v>16256</v>
      </c>
      <c r="T1701" s="49" t="s">
        <v>16257</v>
      </c>
      <c r="U1701" s="49" t="s">
        <v>655</v>
      </c>
      <c r="V1701" s="49" t="e">
        <v>#REF!</v>
      </c>
      <c r="AC1701" s="49"/>
      <c r="AD1701" s="49"/>
    </row>
    <row r="1702" spans="1:30" hidden="1" x14ac:dyDescent="0.3">
      <c r="A1702" s="49" t="s">
        <v>16258</v>
      </c>
      <c r="B1702" s="49">
        <v>0</v>
      </c>
      <c r="C1702" s="49"/>
      <c r="D1702" s="72" t="s">
        <v>717</v>
      </c>
      <c r="E1702" s="74" t="s">
        <v>645</v>
      </c>
      <c r="F1702" s="73">
        <v>0</v>
      </c>
      <c r="G1702" s="49"/>
      <c r="H1702" s="49" t="s">
        <v>16259</v>
      </c>
      <c r="I1702" s="49" t="s">
        <v>16262</v>
      </c>
      <c r="J1702" s="49" t="s">
        <v>16260</v>
      </c>
      <c r="K1702" s="49" t="s">
        <v>16261</v>
      </c>
      <c r="L1702" s="49">
        <v>0</v>
      </c>
      <c r="M1702" s="49" t="s">
        <v>1865</v>
      </c>
      <c r="N1702" s="49" t="s">
        <v>16263</v>
      </c>
      <c r="O1702" s="49">
        <v>18</v>
      </c>
      <c r="P1702" s="49" t="s">
        <v>16264</v>
      </c>
      <c r="Q1702" s="49">
        <v>0</v>
      </c>
      <c r="R1702" s="49" t="s">
        <v>16265</v>
      </c>
      <c r="S1702" s="49" t="s">
        <v>16266</v>
      </c>
      <c r="T1702" s="49" t="s">
        <v>646</v>
      </c>
      <c r="U1702" s="49" t="s">
        <v>670</v>
      </c>
      <c r="V1702" s="49" t="e">
        <v>#REF!</v>
      </c>
      <c r="AC1702" s="49"/>
      <c r="AD1702" s="49"/>
    </row>
    <row r="1703" spans="1:30" hidden="1" x14ac:dyDescent="0.3">
      <c r="A1703" s="49" t="s">
        <v>16267</v>
      </c>
      <c r="B1703" s="49">
        <v>0</v>
      </c>
      <c r="C1703" s="49"/>
      <c r="D1703" s="72" t="s">
        <v>717</v>
      </c>
      <c r="E1703" s="74" t="s">
        <v>645</v>
      </c>
      <c r="F1703" s="73">
        <v>0</v>
      </c>
      <c r="G1703" s="49"/>
      <c r="H1703" s="49" t="s">
        <v>16268</v>
      </c>
      <c r="I1703" s="49" t="s">
        <v>16271</v>
      </c>
      <c r="J1703" s="49" t="s">
        <v>16269</v>
      </c>
      <c r="K1703" s="49" t="s">
        <v>16270</v>
      </c>
      <c r="L1703" s="49">
        <v>0</v>
      </c>
      <c r="M1703" s="49" t="s">
        <v>1865</v>
      </c>
      <c r="N1703" s="49" t="s">
        <v>16272</v>
      </c>
      <c r="O1703" s="49">
        <v>6</v>
      </c>
      <c r="P1703" s="49" t="s">
        <v>16273</v>
      </c>
      <c r="Q1703" s="49">
        <v>0</v>
      </c>
      <c r="R1703" s="49" t="s">
        <v>16274</v>
      </c>
      <c r="S1703" s="49" t="s">
        <v>16275</v>
      </c>
      <c r="T1703" s="49" t="s">
        <v>646</v>
      </c>
      <c r="U1703" s="49" t="s">
        <v>655</v>
      </c>
      <c r="V1703" s="49" t="e">
        <v>#REF!</v>
      </c>
      <c r="AC1703" s="49"/>
      <c r="AD1703" s="49"/>
    </row>
    <row r="1704" spans="1:30" hidden="1" x14ac:dyDescent="0.3">
      <c r="A1704" s="49" t="s">
        <v>16276</v>
      </c>
      <c r="B1704" s="49">
        <v>0</v>
      </c>
      <c r="C1704" s="49">
        <v>1</v>
      </c>
      <c r="D1704" s="72" t="s">
        <v>717</v>
      </c>
      <c r="E1704" s="74" t="s">
        <v>645</v>
      </c>
      <c r="F1704" s="73">
        <v>1</v>
      </c>
      <c r="G1704" s="49">
        <v>0</v>
      </c>
      <c r="H1704" s="49" t="s">
        <v>16277</v>
      </c>
      <c r="I1704" s="49" t="s">
        <v>16280</v>
      </c>
      <c r="J1704" s="49" t="s">
        <v>16278</v>
      </c>
      <c r="K1704" s="49" t="s">
        <v>16279</v>
      </c>
      <c r="L1704" s="49">
        <v>0</v>
      </c>
      <c r="M1704" s="75" t="s">
        <v>1865</v>
      </c>
      <c r="N1704" s="49" t="s">
        <v>3142</v>
      </c>
      <c r="O1704" s="49">
        <v>6</v>
      </c>
      <c r="P1704" s="49" t="s">
        <v>16281</v>
      </c>
      <c r="Q1704" s="49">
        <v>0</v>
      </c>
      <c r="R1704" s="49" t="s">
        <v>16282</v>
      </c>
      <c r="S1704" s="49" t="s">
        <v>16283</v>
      </c>
      <c r="T1704" s="49" t="s">
        <v>16284</v>
      </c>
      <c r="U1704" s="49" t="s">
        <v>646</v>
      </c>
      <c r="V1704" s="49" t="e">
        <v>#REF!</v>
      </c>
      <c r="AC1704" s="49"/>
      <c r="AD1704" s="49"/>
    </row>
    <row r="1705" spans="1:30" hidden="1" x14ac:dyDescent="0.3">
      <c r="A1705" s="49" t="s">
        <v>16285</v>
      </c>
      <c r="B1705" s="49">
        <v>0</v>
      </c>
      <c r="C1705" s="49">
        <v>1</v>
      </c>
      <c r="D1705" s="72" t="s">
        <v>717</v>
      </c>
      <c r="E1705" s="74" t="s">
        <v>645</v>
      </c>
      <c r="F1705" s="73" t="s">
        <v>645</v>
      </c>
      <c r="G1705" s="49">
        <v>0</v>
      </c>
      <c r="H1705" s="49" t="s">
        <v>16286</v>
      </c>
      <c r="I1705" s="49" t="s">
        <v>16289</v>
      </c>
      <c r="J1705" s="49" t="s">
        <v>16287</v>
      </c>
      <c r="K1705" s="49" t="s">
        <v>16288</v>
      </c>
      <c r="L1705" s="49">
        <v>0</v>
      </c>
      <c r="M1705" s="75" t="s">
        <v>1865</v>
      </c>
      <c r="N1705" s="49" t="s">
        <v>16290</v>
      </c>
      <c r="O1705" s="49">
        <v>1</v>
      </c>
      <c r="P1705" s="49" t="s">
        <v>16291</v>
      </c>
      <c r="Q1705" s="49">
        <v>0</v>
      </c>
      <c r="R1705" s="49" t="s">
        <v>16292</v>
      </c>
      <c r="S1705" s="49" t="s">
        <v>16293</v>
      </c>
      <c r="T1705" s="49" t="s">
        <v>16294</v>
      </c>
      <c r="U1705" s="49" t="s">
        <v>655</v>
      </c>
      <c r="V1705" s="49" t="e">
        <v>#REF!</v>
      </c>
      <c r="AC1705" s="49"/>
      <c r="AD1705" s="49"/>
    </row>
    <row r="1706" spans="1:30" hidden="1" x14ac:dyDescent="0.3">
      <c r="A1706" s="49" t="s">
        <v>1680</v>
      </c>
      <c r="B1706" s="49" t="s">
        <v>1681</v>
      </c>
      <c r="C1706" s="49" t="s">
        <v>16295</v>
      </c>
      <c r="D1706" s="72" t="s">
        <v>717</v>
      </c>
      <c r="E1706" s="74" t="s">
        <v>16296</v>
      </c>
      <c r="F1706" s="73">
        <v>1</v>
      </c>
      <c r="G1706" s="49" t="s">
        <v>16295</v>
      </c>
      <c r="H1706" s="49" t="s">
        <v>1682</v>
      </c>
      <c r="I1706" s="49" t="s">
        <v>1683</v>
      </c>
      <c r="J1706" s="49" t="s">
        <v>16297</v>
      </c>
      <c r="K1706" s="49" t="s">
        <v>1685</v>
      </c>
      <c r="L1706" s="49">
        <v>0</v>
      </c>
      <c r="M1706" s="49" t="s">
        <v>1865</v>
      </c>
      <c r="N1706" s="49" t="s">
        <v>818</v>
      </c>
      <c r="P1706" s="49" t="s">
        <v>1686</v>
      </c>
      <c r="Q1706" s="49">
        <v>0</v>
      </c>
      <c r="R1706" s="49" t="s">
        <v>1687</v>
      </c>
      <c r="S1706" s="49" t="s">
        <v>1688</v>
      </c>
      <c r="T1706" s="49" t="s">
        <v>1689</v>
      </c>
      <c r="U1706" s="49" t="s">
        <v>670</v>
      </c>
      <c r="V1706" s="49" t="e">
        <v>#REF!</v>
      </c>
      <c r="AC1706" s="49"/>
      <c r="AD1706" s="49"/>
    </row>
    <row r="1707" spans="1:30" hidden="1" x14ac:dyDescent="0.3">
      <c r="A1707" s="49" t="s">
        <v>16298</v>
      </c>
      <c r="B1707" s="49">
        <v>0</v>
      </c>
      <c r="C1707" s="49"/>
      <c r="D1707" s="72" t="s">
        <v>717</v>
      </c>
      <c r="E1707" s="74" t="s">
        <v>645</v>
      </c>
      <c r="F1707" s="73">
        <v>0</v>
      </c>
      <c r="G1707" s="49"/>
      <c r="H1707" s="49" t="s">
        <v>16299</v>
      </c>
      <c r="I1707" s="49" t="s">
        <v>16302</v>
      </c>
      <c r="J1707" s="49" t="s">
        <v>16300</v>
      </c>
      <c r="K1707" s="49" t="s">
        <v>16301</v>
      </c>
      <c r="L1707" s="49">
        <v>0</v>
      </c>
      <c r="M1707" s="49" t="s">
        <v>1745</v>
      </c>
      <c r="N1707" s="49" t="s">
        <v>2093</v>
      </c>
      <c r="O1707" s="49">
        <v>11</v>
      </c>
      <c r="P1707" s="49" t="s">
        <v>16303</v>
      </c>
      <c r="Q1707" s="49">
        <v>0</v>
      </c>
      <c r="R1707" s="49" t="s">
        <v>16304</v>
      </c>
      <c r="S1707" s="49" t="s">
        <v>16305</v>
      </c>
      <c r="T1707" s="49" t="s">
        <v>16306</v>
      </c>
      <c r="U1707" s="49" t="s">
        <v>655</v>
      </c>
      <c r="V1707" s="49" t="e">
        <v>#REF!</v>
      </c>
      <c r="AC1707" s="49"/>
      <c r="AD1707" s="49"/>
    </row>
    <row r="1708" spans="1:30" hidden="1" x14ac:dyDescent="0.3">
      <c r="A1708" s="49" t="s">
        <v>1711</v>
      </c>
      <c r="B1708" s="49">
        <v>0</v>
      </c>
      <c r="C1708" s="49">
        <v>0</v>
      </c>
      <c r="D1708" s="72" t="s">
        <v>717</v>
      </c>
      <c r="E1708" s="74" t="s">
        <v>645</v>
      </c>
      <c r="F1708" s="73" t="s">
        <v>645</v>
      </c>
      <c r="G1708" s="49"/>
      <c r="H1708" s="49" t="s">
        <v>1713</v>
      </c>
      <c r="I1708" s="49" t="s">
        <v>1714</v>
      </c>
      <c r="J1708" s="49" t="s">
        <v>16307</v>
      </c>
      <c r="K1708" s="49" t="s">
        <v>1716</v>
      </c>
      <c r="L1708" s="49">
        <v>0</v>
      </c>
      <c r="M1708" s="75" t="s">
        <v>1865</v>
      </c>
      <c r="N1708" s="49" t="s">
        <v>1717</v>
      </c>
      <c r="O1708" s="49">
        <v>1</v>
      </c>
      <c r="P1708" s="49" t="s">
        <v>1718</v>
      </c>
      <c r="Q1708" s="49">
        <v>0</v>
      </c>
      <c r="R1708" s="49" t="s">
        <v>1719</v>
      </c>
      <c r="S1708" s="49" t="s">
        <v>1720</v>
      </c>
      <c r="T1708" s="49" t="s">
        <v>1721</v>
      </c>
      <c r="U1708" s="49" t="s">
        <v>655</v>
      </c>
      <c r="V1708" s="49" t="e">
        <v>#REF!</v>
      </c>
      <c r="AC1708" s="49"/>
      <c r="AD1708" s="49"/>
    </row>
    <row r="1709" spans="1:30" hidden="1" x14ac:dyDescent="0.3">
      <c r="A1709" s="49" t="s">
        <v>16308</v>
      </c>
      <c r="B1709" s="49">
        <v>0</v>
      </c>
      <c r="C1709" s="49"/>
      <c r="D1709" s="72" t="s">
        <v>717</v>
      </c>
      <c r="E1709" s="74" t="s">
        <v>645</v>
      </c>
      <c r="F1709" s="73">
        <v>0</v>
      </c>
      <c r="G1709" s="49"/>
      <c r="H1709" s="49" t="s">
        <v>16309</v>
      </c>
      <c r="I1709" s="49" t="s">
        <v>15198</v>
      </c>
      <c r="J1709" s="49" t="s">
        <v>15196</v>
      </c>
      <c r="K1709" s="49" t="s">
        <v>16310</v>
      </c>
      <c r="L1709" s="49">
        <v>0</v>
      </c>
      <c r="M1709" s="49" t="s">
        <v>1865</v>
      </c>
      <c r="N1709" s="49" t="s">
        <v>2448</v>
      </c>
      <c r="O1709" s="49">
        <v>3</v>
      </c>
      <c r="P1709" s="49" t="s">
        <v>16311</v>
      </c>
      <c r="Q1709" s="49">
        <v>0</v>
      </c>
      <c r="R1709" s="49" t="s">
        <v>16312</v>
      </c>
      <c r="S1709" s="49" t="s">
        <v>16313</v>
      </c>
      <c r="T1709" s="49" t="s">
        <v>16314</v>
      </c>
      <c r="U1709" s="49" t="s">
        <v>655</v>
      </c>
      <c r="V1709" s="49" t="e">
        <v>#REF!</v>
      </c>
      <c r="AC1709" s="49"/>
      <c r="AD1709" s="49"/>
    </row>
    <row r="1710" spans="1:30" hidden="1" x14ac:dyDescent="0.3">
      <c r="A1710" s="49" t="s">
        <v>1623</v>
      </c>
      <c r="B1710" s="49" t="s">
        <v>1624</v>
      </c>
      <c r="C1710" s="49" t="s">
        <v>16295</v>
      </c>
      <c r="D1710" s="72" t="s">
        <v>717</v>
      </c>
      <c r="E1710" s="74" t="s">
        <v>16296</v>
      </c>
      <c r="F1710" s="73">
        <v>1</v>
      </c>
      <c r="G1710" s="49" t="s">
        <v>16295</v>
      </c>
      <c r="H1710" s="49" t="s">
        <v>1625</v>
      </c>
      <c r="I1710" s="49" t="s">
        <v>16317</v>
      </c>
      <c r="J1710" s="49" t="s">
        <v>16315</v>
      </c>
      <c r="K1710" s="49" t="s">
        <v>16316</v>
      </c>
      <c r="L1710" s="49">
        <v>0</v>
      </c>
      <c r="M1710" s="49" t="s">
        <v>1826</v>
      </c>
      <c r="N1710" s="49" t="s">
        <v>1494</v>
      </c>
      <c r="O1710" s="49">
        <v>17</v>
      </c>
      <c r="P1710" s="49" t="s">
        <v>16318</v>
      </c>
      <c r="Q1710" s="49">
        <v>0</v>
      </c>
      <c r="R1710" s="49" t="s">
        <v>16319</v>
      </c>
      <c r="S1710" s="49" t="s">
        <v>16320</v>
      </c>
      <c r="T1710" s="49" t="s">
        <v>646</v>
      </c>
      <c r="U1710" s="49" t="s">
        <v>655</v>
      </c>
      <c r="V1710" s="49" t="e">
        <v>#REF!</v>
      </c>
      <c r="AC1710" s="49"/>
      <c r="AD1710" s="49"/>
    </row>
    <row r="1711" spans="1:30" hidden="1" x14ac:dyDescent="0.3">
      <c r="A1711" s="49" t="s">
        <v>16321</v>
      </c>
      <c r="B1711" s="49" t="s">
        <v>1639</v>
      </c>
      <c r="C1711" s="49" t="s">
        <v>16295</v>
      </c>
      <c r="D1711" s="72" t="s">
        <v>717</v>
      </c>
      <c r="E1711" s="74" t="s">
        <v>16296</v>
      </c>
      <c r="F1711" s="73">
        <v>1</v>
      </c>
      <c r="G1711" s="49" t="s">
        <v>16295</v>
      </c>
      <c r="H1711" s="49" t="s">
        <v>1640</v>
      </c>
      <c r="I1711" s="49" t="s">
        <v>1641</v>
      </c>
      <c r="J1711" s="49" t="s">
        <v>1642</v>
      </c>
      <c r="K1711" s="49" t="s">
        <v>16322</v>
      </c>
      <c r="L1711" s="49">
        <v>0</v>
      </c>
      <c r="M1711" s="49" t="s">
        <v>1865</v>
      </c>
      <c r="N1711" s="49" t="s">
        <v>16323</v>
      </c>
      <c r="O1711" s="49">
        <v>1</v>
      </c>
      <c r="P1711" s="49" t="s">
        <v>16324</v>
      </c>
      <c r="Q1711" s="49">
        <v>0</v>
      </c>
      <c r="R1711" s="49" t="s">
        <v>16325</v>
      </c>
      <c r="S1711" s="49" t="s">
        <v>16326</v>
      </c>
      <c r="T1711" s="49" t="s">
        <v>646</v>
      </c>
      <c r="U1711" s="49" t="s">
        <v>670</v>
      </c>
      <c r="V1711" s="49" t="e">
        <v>#REF!</v>
      </c>
      <c r="AC1711" s="49"/>
      <c r="AD1711" s="49"/>
    </row>
    <row r="1712" spans="1:30" hidden="1" x14ac:dyDescent="0.3">
      <c r="A1712" s="49" t="s">
        <v>1701</v>
      </c>
      <c r="B1712" s="49" t="s">
        <v>1702</v>
      </c>
      <c r="C1712" s="49" t="s">
        <v>16295</v>
      </c>
      <c r="D1712" s="72" t="s">
        <v>717</v>
      </c>
      <c r="E1712" s="74" t="s">
        <v>16296</v>
      </c>
      <c r="F1712" s="73">
        <v>1</v>
      </c>
      <c r="G1712" s="49" t="s">
        <v>16295</v>
      </c>
      <c r="H1712" s="49" t="s">
        <v>1703</v>
      </c>
      <c r="I1712" s="49" t="s">
        <v>1704</v>
      </c>
      <c r="J1712" s="49" t="s">
        <v>16327</v>
      </c>
      <c r="K1712" s="49" t="s">
        <v>1706</v>
      </c>
      <c r="L1712" s="49">
        <v>0</v>
      </c>
      <c r="M1712" s="49" t="s">
        <v>1745</v>
      </c>
      <c r="N1712" s="49" t="s">
        <v>1494</v>
      </c>
      <c r="O1712" s="49">
        <v>7</v>
      </c>
      <c r="P1712" s="49" t="s">
        <v>1707</v>
      </c>
      <c r="Q1712" s="49">
        <v>0</v>
      </c>
      <c r="R1712" s="49" t="s">
        <v>1708</v>
      </c>
      <c r="S1712" s="49" t="s">
        <v>1709</v>
      </c>
      <c r="T1712" s="49" t="s">
        <v>1710</v>
      </c>
      <c r="U1712" s="49" t="s">
        <v>655</v>
      </c>
      <c r="V1712" s="49" t="e">
        <v>#REF!</v>
      </c>
      <c r="AC1712" s="49"/>
      <c r="AD1712" s="49"/>
    </row>
    <row r="1713" spans="1:30" hidden="1" x14ac:dyDescent="0.3">
      <c r="A1713" s="49" t="s">
        <v>16328</v>
      </c>
      <c r="B1713" s="49">
        <v>0</v>
      </c>
      <c r="C1713" s="49">
        <v>0</v>
      </c>
      <c r="D1713" s="72" t="s">
        <v>717</v>
      </c>
      <c r="E1713" s="74">
        <v>1</v>
      </c>
      <c r="F1713" s="73">
        <v>1</v>
      </c>
      <c r="G1713" s="49"/>
      <c r="H1713" s="49" t="s">
        <v>16329</v>
      </c>
      <c r="I1713" s="49" t="s">
        <v>16332</v>
      </c>
      <c r="J1713" s="49" t="s">
        <v>16330</v>
      </c>
      <c r="K1713" s="49" t="s">
        <v>16331</v>
      </c>
      <c r="L1713" s="49">
        <v>0</v>
      </c>
      <c r="M1713" s="75" t="s">
        <v>1745</v>
      </c>
      <c r="N1713" s="49" t="s">
        <v>2093</v>
      </c>
      <c r="O1713" s="49">
        <v>7</v>
      </c>
      <c r="P1713" s="49" t="s">
        <v>16333</v>
      </c>
      <c r="Q1713" s="49">
        <v>0</v>
      </c>
      <c r="R1713" s="49" t="s">
        <v>16334</v>
      </c>
      <c r="S1713" s="49" t="s">
        <v>16335</v>
      </c>
      <c r="T1713" s="49" t="s">
        <v>16336</v>
      </c>
      <c r="U1713" s="49" t="s">
        <v>655</v>
      </c>
      <c r="V1713" s="49" t="e">
        <v>#REF!</v>
      </c>
      <c r="AC1713" s="49"/>
      <c r="AD1713" s="49"/>
    </row>
    <row r="1714" spans="1:30" hidden="1" x14ac:dyDescent="0.3">
      <c r="A1714" s="49" t="s">
        <v>16337</v>
      </c>
      <c r="B1714" s="49">
        <v>0</v>
      </c>
      <c r="C1714" s="49"/>
      <c r="D1714" s="72" t="s">
        <v>717</v>
      </c>
      <c r="E1714" s="49">
        <v>0</v>
      </c>
      <c r="F1714" s="49"/>
      <c r="G1714" s="49"/>
      <c r="H1714" s="49" t="s">
        <v>16338</v>
      </c>
      <c r="I1714" s="49" t="s">
        <v>16341</v>
      </c>
      <c r="J1714" s="49" t="s">
        <v>16339</v>
      </c>
      <c r="K1714" s="49" t="s">
        <v>16340</v>
      </c>
      <c r="L1714" s="49">
        <v>0</v>
      </c>
      <c r="M1714" s="49" t="s">
        <v>1745</v>
      </c>
      <c r="N1714" s="49" t="s">
        <v>9251</v>
      </c>
      <c r="O1714" s="49">
        <v>2</v>
      </c>
      <c r="P1714" s="49" t="s">
        <v>16342</v>
      </c>
      <c r="Q1714" s="49">
        <v>0</v>
      </c>
      <c r="R1714" s="49" t="s">
        <v>16343</v>
      </c>
      <c r="S1714" s="49" t="s">
        <v>16344</v>
      </c>
      <c r="T1714" s="49" t="s">
        <v>16345</v>
      </c>
      <c r="U1714" s="49" t="s">
        <v>655</v>
      </c>
      <c r="V1714" s="49" t="e">
        <v>#REF!</v>
      </c>
      <c r="AC1714" s="49"/>
      <c r="AD1714" s="49"/>
    </row>
    <row r="1715" spans="1:30" hidden="1" x14ac:dyDescent="0.3">
      <c r="A1715" s="49" t="s">
        <v>16346</v>
      </c>
      <c r="B1715" s="49">
        <v>0</v>
      </c>
      <c r="C1715" s="49"/>
      <c r="D1715" s="72" t="s">
        <v>717</v>
      </c>
      <c r="E1715" s="49">
        <v>0</v>
      </c>
      <c r="F1715" s="49"/>
      <c r="G1715" s="49"/>
      <c r="H1715" s="49" t="s">
        <v>16347</v>
      </c>
      <c r="I1715" s="49" t="s">
        <v>16350</v>
      </c>
      <c r="J1715" s="49" t="s">
        <v>16348</v>
      </c>
      <c r="K1715" s="49" t="s">
        <v>16349</v>
      </c>
      <c r="L1715" s="49">
        <v>0</v>
      </c>
      <c r="M1715" s="49" t="s">
        <v>1745</v>
      </c>
      <c r="N1715" s="49" t="s">
        <v>12752</v>
      </c>
      <c r="O1715" s="49">
        <v>9</v>
      </c>
      <c r="P1715" s="49" t="s">
        <v>16351</v>
      </c>
      <c r="Q1715" s="49">
        <v>0</v>
      </c>
      <c r="R1715" s="49" t="s">
        <v>16352</v>
      </c>
      <c r="S1715" s="49" t="s">
        <v>16353</v>
      </c>
      <c r="T1715" s="49" t="s">
        <v>16354</v>
      </c>
      <c r="U1715" s="49" t="s">
        <v>655</v>
      </c>
      <c r="V1715" s="49" t="e">
        <v>#REF!</v>
      </c>
      <c r="AC1715" s="49"/>
      <c r="AD1715" s="49"/>
    </row>
    <row r="1716" spans="1:30" hidden="1" x14ac:dyDescent="0.3">
      <c r="A1716" s="77" t="s">
        <v>16355</v>
      </c>
      <c r="B1716" s="77">
        <v>0</v>
      </c>
      <c r="C1716" s="77"/>
      <c r="D1716" s="72" t="s">
        <v>717</v>
      </c>
      <c r="E1716" s="77">
        <v>0</v>
      </c>
      <c r="F1716" s="77"/>
      <c r="G1716" s="77"/>
      <c r="H1716" s="49" t="s">
        <v>16356</v>
      </c>
      <c r="I1716" s="49" t="s">
        <v>16359</v>
      </c>
      <c r="J1716" s="49" t="s">
        <v>16357</v>
      </c>
      <c r="K1716" s="49" t="s">
        <v>16358</v>
      </c>
      <c r="L1716" s="49">
        <v>0</v>
      </c>
      <c r="M1716" s="49" t="s">
        <v>1745</v>
      </c>
      <c r="N1716" s="49" t="s">
        <v>16360</v>
      </c>
      <c r="P1716" s="49" t="s">
        <v>16361</v>
      </c>
      <c r="Q1716" s="49">
        <v>0</v>
      </c>
      <c r="R1716" s="49" t="s">
        <v>16362</v>
      </c>
      <c r="S1716" s="49" t="s">
        <v>16363</v>
      </c>
      <c r="T1716" s="49" t="s">
        <v>16364</v>
      </c>
      <c r="U1716" s="49" t="s">
        <v>655</v>
      </c>
      <c r="V1716" s="49" t="e">
        <v>#REF!</v>
      </c>
      <c r="AC1716" s="49"/>
      <c r="AD1716" s="49"/>
    </row>
    <row r="1717" spans="1:30" hidden="1" x14ac:dyDescent="0.3">
      <c r="A1717" s="49" t="s">
        <v>16365</v>
      </c>
      <c r="B1717" s="49">
        <v>0</v>
      </c>
      <c r="C1717" s="49"/>
      <c r="D1717" s="72" t="s">
        <v>717</v>
      </c>
      <c r="E1717" s="49">
        <v>0</v>
      </c>
      <c r="F1717" s="49"/>
      <c r="G1717" s="49"/>
      <c r="H1717" s="49" t="s">
        <v>16366</v>
      </c>
      <c r="I1717" s="49" t="s">
        <v>16369</v>
      </c>
      <c r="J1717" s="49" t="s">
        <v>16367</v>
      </c>
      <c r="K1717" s="49" t="s">
        <v>16368</v>
      </c>
      <c r="L1717" s="49">
        <v>0</v>
      </c>
      <c r="M1717" s="49" t="s">
        <v>1745</v>
      </c>
      <c r="N1717" s="49" t="s">
        <v>16370</v>
      </c>
      <c r="O1717" s="49">
        <v>4</v>
      </c>
      <c r="P1717" s="49" t="s">
        <v>16371</v>
      </c>
      <c r="Q1717" s="49">
        <v>0</v>
      </c>
      <c r="R1717" s="49" t="s">
        <v>16372</v>
      </c>
      <c r="S1717" s="49" t="s">
        <v>16373</v>
      </c>
      <c r="T1717" s="49" t="s">
        <v>646</v>
      </c>
      <c r="U1717" s="49" t="s">
        <v>655</v>
      </c>
      <c r="V1717" s="49" t="e">
        <v>#REF!</v>
      </c>
      <c r="AC1717" s="49"/>
      <c r="AD1717" s="49"/>
    </row>
    <row r="1718" spans="1:30" hidden="1" x14ac:dyDescent="0.3">
      <c r="A1718" s="49" t="s">
        <v>16374</v>
      </c>
      <c r="B1718" s="49">
        <v>0</v>
      </c>
      <c r="C1718" s="49"/>
      <c r="D1718" s="72" t="s">
        <v>717</v>
      </c>
      <c r="E1718" s="49">
        <v>0</v>
      </c>
      <c r="F1718" s="49"/>
      <c r="G1718" s="49"/>
      <c r="H1718" s="49" t="s">
        <v>16375</v>
      </c>
      <c r="I1718" s="49" t="s">
        <v>16378</v>
      </c>
      <c r="J1718" s="49" t="s">
        <v>16376</v>
      </c>
      <c r="K1718" s="49" t="s">
        <v>16377</v>
      </c>
      <c r="L1718" s="49">
        <v>0</v>
      </c>
      <c r="M1718" s="49" t="s">
        <v>1865</v>
      </c>
      <c r="N1718" s="49" t="s">
        <v>16379</v>
      </c>
      <c r="O1718" s="49">
        <v>4</v>
      </c>
      <c r="P1718" s="49" t="s">
        <v>16380</v>
      </c>
      <c r="Q1718" s="49">
        <v>0</v>
      </c>
      <c r="R1718" s="49" t="s">
        <v>16381</v>
      </c>
      <c r="S1718" s="49" t="s">
        <v>16382</v>
      </c>
      <c r="T1718" s="49" t="s">
        <v>16383</v>
      </c>
      <c r="U1718" s="49" t="s">
        <v>646</v>
      </c>
      <c r="V1718" s="49" t="e">
        <v>#REF!</v>
      </c>
      <c r="AC1718" s="49"/>
      <c r="AD1718" s="49"/>
    </row>
    <row r="1719" spans="1:30" hidden="1" x14ac:dyDescent="0.3">
      <c r="A1719" s="49" t="s">
        <v>16384</v>
      </c>
      <c r="B1719" s="49">
        <v>0</v>
      </c>
      <c r="C1719" s="49"/>
      <c r="D1719" s="72" t="s">
        <v>717</v>
      </c>
      <c r="E1719" s="49">
        <v>0</v>
      </c>
      <c r="F1719" s="49"/>
      <c r="G1719" s="49"/>
      <c r="H1719" s="49" t="s">
        <v>16385</v>
      </c>
      <c r="I1719" s="49" t="s">
        <v>16388</v>
      </c>
      <c r="J1719" s="49" t="s">
        <v>16386</v>
      </c>
      <c r="K1719" s="49" t="s">
        <v>16387</v>
      </c>
      <c r="L1719" s="49">
        <v>0</v>
      </c>
      <c r="M1719" s="49" t="s">
        <v>1865</v>
      </c>
      <c r="N1719" s="49" t="s">
        <v>16389</v>
      </c>
      <c r="O1719" s="49">
        <v>2</v>
      </c>
      <c r="P1719" s="49" t="s">
        <v>16390</v>
      </c>
      <c r="Q1719" s="49">
        <v>0</v>
      </c>
      <c r="R1719" s="49" t="s">
        <v>16391</v>
      </c>
      <c r="S1719" s="49" t="s">
        <v>16392</v>
      </c>
      <c r="T1719" s="49" t="s">
        <v>16393</v>
      </c>
      <c r="U1719" s="49" t="s">
        <v>655</v>
      </c>
      <c r="V1719" s="49" t="e">
        <v>#REF!</v>
      </c>
      <c r="AC1719" s="49"/>
      <c r="AD1719" s="49"/>
    </row>
    <row r="1720" spans="1:30" hidden="1" x14ac:dyDescent="0.3">
      <c r="A1720" s="49" t="s">
        <v>16394</v>
      </c>
      <c r="B1720" s="49">
        <v>0</v>
      </c>
      <c r="C1720" s="49"/>
      <c r="D1720" s="72" t="s">
        <v>717</v>
      </c>
      <c r="E1720" s="49">
        <v>0</v>
      </c>
      <c r="F1720" s="49"/>
      <c r="G1720" s="49"/>
      <c r="H1720" s="49" t="s">
        <v>16395</v>
      </c>
      <c r="I1720" s="49" t="s">
        <v>16398</v>
      </c>
      <c r="J1720" s="49" t="s">
        <v>16396</v>
      </c>
      <c r="K1720" s="49" t="s">
        <v>16397</v>
      </c>
      <c r="L1720" s="49">
        <v>0</v>
      </c>
      <c r="M1720" s="49" t="s">
        <v>1745</v>
      </c>
      <c r="N1720" s="49" t="s">
        <v>16399</v>
      </c>
      <c r="O1720" s="49">
        <v>2</v>
      </c>
      <c r="P1720" s="49" t="s">
        <v>16400</v>
      </c>
      <c r="Q1720" s="49">
        <v>0</v>
      </c>
      <c r="R1720" s="49" t="s">
        <v>16401</v>
      </c>
      <c r="S1720" s="49" t="s">
        <v>16402</v>
      </c>
      <c r="T1720" s="49" t="s">
        <v>16403</v>
      </c>
      <c r="U1720" s="49" t="s">
        <v>655</v>
      </c>
      <c r="V1720" s="49" t="e">
        <v>#REF!</v>
      </c>
      <c r="AC1720" s="49"/>
      <c r="AD1720" s="49"/>
    </row>
    <row r="1721" spans="1:30" hidden="1" x14ac:dyDescent="0.3">
      <c r="A1721" s="49" t="s">
        <v>16404</v>
      </c>
      <c r="B1721" s="49">
        <v>0</v>
      </c>
      <c r="C1721" s="49"/>
      <c r="D1721" s="72" t="s">
        <v>717</v>
      </c>
      <c r="E1721" s="49">
        <v>0</v>
      </c>
      <c r="F1721" s="49"/>
      <c r="G1721" s="49"/>
      <c r="H1721" s="49" t="s">
        <v>16405</v>
      </c>
      <c r="I1721" s="49" t="s">
        <v>16408</v>
      </c>
      <c r="J1721" s="49" t="s">
        <v>16406</v>
      </c>
      <c r="K1721" s="49" t="s">
        <v>16407</v>
      </c>
      <c r="L1721" s="49">
        <v>0</v>
      </c>
      <c r="M1721" s="49" t="s">
        <v>1865</v>
      </c>
      <c r="N1721" s="49" t="s">
        <v>16409</v>
      </c>
      <c r="O1721" s="49">
        <v>3</v>
      </c>
      <c r="P1721" s="49" t="s">
        <v>16410</v>
      </c>
      <c r="Q1721" s="49">
        <v>0</v>
      </c>
      <c r="R1721" s="49" t="s">
        <v>16411</v>
      </c>
      <c r="S1721" s="49" t="s">
        <v>16412</v>
      </c>
      <c r="T1721" s="49" t="s">
        <v>16413</v>
      </c>
      <c r="U1721" s="49" t="s">
        <v>655</v>
      </c>
      <c r="V1721" s="49" t="e">
        <v>#REF!</v>
      </c>
      <c r="AC1721" s="49"/>
      <c r="AD1721" s="49"/>
    </row>
    <row r="1722" spans="1:30" hidden="1" x14ac:dyDescent="0.3">
      <c r="A1722" s="49" t="s">
        <v>16414</v>
      </c>
      <c r="B1722" s="49">
        <v>0</v>
      </c>
      <c r="C1722" s="49"/>
      <c r="D1722" s="72" t="s">
        <v>717</v>
      </c>
      <c r="E1722" s="49">
        <v>0</v>
      </c>
      <c r="F1722" s="49"/>
      <c r="G1722" s="49"/>
      <c r="H1722" s="49" t="s">
        <v>16415</v>
      </c>
      <c r="I1722" s="49" t="s">
        <v>16418</v>
      </c>
      <c r="J1722" s="49" t="s">
        <v>16416</v>
      </c>
      <c r="K1722" s="49" t="s">
        <v>16417</v>
      </c>
      <c r="L1722" s="49">
        <v>0</v>
      </c>
      <c r="M1722" s="49" t="s">
        <v>1865</v>
      </c>
      <c r="N1722" s="49" t="s">
        <v>1789</v>
      </c>
      <c r="P1722" s="49" t="s">
        <v>16419</v>
      </c>
      <c r="Q1722" s="49">
        <v>0</v>
      </c>
      <c r="R1722" s="49" t="s">
        <v>16420</v>
      </c>
      <c r="S1722" s="49" t="s">
        <v>16421</v>
      </c>
      <c r="T1722" s="49" t="s">
        <v>16422</v>
      </c>
      <c r="U1722" s="49" t="s">
        <v>655</v>
      </c>
      <c r="V1722" s="49" t="e">
        <v>#REF!</v>
      </c>
      <c r="AC1722" s="49"/>
      <c r="AD1722" s="49"/>
    </row>
    <row r="1723" spans="1:30" hidden="1" x14ac:dyDescent="0.3">
      <c r="A1723" s="49" t="s">
        <v>16423</v>
      </c>
      <c r="B1723" s="49">
        <v>0</v>
      </c>
      <c r="C1723" s="49"/>
      <c r="D1723" s="72" t="s">
        <v>717</v>
      </c>
      <c r="E1723" s="49">
        <v>0</v>
      </c>
      <c r="F1723" s="49"/>
      <c r="G1723" s="49"/>
      <c r="H1723" s="49" t="s">
        <v>16424</v>
      </c>
      <c r="I1723" s="49" t="s">
        <v>16427</v>
      </c>
      <c r="J1723" s="49" t="s">
        <v>16425</v>
      </c>
      <c r="K1723" s="49" t="s">
        <v>16426</v>
      </c>
      <c r="L1723" s="49">
        <v>0</v>
      </c>
      <c r="M1723" s="49" t="s">
        <v>1745</v>
      </c>
      <c r="N1723" s="49" t="s">
        <v>3949</v>
      </c>
      <c r="P1723" s="49" t="s">
        <v>16428</v>
      </c>
      <c r="Q1723" s="49">
        <v>0</v>
      </c>
      <c r="R1723" s="49" t="s">
        <v>16429</v>
      </c>
      <c r="S1723" s="49" t="s">
        <v>16430</v>
      </c>
      <c r="T1723" s="49" t="s">
        <v>16431</v>
      </c>
      <c r="U1723" s="49" t="s">
        <v>655</v>
      </c>
      <c r="V1723" s="49" t="e">
        <v>#REF!</v>
      </c>
      <c r="AC1723" s="49"/>
      <c r="AD1723" s="49"/>
    </row>
    <row r="1724" spans="1:30" hidden="1" x14ac:dyDescent="0.3">
      <c r="A1724" s="49" t="s">
        <v>16432</v>
      </c>
      <c r="B1724" s="49">
        <v>0</v>
      </c>
      <c r="C1724" s="49"/>
      <c r="D1724" s="72" t="s">
        <v>717</v>
      </c>
      <c r="E1724" s="49">
        <v>0</v>
      </c>
      <c r="F1724" s="49"/>
      <c r="G1724" s="49"/>
      <c r="H1724" s="49" t="s">
        <v>16433</v>
      </c>
      <c r="I1724" s="49" t="s">
        <v>16436</v>
      </c>
      <c r="J1724" s="49" t="s">
        <v>16434</v>
      </c>
      <c r="K1724" s="49" t="s">
        <v>16435</v>
      </c>
      <c r="L1724" s="49">
        <v>0</v>
      </c>
      <c r="M1724" s="49" t="s">
        <v>1865</v>
      </c>
      <c r="N1724" s="49" t="s">
        <v>16437</v>
      </c>
      <c r="P1724" s="49" t="s">
        <v>16438</v>
      </c>
      <c r="Q1724" s="49">
        <v>0</v>
      </c>
      <c r="R1724" s="49" t="s">
        <v>16439</v>
      </c>
      <c r="S1724" s="49" t="s">
        <v>16440</v>
      </c>
      <c r="T1724" s="49" t="s">
        <v>16441</v>
      </c>
      <c r="U1724" s="49" t="s">
        <v>655</v>
      </c>
      <c r="V1724" s="49" t="e">
        <v>#REF!</v>
      </c>
      <c r="AC1724" s="49"/>
      <c r="AD1724" s="49"/>
    </row>
    <row r="1725" spans="1:30" hidden="1" x14ac:dyDescent="0.3">
      <c r="A1725" s="49" t="s">
        <v>16442</v>
      </c>
      <c r="B1725" s="49">
        <v>0</v>
      </c>
      <c r="C1725" s="49"/>
      <c r="D1725" s="72" t="s">
        <v>717</v>
      </c>
      <c r="E1725" s="49">
        <v>0</v>
      </c>
      <c r="F1725" s="49"/>
      <c r="G1725" s="49"/>
      <c r="H1725" s="49" t="s">
        <v>16443</v>
      </c>
      <c r="I1725" s="49" t="s">
        <v>16446</v>
      </c>
      <c r="J1725" s="49" t="s">
        <v>16444</v>
      </c>
      <c r="K1725" s="49" t="s">
        <v>16445</v>
      </c>
      <c r="L1725" s="49">
        <v>0</v>
      </c>
      <c r="M1725" s="49" t="s">
        <v>1865</v>
      </c>
      <c r="N1725" s="49" t="s">
        <v>2239</v>
      </c>
      <c r="O1725" s="49">
        <v>10</v>
      </c>
      <c r="P1725" s="49" t="s">
        <v>16447</v>
      </c>
      <c r="Q1725" s="49">
        <v>0</v>
      </c>
      <c r="R1725" s="49" t="s">
        <v>16448</v>
      </c>
      <c r="S1725" s="49" t="s">
        <v>16449</v>
      </c>
      <c r="T1725" s="49" t="s">
        <v>646</v>
      </c>
      <c r="U1725" s="49" t="s">
        <v>670</v>
      </c>
      <c r="V1725" s="49" t="e">
        <v>#REF!</v>
      </c>
      <c r="AC1725" s="49"/>
      <c r="AD1725" s="49"/>
    </row>
    <row r="1726" spans="1:30" hidden="1" x14ac:dyDescent="0.3">
      <c r="A1726" s="49" t="s">
        <v>16450</v>
      </c>
      <c r="B1726" s="49">
        <v>0</v>
      </c>
      <c r="C1726" s="49"/>
      <c r="D1726" s="72" t="s">
        <v>717</v>
      </c>
      <c r="E1726" s="49">
        <v>0</v>
      </c>
      <c r="F1726" s="49"/>
      <c r="G1726" s="49"/>
      <c r="H1726" s="49" t="s">
        <v>16451</v>
      </c>
      <c r="I1726" s="49" t="s">
        <v>16454</v>
      </c>
      <c r="J1726" s="49" t="s">
        <v>16452</v>
      </c>
      <c r="K1726" s="49" t="s">
        <v>16453</v>
      </c>
      <c r="L1726" s="49">
        <v>0</v>
      </c>
      <c r="M1726" s="49" t="s">
        <v>1865</v>
      </c>
      <c r="N1726" s="49" t="s">
        <v>12848</v>
      </c>
      <c r="O1726" s="49">
        <v>1</v>
      </c>
      <c r="P1726" s="49" t="s">
        <v>16455</v>
      </c>
      <c r="Q1726" s="49">
        <v>0</v>
      </c>
      <c r="R1726" s="49" t="s">
        <v>16456</v>
      </c>
      <c r="S1726" s="49" t="s">
        <v>16457</v>
      </c>
      <c r="T1726" s="49" t="s">
        <v>646</v>
      </c>
      <c r="U1726" s="49" t="s">
        <v>670</v>
      </c>
      <c r="V1726" s="49" t="e">
        <v>#REF!</v>
      </c>
      <c r="AC1726" s="49"/>
      <c r="AD1726" s="49"/>
    </row>
    <row r="1727" spans="1:30" hidden="1" x14ac:dyDescent="0.3">
      <c r="A1727" s="49" t="s">
        <v>16458</v>
      </c>
      <c r="B1727" s="49">
        <v>0</v>
      </c>
      <c r="C1727" s="49"/>
      <c r="D1727" s="72" t="s">
        <v>717</v>
      </c>
      <c r="E1727" s="49">
        <v>0</v>
      </c>
      <c r="F1727" s="49"/>
      <c r="G1727" s="49"/>
      <c r="H1727" s="49" t="s">
        <v>16459</v>
      </c>
      <c r="I1727" s="49" t="s">
        <v>16462</v>
      </c>
      <c r="J1727" s="49" t="s">
        <v>16460</v>
      </c>
      <c r="K1727" s="49" t="s">
        <v>16461</v>
      </c>
      <c r="L1727" s="49">
        <v>0</v>
      </c>
      <c r="M1727" s="49" t="s">
        <v>1865</v>
      </c>
      <c r="N1727" s="49" t="s">
        <v>7253</v>
      </c>
      <c r="P1727" s="49" t="s">
        <v>16463</v>
      </c>
      <c r="Q1727" s="49">
        <v>0</v>
      </c>
      <c r="R1727" s="49" t="s">
        <v>16464</v>
      </c>
      <c r="S1727" s="49" t="s">
        <v>16465</v>
      </c>
      <c r="T1727" s="49" t="s">
        <v>16466</v>
      </c>
      <c r="U1727" s="49" t="s">
        <v>655</v>
      </c>
      <c r="V1727" s="49" t="e">
        <v>#REF!</v>
      </c>
      <c r="AC1727" s="49"/>
      <c r="AD1727" s="49"/>
    </row>
    <row r="1728" spans="1:30" hidden="1" x14ac:dyDescent="0.3">
      <c r="A1728" s="49" t="s">
        <v>16467</v>
      </c>
      <c r="B1728" s="49">
        <v>0</v>
      </c>
      <c r="C1728" s="49"/>
      <c r="D1728" s="72" t="s">
        <v>717</v>
      </c>
      <c r="E1728" s="49">
        <v>0</v>
      </c>
      <c r="F1728" s="49"/>
      <c r="G1728" s="49"/>
      <c r="H1728" s="49" t="s">
        <v>16468</v>
      </c>
      <c r="I1728" s="49" t="s">
        <v>16471</v>
      </c>
      <c r="J1728" s="49" t="s">
        <v>16469</v>
      </c>
      <c r="K1728" s="49" t="s">
        <v>16470</v>
      </c>
      <c r="L1728" s="49">
        <v>0</v>
      </c>
      <c r="M1728" s="49" t="s">
        <v>1865</v>
      </c>
      <c r="N1728" s="49" t="s">
        <v>16472</v>
      </c>
      <c r="O1728" s="49">
        <v>3</v>
      </c>
      <c r="P1728" s="49" t="s">
        <v>16473</v>
      </c>
      <c r="Q1728" s="49">
        <v>0</v>
      </c>
      <c r="R1728" s="49" t="s">
        <v>16474</v>
      </c>
      <c r="S1728" s="49" t="s">
        <v>16475</v>
      </c>
      <c r="T1728" s="49" t="s">
        <v>646</v>
      </c>
      <c r="U1728" s="49" t="s">
        <v>670</v>
      </c>
      <c r="V1728" s="49" t="e">
        <v>#REF!</v>
      </c>
      <c r="AC1728" s="49"/>
      <c r="AD1728" s="49"/>
    </row>
    <row r="1729" spans="1:30" hidden="1" x14ac:dyDescent="0.3">
      <c r="A1729" s="49" t="s">
        <v>16476</v>
      </c>
      <c r="B1729" s="49">
        <v>0</v>
      </c>
      <c r="C1729" s="49"/>
      <c r="D1729" s="72" t="s">
        <v>717</v>
      </c>
      <c r="E1729" s="49">
        <v>0</v>
      </c>
      <c r="F1729" s="49"/>
      <c r="G1729" s="49"/>
      <c r="H1729" s="49" t="s">
        <v>16477</v>
      </c>
      <c r="I1729" s="49" t="s">
        <v>16480</v>
      </c>
      <c r="J1729" s="49" t="s">
        <v>16478</v>
      </c>
      <c r="K1729" s="49" t="s">
        <v>16479</v>
      </c>
      <c r="L1729" s="49">
        <v>0</v>
      </c>
      <c r="M1729" s="49" t="s">
        <v>1734</v>
      </c>
      <c r="N1729" s="49" t="s">
        <v>15848</v>
      </c>
      <c r="O1729" s="49">
        <v>3</v>
      </c>
      <c r="P1729" s="49" t="s">
        <v>16481</v>
      </c>
      <c r="Q1729" s="49">
        <v>0</v>
      </c>
      <c r="R1729" s="49" t="s">
        <v>16482</v>
      </c>
      <c r="S1729" s="49" t="s">
        <v>16483</v>
      </c>
      <c r="T1729" s="49" t="s">
        <v>16484</v>
      </c>
      <c r="U1729" s="49" t="s">
        <v>655</v>
      </c>
      <c r="V1729" s="49" t="e">
        <v>#REF!</v>
      </c>
      <c r="AC1729" s="49"/>
      <c r="AD1729" s="49"/>
    </row>
    <row r="1730" spans="1:30" hidden="1" x14ac:dyDescent="0.3">
      <c r="A1730" s="49" t="s">
        <v>16485</v>
      </c>
      <c r="B1730" s="49">
        <v>0</v>
      </c>
      <c r="C1730" s="49"/>
      <c r="D1730" s="72" t="s">
        <v>717</v>
      </c>
      <c r="E1730" s="49">
        <v>0</v>
      </c>
      <c r="F1730" s="49"/>
      <c r="G1730" s="49"/>
      <c r="H1730" s="49" t="s">
        <v>16486</v>
      </c>
      <c r="I1730" s="49" t="s">
        <v>16489</v>
      </c>
      <c r="J1730" s="49" t="s">
        <v>16487</v>
      </c>
      <c r="K1730" s="49" t="s">
        <v>16488</v>
      </c>
      <c r="L1730" s="49">
        <v>0</v>
      </c>
      <c r="M1730" s="49" t="s">
        <v>1865</v>
      </c>
      <c r="N1730" s="49" t="s">
        <v>16490</v>
      </c>
      <c r="O1730" s="49">
        <v>22</v>
      </c>
      <c r="P1730" s="49" t="s">
        <v>16491</v>
      </c>
      <c r="Q1730" s="49">
        <v>0</v>
      </c>
      <c r="R1730" s="49" t="s">
        <v>16492</v>
      </c>
      <c r="S1730" s="49" t="s">
        <v>16493</v>
      </c>
      <c r="T1730" s="49" t="s">
        <v>10442</v>
      </c>
      <c r="U1730" s="49" t="s">
        <v>655</v>
      </c>
      <c r="V1730" s="49" t="e">
        <v>#REF!</v>
      </c>
      <c r="AC1730" s="49"/>
      <c r="AD1730" s="49"/>
    </row>
    <row r="1731" spans="1:30" hidden="1" x14ac:dyDescent="0.3">
      <c r="A1731" s="49" t="s">
        <v>16494</v>
      </c>
      <c r="B1731" s="49">
        <v>0</v>
      </c>
      <c r="C1731" s="49"/>
      <c r="D1731" s="72" t="s">
        <v>717</v>
      </c>
      <c r="E1731" s="49">
        <v>0</v>
      </c>
      <c r="F1731" s="49"/>
      <c r="G1731" s="49"/>
      <c r="H1731" s="49" t="s">
        <v>16495</v>
      </c>
      <c r="I1731" s="49" t="s">
        <v>16498</v>
      </c>
      <c r="J1731" s="49" t="s">
        <v>16496</v>
      </c>
      <c r="K1731" s="49" t="s">
        <v>16497</v>
      </c>
      <c r="L1731" s="49">
        <v>0</v>
      </c>
      <c r="M1731" s="49" t="s">
        <v>1865</v>
      </c>
      <c r="N1731" s="49" t="s">
        <v>6013</v>
      </c>
      <c r="O1731" s="49">
        <v>10</v>
      </c>
      <c r="P1731" s="49" t="s">
        <v>16499</v>
      </c>
      <c r="Q1731" s="49">
        <v>0</v>
      </c>
      <c r="R1731" s="49" t="s">
        <v>16500</v>
      </c>
      <c r="S1731" s="49" t="s">
        <v>16501</v>
      </c>
      <c r="T1731" s="49" t="s">
        <v>16502</v>
      </c>
      <c r="U1731" s="49" t="s">
        <v>655</v>
      </c>
      <c r="V1731" s="49" t="e">
        <v>#REF!</v>
      </c>
      <c r="AC1731" s="49"/>
      <c r="AD1731" s="49"/>
    </row>
    <row r="1732" spans="1:30" hidden="1" x14ac:dyDescent="0.3">
      <c r="A1732" s="49" t="s">
        <v>16503</v>
      </c>
      <c r="B1732" s="49">
        <v>0</v>
      </c>
      <c r="C1732" s="49"/>
      <c r="D1732" s="72" t="s">
        <v>717</v>
      </c>
      <c r="E1732" s="49">
        <v>0</v>
      </c>
      <c r="F1732" s="49"/>
      <c r="G1732" s="49"/>
      <c r="H1732" s="49" t="s">
        <v>16504</v>
      </c>
      <c r="I1732" s="49" t="s">
        <v>16507</v>
      </c>
      <c r="J1732" s="49" t="s">
        <v>16505</v>
      </c>
      <c r="K1732" s="49" t="s">
        <v>16506</v>
      </c>
      <c r="L1732" s="49">
        <v>0</v>
      </c>
      <c r="M1732" s="49" t="s">
        <v>1865</v>
      </c>
      <c r="N1732" s="49" t="s">
        <v>16508</v>
      </c>
      <c r="O1732" s="49">
        <v>11</v>
      </c>
      <c r="P1732" s="49" t="s">
        <v>16509</v>
      </c>
      <c r="Q1732" s="49">
        <v>0</v>
      </c>
      <c r="R1732" s="49" t="s">
        <v>16510</v>
      </c>
      <c r="S1732" s="49" t="s">
        <v>16511</v>
      </c>
      <c r="T1732" s="49" t="s">
        <v>16512</v>
      </c>
      <c r="U1732" s="49" t="s">
        <v>655</v>
      </c>
      <c r="V1732" s="49" t="e">
        <v>#REF!</v>
      </c>
      <c r="AC1732" s="49"/>
      <c r="AD1732" s="49"/>
    </row>
    <row r="1733" spans="1:30" hidden="1" x14ac:dyDescent="0.3">
      <c r="A1733" s="49" t="s">
        <v>16513</v>
      </c>
      <c r="B1733" s="49">
        <v>0</v>
      </c>
      <c r="C1733" s="49"/>
      <c r="D1733" s="72" t="s">
        <v>717</v>
      </c>
      <c r="E1733" s="49">
        <v>0</v>
      </c>
      <c r="F1733" s="49"/>
      <c r="G1733" s="49"/>
      <c r="H1733" s="49" t="s">
        <v>16514</v>
      </c>
      <c r="I1733" s="49" t="s">
        <v>16517</v>
      </c>
      <c r="J1733" s="49" t="s">
        <v>16515</v>
      </c>
      <c r="K1733" s="49" t="s">
        <v>16516</v>
      </c>
      <c r="L1733" s="49">
        <v>0</v>
      </c>
      <c r="M1733" s="49" t="s">
        <v>1865</v>
      </c>
      <c r="N1733" s="49" t="s">
        <v>14116</v>
      </c>
      <c r="O1733" s="49">
        <v>4</v>
      </c>
      <c r="P1733" s="49" t="s">
        <v>16518</v>
      </c>
      <c r="Q1733" s="49">
        <v>0</v>
      </c>
      <c r="R1733" s="49" t="s">
        <v>16519</v>
      </c>
      <c r="S1733" s="49" t="s">
        <v>16520</v>
      </c>
      <c r="T1733" s="49" t="s">
        <v>16521</v>
      </c>
      <c r="U1733" s="49" t="s">
        <v>655</v>
      </c>
      <c r="V1733" s="49" t="e">
        <v>#REF!</v>
      </c>
      <c r="AC1733" s="49"/>
      <c r="AD1733" s="49"/>
    </row>
    <row r="1734" spans="1:30" hidden="1" x14ac:dyDescent="0.3">
      <c r="A1734" s="49" t="s">
        <v>16522</v>
      </c>
      <c r="B1734" s="49">
        <v>0</v>
      </c>
      <c r="C1734" s="49"/>
      <c r="D1734" s="72" t="s">
        <v>717</v>
      </c>
      <c r="E1734" s="49">
        <v>0</v>
      </c>
      <c r="F1734" s="49"/>
      <c r="G1734" s="49"/>
      <c r="H1734" s="49" t="s">
        <v>16523</v>
      </c>
      <c r="I1734" s="49" t="s">
        <v>16526</v>
      </c>
      <c r="J1734" s="49" t="s">
        <v>16524</v>
      </c>
      <c r="K1734" s="49" t="s">
        <v>16525</v>
      </c>
      <c r="L1734" s="49">
        <v>0</v>
      </c>
      <c r="M1734" s="49" t="s">
        <v>1865</v>
      </c>
      <c r="N1734" s="49" t="s">
        <v>16527</v>
      </c>
      <c r="P1734" s="49" t="s">
        <v>16528</v>
      </c>
      <c r="Q1734" s="49">
        <v>0</v>
      </c>
      <c r="R1734" s="49" t="s">
        <v>16529</v>
      </c>
      <c r="S1734" s="49" t="s">
        <v>16530</v>
      </c>
      <c r="T1734" s="49" t="s">
        <v>16531</v>
      </c>
      <c r="U1734" s="49" t="s">
        <v>646</v>
      </c>
      <c r="V1734" s="49" t="e">
        <v>#REF!</v>
      </c>
      <c r="AC1734" s="49"/>
      <c r="AD1734" s="49"/>
    </row>
    <row r="1735" spans="1:30" hidden="1" x14ac:dyDescent="0.3">
      <c r="A1735" s="49" t="s">
        <v>16532</v>
      </c>
      <c r="B1735" s="49">
        <v>0</v>
      </c>
      <c r="C1735" s="49"/>
      <c r="D1735" s="72" t="s">
        <v>717</v>
      </c>
      <c r="E1735" s="49">
        <v>0</v>
      </c>
      <c r="F1735" s="49"/>
      <c r="G1735" s="49"/>
      <c r="H1735" s="49" t="s">
        <v>16533</v>
      </c>
      <c r="I1735" s="49" t="s">
        <v>16536</v>
      </c>
      <c r="J1735" s="49" t="s">
        <v>16534</v>
      </c>
      <c r="K1735" s="49" t="s">
        <v>16535</v>
      </c>
      <c r="L1735" s="49">
        <v>0</v>
      </c>
      <c r="M1735" s="49" t="s">
        <v>1734</v>
      </c>
      <c r="N1735" s="49" t="s">
        <v>16537</v>
      </c>
      <c r="P1735" s="49" t="s">
        <v>16538</v>
      </c>
      <c r="Q1735" s="49">
        <v>0</v>
      </c>
      <c r="R1735" s="49" t="s">
        <v>16539</v>
      </c>
      <c r="S1735" s="49" t="s">
        <v>16540</v>
      </c>
      <c r="T1735" s="49" t="s">
        <v>16541</v>
      </c>
      <c r="U1735" s="49" t="s">
        <v>655</v>
      </c>
      <c r="V1735" s="49" t="e">
        <v>#REF!</v>
      </c>
      <c r="AC1735" s="49"/>
      <c r="AD1735" s="49"/>
    </row>
    <row r="1736" spans="1:30" hidden="1" x14ac:dyDescent="0.3">
      <c r="A1736" s="49" t="s">
        <v>16542</v>
      </c>
      <c r="B1736" s="49">
        <v>0</v>
      </c>
      <c r="C1736" s="49"/>
      <c r="D1736" s="72" t="s">
        <v>717</v>
      </c>
      <c r="E1736" s="49">
        <v>0</v>
      </c>
      <c r="F1736" s="49"/>
      <c r="G1736" s="49"/>
      <c r="H1736" s="49" t="s">
        <v>16543</v>
      </c>
      <c r="I1736" s="49" t="s">
        <v>16546</v>
      </c>
      <c r="J1736" s="49" t="s">
        <v>16544</v>
      </c>
      <c r="K1736" s="49" t="s">
        <v>16545</v>
      </c>
      <c r="L1736" s="49">
        <v>0</v>
      </c>
      <c r="M1736" s="49" t="s">
        <v>1745</v>
      </c>
      <c r="N1736" s="49" t="s">
        <v>11217</v>
      </c>
      <c r="O1736" s="49">
        <v>1</v>
      </c>
      <c r="P1736" s="49" t="s">
        <v>16547</v>
      </c>
      <c r="Q1736" s="49">
        <v>0</v>
      </c>
      <c r="R1736" s="49" t="s">
        <v>16548</v>
      </c>
      <c r="S1736" s="49" t="s">
        <v>16549</v>
      </c>
      <c r="T1736" s="49" t="s">
        <v>16550</v>
      </c>
      <c r="U1736" s="49" t="s">
        <v>655</v>
      </c>
      <c r="V1736" s="49" t="e">
        <v>#REF!</v>
      </c>
      <c r="AC1736" s="49"/>
      <c r="AD1736" s="49"/>
    </row>
    <row r="1737" spans="1:30" hidden="1" x14ac:dyDescent="0.3">
      <c r="A1737" s="49" t="s">
        <v>16551</v>
      </c>
      <c r="B1737" s="49">
        <v>0</v>
      </c>
      <c r="C1737" s="49"/>
      <c r="D1737" s="72" t="s">
        <v>717</v>
      </c>
      <c r="E1737" s="49">
        <v>0</v>
      </c>
      <c r="F1737" s="49"/>
      <c r="G1737" s="49"/>
      <c r="H1737" s="49" t="s">
        <v>16552</v>
      </c>
      <c r="I1737" s="49" t="s">
        <v>16555</v>
      </c>
      <c r="J1737" s="49" t="s">
        <v>16553</v>
      </c>
      <c r="K1737" s="49" t="s">
        <v>16554</v>
      </c>
      <c r="L1737" s="49">
        <v>0</v>
      </c>
      <c r="M1737" s="49" t="s">
        <v>1745</v>
      </c>
      <c r="N1737" s="49" t="s">
        <v>16556</v>
      </c>
      <c r="O1737" s="49">
        <v>14</v>
      </c>
      <c r="P1737" s="49" t="s">
        <v>16557</v>
      </c>
      <c r="Q1737" s="49">
        <v>0</v>
      </c>
      <c r="R1737" s="49" t="s">
        <v>16558</v>
      </c>
      <c r="S1737" s="49" t="s">
        <v>16559</v>
      </c>
      <c r="T1737" s="49" t="s">
        <v>16560</v>
      </c>
      <c r="U1737" s="49" t="s">
        <v>655</v>
      </c>
      <c r="V1737" s="49" t="e">
        <v>#REF!</v>
      </c>
      <c r="AC1737" s="49"/>
      <c r="AD1737" s="49"/>
    </row>
    <row r="1738" spans="1:30" hidden="1" x14ac:dyDescent="0.3">
      <c r="A1738" s="49" t="s">
        <v>16561</v>
      </c>
      <c r="B1738" s="49">
        <v>0</v>
      </c>
      <c r="C1738" s="49"/>
      <c r="D1738" s="72" t="s">
        <v>717</v>
      </c>
      <c r="E1738" s="49">
        <v>0</v>
      </c>
      <c r="F1738" s="49"/>
      <c r="G1738" s="49"/>
      <c r="H1738" s="49" t="s">
        <v>16562</v>
      </c>
      <c r="I1738" s="49" t="s">
        <v>2102</v>
      </c>
      <c r="J1738" s="49" t="s">
        <v>2100</v>
      </c>
      <c r="K1738" s="49" t="s">
        <v>16563</v>
      </c>
      <c r="L1738" s="49">
        <v>0</v>
      </c>
      <c r="M1738" s="49" t="s">
        <v>1865</v>
      </c>
      <c r="N1738" s="49" t="s">
        <v>2103</v>
      </c>
      <c r="O1738" s="49">
        <v>2</v>
      </c>
      <c r="P1738" s="49" t="s">
        <v>16564</v>
      </c>
      <c r="Q1738" s="49">
        <v>0</v>
      </c>
      <c r="R1738" s="49" t="s">
        <v>16565</v>
      </c>
      <c r="S1738" s="49" t="s">
        <v>16566</v>
      </c>
      <c r="T1738" s="49" t="s">
        <v>16567</v>
      </c>
      <c r="U1738" s="49" t="s">
        <v>655</v>
      </c>
      <c r="V1738" s="49" t="e">
        <v>#REF!</v>
      </c>
      <c r="AC1738" s="49"/>
      <c r="AD1738" s="49"/>
    </row>
    <row r="1739" spans="1:30" hidden="1" x14ac:dyDescent="0.3">
      <c r="A1739" s="49" t="s">
        <v>16568</v>
      </c>
      <c r="B1739" s="49">
        <v>0</v>
      </c>
      <c r="C1739" s="49"/>
      <c r="D1739" s="72" t="s">
        <v>717</v>
      </c>
      <c r="E1739" s="49">
        <v>0</v>
      </c>
      <c r="F1739" s="49"/>
      <c r="G1739" s="49"/>
      <c r="H1739" s="49" t="s">
        <v>16569</v>
      </c>
      <c r="I1739" s="49" t="s">
        <v>16572</v>
      </c>
      <c r="J1739" s="49" t="s">
        <v>16570</v>
      </c>
      <c r="K1739" s="49" t="s">
        <v>16571</v>
      </c>
      <c r="L1739" s="49">
        <v>0</v>
      </c>
      <c r="M1739" s="49" t="s">
        <v>1764</v>
      </c>
      <c r="N1739" s="49" t="s">
        <v>16573</v>
      </c>
      <c r="O1739" s="49">
        <v>13</v>
      </c>
      <c r="P1739" s="49" t="s">
        <v>16574</v>
      </c>
      <c r="Q1739" s="49">
        <v>0</v>
      </c>
      <c r="R1739" s="49" t="s">
        <v>16575</v>
      </c>
      <c r="S1739" s="49" t="s">
        <v>16576</v>
      </c>
      <c r="T1739" s="49" t="s">
        <v>16577</v>
      </c>
      <c r="U1739" s="49" t="s">
        <v>655</v>
      </c>
      <c r="V1739" s="49" t="e">
        <v>#REF!</v>
      </c>
      <c r="AC1739" s="49"/>
      <c r="AD1739" s="49"/>
    </row>
    <row r="1740" spans="1:30" hidden="1" x14ac:dyDescent="0.3">
      <c r="A1740" s="49" t="s">
        <v>16578</v>
      </c>
      <c r="B1740" s="49">
        <v>0</v>
      </c>
      <c r="C1740" s="49"/>
      <c r="D1740" s="72" t="s">
        <v>717</v>
      </c>
      <c r="E1740" s="49">
        <v>0</v>
      </c>
      <c r="F1740" s="49"/>
      <c r="G1740" s="49"/>
      <c r="H1740" s="49" t="s">
        <v>16579</v>
      </c>
      <c r="I1740" s="49" t="s">
        <v>9763</v>
      </c>
      <c r="J1740" s="49" t="s">
        <v>9761</v>
      </c>
      <c r="K1740" s="49" t="s">
        <v>16580</v>
      </c>
      <c r="L1740" s="49">
        <v>0</v>
      </c>
      <c r="M1740" s="49" t="s">
        <v>1745</v>
      </c>
      <c r="N1740" s="49" t="s">
        <v>16581</v>
      </c>
      <c r="O1740" s="49">
        <v>56</v>
      </c>
      <c r="P1740" s="49" t="s">
        <v>16582</v>
      </c>
      <c r="Q1740" s="49">
        <v>0</v>
      </c>
      <c r="R1740" s="49" t="s">
        <v>16583</v>
      </c>
      <c r="S1740" s="49" t="s">
        <v>16584</v>
      </c>
      <c r="T1740" s="49" t="s">
        <v>16585</v>
      </c>
      <c r="U1740" s="49" t="s">
        <v>655</v>
      </c>
      <c r="V1740" s="49" t="e">
        <v>#REF!</v>
      </c>
      <c r="AC1740" s="49"/>
      <c r="AD1740" s="49"/>
    </row>
    <row r="1741" spans="1:30" hidden="1" x14ac:dyDescent="0.3">
      <c r="A1741" s="49" t="s">
        <v>16586</v>
      </c>
      <c r="B1741" s="49">
        <v>0</v>
      </c>
      <c r="C1741" s="49"/>
      <c r="D1741" s="72" t="s">
        <v>717</v>
      </c>
      <c r="E1741" s="49">
        <v>0</v>
      </c>
      <c r="F1741" s="49"/>
      <c r="G1741" s="49"/>
      <c r="H1741" s="49" t="s">
        <v>16587</v>
      </c>
      <c r="I1741" s="49" t="s">
        <v>16590</v>
      </c>
      <c r="J1741" s="49" t="s">
        <v>16588</v>
      </c>
      <c r="K1741" s="49" t="s">
        <v>16589</v>
      </c>
      <c r="L1741" s="49">
        <v>0</v>
      </c>
      <c r="M1741" s="49" t="s">
        <v>1745</v>
      </c>
      <c r="N1741" s="49" t="s">
        <v>13217</v>
      </c>
      <c r="P1741" s="49" t="s">
        <v>16591</v>
      </c>
      <c r="Q1741" s="49">
        <v>0</v>
      </c>
      <c r="R1741" s="49" t="s">
        <v>16592</v>
      </c>
      <c r="S1741" s="49" t="s">
        <v>16593</v>
      </c>
      <c r="T1741" s="49" t="s">
        <v>16594</v>
      </c>
      <c r="U1741" s="49" t="s">
        <v>655</v>
      </c>
      <c r="V1741" s="49" t="e">
        <v>#REF!</v>
      </c>
      <c r="AC1741" s="49"/>
      <c r="AD1741" s="49"/>
    </row>
    <row r="1742" spans="1:30" hidden="1" x14ac:dyDescent="0.3">
      <c r="A1742" s="49" t="s">
        <v>16595</v>
      </c>
      <c r="B1742" s="49">
        <v>0</v>
      </c>
      <c r="C1742" s="49"/>
      <c r="D1742" s="72" t="s">
        <v>717</v>
      </c>
      <c r="E1742" s="49">
        <v>0</v>
      </c>
      <c r="F1742" s="49"/>
      <c r="G1742" s="49"/>
      <c r="H1742" s="49" t="s">
        <v>16596</v>
      </c>
      <c r="I1742" s="49" t="s">
        <v>16599</v>
      </c>
      <c r="J1742" s="49" t="s">
        <v>16597</v>
      </c>
      <c r="K1742" s="49" t="s">
        <v>16598</v>
      </c>
      <c r="L1742" s="49">
        <v>0</v>
      </c>
      <c r="M1742" s="49" t="s">
        <v>1865</v>
      </c>
      <c r="N1742" s="49" t="s">
        <v>16600</v>
      </c>
      <c r="O1742" s="49">
        <v>1</v>
      </c>
      <c r="P1742" s="49" t="s">
        <v>16601</v>
      </c>
      <c r="Q1742" s="49">
        <v>0</v>
      </c>
      <c r="R1742" s="49" t="s">
        <v>16602</v>
      </c>
      <c r="S1742" s="49" t="s">
        <v>16603</v>
      </c>
      <c r="T1742" s="49" t="s">
        <v>16604</v>
      </c>
      <c r="U1742" s="49" t="s">
        <v>655</v>
      </c>
      <c r="V1742" s="49" t="e">
        <v>#REF!</v>
      </c>
      <c r="AC1742" s="49"/>
      <c r="AD1742" s="49"/>
    </row>
    <row r="1743" spans="1:30" hidden="1" x14ac:dyDescent="0.3">
      <c r="A1743" s="49" t="s">
        <v>16605</v>
      </c>
      <c r="B1743" s="49">
        <v>0</v>
      </c>
      <c r="C1743" s="49"/>
      <c r="D1743" s="72" t="s">
        <v>717</v>
      </c>
      <c r="E1743" s="49">
        <v>0</v>
      </c>
      <c r="F1743" s="49"/>
      <c r="G1743" s="49"/>
      <c r="H1743" s="49" t="s">
        <v>16606</v>
      </c>
      <c r="I1743" s="49" t="s">
        <v>10427</v>
      </c>
      <c r="J1743" s="49" t="s">
        <v>10425</v>
      </c>
      <c r="K1743" s="49" t="s">
        <v>16607</v>
      </c>
      <c r="L1743" s="49">
        <v>0</v>
      </c>
      <c r="M1743" s="49" t="s">
        <v>1826</v>
      </c>
      <c r="N1743" s="49" t="s">
        <v>16290</v>
      </c>
      <c r="O1743" s="49">
        <v>2</v>
      </c>
      <c r="P1743" s="49" t="s">
        <v>16608</v>
      </c>
      <c r="Q1743" s="49">
        <v>0</v>
      </c>
      <c r="R1743" s="49" t="s">
        <v>16609</v>
      </c>
      <c r="S1743" s="49" t="s">
        <v>16610</v>
      </c>
      <c r="T1743" s="49" t="s">
        <v>16611</v>
      </c>
      <c r="U1743" s="49" t="s">
        <v>655</v>
      </c>
      <c r="V1743" s="49" t="e">
        <v>#REF!</v>
      </c>
      <c r="AC1743" s="49"/>
      <c r="AD1743" s="49"/>
    </row>
    <row r="1744" spans="1:30" hidden="1" x14ac:dyDescent="0.3">
      <c r="A1744" s="49" t="s">
        <v>16612</v>
      </c>
      <c r="B1744" s="49">
        <v>0</v>
      </c>
      <c r="C1744" s="49"/>
      <c r="D1744" s="72" t="s">
        <v>717</v>
      </c>
      <c r="E1744" s="49">
        <v>0</v>
      </c>
      <c r="F1744" s="49"/>
      <c r="G1744" s="49"/>
      <c r="H1744" s="49" t="s">
        <v>16613</v>
      </c>
      <c r="I1744" s="49" t="s">
        <v>16616</v>
      </c>
      <c r="J1744" s="49" t="s">
        <v>16614</v>
      </c>
      <c r="K1744" s="49" t="s">
        <v>16615</v>
      </c>
      <c r="L1744" s="49">
        <v>0</v>
      </c>
      <c r="M1744" s="49" t="s">
        <v>1734</v>
      </c>
      <c r="N1744" s="49" t="s">
        <v>16617</v>
      </c>
      <c r="O1744" s="49">
        <v>2</v>
      </c>
      <c r="P1744" s="49" t="s">
        <v>16618</v>
      </c>
      <c r="Q1744" s="49">
        <v>0</v>
      </c>
      <c r="R1744" s="49" t="s">
        <v>16619</v>
      </c>
      <c r="S1744" s="49" t="s">
        <v>16620</v>
      </c>
      <c r="T1744" s="49" t="s">
        <v>16621</v>
      </c>
      <c r="U1744" s="49" t="s">
        <v>655</v>
      </c>
      <c r="V1744" s="49" t="e">
        <v>#REF!</v>
      </c>
      <c r="AC1744" s="49"/>
      <c r="AD1744" s="49"/>
    </row>
    <row r="1745" spans="1:30" hidden="1" x14ac:dyDescent="0.3">
      <c r="A1745" s="49" t="s">
        <v>16622</v>
      </c>
      <c r="B1745" s="49">
        <v>0</v>
      </c>
      <c r="C1745" s="49"/>
      <c r="D1745" s="72" t="s">
        <v>717</v>
      </c>
      <c r="E1745" s="49">
        <v>0</v>
      </c>
      <c r="F1745" s="49"/>
      <c r="G1745" s="49"/>
      <c r="H1745" s="49" t="s">
        <v>16623</v>
      </c>
      <c r="I1745" s="49" t="s">
        <v>16626</v>
      </c>
      <c r="J1745" s="49" t="s">
        <v>16624</v>
      </c>
      <c r="K1745" s="49" t="s">
        <v>16625</v>
      </c>
      <c r="L1745" s="49">
        <v>0</v>
      </c>
      <c r="M1745" s="49" t="s">
        <v>1745</v>
      </c>
      <c r="N1745" s="49" t="s">
        <v>11217</v>
      </c>
      <c r="O1745" s="49">
        <v>2</v>
      </c>
      <c r="P1745" s="49" t="s">
        <v>16627</v>
      </c>
      <c r="Q1745" s="49">
        <v>0</v>
      </c>
      <c r="R1745" s="49" t="s">
        <v>16628</v>
      </c>
      <c r="S1745" s="49" t="s">
        <v>16629</v>
      </c>
      <c r="T1745" s="49" t="s">
        <v>16630</v>
      </c>
      <c r="U1745" s="49" t="s">
        <v>655</v>
      </c>
      <c r="V1745" s="49" t="e">
        <v>#REF!</v>
      </c>
      <c r="AC1745" s="49"/>
      <c r="AD1745" s="49"/>
    </row>
    <row r="1746" spans="1:30" hidden="1" x14ac:dyDescent="0.3">
      <c r="A1746" s="49" t="s">
        <v>16631</v>
      </c>
      <c r="B1746" s="49">
        <v>0</v>
      </c>
      <c r="C1746" s="49"/>
      <c r="D1746" s="72" t="s">
        <v>717</v>
      </c>
      <c r="E1746" s="49">
        <v>0</v>
      </c>
      <c r="F1746" s="49"/>
      <c r="G1746" s="49"/>
      <c r="H1746" s="49" t="s">
        <v>16632</v>
      </c>
      <c r="I1746" s="49" t="s">
        <v>16635</v>
      </c>
      <c r="J1746" s="49" t="s">
        <v>16633</v>
      </c>
      <c r="K1746" s="49" t="s">
        <v>16634</v>
      </c>
      <c r="L1746" s="49">
        <v>0</v>
      </c>
      <c r="M1746" s="49" t="s">
        <v>1865</v>
      </c>
      <c r="N1746" s="49" t="s">
        <v>16636</v>
      </c>
      <c r="O1746" s="49">
        <v>1</v>
      </c>
      <c r="P1746" s="49" t="s">
        <v>16637</v>
      </c>
      <c r="Q1746" s="49">
        <v>0</v>
      </c>
      <c r="R1746" s="49" t="s">
        <v>16638</v>
      </c>
      <c r="S1746" s="49" t="s">
        <v>16639</v>
      </c>
      <c r="T1746" s="49" t="s">
        <v>16640</v>
      </c>
      <c r="U1746" s="49" t="s">
        <v>655</v>
      </c>
      <c r="V1746" s="49" t="e">
        <v>#REF!</v>
      </c>
      <c r="AC1746" s="49"/>
      <c r="AD1746" s="49"/>
    </row>
    <row r="1747" spans="1:30" hidden="1" x14ac:dyDescent="0.3">
      <c r="A1747" s="49" t="s">
        <v>16641</v>
      </c>
      <c r="B1747" s="49">
        <v>0</v>
      </c>
      <c r="C1747" s="49"/>
      <c r="D1747" s="72" t="s">
        <v>717</v>
      </c>
      <c r="E1747" s="49">
        <v>0</v>
      </c>
      <c r="F1747" s="49"/>
      <c r="G1747" s="49"/>
      <c r="H1747" s="49" t="s">
        <v>16642</v>
      </c>
      <c r="I1747" s="49" t="s">
        <v>16645</v>
      </c>
      <c r="J1747" s="49" t="s">
        <v>16643</v>
      </c>
      <c r="K1747" s="49" t="s">
        <v>16644</v>
      </c>
      <c r="L1747" s="49">
        <v>0</v>
      </c>
      <c r="M1747" s="49" t="s">
        <v>1734</v>
      </c>
      <c r="N1747" s="49" t="s">
        <v>8439</v>
      </c>
      <c r="O1747" s="49">
        <v>7</v>
      </c>
      <c r="P1747" s="49" t="s">
        <v>16646</v>
      </c>
      <c r="Q1747" s="49">
        <v>0</v>
      </c>
      <c r="R1747" s="49" t="s">
        <v>16647</v>
      </c>
      <c r="S1747" s="49" t="s">
        <v>16648</v>
      </c>
      <c r="T1747" s="49" t="s">
        <v>16649</v>
      </c>
      <c r="U1747" s="49" t="s">
        <v>655</v>
      </c>
      <c r="V1747" s="49" t="e">
        <v>#REF!</v>
      </c>
      <c r="AC1747" s="49"/>
      <c r="AD1747" s="49"/>
    </row>
    <row r="1748" spans="1:30" hidden="1" x14ac:dyDescent="0.3">
      <c r="A1748" s="49" t="s">
        <v>16650</v>
      </c>
      <c r="B1748" s="49">
        <v>0</v>
      </c>
      <c r="C1748" s="49"/>
      <c r="D1748" s="72" t="s">
        <v>717</v>
      </c>
      <c r="E1748" s="49">
        <v>0</v>
      </c>
      <c r="F1748" s="49"/>
      <c r="G1748" s="49"/>
      <c r="H1748" s="49" t="s">
        <v>16651</v>
      </c>
      <c r="I1748" s="49" t="s">
        <v>16654</v>
      </c>
      <c r="J1748" s="49" t="s">
        <v>16652</v>
      </c>
      <c r="K1748" s="49" t="s">
        <v>16653</v>
      </c>
      <c r="L1748" s="49">
        <v>0</v>
      </c>
      <c r="M1748" s="49" t="s">
        <v>1745</v>
      </c>
      <c r="N1748" s="49" t="s">
        <v>15553</v>
      </c>
      <c r="O1748" s="49">
        <v>7</v>
      </c>
      <c r="P1748" s="49" t="s">
        <v>16655</v>
      </c>
      <c r="Q1748" s="49">
        <v>0</v>
      </c>
      <c r="R1748" s="49" t="s">
        <v>16656</v>
      </c>
      <c r="S1748" s="49" t="s">
        <v>16657</v>
      </c>
      <c r="T1748" s="49" t="s">
        <v>16658</v>
      </c>
      <c r="U1748" s="49" t="s">
        <v>655</v>
      </c>
      <c r="V1748" s="49" t="e">
        <v>#REF!</v>
      </c>
      <c r="AC1748" s="49"/>
      <c r="AD1748" s="49"/>
    </row>
    <row r="1749" spans="1:30" hidden="1" x14ac:dyDescent="0.3">
      <c r="A1749" s="49" t="s">
        <v>16659</v>
      </c>
      <c r="B1749" s="49">
        <v>0</v>
      </c>
      <c r="C1749" s="49"/>
      <c r="D1749" s="72" t="s">
        <v>717</v>
      </c>
      <c r="E1749" s="49">
        <v>0</v>
      </c>
      <c r="F1749" s="49"/>
      <c r="G1749" s="49"/>
      <c r="H1749" s="49" t="s">
        <v>16660</v>
      </c>
      <c r="I1749" s="49" t="s">
        <v>16663</v>
      </c>
      <c r="J1749" s="49" t="s">
        <v>16661</v>
      </c>
      <c r="K1749" s="49" t="s">
        <v>16662</v>
      </c>
      <c r="L1749" s="49">
        <v>0</v>
      </c>
      <c r="M1749" s="49" t="s">
        <v>1865</v>
      </c>
      <c r="N1749" s="49" t="s">
        <v>11834</v>
      </c>
      <c r="O1749" s="49">
        <v>3</v>
      </c>
      <c r="P1749" s="49" t="s">
        <v>16664</v>
      </c>
      <c r="Q1749" s="49">
        <v>0</v>
      </c>
      <c r="R1749" s="49" t="s">
        <v>16665</v>
      </c>
      <c r="S1749" s="49" t="s">
        <v>16666</v>
      </c>
      <c r="T1749" s="49" t="s">
        <v>16667</v>
      </c>
      <c r="U1749" s="49" t="s">
        <v>655</v>
      </c>
      <c r="V1749" s="49" t="e">
        <v>#REF!</v>
      </c>
      <c r="AC1749" s="49"/>
      <c r="AD1749" s="49"/>
    </row>
    <row r="1750" spans="1:30" hidden="1" x14ac:dyDescent="0.3">
      <c r="A1750" s="49" t="s">
        <v>16668</v>
      </c>
      <c r="B1750" s="49">
        <v>0</v>
      </c>
      <c r="C1750" s="49"/>
      <c r="D1750" s="72" t="s">
        <v>717</v>
      </c>
      <c r="E1750" s="49">
        <v>0</v>
      </c>
      <c r="F1750" s="49"/>
      <c r="G1750" s="49"/>
      <c r="H1750" s="49" t="s">
        <v>16669</v>
      </c>
      <c r="I1750" s="49" t="s">
        <v>16672</v>
      </c>
      <c r="J1750" s="49" t="s">
        <v>16670</v>
      </c>
      <c r="K1750" s="49" t="s">
        <v>16671</v>
      </c>
      <c r="L1750" s="49">
        <v>0</v>
      </c>
      <c r="M1750" s="49" t="s">
        <v>1865</v>
      </c>
      <c r="N1750" s="49" t="s">
        <v>2239</v>
      </c>
      <c r="O1750" s="49">
        <v>11</v>
      </c>
      <c r="P1750" s="49" t="s">
        <v>16673</v>
      </c>
      <c r="Q1750" s="49">
        <v>0</v>
      </c>
      <c r="R1750" s="49" t="s">
        <v>16674</v>
      </c>
      <c r="S1750" s="49" t="s">
        <v>16675</v>
      </c>
      <c r="T1750" s="49" t="s">
        <v>646</v>
      </c>
      <c r="U1750" s="49" t="s">
        <v>670</v>
      </c>
      <c r="V1750" s="49" t="e">
        <v>#REF!</v>
      </c>
      <c r="AC1750" s="49"/>
      <c r="AD1750" s="49"/>
    </row>
    <row r="1751" spans="1:30" hidden="1" x14ac:dyDescent="0.3">
      <c r="A1751" s="49" t="s">
        <v>16676</v>
      </c>
      <c r="B1751" s="49">
        <v>0</v>
      </c>
      <c r="C1751" s="49"/>
      <c r="D1751" s="72" t="s">
        <v>717</v>
      </c>
      <c r="E1751" s="49">
        <v>0</v>
      </c>
      <c r="F1751" s="49"/>
      <c r="G1751" s="49"/>
      <c r="H1751" s="49" t="s">
        <v>16677</v>
      </c>
      <c r="I1751" s="49" t="s">
        <v>16680</v>
      </c>
      <c r="J1751" s="49" t="s">
        <v>16678</v>
      </c>
      <c r="K1751" s="49" t="s">
        <v>16679</v>
      </c>
      <c r="L1751" s="49">
        <v>0</v>
      </c>
      <c r="M1751" s="49" t="s">
        <v>1865</v>
      </c>
      <c r="N1751" s="49" t="s">
        <v>9181</v>
      </c>
      <c r="O1751" s="49">
        <v>15</v>
      </c>
      <c r="P1751" s="49" t="s">
        <v>16681</v>
      </c>
      <c r="Q1751" s="49">
        <v>0</v>
      </c>
      <c r="R1751" s="49" t="s">
        <v>16682</v>
      </c>
      <c r="S1751" s="49" t="s">
        <v>16683</v>
      </c>
      <c r="T1751" s="49" t="s">
        <v>16684</v>
      </c>
      <c r="U1751" s="49" t="s">
        <v>655</v>
      </c>
      <c r="V1751" s="49" t="e">
        <v>#REF!</v>
      </c>
      <c r="AC1751" s="49"/>
      <c r="AD1751" s="49"/>
    </row>
    <row r="1752" spans="1:30" ht="15" hidden="1" thickBot="1" x14ac:dyDescent="0.35">
      <c r="A1752" s="49" t="s">
        <v>16685</v>
      </c>
      <c r="B1752" s="49">
        <v>0</v>
      </c>
      <c r="C1752" s="49"/>
      <c r="D1752" s="78" t="s">
        <v>717</v>
      </c>
      <c r="E1752" s="49">
        <v>0</v>
      </c>
      <c r="F1752" s="49"/>
      <c r="G1752" s="49"/>
      <c r="H1752" s="49" t="s">
        <v>16686</v>
      </c>
      <c r="I1752" s="49" t="s">
        <v>16689</v>
      </c>
      <c r="J1752" s="49" t="s">
        <v>16687</v>
      </c>
      <c r="K1752" s="49" t="s">
        <v>16688</v>
      </c>
      <c r="L1752" s="49">
        <v>0</v>
      </c>
      <c r="M1752" s="49" t="s">
        <v>1745</v>
      </c>
      <c r="N1752" s="49" t="s">
        <v>16690</v>
      </c>
      <c r="O1752" s="49">
        <v>4</v>
      </c>
      <c r="P1752" s="49" t="s">
        <v>16691</v>
      </c>
      <c r="Q1752" s="49">
        <v>0</v>
      </c>
      <c r="R1752" s="49" t="s">
        <v>16692</v>
      </c>
      <c r="S1752" s="49" t="s">
        <v>16693</v>
      </c>
      <c r="T1752" s="49" t="s">
        <v>16694</v>
      </c>
      <c r="U1752" s="49" t="s">
        <v>655</v>
      </c>
      <c r="V1752" s="79" t="e">
        <v>#REF!</v>
      </c>
      <c r="AC1752" s="49"/>
      <c r="AD1752" s="49"/>
    </row>
  </sheetData>
  <mergeCells count="4">
    <mergeCell ref="AJ2:AM2"/>
    <mergeCell ref="Y3:AD3"/>
    <mergeCell ref="AE3:AI3"/>
    <mergeCell ref="AJ3:AM3"/>
  </mergeCells>
  <conditionalFormatting sqref="H5:H1752">
    <cfRule type="duplicateValues" dxfId="775" priority="1"/>
  </conditionalFormatting>
  <conditionalFormatting sqref="I1753:I1048576">
    <cfRule type="duplicateValues" dxfId="774" priority="3"/>
  </conditionalFormatting>
  <pageMargins left="0.511811024" right="0.511811024" top="0.78740157499999996" bottom="0.78740157499999996" header="0.31496062000000002" footer="0.31496062000000002"/>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33673-269B-4420-8CE6-765FF3584754}">
  <sheetPr>
    <tabColor rgb="FF00B050"/>
  </sheetPr>
  <dimension ref="A1:BF113"/>
  <sheetViews>
    <sheetView zoomScale="70" zoomScaleNormal="70" workbookViewId="0">
      <pane xSplit="3" ySplit="1" topLeftCell="D43" activePane="bottomRight" state="frozen"/>
      <selection pane="topRight" activeCell="B1" sqref="B1"/>
      <selection pane="bottomLeft" activeCell="A3" sqref="A3"/>
      <selection pane="bottomRight" activeCell="A46" sqref="A46"/>
    </sheetView>
  </sheetViews>
  <sheetFormatPr defaultColWidth="8.88671875" defaultRowHeight="27" customHeight="1" x14ac:dyDescent="0.3"/>
  <cols>
    <col min="1" max="1" width="8" style="28" customWidth="1"/>
    <col min="2" max="2" width="8.33203125" style="28" customWidth="1"/>
    <col min="3" max="3" width="8.88671875" style="23"/>
    <col min="4" max="4" width="50.44140625" style="23" bestFit="1" customWidth="1"/>
    <col min="5" max="5" width="3.5546875" style="191" bestFit="1" customWidth="1"/>
    <col min="6" max="6" width="32.33203125" style="23" bestFit="1" customWidth="1"/>
    <col min="7" max="8" width="8.33203125" style="192" bestFit="1" customWidth="1"/>
    <col min="9" max="9" width="3.5546875" style="192" bestFit="1" customWidth="1"/>
    <col min="10" max="10" width="36.33203125" style="23" customWidth="1"/>
    <col min="11" max="11" width="4.44140625" style="193" bestFit="1" customWidth="1"/>
    <col min="12" max="12" width="4.44140625" style="23" bestFit="1" customWidth="1"/>
    <col min="13" max="13" width="7.88671875" style="23" bestFit="1" customWidth="1"/>
    <col min="14" max="14" width="4.44140625" style="110" bestFit="1" customWidth="1"/>
    <col min="15" max="16" width="6.33203125" style="23" bestFit="1" customWidth="1"/>
    <col min="17" max="42" width="6.6640625" style="181" customWidth="1"/>
    <col min="43" max="16384" width="8.88671875" style="181"/>
  </cols>
  <sheetData>
    <row r="1" spans="1:57" s="169" customFormat="1" ht="27" customHeight="1" x14ac:dyDescent="0.25">
      <c r="A1" s="169" t="s">
        <v>26224</v>
      </c>
      <c r="B1" s="169" t="s">
        <v>26225</v>
      </c>
      <c r="C1" s="23" t="s">
        <v>26044</v>
      </c>
      <c r="D1" s="170" t="s">
        <v>26226</v>
      </c>
      <c r="E1" s="23" t="s">
        <v>26227</v>
      </c>
      <c r="F1" s="171" t="s">
        <v>16737</v>
      </c>
      <c r="G1" s="172" t="s">
        <v>25498</v>
      </c>
      <c r="H1" s="172" t="s">
        <v>25497</v>
      </c>
      <c r="I1" s="23" t="s">
        <v>26228</v>
      </c>
      <c r="J1" s="173" t="s">
        <v>26229</v>
      </c>
      <c r="K1" s="23" t="s">
        <v>26230</v>
      </c>
      <c r="L1" s="23" t="s">
        <v>25887</v>
      </c>
      <c r="M1" s="23" t="s">
        <v>25890</v>
      </c>
      <c r="N1" s="23" t="s">
        <v>25891</v>
      </c>
      <c r="O1" s="23" t="s">
        <v>25892</v>
      </c>
      <c r="P1" s="174"/>
      <c r="Q1" s="174"/>
    </row>
    <row r="2" spans="1:57" ht="27" customHeight="1" x14ac:dyDescent="0.3">
      <c r="A2" s="28" t="s">
        <v>14</v>
      </c>
      <c r="B2" s="28">
        <v>3</v>
      </c>
      <c r="C2" s="23" t="s">
        <v>26231</v>
      </c>
      <c r="D2" s="175" t="s">
        <v>347</v>
      </c>
      <c r="E2" s="23" t="s">
        <v>26231</v>
      </c>
      <c r="F2" s="176" t="s">
        <v>347</v>
      </c>
      <c r="G2" s="177"/>
      <c r="H2" s="177"/>
      <c r="I2" s="23" t="s">
        <v>26231</v>
      </c>
      <c r="J2" s="178" t="s">
        <v>26232</v>
      </c>
      <c r="K2" s="23" t="s">
        <v>26231</v>
      </c>
      <c r="L2" s="23">
        <v>25</v>
      </c>
      <c r="M2" s="110" t="s">
        <v>26233</v>
      </c>
      <c r="N2" s="103" t="s">
        <v>25896</v>
      </c>
      <c r="O2" s="103" t="s">
        <v>25897</v>
      </c>
      <c r="P2" s="179"/>
      <c r="Q2" s="179"/>
      <c r="R2" s="133"/>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c r="BB2" s="180"/>
      <c r="BC2" s="180"/>
      <c r="BD2" s="180"/>
      <c r="BE2" s="180"/>
    </row>
    <row r="3" spans="1:57" ht="27" customHeight="1" x14ac:dyDescent="0.3">
      <c r="A3" s="28" t="s">
        <v>16</v>
      </c>
      <c r="B3" s="28">
        <v>2</v>
      </c>
      <c r="C3" s="23" t="s">
        <v>26231</v>
      </c>
      <c r="D3" s="175" t="s">
        <v>16773</v>
      </c>
      <c r="E3" s="23" t="s">
        <v>26231</v>
      </c>
      <c r="F3" s="176" t="s">
        <v>349</v>
      </c>
      <c r="G3" s="177"/>
      <c r="H3" s="177"/>
      <c r="I3" s="23" t="s">
        <v>26231</v>
      </c>
      <c r="J3" s="178" t="s">
        <v>26234</v>
      </c>
      <c r="K3" s="23" t="s">
        <v>26231</v>
      </c>
      <c r="L3" s="23">
        <v>21</v>
      </c>
      <c r="M3" s="110" t="s">
        <v>26235</v>
      </c>
      <c r="N3" s="103" t="s">
        <v>25896</v>
      </c>
      <c r="O3" s="103" t="s">
        <v>25897</v>
      </c>
      <c r="P3" s="179"/>
      <c r="Q3" s="179"/>
      <c r="R3" s="133"/>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0"/>
      <c r="BC3" s="180"/>
      <c r="BD3" s="180"/>
      <c r="BE3" s="180"/>
    </row>
    <row r="4" spans="1:57" ht="27" customHeight="1" x14ac:dyDescent="0.3">
      <c r="A4" s="28" t="s">
        <v>20</v>
      </c>
      <c r="B4" s="28">
        <v>2</v>
      </c>
      <c r="C4" s="23" t="s">
        <v>26231</v>
      </c>
      <c r="D4" s="175" t="s">
        <v>16800</v>
      </c>
      <c r="E4" s="23" t="s">
        <v>26231</v>
      </c>
      <c r="F4" s="176" t="s">
        <v>353</v>
      </c>
      <c r="G4" s="177"/>
      <c r="H4" s="177"/>
      <c r="I4" s="23" t="s">
        <v>26231</v>
      </c>
      <c r="J4" s="178" t="s">
        <v>26236</v>
      </c>
      <c r="K4" s="23" t="s">
        <v>26231</v>
      </c>
      <c r="L4" s="23">
        <v>19</v>
      </c>
      <c r="M4" s="110" t="s">
        <v>26237</v>
      </c>
      <c r="N4" s="103" t="s">
        <v>25896</v>
      </c>
      <c r="O4" s="103" t="s">
        <v>25897</v>
      </c>
      <c r="P4" s="179"/>
      <c r="Q4" s="179"/>
      <c r="R4" s="133"/>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row>
    <row r="5" spans="1:57" ht="27" customHeight="1" x14ac:dyDescent="0.3">
      <c r="A5" s="28" t="s">
        <v>30</v>
      </c>
      <c r="B5" s="28">
        <v>4</v>
      </c>
      <c r="C5" s="23" t="s">
        <v>26231</v>
      </c>
      <c r="D5" s="175" t="s">
        <v>16853</v>
      </c>
      <c r="E5" s="23" t="s">
        <v>26231</v>
      </c>
      <c r="F5" s="176" t="s">
        <v>363</v>
      </c>
      <c r="G5" s="177"/>
      <c r="H5" s="177"/>
      <c r="I5" s="23" t="s">
        <v>26231</v>
      </c>
      <c r="J5" s="178" t="s">
        <v>26238</v>
      </c>
      <c r="K5" s="23" t="s">
        <v>26231</v>
      </c>
      <c r="L5" s="23">
        <v>19</v>
      </c>
      <c r="M5" s="110" t="s">
        <v>26237</v>
      </c>
      <c r="N5" s="103" t="s">
        <v>25896</v>
      </c>
      <c r="O5" s="103" t="s">
        <v>25897</v>
      </c>
      <c r="P5" s="179"/>
      <c r="Q5" s="179"/>
      <c r="R5" s="133"/>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row>
    <row r="6" spans="1:57" ht="27" customHeight="1" x14ac:dyDescent="0.3">
      <c r="A6" s="28" t="s">
        <v>17</v>
      </c>
      <c r="B6" s="28">
        <v>1</v>
      </c>
      <c r="C6" s="23" t="s">
        <v>26231</v>
      </c>
      <c r="D6" s="175" t="s">
        <v>16783</v>
      </c>
      <c r="E6" s="23" t="s">
        <v>26231</v>
      </c>
      <c r="F6" s="176" t="s">
        <v>350</v>
      </c>
      <c r="G6" s="177"/>
      <c r="H6" s="177"/>
      <c r="I6" s="23" t="s">
        <v>26231</v>
      </c>
      <c r="J6" s="178" t="s">
        <v>26239</v>
      </c>
      <c r="K6" s="23" t="s">
        <v>26231</v>
      </c>
      <c r="L6" s="23">
        <v>17</v>
      </c>
      <c r="M6" s="110" t="s">
        <v>26240</v>
      </c>
      <c r="N6" s="103" t="s">
        <v>25896</v>
      </c>
      <c r="O6" s="103" t="s">
        <v>25897</v>
      </c>
      <c r="P6" s="179"/>
      <c r="Q6" s="179"/>
      <c r="R6" s="133"/>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row>
    <row r="7" spans="1:57" ht="28.95" customHeight="1" x14ac:dyDescent="0.3">
      <c r="A7" s="28" t="s">
        <v>15</v>
      </c>
      <c r="B7" s="28">
        <v>1</v>
      </c>
      <c r="C7" s="23" t="s">
        <v>26231</v>
      </c>
      <c r="D7" s="175" t="s">
        <v>16763</v>
      </c>
      <c r="E7" s="23" t="s">
        <v>26231</v>
      </c>
      <c r="F7" s="176" t="s">
        <v>348</v>
      </c>
      <c r="G7" s="177"/>
      <c r="H7" s="177"/>
      <c r="I7" s="23" t="s">
        <v>26231</v>
      </c>
      <c r="J7" s="178" t="s">
        <v>26241</v>
      </c>
      <c r="K7" s="23" t="s">
        <v>26231</v>
      </c>
      <c r="L7" s="23">
        <v>14</v>
      </c>
      <c r="M7" s="110" t="s">
        <v>26242</v>
      </c>
      <c r="N7" s="103" t="s">
        <v>25896</v>
      </c>
      <c r="O7" s="103" t="s">
        <v>25897</v>
      </c>
      <c r="P7" s="179"/>
      <c r="Q7" s="179"/>
      <c r="R7" s="133"/>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row>
    <row r="8" spans="1:57" ht="31.95" customHeight="1" x14ac:dyDescent="0.3">
      <c r="A8" s="28" t="s">
        <v>29</v>
      </c>
      <c r="B8" s="28" t="s">
        <v>26243</v>
      </c>
      <c r="C8" s="23" t="s">
        <v>26231</v>
      </c>
      <c r="D8" s="175" t="s">
        <v>16847</v>
      </c>
      <c r="E8" s="23" t="s">
        <v>26231</v>
      </c>
      <c r="F8" s="176" t="s">
        <v>362</v>
      </c>
      <c r="G8" s="177"/>
      <c r="H8" s="177"/>
      <c r="I8" s="23" t="s">
        <v>26231</v>
      </c>
      <c r="J8" s="178" t="s">
        <v>26244</v>
      </c>
      <c r="K8" s="23" t="s">
        <v>26231</v>
      </c>
      <c r="L8" s="23">
        <v>14</v>
      </c>
      <c r="M8" s="110" t="s">
        <v>26242</v>
      </c>
      <c r="N8" s="103" t="s">
        <v>25896</v>
      </c>
      <c r="O8" s="103" t="s">
        <v>25897</v>
      </c>
      <c r="P8" s="179"/>
      <c r="Q8" s="179"/>
      <c r="R8" s="133"/>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row>
    <row r="9" spans="1:57" ht="28.2" customHeight="1" x14ac:dyDescent="0.3">
      <c r="A9" s="28" t="s">
        <v>34</v>
      </c>
      <c r="B9" s="28">
        <v>2</v>
      </c>
      <c r="C9" s="23" t="s">
        <v>26231</v>
      </c>
      <c r="D9" s="175" t="s">
        <v>16873</v>
      </c>
      <c r="E9" s="23" t="s">
        <v>26231</v>
      </c>
      <c r="F9" s="176" t="s">
        <v>367</v>
      </c>
      <c r="G9" s="177"/>
      <c r="H9" s="177"/>
      <c r="I9" s="23" t="s">
        <v>26231</v>
      </c>
      <c r="J9" s="178" t="s">
        <v>26245</v>
      </c>
      <c r="K9" s="23" t="s">
        <v>26231</v>
      </c>
      <c r="L9" s="23">
        <v>14</v>
      </c>
      <c r="M9" s="110" t="s">
        <v>26242</v>
      </c>
      <c r="N9" s="103" t="s">
        <v>25896</v>
      </c>
      <c r="O9" s="103" t="s">
        <v>25897</v>
      </c>
      <c r="P9" s="179"/>
      <c r="Q9" s="179"/>
      <c r="R9" s="133"/>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row>
    <row r="10" spans="1:57" ht="28.2" customHeight="1" x14ac:dyDescent="0.3">
      <c r="A10" s="28" t="s">
        <v>25</v>
      </c>
      <c r="B10" s="28" t="s">
        <v>26243</v>
      </c>
      <c r="C10" s="23" t="s">
        <v>26231</v>
      </c>
      <c r="D10" s="175" t="s">
        <v>16831</v>
      </c>
      <c r="E10" s="23" t="s">
        <v>26231</v>
      </c>
      <c r="F10" s="176" t="s">
        <v>358</v>
      </c>
      <c r="G10" s="177"/>
      <c r="H10" s="177"/>
      <c r="I10" s="23" t="s">
        <v>26231</v>
      </c>
      <c r="J10" s="178" t="s">
        <v>26246</v>
      </c>
      <c r="K10" s="23" t="s">
        <v>26231</v>
      </c>
      <c r="L10" s="23">
        <v>13</v>
      </c>
      <c r="M10" s="110" t="s">
        <v>26247</v>
      </c>
      <c r="N10" s="103" t="s">
        <v>25896</v>
      </c>
      <c r="O10" s="103" t="s">
        <v>25897</v>
      </c>
      <c r="P10" s="179"/>
      <c r="Q10" s="179"/>
      <c r="R10" s="133"/>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c r="BB10" s="180"/>
      <c r="BC10" s="180"/>
      <c r="BD10" s="180"/>
      <c r="BE10" s="180"/>
    </row>
    <row r="11" spans="1:57" ht="27" customHeight="1" x14ac:dyDescent="0.3">
      <c r="A11" s="28" t="s">
        <v>75</v>
      </c>
      <c r="B11" s="28">
        <v>1</v>
      </c>
      <c r="C11" s="23" t="s">
        <v>26231</v>
      </c>
      <c r="D11" s="175" t="s">
        <v>408</v>
      </c>
      <c r="E11" s="23" t="s">
        <v>26231</v>
      </c>
      <c r="F11" s="176" t="s">
        <v>408</v>
      </c>
      <c r="G11" s="177"/>
      <c r="H11" s="177"/>
      <c r="I11" s="23" t="s">
        <v>26231</v>
      </c>
      <c r="J11" s="178" t="s">
        <v>26248</v>
      </c>
      <c r="K11" s="23" t="s">
        <v>26231</v>
      </c>
      <c r="L11" s="23">
        <v>13</v>
      </c>
      <c r="M11" s="110" t="s">
        <v>26247</v>
      </c>
      <c r="N11" s="103" t="s">
        <v>25896</v>
      </c>
      <c r="O11" s="103" t="s">
        <v>25897</v>
      </c>
      <c r="P11" s="179"/>
      <c r="Q11" s="179"/>
      <c r="R11" s="133"/>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c r="BB11" s="180"/>
      <c r="BC11" s="180"/>
      <c r="BD11" s="180"/>
      <c r="BE11" s="180"/>
    </row>
    <row r="12" spans="1:57" ht="32.4" customHeight="1" x14ac:dyDescent="0.3">
      <c r="A12" s="28" t="s">
        <v>21</v>
      </c>
      <c r="B12" s="28">
        <v>2</v>
      </c>
      <c r="C12" s="23" t="s">
        <v>26231</v>
      </c>
      <c r="D12" s="175" t="s">
        <v>16811</v>
      </c>
      <c r="E12" s="23" t="s">
        <v>26231</v>
      </c>
      <c r="F12" s="176" t="s">
        <v>354</v>
      </c>
      <c r="G12" s="177"/>
      <c r="H12" s="177"/>
      <c r="I12" s="23" t="s">
        <v>26231</v>
      </c>
      <c r="J12" s="178" t="s">
        <v>26249</v>
      </c>
      <c r="K12" s="23" t="s">
        <v>26231</v>
      </c>
      <c r="L12" s="23">
        <v>10</v>
      </c>
      <c r="M12" s="110" t="s">
        <v>26250</v>
      </c>
      <c r="N12" s="103" t="s">
        <v>25896</v>
      </c>
      <c r="O12" s="103" t="s">
        <v>25897</v>
      </c>
      <c r="P12" s="179"/>
      <c r="Q12" s="179"/>
      <c r="R12" s="133"/>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c r="BB12" s="180"/>
      <c r="BC12" s="180"/>
      <c r="BD12" s="180"/>
      <c r="BE12" s="180"/>
    </row>
    <row r="13" spans="1:57" ht="27" customHeight="1" x14ac:dyDescent="0.3">
      <c r="A13" s="28" t="s">
        <v>87</v>
      </c>
      <c r="B13" s="28">
        <v>3</v>
      </c>
      <c r="C13" s="23" t="s">
        <v>26231</v>
      </c>
      <c r="D13" s="175" t="s">
        <v>26035</v>
      </c>
      <c r="E13" s="23" t="s">
        <v>26231</v>
      </c>
      <c r="F13" s="176" t="s">
        <v>420</v>
      </c>
      <c r="G13" s="177"/>
      <c r="H13" s="177"/>
      <c r="I13" s="23" t="s">
        <v>26231</v>
      </c>
      <c r="J13" s="178" t="s">
        <v>26251</v>
      </c>
      <c r="K13" s="23" t="s">
        <v>26231</v>
      </c>
      <c r="L13" s="23">
        <v>10</v>
      </c>
      <c r="M13" s="110" t="s">
        <v>26250</v>
      </c>
      <c r="N13" s="103" t="s">
        <v>25896</v>
      </c>
      <c r="O13" s="103" t="s">
        <v>25897</v>
      </c>
      <c r="P13" s="179"/>
      <c r="Q13" s="179"/>
      <c r="R13" s="133"/>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c r="AZ13" s="180"/>
      <c r="BA13" s="180"/>
      <c r="BB13" s="180"/>
      <c r="BC13" s="180"/>
      <c r="BD13" s="180"/>
      <c r="BE13" s="180"/>
    </row>
    <row r="14" spans="1:57" ht="27" customHeight="1" x14ac:dyDescent="0.3">
      <c r="A14" s="28" t="s">
        <v>23</v>
      </c>
      <c r="B14" s="28">
        <v>2</v>
      </c>
      <c r="C14" s="23" t="s">
        <v>26231</v>
      </c>
      <c r="D14" s="175" t="s">
        <v>16821</v>
      </c>
      <c r="E14" s="23" t="s">
        <v>26231</v>
      </c>
      <c r="F14" s="176" t="s">
        <v>356</v>
      </c>
      <c r="G14" s="177"/>
      <c r="H14" s="177"/>
      <c r="I14" s="23" t="s">
        <v>26231</v>
      </c>
      <c r="J14" s="178" t="s">
        <v>26252</v>
      </c>
      <c r="K14" s="23" t="s">
        <v>26231</v>
      </c>
      <c r="L14" s="23">
        <v>9</v>
      </c>
      <c r="M14" s="110" t="s">
        <v>26253</v>
      </c>
      <c r="N14" s="103" t="s">
        <v>25896</v>
      </c>
      <c r="O14" s="103" t="s">
        <v>25897</v>
      </c>
      <c r="P14" s="179"/>
      <c r="Q14" s="179"/>
      <c r="R14" s="133"/>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c r="AZ14" s="180"/>
      <c r="BA14" s="180"/>
      <c r="BB14" s="180"/>
      <c r="BC14" s="180"/>
      <c r="BD14" s="180"/>
      <c r="BE14" s="180"/>
    </row>
    <row r="15" spans="1:57" ht="27" customHeight="1" x14ac:dyDescent="0.3">
      <c r="A15" s="28" t="s">
        <v>36</v>
      </c>
      <c r="B15" s="28">
        <v>4</v>
      </c>
      <c r="C15" s="23" t="s">
        <v>26231</v>
      </c>
      <c r="D15" s="175" t="s">
        <v>16884</v>
      </c>
      <c r="E15" s="23" t="s">
        <v>26231</v>
      </c>
      <c r="F15" s="176" t="s">
        <v>369</v>
      </c>
      <c r="G15" s="177"/>
      <c r="H15" s="177"/>
      <c r="I15" s="23" t="s">
        <v>26231</v>
      </c>
      <c r="J15" s="178" t="s">
        <v>26254</v>
      </c>
      <c r="K15" s="23" t="s">
        <v>26231</v>
      </c>
      <c r="L15" s="23">
        <v>9</v>
      </c>
      <c r="M15" s="110" t="s">
        <v>26253</v>
      </c>
      <c r="N15" s="103" t="s">
        <v>25896</v>
      </c>
      <c r="O15" s="103" t="s">
        <v>25897</v>
      </c>
      <c r="P15" s="179"/>
      <c r="Q15" s="179"/>
      <c r="R15" s="133"/>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c r="AZ15" s="180"/>
      <c r="BA15" s="180"/>
      <c r="BB15" s="180"/>
      <c r="BC15" s="180"/>
      <c r="BD15" s="180"/>
      <c r="BE15" s="180"/>
    </row>
    <row r="16" spans="1:57" ht="27" customHeight="1" x14ac:dyDescent="0.3">
      <c r="A16" s="28" t="s">
        <v>32</v>
      </c>
      <c r="B16" s="28" t="s">
        <v>26243</v>
      </c>
      <c r="C16" s="23" t="s">
        <v>26231</v>
      </c>
      <c r="D16" s="175" t="s">
        <v>16864</v>
      </c>
      <c r="E16" s="23" t="s">
        <v>26231</v>
      </c>
      <c r="F16" s="176" t="s">
        <v>365</v>
      </c>
      <c r="G16" s="177"/>
      <c r="H16" s="177"/>
      <c r="I16" s="23" t="s">
        <v>26231</v>
      </c>
      <c r="J16" s="178" t="s">
        <v>26255</v>
      </c>
      <c r="K16" s="23" t="s">
        <v>26231</v>
      </c>
      <c r="L16" s="23">
        <v>7</v>
      </c>
      <c r="M16" s="110" t="s">
        <v>26256</v>
      </c>
      <c r="N16" s="103" t="s">
        <v>25896</v>
      </c>
      <c r="O16" s="103" t="s">
        <v>25897</v>
      </c>
      <c r="P16" s="179"/>
      <c r="Q16" s="179"/>
      <c r="R16" s="133"/>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c r="AZ16" s="180"/>
      <c r="BA16" s="180"/>
      <c r="BB16" s="180"/>
      <c r="BC16" s="180"/>
      <c r="BD16" s="180"/>
      <c r="BE16" s="180"/>
    </row>
    <row r="17" spans="1:57" ht="27" customHeight="1" x14ac:dyDescent="0.3">
      <c r="A17" s="28" t="s">
        <v>57</v>
      </c>
      <c r="B17" s="28">
        <v>3</v>
      </c>
      <c r="C17" s="23" t="s">
        <v>26231</v>
      </c>
      <c r="D17" s="175" t="s">
        <v>16911</v>
      </c>
      <c r="E17" s="23" t="s">
        <v>26231</v>
      </c>
      <c r="F17" s="176" t="s">
        <v>390</v>
      </c>
      <c r="G17" s="177"/>
      <c r="H17" s="177"/>
      <c r="I17" s="23" t="s">
        <v>26231</v>
      </c>
      <c r="J17" s="178" t="s">
        <v>26257</v>
      </c>
      <c r="K17" s="23" t="s">
        <v>26231</v>
      </c>
      <c r="L17" s="23">
        <v>7</v>
      </c>
      <c r="M17" s="110" t="s">
        <v>26256</v>
      </c>
      <c r="N17" s="103" t="s">
        <v>25896</v>
      </c>
      <c r="O17" s="103" t="s">
        <v>25897</v>
      </c>
      <c r="P17" s="179"/>
      <c r="Q17" s="179"/>
      <c r="R17" s="133"/>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c r="AZ17" s="180"/>
      <c r="BA17" s="180"/>
      <c r="BB17" s="180"/>
      <c r="BC17" s="180"/>
      <c r="BD17" s="180"/>
      <c r="BE17" s="180"/>
    </row>
    <row r="18" spans="1:57" ht="27" customHeight="1" x14ac:dyDescent="0.3">
      <c r="A18" s="28" t="s">
        <v>60</v>
      </c>
      <c r="B18" s="28" t="s">
        <v>26243</v>
      </c>
      <c r="C18" s="23" t="s">
        <v>26231</v>
      </c>
      <c r="D18" s="175" t="s">
        <v>26258</v>
      </c>
      <c r="E18" s="23" t="s">
        <v>26231</v>
      </c>
      <c r="F18" s="176" t="s">
        <v>16922</v>
      </c>
      <c r="G18" s="177"/>
      <c r="H18" s="177"/>
      <c r="I18" s="23" t="s">
        <v>26231</v>
      </c>
      <c r="J18" s="178" t="s">
        <v>26259</v>
      </c>
      <c r="K18" s="23" t="s">
        <v>26231</v>
      </c>
      <c r="L18" s="23">
        <v>7</v>
      </c>
      <c r="M18" s="110" t="s">
        <v>26256</v>
      </c>
      <c r="N18" s="103" t="s">
        <v>25896</v>
      </c>
      <c r="O18" s="103" t="s">
        <v>25897</v>
      </c>
      <c r="P18" s="179"/>
      <c r="Q18" s="179"/>
      <c r="R18" s="133"/>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c r="BB18" s="180"/>
      <c r="BC18" s="180"/>
      <c r="BD18" s="180"/>
      <c r="BE18" s="180"/>
    </row>
    <row r="19" spans="1:57" ht="27" customHeight="1" x14ac:dyDescent="0.3">
      <c r="A19" s="28" t="s">
        <v>70</v>
      </c>
      <c r="B19" s="28">
        <v>4</v>
      </c>
      <c r="C19" s="23" t="s">
        <v>26231</v>
      </c>
      <c r="D19" s="175" t="s">
        <v>25520</v>
      </c>
      <c r="E19" s="23" t="s">
        <v>26231</v>
      </c>
      <c r="F19" s="176" t="s">
        <v>403</v>
      </c>
      <c r="G19" s="177"/>
      <c r="H19" s="177"/>
      <c r="I19" s="23" t="s">
        <v>26231</v>
      </c>
      <c r="J19" s="178" t="s">
        <v>26260</v>
      </c>
      <c r="K19" s="23" t="s">
        <v>26231</v>
      </c>
      <c r="L19" s="23">
        <v>7</v>
      </c>
      <c r="M19" s="110" t="s">
        <v>26256</v>
      </c>
      <c r="N19" s="103" t="s">
        <v>25896</v>
      </c>
      <c r="O19" s="103" t="s">
        <v>25897</v>
      </c>
      <c r="P19" s="179"/>
      <c r="Q19" s="179"/>
      <c r="R19" s="133"/>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c r="BB19" s="180"/>
      <c r="BC19" s="180"/>
      <c r="BD19" s="180"/>
      <c r="BE19" s="180"/>
    </row>
    <row r="20" spans="1:57" ht="27" customHeight="1" x14ac:dyDescent="0.3">
      <c r="A20" s="28" t="s">
        <v>74</v>
      </c>
      <c r="B20" s="28">
        <v>3</v>
      </c>
      <c r="C20" s="23" t="s">
        <v>26231</v>
      </c>
      <c r="D20" s="175" t="s">
        <v>26029</v>
      </c>
      <c r="E20" s="23" t="s">
        <v>26231</v>
      </c>
      <c r="F20" s="176" t="s">
        <v>407</v>
      </c>
      <c r="G20" s="177"/>
      <c r="H20" s="177"/>
      <c r="I20" s="23" t="s">
        <v>26231</v>
      </c>
      <c r="J20" s="178" t="s">
        <v>26261</v>
      </c>
      <c r="K20" s="23" t="s">
        <v>26231</v>
      </c>
      <c r="L20" s="23">
        <v>7</v>
      </c>
      <c r="M20" s="110" t="s">
        <v>26256</v>
      </c>
      <c r="N20" s="103" t="s">
        <v>25896</v>
      </c>
      <c r="O20" s="103" t="s">
        <v>25897</v>
      </c>
      <c r="P20" s="179"/>
      <c r="Q20" s="179"/>
      <c r="R20" s="133"/>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c r="AZ20" s="180"/>
      <c r="BA20" s="180"/>
      <c r="BB20" s="180"/>
      <c r="BC20" s="180"/>
      <c r="BD20" s="180"/>
      <c r="BE20" s="180"/>
    </row>
    <row r="21" spans="1:57" ht="27" customHeight="1" x14ac:dyDescent="0.3">
      <c r="A21" s="28" t="s">
        <v>202</v>
      </c>
      <c r="B21" s="28">
        <v>3</v>
      </c>
      <c r="C21" s="23" t="s">
        <v>26231</v>
      </c>
      <c r="D21" s="175" t="s">
        <v>535</v>
      </c>
      <c r="E21" s="23" t="s">
        <v>26231</v>
      </c>
      <c r="F21" s="176" t="s">
        <v>535</v>
      </c>
      <c r="G21" s="177"/>
      <c r="H21" s="177"/>
      <c r="I21" s="23" t="s">
        <v>26231</v>
      </c>
      <c r="J21" s="178" t="s">
        <v>26262</v>
      </c>
      <c r="K21" s="23" t="s">
        <v>26231</v>
      </c>
      <c r="L21" s="23">
        <v>7</v>
      </c>
      <c r="M21" s="110" t="s">
        <v>26256</v>
      </c>
      <c r="N21" s="103" t="s">
        <v>25896</v>
      </c>
      <c r="O21" s="103" t="s">
        <v>25897</v>
      </c>
      <c r="P21" s="179"/>
      <c r="Q21" s="179"/>
      <c r="R21" s="133"/>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c r="BB21" s="180"/>
      <c r="BC21" s="180"/>
      <c r="BD21" s="180"/>
      <c r="BE21" s="180"/>
    </row>
    <row r="22" spans="1:57" ht="27" customHeight="1" x14ac:dyDescent="0.3">
      <c r="A22" s="28" t="s">
        <v>61</v>
      </c>
      <c r="B22" s="28" t="s">
        <v>26243</v>
      </c>
      <c r="C22" s="23" t="s">
        <v>26231</v>
      </c>
      <c r="D22" s="175" t="s">
        <v>25540</v>
      </c>
      <c r="E22" s="23" t="s">
        <v>26231</v>
      </c>
      <c r="F22" s="176" t="s">
        <v>394</v>
      </c>
      <c r="G22" s="177"/>
      <c r="H22" s="177"/>
      <c r="I22" s="23" t="s">
        <v>26231</v>
      </c>
      <c r="J22" s="178" t="s">
        <v>26263</v>
      </c>
      <c r="K22" s="23" t="s">
        <v>26231</v>
      </c>
      <c r="L22" s="23">
        <v>6</v>
      </c>
      <c r="M22" s="110" t="s">
        <v>26264</v>
      </c>
      <c r="N22" s="103" t="s">
        <v>25896</v>
      </c>
      <c r="O22" s="103" t="s">
        <v>25897</v>
      </c>
      <c r="P22" s="179"/>
      <c r="Q22" s="179"/>
      <c r="R22" s="133"/>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c r="BB22" s="180"/>
      <c r="BC22" s="180"/>
      <c r="BD22" s="180"/>
      <c r="BE22" s="180"/>
    </row>
    <row r="23" spans="1:57" ht="27" customHeight="1" x14ac:dyDescent="0.3">
      <c r="A23" s="28" t="s">
        <v>84</v>
      </c>
      <c r="B23" s="28">
        <v>3</v>
      </c>
      <c r="C23" s="23" t="s">
        <v>26231</v>
      </c>
      <c r="D23" s="175" t="s">
        <v>26265</v>
      </c>
      <c r="E23" s="23" t="s">
        <v>26231</v>
      </c>
      <c r="F23" s="176" t="s">
        <v>417</v>
      </c>
      <c r="G23" s="177"/>
      <c r="H23" s="177"/>
      <c r="I23" s="23" t="s">
        <v>26231</v>
      </c>
      <c r="J23" s="178" t="s">
        <v>26266</v>
      </c>
      <c r="K23" s="23" t="s">
        <v>26231</v>
      </c>
      <c r="L23" s="23">
        <v>6</v>
      </c>
      <c r="M23" s="110" t="s">
        <v>26264</v>
      </c>
      <c r="N23" s="103" t="s">
        <v>25896</v>
      </c>
      <c r="O23" s="103" t="s">
        <v>25897</v>
      </c>
      <c r="P23" s="179"/>
      <c r="Q23" s="179"/>
      <c r="R23" s="133"/>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c r="AZ23" s="180"/>
      <c r="BA23" s="180"/>
      <c r="BB23" s="180"/>
      <c r="BC23" s="180"/>
      <c r="BD23" s="180"/>
      <c r="BE23" s="180"/>
    </row>
    <row r="24" spans="1:57" ht="27" customHeight="1" x14ac:dyDescent="0.3">
      <c r="A24" s="28" t="s">
        <v>213</v>
      </c>
      <c r="B24" s="28">
        <v>1</v>
      </c>
      <c r="C24" s="23" t="s">
        <v>26231</v>
      </c>
      <c r="D24" s="175" t="s">
        <v>546</v>
      </c>
      <c r="E24" s="23" t="s">
        <v>26231</v>
      </c>
      <c r="F24" s="176" t="s">
        <v>546</v>
      </c>
      <c r="G24" s="177"/>
      <c r="H24" s="177"/>
      <c r="I24" s="23" t="s">
        <v>26231</v>
      </c>
      <c r="J24" s="178" t="s">
        <v>26267</v>
      </c>
      <c r="K24" s="23" t="s">
        <v>26231</v>
      </c>
      <c r="L24" s="23">
        <v>6</v>
      </c>
      <c r="M24" s="110" t="s">
        <v>26264</v>
      </c>
      <c r="N24" s="103" t="s">
        <v>25896</v>
      </c>
      <c r="O24" s="103" t="s">
        <v>25897</v>
      </c>
      <c r="P24" s="179"/>
      <c r="Q24" s="179"/>
      <c r="R24" s="133"/>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c r="AZ24" s="180"/>
      <c r="BA24" s="180"/>
      <c r="BB24" s="180"/>
      <c r="BC24" s="180"/>
      <c r="BD24" s="180"/>
      <c r="BE24" s="180"/>
    </row>
    <row r="25" spans="1:57" ht="27" customHeight="1" x14ac:dyDescent="0.3">
      <c r="A25" s="28" t="s">
        <v>38</v>
      </c>
      <c r="B25" s="28">
        <v>1</v>
      </c>
      <c r="C25" s="23" t="s">
        <v>26231</v>
      </c>
      <c r="D25" s="175" t="s">
        <v>371</v>
      </c>
      <c r="E25" s="23" t="s">
        <v>26231</v>
      </c>
      <c r="F25" s="176" t="s">
        <v>371</v>
      </c>
      <c r="G25" s="177"/>
      <c r="H25" s="177"/>
      <c r="I25" s="23" t="s">
        <v>26231</v>
      </c>
      <c r="J25" s="178" t="s">
        <v>26268</v>
      </c>
      <c r="K25" s="23" t="s">
        <v>26231</v>
      </c>
      <c r="L25" s="23">
        <v>5</v>
      </c>
      <c r="M25" s="110" t="s">
        <v>26269</v>
      </c>
      <c r="N25" s="103" t="s">
        <v>25896</v>
      </c>
      <c r="O25" s="103" t="s">
        <v>25897</v>
      </c>
      <c r="P25" s="179"/>
      <c r="Q25" s="179"/>
      <c r="R25" s="133"/>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c r="BB25" s="180"/>
      <c r="BC25" s="180"/>
      <c r="BD25" s="180"/>
      <c r="BE25" s="180"/>
    </row>
    <row r="26" spans="1:57" ht="27" customHeight="1" x14ac:dyDescent="0.3">
      <c r="A26" s="28" t="s">
        <v>67</v>
      </c>
      <c r="B26" s="28">
        <v>3</v>
      </c>
      <c r="C26" s="23" t="s">
        <v>26231</v>
      </c>
      <c r="D26" s="175" t="s">
        <v>26025</v>
      </c>
      <c r="E26" s="23" t="s">
        <v>26231</v>
      </c>
      <c r="F26" s="176" t="s">
        <v>400</v>
      </c>
      <c r="G26" s="177"/>
      <c r="H26" s="177"/>
      <c r="I26" s="23" t="s">
        <v>26231</v>
      </c>
      <c r="J26" s="178" t="s">
        <v>26270</v>
      </c>
      <c r="K26" s="23" t="s">
        <v>26231</v>
      </c>
      <c r="L26" s="23">
        <v>5</v>
      </c>
      <c r="M26" s="110" t="s">
        <v>26269</v>
      </c>
      <c r="N26" s="103" t="s">
        <v>25896</v>
      </c>
      <c r="O26" s="103" t="s">
        <v>25897</v>
      </c>
      <c r="P26" s="179"/>
      <c r="Q26" s="179"/>
      <c r="R26" s="133"/>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c r="BB26" s="180"/>
      <c r="BC26" s="180"/>
      <c r="BD26" s="180"/>
      <c r="BE26" s="180"/>
    </row>
    <row r="27" spans="1:57" ht="27" customHeight="1" x14ac:dyDescent="0.3">
      <c r="A27" s="28" t="s">
        <v>68</v>
      </c>
      <c r="B27" s="28" t="s">
        <v>26243</v>
      </c>
      <c r="C27" s="23" t="s">
        <v>26231</v>
      </c>
      <c r="D27" s="175" t="s">
        <v>26026</v>
      </c>
      <c r="E27" s="23" t="s">
        <v>26231</v>
      </c>
      <c r="F27" s="176" t="s">
        <v>401</v>
      </c>
      <c r="G27" s="177"/>
      <c r="H27" s="177"/>
      <c r="I27" s="23" t="s">
        <v>26231</v>
      </c>
      <c r="J27" s="178" t="s">
        <v>26271</v>
      </c>
      <c r="K27" s="23" t="s">
        <v>26231</v>
      </c>
      <c r="L27" s="23">
        <v>5</v>
      </c>
      <c r="M27" s="110" t="s">
        <v>26269</v>
      </c>
      <c r="N27" s="103" t="s">
        <v>25896</v>
      </c>
      <c r="O27" s="103" t="s">
        <v>25897</v>
      </c>
      <c r="P27" s="179"/>
      <c r="Q27" s="179"/>
      <c r="R27" s="133"/>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c r="BB27" s="180"/>
      <c r="BC27" s="180"/>
      <c r="BD27" s="180"/>
      <c r="BE27" s="180"/>
    </row>
    <row r="28" spans="1:57" ht="27" customHeight="1" x14ac:dyDescent="0.3">
      <c r="A28" s="28" t="s">
        <v>76</v>
      </c>
      <c r="B28" s="28">
        <v>1</v>
      </c>
      <c r="C28" s="23" t="s">
        <v>26231</v>
      </c>
      <c r="D28" s="175" t="s">
        <v>409</v>
      </c>
      <c r="E28" s="23" t="s">
        <v>26231</v>
      </c>
      <c r="F28" s="176" t="s">
        <v>409</v>
      </c>
      <c r="G28" s="177"/>
      <c r="H28" s="177"/>
      <c r="I28" s="23" t="s">
        <v>26231</v>
      </c>
      <c r="J28" s="178" t="s">
        <v>26272</v>
      </c>
      <c r="K28" s="23" t="s">
        <v>26231</v>
      </c>
      <c r="L28" s="23">
        <v>5</v>
      </c>
      <c r="M28" s="110" t="s">
        <v>26269</v>
      </c>
      <c r="N28" s="103" t="s">
        <v>25896</v>
      </c>
      <c r="O28" s="103" t="s">
        <v>25897</v>
      </c>
      <c r="P28" s="179"/>
      <c r="Q28" s="179"/>
      <c r="R28" s="133"/>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c r="AZ28" s="180"/>
      <c r="BA28" s="180"/>
      <c r="BB28" s="180"/>
      <c r="BC28" s="180"/>
      <c r="BD28" s="180"/>
      <c r="BE28" s="180"/>
    </row>
    <row r="29" spans="1:57" ht="27" customHeight="1" x14ac:dyDescent="0.3">
      <c r="A29" s="28" t="s">
        <v>83</v>
      </c>
      <c r="B29" s="28">
        <v>3</v>
      </c>
      <c r="C29" s="23" t="s">
        <v>26231</v>
      </c>
      <c r="D29" s="175" t="s">
        <v>26031</v>
      </c>
      <c r="E29" s="23" t="s">
        <v>26231</v>
      </c>
      <c r="F29" s="176" t="s">
        <v>416</v>
      </c>
      <c r="G29" s="177"/>
      <c r="H29" s="177"/>
      <c r="I29" s="23" t="s">
        <v>26231</v>
      </c>
      <c r="J29" s="178" t="s">
        <v>26273</v>
      </c>
      <c r="K29" s="23" t="s">
        <v>26231</v>
      </c>
      <c r="L29" s="23">
        <v>5</v>
      </c>
      <c r="M29" s="110" t="s">
        <v>26269</v>
      </c>
      <c r="N29" s="103" t="s">
        <v>25896</v>
      </c>
      <c r="O29" s="103" t="s">
        <v>25897</v>
      </c>
      <c r="P29" s="179"/>
      <c r="Q29" s="179"/>
      <c r="R29" s="133"/>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c r="AZ29" s="180"/>
      <c r="BA29" s="180"/>
      <c r="BB29" s="180"/>
      <c r="BC29" s="180"/>
      <c r="BD29" s="180"/>
      <c r="BE29" s="180"/>
    </row>
    <row r="30" spans="1:57" ht="27" customHeight="1" x14ac:dyDescent="0.3">
      <c r="A30" s="28" t="s">
        <v>117</v>
      </c>
      <c r="B30" s="28">
        <v>4</v>
      </c>
      <c r="C30" s="23" t="s">
        <v>26231</v>
      </c>
      <c r="D30" s="175" t="s">
        <v>17058</v>
      </c>
      <c r="E30" s="23" t="s">
        <v>26231</v>
      </c>
      <c r="F30" s="176" t="s">
        <v>450</v>
      </c>
      <c r="G30" s="177"/>
      <c r="H30" s="177"/>
      <c r="I30" s="23" t="s">
        <v>26231</v>
      </c>
      <c r="J30" s="178" t="s">
        <v>26274</v>
      </c>
      <c r="K30" s="23" t="s">
        <v>26231</v>
      </c>
      <c r="L30" s="23">
        <v>5</v>
      </c>
      <c r="M30" s="110" t="s">
        <v>26269</v>
      </c>
      <c r="N30" s="103" t="s">
        <v>25896</v>
      </c>
      <c r="O30" s="103" t="s">
        <v>25897</v>
      </c>
      <c r="P30" s="179"/>
      <c r="Q30" s="179"/>
      <c r="R30" s="133"/>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c r="AZ30" s="180"/>
      <c r="BA30" s="180"/>
      <c r="BB30" s="180"/>
      <c r="BC30" s="180"/>
      <c r="BD30" s="180"/>
      <c r="BE30" s="180"/>
    </row>
    <row r="31" spans="1:57" ht="27" customHeight="1" x14ac:dyDescent="0.3">
      <c r="A31" s="28" t="s">
        <v>203</v>
      </c>
      <c r="B31" s="28">
        <v>3</v>
      </c>
      <c r="C31" s="23" t="s">
        <v>26231</v>
      </c>
      <c r="D31" s="175" t="s">
        <v>536</v>
      </c>
      <c r="E31" s="23" t="s">
        <v>26231</v>
      </c>
      <c r="F31" s="176" t="s">
        <v>536</v>
      </c>
      <c r="G31" s="177"/>
      <c r="H31" s="177"/>
      <c r="I31" s="23" t="s">
        <v>26231</v>
      </c>
      <c r="J31" s="178" t="s">
        <v>26275</v>
      </c>
      <c r="K31" s="23" t="s">
        <v>26231</v>
      </c>
      <c r="L31" s="23">
        <v>5</v>
      </c>
      <c r="M31" s="110" t="s">
        <v>26269</v>
      </c>
      <c r="N31" s="103" t="s">
        <v>25896</v>
      </c>
      <c r="O31" s="103" t="s">
        <v>25897</v>
      </c>
      <c r="P31" s="179"/>
      <c r="Q31" s="179"/>
      <c r="R31" s="133"/>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c r="AZ31" s="180"/>
      <c r="BA31" s="180"/>
      <c r="BB31" s="180"/>
      <c r="BC31" s="180"/>
      <c r="BD31" s="180"/>
      <c r="BE31" s="180"/>
    </row>
    <row r="32" spans="1:57" ht="27" customHeight="1" x14ac:dyDescent="0.3">
      <c r="A32" s="28" t="s">
        <v>223</v>
      </c>
      <c r="B32" s="28">
        <v>3</v>
      </c>
      <c r="C32" s="23" t="s">
        <v>26231</v>
      </c>
      <c r="D32" s="175" t="s">
        <v>556</v>
      </c>
      <c r="E32" s="23" t="s">
        <v>26231</v>
      </c>
      <c r="F32" s="176" t="s">
        <v>556</v>
      </c>
      <c r="G32" s="177"/>
      <c r="H32" s="177"/>
      <c r="I32" s="23" t="s">
        <v>26231</v>
      </c>
      <c r="J32" s="178" t="s">
        <v>26276</v>
      </c>
      <c r="K32" s="23" t="s">
        <v>26231</v>
      </c>
      <c r="L32" s="23">
        <v>5</v>
      </c>
      <c r="M32" s="110" t="s">
        <v>26269</v>
      </c>
      <c r="N32" s="103" t="s">
        <v>25896</v>
      </c>
      <c r="O32" s="103" t="s">
        <v>25897</v>
      </c>
      <c r="P32" s="179"/>
      <c r="Q32" s="179"/>
      <c r="R32" s="133"/>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c r="BB32" s="180"/>
      <c r="BC32" s="180"/>
      <c r="BD32" s="180"/>
      <c r="BE32" s="180"/>
    </row>
    <row r="33" spans="1:57" ht="27" customHeight="1" x14ac:dyDescent="0.3">
      <c r="A33" s="28" t="s">
        <v>19</v>
      </c>
      <c r="B33" s="28">
        <v>2</v>
      </c>
      <c r="C33" s="23" t="s">
        <v>26231</v>
      </c>
      <c r="D33" s="175" t="s">
        <v>16795</v>
      </c>
      <c r="E33" s="23" t="s">
        <v>26231</v>
      </c>
      <c r="F33" s="176" t="s">
        <v>352</v>
      </c>
      <c r="G33" s="177"/>
      <c r="H33" s="177"/>
      <c r="I33" s="23" t="s">
        <v>26231</v>
      </c>
      <c r="J33" s="178" t="s">
        <v>26277</v>
      </c>
      <c r="K33" s="23" t="s">
        <v>26231</v>
      </c>
      <c r="L33" s="23">
        <v>4</v>
      </c>
      <c r="M33" s="110" t="s">
        <v>26278</v>
      </c>
      <c r="N33" s="103" t="s">
        <v>25896</v>
      </c>
      <c r="O33" s="103" t="s">
        <v>25897</v>
      </c>
      <c r="P33" s="179"/>
      <c r="Q33" s="179"/>
      <c r="R33" s="133"/>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c r="BB33" s="180"/>
      <c r="BC33" s="180"/>
      <c r="BD33" s="180"/>
      <c r="BE33" s="180"/>
    </row>
    <row r="34" spans="1:57" ht="27" customHeight="1" x14ac:dyDescent="0.3">
      <c r="A34" s="28" t="s">
        <v>22</v>
      </c>
      <c r="B34" s="28">
        <v>4</v>
      </c>
      <c r="C34" s="23" t="s">
        <v>26231</v>
      </c>
      <c r="D34" s="175" t="s">
        <v>16816</v>
      </c>
      <c r="E34" s="23" t="s">
        <v>26231</v>
      </c>
      <c r="F34" s="176" t="s">
        <v>355</v>
      </c>
      <c r="G34" s="177"/>
      <c r="H34" s="177"/>
      <c r="I34" s="23" t="s">
        <v>26231</v>
      </c>
      <c r="J34" s="178" t="s">
        <v>26279</v>
      </c>
      <c r="K34" s="23" t="s">
        <v>26231</v>
      </c>
      <c r="L34" s="23">
        <v>4</v>
      </c>
      <c r="M34" s="110" t="s">
        <v>26278</v>
      </c>
      <c r="N34" s="103" t="s">
        <v>25896</v>
      </c>
      <c r="O34" s="103" t="s">
        <v>25897</v>
      </c>
      <c r="P34" s="179"/>
      <c r="Q34" s="179"/>
      <c r="R34" s="133"/>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c r="AZ34" s="180"/>
      <c r="BA34" s="180"/>
      <c r="BB34" s="180"/>
      <c r="BC34" s="180"/>
      <c r="BD34" s="180"/>
      <c r="BE34" s="180"/>
    </row>
    <row r="35" spans="1:57" ht="27" customHeight="1" x14ac:dyDescent="0.3">
      <c r="A35" s="28" t="s">
        <v>35</v>
      </c>
      <c r="B35" s="28">
        <v>3</v>
      </c>
      <c r="C35" s="23" t="s">
        <v>26231</v>
      </c>
      <c r="D35" s="175" t="s">
        <v>368</v>
      </c>
      <c r="E35" s="23" t="s">
        <v>26231</v>
      </c>
      <c r="F35" s="176" t="s">
        <v>368</v>
      </c>
      <c r="G35" s="177"/>
      <c r="H35" s="177"/>
      <c r="I35" s="23" t="s">
        <v>26231</v>
      </c>
      <c r="J35" s="178" t="s">
        <v>26280</v>
      </c>
      <c r="K35" s="23" t="s">
        <v>26231</v>
      </c>
      <c r="L35" s="23">
        <v>4</v>
      </c>
      <c r="M35" s="110" t="s">
        <v>26278</v>
      </c>
      <c r="N35" s="103" t="s">
        <v>25896</v>
      </c>
      <c r="O35" s="103" t="s">
        <v>25897</v>
      </c>
      <c r="P35" s="179"/>
      <c r="Q35" s="179"/>
      <c r="R35" s="133"/>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c r="AZ35" s="180"/>
      <c r="BA35" s="180"/>
      <c r="BB35" s="180"/>
      <c r="BC35" s="180"/>
      <c r="BD35" s="180"/>
      <c r="BE35" s="180"/>
    </row>
    <row r="36" spans="1:57" ht="27" customHeight="1" x14ac:dyDescent="0.3">
      <c r="A36" s="28" t="s">
        <v>39</v>
      </c>
      <c r="B36" s="28">
        <v>1</v>
      </c>
      <c r="C36" s="23" t="s">
        <v>26231</v>
      </c>
      <c r="D36" s="175" t="s">
        <v>16897</v>
      </c>
      <c r="E36" s="23" t="s">
        <v>26231</v>
      </c>
      <c r="F36" s="176" t="s">
        <v>372</v>
      </c>
      <c r="G36" s="177"/>
      <c r="H36" s="177"/>
      <c r="I36" s="23" t="s">
        <v>26231</v>
      </c>
      <c r="J36" s="178" t="s">
        <v>26281</v>
      </c>
      <c r="K36" s="23" t="s">
        <v>26231</v>
      </c>
      <c r="L36" s="23">
        <v>4</v>
      </c>
      <c r="M36" s="110" t="s">
        <v>26278</v>
      </c>
      <c r="N36" s="103" t="s">
        <v>25896</v>
      </c>
      <c r="O36" s="103" t="s">
        <v>25897</v>
      </c>
      <c r="P36" s="179"/>
      <c r="Q36" s="179"/>
      <c r="R36" s="133"/>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c r="BB36" s="180"/>
      <c r="BC36" s="180"/>
      <c r="BD36" s="180"/>
      <c r="BE36" s="180"/>
    </row>
    <row r="37" spans="1:57" ht="27" customHeight="1" x14ac:dyDescent="0.3">
      <c r="A37" s="28" t="s">
        <v>69</v>
      </c>
      <c r="B37" s="28">
        <v>3</v>
      </c>
      <c r="C37" s="23" t="s">
        <v>26231</v>
      </c>
      <c r="D37" s="175" t="s">
        <v>26027</v>
      </c>
      <c r="E37" s="23" t="s">
        <v>26231</v>
      </c>
      <c r="F37" s="176" t="s">
        <v>402</v>
      </c>
      <c r="G37" s="177"/>
      <c r="H37" s="177"/>
      <c r="I37" s="23" t="s">
        <v>26231</v>
      </c>
      <c r="J37" s="178" t="s">
        <v>26282</v>
      </c>
      <c r="K37" s="23" t="s">
        <v>26231</v>
      </c>
      <c r="L37" s="23">
        <v>4</v>
      </c>
      <c r="M37" s="110" t="s">
        <v>26283</v>
      </c>
      <c r="N37" s="103" t="s">
        <v>25896</v>
      </c>
      <c r="O37" s="103" t="s">
        <v>25897</v>
      </c>
      <c r="P37" s="179"/>
      <c r="Q37" s="179"/>
      <c r="R37" s="133"/>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c r="BB37" s="180"/>
      <c r="BC37" s="180"/>
      <c r="BD37" s="180"/>
      <c r="BE37" s="180"/>
    </row>
    <row r="38" spans="1:57" ht="27" customHeight="1" x14ac:dyDescent="0.3">
      <c r="A38" s="28" t="s">
        <v>73</v>
      </c>
      <c r="B38" s="28">
        <v>3</v>
      </c>
      <c r="C38" s="23" t="s">
        <v>26231</v>
      </c>
      <c r="D38" s="175" t="s">
        <v>26028</v>
      </c>
      <c r="E38" s="23" t="s">
        <v>26231</v>
      </c>
      <c r="F38" s="176" t="s">
        <v>406</v>
      </c>
      <c r="G38" s="177"/>
      <c r="H38" s="177"/>
      <c r="I38" s="23" t="s">
        <v>26231</v>
      </c>
      <c r="J38" s="178" t="s">
        <v>26284</v>
      </c>
      <c r="K38" s="23" t="s">
        <v>26231</v>
      </c>
      <c r="L38" s="23">
        <v>4</v>
      </c>
      <c r="M38" s="110" t="s">
        <v>26283</v>
      </c>
      <c r="N38" s="103" t="s">
        <v>25896</v>
      </c>
      <c r="O38" s="103" t="s">
        <v>25897</v>
      </c>
      <c r="P38" s="179"/>
      <c r="Q38" s="179"/>
      <c r="R38" s="133"/>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c r="AZ38" s="180"/>
      <c r="BA38" s="180"/>
      <c r="BB38" s="180"/>
      <c r="BC38" s="180"/>
      <c r="BD38" s="180"/>
      <c r="BE38" s="180"/>
    </row>
    <row r="39" spans="1:57" ht="27" customHeight="1" x14ac:dyDescent="0.3">
      <c r="A39" s="28" t="s">
        <v>78</v>
      </c>
      <c r="B39" s="28" t="s">
        <v>26243</v>
      </c>
      <c r="C39" s="23" t="s">
        <v>26231</v>
      </c>
      <c r="D39" s="175" t="s">
        <v>16970</v>
      </c>
      <c r="E39" s="23" t="s">
        <v>26231</v>
      </c>
      <c r="F39" s="176" t="s">
        <v>411</v>
      </c>
      <c r="G39" s="177"/>
      <c r="H39" s="177"/>
      <c r="I39" s="23" t="s">
        <v>26231</v>
      </c>
      <c r="J39" s="178" t="s">
        <v>26285</v>
      </c>
      <c r="K39" s="23" t="s">
        <v>26231</v>
      </c>
      <c r="L39" s="23">
        <v>4</v>
      </c>
      <c r="M39" s="110" t="s">
        <v>26283</v>
      </c>
      <c r="N39" s="103" t="s">
        <v>25896</v>
      </c>
      <c r="O39" s="103" t="s">
        <v>25897</v>
      </c>
      <c r="P39" s="179"/>
      <c r="Q39" s="179"/>
      <c r="R39" s="133"/>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c r="AZ39" s="180"/>
      <c r="BA39" s="180"/>
      <c r="BB39" s="180"/>
      <c r="BC39" s="180"/>
      <c r="BD39" s="180"/>
      <c r="BE39" s="180"/>
    </row>
    <row r="40" spans="1:57" ht="27" customHeight="1" x14ac:dyDescent="0.3">
      <c r="A40" s="28" t="s">
        <v>156</v>
      </c>
      <c r="B40" s="28" t="s">
        <v>26243</v>
      </c>
      <c r="C40" s="23" t="s">
        <v>26231</v>
      </c>
      <c r="D40" s="175" t="s">
        <v>17110</v>
      </c>
      <c r="E40" s="23" t="s">
        <v>26231</v>
      </c>
      <c r="F40" s="176" t="s">
        <v>489</v>
      </c>
      <c r="G40" s="177"/>
      <c r="H40" s="177"/>
      <c r="I40" s="23" t="s">
        <v>26231</v>
      </c>
      <c r="J40" s="178" t="s">
        <v>26286</v>
      </c>
      <c r="K40" s="23" t="s">
        <v>26231</v>
      </c>
      <c r="L40" s="23">
        <v>4</v>
      </c>
      <c r="M40" s="110" t="s">
        <v>26283</v>
      </c>
      <c r="N40" s="103" t="s">
        <v>25896</v>
      </c>
      <c r="O40" s="103" t="s">
        <v>25897</v>
      </c>
      <c r="P40" s="179"/>
      <c r="Q40" s="179"/>
      <c r="R40" s="133"/>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c r="AZ40" s="180"/>
      <c r="BA40" s="180"/>
      <c r="BB40" s="180"/>
      <c r="BC40" s="180"/>
      <c r="BD40" s="180"/>
      <c r="BE40" s="180"/>
    </row>
    <row r="41" spans="1:57" ht="27" customHeight="1" x14ac:dyDescent="0.3">
      <c r="A41" s="28" t="s">
        <v>164</v>
      </c>
      <c r="B41" s="28">
        <v>2</v>
      </c>
      <c r="C41" s="23" t="s">
        <v>26231</v>
      </c>
      <c r="D41" s="175" t="s">
        <v>17123</v>
      </c>
      <c r="E41" s="23" t="s">
        <v>26231</v>
      </c>
      <c r="F41" s="176" t="s">
        <v>497</v>
      </c>
      <c r="G41" s="177"/>
      <c r="H41" s="177"/>
      <c r="I41" s="23" t="s">
        <v>26231</v>
      </c>
      <c r="J41" s="178" t="s">
        <v>26287</v>
      </c>
      <c r="K41" s="23" t="s">
        <v>26231</v>
      </c>
      <c r="L41" s="23">
        <v>4</v>
      </c>
      <c r="M41" s="110" t="s">
        <v>26283</v>
      </c>
      <c r="N41" s="103" t="s">
        <v>25896</v>
      </c>
      <c r="O41" s="103" t="s">
        <v>25897</v>
      </c>
      <c r="P41" s="179"/>
      <c r="Q41" s="179"/>
      <c r="R41" s="133"/>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c r="AZ41" s="180"/>
      <c r="BA41" s="180"/>
      <c r="BB41" s="180"/>
      <c r="BC41" s="180"/>
      <c r="BD41" s="180"/>
      <c r="BE41" s="180"/>
    </row>
    <row r="42" spans="1:57" ht="27" customHeight="1" x14ac:dyDescent="0.3">
      <c r="A42" s="28" t="s">
        <v>219</v>
      </c>
      <c r="B42" s="28" t="s">
        <v>26243</v>
      </c>
      <c r="C42" s="23" t="s">
        <v>26231</v>
      </c>
      <c r="D42" s="175" t="s">
        <v>17166</v>
      </c>
      <c r="E42" s="23" t="s">
        <v>26231</v>
      </c>
      <c r="F42" s="176" t="s">
        <v>552</v>
      </c>
      <c r="G42" s="177"/>
      <c r="H42" s="177"/>
      <c r="I42" s="23" t="s">
        <v>26231</v>
      </c>
      <c r="J42" s="178" t="s">
        <v>26288</v>
      </c>
      <c r="K42" s="23" t="s">
        <v>26231</v>
      </c>
      <c r="L42" s="23">
        <v>4</v>
      </c>
      <c r="M42" s="110" t="s">
        <v>26283</v>
      </c>
      <c r="N42" s="103" t="s">
        <v>25896</v>
      </c>
      <c r="O42" s="103" t="s">
        <v>25897</v>
      </c>
      <c r="P42" s="179"/>
      <c r="Q42" s="179"/>
      <c r="R42" s="133"/>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c r="AZ42" s="180"/>
      <c r="BA42" s="180"/>
      <c r="BB42" s="180"/>
      <c r="BC42" s="180"/>
      <c r="BD42" s="180"/>
      <c r="BE42" s="180"/>
    </row>
    <row r="43" spans="1:57" ht="27" customHeight="1" x14ac:dyDescent="0.3">
      <c r="A43" s="28" t="s">
        <v>246</v>
      </c>
      <c r="B43" s="28">
        <v>3</v>
      </c>
      <c r="C43" s="23" t="s">
        <v>26231</v>
      </c>
      <c r="D43" s="175" t="s">
        <v>17222</v>
      </c>
      <c r="E43" s="23" t="s">
        <v>26231</v>
      </c>
      <c r="F43" s="176" t="s">
        <v>578</v>
      </c>
      <c r="G43" s="177"/>
      <c r="H43" s="177"/>
      <c r="I43" s="23" t="s">
        <v>26231</v>
      </c>
      <c r="J43" s="178" t="s">
        <v>26289</v>
      </c>
      <c r="K43" s="23" t="s">
        <v>26231</v>
      </c>
      <c r="L43" s="23">
        <v>4</v>
      </c>
      <c r="M43" s="110" t="s">
        <v>26283</v>
      </c>
      <c r="N43" s="103" t="s">
        <v>25896</v>
      </c>
      <c r="O43" s="103" t="s">
        <v>25897</v>
      </c>
      <c r="P43" s="179"/>
      <c r="Q43" s="179"/>
      <c r="R43" s="133"/>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c r="BB43" s="180"/>
      <c r="BC43" s="180"/>
      <c r="BD43" s="180"/>
      <c r="BE43" s="180"/>
    </row>
    <row r="44" spans="1:57" ht="27" customHeight="1" x14ac:dyDescent="0.3">
      <c r="A44" s="28" t="s">
        <v>24</v>
      </c>
      <c r="B44" s="28" t="s">
        <v>26243</v>
      </c>
      <c r="C44" s="23" t="s">
        <v>26231</v>
      </c>
      <c r="D44" s="175" t="s">
        <v>16826</v>
      </c>
      <c r="E44" s="23" t="s">
        <v>26231</v>
      </c>
      <c r="F44" s="176" t="s">
        <v>357</v>
      </c>
      <c r="G44" s="177"/>
      <c r="H44" s="177"/>
      <c r="I44" s="23" t="s">
        <v>26231</v>
      </c>
      <c r="J44" s="178" t="s">
        <v>26290</v>
      </c>
      <c r="K44" s="23" t="s">
        <v>26231</v>
      </c>
      <c r="L44" s="23">
        <v>3</v>
      </c>
      <c r="M44" s="110" t="s">
        <v>26291</v>
      </c>
      <c r="N44" s="103" t="s">
        <v>25896</v>
      </c>
      <c r="O44" s="103" t="s">
        <v>25897</v>
      </c>
      <c r="P44" s="179"/>
      <c r="Q44" s="179"/>
      <c r="R44" s="133"/>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c r="BB44" s="180"/>
      <c r="BC44" s="180"/>
      <c r="BD44" s="180"/>
      <c r="BE44" s="180"/>
    </row>
    <row r="45" spans="1:57" ht="27" customHeight="1" x14ac:dyDescent="0.3">
      <c r="A45" s="28" t="s">
        <v>31</v>
      </c>
      <c r="B45" s="28" t="s">
        <v>26243</v>
      </c>
      <c r="C45" s="23" t="s">
        <v>26231</v>
      </c>
      <c r="D45" s="175" t="s">
        <v>26292</v>
      </c>
      <c r="E45" s="23" t="s">
        <v>26231</v>
      </c>
      <c r="F45" s="176" t="s">
        <v>364</v>
      </c>
      <c r="G45" s="177"/>
      <c r="H45" s="177"/>
      <c r="I45" s="23" t="s">
        <v>26231</v>
      </c>
      <c r="J45" s="178" t="s">
        <v>26293</v>
      </c>
      <c r="K45" s="23" t="s">
        <v>26231</v>
      </c>
      <c r="L45" s="23">
        <v>3</v>
      </c>
      <c r="M45" s="110" t="s">
        <v>26291</v>
      </c>
      <c r="N45" s="103" t="s">
        <v>25896</v>
      </c>
      <c r="O45" s="103" t="s">
        <v>25897</v>
      </c>
      <c r="P45" s="179"/>
      <c r="Q45" s="179"/>
      <c r="R45" s="133"/>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c r="AZ45" s="180"/>
      <c r="BA45" s="180"/>
      <c r="BB45" s="180"/>
      <c r="BC45" s="180"/>
      <c r="BD45" s="180"/>
      <c r="BE45" s="180"/>
    </row>
    <row r="46" spans="1:57" ht="27" customHeight="1" x14ac:dyDescent="0.3">
      <c r="A46" s="28" t="s">
        <v>40</v>
      </c>
      <c r="B46" s="28">
        <v>1</v>
      </c>
      <c r="C46" s="23" t="s">
        <v>26231</v>
      </c>
      <c r="D46" s="175" t="s">
        <v>16898</v>
      </c>
      <c r="E46" s="23" t="s">
        <v>26231</v>
      </c>
      <c r="F46" s="176" t="s">
        <v>373</v>
      </c>
      <c r="G46" s="177"/>
      <c r="H46" s="177"/>
      <c r="I46" s="23" t="s">
        <v>26231</v>
      </c>
      <c r="J46" s="178" t="s">
        <v>26294</v>
      </c>
      <c r="K46" s="23" t="s">
        <v>26231</v>
      </c>
      <c r="L46" s="23">
        <v>3</v>
      </c>
      <c r="M46" s="110" t="s">
        <v>26291</v>
      </c>
      <c r="N46" s="103" t="s">
        <v>25896</v>
      </c>
      <c r="O46" s="103" t="s">
        <v>25897</v>
      </c>
      <c r="P46" s="179"/>
      <c r="Q46" s="179"/>
      <c r="R46" s="133"/>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c r="BA46" s="180"/>
      <c r="BB46" s="180"/>
      <c r="BC46" s="180"/>
      <c r="BD46" s="180"/>
      <c r="BE46" s="180"/>
    </row>
    <row r="47" spans="1:57" ht="27" customHeight="1" x14ac:dyDescent="0.3">
      <c r="A47" s="28" t="s">
        <v>59</v>
      </c>
      <c r="B47" s="28" t="s">
        <v>26243</v>
      </c>
      <c r="C47" s="23" t="s">
        <v>26231</v>
      </c>
      <c r="D47" s="175" t="s">
        <v>26295</v>
      </c>
      <c r="E47" s="23" t="s">
        <v>26231</v>
      </c>
      <c r="F47" s="176" t="s">
        <v>392</v>
      </c>
      <c r="G47" s="177"/>
      <c r="H47" s="177"/>
      <c r="I47" s="23" t="s">
        <v>26231</v>
      </c>
      <c r="J47" s="178" t="s">
        <v>26296</v>
      </c>
      <c r="K47" s="23" t="s">
        <v>26231</v>
      </c>
      <c r="L47" s="23">
        <v>3</v>
      </c>
      <c r="M47" s="110" t="s">
        <v>26291</v>
      </c>
      <c r="N47" s="103" t="s">
        <v>25896</v>
      </c>
      <c r="O47" s="103" t="s">
        <v>25897</v>
      </c>
      <c r="P47" s="179"/>
      <c r="Q47" s="179"/>
      <c r="R47" s="133"/>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c r="AZ47" s="180"/>
      <c r="BA47" s="180"/>
      <c r="BB47" s="180"/>
      <c r="BC47" s="180"/>
      <c r="BD47" s="180"/>
      <c r="BE47" s="180"/>
    </row>
    <row r="48" spans="1:57" ht="27" customHeight="1" x14ac:dyDescent="0.3">
      <c r="A48" s="28" t="s">
        <v>64</v>
      </c>
      <c r="B48" s="28">
        <v>2</v>
      </c>
      <c r="C48" s="23" t="s">
        <v>26231</v>
      </c>
      <c r="D48" s="175" t="s">
        <v>17364</v>
      </c>
      <c r="E48" s="23" t="s">
        <v>26231</v>
      </c>
      <c r="F48" s="176" t="s">
        <v>397</v>
      </c>
      <c r="G48" s="177"/>
      <c r="H48" s="177"/>
      <c r="I48" s="23" t="s">
        <v>26231</v>
      </c>
      <c r="J48" s="178" t="s">
        <v>26297</v>
      </c>
      <c r="K48" s="23" t="s">
        <v>26231</v>
      </c>
      <c r="L48" s="23">
        <v>3</v>
      </c>
      <c r="M48" s="110" t="s">
        <v>26291</v>
      </c>
      <c r="N48" s="103" t="s">
        <v>25896</v>
      </c>
      <c r="O48" s="103" t="s">
        <v>25897</v>
      </c>
      <c r="P48" s="179"/>
      <c r="Q48" s="179"/>
      <c r="R48" s="133"/>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row>
    <row r="49" spans="1:57" ht="27" customHeight="1" x14ac:dyDescent="0.3">
      <c r="A49" s="28" t="s">
        <v>65</v>
      </c>
      <c r="B49" s="28">
        <v>3</v>
      </c>
      <c r="C49" s="23" t="s">
        <v>26231</v>
      </c>
      <c r="D49" s="175" t="s">
        <v>398</v>
      </c>
      <c r="E49" s="23" t="s">
        <v>26231</v>
      </c>
      <c r="F49" s="176" t="s">
        <v>398</v>
      </c>
      <c r="G49" s="177"/>
      <c r="H49" s="177"/>
      <c r="I49" s="23" t="s">
        <v>26231</v>
      </c>
      <c r="J49" s="178" t="s">
        <v>26298</v>
      </c>
      <c r="K49" s="23" t="s">
        <v>26231</v>
      </c>
      <c r="L49" s="23">
        <v>3</v>
      </c>
      <c r="M49" s="110" t="s">
        <v>26291</v>
      </c>
      <c r="N49" s="103" t="s">
        <v>25896</v>
      </c>
      <c r="O49" s="103" t="s">
        <v>25897</v>
      </c>
      <c r="P49" s="179"/>
      <c r="Q49" s="179"/>
      <c r="R49" s="133"/>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c r="AZ49" s="180"/>
      <c r="BA49" s="180"/>
      <c r="BB49" s="180"/>
      <c r="BC49" s="180"/>
      <c r="BD49" s="180"/>
      <c r="BE49" s="180"/>
    </row>
    <row r="50" spans="1:57" ht="27" customHeight="1" x14ac:dyDescent="0.3">
      <c r="A50" s="28" t="s">
        <v>66</v>
      </c>
      <c r="B50" s="28">
        <v>2</v>
      </c>
      <c r="C50" s="23" t="s">
        <v>26231</v>
      </c>
      <c r="D50" s="175" t="s">
        <v>26024</v>
      </c>
      <c r="E50" s="23" t="s">
        <v>26231</v>
      </c>
      <c r="F50" s="176" t="s">
        <v>399</v>
      </c>
      <c r="G50" s="177"/>
      <c r="H50" s="177"/>
      <c r="I50" s="23" t="s">
        <v>26231</v>
      </c>
      <c r="J50" s="178" t="s">
        <v>26299</v>
      </c>
      <c r="K50" s="23" t="s">
        <v>26231</v>
      </c>
      <c r="L50" s="23">
        <v>3</v>
      </c>
      <c r="M50" s="110" t="s">
        <v>26291</v>
      </c>
      <c r="N50" s="103" t="s">
        <v>25896</v>
      </c>
      <c r="O50" s="103" t="s">
        <v>25897</v>
      </c>
      <c r="P50" s="179"/>
      <c r="Q50" s="179"/>
      <c r="R50" s="133"/>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c r="BB50" s="180"/>
      <c r="BC50" s="180"/>
      <c r="BD50" s="180"/>
      <c r="BE50" s="180"/>
    </row>
    <row r="51" spans="1:57" ht="27" customHeight="1" x14ac:dyDescent="0.3">
      <c r="A51" s="28" t="s">
        <v>82</v>
      </c>
      <c r="B51" s="28">
        <v>3</v>
      </c>
      <c r="C51" s="23" t="s">
        <v>26231</v>
      </c>
      <c r="D51" s="175" t="s">
        <v>26030</v>
      </c>
      <c r="E51" s="23" t="s">
        <v>26231</v>
      </c>
      <c r="F51" s="176" t="s">
        <v>415</v>
      </c>
      <c r="G51" s="177"/>
      <c r="H51" s="177"/>
      <c r="I51" s="23" t="s">
        <v>26231</v>
      </c>
      <c r="J51" s="178" t="s">
        <v>26300</v>
      </c>
      <c r="K51" s="23" t="s">
        <v>26231</v>
      </c>
      <c r="L51" s="23">
        <v>3</v>
      </c>
      <c r="M51" s="110" t="s">
        <v>26291</v>
      </c>
      <c r="N51" s="103" t="s">
        <v>25896</v>
      </c>
      <c r="O51" s="103" t="s">
        <v>25897</v>
      </c>
      <c r="P51" s="179"/>
      <c r="Q51" s="179"/>
      <c r="R51" s="133"/>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c r="BB51" s="180"/>
      <c r="BC51" s="180"/>
      <c r="BD51" s="180"/>
      <c r="BE51" s="180"/>
    </row>
    <row r="52" spans="1:57" ht="27" customHeight="1" x14ac:dyDescent="0.3">
      <c r="A52" s="28" t="s">
        <v>85</v>
      </c>
      <c r="B52" s="28">
        <v>3</v>
      </c>
      <c r="C52" s="23" t="s">
        <v>26231</v>
      </c>
      <c r="D52" s="175" t="s">
        <v>26301</v>
      </c>
      <c r="E52" s="23" t="s">
        <v>26231</v>
      </c>
      <c r="F52" s="176" t="s">
        <v>418</v>
      </c>
      <c r="G52" s="177"/>
      <c r="H52" s="177"/>
      <c r="I52" s="23" t="s">
        <v>26231</v>
      </c>
      <c r="J52" s="178" t="s">
        <v>26302</v>
      </c>
      <c r="K52" s="23" t="s">
        <v>26231</v>
      </c>
      <c r="L52" s="23">
        <v>3</v>
      </c>
      <c r="M52" s="110" t="s">
        <v>26291</v>
      </c>
      <c r="N52" s="103" t="s">
        <v>25896</v>
      </c>
      <c r="O52" s="103" t="s">
        <v>25897</v>
      </c>
      <c r="P52" s="179"/>
      <c r="Q52" s="179"/>
      <c r="R52" s="133"/>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c r="AZ52" s="180"/>
      <c r="BA52" s="180"/>
      <c r="BB52" s="180"/>
      <c r="BC52" s="180"/>
      <c r="BD52" s="180"/>
      <c r="BE52" s="180"/>
    </row>
    <row r="53" spans="1:57" ht="27" customHeight="1" x14ac:dyDescent="0.3">
      <c r="A53" s="28" t="s">
        <v>96</v>
      </c>
      <c r="B53" s="28" t="s">
        <v>26243</v>
      </c>
      <c r="C53" s="23" t="s">
        <v>26231</v>
      </c>
      <c r="D53" s="175" t="s">
        <v>26303</v>
      </c>
      <c r="E53" s="23" t="s">
        <v>26231</v>
      </c>
      <c r="F53" s="176" t="s">
        <v>429</v>
      </c>
      <c r="G53" s="177"/>
      <c r="H53" s="177"/>
      <c r="I53" s="23" t="s">
        <v>26231</v>
      </c>
      <c r="J53" s="178" t="s">
        <v>26304</v>
      </c>
      <c r="K53" s="23" t="s">
        <v>26231</v>
      </c>
      <c r="L53" s="23">
        <v>3</v>
      </c>
      <c r="M53" s="110" t="s">
        <v>26291</v>
      </c>
      <c r="N53" s="103" t="s">
        <v>25896</v>
      </c>
      <c r="O53" s="103" t="s">
        <v>25897</v>
      </c>
      <c r="P53" s="179"/>
      <c r="Q53" s="179"/>
      <c r="R53" s="133"/>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row>
    <row r="54" spans="1:57" ht="27" customHeight="1" x14ac:dyDescent="0.3">
      <c r="A54" s="28" t="s">
        <v>110</v>
      </c>
      <c r="B54" s="28">
        <v>2</v>
      </c>
      <c r="C54" s="23" t="s">
        <v>26231</v>
      </c>
      <c r="D54" s="175" t="s">
        <v>17040</v>
      </c>
      <c r="E54" s="23" t="s">
        <v>26231</v>
      </c>
      <c r="F54" s="176" t="s">
        <v>443</v>
      </c>
      <c r="G54" s="177"/>
      <c r="H54" s="177"/>
      <c r="I54" s="23" t="s">
        <v>26231</v>
      </c>
      <c r="J54" s="178" t="s">
        <v>26305</v>
      </c>
      <c r="K54" s="23" t="s">
        <v>26231</v>
      </c>
      <c r="L54" s="23">
        <v>3</v>
      </c>
      <c r="M54" s="110" t="s">
        <v>26291</v>
      </c>
      <c r="N54" s="103" t="s">
        <v>25896</v>
      </c>
      <c r="O54" s="103" t="s">
        <v>25897</v>
      </c>
      <c r="P54" s="179"/>
      <c r="Q54" s="179"/>
      <c r="R54" s="133"/>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180"/>
      <c r="BC54" s="180"/>
      <c r="BD54" s="180"/>
      <c r="BE54" s="180"/>
    </row>
    <row r="55" spans="1:57" ht="27" customHeight="1" x14ac:dyDescent="0.3">
      <c r="A55" s="28" t="s">
        <v>137</v>
      </c>
      <c r="B55" s="28">
        <v>1</v>
      </c>
      <c r="C55" s="23" t="s">
        <v>26231</v>
      </c>
      <c r="D55" s="175" t="s">
        <v>17076</v>
      </c>
      <c r="E55" s="23" t="s">
        <v>26231</v>
      </c>
      <c r="F55" s="176" t="s">
        <v>17076</v>
      </c>
      <c r="G55" s="177"/>
      <c r="H55" s="177"/>
      <c r="I55" s="23" t="s">
        <v>26231</v>
      </c>
      <c r="J55" s="178" t="s">
        <v>17077</v>
      </c>
      <c r="K55" s="23" t="s">
        <v>26231</v>
      </c>
      <c r="L55" s="23">
        <v>3</v>
      </c>
      <c r="M55" s="110" t="s">
        <v>26291</v>
      </c>
      <c r="N55" s="103" t="s">
        <v>25896</v>
      </c>
      <c r="O55" s="103" t="s">
        <v>25897</v>
      </c>
      <c r="P55" s="179"/>
      <c r="Q55" s="179"/>
      <c r="R55" s="133"/>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c r="AZ55" s="180"/>
      <c r="BA55" s="180"/>
      <c r="BB55" s="180"/>
      <c r="BC55" s="180"/>
      <c r="BD55" s="180"/>
      <c r="BE55" s="180"/>
    </row>
    <row r="56" spans="1:57" ht="27" customHeight="1" x14ac:dyDescent="0.3">
      <c r="A56" s="28" t="s">
        <v>139</v>
      </c>
      <c r="B56" s="28" t="s">
        <v>26243</v>
      </c>
      <c r="C56" s="23" t="s">
        <v>26231</v>
      </c>
      <c r="D56" s="175" t="s">
        <v>472</v>
      </c>
      <c r="E56" s="23" t="s">
        <v>26231</v>
      </c>
      <c r="F56" s="176" t="s">
        <v>472</v>
      </c>
      <c r="G56" s="177"/>
      <c r="H56" s="177"/>
      <c r="I56" s="23" t="s">
        <v>26231</v>
      </c>
      <c r="J56" s="178" t="s">
        <v>26306</v>
      </c>
      <c r="K56" s="23" t="s">
        <v>26231</v>
      </c>
      <c r="L56" s="23">
        <v>3</v>
      </c>
      <c r="M56" s="110" t="s">
        <v>26291</v>
      </c>
      <c r="N56" s="103" t="s">
        <v>25896</v>
      </c>
      <c r="O56" s="103" t="s">
        <v>25897</v>
      </c>
      <c r="P56" s="179"/>
      <c r="Q56" s="179"/>
      <c r="R56" s="133"/>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180"/>
      <c r="BC56" s="180"/>
      <c r="BD56" s="180"/>
      <c r="BE56" s="180"/>
    </row>
    <row r="57" spans="1:57" ht="27" customHeight="1" x14ac:dyDescent="0.3">
      <c r="A57" s="28" t="s">
        <v>143</v>
      </c>
      <c r="B57" s="28">
        <v>3</v>
      </c>
      <c r="C57" s="23" t="s">
        <v>26231</v>
      </c>
      <c r="D57" s="175" t="s">
        <v>476</v>
      </c>
      <c r="E57" s="23" t="s">
        <v>26231</v>
      </c>
      <c r="F57" s="176" t="s">
        <v>476</v>
      </c>
      <c r="G57" s="177"/>
      <c r="H57" s="177"/>
      <c r="I57" s="23" t="s">
        <v>26231</v>
      </c>
      <c r="J57" s="178" t="s">
        <v>26307</v>
      </c>
      <c r="K57" s="23" t="s">
        <v>26231</v>
      </c>
      <c r="L57" s="23">
        <v>3</v>
      </c>
      <c r="M57" s="110" t="s">
        <v>26291</v>
      </c>
      <c r="N57" s="103" t="s">
        <v>25896</v>
      </c>
      <c r="O57" s="103" t="s">
        <v>25897</v>
      </c>
      <c r="P57" s="179"/>
      <c r="Q57" s="179"/>
      <c r="R57" s="133"/>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0"/>
      <c r="BD57" s="180"/>
      <c r="BE57" s="180"/>
    </row>
    <row r="58" spans="1:57" ht="27" customHeight="1" x14ac:dyDescent="0.3">
      <c r="A58" s="28" t="s">
        <v>152</v>
      </c>
      <c r="B58" s="28">
        <v>4</v>
      </c>
      <c r="C58" s="23" t="s">
        <v>26231</v>
      </c>
      <c r="D58" s="175" t="s">
        <v>17097</v>
      </c>
      <c r="E58" s="23" t="s">
        <v>26231</v>
      </c>
      <c r="F58" s="176" t="s">
        <v>485</v>
      </c>
      <c r="G58" s="177"/>
      <c r="H58" s="177"/>
      <c r="I58" s="23" t="s">
        <v>26231</v>
      </c>
      <c r="J58" s="178" t="s">
        <v>26308</v>
      </c>
      <c r="K58" s="23" t="s">
        <v>26231</v>
      </c>
      <c r="L58" s="23">
        <v>3</v>
      </c>
      <c r="M58" s="110" t="s">
        <v>26291</v>
      </c>
      <c r="N58" s="103" t="s">
        <v>25896</v>
      </c>
      <c r="O58" s="103" t="s">
        <v>25897</v>
      </c>
      <c r="P58" s="179"/>
      <c r="Q58" s="179"/>
      <c r="R58" s="133"/>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row>
    <row r="59" spans="1:57" ht="27" customHeight="1" x14ac:dyDescent="0.3">
      <c r="A59" s="28" t="s">
        <v>154</v>
      </c>
      <c r="B59" s="28">
        <v>2</v>
      </c>
      <c r="C59" s="23" t="s">
        <v>26231</v>
      </c>
      <c r="D59" s="175" t="s">
        <v>17102</v>
      </c>
      <c r="E59" s="23" t="s">
        <v>26231</v>
      </c>
      <c r="F59" s="176" t="s">
        <v>487</v>
      </c>
      <c r="G59" s="177"/>
      <c r="H59" s="177"/>
      <c r="I59" s="23" t="s">
        <v>26231</v>
      </c>
      <c r="J59" s="178" t="s">
        <v>26309</v>
      </c>
      <c r="K59" s="23" t="s">
        <v>26231</v>
      </c>
      <c r="L59" s="23">
        <v>3</v>
      </c>
      <c r="M59" s="110" t="s">
        <v>26291</v>
      </c>
      <c r="N59" s="103" t="s">
        <v>25896</v>
      </c>
      <c r="O59" s="103" t="s">
        <v>25897</v>
      </c>
      <c r="P59" s="179"/>
      <c r="Q59" s="179"/>
      <c r="R59" s="133"/>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c r="BB59" s="180"/>
      <c r="BC59" s="180"/>
      <c r="BD59" s="180"/>
      <c r="BE59" s="180"/>
    </row>
    <row r="60" spans="1:57" ht="27" customHeight="1" x14ac:dyDescent="0.3">
      <c r="A60" s="28" t="s">
        <v>158</v>
      </c>
      <c r="B60" s="28" t="s">
        <v>26243</v>
      </c>
      <c r="C60" s="23" t="s">
        <v>26231</v>
      </c>
      <c r="D60" s="175" t="s">
        <v>17113</v>
      </c>
      <c r="E60" s="23" t="s">
        <v>26231</v>
      </c>
      <c r="F60" s="176" t="s">
        <v>491</v>
      </c>
      <c r="G60" s="177"/>
      <c r="H60" s="177"/>
      <c r="I60" s="23" t="s">
        <v>26231</v>
      </c>
      <c r="J60" s="178" t="s">
        <v>26310</v>
      </c>
      <c r="K60" s="23" t="s">
        <v>26231</v>
      </c>
      <c r="L60" s="23">
        <v>3</v>
      </c>
      <c r="M60" s="110" t="s">
        <v>26291</v>
      </c>
      <c r="N60" s="103" t="s">
        <v>25896</v>
      </c>
      <c r="O60" s="103" t="s">
        <v>25897</v>
      </c>
      <c r="P60" s="179"/>
      <c r="Q60" s="179"/>
      <c r="R60" s="133"/>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c r="BA60" s="180"/>
      <c r="BB60" s="180"/>
      <c r="BC60" s="180"/>
      <c r="BD60" s="180"/>
      <c r="BE60" s="180"/>
    </row>
    <row r="61" spans="1:57" ht="27" customHeight="1" x14ac:dyDescent="0.3">
      <c r="A61" s="28" t="s">
        <v>167</v>
      </c>
      <c r="B61" s="28">
        <v>3</v>
      </c>
      <c r="C61" s="23" t="s">
        <v>26231</v>
      </c>
      <c r="D61" s="175" t="s">
        <v>17128</v>
      </c>
      <c r="E61" s="23" t="s">
        <v>26231</v>
      </c>
      <c r="F61" s="176" t="s">
        <v>500</v>
      </c>
      <c r="G61" s="177"/>
      <c r="H61" s="177"/>
      <c r="I61" s="23" t="s">
        <v>26231</v>
      </c>
      <c r="J61" s="178" t="s">
        <v>26311</v>
      </c>
      <c r="K61" s="23" t="s">
        <v>26231</v>
      </c>
      <c r="L61" s="23">
        <v>3</v>
      </c>
      <c r="M61" s="110" t="s">
        <v>26291</v>
      </c>
      <c r="N61" s="103" t="s">
        <v>25896</v>
      </c>
      <c r="O61" s="103" t="s">
        <v>25897</v>
      </c>
      <c r="P61" s="179"/>
      <c r="Q61" s="179"/>
      <c r="R61" s="133"/>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c r="AZ61" s="180"/>
      <c r="BA61" s="180"/>
      <c r="BB61" s="180"/>
      <c r="BC61" s="180"/>
      <c r="BD61" s="180"/>
      <c r="BE61" s="180"/>
    </row>
    <row r="62" spans="1:57" ht="27" customHeight="1" x14ac:dyDescent="0.3">
      <c r="A62" s="28" t="s">
        <v>217</v>
      </c>
      <c r="B62" s="28">
        <v>3</v>
      </c>
      <c r="C62" s="23" t="s">
        <v>26231</v>
      </c>
      <c r="D62" s="175" t="s">
        <v>550</v>
      </c>
      <c r="E62" s="23" t="s">
        <v>26231</v>
      </c>
      <c r="F62" s="176" t="s">
        <v>550</v>
      </c>
      <c r="G62" s="177"/>
      <c r="H62" s="177"/>
      <c r="I62" s="23" t="s">
        <v>26231</v>
      </c>
      <c r="J62" s="178" t="s">
        <v>26312</v>
      </c>
      <c r="K62" s="23" t="s">
        <v>26231</v>
      </c>
      <c r="L62" s="23">
        <v>3</v>
      </c>
      <c r="M62" s="110" t="s">
        <v>26291</v>
      </c>
      <c r="N62" s="103" t="s">
        <v>25896</v>
      </c>
      <c r="O62" s="103" t="s">
        <v>25897</v>
      </c>
      <c r="P62" s="179"/>
      <c r="Q62" s="179"/>
      <c r="R62" s="133"/>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c r="BB62" s="180"/>
      <c r="BC62" s="180"/>
      <c r="BD62" s="180"/>
      <c r="BE62" s="180"/>
    </row>
    <row r="63" spans="1:57" ht="27" customHeight="1" x14ac:dyDescent="0.3">
      <c r="A63" s="28" t="s">
        <v>243</v>
      </c>
      <c r="B63" s="28">
        <v>3</v>
      </c>
      <c r="C63" s="23" t="s">
        <v>26231</v>
      </c>
      <c r="D63" s="175" t="s">
        <v>17211</v>
      </c>
      <c r="E63" s="23" t="s">
        <v>26231</v>
      </c>
      <c r="F63" s="176" t="s">
        <v>575</v>
      </c>
      <c r="G63" s="177"/>
      <c r="H63" s="177"/>
      <c r="I63" s="23" t="s">
        <v>26231</v>
      </c>
      <c r="J63" s="178" t="s">
        <v>26313</v>
      </c>
      <c r="K63" s="23" t="s">
        <v>26231</v>
      </c>
      <c r="L63" s="23">
        <v>3</v>
      </c>
      <c r="M63" s="110" t="s">
        <v>26291</v>
      </c>
      <c r="N63" s="103" t="s">
        <v>25896</v>
      </c>
      <c r="O63" s="103" t="s">
        <v>25897</v>
      </c>
      <c r="P63" s="179"/>
      <c r="Q63" s="179"/>
      <c r="R63" s="133"/>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c r="BB63" s="180"/>
      <c r="BC63" s="180"/>
      <c r="BD63" s="180"/>
      <c r="BE63" s="180"/>
    </row>
    <row r="64" spans="1:57" ht="27" customHeight="1" x14ac:dyDescent="0.3">
      <c r="A64" s="28" t="s">
        <v>245</v>
      </c>
      <c r="B64" s="28">
        <v>3</v>
      </c>
      <c r="C64" s="23" t="s">
        <v>26231</v>
      </c>
      <c r="D64" s="175" t="s">
        <v>17219</v>
      </c>
      <c r="E64" s="23" t="s">
        <v>26231</v>
      </c>
      <c r="F64" s="176" t="s">
        <v>577</v>
      </c>
      <c r="G64" s="177"/>
      <c r="H64" s="177"/>
      <c r="I64" s="23" t="s">
        <v>26231</v>
      </c>
      <c r="J64" s="178" t="s">
        <v>26314</v>
      </c>
      <c r="K64" s="23" t="s">
        <v>26231</v>
      </c>
      <c r="L64" s="23">
        <v>3</v>
      </c>
      <c r="M64" s="110" t="s">
        <v>26291</v>
      </c>
      <c r="N64" s="103" t="s">
        <v>25896</v>
      </c>
      <c r="O64" s="103" t="s">
        <v>25897</v>
      </c>
      <c r="P64" s="179"/>
      <c r="Q64" s="179"/>
      <c r="R64" s="133"/>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c r="BB64" s="180"/>
      <c r="BC64" s="180"/>
      <c r="BD64" s="180"/>
      <c r="BE64" s="180"/>
    </row>
    <row r="65" spans="1:58" ht="27" customHeight="1" x14ac:dyDescent="0.3">
      <c r="A65" s="28" t="s">
        <v>254</v>
      </c>
      <c r="B65" s="28">
        <v>4</v>
      </c>
      <c r="C65" s="23" t="s">
        <v>26231</v>
      </c>
      <c r="D65" s="175" t="s">
        <v>17245</v>
      </c>
      <c r="E65" s="23" t="s">
        <v>26231</v>
      </c>
      <c r="F65" s="176" t="s">
        <v>586</v>
      </c>
      <c r="G65" s="177"/>
      <c r="H65" s="177"/>
      <c r="I65" s="23" t="s">
        <v>26231</v>
      </c>
      <c r="J65" s="178" t="s">
        <v>26315</v>
      </c>
      <c r="K65" s="23" t="s">
        <v>26231</v>
      </c>
      <c r="L65" s="23">
        <v>3</v>
      </c>
      <c r="M65" s="110" t="s">
        <v>26291</v>
      </c>
      <c r="N65" s="103" t="s">
        <v>25896</v>
      </c>
      <c r="O65" s="103" t="s">
        <v>25897</v>
      </c>
      <c r="P65" s="179"/>
      <c r="Q65" s="179"/>
      <c r="R65" s="133"/>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c r="BB65" s="180"/>
      <c r="BC65" s="180"/>
      <c r="BD65" s="180"/>
      <c r="BE65" s="180"/>
    </row>
    <row r="66" spans="1:58" ht="27" customHeight="1" x14ac:dyDescent="0.3">
      <c r="A66" s="28" t="s">
        <v>259</v>
      </c>
      <c r="B66" s="28">
        <v>1</v>
      </c>
      <c r="C66" s="23" t="s">
        <v>26231</v>
      </c>
      <c r="D66" s="175" t="s">
        <v>17258</v>
      </c>
      <c r="E66" s="23" t="s">
        <v>26231</v>
      </c>
      <c r="F66" s="176" t="s">
        <v>591</v>
      </c>
      <c r="G66" s="177"/>
      <c r="H66" s="177"/>
      <c r="I66" s="23" t="s">
        <v>26231</v>
      </c>
      <c r="J66" s="178" t="s">
        <v>26316</v>
      </c>
      <c r="K66" s="23" t="s">
        <v>26231</v>
      </c>
      <c r="L66" s="23">
        <v>3</v>
      </c>
      <c r="M66" s="110" t="s">
        <v>26291</v>
      </c>
      <c r="N66" s="103" t="s">
        <v>25896</v>
      </c>
      <c r="O66" s="103" t="s">
        <v>25897</v>
      </c>
      <c r="P66" s="179"/>
      <c r="Q66" s="179"/>
      <c r="R66" s="133"/>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c r="BB66" s="180"/>
      <c r="BC66" s="180"/>
      <c r="BD66" s="180"/>
      <c r="BE66" s="180"/>
    </row>
    <row r="67" spans="1:58" ht="27" customHeight="1" x14ac:dyDescent="0.3">
      <c r="A67" s="28" t="s">
        <v>275</v>
      </c>
      <c r="B67" s="28" t="s">
        <v>26243</v>
      </c>
      <c r="C67" s="23" t="s">
        <v>26231</v>
      </c>
      <c r="D67" s="175" t="s">
        <v>17281</v>
      </c>
      <c r="E67" s="23" t="s">
        <v>26231</v>
      </c>
      <c r="F67" s="176" t="s">
        <v>607</v>
      </c>
      <c r="G67" s="177"/>
      <c r="H67" s="177"/>
      <c r="I67" s="23" t="s">
        <v>26231</v>
      </c>
      <c r="J67" s="178" t="s">
        <v>26317</v>
      </c>
      <c r="K67" s="23" t="s">
        <v>26231</v>
      </c>
      <c r="L67" s="23">
        <v>3</v>
      </c>
      <c r="M67" s="110" t="s">
        <v>26291</v>
      </c>
      <c r="N67" s="103" t="s">
        <v>25896</v>
      </c>
      <c r="O67" s="103" t="s">
        <v>25897</v>
      </c>
      <c r="P67" s="179"/>
      <c r="Q67" s="179"/>
      <c r="R67" s="133"/>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c r="BB67" s="180"/>
      <c r="BC67" s="180"/>
      <c r="BD67" s="180"/>
      <c r="BE67" s="180"/>
    </row>
    <row r="68" spans="1:58" ht="27" customHeight="1" x14ac:dyDescent="0.3">
      <c r="A68" s="182" t="s">
        <v>288</v>
      </c>
      <c r="B68" s="28">
        <v>4</v>
      </c>
      <c r="C68" s="107" t="s">
        <v>26231</v>
      </c>
      <c r="D68" s="183" t="s">
        <v>17292</v>
      </c>
      <c r="E68" s="107" t="s">
        <v>26231</v>
      </c>
      <c r="F68" s="184" t="s">
        <v>620</v>
      </c>
      <c r="G68" s="185"/>
      <c r="H68" s="185"/>
      <c r="I68" s="107" t="s">
        <v>26231</v>
      </c>
      <c r="J68" s="186" t="s">
        <v>26318</v>
      </c>
      <c r="K68" s="107" t="s">
        <v>26231</v>
      </c>
      <c r="L68" s="107">
        <v>3</v>
      </c>
      <c r="M68" s="187" t="s">
        <v>26291</v>
      </c>
      <c r="N68" s="188" t="s">
        <v>25896</v>
      </c>
      <c r="O68" s="188" t="s">
        <v>25897</v>
      </c>
      <c r="P68" s="179"/>
      <c r="Q68" s="179"/>
      <c r="R68" s="133"/>
      <c r="S68" s="180"/>
      <c r="T68" s="180"/>
      <c r="U68" s="189" t="s">
        <v>646</v>
      </c>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c r="BB68" s="180"/>
      <c r="BC68" s="180"/>
      <c r="BD68" s="180"/>
      <c r="BE68" s="180"/>
    </row>
    <row r="69" spans="1:58" ht="27" customHeight="1" x14ac:dyDescent="0.3">
      <c r="E69" s="175"/>
      <c r="G69" s="177"/>
      <c r="H69" s="177"/>
      <c r="I69" s="177"/>
      <c r="K69" s="190"/>
    </row>
    <row r="70" spans="1:58" ht="27" customHeight="1" x14ac:dyDescent="0.3">
      <c r="E70" s="175"/>
      <c r="G70" s="177"/>
      <c r="H70" s="177"/>
      <c r="I70" s="177"/>
      <c r="K70" s="190"/>
    </row>
    <row r="71" spans="1:58" ht="27" customHeight="1" x14ac:dyDescent="0.3">
      <c r="E71" s="175"/>
      <c r="G71" s="177"/>
      <c r="H71" s="177"/>
      <c r="I71" s="177"/>
      <c r="K71" s="190"/>
    </row>
    <row r="72" spans="1:58" ht="27" customHeight="1" x14ac:dyDescent="0.3">
      <c r="E72" s="175"/>
      <c r="G72" s="177"/>
      <c r="H72" s="177"/>
      <c r="I72" s="177"/>
      <c r="K72" s="190"/>
    </row>
    <row r="73" spans="1:58" s="23" customFormat="1" ht="27" customHeight="1" x14ac:dyDescent="0.3">
      <c r="A73" s="28"/>
      <c r="B73" s="28"/>
      <c r="E73" s="175"/>
      <c r="G73" s="177"/>
      <c r="H73" s="177"/>
      <c r="I73" s="177"/>
      <c r="K73" s="190"/>
      <c r="N73" s="110"/>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1"/>
      <c r="AR73" s="181"/>
      <c r="AS73" s="181"/>
      <c r="AT73" s="181"/>
      <c r="AU73" s="181"/>
      <c r="AV73" s="181"/>
      <c r="AW73" s="181"/>
      <c r="AX73" s="181"/>
      <c r="AY73" s="181"/>
      <c r="AZ73" s="181"/>
      <c r="BA73" s="181"/>
      <c r="BB73" s="181"/>
      <c r="BC73" s="181"/>
      <c r="BD73" s="181"/>
      <c r="BE73" s="181"/>
      <c r="BF73" s="181"/>
    </row>
    <row r="74" spans="1:58" s="23" customFormat="1" ht="27" customHeight="1" x14ac:dyDescent="0.3">
      <c r="A74" s="28"/>
      <c r="B74" s="28"/>
      <c r="E74" s="175"/>
      <c r="G74" s="177"/>
      <c r="H74" s="177"/>
      <c r="I74" s="177"/>
      <c r="K74" s="190"/>
      <c r="N74" s="110"/>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1"/>
      <c r="AR74" s="181"/>
      <c r="AS74" s="181"/>
      <c r="AT74" s="181"/>
      <c r="AU74" s="181"/>
      <c r="AV74" s="181"/>
      <c r="AW74" s="181"/>
      <c r="AX74" s="181"/>
      <c r="AY74" s="181"/>
      <c r="AZ74" s="181"/>
      <c r="BA74" s="181"/>
      <c r="BB74" s="181"/>
      <c r="BC74" s="181"/>
      <c r="BD74" s="181"/>
      <c r="BE74" s="181"/>
      <c r="BF74" s="181"/>
    </row>
    <row r="75" spans="1:58" s="23" customFormat="1" ht="27" customHeight="1" x14ac:dyDescent="0.3">
      <c r="A75" s="28"/>
      <c r="B75" s="28"/>
      <c r="E75" s="175"/>
      <c r="G75" s="177"/>
      <c r="H75" s="177"/>
      <c r="I75" s="177"/>
      <c r="K75" s="190"/>
      <c r="N75" s="110"/>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1"/>
      <c r="AR75" s="181"/>
      <c r="AS75" s="181"/>
      <c r="AT75" s="181"/>
      <c r="AU75" s="181"/>
      <c r="AV75" s="181"/>
      <c r="AW75" s="181"/>
      <c r="AX75" s="181"/>
      <c r="AY75" s="181"/>
      <c r="AZ75" s="181"/>
      <c r="BA75" s="181"/>
      <c r="BB75" s="181"/>
      <c r="BC75" s="181"/>
      <c r="BD75" s="181"/>
      <c r="BE75" s="181"/>
      <c r="BF75" s="181"/>
    </row>
    <row r="76" spans="1:58" s="23" customFormat="1" ht="27" customHeight="1" x14ac:dyDescent="0.3">
      <c r="A76" s="28"/>
      <c r="B76" s="28"/>
      <c r="E76" s="175"/>
      <c r="G76" s="177"/>
      <c r="H76" s="177"/>
      <c r="I76" s="177"/>
      <c r="K76" s="190"/>
      <c r="N76" s="110"/>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1"/>
      <c r="AR76" s="181"/>
      <c r="AS76" s="181"/>
      <c r="AT76" s="181"/>
      <c r="AU76" s="181"/>
      <c r="AV76" s="181"/>
      <c r="AW76" s="181"/>
      <c r="AX76" s="181"/>
      <c r="AY76" s="181"/>
      <c r="AZ76" s="181"/>
      <c r="BA76" s="181"/>
      <c r="BB76" s="181"/>
      <c r="BC76" s="181"/>
      <c r="BD76" s="181"/>
      <c r="BE76" s="181"/>
      <c r="BF76" s="181"/>
    </row>
    <row r="77" spans="1:58" s="23" customFormat="1" ht="27" customHeight="1" x14ac:dyDescent="0.3">
      <c r="A77" s="28"/>
      <c r="B77" s="28"/>
      <c r="E77" s="175"/>
      <c r="G77" s="177"/>
      <c r="H77" s="177"/>
      <c r="I77" s="177"/>
      <c r="K77" s="190"/>
      <c r="N77" s="110"/>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1"/>
      <c r="AR77" s="181"/>
      <c r="AS77" s="181"/>
      <c r="AT77" s="181"/>
      <c r="AU77" s="181"/>
      <c r="AV77" s="181"/>
      <c r="AW77" s="181"/>
      <c r="AX77" s="181"/>
      <c r="AY77" s="181"/>
      <c r="AZ77" s="181"/>
      <c r="BA77" s="181"/>
      <c r="BB77" s="181"/>
      <c r="BC77" s="181"/>
      <c r="BD77" s="181"/>
      <c r="BE77" s="181"/>
      <c r="BF77" s="181"/>
    </row>
    <row r="78" spans="1:58" s="23" customFormat="1" ht="27" customHeight="1" x14ac:dyDescent="0.3">
      <c r="A78" s="28"/>
      <c r="B78" s="28"/>
      <c r="E78" s="175"/>
      <c r="G78" s="177"/>
      <c r="H78" s="177"/>
      <c r="I78" s="177"/>
      <c r="K78" s="190"/>
      <c r="N78" s="110"/>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1"/>
      <c r="AR78" s="181"/>
      <c r="AS78" s="181"/>
      <c r="AT78" s="181"/>
      <c r="AU78" s="181"/>
      <c r="AV78" s="181"/>
      <c r="AW78" s="181"/>
      <c r="AX78" s="181"/>
      <c r="AY78" s="181"/>
      <c r="AZ78" s="181"/>
      <c r="BA78" s="181"/>
      <c r="BB78" s="181"/>
      <c r="BC78" s="181"/>
      <c r="BD78" s="181"/>
      <c r="BE78" s="181"/>
      <c r="BF78" s="181"/>
    </row>
    <row r="79" spans="1:58" s="23" customFormat="1" ht="27" customHeight="1" x14ac:dyDescent="0.3">
      <c r="A79" s="28"/>
      <c r="B79" s="28"/>
      <c r="E79" s="175"/>
      <c r="G79" s="177"/>
      <c r="H79" s="177"/>
      <c r="I79" s="177"/>
      <c r="K79" s="190"/>
      <c r="N79" s="110"/>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1"/>
      <c r="AR79" s="181"/>
      <c r="AS79" s="181"/>
      <c r="AT79" s="181"/>
      <c r="AU79" s="181"/>
      <c r="AV79" s="181"/>
      <c r="AW79" s="181"/>
      <c r="AX79" s="181"/>
      <c r="AY79" s="181"/>
      <c r="AZ79" s="181"/>
      <c r="BA79" s="181"/>
      <c r="BB79" s="181"/>
      <c r="BC79" s="181"/>
      <c r="BD79" s="181"/>
      <c r="BE79" s="181"/>
      <c r="BF79" s="181"/>
    </row>
    <row r="80" spans="1:58" s="23" customFormat="1" ht="27" customHeight="1" x14ac:dyDescent="0.3">
      <c r="A80" s="28"/>
      <c r="B80" s="28"/>
      <c r="E80" s="175"/>
      <c r="G80" s="177"/>
      <c r="H80" s="177"/>
      <c r="I80" s="177"/>
      <c r="K80" s="190"/>
      <c r="N80" s="110"/>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row>
    <row r="81" spans="1:58" s="23" customFormat="1" ht="27" customHeight="1" x14ac:dyDescent="0.3">
      <c r="A81" s="28"/>
      <c r="B81" s="28"/>
      <c r="E81" s="175"/>
      <c r="G81" s="177"/>
      <c r="H81" s="177"/>
      <c r="I81" s="177"/>
      <c r="K81" s="190"/>
      <c r="N81" s="110"/>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row>
    <row r="82" spans="1:58" s="23" customFormat="1" ht="27" customHeight="1" x14ac:dyDescent="0.3">
      <c r="A82" s="28"/>
      <c r="B82" s="28"/>
      <c r="E82" s="175"/>
      <c r="G82" s="177"/>
      <c r="H82" s="177"/>
      <c r="I82" s="177"/>
      <c r="K82" s="190"/>
      <c r="N82" s="110"/>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F82" s="181"/>
    </row>
    <row r="83" spans="1:58" s="23" customFormat="1" ht="27" customHeight="1" x14ac:dyDescent="0.3">
      <c r="A83" s="28"/>
      <c r="B83" s="28"/>
      <c r="E83" s="175"/>
      <c r="G83" s="177"/>
      <c r="H83" s="177"/>
      <c r="I83" s="177"/>
      <c r="K83" s="190"/>
      <c r="N83" s="110"/>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1"/>
      <c r="AR83" s="181"/>
      <c r="AS83" s="181"/>
      <c r="AT83" s="181"/>
      <c r="AU83" s="181"/>
      <c r="AV83" s="181"/>
      <c r="AW83" s="181"/>
      <c r="AX83" s="181"/>
      <c r="AY83" s="181"/>
      <c r="AZ83" s="181"/>
      <c r="BA83" s="181"/>
      <c r="BB83" s="181"/>
      <c r="BC83" s="181"/>
      <c r="BD83" s="181"/>
      <c r="BE83" s="181"/>
      <c r="BF83" s="181"/>
    </row>
    <row r="84" spans="1:58" s="23" customFormat="1" ht="27" customHeight="1" x14ac:dyDescent="0.3">
      <c r="A84" s="28"/>
      <c r="B84" s="28"/>
      <c r="E84" s="175"/>
      <c r="G84" s="177"/>
      <c r="H84" s="177"/>
      <c r="I84" s="177"/>
      <c r="K84" s="190"/>
      <c r="N84" s="110"/>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1"/>
      <c r="AR84" s="181"/>
      <c r="AS84" s="181"/>
      <c r="AT84" s="181"/>
      <c r="AU84" s="181"/>
      <c r="AV84" s="181"/>
      <c r="AW84" s="181"/>
      <c r="AX84" s="181"/>
      <c r="AY84" s="181"/>
      <c r="AZ84" s="181"/>
      <c r="BA84" s="181"/>
      <c r="BB84" s="181"/>
      <c r="BC84" s="181"/>
      <c r="BD84" s="181"/>
      <c r="BE84" s="181"/>
      <c r="BF84" s="181"/>
    </row>
    <row r="85" spans="1:58" s="23" customFormat="1" ht="27" customHeight="1" x14ac:dyDescent="0.3">
      <c r="A85" s="28"/>
      <c r="B85" s="28"/>
      <c r="E85" s="175"/>
      <c r="G85" s="177"/>
      <c r="H85" s="177"/>
      <c r="I85" s="177"/>
      <c r="K85" s="190"/>
      <c r="N85" s="110"/>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1"/>
      <c r="AR85" s="181"/>
      <c r="AS85" s="181"/>
      <c r="AT85" s="181"/>
      <c r="AU85" s="181"/>
      <c r="AV85" s="181"/>
      <c r="AW85" s="181"/>
      <c r="AX85" s="181"/>
      <c r="AY85" s="181"/>
      <c r="AZ85" s="181"/>
      <c r="BA85" s="181"/>
      <c r="BB85" s="181"/>
      <c r="BC85" s="181"/>
      <c r="BD85" s="181"/>
      <c r="BE85" s="181"/>
      <c r="BF85" s="181"/>
    </row>
    <row r="86" spans="1:58" s="23" customFormat="1" ht="27" customHeight="1" x14ac:dyDescent="0.3">
      <c r="A86" s="28"/>
      <c r="B86" s="28"/>
      <c r="E86" s="175"/>
      <c r="G86" s="177"/>
      <c r="H86" s="177"/>
      <c r="I86" s="177"/>
      <c r="K86" s="190"/>
      <c r="N86" s="110"/>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1"/>
      <c r="AR86" s="181"/>
      <c r="AS86" s="181"/>
      <c r="AT86" s="181"/>
      <c r="AU86" s="181"/>
      <c r="AV86" s="181"/>
      <c r="AW86" s="181"/>
      <c r="AX86" s="181"/>
      <c r="AY86" s="181"/>
      <c r="AZ86" s="181"/>
      <c r="BA86" s="181"/>
      <c r="BB86" s="181"/>
      <c r="BC86" s="181"/>
      <c r="BD86" s="181"/>
      <c r="BE86" s="181"/>
      <c r="BF86" s="181"/>
    </row>
    <row r="87" spans="1:58" s="23" customFormat="1" ht="27" customHeight="1" x14ac:dyDescent="0.3">
      <c r="A87" s="28"/>
      <c r="B87" s="28"/>
      <c r="E87" s="175"/>
      <c r="G87" s="177"/>
      <c r="H87" s="177"/>
      <c r="I87" s="177"/>
      <c r="K87" s="190"/>
      <c r="N87" s="110"/>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c r="BF87" s="181"/>
    </row>
    <row r="88" spans="1:58" s="23" customFormat="1" ht="27" customHeight="1" x14ac:dyDescent="0.3">
      <c r="A88" s="28"/>
      <c r="B88" s="28"/>
      <c r="E88" s="175"/>
      <c r="G88" s="177"/>
      <c r="H88" s="177"/>
      <c r="I88" s="177"/>
      <c r="K88" s="190"/>
      <c r="N88" s="110"/>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1"/>
      <c r="AR88" s="181"/>
      <c r="AS88" s="181"/>
      <c r="AT88" s="181"/>
      <c r="AU88" s="181"/>
      <c r="AV88" s="181"/>
      <c r="AW88" s="181"/>
      <c r="AX88" s="181"/>
      <c r="AY88" s="181"/>
      <c r="AZ88" s="181"/>
      <c r="BA88" s="181"/>
      <c r="BB88" s="181"/>
      <c r="BC88" s="181"/>
      <c r="BD88" s="181"/>
      <c r="BE88" s="181"/>
      <c r="BF88" s="181"/>
    </row>
    <row r="89" spans="1:58" s="23" customFormat="1" ht="27" customHeight="1" x14ac:dyDescent="0.3">
      <c r="A89" s="28"/>
      <c r="B89" s="28"/>
      <c r="E89" s="175"/>
      <c r="G89" s="177"/>
      <c r="H89" s="177"/>
      <c r="I89" s="177"/>
      <c r="K89" s="190"/>
      <c r="N89" s="110"/>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1"/>
      <c r="AR89" s="181"/>
      <c r="AS89" s="181"/>
      <c r="AT89" s="181"/>
      <c r="AU89" s="181"/>
      <c r="AV89" s="181"/>
      <c r="AW89" s="181"/>
      <c r="AX89" s="181"/>
      <c r="AY89" s="181"/>
      <c r="AZ89" s="181"/>
      <c r="BA89" s="181"/>
      <c r="BB89" s="181"/>
      <c r="BC89" s="181"/>
      <c r="BD89" s="181"/>
      <c r="BE89" s="181"/>
      <c r="BF89" s="181"/>
    </row>
    <row r="90" spans="1:58" s="23" customFormat="1" ht="27" customHeight="1" x14ac:dyDescent="0.3">
      <c r="A90" s="28"/>
      <c r="B90" s="28"/>
      <c r="E90" s="175"/>
      <c r="G90" s="177"/>
      <c r="H90" s="177"/>
      <c r="I90" s="177"/>
      <c r="K90" s="190"/>
      <c r="N90" s="110"/>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1"/>
      <c r="AR90" s="181"/>
      <c r="AS90" s="181"/>
      <c r="AT90" s="181"/>
      <c r="AU90" s="181"/>
      <c r="AV90" s="181"/>
      <c r="AW90" s="181"/>
      <c r="AX90" s="181"/>
      <c r="AY90" s="181"/>
      <c r="AZ90" s="181"/>
      <c r="BA90" s="181"/>
      <c r="BB90" s="181"/>
      <c r="BC90" s="181"/>
      <c r="BD90" s="181"/>
      <c r="BE90" s="181"/>
      <c r="BF90" s="181"/>
    </row>
    <row r="91" spans="1:58" s="23" customFormat="1" ht="27" customHeight="1" x14ac:dyDescent="0.3">
      <c r="A91" s="28"/>
      <c r="B91" s="28"/>
      <c r="E91" s="175"/>
      <c r="G91" s="177"/>
      <c r="H91" s="177"/>
      <c r="I91" s="177"/>
      <c r="K91" s="190"/>
      <c r="N91" s="110"/>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c r="AS91" s="181"/>
      <c r="AT91" s="181"/>
      <c r="AU91" s="181"/>
      <c r="AV91" s="181"/>
      <c r="AW91" s="181"/>
      <c r="AX91" s="181"/>
      <c r="AY91" s="181"/>
      <c r="AZ91" s="181"/>
      <c r="BA91" s="181"/>
      <c r="BB91" s="181"/>
      <c r="BC91" s="181"/>
      <c r="BD91" s="181"/>
      <c r="BE91" s="181"/>
      <c r="BF91" s="181"/>
    </row>
    <row r="92" spans="1:58" s="23" customFormat="1" ht="27" customHeight="1" x14ac:dyDescent="0.3">
      <c r="A92" s="28"/>
      <c r="B92" s="28"/>
      <c r="E92" s="175"/>
      <c r="G92" s="177"/>
      <c r="H92" s="177"/>
      <c r="I92" s="177"/>
      <c r="K92" s="190"/>
      <c r="N92" s="110"/>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1"/>
      <c r="AR92" s="181"/>
      <c r="AS92" s="181"/>
      <c r="AT92" s="181"/>
      <c r="AU92" s="181"/>
      <c r="AV92" s="181"/>
      <c r="AW92" s="181"/>
      <c r="AX92" s="181"/>
      <c r="AY92" s="181"/>
      <c r="AZ92" s="181"/>
      <c r="BA92" s="181"/>
      <c r="BB92" s="181"/>
      <c r="BC92" s="181"/>
      <c r="BD92" s="181"/>
      <c r="BE92" s="181"/>
      <c r="BF92" s="181"/>
    </row>
    <row r="93" spans="1:58" s="23" customFormat="1" ht="27" customHeight="1" x14ac:dyDescent="0.3">
      <c r="A93" s="28"/>
      <c r="B93" s="28"/>
      <c r="E93" s="175"/>
      <c r="G93" s="177"/>
      <c r="H93" s="177"/>
      <c r="I93" s="177"/>
      <c r="K93" s="190"/>
      <c r="N93" s="110"/>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1"/>
      <c r="AR93" s="181"/>
      <c r="AS93" s="181"/>
      <c r="AT93" s="181"/>
      <c r="AU93" s="181"/>
      <c r="AV93" s="181"/>
      <c r="AW93" s="181"/>
      <c r="AX93" s="181"/>
      <c r="AY93" s="181"/>
      <c r="AZ93" s="181"/>
      <c r="BA93" s="181"/>
      <c r="BB93" s="181"/>
      <c r="BC93" s="181"/>
      <c r="BD93" s="181"/>
      <c r="BE93" s="181"/>
      <c r="BF93" s="181"/>
    </row>
    <row r="94" spans="1:58" s="23" customFormat="1" ht="27" customHeight="1" x14ac:dyDescent="0.3">
      <c r="A94" s="28"/>
      <c r="B94" s="28"/>
      <c r="E94" s="175"/>
      <c r="G94" s="177"/>
      <c r="H94" s="177"/>
      <c r="I94" s="177"/>
      <c r="K94" s="190"/>
      <c r="N94" s="110"/>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1"/>
      <c r="AR94" s="181"/>
      <c r="AS94" s="181"/>
      <c r="AT94" s="181"/>
      <c r="AU94" s="181"/>
      <c r="AV94" s="181"/>
      <c r="AW94" s="181"/>
      <c r="AX94" s="181"/>
      <c r="AY94" s="181"/>
      <c r="AZ94" s="181"/>
      <c r="BA94" s="181"/>
      <c r="BB94" s="181"/>
      <c r="BC94" s="181"/>
      <c r="BD94" s="181"/>
      <c r="BE94" s="181"/>
      <c r="BF94" s="181"/>
    </row>
    <row r="95" spans="1:58" s="23" customFormat="1" ht="27" customHeight="1" x14ac:dyDescent="0.3">
      <c r="A95" s="28"/>
      <c r="B95" s="28"/>
      <c r="E95" s="175"/>
      <c r="G95" s="177"/>
      <c r="H95" s="177"/>
      <c r="I95" s="177"/>
      <c r="K95" s="190"/>
      <c r="N95" s="110"/>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1"/>
      <c r="AR95" s="181"/>
      <c r="AS95" s="181"/>
      <c r="AT95" s="181"/>
      <c r="AU95" s="181"/>
      <c r="AV95" s="181"/>
      <c r="AW95" s="181"/>
      <c r="AX95" s="181"/>
      <c r="AY95" s="181"/>
      <c r="AZ95" s="181"/>
      <c r="BA95" s="181"/>
      <c r="BB95" s="181"/>
      <c r="BC95" s="181"/>
      <c r="BD95" s="181"/>
      <c r="BE95" s="181"/>
      <c r="BF95" s="181"/>
    </row>
    <row r="96" spans="1:58" s="23" customFormat="1" ht="27" customHeight="1" x14ac:dyDescent="0.3">
      <c r="A96" s="28"/>
      <c r="B96" s="28"/>
      <c r="E96" s="175"/>
      <c r="G96" s="177"/>
      <c r="H96" s="177"/>
      <c r="I96" s="177"/>
      <c r="K96" s="190"/>
      <c r="N96" s="110"/>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row>
    <row r="97" spans="1:58" s="23" customFormat="1" ht="27" customHeight="1" x14ac:dyDescent="0.3">
      <c r="A97" s="28"/>
      <c r="B97" s="28"/>
      <c r="E97" s="175"/>
      <c r="G97" s="177"/>
      <c r="H97" s="177"/>
      <c r="I97" s="177"/>
      <c r="K97" s="190"/>
      <c r="N97" s="110"/>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c r="BF97" s="181"/>
    </row>
    <row r="98" spans="1:58" s="23" customFormat="1" ht="27" customHeight="1" x14ac:dyDescent="0.3">
      <c r="A98" s="28"/>
      <c r="B98" s="28"/>
      <c r="E98" s="175"/>
      <c r="G98" s="177"/>
      <c r="H98" s="177"/>
      <c r="I98" s="177"/>
      <c r="K98" s="190"/>
      <c r="N98" s="110"/>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1"/>
      <c r="AR98" s="181"/>
      <c r="AS98" s="181"/>
      <c r="AT98" s="181"/>
      <c r="AU98" s="181"/>
      <c r="AV98" s="181"/>
      <c r="AW98" s="181"/>
      <c r="AX98" s="181"/>
      <c r="AY98" s="181"/>
      <c r="AZ98" s="181"/>
      <c r="BA98" s="181"/>
      <c r="BB98" s="181"/>
      <c r="BC98" s="181"/>
      <c r="BD98" s="181"/>
      <c r="BE98" s="181"/>
      <c r="BF98" s="181"/>
    </row>
    <row r="99" spans="1:58" s="23" customFormat="1" ht="27" customHeight="1" x14ac:dyDescent="0.3">
      <c r="A99" s="28"/>
      <c r="B99" s="28"/>
      <c r="E99" s="175"/>
      <c r="G99" s="177"/>
      <c r="H99" s="177"/>
      <c r="I99" s="177"/>
      <c r="K99" s="190"/>
      <c r="N99" s="110"/>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1"/>
      <c r="AR99" s="181"/>
      <c r="AS99" s="181"/>
      <c r="AT99" s="181"/>
      <c r="AU99" s="181"/>
      <c r="AV99" s="181"/>
      <c r="AW99" s="181"/>
      <c r="AX99" s="181"/>
      <c r="AY99" s="181"/>
      <c r="AZ99" s="181"/>
      <c r="BA99" s="181"/>
      <c r="BB99" s="181"/>
      <c r="BC99" s="181"/>
      <c r="BD99" s="181"/>
      <c r="BE99" s="181"/>
      <c r="BF99" s="181"/>
    </row>
    <row r="100" spans="1:58" s="23" customFormat="1" ht="27" customHeight="1" x14ac:dyDescent="0.3">
      <c r="A100" s="28"/>
      <c r="B100" s="28"/>
      <c r="E100" s="175"/>
      <c r="G100" s="177"/>
      <c r="H100" s="177"/>
      <c r="I100" s="177"/>
      <c r="K100" s="190"/>
      <c r="N100" s="110"/>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c r="BF100" s="181"/>
    </row>
    <row r="101" spans="1:58" s="23" customFormat="1" ht="27" customHeight="1" x14ac:dyDescent="0.3">
      <c r="A101" s="28"/>
      <c r="B101" s="28"/>
      <c r="E101" s="175"/>
      <c r="G101" s="177"/>
      <c r="H101" s="177"/>
      <c r="I101" s="177"/>
      <c r="K101" s="190"/>
      <c r="N101" s="110"/>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1"/>
      <c r="AR101" s="181"/>
      <c r="AS101" s="181"/>
      <c r="AT101" s="181"/>
      <c r="AU101" s="181"/>
      <c r="AV101" s="181"/>
      <c r="AW101" s="181"/>
      <c r="AX101" s="181"/>
      <c r="AY101" s="181"/>
      <c r="AZ101" s="181"/>
      <c r="BA101" s="181"/>
      <c r="BB101" s="181"/>
      <c r="BC101" s="181"/>
      <c r="BD101" s="181"/>
      <c r="BE101" s="181"/>
      <c r="BF101" s="181"/>
    </row>
    <row r="102" spans="1:58" s="23" customFormat="1" ht="27" customHeight="1" x14ac:dyDescent="0.3">
      <c r="A102" s="28"/>
      <c r="B102" s="28"/>
      <c r="E102" s="175"/>
      <c r="G102" s="177"/>
      <c r="H102" s="177"/>
      <c r="I102" s="177"/>
      <c r="K102" s="190"/>
      <c r="N102" s="110"/>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row>
    <row r="103" spans="1:58" s="23" customFormat="1" ht="27" customHeight="1" x14ac:dyDescent="0.3">
      <c r="A103" s="28"/>
      <c r="B103" s="28"/>
      <c r="E103" s="175"/>
      <c r="G103" s="177"/>
      <c r="H103" s="177"/>
      <c r="I103" s="177"/>
      <c r="K103" s="190"/>
      <c r="N103" s="110"/>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1"/>
      <c r="AR103" s="181"/>
      <c r="AS103" s="181"/>
      <c r="AT103" s="181"/>
      <c r="AU103" s="181"/>
      <c r="AV103" s="181"/>
      <c r="AW103" s="181"/>
      <c r="AX103" s="181"/>
      <c r="AY103" s="181"/>
      <c r="AZ103" s="181"/>
      <c r="BA103" s="181"/>
      <c r="BB103" s="181"/>
      <c r="BC103" s="181"/>
      <c r="BD103" s="181"/>
      <c r="BE103" s="181"/>
      <c r="BF103" s="181"/>
    </row>
    <row r="104" spans="1:58" s="23" customFormat="1" ht="27" customHeight="1" x14ac:dyDescent="0.3">
      <c r="A104" s="28"/>
      <c r="B104" s="28"/>
      <c r="E104" s="175"/>
      <c r="G104" s="177"/>
      <c r="H104" s="177"/>
      <c r="I104" s="177"/>
      <c r="K104" s="190"/>
      <c r="N104" s="110"/>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row>
    <row r="105" spans="1:58" s="23" customFormat="1" ht="27" customHeight="1" x14ac:dyDescent="0.3">
      <c r="A105" s="28"/>
      <c r="B105" s="28"/>
      <c r="E105" s="175"/>
      <c r="G105" s="177"/>
      <c r="H105" s="177"/>
      <c r="I105" s="177"/>
      <c r="K105" s="190"/>
      <c r="N105" s="110"/>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1"/>
      <c r="AR105" s="181"/>
      <c r="AS105" s="181"/>
      <c r="AT105" s="181"/>
      <c r="AU105" s="181"/>
      <c r="AV105" s="181"/>
      <c r="AW105" s="181"/>
      <c r="AX105" s="181"/>
      <c r="AY105" s="181"/>
      <c r="AZ105" s="181"/>
      <c r="BA105" s="181"/>
      <c r="BB105" s="181"/>
      <c r="BC105" s="181"/>
      <c r="BD105" s="181"/>
      <c r="BE105" s="181"/>
      <c r="BF105" s="181"/>
    </row>
    <row r="106" spans="1:58" s="23" customFormat="1" ht="27" customHeight="1" x14ac:dyDescent="0.3">
      <c r="A106" s="28"/>
      <c r="B106" s="28"/>
      <c r="E106" s="175"/>
      <c r="G106" s="177"/>
      <c r="H106" s="177"/>
      <c r="I106" s="177"/>
      <c r="K106" s="190"/>
      <c r="N106" s="110"/>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1"/>
      <c r="AR106" s="181"/>
      <c r="AS106" s="181"/>
      <c r="AT106" s="181"/>
      <c r="AU106" s="181"/>
      <c r="AV106" s="181"/>
      <c r="AW106" s="181"/>
      <c r="AX106" s="181"/>
      <c r="AY106" s="181"/>
      <c r="AZ106" s="181"/>
      <c r="BA106" s="181"/>
      <c r="BB106" s="181"/>
      <c r="BC106" s="181"/>
      <c r="BD106" s="181"/>
      <c r="BE106" s="181"/>
      <c r="BF106" s="181"/>
    </row>
    <row r="107" spans="1:58" s="23" customFormat="1" ht="27" customHeight="1" x14ac:dyDescent="0.3">
      <c r="A107" s="28"/>
      <c r="B107" s="28"/>
      <c r="E107" s="175"/>
      <c r="G107" s="177"/>
      <c r="H107" s="177"/>
      <c r="I107" s="177"/>
      <c r="K107" s="190"/>
      <c r="N107" s="110"/>
      <c r="Q107" s="181"/>
      <c r="R107" s="181"/>
      <c r="S107" s="181"/>
      <c r="T107" s="181"/>
      <c r="U107" s="181"/>
      <c r="V107" s="181"/>
      <c r="W107" s="181"/>
      <c r="X107" s="181"/>
      <c r="Y107" s="181"/>
      <c r="Z107" s="181"/>
      <c r="AA107" s="181"/>
      <c r="AB107" s="181"/>
      <c r="AC107" s="181"/>
      <c r="AD107" s="181"/>
      <c r="AE107" s="181"/>
      <c r="AF107" s="181"/>
      <c r="AG107" s="181"/>
      <c r="AH107" s="181"/>
      <c r="AI107" s="181"/>
      <c r="AJ107" s="181"/>
      <c r="AK107" s="181"/>
      <c r="AL107" s="181"/>
      <c r="AM107" s="181"/>
      <c r="AN107" s="181"/>
      <c r="AO107" s="181"/>
      <c r="AP107" s="181"/>
      <c r="AQ107" s="181"/>
      <c r="AR107" s="181"/>
      <c r="AS107" s="181"/>
      <c r="AT107" s="181"/>
      <c r="AU107" s="181"/>
      <c r="AV107" s="181"/>
      <c r="AW107" s="181"/>
      <c r="AX107" s="181"/>
      <c r="AY107" s="181"/>
      <c r="AZ107" s="181"/>
      <c r="BA107" s="181"/>
      <c r="BB107" s="181"/>
      <c r="BC107" s="181"/>
      <c r="BD107" s="181"/>
      <c r="BE107" s="181"/>
      <c r="BF107" s="181"/>
    </row>
    <row r="108" spans="1:58" s="23" customFormat="1" ht="27" customHeight="1" x14ac:dyDescent="0.3">
      <c r="A108" s="28"/>
      <c r="B108" s="28"/>
      <c r="E108" s="175"/>
      <c r="G108" s="177"/>
      <c r="H108" s="177"/>
      <c r="I108" s="177"/>
      <c r="K108" s="190"/>
      <c r="N108" s="110"/>
      <c r="Q108" s="181"/>
      <c r="R108" s="181"/>
      <c r="S108" s="181"/>
      <c r="T108" s="181"/>
      <c r="U108" s="181"/>
      <c r="V108" s="181"/>
      <c r="W108" s="181"/>
      <c r="X108" s="181"/>
      <c r="Y108" s="181"/>
      <c r="Z108" s="181"/>
      <c r="AA108" s="181"/>
      <c r="AB108" s="181"/>
      <c r="AC108" s="181"/>
      <c r="AD108" s="181"/>
      <c r="AE108" s="181"/>
      <c r="AF108" s="181"/>
      <c r="AG108" s="181"/>
      <c r="AH108" s="181"/>
      <c r="AI108" s="181"/>
      <c r="AJ108" s="181"/>
      <c r="AK108" s="181"/>
      <c r="AL108" s="181"/>
      <c r="AM108" s="181"/>
      <c r="AN108" s="181"/>
      <c r="AO108" s="181"/>
      <c r="AP108" s="181"/>
      <c r="AQ108" s="181"/>
      <c r="AR108" s="181"/>
      <c r="AS108" s="181"/>
      <c r="AT108" s="181"/>
      <c r="AU108" s="181"/>
      <c r="AV108" s="181"/>
      <c r="AW108" s="181"/>
      <c r="AX108" s="181"/>
      <c r="AY108" s="181"/>
      <c r="AZ108" s="181"/>
      <c r="BA108" s="181"/>
      <c r="BB108" s="181"/>
      <c r="BC108" s="181"/>
      <c r="BD108" s="181"/>
      <c r="BE108" s="181"/>
      <c r="BF108" s="181"/>
    </row>
    <row r="109" spans="1:58" s="23" customFormat="1" ht="27" customHeight="1" x14ac:dyDescent="0.3">
      <c r="A109" s="28"/>
      <c r="B109" s="28"/>
      <c r="E109" s="175"/>
      <c r="G109" s="177"/>
      <c r="H109" s="177"/>
      <c r="I109" s="177"/>
      <c r="K109" s="190"/>
      <c r="N109" s="110"/>
      <c r="Q109" s="181"/>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row>
    <row r="110" spans="1:58" s="23" customFormat="1" ht="27" customHeight="1" x14ac:dyDescent="0.3">
      <c r="A110" s="28"/>
      <c r="B110" s="28"/>
      <c r="E110" s="175"/>
      <c r="G110" s="177"/>
      <c r="H110" s="177"/>
      <c r="I110" s="177"/>
      <c r="K110" s="190"/>
      <c r="N110" s="110"/>
      <c r="Q110" s="181"/>
      <c r="R110" s="181"/>
      <c r="S110" s="181"/>
      <c r="T110" s="181"/>
      <c r="U110" s="181"/>
      <c r="V110" s="181"/>
      <c r="W110" s="181"/>
      <c r="X110" s="181"/>
      <c r="Y110" s="181"/>
      <c r="Z110" s="181"/>
      <c r="AA110" s="181"/>
      <c r="AB110" s="181"/>
      <c r="AC110" s="181"/>
      <c r="AD110" s="181"/>
      <c r="AE110" s="181"/>
      <c r="AF110" s="181"/>
      <c r="AG110" s="181"/>
      <c r="AH110" s="181"/>
      <c r="AI110" s="181"/>
      <c r="AJ110" s="181"/>
      <c r="AK110" s="181"/>
      <c r="AL110" s="181"/>
      <c r="AM110" s="181"/>
      <c r="AN110" s="181"/>
      <c r="AO110" s="181"/>
      <c r="AP110" s="181"/>
      <c r="AQ110" s="181"/>
      <c r="AR110" s="181"/>
      <c r="AS110" s="181"/>
      <c r="AT110" s="181"/>
      <c r="AU110" s="181"/>
      <c r="AV110" s="181"/>
      <c r="AW110" s="181"/>
      <c r="AX110" s="181"/>
      <c r="AY110" s="181"/>
      <c r="AZ110" s="181"/>
      <c r="BA110" s="181"/>
      <c r="BB110" s="181"/>
      <c r="BC110" s="181"/>
      <c r="BD110" s="181"/>
      <c r="BE110" s="181"/>
      <c r="BF110" s="181"/>
    </row>
    <row r="111" spans="1:58" s="23" customFormat="1" ht="27" customHeight="1" x14ac:dyDescent="0.3">
      <c r="A111" s="28"/>
      <c r="B111" s="28"/>
      <c r="E111" s="175"/>
      <c r="G111" s="177"/>
      <c r="H111" s="177"/>
      <c r="I111" s="177"/>
      <c r="K111" s="190"/>
      <c r="N111" s="110"/>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row>
    <row r="112" spans="1:58" s="23" customFormat="1" ht="27" customHeight="1" x14ac:dyDescent="0.3">
      <c r="A112" s="28"/>
      <c r="B112" s="28"/>
      <c r="E112" s="175"/>
      <c r="G112" s="177"/>
      <c r="H112" s="177"/>
      <c r="I112" s="177"/>
      <c r="K112" s="190"/>
      <c r="N112" s="110"/>
      <c r="Q112" s="181"/>
      <c r="R112" s="181"/>
      <c r="S112" s="181"/>
      <c r="T112" s="181"/>
      <c r="U112" s="181"/>
      <c r="V112" s="181"/>
      <c r="W112" s="181"/>
      <c r="X112" s="181"/>
      <c r="Y112" s="181"/>
      <c r="Z112" s="181"/>
      <c r="AA112" s="181"/>
      <c r="AB112" s="181"/>
      <c r="AC112" s="181"/>
      <c r="AD112" s="181"/>
      <c r="AE112" s="181"/>
      <c r="AF112" s="181"/>
      <c r="AG112" s="181"/>
      <c r="AH112" s="181"/>
      <c r="AI112" s="181"/>
      <c r="AJ112" s="181"/>
      <c r="AK112" s="181"/>
      <c r="AL112" s="181"/>
      <c r="AM112" s="181"/>
      <c r="AN112" s="181"/>
      <c r="AO112" s="181"/>
      <c r="AP112" s="181"/>
      <c r="AQ112" s="181"/>
      <c r="AR112" s="181"/>
      <c r="AS112" s="181"/>
      <c r="AT112" s="181"/>
      <c r="AU112" s="181"/>
      <c r="AV112" s="181"/>
      <c r="AW112" s="181"/>
      <c r="AX112" s="181"/>
      <c r="AY112" s="181"/>
      <c r="AZ112" s="181"/>
      <c r="BA112" s="181"/>
      <c r="BB112" s="181"/>
      <c r="BC112" s="181"/>
      <c r="BD112" s="181"/>
      <c r="BE112" s="181"/>
      <c r="BF112" s="181"/>
    </row>
    <row r="113" spans="1:58" s="23" customFormat="1" ht="27" customHeight="1" x14ac:dyDescent="0.3">
      <c r="A113" s="28"/>
      <c r="B113" s="28"/>
      <c r="E113" s="175"/>
      <c r="G113" s="177"/>
      <c r="H113" s="177"/>
      <c r="I113" s="177"/>
      <c r="K113" s="190"/>
      <c r="N113" s="110"/>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88CD-BF8A-4A8C-90DF-C7457CF0DFFE}">
  <sheetPr>
    <tabColor rgb="FF00B050"/>
  </sheetPr>
  <dimension ref="A1:P320"/>
  <sheetViews>
    <sheetView topLeftCell="D174" zoomScaleNormal="100" workbookViewId="0">
      <selection activeCell="G180" sqref="G180"/>
    </sheetView>
  </sheetViews>
  <sheetFormatPr defaultRowHeight="14.4" x14ac:dyDescent="0.3"/>
  <cols>
    <col min="1" max="1" width="7.33203125" customWidth="1"/>
    <col min="2" max="2" width="4" customWidth="1"/>
    <col min="3" max="3" width="60.44140625" style="194" customWidth="1"/>
    <col min="4" max="4" width="5.109375" customWidth="1"/>
    <col min="5" max="5" width="60.44140625" style="194" customWidth="1"/>
    <col min="6" max="6" width="5.109375" customWidth="1"/>
    <col min="7" max="7" width="84.5546875" style="194" customWidth="1"/>
    <col min="8" max="8" width="5.109375" customWidth="1"/>
    <col min="9" max="9" width="6" bestFit="1" customWidth="1"/>
    <col min="10" max="10" width="8.5546875" bestFit="1" customWidth="1"/>
    <col min="11" max="11" width="8.5546875" customWidth="1"/>
    <col min="12" max="12" width="22.88671875" bestFit="1" customWidth="1"/>
    <col min="13" max="14" width="7.33203125" customWidth="1"/>
    <col min="15" max="15" width="5.109375" hidden="1" customWidth="1"/>
    <col min="16" max="16" width="5.109375" customWidth="1"/>
  </cols>
  <sheetData>
    <row r="1" spans="1:16" s="169" customFormat="1" ht="13.8" x14ac:dyDescent="0.25">
      <c r="A1" s="169" t="s">
        <v>26224</v>
      </c>
      <c r="B1" s="23" t="s">
        <v>26044</v>
      </c>
      <c r="C1" s="216" t="s">
        <v>26226</v>
      </c>
      <c r="D1" s="23" t="s">
        <v>26227</v>
      </c>
      <c r="E1" s="217" t="s">
        <v>16737</v>
      </c>
      <c r="F1" s="23" t="s">
        <v>26228</v>
      </c>
      <c r="G1" s="218" t="s">
        <v>26229</v>
      </c>
      <c r="H1" s="23" t="s">
        <v>26230</v>
      </c>
      <c r="I1" s="23" t="s">
        <v>25891</v>
      </c>
      <c r="J1" s="23" t="s">
        <v>26584</v>
      </c>
      <c r="K1" s="23" t="s">
        <v>26704</v>
      </c>
      <c r="L1" s="23" t="s">
        <v>26702</v>
      </c>
      <c r="M1" s="23" t="s">
        <v>26581</v>
      </c>
      <c r="N1" s="23" t="s">
        <v>26580</v>
      </c>
      <c r="O1" s="196" t="s">
        <v>25887</v>
      </c>
      <c r="P1" s="174"/>
    </row>
    <row r="2" spans="1:16" ht="57.6" x14ac:dyDescent="0.3">
      <c r="A2" t="s">
        <v>14</v>
      </c>
      <c r="B2" t="s">
        <v>25894</v>
      </c>
      <c r="C2" s="194" t="s">
        <v>347</v>
      </c>
      <c r="D2" t="s">
        <v>25894</v>
      </c>
      <c r="E2" s="194" t="s">
        <v>347</v>
      </c>
      <c r="F2" t="s">
        <v>25894</v>
      </c>
      <c r="G2" s="194" t="s">
        <v>26646</v>
      </c>
      <c r="H2" t="s">
        <v>25894</v>
      </c>
      <c r="I2">
        <v>33</v>
      </c>
      <c r="J2" s="197" t="s">
        <v>26585</v>
      </c>
      <c r="K2" t="s">
        <v>25894</v>
      </c>
      <c r="L2" s="197" t="s">
        <v>26703</v>
      </c>
      <c r="M2" s="198" t="s">
        <v>25896</v>
      </c>
      <c r="N2" s="197" t="s">
        <v>25897</v>
      </c>
      <c r="O2" s="195">
        <v>0.51</v>
      </c>
    </row>
    <row r="3" spans="1:16" ht="43.2" x14ac:dyDescent="0.3">
      <c r="A3" t="s">
        <v>15</v>
      </c>
      <c r="B3" t="s">
        <v>25894</v>
      </c>
      <c r="C3" s="194" t="s">
        <v>16763</v>
      </c>
      <c r="D3" t="s">
        <v>25894</v>
      </c>
      <c r="E3" s="194" t="s">
        <v>348</v>
      </c>
      <c r="F3" t="s">
        <v>25894</v>
      </c>
      <c r="G3" s="194" t="s">
        <v>26241</v>
      </c>
      <c r="H3" t="s">
        <v>25894</v>
      </c>
      <c r="I3">
        <v>19</v>
      </c>
      <c r="J3" s="197" t="s">
        <v>26591</v>
      </c>
      <c r="K3" t="s">
        <v>25894</v>
      </c>
      <c r="L3" s="197" t="s">
        <v>26703</v>
      </c>
      <c r="M3" s="198" t="s">
        <v>25896</v>
      </c>
      <c r="N3" s="197" t="s">
        <v>25897</v>
      </c>
      <c r="O3" s="195">
        <v>0.28999999999999998</v>
      </c>
    </row>
    <row r="4" spans="1:16" ht="43.2" x14ac:dyDescent="0.3">
      <c r="A4" t="s">
        <v>16</v>
      </c>
      <c r="B4" t="s">
        <v>25894</v>
      </c>
      <c r="C4" s="194" t="s">
        <v>16773</v>
      </c>
      <c r="D4" t="s">
        <v>25894</v>
      </c>
      <c r="E4" s="194" t="s">
        <v>349</v>
      </c>
      <c r="F4" t="s">
        <v>25894</v>
      </c>
      <c r="G4" s="194" t="s">
        <v>26234</v>
      </c>
      <c r="H4" t="s">
        <v>25894</v>
      </c>
      <c r="I4">
        <v>27</v>
      </c>
      <c r="J4" s="197" t="s">
        <v>26587</v>
      </c>
      <c r="K4" t="s">
        <v>25894</v>
      </c>
      <c r="L4" s="197" t="s">
        <v>26703</v>
      </c>
      <c r="M4" s="198" t="s">
        <v>25896</v>
      </c>
      <c r="N4" s="197" t="s">
        <v>25897</v>
      </c>
      <c r="O4" s="195">
        <v>0.42</v>
      </c>
    </row>
    <row r="5" spans="1:16" ht="57.6" x14ac:dyDescent="0.3">
      <c r="A5" t="s">
        <v>17</v>
      </c>
      <c r="B5" t="s">
        <v>25894</v>
      </c>
      <c r="C5" s="194" t="s">
        <v>16783</v>
      </c>
      <c r="D5" t="s">
        <v>25894</v>
      </c>
      <c r="E5" s="194" t="s">
        <v>26642</v>
      </c>
      <c r="F5" t="s">
        <v>25894</v>
      </c>
      <c r="G5" s="194" t="s">
        <v>26643</v>
      </c>
      <c r="H5" t="s">
        <v>25894</v>
      </c>
      <c r="I5">
        <v>22</v>
      </c>
      <c r="J5" s="197" t="s">
        <v>26589</v>
      </c>
      <c r="K5" t="s">
        <v>25894</v>
      </c>
      <c r="L5" s="197" t="s">
        <v>26703</v>
      </c>
      <c r="M5" s="198" t="s">
        <v>25896</v>
      </c>
      <c r="N5" s="197" t="s">
        <v>25897</v>
      </c>
      <c r="O5" s="195">
        <v>0.34</v>
      </c>
    </row>
    <row r="6" spans="1:16" ht="43.2" x14ac:dyDescent="0.3">
      <c r="A6" t="s">
        <v>18</v>
      </c>
      <c r="B6" t="s">
        <v>25894</v>
      </c>
      <c r="C6" s="194" t="s">
        <v>16792</v>
      </c>
      <c r="D6" t="s">
        <v>25894</v>
      </c>
      <c r="E6" s="194" t="s">
        <v>351</v>
      </c>
      <c r="F6" t="s">
        <v>25894</v>
      </c>
      <c r="G6" s="194" t="s">
        <v>26319</v>
      </c>
      <c r="H6" t="s">
        <v>25894</v>
      </c>
      <c r="I6">
        <v>2</v>
      </c>
      <c r="J6" s="197" t="s">
        <v>26603</v>
      </c>
      <c r="K6" t="s">
        <v>25894</v>
      </c>
      <c r="L6" s="197" t="s">
        <v>26703</v>
      </c>
      <c r="M6" s="198" t="s">
        <v>25896</v>
      </c>
      <c r="N6" s="197" t="s">
        <v>25897</v>
      </c>
      <c r="O6" s="195">
        <v>0.03</v>
      </c>
    </row>
    <row r="7" spans="1:16" ht="57.6" x14ac:dyDescent="0.3">
      <c r="A7" t="s">
        <v>19</v>
      </c>
      <c r="B7" t="s">
        <v>25894</v>
      </c>
      <c r="C7" s="194" t="s">
        <v>16795</v>
      </c>
      <c r="D7" t="s">
        <v>25894</v>
      </c>
      <c r="E7" s="194" t="s">
        <v>352</v>
      </c>
      <c r="F7" t="s">
        <v>25894</v>
      </c>
      <c r="G7" s="194" t="s">
        <v>26613</v>
      </c>
      <c r="H7" t="s">
        <v>25894</v>
      </c>
      <c r="I7">
        <v>5</v>
      </c>
      <c r="J7" s="197" t="s">
        <v>26600</v>
      </c>
      <c r="K7" t="s">
        <v>25894</v>
      </c>
      <c r="L7" s="197" t="s">
        <v>26703</v>
      </c>
      <c r="M7" s="198" t="s">
        <v>25896</v>
      </c>
      <c r="N7" s="197" t="s">
        <v>25897</v>
      </c>
      <c r="O7" s="195">
        <v>0.08</v>
      </c>
    </row>
    <row r="8" spans="1:16" ht="43.2" x14ac:dyDescent="0.3">
      <c r="A8" t="s">
        <v>20</v>
      </c>
      <c r="B8" t="s">
        <v>25894</v>
      </c>
      <c r="C8" s="194" t="s">
        <v>16800</v>
      </c>
      <c r="D8" t="s">
        <v>25894</v>
      </c>
      <c r="E8" s="194" t="s">
        <v>353</v>
      </c>
      <c r="F8" t="s">
        <v>25894</v>
      </c>
      <c r="G8" s="194" t="s">
        <v>26236</v>
      </c>
      <c r="H8" t="s">
        <v>25894</v>
      </c>
      <c r="I8">
        <v>28</v>
      </c>
      <c r="J8" s="197" t="s">
        <v>26586</v>
      </c>
      <c r="K8" t="s">
        <v>25894</v>
      </c>
      <c r="L8" s="197" t="s">
        <v>26703</v>
      </c>
      <c r="M8" s="198" t="s">
        <v>25896</v>
      </c>
      <c r="N8" s="197" t="s">
        <v>25897</v>
      </c>
      <c r="O8" s="195">
        <v>0.43</v>
      </c>
    </row>
    <row r="9" spans="1:16" ht="57.6" x14ac:dyDescent="0.3">
      <c r="A9" t="s">
        <v>21</v>
      </c>
      <c r="B9" t="s">
        <v>25894</v>
      </c>
      <c r="C9" s="194" t="s">
        <v>16811</v>
      </c>
      <c r="D9" t="s">
        <v>25894</v>
      </c>
      <c r="E9" s="194" t="s">
        <v>354</v>
      </c>
      <c r="F9" t="s">
        <v>25894</v>
      </c>
      <c r="G9" s="194" t="s">
        <v>26249</v>
      </c>
      <c r="H9" t="s">
        <v>25894</v>
      </c>
      <c r="I9">
        <v>14</v>
      </c>
      <c r="J9" s="197" t="s">
        <v>26593</v>
      </c>
      <c r="K9" t="s">
        <v>25894</v>
      </c>
      <c r="L9" s="197" t="s">
        <v>26703</v>
      </c>
      <c r="M9" s="198" t="s">
        <v>25896</v>
      </c>
      <c r="N9" s="197" t="s">
        <v>25897</v>
      </c>
      <c r="O9" s="195">
        <v>0.22</v>
      </c>
    </row>
    <row r="10" spans="1:16" ht="43.2" x14ac:dyDescent="0.3">
      <c r="A10" t="s">
        <v>22</v>
      </c>
      <c r="B10" t="s">
        <v>25894</v>
      </c>
      <c r="C10" s="194" t="s">
        <v>16816</v>
      </c>
      <c r="D10" t="s">
        <v>25894</v>
      </c>
      <c r="E10" s="194" t="s">
        <v>26706</v>
      </c>
      <c r="F10" t="s">
        <v>25894</v>
      </c>
      <c r="G10" s="194" t="s">
        <v>26279</v>
      </c>
      <c r="H10" t="s">
        <v>25894</v>
      </c>
      <c r="I10">
        <v>10</v>
      </c>
      <c r="J10" s="197" t="s">
        <v>26595</v>
      </c>
      <c r="K10" t="s">
        <v>25894</v>
      </c>
      <c r="L10" s="197" t="s">
        <v>26703</v>
      </c>
      <c r="M10" s="198" t="s">
        <v>25896</v>
      </c>
      <c r="N10" s="197" t="s">
        <v>25897</v>
      </c>
      <c r="O10" s="195">
        <v>0.15</v>
      </c>
    </row>
    <row r="11" spans="1:16" ht="72" x14ac:dyDescent="0.3">
      <c r="A11" t="s">
        <v>23</v>
      </c>
      <c r="B11" t="s">
        <v>25894</v>
      </c>
      <c r="C11" s="194" t="s">
        <v>16821</v>
      </c>
      <c r="D11" t="s">
        <v>25894</v>
      </c>
      <c r="E11" s="194" t="s">
        <v>356</v>
      </c>
      <c r="F11" t="s">
        <v>25894</v>
      </c>
      <c r="G11" s="194" t="s">
        <v>26252</v>
      </c>
      <c r="H11" t="s">
        <v>25894</v>
      </c>
      <c r="I11">
        <v>14</v>
      </c>
      <c r="J11" s="197" t="s">
        <v>26593</v>
      </c>
      <c r="K11" t="s">
        <v>25894</v>
      </c>
      <c r="L11" s="197" t="s">
        <v>26703</v>
      </c>
      <c r="M11" s="198" t="s">
        <v>25896</v>
      </c>
      <c r="N11" s="197" t="s">
        <v>25897</v>
      </c>
      <c r="O11" s="195">
        <v>0.22</v>
      </c>
    </row>
    <row r="12" spans="1:16" ht="57.6" x14ac:dyDescent="0.3">
      <c r="A12" t="s">
        <v>24</v>
      </c>
      <c r="B12" t="s">
        <v>25894</v>
      </c>
      <c r="C12" s="194" t="s">
        <v>16826</v>
      </c>
      <c r="D12" t="s">
        <v>25894</v>
      </c>
      <c r="E12" s="194" t="s">
        <v>357</v>
      </c>
      <c r="F12" t="s">
        <v>25894</v>
      </c>
      <c r="G12" s="194" t="s">
        <v>26290</v>
      </c>
      <c r="H12" t="s">
        <v>25894</v>
      </c>
      <c r="I12">
        <v>5</v>
      </c>
      <c r="J12" s="197" t="s">
        <v>26600</v>
      </c>
      <c r="K12" t="s">
        <v>25894</v>
      </c>
      <c r="L12" s="197" t="s">
        <v>26703</v>
      </c>
      <c r="M12" s="198" t="s">
        <v>25896</v>
      </c>
      <c r="N12" s="197" t="s">
        <v>25897</v>
      </c>
      <c r="O12" s="195">
        <v>0.08</v>
      </c>
    </row>
    <row r="13" spans="1:16" ht="43.2" x14ac:dyDescent="0.3">
      <c r="A13" t="s">
        <v>25</v>
      </c>
      <c r="B13" t="s">
        <v>25894</v>
      </c>
      <c r="C13" s="194" t="s">
        <v>16831</v>
      </c>
      <c r="D13" t="s">
        <v>25894</v>
      </c>
      <c r="E13" s="194" t="s">
        <v>358</v>
      </c>
      <c r="F13" t="s">
        <v>25894</v>
      </c>
      <c r="G13" s="194" t="s">
        <v>26582</v>
      </c>
      <c r="H13" t="s">
        <v>25894</v>
      </c>
      <c r="I13">
        <v>16</v>
      </c>
      <c r="J13" s="197" t="s">
        <v>26592</v>
      </c>
      <c r="K13" t="s">
        <v>25894</v>
      </c>
      <c r="L13" s="197" t="s">
        <v>26703</v>
      </c>
      <c r="M13" s="198" t="s">
        <v>25896</v>
      </c>
      <c r="N13" s="197" t="s">
        <v>25897</v>
      </c>
      <c r="O13" s="195">
        <v>0.25</v>
      </c>
    </row>
    <row r="14" spans="1:16" ht="43.2" x14ac:dyDescent="0.3">
      <c r="A14" t="s">
        <v>26</v>
      </c>
      <c r="B14" t="s">
        <v>25894</v>
      </c>
      <c r="C14" s="194" t="s">
        <v>16838</v>
      </c>
      <c r="D14" t="s">
        <v>25894</v>
      </c>
      <c r="E14" s="194" t="s">
        <v>16839</v>
      </c>
      <c r="F14" t="s">
        <v>25894</v>
      </c>
      <c r="G14" s="194" t="s">
        <v>26321</v>
      </c>
      <c r="H14" t="s">
        <v>25894</v>
      </c>
      <c r="I14">
        <v>2</v>
      </c>
      <c r="J14" s="197" t="s">
        <v>26603</v>
      </c>
      <c r="K14" t="s">
        <v>25894</v>
      </c>
      <c r="L14" s="197" t="s">
        <v>26703</v>
      </c>
      <c r="M14" s="198" t="s">
        <v>25896</v>
      </c>
      <c r="N14" s="197" t="s">
        <v>25897</v>
      </c>
      <c r="O14" s="195">
        <v>0.03</v>
      </c>
    </row>
    <row r="15" spans="1:16" ht="43.2" x14ac:dyDescent="0.3">
      <c r="A15" t="s">
        <v>27</v>
      </c>
      <c r="B15" t="s">
        <v>25894</v>
      </c>
      <c r="C15" s="194" t="s">
        <v>360</v>
      </c>
      <c r="D15" t="s">
        <v>25894</v>
      </c>
      <c r="E15" s="194" t="s">
        <v>360</v>
      </c>
      <c r="F15" t="s">
        <v>25894</v>
      </c>
      <c r="G15" s="194" t="s">
        <v>26322</v>
      </c>
      <c r="H15" t="s">
        <v>25894</v>
      </c>
      <c r="I15">
        <v>2</v>
      </c>
      <c r="J15" s="197" t="s">
        <v>26603</v>
      </c>
      <c r="K15" t="s">
        <v>25894</v>
      </c>
      <c r="L15" s="197" t="s">
        <v>26703</v>
      </c>
      <c r="M15" s="198" t="s">
        <v>25896</v>
      </c>
      <c r="N15" s="197" t="s">
        <v>25897</v>
      </c>
      <c r="O15" s="195">
        <v>0.03</v>
      </c>
    </row>
    <row r="16" spans="1:16" ht="57.6" x14ac:dyDescent="0.3">
      <c r="A16" t="s">
        <v>28</v>
      </c>
      <c r="B16" t="s">
        <v>25894</v>
      </c>
      <c r="C16" s="194" t="s">
        <v>16844</v>
      </c>
      <c r="D16" t="s">
        <v>25894</v>
      </c>
      <c r="E16" s="194" t="s">
        <v>361</v>
      </c>
      <c r="F16" t="s">
        <v>25894</v>
      </c>
      <c r="G16" s="194" t="s">
        <v>26615</v>
      </c>
      <c r="H16" t="s">
        <v>25894</v>
      </c>
      <c r="I16">
        <v>1</v>
      </c>
      <c r="J16" s="197" t="s">
        <v>26604</v>
      </c>
      <c r="K16" t="s">
        <v>25894</v>
      </c>
      <c r="L16" s="197" t="s">
        <v>26703</v>
      </c>
      <c r="M16" s="198" t="s">
        <v>25896</v>
      </c>
      <c r="N16" s="197" t="s">
        <v>25897</v>
      </c>
      <c r="O16" s="195">
        <v>0.02</v>
      </c>
    </row>
    <row r="17" spans="1:15" ht="43.2" x14ac:dyDescent="0.3">
      <c r="A17" t="s">
        <v>29</v>
      </c>
      <c r="B17" t="s">
        <v>25894</v>
      </c>
      <c r="C17" s="194" t="s">
        <v>16847</v>
      </c>
      <c r="D17" t="s">
        <v>25894</v>
      </c>
      <c r="E17" s="194" t="s">
        <v>362</v>
      </c>
      <c r="F17" t="s">
        <v>25894</v>
      </c>
      <c r="G17" s="194" t="s">
        <v>26323</v>
      </c>
      <c r="H17" t="s">
        <v>25894</v>
      </c>
      <c r="I17">
        <v>20</v>
      </c>
      <c r="J17" s="197" t="s">
        <v>26590</v>
      </c>
      <c r="K17" t="s">
        <v>25894</v>
      </c>
      <c r="L17" s="197" t="s">
        <v>26703</v>
      </c>
      <c r="M17" s="198" t="s">
        <v>25896</v>
      </c>
      <c r="N17" s="197" t="s">
        <v>25897</v>
      </c>
      <c r="O17" s="195">
        <v>0.31</v>
      </c>
    </row>
    <row r="18" spans="1:15" ht="72" x14ac:dyDescent="0.3">
      <c r="A18" t="s">
        <v>30</v>
      </c>
      <c r="B18" t="s">
        <v>25894</v>
      </c>
      <c r="C18" s="194" t="s">
        <v>16853</v>
      </c>
      <c r="D18" t="s">
        <v>25894</v>
      </c>
      <c r="E18" s="194" t="s">
        <v>363</v>
      </c>
      <c r="F18" t="s">
        <v>25894</v>
      </c>
      <c r="G18" s="194" t="s">
        <v>26238</v>
      </c>
      <c r="H18" t="s">
        <v>25894</v>
      </c>
      <c r="I18">
        <v>26</v>
      </c>
      <c r="J18" s="197" t="s">
        <v>26588</v>
      </c>
      <c r="K18" t="s">
        <v>25894</v>
      </c>
      <c r="L18" s="197" t="s">
        <v>26703</v>
      </c>
      <c r="M18" s="198" t="s">
        <v>25896</v>
      </c>
      <c r="N18" s="197" t="s">
        <v>25897</v>
      </c>
      <c r="O18" s="195">
        <v>0.4</v>
      </c>
    </row>
    <row r="19" spans="1:15" ht="43.2" x14ac:dyDescent="0.3">
      <c r="A19" t="s">
        <v>31</v>
      </c>
      <c r="B19" t="s">
        <v>25894</v>
      </c>
      <c r="C19" s="194" t="s">
        <v>26023</v>
      </c>
      <c r="D19" t="s">
        <v>25894</v>
      </c>
      <c r="E19" s="194" t="s">
        <v>364</v>
      </c>
      <c r="F19" t="s">
        <v>25894</v>
      </c>
      <c r="G19" s="194" t="s">
        <v>26293</v>
      </c>
      <c r="H19" t="s">
        <v>25894</v>
      </c>
      <c r="I19">
        <v>6</v>
      </c>
      <c r="J19" s="197" t="s">
        <v>26599</v>
      </c>
      <c r="K19" t="s">
        <v>25894</v>
      </c>
      <c r="L19" s="197" t="s">
        <v>26703</v>
      </c>
      <c r="M19" s="198" t="s">
        <v>25896</v>
      </c>
      <c r="N19" s="197" t="s">
        <v>25897</v>
      </c>
      <c r="O19" s="195">
        <v>0.09</v>
      </c>
    </row>
    <row r="20" spans="1:15" ht="57.6" x14ac:dyDescent="0.3">
      <c r="A20" t="s">
        <v>32</v>
      </c>
      <c r="B20" t="s">
        <v>25894</v>
      </c>
      <c r="C20" s="194" t="s">
        <v>16864</v>
      </c>
      <c r="D20" t="s">
        <v>25894</v>
      </c>
      <c r="E20" s="194" t="s">
        <v>365</v>
      </c>
      <c r="F20" t="s">
        <v>25894</v>
      </c>
      <c r="G20" s="194" t="s">
        <v>26255</v>
      </c>
      <c r="H20" t="s">
        <v>25894</v>
      </c>
      <c r="I20">
        <v>10</v>
      </c>
      <c r="J20" s="197" t="s">
        <v>26595</v>
      </c>
      <c r="K20" t="s">
        <v>25894</v>
      </c>
      <c r="L20" s="197" t="s">
        <v>26703</v>
      </c>
      <c r="M20" s="198" t="s">
        <v>25896</v>
      </c>
      <c r="N20" s="197" t="s">
        <v>25897</v>
      </c>
      <c r="O20" s="195">
        <v>0.15</v>
      </c>
    </row>
    <row r="21" spans="1:15" ht="57.6" x14ac:dyDescent="0.3">
      <c r="A21" t="s">
        <v>33</v>
      </c>
      <c r="B21" t="s">
        <v>25894</v>
      </c>
      <c r="C21" s="194" t="s">
        <v>16870</v>
      </c>
      <c r="D21" t="s">
        <v>25894</v>
      </c>
      <c r="E21" s="194" t="s">
        <v>366</v>
      </c>
      <c r="F21" t="s">
        <v>25894</v>
      </c>
      <c r="G21" s="194" t="s">
        <v>26324</v>
      </c>
      <c r="H21" t="s">
        <v>25894</v>
      </c>
      <c r="I21">
        <v>4</v>
      </c>
      <c r="J21" s="197" t="s">
        <v>26601</v>
      </c>
      <c r="K21" t="s">
        <v>25894</v>
      </c>
      <c r="L21" s="197" t="s">
        <v>26703</v>
      </c>
      <c r="M21" s="198" t="s">
        <v>25896</v>
      </c>
      <c r="N21" s="197" t="s">
        <v>25897</v>
      </c>
      <c r="O21" s="195">
        <v>0.06</v>
      </c>
    </row>
    <row r="22" spans="1:15" ht="57.6" x14ac:dyDescent="0.3">
      <c r="A22" t="s">
        <v>34</v>
      </c>
      <c r="B22" t="s">
        <v>25894</v>
      </c>
      <c r="C22" s="194" t="s">
        <v>16873</v>
      </c>
      <c r="D22" t="s">
        <v>25894</v>
      </c>
      <c r="E22" s="194" t="s">
        <v>16874</v>
      </c>
      <c r="F22" t="s">
        <v>25894</v>
      </c>
      <c r="G22" s="194" t="s">
        <v>26245</v>
      </c>
      <c r="H22" t="s">
        <v>25894</v>
      </c>
      <c r="I22">
        <v>19</v>
      </c>
      <c r="J22" s="197" t="s">
        <v>26591</v>
      </c>
      <c r="K22" t="s">
        <v>25894</v>
      </c>
      <c r="L22" s="197" t="s">
        <v>26703</v>
      </c>
      <c r="M22" s="198" t="s">
        <v>25896</v>
      </c>
      <c r="N22" s="197" t="s">
        <v>25897</v>
      </c>
      <c r="O22" s="195">
        <v>0.28999999999999998</v>
      </c>
    </row>
    <row r="23" spans="1:15" ht="57.6" x14ac:dyDescent="0.3">
      <c r="A23" t="s">
        <v>35</v>
      </c>
      <c r="B23" t="s">
        <v>25894</v>
      </c>
      <c r="C23" s="194" t="s">
        <v>368</v>
      </c>
      <c r="D23" t="s">
        <v>25894</v>
      </c>
      <c r="E23" s="194" t="s">
        <v>368</v>
      </c>
      <c r="F23" t="s">
        <v>25894</v>
      </c>
      <c r="G23" s="194" t="s">
        <v>26280</v>
      </c>
      <c r="H23" t="s">
        <v>25894</v>
      </c>
      <c r="I23">
        <v>6</v>
      </c>
      <c r="J23" s="197" t="s">
        <v>26599</v>
      </c>
      <c r="K23" t="s">
        <v>25894</v>
      </c>
      <c r="L23" s="197" t="s">
        <v>26703</v>
      </c>
      <c r="M23" s="198" t="s">
        <v>25896</v>
      </c>
      <c r="N23" s="197" t="s">
        <v>25897</v>
      </c>
      <c r="O23" s="195">
        <v>0.09</v>
      </c>
    </row>
    <row r="24" spans="1:15" ht="57.6" x14ac:dyDescent="0.3">
      <c r="A24" t="s">
        <v>36</v>
      </c>
      <c r="B24" t="s">
        <v>25894</v>
      </c>
      <c r="C24" s="194" t="s">
        <v>16884</v>
      </c>
      <c r="D24" t="s">
        <v>25894</v>
      </c>
      <c r="E24" s="194" t="s">
        <v>369</v>
      </c>
      <c r="F24" t="s">
        <v>25894</v>
      </c>
      <c r="G24" s="194" t="s">
        <v>26254</v>
      </c>
      <c r="H24" t="s">
        <v>25894</v>
      </c>
      <c r="I24">
        <v>12</v>
      </c>
      <c r="J24" s="197" t="s">
        <v>26594</v>
      </c>
      <c r="K24" t="s">
        <v>25894</v>
      </c>
      <c r="L24" s="197" t="s">
        <v>26703</v>
      </c>
      <c r="M24" s="198" t="s">
        <v>25896</v>
      </c>
      <c r="N24" s="197" t="s">
        <v>25897</v>
      </c>
      <c r="O24" s="195">
        <v>0.18</v>
      </c>
    </row>
    <row r="25" spans="1:15" ht="43.2" x14ac:dyDescent="0.3">
      <c r="A25" t="s">
        <v>37</v>
      </c>
      <c r="B25" t="s">
        <v>25894</v>
      </c>
      <c r="C25" s="194" t="s">
        <v>16889</v>
      </c>
      <c r="D25" t="s">
        <v>25894</v>
      </c>
      <c r="E25" s="194" t="s">
        <v>370</v>
      </c>
      <c r="F25" t="s">
        <v>25894</v>
      </c>
      <c r="G25" s="194" t="s">
        <v>26325</v>
      </c>
      <c r="H25" t="s">
        <v>25894</v>
      </c>
      <c r="I25">
        <v>3</v>
      </c>
      <c r="J25" s="197" t="s">
        <v>26602</v>
      </c>
      <c r="K25" t="s">
        <v>25894</v>
      </c>
      <c r="L25" s="197" t="s">
        <v>26703</v>
      </c>
      <c r="M25" s="198" t="s">
        <v>25896</v>
      </c>
      <c r="N25" s="197" t="s">
        <v>25897</v>
      </c>
      <c r="O25" s="195">
        <v>0.05</v>
      </c>
    </row>
    <row r="26" spans="1:15" ht="57.6" x14ac:dyDescent="0.3">
      <c r="A26" t="s">
        <v>38</v>
      </c>
      <c r="B26" t="s">
        <v>25894</v>
      </c>
      <c r="C26" s="194" t="s">
        <v>371</v>
      </c>
      <c r="D26" t="s">
        <v>25894</v>
      </c>
      <c r="E26" s="194" t="s">
        <v>371</v>
      </c>
      <c r="F26" t="s">
        <v>25894</v>
      </c>
      <c r="G26" s="194" t="s">
        <v>26268</v>
      </c>
      <c r="H26" t="s">
        <v>25894</v>
      </c>
      <c r="I26">
        <v>6</v>
      </c>
      <c r="J26" s="197" t="s">
        <v>26599</v>
      </c>
      <c r="K26" t="s">
        <v>25894</v>
      </c>
      <c r="L26" s="197" t="s">
        <v>26703</v>
      </c>
      <c r="M26" s="198" t="s">
        <v>25896</v>
      </c>
      <c r="N26" s="197" t="s">
        <v>25897</v>
      </c>
      <c r="O26" s="195">
        <v>0.09</v>
      </c>
    </row>
    <row r="27" spans="1:15" ht="43.2" x14ac:dyDescent="0.3">
      <c r="A27" t="s">
        <v>39</v>
      </c>
      <c r="B27" t="s">
        <v>25894</v>
      </c>
      <c r="C27" s="194" t="s">
        <v>16897</v>
      </c>
      <c r="D27" t="s">
        <v>25894</v>
      </c>
      <c r="E27" s="194" t="s">
        <v>372</v>
      </c>
      <c r="F27" t="s">
        <v>25894</v>
      </c>
      <c r="G27" s="194" t="s">
        <v>26612</v>
      </c>
      <c r="H27" t="s">
        <v>25894</v>
      </c>
      <c r="I27">
        <v>6</v>
      </c>
      <c r="J27" s="197" t="s">
        <v>26599</v>
      </c>
      <c r="K27" t="s">
        <v>25894</v>
      </c>
      <c r="L27" s="197" t="s">
        <v>26703</v>
      </c>
      <c r="M27" s="198" t="s">
        <v>25896</v>
      </c>
      <c r="N27" s="197" t="s">
        <v>25897</v>
      </c>
      <c r="O27" s="195">
        <v>0.09</v>
      </c>
    </row>
    <row r="28" spans="1:15" ht="31.95" customHeight="1" x14ac:dyDescent="0.3">
      <c r="A28" t="s">
        <v>40</v>
      </c>
      <c r="B28" t="s">
        <v>25894</v>
      </c>
      <c r="C28" s="194" t="s">
        <v>16898</v>
      </c>
      <c r="D28" t="s">
        <v>25894</v>
      </c>
      <c r="E28" s="194" t="s">
        <v>373</v>
      </c>
      <c r="F28" t="s">
        <v>25894</v>
      </c>
      <c r="G28" s="194" t="s">
        <v>26326</v>
      </c>
      <c r="H28" t="s">
        <v>25894</v>
      </c>
      <c r="I28">
        <v>4</v>
      </c>
      <c r="J28" s="197" t="s">
        <v>26601</v>
      </c>
      <c r="K28" t="s">
        <v>25894</v>
      </c>
      <c r="L28" s="197" t="s">
        <v>26703</v>
      </c>
      <c r="M28" s="198" t="s">
        <v>25896</v>
      </c>
      <c r="N28" s="197" t="s">
        <v>25897</v>
      </c>
      <c r="O28" s="195">
        <v>0.06</v>
      </c>
    </row>
    <row r="29" spans="1:15" ht="43.2" x14ac:dyDescent="0.3">
      <c r="A29" t="s">
        <v>41</v>
      </c>
      <c r="B29" t="s">
        <v>25894</v>
      </c>
      <c r="C29" s="194" t="s">
        <v>374</v>
      </c>
      <c r="D29" t="s">
        <v>25894</v>
      </c>
      <c r="E29" s="194" t="s">
        <v>374</v>
      </c>
      <c r="F29" t="s">
        <v>25894</v>
      </c>
      <c r="G29" s="194" t="s">
        <v>26328</v>
      </c>
      <c r="H29" t="s">
        <v>25894</v>
      </c>
      <c r="I29">
        <v>1</v>
      </c>
      <c r="J29" s="197" t="s">
        <v>26604</v>
      </c>
      <c r="K29" t="s">
        <v>25894</v>
      </c>
      <c r="L29" s="197" t="s">
        <v>26703</v>
      </c>
      <c r="M29" s="198" t="s">
        <v>25896</v>
      </c>
      <c r="N29" s="197" t="s">
        <v>25897</v>
      </c>
      <c r="O29" s="195">
        <v>0.02</v>
      </c>
    </row>
    <row r="30" spans="1:15" ht="28.8" x14ac:dyDescent="0.3">
      <c r="A30" t="s">
        <v>42</v>
      </c>
      <c r="B30" t="s">
        <v>25894</v>
      </c>
      <c r="C30" s="194" t="s">
        <v>375</v>
      </c>
      <c r="D30" t="s">
        <v>25894</v>
      </c>
      <c r="E30" s="194" t="s">
        <v>375</v>
      </c>
      <c r="F30" t="s">
        <v>25894</v>
      </c>
      <c r="G30" s="194" t="s">
        <v>26331</v>
      </c>
      <c r="H30" t="s">
        <v>25894</v>
      </c>
      <c r="I30">
        <v>3</v>
      </c>
      <c r="J30" s="197" t="s">
        <v>26602</v>
      </c>
      <c r="K30" t="s">
        <v>25894</v>
      </c>
      <c r="L30" s="197" t="s">
        <v>26703</v>
      </c>
      <c r="M30" s="198" t="s">
        <v>25896</v>
      </c>
      <c r="N30" s="197" t="s">
        <v>25897</v>
      </c>
      <c r="O30" s="195">
        <v>0.05</v>
      </c>
    </row>
    <row r="31" spans="1:15" ht="28.8" x14ac:dyDescent="0.3">
      <c r="A31" t="s">
        <v>43</v>
      </c>
      <c r="B31" t="s">
        <v>25894</v>
      </c>
      <c r="C31" s="194" t="s">
        <v>16904</v>
      </c>
      <c r="D31" t="s">
        <v>25894</v>
      </c>
      <c r="E31" s="194" t="s">
        <v>376</v>
      </c>
      <c r="F31" t="s">
        <v>25894</v>
      </c>
      <c r="G31" s="194" t="s">
        <v>26332</v>
      </c>
      <c r="H31" t="s">
        <v>25894</v>
      </c>
      <c r="I31">
        <v>2</v>
      </c>
      <c r="J31" s="197" t="s">
        <v>26603</v>
      </c>
      <c r="K31" t="s">
        <v>25894</v>
      </c>
      <c r="L31" s="197" t="s">
        <v>26703</v>
      </c>
      <c r="M31" s="198" t="s">
        <v>25896</v>
      </c>
      <c r="N31" s="197" t="s">
        <v>25897</v>
      </c>
      <c r="O31" s="195">
        <v>0.03</v>
      </c>
    </row>
    <row r="32" spans="1:15" ht="28.8" x14ac:dyDescent="0.3">
      <c r="A32" t="s">
        <v>44</v>
      </c>
      <c r="B32" t="s">
        <v>25894</v>
      </c>
      <c r="C32" s="194" t="s">
        <v>16905</v>
      </c>
      <c r="D32" t="s">
        <v>25894</v>
      </c>
      <c r="E32" s="194" t="s">
        <v>377</v>
      </c>
      <c r="F32" t="s">
        <v>25894</v>
      </c>
      <c r="G32" s="194" t="s">
        <v>26333</v>
      </c>
      <c r="H32" t="s">
        <v>25894</v>
      </c>
      <c r="I32">
        <v>2</v>
      </c>
      <c r="J32" s="197" t="s">
        <v>26603</v>
      </c>
      <c r="K32" t="s">
        <v>25894</v>
      </c>
      <c r="L32" s="197" t="s">
        <v>26703</v>
      </c>
      <c r="M32" s="198" t="s">
        <v>25896</v>
      </c>
      <c r="N32" s="197" t="s">
        <v>25897</v>
      </c>
      <c r="O32" s="195">
        <v>0.03</v>
      </c>
    </row>
    <row r="33" spans="1:15" ht="43.2" x14ac:dyDescent="0.3">
      <c r="A33" t="s">
        <v>45</v>
      </c>
      <c r="B33" t="s">
        <v>25894</v>
      </c>
      <c r="C33" s="194" t="s">
        <v>16906</v>
      </c>
      <c r="D33" t="s">
        <v>25894</v>
      </c>
      <c r="E33" s="194" t="s">
        <v>378</v>
      </c>
      <c r="F33" t="s">
        <v>25894</v>
      </c>
      <c r="G33" s="194" t="s">
        <v>26334</v>
      </c>
      <c r="H33" t="s">
        <v>25894</v>
      </c>
      <c r="I33">
        <v>1</v>
      </c>
      <c r="J33" s="197" t="s">
        <v>26604</v>
      </c>
      <c r="K33" t="s">
        <v>25894</v>
      </c>
      <c r="L33" s="197" t="s">
        <v>26703</v>
      </c>
      <c r="M33" s="198" t="s">
        <v>25896</v>
      </c>
      <c r="N33" s="197" t="s">
        <v>25897</v>
      </c>
      <c r="O33" s="195">
        <v>0.02</v>
      </c>
    </row>
    <row r="34" spans="1:15" ht="43.2" x14ac:dyDescent="0.3">
      <c r="A34" t="s">
        <v>46</v>
      </c>
      <c r="B34" t="s">
        <v>25894</v>
      </c>
      <c r="C34" s="194" t="s">
        <v>16907</v>
      </c>
      <c r="D34" t="s">
        <v>25894</v>
      </c>
      <c r="E34" s="194" t="s">
        <v>16907</v>
      </c>
      <c r="F34" t="s">
        <v>25894</v>
      </c>
      <c r="G34" s="194" t="s">
        <v>26335</v>
      </c>
      <c r="H34" t="s">
        <v>25894</v>
      </c>
      <c r="I34">
        <v>2</v>
      </c>
      <c r="J34" s="197" t="s">
        <v>26603</v>
      </c>
      <c r="K34" t="s">
        <v>25894</v>
      </c>
      <c r="L34" s="197" t="s">
        <v>26703</v>
      </c>
      <c r="M34" s="198" t="s">
        <v>25896</v>
      </c>
      <c r="N34" s="197" t="s">
        <v>25897</v>
      </c>
      <c r="O34" s="195">
        <v>0.03</v>
      </c>
    </row>
    <row r="35" spans="1:15" x14ac:dyDescent="0.3">
      <c r="A35" t="s">
        <v>47</v>
      </c>
      <c r="B35" t="s">
        <v>25894</v>
      </c>
      <c r="C35" s="194" t="s">
        <v>380</v>
      </c>
      <c r="D35" t="s">
        <v>25894</v>
      </c>
      <c r="E35" s="194" t="s">
        <v>25551</v>
      </c>
      <c r="F35" t="s">
        <v>25894</v>
      </c>
      <c r="G35" s="194" t="s">
        <v>26337</v>
      </c>
      <c r="H35" t="s">
        <v>25894</v>
      </c>
      <c r="I35">
        <v>1</v>
      </c>
      <c r="J35" s="197" t="s">
        <v>26604</v>
      </c>
      <c r="K35" t="s">
        <v>25894</v>
      </c>
      <c r="L35" s="197" t="s">
        <v>26703</v>
      </c>
      <c r="M35" s="198" t="s">
        <v>25896</v>
      </c>
      <c r="N35" s="197" t="s">
        <v>25897</v>
      </c>
      <c r="O35" s="195">
        <v>0.02</v>
      </c>
    </row>
    <row r="36" spans="1:15" ht="43.2" x14ac:dyDescent="0.3">
      <c r="A36" t="s">
        <v>48</v>
      </c>
      <c r="B36" t="s">
        <v>25894</v>
      </c>
      <c r="C36" s="194" t="s">
        <v>381</v>
      </c>
      <c r="D36" t="s">
        <v>25894</v>
      </c>
      <c r="E36" s="194" t="s">
        <v>381</v>
      </c>
      <c r="F36" t="s">
        <v>25894</v>
      </c>
      <c r="G36" s="194" t="s">
        <v>26338</v>
      </c>
      <c r="H36" t="s">
        <v>25894</v>
      </c>
      <c r="I36">
        <v>1</v>
      </c>
      <c r="J36" s="197" t="s">
        <v>26604</v>
      </c>
      <c r="K36" t="s">
        <v>25894</v>
      </c>
      <c r="L36" s="197" t="s">
        <v>26703</v>
      </c>
      <c r="M36" s="198" t="s">
        <v>25896</v>
      </c>
      <c r="N36" s="197" t="s">
        <v>25897</v>
      </c>
      <c r="O36" s="195">
        <v>0.02</v>
      </c>
    </row>
    <row r="37" spans="1:15" ht="57.6" x14ac:dyDescent="0.3">
      <c r="A37" t="s">
        <v>49</v>
      </c>
      <c r="B37" t="s">
        <v>25894</v>
      </c>
      <c r="C37" s="194" t="s">
        <v>382</v>
      </c>
      <c r="D37" t="s">
        <v>25894</v>
      </c>
      <c r="E37" s="194" t="s">
        <v>382</v>
      </c>
      <c r="F37" t="s">
        <v>25894</v>
      </c>
      <c r="G37" s="194" t="s">
        <v>26339</v>
      </c>
      <c r="H37" t="s">
        <v>25894</v>
      </c>
      <c r="I37">
        <v>1</v>
      </c>
      <c r="J37" s="197" t="s">
        <v>26604</v>
      </c>
      <c r="K37" t="s">
        <v>25894</v>
      </c>
      <c r="L37" s="197" t="s">
        <v>26703</v>
      </c>
      <c r="M37" s="198" t="s">
        <v>25896</v>
      </c>
      <c r="N37" s="197" t="s">
        <v>25897</v>
      </c>
      <c r="O37" s="195">
        <v>0.02</v>
      </c>
    </row>
    <row r="38" spans="1:15" ht="57.6" x14ac:dyDescent="0.3">
      <c r="A38" t="s">
        <v>50</v>
      </c>
      <c r="B38" t="s">
        <v>25894</v>
      </c>
      <c r="C38" s="194" t="s">
        <v>383</v>
      </c>
      <c r="D38" t="s">
        <v>25894</v>
      </c>
      <c r="E38" s="194" t="s">
        <v>383</v>
      </c>
      <c r="F38" t="s">
        <v>25894</v>
      </c>
      <c r="G38" s="194" t="s">
        <v>26340</v>
      </c>
      <c r="H38" t="s">
        <v>25894</v>
      </c>
      <c r="I38">
        <v>1</v>
      </c>
      <c r="J38" s="197" t="s">
        <v>26604</v>
      </c>
      <c r="K38" t="s">
        <v>25894</v>
      </c>
      <c r="L38" s="197" t="s">
        <v>26703</v>
      </c>
      <c r="M38" s="198" t="s">
        <v>25896</v>
      </c>
      <c r="N38" s="197" t="s">
        <v>25897</v>
      </c>
      <c r="O38" s="195">
        <v>0.02</v>
      </c>
    </row>
    <row r="39" spans="1:15" ht="43.2" x14ac:dyDescent="0.3">
      <c r="A39" t="s">
        <v>51</v>
      </c>
      <c r="B39" t="s">
        <v>25894</v>
      </c>
      <c r="C39" s="194" t="s">
        <v>384</v>
      </c>
      <c r="D39" t="s">
        <v>25894</v>
      </c>
      <c r="E39" s="194" t="s">
        <v>26644</v>
      </c>
      <c r="F39" t="s">
        <v>25894</v>
      </c>
      <c r="G39" s="194" t="s">
        <v>26645</v>
      </c>
      <c r="H39" t="s">
        <v>25894</v>
      </c>
      <c r="I39">
        <v>1</v>
      </c>
      <c r="J39" s="197" t="s">
        <v>26604</v>
      </c>
      <c r="K39" t="s">
        <v>25894</v>
      </c>
      <c r="L39" s="197" t="s">
        <v>26703</v>
      </c>
      <c r="M39" s="198" t="s">
        <v>25896</v>
      </c>
      <c r="N39" s="197" t="s">
        <v>25897</v>
      </c>
      <c r="O39" s="195">
        <v>0.02</v>
      </c>
    </row>
    <row r="40" spans="1:15" ht="28.8" x14ac:dyDescent="0.3">
      <c r="A40" t="s">
        <v>52</v>
      </c>
      <c r="B40" t="s">
        <v>25894</v>
      </c>
      <c r="C40" s="194" t="s">
        <v>16908</v>
      </c>
      <c r="D40" t="s">
        <v>25894</v>
      </c>
      <c r="E40" s="194" t="s">
        <v>385</v>
      </c>
      <c r="F40" t="s">
        <v>25894</v>
      </c>
      <c r="G40" s="194" t="s">
        <v>26341</v>
      </c>
      <c r="H40" t="s">
        <v>25894</v>
      </c>
      <c r="I40">
        <v>1</v>
      </c>
      <c r="J40" s="197" t="s">
        <v>26604</v>
      </c>
      <c r="K40" t="s">
        <v>25894</v>
      </c>
      <c r="L40" s="197" t="s">
        <v>26703</v>
      </c>
      <c r="M40" s="198" t="s">
        <v>25896</v>
      </c>
      <c r="N40" s="197" t="s">
        <v>25897</v>
      </c>
      <c r="O40" s="195">
        <v>0</v>
      </c>
    </row>
    <row r="41" spans="1:15" ht="28.8" x14ac:dyDescent="0.3">
      <c r="A41" t="s">
        <v>53</v>
      </c>
      <c r="B41" t="s">
        <v>25894</v>
      </c>
      <c r="C41" s="194" t="s">
        <v>16908</v>
      </c>
      <c r="D41" t="s">
        <v>25894</v>
      </c>
      <c r="E41" s="194" t="s">
        <v>386</v>
      </c>
      <c r="F41" t="s">
        <v>25894</v>
      </c>
      <c r="G41" s="194" t="s">
        <v>26342</v>
      </c>
      <c r="H41" t="s">
        <v>25894</v>
      </c>
      <c r="I41">
        <v>1</v>
      </c>
      <c r="J41" s="197" t="s">
        <v>26604</v>
      </c>
      <c r="K41" t="s">
        <v>25894</v>
      </c>
      <c r="L41" s="197" t="s">
        <v>26703</v>
      </c>
      <c r="M41" s="198" t="s">
        <v>25896</v>
      </c>
      <c r="N41" s="197" t="s">
        <v>25897</v>
      </c>
      <c r="O41" s="195">
        <v>0.02</v>
      </c>
    </row>
    <row r="42" spans="1:15" ht="28.8" x14ac:dyDescent="0.3">
      <c r="A42" t="s">
        <v>54</v>
      </c>
      <c r="B42" t="s">
        <v>25894</v>
      </c>
      <c r="C42" s="194" t="s">
        <v>16910</v>
      </c>
      <c r="D42" t="s">
        <v>25894</v>
      </c>
      <c r="E42" s="194" t="s">
        <v>387</v>
      </c>
      <c r="F42" t="s">
        <v>25894</v>
      </c>
      <c r="G42" s="194" t="s">
        <v>26343</v>
      </c>
      <c r="H42" t="s">
        <v>25894</v>
      </c>
      <c r="I42">
        <v>1</v>
      </c>
      <c r="J42" s="197" t="s">
        <v>26604</v>
      </c>
      <c r="K42" t="s">
        <v>25894</v>
      </c>
      <c r="L42" s="197" t="s">
        <v>26703</v>
      </c>
      <c r="M42" s="198" t="s">
        <v>25896</v>
      </c>
      <c r="N42" s="197" t="s">
        <v>25897</v>
      </c>
      <c r="O42" s="195">
        <v>0</v>
      </c>
    </row>
    <row r="43" spans="1:15" ht="28.8" x14ac:dyDescent="0.3">
      <c r="A43" t="s">
        <v>55</v>
      </c>
      <c r="B43" t="s">
        <v>25894</v>
      </c>
      <c r="C43" s="194" t="s">
        <v>16910</v>
      </c>
      <c r="D43" t="s">
        <v>25894</v>
      </c>
      <c r="E43" s="194" t="s">
        <v>388</v>
      </c>
      <c r="F43" t="s">
        <v>25894</v>
      </c>
      <c r="G43" s="194" t="s">
        <v>26345</v>
      </c>
      <c r="H43" t="s">
        <v>25894</v>
      </c>
      <c r="I43">
        <v>1</v>
      </c>
      <c r="J43" s="197" t="s">
        <v>26604</v>
      </c>
      <c r="K43" t="s">
        <v>25894</v>
      </c>
      <c r="L43" s="197" t="s">
        <v>26703</v>
      </c>
      <c r="M43" s="198" t="s">
        <v>25896</v>
      </c>
      <c r="N43" s="197" t="s">
        <v>25897</v>
      </c>
      <c r="O43" s="195">
        <v>0.02</v>
      </c>
    </row>
    <row r="44" spans="1:15" ht="43.2" x14ac:dyDescent="0.3">
      <c r="A44" t="s">
        <v>56</v>
      </c>
      <c r="B44" t="s">
        <v>25894</v>
      </c>
      <c r="C44" s="194" t="s">
        <v>389</v>
      </c>
      <c r="D44" t="s">
        <v>25894</v>
      </c>
      <c r="E44" s="194" t="s">
        <v>389</v>
      </c>
      <c r="F44" t="s">
        <v>25894</v>
      </c>
      <c r="G44" s="194" t="s">
        <v>26346</v>
      </c>
      <c r="H44" t="s">
        <v>25894</v>
      </c>
      <c r="I44">
        <v>2</v>
      </c>
      <c r="J44" s="197" t="s">
        <v>26603</v>
      </c>
      <c r="K44" t="s">
        <v>25894</v>
      </c>
      <c r="L44" s="197" t="s">
        <v>26703</v>
      </c>
      <c r="M44" s="198" t="s">
        <v>25896</v>
      </c>
      <c r="N44" s="197" t="s">
        <v>25897</v>
      </c>
      <c r="O44" s="195">
        <v>0.03</v>
      </c>
    </row>
    <row r="45" spans="1:15" ht="43.2" x14ac:dyDescent="0.3">
      <c r="A45" t="s">
        <v>57</v>
      </c>
      <c r="B45" t="s">
        <v>25894</v>
      </c>
      <c r="C45" s="194" t="s">
        <v>16911</v>
      </c>
      <c r="D45" t="s">
        <v>25894</v>
      </c>
      <c r="E45" s="194" t="s">
        <v>390</v>
      </c>
      <c r="F45" t="s">
        <v>25894</v>
      </c>
      <c r="G45" s="194" t="s">
        <v>26257</v>
      </c>
      <c r="H45" t="s">
        <v>25894</v>
      </c>
      <c r="I45">
        <v>9</v>
      </c>
      <c r="J45" s="197" t="s">
        <v>26596</v>
      </c>
      <c r="K45" t="s">
        <v>25894</v>
      </c>
      <c r="L45" s="197" t="s">
        <v>26703</v>
      </c>
      <c r="M45" s="198" t="s">
        <v>25896</v>
      </c>
      <c r="N45" s="197" t="s">
        <v>25897</v>
      </c>
      <c r="O45" s="195">
        <v>0.14000000000000001</v>
      </c>
    </row>
    <row r="46" spans="1:15" ht="57.6" x14ac:dyDescent="0.3">
      <c r="A46" t="s">
        <v>58</v>
      </c>
      <c r="B46" t="s">
        <v>25894</v>
      </c>
      <c r="C46" s="194" t="s">
        <v>16914</v>
      </c>
      <c r="D46" t="s">
        <v>25894</v>
      </c>
      <c r="E46" s="194" t="s">
        <v>391</v>
      </c>
      <c r="F46" t="s">
        <v>25894</v>
      </c>
      <c r="G46" s="194" t="s">
        <v>26347</v>
      </c>
      <c r="H46" t="s">
        <v>25894</v>
      </c>
      <c r="I46">
        <v>2</v>
      </c>
      <c r="J46" s="197" t="s">
        <v>26603</v>
      </c>
      <c r="K46" t="s">
        <v>25894</v>
      </c>
      <c r="L46" s="197" t="s">
        <v>26703</v>
      </c>
      <c r="M46" s="198" t="s">
        <v>25896</v>
      </c>
      <c r="N46" s="197" t="s">
        <v>25897</v>
      </c>
      <c r="O46" s="195">
        <v>0.03</v>
      </c>
    </row>
    <row r="47" spans="1:15" ht="43.2" x14ac:dyDescent="0.3">
      <c r="A47" t="s">
        <v>59</v>
      </c>
      <c r="B47" t="s">
        <v>25894</v>
      </c>
      <c r="C47" s="194" t="s">
        <v>16917</v>
      </c>
      <c r="D47" t="s">
        <v>25894</v>
      </c>
      <c r="E47" s="194" t="s">
        <v>392</v>
      </c>
      <c r="F47" t="s">
        <v>25894</v>
      </c>
      <c r="G47" s="194" t="s">
        <v>26296</v>
      </c>
      <c r="H47" t="s">
        <v>25894</v>
      </c>
      <c r="I47">
        <v>3</v>
      </c>
      <c r="J47" s="197" t="s">
        <v>26602</v>
      </c>
      <c r="K47" t="s">
        <v>25894</v>
      </c>
      <c r="L47" s="197" t="s">
        <v>26703</v>
      </c>
      <c r="M47" s="198" t="s">
        <v>25896</v>
      </c>
      <c r="N47" s="197" t="s">
        <v>25897</v>
      </c>
      <c r="O47" s="195">
        <v>0.05</v>
      </c>
    </row>
    <row r="48" spans="1:15" ht="28.8" x14ac:dyDescent="0.3">
      <c r="A48" t="s">
        <v>60</v>
      </c>
      <c r="B48" t="s">
        <v>25894</v>
      </c>
      <c r="C48" s="194" t="s">
        <v>16921</v>
      </c>
      <c r="D48" t="s">
        <v>25894</v>
      </c>
      <c r="E48" s="194" t="s">
        <v>16922</v>
      </c>
      <c r="F48" t="s">
        <v>25894</v>
      </c>
      <c r="G48" s="194" t="s">
        <v>26259</v>
      </c>
      <c r="H48" t="s">
        <v>25894</v>
      </c>
      <c r="I48">
        <v>8</v>
      </c>
      <c r="J48" s="197" t="s">
        <v>26597</v>
      </c>
      <c r="K48" t="s">
        <v>25894</v>
      </c>
      <c r="L48" s="197" t="s">
        <v>26703</v>
      </c>
      <c r="M48" s="198" t="s">
        <v>25896</v>
      </c>
      <c r="N48" s="197" t="s">
        <v>25897</v>
      </c>
      <c r="O48" s="195">
        <v>0.12</v>
      </c>
    </row>
    <row r="49" spans="1:15" ht="43.2" x14ac:dyDescent="0.3">
      <c r="A49" t="s">
        <v>61</v>
      </c>
      <c r="B49" t="s">
        <v>25894</v>
      </c>
      <c r="C49" s="194" t="s">
        <v>25540</v>
      </c>
      <c r="D49" t="s">
        <v>25894</v>
      </c>
      <c r="E49" s="194" t="s">
        <v>394</v>
      </c>
      <c r="F49" t="s">
        <v>25894</v>
      </c>
      <c r="G49" s="194" t="s">
        <v>26263</v>
      </c>
      <c r="H49" t="s">
        <v>25894</v>
      </c>
      <c r="I49">
        <v>7</v>
      </c>
      <c r="J49" s="197" t="s">
        <v>26598</v>
      </c>
      <c r="K49" t="s">
        <v>25894</v>
      </c>
      <c r="L49" s="197" t="s">
        <v>26703</v>
      </c>
      <c r="M49" s="198" t="s">
        <v>25896</v>
      </c>
      <c r="N49" s="197" t="s">
        <v>25897</v>
      </c>
      <c r="O49" s="195">
        <v>0.11</v>
      </c>
    </row>
    <row r="50" spans="1:15" ht="57.6" x14ac:dyDescent="0.3">
      <c r="A50" t="s">
        <v>62</v>
      </c>
      <c r="B50" t="s">
        <v>25894</v>
      </c>
      <c r="C50" s="194" t="s">
        <v>16931</v>
      </c>
      <c r="D50" t="s">
        <v>25894</v>
      </c>
      <c r="E50" s="194" t="s">
        <v>395</v>
      </c>
      <c r="F50" t="s">
        <v>25894</v>
      </c>
      <c r="G50" s="194" t="s">
        <v>26348</v>
      </c>
      <c r="H50" t="s">
        <v>25894</v>
      </c>
      <c r="I50">
        <v>2</v>
      </c>
      <c r="J50" s="197" t="s">
        <v>26603</v>
      </c>
      <c r="K50" t="s">
        <v>25894</v>
      </c>
      <c r="L50" s="197" t="s">
        <v>26703</v>
      </c>
      <c r="M50" s="198" t="s">
        <v>25896</v>
      </c>
      <c r="N50" s="197" t="s">
        <v>25897</v>
      </c>
      <c r="O50" s="195">
        <v>0.03</v>
      </c>
    </row>
    <row r="51" spans="1:15" ht="57.6" x14ac:dyDescent="0.3">
      <c r="A51" t="s">
        <v>63</v>
      </c>
      <c r="B51" t="s">
        <v>25894</v>
      </c>
      <c r="C51" s="194" t="s">
        <v>16935</v>
      </c>
      <c r="D51" t="s">
        <v>25894</v>
      </c>
      <c r="E51" s="194" t="s">
        <v>396</v>
      </c>
      <c r="F51" t="s">
        <v>25894</v>
      </c>
      <c r="G51" s="194" t="s">
        <v>26350</v>
      </c>
      <c r="H51" t="s">
        <v>25894</v>
      </c>
      <c r="I51">
        <v>1</v>
      </c>
      <c r="J51" s="197" t="s">
        <v>26604</v>
      </c>
      <c r="K51" t="s">
        <v>25894</v>
      </c>
      <c r="L51" s="197" t="s">
        <v>26703</v>
      </c>
      <c r="M51" s="198" t="s">
        <v>25896</v>
      </c>
      <c r="N51" s="197" t="s">
        <v>25897</v>
      </c>
      <c r="O51" s="195">
        <v>0.02</v>
      </c>
    </row>
    <row r="52" spans="1:15" ht="43.2" x14ac:dyDescent="0.3">
      <c r="A52" t="s">
        <v>64</v>
      </c>
      <c r="B52" t="s">
        <v>25894</v>
      </c>
      <c r="C52" s="194" t="s">
        <v>17364</v>
      </c>
      <c r="D52" t="s">
        <v>25894</v>
      </c>
      <c r="E52" s="194" t="s">
        <v>397</v>
      </c>
      <c r="F52" t="s">
        <v>25894</v>
      </c>
      <c r="G52" s="194" t="s">
        <v>26583</v>
      </c>
      <c r="H52" t="s">
        <v>25894</v>
      </c>
      <c r="I52">
        <v>7</v>
      </c>
      <c r="J52" s="197" t="s">
        <v>26598</v>
      </c>
      <c r="K52" t="s">
        <v>25894</v>
      </c>
      <c r="L52" s="197" t="s">
        <v>26703</v>
      </c>
      <c r="M52" s="198" t="s">
        <v>25896</v>
      </c>
      <c r="N52" s="197" t="s">
        <v>25897</v>
      </c>
      <c r="O52" s="195">
        <v>0.11</v>
      </c>
    </row>
    <row r="53" spans="1:15" ht="57.6" x14ac:dyDescent="0.3">
      <c r="A53" t="s">
        <v>65</v>
      </c>
      <c r="B53" t="s">
        <v>25894</v>
      </c>
      <c r="C53" s="194" t="s">
        <v>398</v>
      </c>
      <c r="D53" t="s">
        <v>25894</v>
      </c>
      <c r="E53" s="194" t="s">
        <v>26636</v>
      </c>
      <c r="F53" t="s">
        <v>25894</v>
      </c>
      <c r="G53" s="194" t="s">
        <v>26648</v>
      </c>
      <c r="H53" t="s">
        <v>25894</v>
      </c>
      <c r="I53">
        <v>5</v>
      </c>
      <c r="J53" s="197" t="s">
        <v>26600</v>
      </c>
      <c r="K53" t="s">
        <v>25894</v>
      </c>
      <c r="L53" s="197" t="s">
        <v>26703</v>
      </c>
      <c r="M53" s="198" t="s">
        <v>25896</v>
      </c>
      <c r="N53" s="197" t="s">
        <v>25897</v>
      </c>
      <c r="O53" s="195">
        <v>0.08</v>
      </c>
    </row>
    <row r="54" spans="1:15" ht="57.6" x14ac:dyDescent="0.3">
      <c r="A54" t="s">
        <v>66</v>
      </c>
      <c r="B54" t="s">
        <v>25894</v>
      </c>
      <c r="C54" s="194" t="s">
        <v>26024</v>
      </c>
      <c r="D54" t="s">
        <v>25894</v>
      </c>
      <c r="E54" s="194" t="s">
        <v>399</v>
      </c>
      <c r="F54" t="s">
        <v>25894</v>
      </c>
      <c r="G54" s="194" t="s">
        <v>26299</v>
      </c>
      <c r="H54" t="s">
        <v>25894</v>
      </c>
      <c r="I54">
        <v>4</v>
      </c>
      <c r="J54" s="197" t="s">
        <v>26601</v>
      </c>
      <c r="K54" t="s">
        <v>25894</v>
      </c>
      <c r="L54" s="197" t="s">
        <v>26703</v>
      </c>
      <c r="M54" s="198" t="s">
        <v>25896</v>
      </c>
      <c r="N54" s="197" t="s">
        <v>25897</v>
      </c>
      <c r="O54" s="195">
        <v>0.06</v>
      </c>
    </row>
    <row r="55" spans="1:15" ht="43.2" x14ac:dyDescent="0.3">
      <c r="A55" t="s">
        <v>67</v>
      </c>
      <c r="B55" t="s">
        <v>25894</v>
      </c>
      <c r="C55" s="194" t="s">
        <v>26025</v>
      </c>
      <c r="D55" t="s">
        <v>25894</v>
      </c>
      <c r="E55" s="194" t="s">
        <v>400</v>
      </c>
      <c r="F55" t="s">
        <v>25894</v>
      </c>
      <c r="G55" s="194" t="s">
        <v>26270</v>
      </c>
      <c r="H55" t="s">
        <v>25894</v>
      </c>
      <c r="I55">
        <v>9</v>
      </c>
      <c r="J55" s="197" t="s">
        <v>26596</v>
      </c>
      <c r="K55" t="s">
        <v>25894</v>
      </c>
      <c r="L55" s="197" t="s">
        <v>26703</v>
      </c>
      <c r="M55" s="198" t="s">
        <v>25896</v>
      </c>
      <c r="N55" s="197" t="s">
        <v>25897</v>
      </c>
      <c r="O55" s="195">
        <v>0.14000000000000001</v>
      </c>
    </row>
    <row r="56" spans="1:15" ht="43.2" x14ac:dyDescent="0.3">
      <c r="A56" t="s">
        <v>68</v>
      </c>
      <c r="B56" t="s">
        <v>25894</v>
      </c>
      <c r="C56" s="194" t="s">
        <v>26026</v>
      </c>
      <c r="D56" t="s">
        <v>25894</v>
      </c>
      <c r="E56" s="194" t="s">
        <v>401</v>
      </c>
      <c r="F56" t="s">
        <v>25894</v>
      </c>
      <c r="G56" s="194" t="s">
        <v>26271</v>
      </c>
      <c r="H56" t="s">
        <v>25894</v>
      </c>
      <c r="I56">
        <v>6</v>
      </c>
      <c r="J56" s="197" t="s">
        <v>26599</v>
      </c>
      <c r="K56" t="s">
        <v>25894</v>
      </c>
      <c r="L56" s="197" t="s">
        <v>26703</v>
      </c>
      <c r="M56" s="198" t="s">
        <v>25896</v>
      </c>
      <c r="N56" s="197" t="s">
        <v>25897</v>
      </c>
      <c r="O56" s="195">
        <v>0.09</v>
      </c>
    </row>
    <row r="57" spans="1:15" ht="43.2" x14ac:dyDescent="0.3">
      <c r="A57" t="s">
        <v>69</v>
      </c>
      <c r="B57" t="s">
        <v>25894</v>
      </c>
      <c r="C57" s="194" t="s">
        <v>26027</v>
      </c>
      <c r="D57" t="s">
        <v>25894</v>
      </c>
      <c r="E57" s="194" t="s">
        <v>402</v>
      </c>
      <c r="F57" t="s">
        <v>25894</v>
      </c>
      <c r="G57" s="194" t="s">
        <v>26282</v>
      </c>
      <c r="H57" t="s">
        <v>25894</v>
      </c>
      <c r="I57">
        <v>4</v>
      </c>
      <c r="J57" s="197" t="s">
        <v>26601</v>
      </c>
      <c r="K57" t="s">
        <v>25894</v>
      </c>
      <c r="L57" s="197" t="s">
        <v>26703</v>
      </c>
      <c r="M57" s="198" t="s">
        <v>25896</v>
      </c>
      <c r="N57" s="197" t="s">
        <v>25897</v>
      </c>
      <c r="O57" s="195">
        <v>0.06</v>
      </c>
    </row>
    <row r="58" spans="1:15" ht="72" x14ac:dyDescent="0.3">
      <c r="A58" t="s">
        <v>70</v>
      </c>
      <c r="B58" t="s">
        <v>25894</v>
      </c>
      <c r="C58" s="194" t="s">
        <v>25520</v>
      </c>
      <c r="D58" t="s">
        <v>25894</v>
      </c>
      <c r="E58" s="194" t="s">
        <v>403</v>
      </c>
      <c r="F58" t="s">
        <v>25894</v>
      </c>
      <c r="G58" s="194" t="s">
        <v>26260</v>
      </c>
      <c r="H58" t="s">
        <v>25894</v>
      </c>
      <c r="I58">
        <v>10</v>
      </c>
      <c r="J58" s="197" t="s">
        <v>26595</v>
      </c>
      <c r="K58" t="s">
        <v>25894</v>
      </c>
      <c r="L58" s="197" t="s">
        <v>26703</v>
      </c>
      <c r="M58" s="198" t="s">
        <v>25896</v>
      </c>
      <c r="N58" s="197" t="s">
        <v>25897</v>
      </c>
      <c r="O58" s="195">
        <v>0.15</v>
      </c>
    </row>
    <row r="59" spans="1:15" ht="43.2" x14ac:dyDescent="0.3">
      <c r="A59" t="s">
        <v>71</v>
      </c>
      <c r="B59" t="s">
        <v>25894</v>
      </c>
      <c r="C59" s="194" t="s">
        <v>404</v>
      </c>
      <c r="D59" t="s">
        <v>25894</v>
      </c>
      <c r="E59" s="194" t="s">
        <v>404</v>
      </c>
      <c r="F59" t="s">
        <v>25894</v>
      </c>
      <c r="G59" s="194" t="s">
        <v>26351</v>
      </c>
      <c r="H59" t="s">
        <v>25894</v>
      </c>
      <c r="I59">
        <v>4</v>
      </c>
      <c r="J59" s="197" t="s">
        <v>26601</v>
      </c>
      <c r="K59" t="s">
        <v>25894</v>
      </c>
      <c r="L59" s="197" t="s">
        <v>26703</v>
      </c>
      <c r="M59" s="198" t="s">
        <v>25896</v>
      </c>
      <c r="N59" s="197" t="s">
        <v>25897</v>
      </c>
      <c r="O59" s="195">
        <v>0.06</v>
      </c>
    </row>
    <row r="60" spans="1:15" ht="57.6" x14ac:dyDescent="0.3">
      <c r="A60" t="s">
        <v>72</v>
      </c>
      <c r="B60" t="s">
        <v>25894</v>
      </c>
      <c r="C60" s="194" t="s">
        <v>17388</v>
      </c>
      <c r="D60" t="s">
        <v>25894</v>
      </c>
      <c r="E60" s="194" t="s">
        <v>405</v>
      </c>
      <c r="F60" t="s">
        <v>25894</v>
      </c>
      <c r="G60" s="194" t="s">
        <v>26352</v>
      </c>
      <c r="H60" t="s">
        <v>25894</v>
      </c>
      <c r="I60">
        <v>2</v>
      </c>
      <c r="J60" s="197" t="s">
        <v>26603</v>
      </c>
      <c r="K60" t="s">
        <v>25894</v>
      </c>
      <c r="L60" s="197" t="s">
        <v>26703</v>
      </c>
      <c r="M60" s="198" t="s">
        <v>25896</v>
      </c>
      <c r="N60" s="197" t="s">
        <v>25897</v>
      </c>
      <c r="O60" s="195">
        <v>0.03</v>
      </c>
    </row>
    <row r="61" spans="1:15" ht="72" x14ac:dyDescent="0.3">
      <c r="A61" t="s">
        <v>73</v>
      </c>
      <c r="B61" t="s">
        <v>25894</v>
      </c>
      <c r="C61" s="194" t="s">
        <v>26028</v>
      </c>
      <c r="D61" t="s">
        <v>25894</v>
      </c>
      <c r="E61" s="194" t="s">
        <v>406</v>
      </c>
      <c r="F61" t="s">
        <v>25894</v>
      </c>
      <c r="G61" s="194" t="s">
        <v>26284</v>
      </c>
      <c r="H61" t="s">
        <v>25894</v>
      </c>
      <c r="I61">
        <v>6</v>
      </c>
      <c r="J61" s="197" t="s">
        <v>26599</v>
      </c>
      <c r="K61" t="s">
        <v>25894</v>
      </c>
      <c r="L61" s="197" t="s">
        <v>26703</v>
      </c>
      <c r="M61" s="198" t="s">
        <v>25896</v>
      </c>
      <c r="N61" s="197" t="s">
        <v>25897</v>
      </c>
      <c r="O61" s="195">
        <v>0.09</v>
      </c>
    </row>
    <row r="62" spans="1:15" ht="57.6" x14ac:dyDescent="0.3">
      <c r="A62" t="s">
        <v>74</v>
      </c>
      <c r="B62" t="s">
        <v>25894</v>
      </c>
      <c r="C62" s="194" t="s">
        <v>26029</v>
      </c>
      <c r="D62" t="s">
        <v>25894</v>
      </c>
      <c r="E62" s="194" t="s">
        <v>407</v>
      </c>
      <c r="F62" t="s">
        <v>25894</v>
      </c>
      <c r="G62" s="194" t="s">
        <v>26261</v>
      </c>
      <c r="H62" t="s">
        <v>25894</v>
      </c>
      <c r="I62">
        <v>9</v>
      </c>
      <c r="J62" s="197" t="s">
        <v>26596</v>
      </c>
      <c r="K62" t="s">
        <v>25894</v>
      </c>
      <c r="L62" s="197" t="s">
        <v>26703</v>
      </c>
      <c r="M62" s="198" t="s">
        <v>25896</v>
      </c>
      <c r="N62" s="197" t="s">
        <v>25897</v>
      </c>
      <c r="O62" s="195">
        <v>0.14000000000000001</v>
      </c>
    </row>
    <row r="63" spans="1:15" ht="43.2" x14ac:dyDescent="0.3">
      <c r="A63" t="s">
        <v>75</v>
      </c>
      <c r="B63" t="s">
        <v>25894</v>
      </c>
      <c r="C63" s="194" t="s">
        <v>408</v>
      </c>
      <c r="D63" t="s">
        <v>25894</v>
      </c>
      <c r="E63" s="194" t="s">
        <v>408</v>
      </c>
      <c r="F63" t="s">
        <v>25894</v>
      </c>
      <c r="G63" s="194" t="s">
        <v>26641</v>
      </c>
      <c r="H63" t="s">
        <v>25894</v>
      </c>
      <c r="I63">
        <v>16</v>
      </c>
      <c r="J63" s="197" t="s">
        <v>26592</v>
      </c>
      <c r="K63" t="s">
        <v>25894</v>
      </c>
      <c r="L63" s="197" t="s">
        <v>26703</v>
      </c>
      <c r="M63" s="198" t="s">
        <v>25896</v>
      </c>
      <c r="N63" s="197" t="s">
        <v>25897</v>
      </c>
      <c r="O63" s="195">
        <v>0.25</v>
      </c>
    </row>
    <row r="64" spans="1:15" ht="86.4" x14ac:dyDescent="0.3">
      <c r="A64" t="s">
        <v>76</v>
      </c>
      <c r="B64" t="s">
        <v>25894</v>
      </c>
      <c r="C64" s="194" t="s">
        <v>409</v>
      </c>
      <c r="D64" t="s">
        <v>25894</v>
      </c>
      <c r="E64" s="194" t="s">
        <v>409</v>
      </c>
      <c r="F64" t="s">
        <v>25894</v>
      </c>
      <c r="G64" s="194" t="s">
        <v>26272</v>
      </c>
      <c r="H64" t="s">
        <v>25894</v>
      </c>
      <c r="I64">
        <v>7</v>
      </c>
      <c r="J64" s="197" t="s">
        <v>26598</v>
      </c>
      <c r="K64" t="s">
        <v>25894</v>
      </c>
      <c r="L64" s="197" t="s">
        <v>26703</v>
      </c>
      <c r="M64" s="198" t="s">
        <v>25896</v>
      </c>
      <c r="N64" s="197" t="s">
        <v>25897</v>
      </c>
      <c r="O64" s="195">
        <v>0.11</v>
      </c>
    </row>
    <row r="65" spans="1:15" ht="57.6" x14ac:dyDescent="0.3">
      <c r="A65" t="s">
        <v>77</v>
      </c>
      <c r="B65" t="s">
        <v>25894</v>
      </c>
      <c r="C65" s="194" t="s">
        <v>16967</v>
      </c>
      <c r="D65" t="s">
        <v>25894</v>
      </c>
      <c r="E65" s="194" t="s">
        <v>410</v>
      </c>
      <c r="F65" t="s">
        <v>25894</v>
      </c>
      <c r="G65" s="194" t="s">
        <v>26353</v>
      </c>
      <c r="H65" t="s">
        <v>25894</v>
      </c>
      <c r="I65">
        <v>2</v>
      </c>
      <c r="J65" s="197" t="s">
        <v>26603</v>
      </c>
      <c r="K65" t="s">
        <v>25894</v>
      </c>
      <c r="L65" s="197" t="s">
        <v>26703</v>
      </c>
      <c r="M65" s="198" t="s">
        <v>25896</v>
      </c>
      <c r="N65" s="197" t="s">
        <v>25897</v>
      </c>
      <c r="O65" s="195">
        <v>0.03</v>
      </c>
    </row>
    <row r="66" spans="1:15" ht="57.6" x14ac:dyDescent="0.3">
      <c r="A66" t="s">
        <v>78</v>
      </c>
      <c r="B66" t="s">
        <v>25894</v>
      </c>
      <c r="C66" s="194" t="s">
        <v>16970</v>
      </c>
      <c r="D66" t="s">
        <v>25894</v>
      </c>
      <c r="E66" s="194" t="s">
        <v>411</v>
      </c>
      <c r="F66" t="s">
        <v>25894</v>
      </c>
      <c r="G66" s="194" t="s">
        <v>26285</v>
      </c>
      <c r="H66" t="s">
        <v>25894</v>
      </c>
      <c r="I66">
        <v>6</v>
      </c>
      <c r="J66" s="197" t="s">
        <v>26599</v>
      </c>
      <c r="K66" t="s">
        <v>25894</v>
      </c>
      <c r="L66" s="197" t="s">
        <v>26703</v>
      </c>
      <c r="M66" s="198" t="s">
        <v>25896</v>
      </c>
      <c r="N66" s="197" t="s">
        <v>25897</v>
      </c>
      <c r="O66" s="195">
        <v>0.09</v>
      </c>
    </row>
    <row r="67" spans="1:15" ht="43.2" x14ac:dyDescent="0.3">
      <c r="A67" t="s">
        <v>79</v>
      </c>
      <c r="B67" t="s">
        <v>25894</v>
      </c>
      <c r="C67" s="194" t="s">
        <v>16973</v>
      </c>
      <c r="D67" t="s">
        <v>25894</v>
      </c>
      <c r="E67" s="194" t="s">
        <v>26707</v>
      </c>
      <c r="F67" t="s">
        <v>25894</v>
      </c>
      <c r="G67" s="194" t="s">
        <v>26354</v>
      </c>
      <c r="H67" t="s">
        <v>25894</v>
      </c>
      <c r="I67">
        <v>1</v>
      </c>
      <c r="J67" s="197" t="s">
        <v>26604</v>
      </c>
      <c r="K67" t="s">
        <v>25894</v>
      </c>
      <c r="L67" s="197" t="s">
        <v>26703</v>
      </c>
      <c r="M67" s="198" t="s">
        <v>25896</v>
      </c>
      <c r="N67" s="197" t="s">
        <v>25897</v>
      </c>
      <c r="O67" s="195">
        <v>0.02</v>
      </c>
    </row>
    <row r="68" spans="1:15" ht="43.2" x14ac:dyDescent="0.3">
      <c r="A68" t="s">
        <v>80</v>
      </c>
      <c r="B68" t="s">
        <v>25894</v>
      </c>
      <c r="C68" s="194" t="s">
        <v>16976</v>
      </c>
      <c r="D68" t="s">
        <v>25894</v>
      </c>
      <c r="E68" s="194" t="s">
        <v>413</v>
      </c>
      <c r="F68" t="s">
        <v>25894</v>
      </c>
      <c r="G68" s="194" t="s">
        <v>26355</v>
      </c>
      <c r="H68" t="s">
        <v>25894</v>
      </c>
      <c r="I68">
        <v>1</v>
      </c>
      <c r="J68" s="197" t="s">
        <v>26605</v>
      </c>
      <c r="K68" t="s">
        <v>25894</v>
      </c>
      <c r="L68" s="197" t="s">
        <v>26703</v>
      </c>
      <c r="M68" s="198" t="s">
        <v>25896</v>
      </c>
      <c r="N68" s="197" t="s">
        <v>25897</v>
      </c>
      <c r="O68" s="195">
        <v>0</v>
      </c>
    </row>
    <row r="69" spans="1:15" ht="28.8" x14ac:dyDescent="0.3">
      <c r="A69" t="s">
        <v>81</v>
      </c>
      <c r="B69" t="s">
        <v>25894</v>
      </c>
      <c r="C69" s="194" t="s">
        <v>16976</v>
      </c>
      <c r="D69" t="s">
        <v>25894</v>
      </c>
      <c r="E69" s="194" t="s">
        <v>16979</v>
      </c>
      <c r="F69" t="s">
        <v>25894</v>
      </c>
      <c r="G69" s="194" t="s">
        <v>26356</v>
      </c>
      <c r="H69" t="s">
        <v>25894</v>
      </c>
      <c r="I69">
        <v>1</v>
      </c>
      <c r="J69" s="197" t="s">
        <v>26604</v>
      </c>
      <c r="K69" t="s">
        <v>25894</v>
      </c>
      <c r="L69" s="197" t="s">
        <v>26703</v>
      </c>
      <c r="M69" s="198" t="s">
        <v>25896</v>
      </c>
      <c r="N69" s="197" t="s">
        <v>25897</v>
      </c>
      <c r="O69" s="195">
        <v>0.02</v>
      </c>
    </row>
    <row r="70" spans="1:15" ht="72" x14ac:dyDescent="0.3">
      <c r="A70" t="s">
        <v>82</v>
      </c>
      <c r="B70" t="s">
        <v>25894</v>
      </c>
      <c r="C70" s="194" t="s">
        <v>26030</v>
      </c>
      <c r="D70" t="s">
        <v>25894</v>
      </c>
      <c r="E70" s="194" t="s">
        <v>415</v>
      </c>
      <c r="F70" t="s">
        <v>25894</v>
      </c>
      <c r="G70" s="194" t="s">
        <v>26640</v>
      </c>
      <c r="H70" t="s">
        <v>25894</v>
      </c>
      <c r="I70">
        <v>6</v>
      </c>
      <c r="J70" s="197" t="s">
        <v>26599</v>
      </c>
      <c r="K70" t="s">
        <v>25894</v>
      </c>
      <c r="L70" s="197" t="s">
        <v>26703</v>
      </c>
      <c r="M70" s="198" t="s">
        <v>25896</v>
      </c>
      <c r="N70" s="197" t="s">
        <v>25897</v>
      </c>
      <c r="O70" s="195">
        <v>0.09</v>
      </c>
    </row>
    <row r="71" spans="1:15" ht="72" x14ac:dyDescent="0.3">
      <c r="A71" t="s">
        <v>83</v>
      </c>
      <c r="B71" t="s">
        <v>25894</v>
      </c>
      <c r="C71" s="194" t="s">
        <v>26031</v>
      </c>
      <c r="D71" t="s">
        <v>25894</v>
      </c>
      <c r="E71" s="194" t="s">
        <v>416</v>
      </c>
      <c r="F71" t="s">
        <v>25894</v>
      </c>
      <c r="G71" s="194" t="s">
        <v>26273</v>
      </c>
      <c r="H71" t="s">
        <v>25894</v>
      </c>
      <c r="I71">
        <v>6</v>
      </c>
      <c r="J71" s="197" t="s">
        <v>26599</v>
      </c>
      <c r="K71" t="s">
        <v>25894</v>
      </c>
      <c r="L71" s="197" t="s">
        <v>26703</v>
      </c>
      <c r="M71" s="198" t="s">
        <v>25896</v>
      </c>
      <c r="N71" s="197" t="s">
        <v>25897</v>
      </c>
      <c r="O71" s="195">
        <v>0.09</v>
      </c>
    </row>
    <row r="72" spans="1:15" ht="72" x14ac:dyDescent="0.3">
      <c r="A72" t="s">
        <v>84</v>
      </c>
      <c r="B72" t="s">
        <v>25894</v>
      </c>
      <c r="C72" s="194" t="s">
        <v>26032</v>
      </c>
      <c r="D72" t="s">
        <v>25894</v>
      </c>
      <c r="E72" s="194" t="s">
        <v>16987</v>
      </c>
      <c r="F72" t="s">
        <v>25894</v>
      </c>
      <c r="G72" s="194" t="s">
        <v>26266</v>
      </c>
      <c r="H72" t="s">
        <v>25894</v>
      </c>
      <c r="I72">
        <v>6</v>
      </c>
      <c r="J72" s="197" t="s">
        <v>26599</v>
      </c>
      <c r="K72" t="s">
        <v>25894</v>
      </c>
      <c r="L72" s="197" t="s">
        <v>26703</v>
      </c>
      <c r="M72" s="198" t="s">
        <v>25896</v>
      </c>
      <c r="N72" s="197" t="s">
        <v>25897</v>
      </c>
      <c r="O72" s="195">
        <v>0.09</v>
      </c>
    </row>
    <row r="73" spans="1:15" ht="57.6" x14ac:dyDescent="0.3">
      <c r="A73" t="s">
        <v>85</v>
      </c>
      <c r="B73" t="s">
        <v>25894</v>
      </c>
      <c r="C73" s="194" t="s">
        <v>26033</v>
      </c>
      <c r="D73" t="s">
        <v>25894</v>
      </c>
      <c r="E73" s="194" t="s">
        <v>418</v>
      </c>
      <c r="F73" t="s">
        <v>25894</v>
      </c>
      <c r="G73" s="194" t="s">
        <v>26624</v>
      </c>
      <c r="H73" t="s">
        <v>25894</v>
      </c>
      <c r="I73">
        <v>3</v>
      </c>
      <c r="J73" s="197" t="s">
        <v>26602</v>
      </c>
      <c r="K73" t="s">
        <v>25894</v>
      </c>
      <c r="L73" s="197" t="s">
        <v>26703</v>
      </c>
      <c r="M73" s="198" t="s">
        <v>25896</v>
      </c>
      <c r="N73" s="197" t="s">
        <v>25897</v>
      </c>
      <c r="O73" s="195">
        <v>0.05</v>
      </c>
    </row>
    <row r="74" spans="1:15" ht="57.6" x14ac:dyDescent="0.3">
      <c r="A74" t="s">
        <v>86</v>
      </c>
      <c r="B74" t="s">
        <v>25894</v>
      </c>
      <c r="C74" s="194" t="s">
        <v>26034</v>
      </c>
      <c r="D74" t="s">
        <v>25894</v>
      </c>
      <c r="E74" s="194" t="s">
        <v>419</v>
      </c>
      <c r="F74" t="s">
        <v>25894</v>
      </c>
      <c r="G74" s="194" t="s">
        <v>26357</v>
      </c>
      <c r="H74" t="s">
        <v>25894</v>
      </c>
      <c r="I74">
        <v>1</v>
      </c>
      <c r="J74" s="197" t="s">
        <v>26604</v>
      </c>
      <c r="K74" t="s">
        <v>25894</v>
      </c>
      <c r="L74" s="197" t="s">
        <v>26703</v>
      </c>
      <c r="M74" s="198" t="s">
        <v>25896</v>
      </c>
      <c r="N74" s="197" t="s">
        <v>25897</v>
      </c>
      <c r="O74" s="195">
        <v>0.02</v>
      </c>
    </row>
    <row r="75" spans="1:15" ht="57.6" x14ac:dyDescent="0.3">
      <c r="A75" t="s">
        <v>87</v>
      </c>
      <c r="B75" t="s">
        <v>25894</v>
      </c>
      <c r="C75" s="194" t="s">
        <v>26035</v>
      </c>
      <c r="D75" t="s">
        <v>25894</v>
      </c>
      <c r="E75" s="194" t="s">
        <v>26647</v>
      </c>
      <c r="F75" t="s">
        <v>25894</v>
      </c>
      <c r="G75" s="194" t="s">
        <v>26623</v>
      </c>
      <c r="H75" t="s">
        <v>25894</v>
      </c>
      <c r="I75">
        <v>14</v>
      </c>
      <c r="J75" s="197" t="s">
        <v>26593</v>
      </c>
      <c r="K75" t="s">
        <v>25894</v>
      </c>
      <c r="L75" s="197" t="s">
        <v>26703</v>
      </c>
      <c r="M75" s="198" t="s">
        <v>25896</v>
      </c>
      <c r="N75" s="197" t="s">
        <v>25897</v>
      </c>
      <c r="O75" s="195">
        <v>0.22</v>
      </c>
    </row>
    <row r="76" spans="1:15" ht="43.2" x14ac:dyDescent="0.3">
      <c r="A76" t="s">
        <v>88</v>
      </c>
      <c r="B76" t="s">
        <v>25894</v>
      </c>
      <c r="C76" s="194" t="s">
        <v>26036</v>
      </c>
      <c r="D76" t="s">
        <v>25894</v>
      </c>
      <c r="E76" s="194" t="s">
        <v>421</v>
      </c>
      <c r="F76" t="s">
        <v>25894</v>
      </c>
      <c r="G76" s="194" t="s">
        <v>26358</v>
      </c>
      <c r="H76" t="s">
        <v>25894</v>
      </c>
      <c r="I76">
        <v>1</v>
      </c>
      <c r="J76" s="197" t="s">
        <v>26604</v>
      </c>
      <c r="K76" t="s">
        <v>25894</v>
      </c>
      <c r="L76" s="197" t="s">
        <v>26703</v>
      </c>
      <c r="M76" s="198" t="s">
        <v>25896</v>
      </c>
      <c r="N76" s="197" t="s">
        <v>25897</v>
      </c>
      <c r="O76" s="195">
        <v>0.02</v>
      </c>
    </row>
    <row r="77" spans="1:15" ht="43.2" x14ac:dyDescent="0.3">
      <c r="A77" t="s">
        <v>89</v>
      </c>
      <c r="B77" t="s">
        <v>25894</v>
      </c>
      <c r="C77" s="194" t="s">
        <v>17003</v>
      </c>
      <c r="D77" t="s">
        <v>25894</v>
      </c>
      <c r="E77" s="194" t="s">
        <v>422</v>
      </c>
      <c r="F77" t="s">
        <v>25894</v>
      </c>
      <c r="G77" s="194" t="s">
        <v>26359</v>
      </c>
      <c r="H77" t="s">
        <v>25894</v>
      </c>
      <c r="I77">
        <v>4</v>
      </c>
      <c r="J77" s="197" t="s">
        <v>26601</v>
      </c>
      <c r="K77" t="s">
        <v>25894</v>
      </c>
      <c r="L77" s="197" t="s">
        <v>26703</v>
      </c>
      <c r="M77" s="198" t="s">
        <v>25896</v>
      </c>
      <c r="N77" s="197" t="s">
        <v>25897</v>
      </c>
      <c r="O77" s="195">
        <v>0.06</v>
      </c>
    </row>
    <row r="78" spans="1:15" ht="28.8" x14ac:dyDescent="0.3">
      <c r="A78" t="s">
        <v>90</v>
      </c>
      <c r="B78" t="s">
        <v>25894</v>
      </c>
      <c r="C78" s="194" t="s">
        <v>423</v>
      </c>
      <c r="D78" t="s">
        <v>25894</v>
      </c>
      <c r="E78" s="194" t="s">
        <v>423</v>
      </c>
      <c r="F78" t="s">
        <v>25894</v>
      </c>
      <c r="G78" s="194" t="s">
        <v>26360</v>
      </c>
      <c r="H78" t="s">
        <v>25894</v>
      </c>
      <c r="I78">
        <v>2</v>
      </c>
      <c r="J78" s="197" t="s">
        <v>26603</v>
      </c>
      <c r="K78" t="s">
        <v>25894</v>
      </c>
      <c r="L78" s="197" t="s">
        <v>26703</v>
      </c>
      <c r="M78" s="198" t="s">
        <v>25896</v>
      </c>
      <c r="N78" s="197" t="s">
        <v>25897</v>
      </c>
      <c r="O78" s="195">
        <v>0.03</v>
      </c>
    </row>
    <row r="79" spans="1:15" ht="43.2" x14ac:dyDescent="0.3">
      <c r="A79" t="s">
        <v>91</v>
      </c>
      <c r="B79" t="s">
        <v>25894</v>
      </c>
      <c r="C79" s="194" t="s">
        <v>17008</v>
      </c>
      <c r="D79" t="s">
        <v>25894</v>
      </c>
      <c r="E79" s="194" t="s">
        <v>424</v>
      </c>
      <c r="F79" t="s">
        <v>25894</v>
      </c>
      <c r="G79" s="194" t="s">
        <v>26361</v>
      </c>
      <c r="H79" t="s">
        <v>25894</v>
      </c>
      <c r="I79">
        <v>1</v>
      </c>
      <c r="J79" s="197" t="s">
        <v>26604</v>
      </c>
      <c r="K79" t="s">
        <v>25894</v>
      </c>
      <c r="L79" s="197" t="s">
        <v>26703</v>
      </c>
      <c r="M79" s="198" t="s">
        <v>25896</v>
      </c>
      <c r="N79" s="197" t="s">
        <v>25897</v>
      </c>
      <c r="O79" s="195">
        <v>0.02</v>
      </c>
    </row>
    <row r="80" spans="1:15" ht="43.2" x14ac:dyDescent="0.3">
      <c r="A80" t="s">
        <v>92</v>
      </c>
      <c r="B80" t="s">
        <v>25894</v>
      </c>
      <c r="C80" s="194" t="s">
        <v>17009</v>
      </c>
      <c r="D80" t="s">
        <v>25894</v>
      </c>
      <c r="E80" s="194" t="s">
        <v>425</v>
      </c>
      <c r="F80" t="s">
        <v>25894</v>
      </c>
      <c r="G80" s="194" t="s">
        <v>26362</v>
      </c>
      <c r="H80" t="s">
        <v>25894</v>
      </c>
      <c r="I80">
        <v>1</v>
      </c>
      <c r="J80" s="197" t="s">
        <v>26604</v>
      </c>
      <c r="K80" t="s">
        <v>25894</v>
      </c>
      <c r="L80" s="197" t="s">
        <v>26703</v>
      </c>
      <c r="M80" s="198" t="s">
        <v>25896</v>
      </c>
      <c r="N80" s="197" t="s">
        <v>25897</v>
      </c>
      <c r="O80" s="195">
        <v>0.02</v>
      </c>
    </row>
    <row r="81" spans="1:15" ht="57.6" x14ac:dyDescent="0.3">
      <c r="A81" t="s">
        <v>93</v>
      </c>
      <c r="B81" t="s">
        <v>25894</v>
      </c>
      <c r="C81" s="194" t="s">
        <v>17010</v>
      </c>
      <c r="D81" t="s">
        <v>25894</v>
      </c>
      <c r="E81" s="194" t="s">
        <v>25576</v>
      </c>
      <c r="F81" t="s">
        <v>25894</v>
      </c>
      <c r="G81" s="194" t="s">
        <v>26363</v>
      </c>
      <c r="H81" t="s">
        <v>25894</v>
      </c>
      <c r="I81">
        <v>1</v>
      </c>
      <c r="J81" s="197" t="s">
        <v>26604</v>
      </c>
      <c r="K81" t="s">
        <v>25894</v>
      </c>
      <c r="L81" s="197" t="s">
        <v>26703</v>
      </c>
      <c r="M81" s="198" t="s">
        <v>25896</v>
      </c>
      <c r="N81" s="197" t="s">
        <v>25897</v>
      </c>
      <c r="O81" s="195">
        <v>0.02</v>
      </c>
    </row>
    <row r="82" spans="1:15" ht="28.8" x14ac:dyDescent="0.3">
      <c r="A82" t="s">
        <v>94</v>
      </c>
      <c r="B82" t="s">
        <v>25894</v>
      </c>
      <c r="C82" s="194" t="s">
        <v>427</v>
      </c>
      <c r="D82" t="s">
        <v>25894</v>
      </c>
      <c r="E82" s="194" t="s">
        <v>25580</v>
      </c>
      <c r="F82" t="s">
        <v>25894</v>
      </c>
      <c r="G82" s="194" t="s">
        <v>26364</v>
      </c>
      <c r="H82" t="s">
        <v>25894</v>
      </c>
      <c r="I82">
        <v>1</v>
      </c>
      <c r="J82" s="197" t="s">
        <v>26604</v>
      </c>
      <c r="K82" t="s">
        <v>25894</v>
      </c>
      <c r="L82" s="197" t="s">
        <v>26703</v>
      </c>
      <c r="M82" s="198" t="s">
        <v>25896</v>
      </c>
      <c r="N82" s="197" t="s">
        <v>25897</v>
      </c>
      <c r="O82" s="195">
        <v>0.02</v>
      </c>
    </row>
    <row r="83" spans="1:15" ht="43.2" x14ac:dyDescent="0.3">
      <c r="A83" t="s">
        <v>95</v>
      </c>
      <c r="B83" t="s">
        <v>25894</v>
      </c>
      <c r="C83" s="194" t="s">
        <v>25582</v>
      </c>
      <c r="D83" t="s">
        <v>25894</v>
      </c>
      <c r="E83" s="194" t="s">
        <v>25585</v>
      </c>
      <c r="F83" t="s">
        <v>25894</v>
      </c>
      <c r="G83" s="194" t="s">
        <v>26365</v>
      </c>
      <c r="H83" t="s">
        <v>25894</v>
      </c>
      <c r="I83">
        <v>2</v>
      </c>
      <c r="J83" s="197" t="s">
        <v>26603</v>
      </c>
      <c r="K83" t="s">
        <v>25894</v>
      </c>
      <c r="L83" s="197" t="s">
        <v>26703</v>
      </c>
      <c r="M83" s="198" t="s">
        <v>25896</v>
      </c>
      <c r="N83" s="197" t="s">
        <v>25897</v>
      </c>
      <c r="O83" s="195">
        <v>0.03</v>
      </c>
    </row>
    <row r="84" spans="1:15" ht="43.2" x14ac:dyDescent="0.3">
      <c r="A84" t="s">
        <v>96</v>
      </c>
      <c r="B84" t="s">
        <v>25894</v>
      </c>
      <c r="C84" s="194" t="s">
        <v>429</v>
      </c>
      <c r="D84" t="s">
        <v>25894</v>
      </c>
      <c r="E84" s="194" t="s">
        <v>25586</v>
      </c>
      <c r="F84" t="s">
        <v>25894</v>
      </c>
      <c r="G84" s="194" t="s">
        <v>26304</v>
      </c>
      <c r="H84" t="s">
        <v>25894</v>
      </c>
      <c r="I84">
        <v>5</v>
      </c>
      <c r="J84" s="197" t="s">
        <v>26600</v>
      </c>
      <c r="K84" t="s">
        <v>25894</v>
      </c>
      <c r="L84" s="197" t="s">
        <v>26703</v>
      </c>
      <c r="M84" s="198" t="s">
        <v>25896</v>
      </c>
      <c r="N84" s="197" t="s">
        <v>25897</v>
      </c>
      <c r="O84" s="195">
        <v>0.08</v>
      </c>
    </row>
    <row r="85" spans="1:15" ht="34.950000000000003" customHeight="1" x14ac:dyDescent="0.3">
      <c r="A85" t="s">
        <v>97</v>
      </c>
      <c r="B85" t="s">
        <v>25894</v>
      </c>
      <c r="C85" s="194" t="s">
        <v>430</v>
      </c>
      <c r="D85" t="s">
        <v>25894</v>
      </c>
      <c r="E85" s="194" t="s">
        <v>430</v>
      </c>
      <c r="F85" t="s">
        <v>25894</v>
      </c>
      <c r="G85" s="194" t="s">
        <v>26366</v>
      </c>
      <c r="H85" t="s">
        <v>25894</v>
      </c>
      <c r="I85">
        <v>3</v>
      </c>
      <c r="J85" s="197" t="s">
        <v>26602</v>
      </c>
      <c r="K85" t="s">
        <v>25894</v>
      </c>
      <c r="L85" s="197" t="s">
        <v>26703</v>
      </c>
      <c r="M85" s="198" t="s">
        <v>25896</v>
      </c>
      <c r="N85" s="197" t="s">
        <v>25897</v>
      </c>
      <c r="O85" s="195">
        <v>0.05</v>
      </c>
    </row>
    <row r="86" spans="1:15" ht="43.2" x14ac:dyDescent="0.3">
      <c r="A86" t="s">
        <v>98</v>
      </c>
      <c r="B86" t="s">
        <v>25894</v>
      </c>
      <c r="C86" s="194" t="s">
        <v>17346</v>
      </c>
      <c r="D86" t="s">
        <v>25894</v>
      </c>
      <c r="E86" s="194" t="s">
        <v>431</v>
      </c>
      <c r="F86" t="s">
        <v>25894</v>
      </c>
      <c r="G86" s="194" t="s">
        <v>26367</v>
      </c>
      <c r="H86" t="s">
        <v>25894</v>
      </c>
      <c r="I86">
        <v>7</v>
      </c>
      <c r="J86" s="197" t="s">
        <v>26598</v>
      </c>
      <c r="K86" t="s">
        <v>25894</v>
      </c>
      <c r="L86" s="197" t="s">
        <v>26703</v>
      </c>
      <c r="M86" s="198" t="s">
        <v>25896</v>
      </c>
      <c r="N86" s="197" t="s">
        <v>25897</v>
      </c>
      <c r="O86" s="195">
        <v>0.11</v>
      </c>
    </row>
    <row r="87" spans="1:15" ht="28.8" x14ac:dyDescent="0.3">
      <c r="A87" t="s">
        <v>99</v>
      </c>
      <c r="B87" t="s">
        <v>25894</v>
      </c>
      <c r="C87" s="194" t="s">
        <v>432</v>
      </c>
      <c r="D87" t="s">
        <v>25894</v>
      </c>
      <c r="E87" s="194" t="s">
        <v>432</v>
      </c>
      <c r="F87" t="s">
        <v>25894</v>
      </c>
      <c r="G87" s="194" t="s">
        <v>26368</v>
      </c>
      <c r="H87" t="s">
        <v>25894</v>
      </c>
      <c r="I87">
        <v>1</v>
      </c>
      <c r="J87" s="197" t="s">
        <v>26604</v>
      </c>
      <c r="K87" t="s">
        <v>25894</v>
      </c>
      <c r="L87" s="197" t="s">
        <v>26703</v>
      </c>
      <c r="M87" s="198" t="s">
        <v>25896</v>
      </c>
      <c r="N87" s="197" t="s">
        <v>25897</v>
      </c>
      <c r="O87" s="195">
        <v>0.02</v>
      </c>
    </row>
    <row r="88" spans="1:15" ht="43.2" x14ac:dyDescent="0.3">
      <c r="A88" t="s">
        <v>100</v>
      </c>
      <c r="B88" t="s">
        <v>25894</v>
      </c>
      <c r="C88" s="194" t="s">
        <v>433</v>
      </c>
      <c r="D88" t="s">
        <v>25894</v>
      </c>
      <c r="E88" s="194" t="s">
        <v>433</v>
      </c>
      <c r="F88" t="s">
        <v>25894</v>
      </c>
      <c r="G88" s="194" t="s">
        <v>26369</v>
      </c>
      <c r="H88" t="s">
        <v>25894</v>
      </c>
      <c r="I88">
        <v>4</v>
      </c>
      <c r="J88" s="197" t="s">
        <v>26601</v>
      </c>
      <c r="K88" t="s">
        <v>25894</v>
      </c>
      <c r="L88" s="197" t="s">
        <v>26703</v>
      </c>
      <c r="M88" s="198" t="s">
        <v>25896</v>
      </c>
      <c r="N88" s="197" t="s">
        <v>25897</v>
      </c>
      <c r="O88" s="195">
        <v>0.06</v>
      </c>
    </row>
    <row r="89" spans="1:15" ht="43.2" x14ac:dyDescent="0.3">
      <c r="A89" t="s">
        <v>101</v>
      </c>
      <c r="B89" t="s">
        <v>25894</v>
      </c>
      <c r="C89" s="194" t="s">
        <v>434</v>
      </c>
      <c r="D89" t="s">
        <v>25894</v>
      </c>
      <c r="E89" s="194" t="s">
        <v>434</v>
      </c>
      <c r="F89" t="s">
        <v>25894</v>
      </c>
      <c r="G89" s="194" t="s">
        <v>26614</v>
      </c>
      <c r="H89" t="s">
        <v>25894</v>
      </c>
      <c r="I89">
        <v>2</v>
      </c>
      <c r="J89" s="197" t="s">
        <v>26603</v>
      </c>
      <c r="K89" t="s">
        <v>25894</v>
      </c>
      <c r="L89" s="197" t="s">
        <v>26703</v>
      </c>
      <c r="M89" s="198" t="s">
        <v>25896</v>
      </c>
      <c r="N89" s="197" t="s">
        <v>25897</v>
      </c>
      <c r="O89" s="195">
        <v>0.03</v>
      </c>
    </row>
    <row r="90" spans="1:15" ht="28.8" x14ac:dyDescent="0.3">
      <c r="A90" t="s">
        <v>102</v>
      </c>
      <c r="B90" t="s">
        <v>25894</v>
      </c>
      <c r="C90" s="194" t="s">
        <v>17021</v>
      </c>
      <c r="D90" t="s">
        <v>25894</v>
      </c>
      <c r="E90" s="194" t="s">
        <v>435</v>
      </c>
      <c r="F90" t="s">
        <v>25894</v>
      </c>
      <c r="G90" s="194" t="s">
        <v>26370</v>
      </c>
      <c r="H90" t="s">
        <v>25894</v>
      </c>
      <c r="I90">
        <v>4</v>
      </c>
      <c r="J90" s="197" t="s">
        <v>26601</v>
      </c>
      <c r="K90" t="s">
        <v>25894</v>
      </c>
      <c r="L90" s="197" t="s">
        <v>26703</v>
      </c>
      <c r="M90" s="198" t="s">
        <v>25896</v>
      </c>
      <c r="N90" s="197" t="s">
        <v>25897</v>
      </c>
      <c r="O90" s="195">
        <v>0.06</v>
      </c>
    </row>
    <row r="91" spans="1:15" ht="43.2" x14ac:dyDescent="0.3">
      <c r="A91" t="s">
        <v>103</v>
      </c>
      <c r="B91" t="s">
        <v>25894</v>
      </c>
      <c r="C91" s="194" t="s">
        <v>26037</v>
      </c>
      <c r="D91" t="s">
        <v>25894</v>
      </c>
      <c r="E91" s="194" t="s">
        <v>436</v>
      </c>
      <c r="F91" t="s">
        <v>25894</v>
      </c>
      <c r="G91" s="194" t="s">
        <v>26371</v>
      </c>
      <c r="H91" t="s">
        <v>25894</v>
      </c>
      <c r="I91">
        <v>1</v>
      </c>
      <c r="J91" s="197" t="s">
        <v>26605</v>
      </c>
      <c r="K91" t="s">
        <v>25894</v>
      </c>
      <c r="L91" s="197" t="s">
        <v>26703</v>
      </c>
      <c r="M91" s="198" t="s">
        <v>25896</v>
      </c>
      <c r="N91" s="197" t="s">
        <v>25897</v>
      </c>
      <c r="O91" s="195">
        <v>0</v>
      </c>
    </row>
    <row r="92" spans="1:15" ht="57.6" x14ac:dyDescent="0.3">
      <c r="A92" t="s">
        <v>104</v>
      </c>
      <c r="B92" t="s">
        <v>25894</v>
      </c>
      <c r="C92" s="194" t="s">
        <v>437</v>
      </c>
      <c r="D92" t="s">
        <v>25894</v>
      </c>
      <c r="E92" s="194" t="s">
        <v>437</v>
      </c>
      <c r="F92" t="s">
        <v>25894</v>
      </c>
      <c r="G92" s="194" t="s">
        <v>26372</v>
      </c>
      <c r="H92" t="s">
        <v>25894</v>
      </c>
      <c r="I92">
        <v>1</v>
      </c>
      <c r="J92" s="197" t="s">
        <v>26604</v>
      </c>
      <c r="K92" t="s">
        <v>25894</v>
      </c>
      <c r="L92" s="197" t="s">
        <v>26703</v>
      </c>
      <c r="M92" s="198" t="s">
        <v>25896</v>
      </c>
      <c r="N92" s="197" t="s">
        <v>25897</v>
      </c>
      <c r="O92" s="195">
        <v>0.02</v>
      </c>
    </row>
    <row r="93" spans="1:15" ht="43.2" x14ac:dyDescent="0.3">
      <c r="A93" t="s">
        <v>105</v>
      </c>
      <c r="B93" t="s">
        <v>25894</v>
      </c>
      <c r="C93" s="194" t="s">
        <v>17025</v>
      </c>
      <c r="D93" t="s">
        <v>25894</v>
      </c>
      <c r="E93" s="194" t="s">
        <v>438</v>
      </c>
      <c r="F93" t="s">
        <v>25894</v>
      </c>
      <c r="G93" s="194" t="s">
        <v>26373</v>
      </c>
      <c r="H93" t="s">
        <v>25894</v>
      </c>
      <c r="I93">
        <v>1</v>
      </c>
      <c r="J93" s="197" t="s">
        <v>26605</v>
      </c>
      <c r="K93" t="s">
        <v>25894</v>
      </c>
      <c r="L93" s="197" t="s">
        <v>26703</v>
      </c>
      <c r="M93" s="198" t="s">
        <v>25896</v>
      </c>
      <c r="N93" s="197" t="s">
        <v>25897</v>
      </c>
      <c r="O93" s="195">
        <v>0</v>
      </c>
    </row>
    <row r="94" spans="1:15" ht="43.2" x14ac:dyDescent="0.3">
      <c r="A94" t="s">
        <v>106</v>
      </c>
      <c r="B94" t="s">
        <v>25894</v>
      </c>
      <c r="C94" s="194" t="s">
        <v>17028</v>
      </c>
      <c r="D94" t="s">
        <v>25894</v>
      </c>
      <c r="E94" s="194" t="s">
        <v>17028</v>
      </c>
      <c r="F94" t="s">
        <v>25894</v>
      </c>
      <c r="G94" s="194" t="s">
        <v>26374</v>
      </c>
      <c r="H94" t="s">
        <v>25894</v>
      </c>
      <c r="I94">
        <v>1</v>
      </c>
      <c r="J94" s="197" t="s">
        <v>26605</v>
      </c>
      <c r="K94" t="s">
        <v>25894</v>
      </c>
      <c r="L94" s="197" t="s">
        <v>26703</v>
      </c>
      <c r="M94" s="198" t="s">
        <v>25896</v>
      </c>
      <c r="N94" s="197" t="s">
        <v>25897</v>
      </c>
      <c r="O94" s="195">
        <v>0</v>
      </c>
    </row>
    <row r="95" spans="1:15" ht="57.6" x14ac:dyDescent="0.3">
      <c r="A95" t="s">
        <v>107</v>
      </c>
      <c r="B95" t="s">
        <v>25894</v>
      </c>
      <c r="C95" s="194" t="s">
        <v>17031</v>
      </c>
      <c r="D95" t="s">
        <v>25894</v>
      </c>
      <c r="E95" s="194" t="s">
        <v>440</v>
      </c>
      <c r="F95" t="s">
        <v>25894</v>
      </c>
      <c r="G95" s="194" t="s">
        <v>26375</v>
      </c>
      <c r="H95" t="s">
        <v>25894</v>
      </c>
      <c r="I95">
        <v>1</v>
      </c>
      <c r="J95" s="197" t="s">
        <v>26605</v>
      </c>
      <c r="K95" t="s">
        <v>25894</v>
      </c>
      <c r="L95" s="197" t="s">
        <v>26703</v>
      </c>
      <c r="M95" s="198" t="s">
        <v>25896</v>
      </c>
      <c r="N95" s="197" t="s">
        <v>25897</v>
      </c>
      <c r="O95" s="195">
        <v>0</v>
      </c>
    </row>
    <row r="96" spans="1:15" ht="57.6" x14ac:dyDescent="0.3">
      <c r="A96" t="s">
        <v>108</v>
      </c>
      <c r="B96" t="s">
        <v>25894</v>
      </c>
      <c r="C96" s="194" t="s">
        <v>441</v>
      </c>
      <c r="D96" t="s">
        <v>25894</v>
      </c>
      <c r="E96" s="194" t="s">
        <v>441</v>
      </c>
      <c r="F96" t="s">
        <v>25894</v>
      </c>
      <c r="G96" s="194" t="s">
        <v>26376</v>
      </c>
      <c r="H96" t="s">
        <v>25894</v>
      </c>
      <c r="I96">
        <v>2</v>
      </c>
      <c r="J96" s="197" t="s">
        <v>26603</v>
      </c>
      <c r="K96" t="s">
        <v>25894</v>
      </c>
      <c r="L96" s="197" t="s">
        <v>26703</v>
      </c>
      <c r="M96" s="198" t="s">
        <v>25896</v>
      </c>
      <c r="N96" s="197" t="s">
        <v>25897</v>
      </c>
      <c r="O96" s="195">
        <v>0.03</v>
      </c>
    </row>
    <row r="97" spans="1:15" ht="43.2" x14ac:dyDescent="0.3">
      <c r="A97" t="s">
        <v>109</v>
      </c>
      <c r="B97" t="s">
        <v>25894</v>
      </c>
      <c r="C97" s="194" t="s">
        <v>17036</v>
      </c>
      <c r="D97" t="s">
        <v>25894</v>
      </c>
      <c r="E97" s="194" t="s">
        <v>17037</v>
      </c>
      <c r="F97" t="s">
        <v>25894</v>
      </c>
      <c r="G97" s="194" t="s">
        <v>26377</v>
      </c>
      <c r="H97" t="s">
        <v>25894</v>
      </c>
      <c r="I97">
        <v>1</v>
      </c>
      <c r="J97" s="197" t="s">
        <v>26605</v>
      </c>
      <c r="K97" t="s">
        <v>25894</v>
      </c>
      <c r="L97" s="197" t="s">
        <v>26703</v>
      </c>
      <c r="M97" s="198" t="s">
        <v>25896</v>
      </c>
      <c r="N97" s="197" t="s">
        <v>25897</v>
      </c>
      <c r="O97" s="195">
        <v>0</v>
      </c>
    </row>
    <row r="98" spans="1:15" ht="43.2" x14ac:dyDescent="0.3">
      <c r="A98" t="s">
        <v>110</v>
      </c>
      <c r="B98" t="s">
        <v>25894</v>
      </c>
      <c r="C98" s="194" t="s">
        <v>17040</v>
      </c>
      <c r="D98" t="s">
        <v>25894</v>
      </c>
      <c r="E98" s="194" t="s">
        <v>17040</v>
      </c>
      <c r="F98" t="s">
        <v>25894</v>
      </c>
      <c r="G98" s="194" t="s">
        <v>26381</v>
      </c>
      <c r="H98" t="s">
        <v>25894</v>
      </c>
      <c r="I98">
        <v>3</v>
      </c>
      <c r="J98" s="197" t="s">
        <v>26602</v>
      </c>
      <c r="K98" t="s">
        <v>25894</v>
      </c>
      <c r="L98" s="197" t="s">
        <v>26703</v>
      </c>
      <c r="M98" s="198" t="s">
        <v>25896</v>
      </c>
      <c r="N98" s="197" t="s">
        <v>25897</v>
      </c>
      <c r="O98" s="195">
        <v>0.05</v>
      </c>
    </row>
    <row r="99" spans="1:15" ht="57.6" x14ac:dyDescent="0.3">
      <c r="A99" t="s">
        <v>111</v>
      </c>
      <c r="B99" t="s">
        <v>25894</v>
      </c>
      <c r="C99" s="194" t="s">
        <v>17046</v>
      </c>
      <c r="D99" t="s">
        <v>25894</v>
      </c>
      <c r="E99" s="194" t="s">
        <v>444</v>
      </c>
      <c r="F99" t="s">
        <v>25894</v>
      </c>
      <c r="G99" s="194" t="s">
        <v>26378</v>
      </c>
      <c r="H99" t="s">
        <v>25894</v>
      </c>
      <c r="I99">
        <v>1</v>
      </c>
      <c r="J99" s="197" t="s">
        <v>26605</v>
      </c>
      <c r="K99" t="s">
        <v>25894</v>
      </c>
      <c r="L99" s="197" t="s">
        <v>26703</v>
      </c>
      <c r="M99" s="198" t="s">
        <v>25896</v>
      </c>
      <c r="N99" s="197" t="s">
        <v>25897</v>
      </c>
      <c r="O99" s="195">
        <v>0</v>
      </c>
    </row>
    <row r="100" spans="1:15" ht="28.8" x14ac:dyDescent="0.3">
      <c r="A100" t="s">
        <v>112</v>
      </c>
      <c r="B100" t="s">
        <v>25894</v>
      </c>
      <c r="C100" s="194" t="s">
        <v>445</v>
      </c>
      <c r="D100" t="s">
        <v>25894</v>
      </c>
      <c r="E100" s="194" t="s">
        <v>445</v>
      </c>
      <c r="F100" t="s">
        <v>25894</v>
      </c>
      <c r="G100" s="194" t="s">
        <v>26379</v>
      </c>
      <c r="H100" t="s">
        <v>25894</v>
      </c>
      <c r="I100">
        <v>1</v>
      </c>
      <c r="J100" s="197" t="s">
        <v>26604</v>
      </c>
      <c r="K100" t="s">
        <v>25894</v>
      </c>
      <c r="L100" s="197" t="s">
        <v>26703</v>
      </c>
      <c r="M100" s="198" t="s">
        <v>25896</v>
      </c>
      <c r="N100" s="197" t="s">
        <v>25897</v>
      </c>
      <c r="O100" s="195">
        <v>0.02</v>
      </c>
    </row>
    <row r="101" spans="1:15" ht="57.6" x14ac:dyDescent="0.3">
      <c r="A101" t="s">
        <v>113</v>
      </c>
      <c r="B101" t="s">
        <v>25894</v>
      </c>
      <c r="C101" s="194" t="s">
        <v>446</v>
      </c>
      <c r="D101" t="s">
        <v>25894</v>
      </c>
      <c r="E101" s="194" t="s">
        <v>446</v>
      </c>
      <c r="F101" t="s">
        <v>25894</v>
      </c>
      <c r="G101" s="194" t="s">
        <v>26382</v>
      </c>
      <c r="H101" t="s">
        <v>25894</v>
      </c>
      <c r="I101">
        <v>3</v>
      </c>
      <c r="J101" s="197" t="s">
        <v>26602</v>
      </c>
      <c r="K101" t="s">
        <v>25894</v>
      </c>
      <c r="L101" s="197" t="s">
        <v>26703</v>
      </c>
      <c r="M101" s="198" t="s">
        <v>25896</v>
      </c>
      <c r="N101" s="197" t="s">
        <v>25897</v>
      </c>
      <c r="O101" s="195">
        <v>0.05</v>
      </c>
    </row>
    <row r="102" spans="1:15" ht="43.2" x14ac:dyDescent="0.3">
      <c r="A102" t="s">
        <v>114</v>
      </c>
      <c r="B102" t="s">
        <v>25894</v>
      </c>
      <c r="C102" s="194" t="s">
        <v>17052</v>
      </c>
      <c r="D102" t="s">
        <v>25894</v>
      </c>
      <c r="E102" s="194" t="s">
        <v>17052</v>
      </c>
      <c r="F102" t="s">
        <v>25894</v>
      </c>
      <c r="G102" s="194" t="s">
        <v>26383</v>
      </c>
      <c r="H102" t="s">
        <v>25894</v>
      </c>
      <c r="I102">
        <v>1</v>
      </c>
      <c r="J102" s="197" t="s">
        <v>26604</v>
      </c>
      <c r="K102" t="s">
        <v>25894</v>
      </c>
      <c r="L102" s="197" t="s">
        <v>26703</v>
      </c>
      <c r="M102" s="198" t="s">
        <v>25896</v>
      </c>
      <c r="N102" s="197" t="s">
        <v>25897</v>
      </c>
      <c r="O102" s="195">
        <v>0.02</v>
      </c>
    </row>
    <row r="103" spans="1:15" ht="57.6" x14ac:dyDescent="0.3">
      <c r="A103" t="s">
        <v>115</v>
      </c>
      <c r="B103" t="s">
        <v>25894</v>
      </c>
      <c r="C103" s="194" t="s">
        <v>17055</v>
      </c>
      <c r="D103" t="s">
        <v>25894</v>
      </c>
      <c r="E103" s="194" t="s">
        <v>448</v>
      </c>
      <c r="F103" t="s">
        <v>25894</v>
      </c>
      <c r="G103" s="194" t="s">
        <v>26462</v>
      </c>
      <c r="H103" t="s">
        <v>25894</v>
      </c>
      <c r="I103">
        <v>3</v>
      </c>
      <c r="J103" s="197" t="s">
        <v>26602</v>
      </c>
      <c r="K103" t="s">
        <v>25894</v>
      </c>
      <c r="L103" s="197" t="s">
        <v>26703</v>
      </c>
      <c r="M103" s="198" t="s">
        <v>25896</v>
      </c>
      <c r="N103" s="197" t="s">
        <v>25897</v>
      </c>
      <c r="O103" s="195">
        <v>0.05</v>
      </c>
    </row>
    <row r="104" spans="1:15" ht="72" x14ac:dyDescent="0.3">
      <c r="A104" t="s">
        <v>116</v>
      </c>
      <c r="B104" t="s">
        <v>25894</v>
      </c>
      <c r="C104" s="194" t="s">
        <v>17056</v>
      </c>
      <c r="D104" t="s">
        <v>25894</v>
      </c>
      <c r="E104" s="194" t="s">
        <v>449</v>
      </c>
      <c r="F104" t="s">
        <v>25894</v>
      </c>
      <c r="G104" s="194" t="s">
        <v>26384</v>
      </c>
      <c r="H104" t="s">
        <v>25894</v>
      </c>
      <c r="I104">
        <v>4</v>
      </c>
      <c r="J104" s="197" t="s">
        <v>26601</v>
      </c>
      <c r="K104" t="s">
        <v>25894</v>
      </c>
      <c r="L104" s="197" t="s">
        <v>26703</v>
      </c>
      <c r="M104" s="198" t="s">
        <v>25896</v>
      </c>
      <c r="N104" s="197" t="s">
        <v>25897</v>
      </c>
      <c r="O104" s="195">
        <v>0.06</v>
      </c>
    </row>
    <row r="105" spans="1:15" ht="28.8" x14ac:dyDescent="0.3">
      <c r="A105" t="s">
        <v>117</v>
      </c>
      <c r="B105" t="s">
        <v>25894</v>
      </c>
      <c r="C105" s="194" t="s">
        <v>17058</v>
      </c>
      <c r="D105" t="s">
        <v>25894</v>
      </c>
      <c r="E105" s="194" t="s">
        <v>450</v>
      </c>
      <c r="F105" t="s">
        <v>25894</v>
      </c>
      <c r="G105" s="194" t="s">
        <v>26274</v>
      </c>
      <c r="H105" t="s">
        <v>25894</v>
      </c>
      <c r="I105">
        <v>7</v>
      </c>
      <c r="J105" s="197" t="s">
        <v>26598</v>
      </c>
      <c r="K105" t="s">
        <v>25894</v>
      </c>
      <c r="L105" s="197" t="s">
        <v>26703</v>
      </c>
      <c r="M105" s="198" t="s">
        <v>25896</v>
      </c>
      <c r="N105" s="197" t="s">
        <v>25897</v>
      </c>
      <c r="O105" s="195">
        <v>0.11</v>
      </c>
    </row>
    <row r="106" spans="1:15" ht="57.6" x14ac:dyDescent="0.3">
      <c r="A106" t="s">
        <v>118</v>
      </c>
      <c r="B106" t="s">
        <v>25894</v>
      </c>
      <c r="C106" s="194" t="s">
        <v>17061</v>
      </c>
      <c r="D106" t="s">
        <v>25894</v>
      </c>
      <c r="E106" s="194" t="s">
        <v>451</v>
      </c>
      <c r="F106" t="s">
        <v>25894</v>
      </c>
      <c r="G106" s="194" t="s">
        <v>26385</v>
      </c>
      <c r="H106" t="s">
        <v>25894</v>
      </c>
      <c r="I106">
        <v>2</v>
      </c>
      <c r="J106" s="197" t="s">
        <v>26603</v>
      </c>
      <c r="K106" t="s">
        <v>25894</v>
      </c>
      <c r="L106" s="197" t="s">
        <v>26703</v>
      </c>
      <c r="M106" s="198" t="s">
        <v>25896</v>
      </c>
      <c r="N106" s="197" t="s">
        <v>25897</v>
      </c>
      <c r="O106" s="195">
        <v>0.03</v>
      </c>
    </row>
    <row r="107" spans="1:15" ht="43.2" x14ac:dyDescent="0.3">
      <c r="A107" t="s">
        <v>119</v>
      </c>
      <c r="B107" t="s">
        <v>25894</v>
      </c>
      <c r="C107" s="194" t="s">
        <v>17061</v>
      </c>
      <c r="D107" t="s">
        <v>25894</v>
      </c>
      <c r="E107" s="194" t="s">
        <v>452</v>
      </c>
      <c r="F107" t="s">
        <v>25894</v>
      </c>
      <c r="G107" s="194" t="s">
        <v>26386</v>
      </c>
      <c r="H107" t="s">
        <v>25894</v>
      </c>
      <c r="I107">
        <v>4</v>
      </c>
      <c r="J107" s="197" t="s">
        <v>26601</v>
      </c>
      <c r="K107" t="s">
        <v>25894</v>
      </c>
      <c r="L107" s="197" t="s">
        <v>26703</v>
      </c>
      <c r="M107" s="198" t="s">
        <v>25896</v>
      </c>
      <c r="N107" s="197" t="s">
        <v>25897</v>
      </c>
      <c r="O107" s="195">
        <v>0.06</v>
      </c>
    </row>
    <row r="108" spans="1:15" ht="43.2" x14ac:dyDescent="0.3">
      <c r="A108" t="s">
        <v>120</v>
      </c>
      <c r="B108" t="s">
        <v>25894</v>
      </c>
      <c r="C108" s="194" t="s">
        <v>17062</v>
      </c>
      <c r="D108" t="s">
        <v>25894</v>
      </c>
      <c r="E108" s="194" t="s">
        <v>453</v>
      </c>
      <c r="F108" t="s">
        <v>25894</v>
      </c>
      <c r="G108" s="194" t="s">
        <v>26649</v>
      </c>
      <c r="H108" t="s">
        <v>25894</v>
      </c>
      <c r="I108">
        <v>3</v>
      </c>
      <c r="J108" s="197" t="s">
        <v>26602</v>
      </c>
      <c r="K108" t="s">
        <v>25894</v>
      </c>
      <c r="L108" s="197" t="s">
        <v>26703</v>
      </c>
      <c r="M108" s="198" t="s">
        <v>25896</v>
      </c>
      <c r="N108" s="197" t="s">
        <v>25897</v>
      </c>
      <c r="O108" s="195">
        <v>0.05</v>
      </c>
    </row>
    <row r="109" spans="1:15" ht="72" x14ac:dyDescent="0.3">
      <c r="A109" t="s">
        <v>121</v>
      </c>
      <c r="B109" t="s">
        <v>25894</v>
      </c>
      <c r="C109" s="194" t="s">
        <v>25602</v>
      </c>
      <c r="D109" t="s">
        <v>25894</v>
      </c>
      <c r="E109" s="194" t="s">
        <v>25602</v>
      </c>
      <c r="F109" t="s">
        <v>25894</v>
      </c>
      <c r="G109" s="194" t="s">
        <v>26387</v>
      </c>
      <c r="H109" t="s">
        <v>25894</v>
      </c>
      <c r="I109">
        <v>3</v>
      </c>
      <c r="J109" s="197" t="s">
        <v>26602</v>
      </c>
      <c r="K109" t="s">
        <v>25894</v>
      </c>
      <c r="L109" s="197" t="s">
        <v>26703</v>
      </c>
      <c r="M109" s="198" t="s">
        <v>25896</v>
      </c>
      <c r="N109" s="197" t="s">
        <v>25897</v>
      </c>
      <c r="O109" s="195">
        <v>0.05</v>
      </c>
    </row>
    <row r="110" spans="1:15" ht="43.2" x14ac:dyDescent="0.3">
      <c r="A110" t="s">
        <v>122</v>
      </c>
      <c r="B110" t="s">
        <v>25894</v>
      </c>
      <c r="C110" s="194" t="s">
        <v>455</v>
      </c>
      <c r="D110" t="s">
        <v>25894</v>
      </c>
      <c r="E110" s="194" t="s">
        <v>25606</v>
      </c>
      <c r="F110" t="s">
        <v>25894</v>
      </c>
      <c r="G110" s="194" t="s">
        <v>26388</v>
      </c>
      <c r="H110" t="s">
        <v>25894</v>
      </c>
      <c r="I110">
        <v>2</v>
      </c>
      <c r="J110" s="197" t="s">
        <v>26603</v>
      </c>
      <c r="K110" t="s">
        <v>25894</v>
      </c>
      <c r="L110" s="197" t="s">
        <v>26703</v>
      </c>
      <c r="M110" s="198" t="s">
        <v>25896</v>
      </c>
      <c r="N110" s="197" t="s">
        <v>25897</v>
      </c>
      <c r="O110" s="195">
        <v>0.03</v>
      </c>
    </row>
    <row r="111" spans="1:15" ht="28.8" x14ac:dyDescent="0.3">
      <c r="A111" t="s">
        <v>123</v>
      </c>
      <c r="B111" t="s">
        <v>25894</v>
      </c>
      <c r="C111" s="194" t="s">
        <v>17064</v>
      </c>
      <c r="D111" t="s">
        <v>25894</v>
      </c>
      <c r="E111" s="194" t="s">
        <v>456</v>
      </c>
      <c r="F111" t="s">
        <v>25894</v>
      </c>
      <c r="G111" s="194" t="s">
        <v>26389</v>
      </c>
      <c r="H111" t="s">
        <v>25894</v>
      </c>
      <c r="I111">
        <v>2</v>
      </c>
      <c r="J111" s="197" t="s">
        <v>26603</v>
      </c>
      <c r="K111" t="s">
        <v>25894</v>
      </c>
      <c r="L111" s="197" t="s">
        <v>26703</v>
      </c>
      <c r="M111" s="198" t="s">
        <v>25896</v>
      </c>
      <c r="N111" s="197" t="s">
        <v>25897</v>
      </c>
      <c r="O111" s="195">
        <v>0.03</v>
      </c>
    </row>
    <row r="112" spans="1:15" ht="57.6" x14ac:dyDescent="0.3">
      <c r="A112" t="s">
        <v>124</v>
      </c>
      <c r="B112" t="s">
        <v>25894</v>
      </c>
      <c r="C112" s="194" t="s">
        <v>457</v>
      </c>
      <c r="D112" t="s">
        <v>25894</v>
      </c>
      <c r="E112" s="194" t="s">
        <v>457</v>
      </c>
      <c r="F112" t="s">
        <v>25894</v>
      </c>
      <c r="G112" s="194" t="s">
        <v>26390</v>
      </c>
      <c r="H112" t="s">
        <v>25894</v>
      </c>
      <c r="I112">
        <v>1</v>
      </c>
      <c r="J112" s="197" t="s">
        <v>26604</v>
      </c>
      <c r="K112" t="s">
        <v>25894</v>
      </c>
      <c r="L112" s="197" t="s">
        <v>26703</v>
      </c>
      <c r="M112" s="198" t="s">
        <v>25896</v>
      </c>
      <c r="N112" s="197" t="s">
        <v>25897</v>
      </c>
      <c r="O112" s="195">
        <v>0.02</v>
      </c>
    </row>
    <row r="113" spans="1:15" x14ac:dyDescent="0.3">
      <c r="A113" t="s">
        <v>125</v>
      </c>
      <c r="B113" t="s">
        <v>25894</v>
      </c>
      <c r="C113" s="194" t="s">
        <v>458</v>
      </c>
      <c r="D113" t="s">
        <v>25894</v>
      </c>
      <c r="E113" s="194" t="s">
        <v>458</v>
      </c>
      <c r="F113" t="s">
        <v>25894</v>
      </c>
      <c r="G113" s="194" t="s">
        <v>26391</v>
      </c>
      <c r="H113" t="s">
        <v>25894</v>
      </c>
      <c r="I113">
        <v>1</v>
      </c>
      <c r="J113" s="197" t="s">
        <v>26604</v>
      </c>
      <c r="K113" t="s">
        <v>25894</v>
      </c>
      <c r="L113" s="197" t="s">
        <v>26703</v>
      </c>
      <c r="M113" s="198" t="s">
        <v>25896</v>
      </c>
      <c r="N113" s="197" t="s">
        <v>25897</v>
      </c>
      <c r="O113" s="195">
        <v>0.02</v>
      </c>
    </row>
    <row r="114" spans="1:15" ht="57.6" x14ac:dyDescent="0.3">
      <c r="A114" t="s">
        <v>126</v>
      </c>
      <c r="B114" t="s">
        <v>25894</v>
      </c>
      <c r="C114" s="194" t="s">
        <v>17065</v>
      </c>
      <c r="D114" t="s">
        <v>25894</v>
      </c>
      <c r="E114" s="194" t="s">
        <v>459</v>
      </c>
      <c r="F114" t="s">
        <v>25894</v>
      </c>
      <c r="G114" s="194" t="s">
        <v>26632</v>
      </c>
      <c r="H114" t="s">
        <v>25894</v>
      </c>
      <c r="I114">
        <v>1</v>
      </c>
      <c r="J114" s="197" t="s">
        <v>26604</v>
      </c>
      <c r="K114" t="s">
        <v>25894</v>
      </c>
      <c r="L114" s="197" t="s">
        <v>26703</v>
      </c>
      <c r="M114" s="198" t="s">
        <v>25896</v>
      </c>
      <c r="N114" s="197" t="s">
        <v>25897</v>
      </c>
      <c r="O114" s="195">
        <v>0.02</v>
      </c>
    </row>
    <row r="115" spans="1:15" ht="43.2" x14ac:dyDescent="0.3">
      <c r="A115" t="s">
        <v>127</v>
      </c>
      <c r="B115" t="s">
        <v>25894</v>
      </c>
      <c r="C115" s="194" t="s">
        <v>17066</v>
      </c>
      <c r="D115" t="s">
        <v>25894</v>
      </c>
      <c r="E115" s="194" t="s">
        <v>460</v>
      </c>
      <c r="F115" t="s">
        <v>25894</v>
      </c>
      <c r="G115" s="194" t="s">
        <v>26392</v>
      </c>
      <c r="H115" t="s">
        <v>25894</v>
      </c>
      <c r="I115">
        <v>3</v>
      </c>
      <c r="J115" s="197" t="s">
        <v>26602</v>
      </c>
      <c r="K115" t="s">
        <v>25894</v>
      </c>
      <c r="L115" s="197" t="s">
        <v>26703</v>
      </c>
      <c r="M115" s="198" t="s">
        <v>25896</v>
      </c>
      <c r="N115" s="197" t="s">
        <v>25897</v>
      </c>
      <c r="O115" s="195">
        <v>0.05</v>
      </c>
    </row>
    <row r="116" spans="1:15" ht="57.6" x14ac:dyDescent="0.3">
      <c r="A116" t="s">
        <v>128</v>
      </c>
      <c r="B116" t="s">
        <v>25894</v>
      </c>
      <c r="C116" s="194" t="s">
        <v>17067</v>
      </c>
      <c r="D116" t="s">
        <v>25894</v>
      </c>
      <c r="E116" s="194" t="s">
        <v>461</v>
      </c>
      <c r="F116" t="s">
        <v>25894</v>
      </c>
      <c r="G116" s="194" t="s">
        <v>26393</v>
      </c>
      <c r="H116" t="s">
        <v>25894</v>
      </c>
      <c r="I116">
        <v>5</v>
      </c>
      <c r="J116" s="197" t="s">
        <v>26600</v>
      </c>
      <c r="K116" t="s">
        <v>25894</v>
      </c>
      <c r="L116" s="197" t="s">
        <v>26703</v>
      </c>
      <c r="M116" s="198" t="s">
        <v>25896</v>
      </c>
      <c r="N116" s="197" t="s">
        <v>25897</v>
      </c>
      <c r="O116" s="195">
        <v>0.08</v>
      </c>
    </row>
    <row r="117" spans="1:15" ht="28.8" x14ac:dyDescent="0.3">
      <c r="A117" t="s">
        <v>129</v>
      </c>
      <c r="B117" t="s">
        <v>25894</v>
      </c>
      <c r="C117" s="194" t="s">
        <v>17068</v>
      </c>
      <c r="D117" t="s">
        <v>25894</v>
      </c>
      <c r="E117" s="194" t="s">
        <v>26705</v>
      </c>
      <c r="F117" t="s">
        <v>25894</v>
      </c>
      <c r="G117" s="194" t="s">
        <v>26394</v>
      </c>
      <c r="H117" t="s">
        <v>25894</v>
      </c>
      <c r="I117">
        <v>3</v>
      </c>
      <c r="J117" s="197" t="s">
        <v>26602</v>
      </c>
      <c r="K117" t="s">
        <v>25894</v>
      </c>
      <c r="L117" s="197" t="s">
        <v>26703</v>
      </c>
      <c r="M117" s="198" t="s">
        <v>25896</v>
      </c>
      <c r="N117" s="197" t="s">
        <v>25897</v>
      </c>
      <c r="O117" s="195">
        <v>0.05</v>
      </c>
    </row>
    <row r="118" spans="1:15" ht="57.6" x14ac:dyDescent="0.3">
      <c r="A118" t="s">
        <v>130</v>
      </c>
      <c r="B118" t="s">
        <v>25894</v>
      </c>
      <c r="C118" s="194" t="s">
        <v>17070</v>
      </c>
      <c r="D118" t="s">
        <v>25894</v>
      </c>
      <c r="E118" s="194" t="s">
        <v>463</v>
      </c>
      <c r="F118" t="s">
        <v>25894</v>
      </c>
      <c r="G118" s="194" t="s">
        <v>26395</v>
      </c>
      <c r="H118" t="s">
        <v>25894</v>
      </c>
      <c r="I118">
        <v>1</v>
      </c>
      <c r="J118" s="197" t="s">
        <v>26604</v>
      </c>
      <c r="K118" t="s">
        <v>25894</v>
      </c>
      <c r="L118" s="197" t="s">
        <v>26703</v>
      </c>
      <c r="M118" s="198" t="s">
        <v>25896</v>
      </c>
      <c r="N118" s="197" t="s">
        <v>25897</v>
      </c>
      <c r="O118" s="195">
        <v>0.02</v>
      </c>
    </row>
    <row r="119" spans="1:15" ht="43.2" x14ac:dyDescent="0.3">
      <c r="A119" t="s">
        <v>131</v>
      </c>
      <c r="B119" t="s">
        <v>25894</v>
      </c>
      <c r="C119" s="194" t="s">
        <v>17071</v>
      </c>
      <c r="D119" t="s">
        <v>25894</v>
      </c>
      <c r="E119" s="194" t="s">
        <v>464</v>
      </c>
      <c r="F119" t="s">
        <v>25894</v>
      </c>
      <c r="G119" s="194" t="s">
        <v>26396</v>
      </c>
      <c r="H119" t="s">
        <v>25894</v>
      </c>
      <c r="I119">
        <v>3</v>
      </c>
      <c r="J119" s="197" t="s">
        <v>26602</v>
      </c>
      <c r="K119" t="s">
        <v>25894</v>
      </c>
      <c r="L119" s="197" t="s">
        <v>26703</v>
      </c>
      <c r="M119" s="198" t="s">
        <v>25896</v>
      </c>
      <c r="N119" s="197" t="s">
        <v>25897</v>
      </c>
      <c r="O119" s="195">
        <v>0.05</v>
      </c>
    </row>
    <row r="120" spans="1:15" ht="57.6" x14ac:dyDescent="0.3">
      <c r="A120" t="s">
        <v>132</v>
      </c>
      <c r="B120" t="s">
        <v>25894</v>
      </c>
      <c r="C120" s="194" t="s">
        <v>17074</v>
      </c>
      <c r="D120" t="s">
        <v>25894</v>
      </c>
      <c r="E120" s="194" t="s">
        <v>465</v>
      </c>
      <c r="F120" t="s">
        <v>25894</v>
      </c>
      <c r="G120" s="194" t="s">
        <v>26397</v>
      </c>
      <c r="H120" t="s">
        <v>25894</v>
      </c>
      <c r="I120">
        <v>1</v>
      </c>
      <c r="J120" s="197" t="s">
        <v>26604</v>
      </c>
      <c r="K120" t="s">
        <v>25894</v>
      </c>
      <c r="L120" s="197" t="s">
        <v>26703</v>
      </c>
      <c r="M120" s="198" t="s">
        <v>25896</v>
      </c>
      <c r="N120" s="197" t="s">
        <v>25897</v>
      </c>
      <c r="O120" s="195">
        <v>0.02</v>
      </c>
    </row>
    <row r="121" spans="1:15" ht="57.6" x14ac:dyDescent="0.3">
      <c r="A121" t="s">
        <v>133</v>
      </c>
      <c r="B121" t="s">
        <v>25894</v>
      </c>
      <c r="C121" s="194" t="s">
        <v>17075</v>
      </c>
      <c r="D121" t="s">
        <v>25894</v>
      </c>
      <c r="E121" s="194" t="s">
        <v>466</v>
      </c>
      <c r="F121" t="s">
        <v>25894</v>
      </c>
      <c r="G121" s="194" t="s">
        <v>26398</v>
      </c>
      <c r="H121" t="s">
        <v>25894</v>
      </c>
      <c r="I121">
        <v>3</v>
      </c>
      <c r="J121" s="197" t="s">
        <v>26602</v>
      </c>
      <c r="K121" t="s">
        <v>25894</v>
      </c>
      <c r="L121" s="197" t="s">
        <v>26703</v>
      </c>
      <c r="M121" s="198" t="s">
        <v>25896</v>
      </c>
      <c r="N121" s="197" t="s">
        <v>25897</v>
      </c>
      <c r="O121" s="195">
        <v>0.05</v>
      </c>
    </row>
    <row r="122" spans="1:15" ht="57.6" x14ac:dyDescent="0.3">
      <c r="A122" t="s">
        <v>134</v>
      </c>
      <c r="B122" t="s">
        <v>25894</v>
      </c>
      <c r="C122" s="194" t="s">
        <v>467</v>
      </c>
      <c r="D122" t="s">
        <v>25894</v>
      </c>
      <c r="E122" s="194" t="s">
        <v>467</v>
      </c>
      <c r="F122" t="s">
        <v>25894</v>
      </c>
      <c r="G122" s="194" t="s">
        <v>26399</v>
      </c>
      <c r="H122" t="s">
        <v>25894</v>
      </c>
      <c r="I122">
        <v>2</v>
      </c>
      <c r="J122" s="197" t="s">
        <v>26603</v>
      </c>
      <c r="K122" t="s">
        <v>25894</v>
      </c>
      <c r="L122" s="197" t="s">
        <v>26703</v>
      </c>
      <c r="M122" s="198" t="s">
        <v>25896</v>
      </c>
      <c r="N122" s="197" t="s">
        <v>25897</v>
      </c>
      <c r="O122" s="195">
        <v>0.03</v>
      </c>
    </row>
    <row r="123" spans="1:15" ht="57.6" x14ac:dyDescent="0.3">
      <c r="A123" t="s">
        <v>135</v>
      </c>
      <c r="B123" t="s">
        <v>25894</v>
      </c>
      <c r="C123" s="194" t="s">
        <v>468</v>
      </c>
      <c r="D123" t="s">
        <v>25894</v>
      </c>
      <c r="E123" s="194" t="s">
        <v>468</v>
      </c>
      <c r="F123" t="s">
        <v>25894</v>
      </c>
      <c r="G123" s="194" t="s">
        <v>26401</v>
      </c>
      <c r="H123" t="s">
        <v>25894</v>
      </c>
      <c r="I123">
        <v>1</v>
      </c>
      <c r="J123" s="197" t="s">
        <v>26604</v>
      </c>
      <c r="K123" t="s">
        <v>25894</v>
      </c>
      <c r="L123" s="197" t="s">
        <v>26703</v>
      </c>
      <c r="M123" s="198" t="s">
        <v>25896</v>
      </c>
      <c r="N123" s="197" t="s">
        <v>25897</v>
      </c>
      <c r="O123" s="195">
        <v>0.02</v>
      </c>
    </row>
    <row r="124" spans="1:15" ht="28.8" x14ac:dyDescent="0.3">
      <c r="A124" t="s">
        <v>136</v>
      </c>
      <c r="B124" t="s">
        <v>25894</v>
      </c>
      <c r="C124" s="194" t="s">
        <v>469</v>
      </c>
      <c r="D124" t="s">
        <v>25894</v>
      </c>
      <c r="E124" s="194" t="s">
        <v>469</v>
      </c>
      <c r="F124" t="s">
        <v>25894</v>
      </c>
      <c r="G124" s="194" t="s">
        <v>26402</v>
      </c>
      <c r="H124" t="s">
        <v>25894</v>
      </c>
      <c r="I124">
        <v>1</v>
      </c>
      <c r="J124" s="197" t="s">
        <v>26604</v>
      </c>
      <c r="K124" t="s">
        <v>25894</v>
      </c>
      <c r="L124" s="197" t="s">
        <v>26703</v>
      </c>
      <c r="M124" s="198" t="s">
        <v>25896</v>
      </c>
      <c r="N124" s="197" t="s">
        <v>25897</v>
      </c>
      <c r="O124" s="195">
        <v>0.02</v>
      </c>
    </row>
    <row r="125" spans="1:15" ht="57.6" x14ac:dyDescent="0.3">
      <c r="A125" t="s">
        <v>137</v>
      </c>
      <c r="B125" t="s">
        <v>25894</v>
      </c>
      <c r="C125" s="194" t="s">
        <v>17076</v>
      </c>
      <c r="D125" t="s">
        <v>25894</v>
      </c>
      <c r="E125" s="194" t="s">
        <v>17345</v>
      </c>
      <c r="F125" t="s">
        <v>25894</v>
      </c>
      <c r="G125" s="219" t="s">
        <v>26634</v>
      </c>
      <c r="H125" t="s">
        <v>25894</v>
      </c>
      <c r="I125">
        <v>5</v>
      </c>
      <c r="J125" s="197" t="s">
        <v>26600</v>
      </c>
      <c r="K125" t="s">
        <v>25894</v>
      </c>
      <c r="L125" s="197" t="s">
        <v>26703</v>
      </c>
      <c r="M125" s="198" t="s">
        <v>25896</v>
      </c>
      <c r="N125" s="197" t="s">
        <v>25897</v>
      </c>
      <c r="O125" s="195">
        <v>0.08</v>
      </c>
    </row>
    <row r="126" spans="1:15" ht="43.2" x14ac:dyDescent="0.3">
      <c r="A126" t="s">
        <v>138</v>
      </c>
      <c r="B126" t="s">
        <v>25894</v>
      </c>
      <c r="C126" s="194" t="s">
        <v>471</v>
      </c>
      <c r="D126" t="s">
        <v>25894</v>
      </c>
      <c r="E126" s="194" t="s">
        <v>471</v>
      </c>
      <c r="F126" t="s">
        <v>25894</v>
      </c>
      <c r="G126" s="194" t="s">
        <v>26403</v>
      </c>
      <c r="H126" t="s">
        <v>25894</v>
      </c>
      <c r="I126">
        <v>6</v>
      </c>
      <c r="J126" s="197" t="s">
        <v>26599</v>
      </c>
      <c r="K126" t="s">
        <v>25894</v>
      </c>
      <c r="L126" s="197" t="s">
        <v>26703</v>
      </c>
      <c r="M126" s="198" t="s">
        <v>25896</v>
      </c>
      <c r="N126" s="197" t="s">
        <v>25897</v>
      </c>
      <c r="O126" s="195">
        <v>0.09</v>
      </c>
    </row>
    <row r="127" spans="1:15" ht="43.2" x14ac:dyDescent="0.3">
      <c r="A127" t="s">
        <v>139</v>
      </c>
      <c r="B127" t="s">
        <v>25894</v>
      </c>
      <c r="C127" s="194" t="s">
        <v>472</v>
      </c>
      <c r="D127" t="s">
        <v>25894</v>
      </c>
      <c r="E127" s="194" t="s">
        <v>472</v>
      </c>
      <c r="F127" t="s">
        <v>25894</v>
      </c>
      <c r="G127" s="194" t="s">
        <v>26306</v>
      </c>
      <c r="H127" t="s">
        <v>25894</v>
      </c>
      <c r="I127">
        <v>3</v>
      </c>
      <c r="J127" s="197" t="s">
        <v>26602</v>
      </c>
      <c r="K127" t="s">
        <v>25894</v>
      </c>
      <c r="L127" s="197" t="s">
        <v>26703</v>
      </c>
      <c r="M127" s="198" t="s">
        <v>25896</v>
      </c>
      <c r="N127" s="197" t="s">
        <v>25897</v>
      </c>
      <c r="O127" s="195">
        <v>0.05</v>
      </c>
    </row>
    <row r="128" spans="1:15" ht="43.2" x14ac:dyDescent="0.3">
      <c r="A128" t="s">
        <v>140</v>
      </c>
      <c r="B128" t="s">
        <v>25894</v>
      </c>
      <c r="C128" s="194" t="s">
        <v>473</v>
      </c>
      <c r="D128" t="s">
        <v>25894</v>
      </c>
      <c r="E128" s="194" t="s">
        <v>473</v>
      </c>
      <c r="F128" t="s">
        <v>25894</v>
      </c>
      <c r="G128" s="194" t="s">
        <v>26404</v>
      </c>
      <c r="H128" t="s">
        <v>25894</v>
      </c>
      <c r="I128">
        <v>3</v>
      </c>
      <c r="J128" s="197" t="s">
        <v>26602</v>
      </c>
      <c r="K128" t="s">
        <v>25894</v>
      </c>
      <c r="L128" s="197" t="s">
        <v>26703</v>
      </c>
      <c r="M128" s="198" t="s">
        <v>25896</v>
      </c>
      <c r="N128" s="197" t="s">
        <v>25897</v>
      </c>
      <c r="O128" s="195">
        <v>0.05</v>
      </c>
    </row>
    <row r="129" spans="1:15" ht="43.2" x14ac:dyDescent="0.3">
      <c r="A129" t="s">
        <v>141</v>
      </c>
      <c r="B129" t="s">
        <v>25894</v>
      </c>
      <c r="C129" s="194" t="s">
        <v>474</v>
      </c>
      <c r="D129" t="s">
        <v>25894</v>
      </c>
      <c r="E129" s="194" t="s">
        <v>474</v>
      </c>
      <c r="F129" t="s">
        <v>25894</v>
      </c>
      <c r="G129" s="194" t="s">
        <v>26405</v>
      </c>
      <c r="H129" t="s">
        <v>25894</v>
      </c>
      <c r="I129">
        <v>2</v>
      </c>
      <c r="J129" s="197" t="s">
        <v>26603</v>
      </c>
      <c r="K129" t="s">
        <v>25894</v>
      </c>
      <c r="L129" s="197" t="s">
        <v>26703</v>
      </c>
      <c r="M129" s="198" t="s">
        <v>25896</v>
      </c>
      <c r="N129" s="197" t="s">
        <v>25897</v>
      </c>
      <c r="O129" s="195">
        <v>0.03</v>
      </c>
    </row>
    <row r="130" spans="1:15" ht="43.2" x14ac:dyDescent="0.3">
      <c r="A130" t="s">
        <v>142</v>
      </c>
      <c r="B130" t="s">
        <v>25894</v>
      </c>
      <c r="C130" s="194" t="s">
        <v>475</v>
      </c>
      <c r="D130" t="s">
        <v>25894</v>
      </c>
      <c r="E130" s="194" t="s">
        <v>475</v>
      </c>
      <c r="F130" t="s">
        <v>25894</v>
      </c>
      <c r="G130" s="194" t="s">
        <v>26406</v>
      </c>
      <c r="H130" t="s">
        <v>25894</v>
      </c>
      <c r="I130">
        <v>4</v>
      </c>
      <c r="J130" s="197" t="s">
        <v>26601</v>
      </c>
      <c r="K130" t="s">
        <v>25894</v>
      </c>
      <c r="L130" s="197" t="s">
        <v>26703</v>
      </c>
      <c r="M130" s="198" t="s">
        <v>25896</v>
      </c>
      <c r="N130" s="197" t="s">
        <v>25897</v>
      </c>
      <c r="O130" s="195">
        <v>0.06</v>
      </c>
    </row>
    <row r="131" spans="1:15" ht="72" x14ac:dyDescent="0.3">
      <c r="A131" t="s">
        <v>143</v>
      </c>
      <c r="B131" t="s">
        <v>25894</v>
      </c>
      <c r="C131" s="194" t="s">
        <v>476</v>
      </c>
      <c r="D131" t="s">
        <v>25894</v>
      </c>
      <c r="E131" s="194" t="s">
        <v>476</v>
      </c>
      <c r="F131" t="s">
        <v>25894</v>
      </c>
      <c r="G131" s="194" t="s">
        <v>26307</v>
      </c>
      <c r="H131" t="s">
        <v>25894</v>
      </c>
      <c r="I131">
        <v>4</v>
      </c>
      <c r="J131" s="197" t="s">
        <v>26601</v>
      </c>
      <c r="K131" t="s">
        <v>25894</v>
      </c>
      <c r="L131" s="197" t="s">
        <v>26703</v>
      </c>
      <c r="M131" s="198" t="s">
        <v>25896</v>
      </c>
      <c r="N131" s="197" t="s">
        <v>25897</v>
      </c>
      <c r="O131" s="195">
        <v>0.06</v>
      </c>
    </row>
    <row r="132" spans="1:15" ht="43.2" x14ac:dyDescent="0.3">
      <c r="A132" t="s">
        <v>144</v>
      </c>
      <c r="B132" t="s">
        <v>25894</v>
      </c>
      <c r="C132" s="194" t="s">
        <v>477</v>
      </c>
      <c r="D132" t="s">
        <v>25894</v>
      </c>
      <c r="E132" s="194" t="s">
        <v>477</v>
      </c>
      <c r="F132" t="s">
        <v>25894</v>
      </c>
      <c r="G132" s="194" t="s">
        <v>26407</v>
      </c>
      <c r="H132" t="s">
        <v>25894</v>
      </c>
      <c r="I132">
        <v>2</v>
      </c>
      <c r="J132" s="197" t="s">
        <v>26603</v>
      </c>
      <c r="K132" t="s">
        <v>25894</v>
      </c>
      <c r="L132" s="197" t="s">
        <v>26703</v>
      </c>
      <c r="M132" s="198" t="s">
        <v>25896</v>
      </c>
      <c r="N132" s="197" t="s">
        <v>25897</v>
      </c>
      <c r="O132" s="195">
        <v>0.03</v>
      </c>
    </row>
    <row r="133" spans="1:15" ht="57.6" x14ac:dyDescent="0.3">
      <c r="A133" t="s">
        <v>145</v>
      </c>
      <c r="B133" t="s">
        <v>25894</v>
      </c>
      <c r="C133" s="194" t="s">
        <v>478</v>
      </c>
      <c r="D133" t="s">
        <v>25894</v>
      </c>
      <c r="E133" s="194" t="s">
        <v>478</v>
      </c>
      <c r="F133" t="s">
        <v>25894</v>
      </c>
      <c r="G133" s="194" t="s">
        <v>26408</v>
      </c>
      <c r="H133" t="s">
        <v>25894</v>
      </c>
      <c r="I133">
        <v>2</v>
      </c>
      <c r="J133" s="197" t="s">
        <v>26603</v>
      </c>
      <c r="K133" t="s">
        <v>25894</v>
      </c>
      <c r="L133" s="197" t="s">
        <v>26703</v>
      </c>
      <c r="M133" s="198" t="s">
        <v>25896</v>
      </c>
      <c r="N133" s="197" t="s">
        <v>25897</v>
      </c>
      <c r="O133" s="195">
        <v>0.03</v>
      </c>
    </row>
    <row r="134" spans="1:15" ht="43.2" x14ac:dyDescent="0.3">
      <c r="A134" t="s">
        <v>146</v>
      </c>
      <c r="B134" t="s">
        <v>25894</v>
      </c>
      <c r="C134" s="194" t="s">
        <v>479</v>
      </c>
      <c r="D134" t="s">
        <v>25894</v>
      </c>
      <c r="E134" s="194" t="s">
        <v>479</v>
      </c>
      <c r="F134" t="s">
        <v>25894</v>
      </c>
      <c r="G134" s="194" t="s">
        <v>26409</v>
      </c>
      <c r="H134" t="s">
        <v>25894</v>
      </c>
      <c r="I134">
        <v>2</v>
      </c>
      <c r="J134" s="197" t="s">
        <v>26603</v>
      </c>
      <c r="K134" t="s">
        <v>25894</v>
      </c>
      <c r="L134" s="197" t="s">
        <v>26703</v>
      </c>
      <c r="M134" s="198" t="s">
        <v>25896</v>
      </c>
      <c r="N134" s="197" t="s">
        <v>25897</v>
      </c>
      <c r="O134" s="195">
        <v>0.03</v>
      </c>
    </row>
    <row r="135" spans="1:15" ht="43.2" x14ac:dyDescent="0.3">
      <c r="A135" t="s">
        <v>147</v>
      </c>
      <c r="B135" t="s">
        <v>25894</v>
      </c>
      <c r="C135" s="194" t="s">
        <v>480</v>
      </c>
      <c r="D135" t="s">
        <v>25894</v>
      </c>
      <c r="E135" s="194" t="s">
        <v>480</v>
      </c>
      <c r="F135" t="s">
        <v>25894</v>
      </c>
      <c r="G135" s="194" t="s">
        <v>26410</v>
      </c>
      <c r="H135" t="s">
        <v>25894</v>
      </c>
      <c r="I135">
        <v>1</v>
      </c>
      <c r="J135" s="197" t="s">
        <v>26604</v>
      </c>
      <c r="K135" t="s">
        <v>25894</v>
      </c>
      <c r="L135" s="197" t="s">
        <v>26703</v>
      </c>
      <c r="M135" s="198" t="s">
        <v>25896</v>
      </c>
      <c r="N135" s="197" t="s">
        <v>25897</v>
      </c>
      <c r="O135" s="195">
        <v>0.02</v>
      </c>
    </row>
    <row r="136" spans="1:15" ht="28.8" x14ac:dyDescent="0.3">
      <c r="A136" t="s">
        <v>148</v>
      </c>
      <c r="B136" t="s">
        <v>25894</v>
      </c>
      <c r="C136" s="194" t="s">
        <v>481</v>
      </c>
      <c r="D136" t="s">
        <v>25894</v>
      </c>
      <c r="E136" s="194" t="s">
        <v>481</v>
      </c>
      <c r="F136" t="s">
        <v>25894</v>
      </c>
      <c r="G136" s="194" t="s">
        <v>26411</v>
      </c>
      <c r="H136" t="s">
        <v>25894</v>
      </c>
      <c r="I136">
        <v>2</v>
      </c>
      <c r="J136" s="197" t="s">
        <v>26603</v>
      </c>
      <c r="K136" t="s">
        <v>25894</v>
      </c>
      <c r="L136" s="197" t="s">
        <v>26703</v>
      </c>
      <c r="M136" s="198" t="s">
        <v>25896</v>
      </c>
      <c r="N136" s="197" t="s">
        <v>25897</v>
      </c>
      <c r="O136" s="195">
        <v>0.03</v>
      </c>
    </row>
    <row r="137" spans="1:15" ht="57.6" x14ac:dyDescent="0.3">
      <c r="A137" t="s">
        <v>149</v>
      </c>
      <c r="B137" t="s">
        <v>25894</v>
      </c>
      <c r="C137" s="194" t="s">
        <v>25639</v>
      </c>
      <c r="D137" t="s">
        <v>25894</v>
      </c>
      <c r="E137" s="194" t="s">
        <v>25639</v>
      </c>
      <c r="F137" t="s">
        <v>25894</v>
      </c>
      <c r="G137" s="194" t="s">
        <v>26412</v>
      </c>
      <c r="H137" t="s">
        <v>25894</v>
      </c>
      <c r="I137">
        <v>1</v>
      </c>
      <c r="J137" s="197" t="s">
        <v>26604</v>
      </c>
      <c r="K137" t="s">
        <v>25894</v>
      </c>
      <c r="L137" s="197" t="s">
        <v>26703</v>
      </c>
      <c r="M137" s="198" t="s">
        <v>25896</v>
      </c>
      <c r="N137" s="197" t="s">
        <v>25897</v>
      </c>
      <c r="O137" s="195">
        <v>0.02</v>
      </c>
    </row>
    <row r="138" spans="1:15" ht="57.6" x14ac:dyDescent="0.3">
      <c r="A138" t="s">
        <v>150</v>
      </c>
      <c r="B138" t="s">
        <v>25894</v>
      </c>
      <c r="C138" s="194" t="s">
        <v>483</v>
      </c>
      <c r="D138" t="s">
        <v>25894</v>
      </c>
      <c r="E138" s="194" t="s">
        <v>483</v>
      </c>
      <c r="F138" t="s">
        <v>25894</v>
      </c>
      <c r="G138" s="194" t="s">
        <v>26413</v>
      </c>
      <c r="H138" t="s">
        <v>25894</v>
      </c>
      <c r="I138">
        <v>3</v>
      </c>
      <c r="J138" s="197" t="s">
        <v>26602</v>
      </c>
      <c r="K138" t="s">
        <v>25894</v>
      </c>
      <c r="L138" s="197" t="s">
        <v>26703</v>
      </c>
      <c r="M138" s="198" t="s">
        <v>25896</v>
      </c>
      <c r="N138" s="197" t="s">
        <v>25897</v>
      </c>
      <c r="O138" s="195">
        <v>0.05</v>
      </c>
    </row>
    <row r="139" spans="1:15" ht="57.6" x14ac:dyDescent="0.3">
      <c r="A139" t="s">
        <v>151</v>
      </c>
      <c r="B139" t="s">
        <v>25894</v>
      </c>
      <c r="C139" s="194" t="s">
        <v>484</v>
      </c>
      <c r="D139" t="s">
        <v>25894</v>
      </c>
      <c r="E139" s="194" t="s">
        <v>484</v>
      </c>
      <c r="F139" t="s">
        <v>25894</v>
      </c>
      <c r="G139" s="194" t="s">
        <v>26414</v>
      </c>
      <c r="H139" t="s">
        <v>25894</v>
      </c>
      <c r="I139">
        <v>1</v>
      </c>
      <c r="J139" s="197" t="s">
        <v>26604</v>
      </c>
      <c r="K139" t="s">
        <v>25894</v>
      </c>
      <c r="L139" s="197" t="s">
        <v>26703</v>
      </c>
      <c r="M139" s="198" t="s">
        <v>25896</v>
      </c>
      <c r="N139" s="197" t="s">
        <v>25897</v>
      </c>
      <c r="O139" s="195">
        <v>0.02</v>
      </c>
    </row>
    <row r="140" spans="1:15" ht="57.6" x14ac:dyDescent="0.3">
      <c r="A140" t="s">
        <v>152</v>
      </c>
      <c r="B140" t="s">
        <v>25894</v>
      </c>
      <c r="C140" s="194" t="s">
        <v>17097</v>
      </c>
      <c r="D140" t="s">
        <v>25894</v>
      </c>
      <c r="E140" s="194" t="s">
        <v>485</v>
      </c>
      <c r="F140" t="s">
        <v>25894</v>
      </c>
      <c r="G140" s="194" t="s">
        <v>26308</v>
      </c>
      <c r="H140" t="s">
        <v>25894</v>
      </c>
      <c r="I140">
        <v>4</v>
      </c>
      <c r="J140" s="197" t="s">
        <v>26601</v>
      </c>
      <c r="K140" t="s">
        <v>25894</v>
      </c>
      <c r="L140" s="197" t="s">
        <v>26703</v>
      </c>
      <c r="M140" s="198" t="s">
        <v>25896</v>
      </c>
      <c r="N140" s="197" t="s">
        <v>25897</v>
      </c>
      <c r="O140" s="195">
        <v>0.06</v>
      </c>
    </row>
    <row r="141" spans="1:15" ht="43.2" x14ac:dyDescent="0.3">
      <c r="A141" t="s">
        <v>153</v>
      </c>
      <c r="B141" t="s">
        <v>25894</v>
      </c>
      <c r="C141" s="194" t="s">
        <v>17100</v>
      </c>
      <c r="D141" t="s">
        <v>25894</v>
      </c>
      <c r="E141" s="194" t="s">
        <v>486</v>
      </c>
      <c r="F141" t="s">
        <v>25894</v>
      </c>
      <c r="G141" s="194" t="s">
        <v>26415</v>
      </c>
      <c r="H141" t="s">
        <v>25894</v>
      </c>
      <c r="I141">
        <v>1</v>
      </c>
      <c r="J141" s="197" t="s">
        <v>26604</v>
      </c>
      <c r="K141" t="s">
        <v>25894</v>
      </c>
      <c r="L141" s="197" t="s">
        <v>26703</v>
      </c>
      <c r="M141" s="198" t="s">
        <v>25896</v>
      </c>
      <c r="N141" s="197" t="s">
        <v>25897</v>
      </c>
      <c r="O141" s="195">
        <v>0.02</v>
      </c>
    </row>
    <row r="142" spans="1:15" ht="57.6" x14ac:dyDescent="0.3">
      <c r="A142" t="s">
        <v>154</v>
      </c>
      <c r="B142" t="s">
        <v>25894</v>
      </c>
      <c r="C142" s="194" t="s">
        <v>17102</v>
      </c>
      <c r="D142" t="s">
        <v>25894</v>
      </c>
      <c r="E142" s="194" t="s">
        <v>487</v>
      </c>
      <c r="F142" t="s">
        <v>25894</v>
      </c>
      <c r="G142" s="194" t="s">
        <v>26309</v>
      </c>
      <c r="H142" t="s">
        <v>25894</v>
      </c>
      <c r="I142">
        <v>5</v>
      </c>
      <c r="J142" s="197" t="s">
        <v>26600</v>
      </c>
      <c r="K142" t="s">
        <v>25894</v>
      </c>
      <c r="L142" s="197" t="s">
        <v>26703</v>
      </c>
      <c r="M142" s="198" t="s">
        <v>25896</v>
      </c>
      <c r="N142" s="197" t="s">
        <v>25897</v>
      </c>
      <c r="O142" s="195">
        <v>0.08</v>
      </c>
    </row>
    <row r="143" spans="1:15" ht="28.8" x14ac:dyDescent="0.3">
      <c r="A143" t="s">
        <v>155</v>
      </c>
      <c r="B143" t="s">
        <v>25894</v>
      </c>
      <c r="C143" s="194" t="s">
        <v>17106</v>
      </c>
      <c r="D143" t="s">
        <v>25894</v>
      </c>
      <c r="E143" s="194" t="s">
        <v>17107</v>
      </c>
      <c r="F143" t="s">
        <v>25894</v>
      </c>
      <c r="G143" s="194" t="s">
        <v>26416</v>
      </c>
      <c r="H143" t="s">
        <v>25894</v>
      </c>
      <c r="I143">
        <v>2</v>
      </c>
      <c r="J143" s="197" t="s">
        <v>26603</v>
      </c>
      <c r="K143" t="s">
        <v>25894</v>
      </c>
      <c r="L143" s="197" t="s">
        <v>26703</v>
      </c>
      <c r="M143" s="198" t="s">
        <v>25896</v>
      </c>
      <c r="N143" s="197" t="s">
        <v>25897</v>
      </c>
      <c r="O143" s="195">
        <v>0.03</v>
      </c>
    </row>
    <row r="144" spans="1:15" ht="86.4" x14ac:dyDescent="0.3">
      <c r="A144" t="s">
        <v>156</v>
      </c>
      <c r="B144" t="s">
        <v>25894</v>
      </c>
      <c r="C144" s="194" t="s">
        <v>17110</v>
      </c>
      <c r="D144" t="s">
        <v>25894</v>
      </c>
      <c r="E144" s="194" t="s">
        <v>489</v>
      </c>
      <c r="F144" t="s">
        <v>25894</v>
      </c>
      <c r="G144" s="194" t="s">
        <v>26286</v>
      </c>
      <c r="H144" t="s">
        <v>25894</v>
      </c>
      <c r="I144">
        <v>5</v>
      </c>
      <c r="J144" s="197" t="s">
        <v>26600</v>
      </c>
      <c r="K144" t="s">
        <v>25894</v>
      </c>
      <c r="L144" s="197" t="s">
        <v>26703</v>
      </c>
      <c r="M144" s="198" t="s">
        <v>25896</v>
      </c>
      <c r="N144" s="197" t="s">
        <v>25897</v>
      </c>
      <c r="O144" s="195">
        <v>0.08</v>
      </c>
    </row>
    <row r="145" spans="1:15" ht="28.8" x14ac:dyDescent="0.3">
      <c r="A145" t="s">
        <v>157</v>
      </c>
      <c r="B145" t="s">
        <v>25894</v>
      </c>
      <c r="C145" s="194" t="s">
        <v>17112</v>
      </c>
      <c r="D145" t="s">
        <v>25894</v>
      </c>
      <c r="E145" s="194" t="s">
        <v>490</v>
      </c>
      <c r="F145" t="s">
        <v>25894</v>
      </c>
      <c r="G145" s="194" t="s">
        <v>26417</v>
      </c>
      <c r="H145" t="s">
        <v>25894</v>
      </c>
      <c r="I145">
        <v>1</v>
      </c>
      <c r="J145" s="197" t="s">
        <v>26604</v>
      </c>
      <c r="K145" t="s">
        <v>25894</v>
      </c>
      <c r="L145" s="197" t="s">
        <v>26703</v>
      </c>
      <c r="M145" s="198" t="s">
        <v>25896</v>
      </c>
      <c r="N145" s="197" t="s">
        <v>25897</v>
      </c>
      <c r="O145" s="195">
        <v>0.02</v>
      </c>
    </row>
    <row r="146" spans="1:15" ht="57.6" x14ac:dyDescent="0.3">
      <c r="A146" t="s">
        <v>158</v>
      </c>
      <c r="B146" t="s">
        <v>25894</v>
      </c>
      <c r="C146" s="194" t="s">
        <v>17113</v>
      </c>
      <c r="D146" t="s">
        <v>25894</v>
      </c>
      <c r="E146" s="194" t="s">
        <v>17114</v>
      </c>
      <c r="F146" t="s">
        <v>25894</v>
      </c>
      <c r="G146" s="194" t="s">
        <v>26310</v>
      </c>
      <c r="H146" t="s">
        <v>25894</v>
      </c>
      <c r="I146">
        <v>5</v>
      </c>
      <c r="J146" s="197" t="s">
        <v>26600</v>
      </c>
      <c r="K146" t="s">
        <v>25894</v>
      </c>
      <c r="L146" s="197" t="s">
        <v>26703</v>
      </c>
      <c r="M146" s="198" t="s">
        <v>25896</v>
      </c>
      <c r="N146" s="197" t="s">
        <v>25897</v>
      </c>
      <c r="O146" s="195">
        <v>0.08</v>
      </c>
    </row>
    <row r="147" spans="1:15" ht="57.6" x14ac:dyDescent="0.3">
      <c r="A147" t="s">
        <v>159</v>
      </c>
      <c r="B147" t="s">
        <v>25894</v>
      </c>
      <c r="C147" s="194" t="s">
        <v>492</v>
      </c>
      <c r="D147" t="s">
        <v>25894</v>
      </c>
      <c r="E147" s="194" t="s">
        <v>492</v>
      </c>
      <c r="F147" t="s">
        <v>25894</v>
      </c>
      <c r="G147" s="194" t="s">
        <v>26418</v>
      </c>
      <c r="H147" t="s">
        <v>25894</v>
      </c>
      <c r="I147">
        <v>3</v>
      </c>
      <c r="J147" s="197" t="s">
        <v>26602</v>
      </c>
      <c r="K147" t="s">
        <v>25894</v>
      </c>
      <c r="L147" s="197" t="s">
        <v>26703</v>
      </c>
      <c r="M147" s="198" t="s">
        <v>25896</v>
      </c>
      <c r="N147" s="197" t="s">
        <v>25897</v>
      </c>
      <c r="O147" s="195">
        <v>0.05</v>
      </c>
    </row>
    <row r="148" spans="1:15" ht="28.8" x14ac:dyDescent="0.3">
      <c r="A148" t="s">
        <v>160</v>
      </c>
      <c r="B148" t="s">
        <v>25894</v>
      </c>
      <c r="C148" s="194" t="s">
        <v>17116</v>
      </c>
      <c r="D148" t="s">
        <v>25894</v>
      </c>
      <c r="E148" s="194" t="s">
        <v>493</v>
      </c>
      <c r="F148" t="s">
        <v>25894</v>
      </c>
      <c r="G148" s="194" t="s">
        <v>26419</v>
      </c>
      <c r="H148" t="s">
        <v>25894</v>
      </c>
      <c r="I148">
        <v>1</v>
      </c>
      <c r="J148" s="197" t="s">
        <v>26604</v>
      </c>
      <c r="K148" t="s">
        <v>25894</v>
      </c>
      <c r="L148" s="197" t="s">
        <v>26703</v>
      </c>
      <c r="M148" s="198" t="s">
        <v>25896</v>
      </c>
      <c r="N148" s="197" t="s">
        <v>25897</v>
      </c>
      <c r="O148" s="195">
        <v>0.02</v>
      </c>
    </row>
    <row r="149" spans="1:15" ht="43.2" x14ac:dyDescent="0.3">
      <c r="A149" t="s">
        <v>161</v>
      </c>
      <c r="B149" t="s">
        <v>25894</v>
      </c>
      <c r="C149" s="194" t="s">
        <v>17117</v>
      </c>
      <c r="D149" t="s">
        <v>25894</v>
      </c>
      <c r="E149" s="194" t="s">
        <v>494</v>
      </c>
      <c r="F149" t="s">
        <v>25894</v>
      </c>
      <c r="G149" s="194" t="s">
        <v>26420</v>
      </c>
      <c r="H149" t="s">
        <v>25894</v>
      </c>
      <c r="I149">
        <v>3</v>
      </c>
      <c r="J149" s="197" t="s">
        <v>26602</v>
      </c>
      <c r="K149" t="s">
        <v>25894</v>
      </c>
      <c r="L149" s="197" t="s">
        <v>26703</v>
      </c>
      <c r="M149" s="198" t="s">
        <v>25896</v>
      </c>
      <c r="N149" s="197" t="s">
        <v>25897</v>
      </c>
      <c r="O149" s="195">
        <v>0.05</v>
      </c>
    </row>
    <row r="150" spans="1:15" ht="57.6" x14ac:dyDescent="0.3">
      <c r="A150" t="s">
        <v>162</v>
      </c>
      <c r="B150" t="s">
        <v>25894</v>
      </c>
      <c r="C150" s="194" t="s">
        <v>17119</v>
      </c>
      <c r="D150" t="s">
        <v>25894</v>
      </c>
      <c r="E150" s="194" t="s">
        <v>495</v>
      </c>
      <c r="F150" t="s">
        <v>25894</v>
      </c>
      <c r="G150" s="194" t="s">
        <v>26422</v>
      </c>
      <c r="H150" t="s">
        <v>25894</v>
      </c>
      <c r="I150">
        <v>2</v>
      </c>
      <c r="J150" s="197" t="s">
        <v>26603</v>
      </c>
      <c r="K150" t="s">
        <v>25894</v>
      </c>
      <c r="L150" s="197" t="s">
        <v>26703</v>
      </c>
      <c r="M150" s="198" t="s">
        <v>25896</v>
      </c>
      <c r="N150" s="197" t="s">
        <v>25897</v>
      </c>
      <c r="O150" s="195">
        <v>0.03</v>
      </c>
    </row>
    <row r="151" spans="1:15" ht="57.6" x14ac:dyDescent="0.3">
      <c r="A151" t="s">
        <v>163</v>
      </c>
      <c r="B151" t="s">
        <v>25894</v>
      </c>
      <c r="C151" s="194" t="s">
        <v>17121</v>
      </c>
      <c r="D151" t="s">
        <v>25894</v>
      </c>
      <c r="E151" s="194" t="s">
        <v>496</v>
      </c>
      <c r="F151" t="s">
        <v>25894</v>
      </c>
      <c r="G151" s="194" t="s">
        <v>26423</v>
      </c>
      <c r="H151" t="s">
        <v>25894</v>
      </c>
      <c r="I151">
        <v>2</v>
      </c>
      <c r="J151" s="197" t="s">
        <v>26603</v>
      </c>
      <c r="K151" t="s">
        <v>25894</v>
      </c>
      <c r="L151" s="197" t="s">
        <v>26703</v>
      </c>
      <c r="M151" s="198" t="s">
        <v>25896</v>
      </c>
      <c r="N151" s="197" t="s">
        <v>25897</v>
      </c>
      <c r="O151" s="195">
        <v>0.03</v>
      </c>
    </row>
    <row r="152" spans="1:15" ht="28.8" x14ac:dyDescent="0.3">
      <c r="A152" t="s">
        <v>164</v>
      </c>
      <c r="B152" t="s">
        <v>25894</v>
      </c>
      <c r="C152" s="194" t="s">
        <v>17123</v>
      </c>
      <c r="D152" t="s">
        <v>25894</v>
      </c>
      <c r="E152" s="194" t="s">
        <v>497</v>
      </c>
      <c r="F152" t="s">
        <v>25894</v>
      </c>
      <c r="G152" s="194" t="s">
        <v>26287</v>
      </c>
      <c r="H152" t="s">
        <v>25894</v>
      </c>
      <c r="I152">
        <v>6</v>
      </c>
      <c r="J152" s="197" t="s">
        <v>26599</v>
      </c>
      <c r="K152" t="s">
        <v>25894</v>
      </c>
      <c r="L152" s="197" t="s">
        <v>26703</v>
      </c>
      <c r="M152" s="198" t="s">
        <v>25896</v>
      </c>
      <c r="N152" s="197" t="s">
        <v>25897</v>
      </c>
      <c r="O152" s="195">
        <v>0.09</v>
      </c>
    </row>
    <row r="153" spans="1:15" ht="43.2" x14ac:dyDescent="0.3">
      <c r="A153" t="s">
        <v>165</v>
      </c>
      <c r="B153" t="s">
        <v>25894</v>
      </c>
      <c r="C153" s="194" t="s">
        <v>17126</v>
      </c>
      <c r="D153" t="s">
        <v>25894</v>
      </c>
      <c r="E153" s="194" t="s">
        <v>498</v>
      </c>
      <c r="F153" t="s">
        <v>25894</v>
      </c>
      <c r="G153" s="194" t="s">
        <v>26424</v>
      </c>
      <c r="H153" t="s">
        <v>25894</v>
      </c>
      <c r="I153">
        <v>1</v>
      </c>
      <c r="J153" s="197" t="s">
        <v>26604</v>
      </c>
      <c r="K153" t="s">
        <v>25894</v>
      </c>
      <c r="L153" s="197" t="s">
        <v>26703</v>
      </c>
      <c r="M153" s="198" t="s">
        <v>25896</v>
      </c>
      <c r="N153" s="197" t="s">
        <v>25897</v>
      </c>
      <c r="O153" s="195">
        <v>0.02</v>
      </c>
    </row>
    <row r="154" spans="1:15" ht="57.6" x14ac:dyDescent="0.3">
      <c r="A154" t="s">
        <v>166</v>
      </c>
      <c r="B154" t="s">
        <v>25894</v>
      </c>
      <c r="C154" s="194" t="s">
        <v>17127</v>
      </c>
      <c r="D154" t="s">
        <v>25894</v>
      </c>
      <c r="E154" s="194" t="s">
        <v>499</v>
      </c>
      <c r="F154" t="s">
        <v>25894</v>
      </c>
      <c r="G154" s="194" t="s">
        <v>26425</v>
      </c>
      <c r="H154" t="s">
        <v>25894</v>
      </c>
      <c r="I154">
        <v>2</v>
      </c>
      <c r="J154" s="197" t="s">
        <v>26603</v>
      </c>
      <c r="K154" t="s">
        <v>25894</v>
      </c>
      <c r="L154" s="197" t="s">
        <v>26703</v>
      </c>
      <c r="M154" s="198" t="s">
        <v>25896</v>
      </c>
      <c r="N154" s="197" t="s">
        <v>25897</v>
      </c>
      <c r="O154" s="195">
        <v>0.03</v>
      </c>
    </row>
    <row r="155" spans="1:15" ht="28.8" x14ac:dyDescent="0.3">
      <c r="A155" t="s">
        <v>167</v>
      </c>
      <c r="B155" t="s">
        <v>25894</v>
      </c>
      <c r="C155" s="194" t="s">
        <v>17128</v>
      </c>
      <c r="D155" t="s">
        <v>25894</v>
      </c>
      <c r="E155" s="194" t="s">
        <v>500</v>
      </c>
      <c r="F155" t="s">
        <v>25894</v>
      </c>
      <c r="G155" s="194" t="s">
        <v>26426</v>
      </c>
      <c r="H155" t="s">
        <v>25894</v>
      </c>
      <c r="I155">
        <v>4</v>
      </c>
      <c r="J155" s="197" t="s">
        <v>26601</v>
      </c>
      <c r="K155" t="s">
        <v>25894</v>
      </c>
      <c r="L155" s="197" t="s">
        <v>26703</v>
      </c>
      <c r="M155" s="198" t="s">
        <v>25896</v>
      </c>
      <c r="N155" s="197" t="s">
        <v>25897</v>
      </c>
      <c r="O155" s="195">
        <v>0.06</v>
      </c>
    </row>
    <row r="156" spans="1:15" ht="57.6" x14ac:dyDescent="0.3">
      <c r="A156" t="s">
        <v>168</v>
      </c>
      <c r="B156" t="s">
        <v>25894</v>
      </c>
      <c r="C156" s="194" t="s">
        <v>501</v>
      </c>
      <c r="D156" t="s">
        <v>25894</v>
      </c>
      <c r="E156" s="194" t="s">
        <v>26427</v>
      </c>
      <c r="F156" t="s">
        <v>25894</v>
      </c>
      <c r="G156" s="194" t="s">
        <v>26428</v>
      </c>
      <c r="H156" t="s">
        <v>25894</v>
      </c>
      <c r="I156">
        <v>2</v>
      </c>
      <c r="J156" s="197" t="s">
        <v>26603</v>
      </c>
      <c r="K156" t="s">
        <v>25894</v>
      </c>
      <c r="L156" s="197" t="s">
        <v>26703</v>
      </c>
      <c r="M156" s="198" t="s">
        <v>25896</v>
      </c>
      <c r="N156" s="197" t="s">
        <v>25897</v>
      </c>
      <c r="O156" s="195">
        <v>0.03</v>
      </c>
    </row>
    <row r="157" spans="1:15" ht="57.6" x14ac:dyDescent="0.3">
      <c r="A157" t="s">
        <v>169</v>
      </c>
      <c r="B157" t="s">
        <v>25894</v>
      </c>
      <c r="C157" s="194" t="s">
        <v>26429</v>
      </c>
      <c r="D157" t="s">
        <v>25894</v>
      </c>
      <c r="E157" s="194" t="s">
        <v>26429</v>
      </c>
      <c r="F157" t="s">
        <v>25894</v>
      </c>
      <c r="G157" s="194" t="s">
        <v>26431</v>
      </c>
      <c r="H157" t="s">
        <v>25894</v>
      </c>
      <c r="I157">
        <v>5</v>
      </c>
      <c r="J157" s="197" t="s">
        <v>26600</v>
      </c>
      <c r="K157" t="s">
        <v>25894</v>
      </c>
      <c r="L157" s="197" t="s">
        <v>26703</v>
      </c>
      <c r="M157" s="198" t="s">
        <v>25896</v>
      </c>
      <c r="N157" s="197" t="s">
        <v>25897</v>
      </c>
      <c r="O157" s="195">
        <v>0.08</v>
      </c>
    </row>
    <row r="158" spans="1:15" ht="28.8" x14ac:dyDescent="0.3">
      <c r="A158" t="s">
        <v>170</v>
      </c>
      <c r="B158" t="s">
        <v>25894</v>
      </c>
      <c r="C158" s="194" t="s">
        <v>17133</v>
      </c>
      <c r="D158" t="s">
        <v>25894</v>
      </c>
      <c r="E158" s="194" t="s">
        <v>26432</v>
      </c>
      <c r="F158" t="s">
        <v>25894</v>
      </c>
      <c r="G158" s="194" t="s">
        <v>26433</v>
      </c>
      <c r="H158" t="s">
        <v>25894</v>
      </c>
      <c r="I158">
        <v>3</v>
      </c>
      <c r="J158" s="197" t="s">
        <v>26602</v>
      </c>
      <c r="K158" t="s">
        <v>25894</v>
      </c>
      <c r="L158" s="197" t="s">
        <v>26703</v>
      </c>
      <c r="M158" s="198" t="s">
        <v>25896</v>
      </c>
      <c r="N158" s="197" t="s">
        <v>25897</v>
      </c>
      <c r="O158" s="195">
        <v>0.05</v>
      </c>
    </row>
    <row r="159" spans="1:15" ht="72" x14ac:dyDescent="0.3">
      <c r="A159" t="s">
        <v>171</v>
      </c>
      <c r="B159" t="s">
        <v>25894</v>
      </c>
      <c r="C159" s="194" t="s">
        <v>17134</v>
      </c>
      <c r="D159" t="s">
        <v>25894</v>
      </c>
      <c r="E159" s="194" t="s">
        <v>504</v>
      </c>
      <c r="F159" t="s">
        <v>25894</v>
      </c>
      <c r="G159" s="194" t="s">
        <v>26616</v>
      </c>
      <c r="H159" t="s">
        <v>25894</v>
      </c>
      <c r="I159">
        <v>1</v>
      </c>
      <c r="J159" s="197" t="s">
        <v>26604</v>
      </c>
      <c r="K159" t="s">
        <v>25894</v>
      </c>
      <c r="L159" s="197" t="s">
        <v>26703</v>
      </c>
      <c r="M159" s="198" t="s">
        <v>25896</v>
      </c>
      <c r="N159" s="197" t="s">
        <v>25897</v>
      </c>
      <c r="O159" s="195">
        <v>0.02</v>
      </c>
    </row>
    <row r="160" spans="1:15" ht="57.6" x14ac:dyDescent="0.3">
      <c r="A160" t="s">
        <v>172</v>
      </c>
      <c r="B160" t="s">
        <v>25894</v>
      </c>
      <c r="C160" s="194" t="s">
        <v>26430</v>
      </c>
      <c r="D160" t="s">
        <v>25894</v>
      </c>
      <c r="E160" s="194" t="s">
        <v>505</v>
      </c>
      <c r="F160" t="s">
        <v>25894</v>
      </c>
      <c r="G160" s="194" t="s">
        <v>26434</v>
      </c>
      <c r="H160" t="s">
        <v>25894</v>
      </c>
      <c r="I160">
        <v>3</v>
      </c>
      <c r="J160" s="197" t="s">
        <v>26602</v>
      </c>
      <c r="K160" t="s">
        <v>25894</v>
      </c>
      <c r="L160" s="197" t="s">
        <v>26703</v>
      </c>
      <c r="M160" s="198" t="s">
        <v>25896</v>
      </c>
      <c r="N160" s="197" t="s">
        <v>25897</v>
      </c>
      <c r="O160" s="195">
        <v>0.05</v>
      </c>
    </row>
    <row r="161" spans="1:15" ht="57.6" x14ac:dyDescent="0.3">
      <c r="A161" t="s">
        <v>173</v>
      </c>
      <c r="B161" t="s">
        <v>25894</v>
      </c>
      <c r="C161" s="194" t="s">
        <v>17136</v>
      </c>
      <c r="D161" t="s">
        <v>25894</v>
      </c>
      <c r="E161" s="194" t="s">
        <v>26435</v>
      </c>
      <c r="F161" t="s">
        <v>25894</v>
      </c>
      <c r="G161" s="194" t="s">
        <v>26436</v>
      </c>
      <c r="H161" t="s">
        <v>25894</v>
      </c>
      <c r="I161">
        <v>1</v>
      </c>
      <c r="J161" s="197" t="s">
        <v>26604</v>
      </c>
      <c r="K161" t="s">
        <v>25894</v>
      </c>
      <c r="L161" s="197" t="s">
        <v>26703</v>
      </c>
      <c r="M161" s="198" t="s">
        <v>25896</v>
      </c>
      <c r="N161" s="197" t="s">
        <v>25897</v>
      </c>
      <c r="O161" s="195">
        <v>0.02</v>
      </c>
    </row>
    <row r="162" spans="1:15" ht="43.2" x14ac:dyDescent="0.3">
      <c r="A162" t="s">
        <v>174</v>
      </c>
      <c r="B162" t="s">
        <v>25894</v>
      </c>
      <c r="C162" s="194" t="s">
        <v>17138</v>
      </c>
      <c r="D162" t="s">
        <v>25894</v>
      </c>
      <c r="E162" s="194" t="s">
        <v>507</v>
      </c>
      <c r="F162" t="s">
        <v>25894</v>
      </c>
      <c r="G162" s="194" t="s">
        <v>26437</v>
      </c>
      <c r="H162" t="s">
        <v>25894</v>
      </c>
      <c r="I162">
        <v>3</v>
      </c>
      <c r="J162" s="197" t="s">
        <v>26602</v>
      </c>
      <c r="K162" t="s">
        <v>25894</v>
      </c>
      <c r="L162" s="197" t="s">
        <v>26703</v>
      </c>
      <c r="M162" s="198" t="s">
        <v>25896</v>
      </c>
      <c r="N162" s="197" t="s">
        <v>25897</v>
      </c>
      <c r="O162" s="195">
        <v>0.05</v>
      </c>
    </row>
    <row r="163" spans="1:15" ht="43.2" x14ac:dyDescent="0.3">
      <c r="A163" t="s">
        <v>175</v>
      </c>
      <c r="B163" t="s">
        <v>25894</v>
      </c>
      <c r="C163" s="194" t="s">
        <v>17139</v>
      </c>
      <c r="D163" t="s">
        <v>25894</v>
      </c>
      <c r="E163" s="194" t="s">
        <v>508</v>
      </c>
      <c r="F163" t="s">
        <v>25894</v>
      </c>
      <c r="G163" s="194" t="s">
        <v>26438</v>
      </c>
      <c r="H163" t="s">
        <v>25894</v>
      </c>
      <c r="I163">
        <v>4</v>
      </c>
      <c r="J163" s="197" t="s">
        <v>26601</v>
      </c>
      <c r="K163" t="s">
        <v>25894</v>
      </c>
      <c r="L163" s="197" t="s">
        <v>26703</v>
      </c>
      <c r="M163" s="198" t="s">
        <v>25896</v>
      </c>
      <c r="N163" s="197" t="s">
        <v>25897</v>
      </c>
      <c r="O163" s="195">
        <v>0.06</v>
      </c>
    </row>
    <row r="164" spans="1:15" ht="28.8" x14ac:dyDescent="0.3">
      <c r="A164" t="s">
        <v>176</v>
      </c>
      <c r="B164" t="s">
        <v>25894</v>
      </c>
      <c r="C164" s="194" t="s">
        <v>17141</v>
      </c>
      <c r="D164" t="s">
        <v>25894</v>
      </c>
      <c r="E164" s="194" t="s">
        <v>17141</v>
      </c>
      <c r="F164" t="s">
        <v>25894</v>
      </c>
      <c r="G164" s="194" t="s">
        <v>26439</v>
      </c>
      <c r="H164" t="s">
        <v>25894</v>
      </c>
      <c r="I164">
        <v>1</v>
      </c>
      <c r="J164" s="197" t="s">
        <v>26604</v>
      </c>
      <c r="K164" t="s">
        <v>25894</v>
      </c>
      <c r="L164" s="197" t="s">
        <v>26703</v>
      </c>
      <c r="M164" s="198" t="s">
        <v>25896</v>
      </c>
      <c r="N164" s="197" t="s">
        <v>25897</v>
      </c>
      <c r="O164" s="195">
        <v>0.02</v>
      </c>
    </row>
    <row r="165" spans="1:15" ht="57.6" x14ac:dyDescent="0.3">
      <c r="A165" t="s">
        <v>177</v>
      </c>
      <c r="B165" t="s">
        <v>25894</v>
      </c>
      <c r="C165" s="194" t="s">
        <v>510</v>
      </c>
      <c r="D165" t="s">
        <v>25894</v>
      </c>
      <c r="E165" s="194" t="s">
        <v>510</v>
      </c>
      <c r="F165" t="s">
        <v>25894</v>
      </c>
      <c r="G165" s="194" t="s">
        <v>26440</v>
      </c>
      <c r="H165" t="s">
        <v>25894</v>
      </c>
      <c r="I165">
        <v>1</v>
      </c>
      <c r="J165" s="197" t="s">
        <v>26604</v>
      </c>
      <c r="K165" t="s">
        <v>25894</v>
      </c>
      <c r="L165" s="197" t="s">
        <v>26703</v>
      </c>
      <c r="M165" s="198" t="s">
        <v>25896</v>
      </c>
      <c r="N165" s="197" t="s">
        <v>25897</v>
      </c>
      <c r="O165" s="195">
        <v>0.02</v>
      </c>
    </row>
    <row r="166" spans="1:15" ht="43.2" x14ac:dyDescent="0.3">
      <c r="A166" t="s">
        <v>178</v>
      </c>
      <c r="B166" t="s">
        <v>25894</v>
      </c>
      <c r="C166" s="194" t="s">
        <v>511</v>
      </c>
      <c r="D166" t="s">
        <v>25894</v>
      </c>
      <c r="E166" s="194" t="s">
        <v>511</v>
      </c>
      <c r="F166" t="s">
        <v>25894</v>
      </c>
      <c r="G166" s="194" t="s">
        <v>26441</v>
      </c>
      <c r="H166" t="s">
        <v>25894</v>
      </c>
      <c r="I166">
        <v>1</v>
      </c>
      <c r="J166" s="197" t="s">
        <v>26604</v>
      </c>
      <c r="K166" t="s">
        <v>25894</v>
      </c>
      <c r="L166" s="197" t="s">
        <v>26703</v>
      </c>
      <c r="M166" s="198" t="s">
        <v>25896</v>
      </c>
      <c r="N166" s="197" t="s">
        <v>25897</v>
      </c>
      <c r="O166" s="195">
        <v>0.02</v>
      </c>
    </row>
    <row r="167" spans="1:15" ht="57.6" x14ac:dyDescent="0.3">
      <c r="A167" t="s">
        <v>179</v>
      </c>
      <c r="B167" t="s">
        <v>25894</v>
      </c>
      <c r="C167" s="194" t="s">
        <v>512</v>
      </c>
      <c r="D167" t="s">
        <v>25894</v>
      </c>
      <c r="E167" s="194" t="s">
        <v>512</v>
      </c>
      <c r="F167" t="s">
        <v>25894</v>
      </c>
      <c r="G167" s="194" t="s">
        <v>26442</v>
      </c>
      <c r="H167" t="s">
        <v>25894</v>
      </c>
      <c r="I167">
        <v>1</v>
      </c>
      <c r="J167" s="197" t="s">
        <v>26604</v>
      </c>
      <c r="K167" t="s">
        <v>25894</v>
      </c>
      <c r="L167" s="197" t="s">
        <v>26703</v>
      </c>
      <c r="M167" s="198" t="s">
        <v>25896</v>
      </c>
      <c r="N167" s="197" t="s">
        <v>25897</v>
      </c>
      <c r="O167" s="195">
        <v>0.02</v>
      </c>
    </row>
    <row r="168" spans="1:15" ht="57.6" x14ac:dyDescent="0.3">
      <c r="A168" t="s">
        <v>180</v>
      </c>
      <c r="B168" t="s">
        <v>25894</v>
      </c>
      <c r="C168" s="194" t="s">
        <v>513</v>
      </c>
      <c r="D168" t="s">
        <v>25894</v>
      </c>
      <c r="E168" s="194" t="s">
        <v>513</v>
      </c>
      <c r="F168" t="s">
        <v>25894</v>
      </c>
      <c r="G168" s="194" t="s">
        <v>26608</v>
      </c>
      <c r="H168" t="s">
        <v>25894</v>
      </c>
      <c r="I168">
        <v>5</v>
      </c>
      <c r="J168" s="197" t="s">
        <v>26600</v>
      </c>
      <c r="K168" t="s">
        <v>25894</v>
      </c>
      <c r="L168" s="197" t="s">
        <v>26703</v>
      </c>
      <c r="M168" s="198" t="s">
        <v>25896</v>
      </c>
      <c r="N168" s="197" t="s">
        <v>25897</v>
      </c>
      <c r="O168" s="195">
        <v>0.08</v>
      </c>
    </row>
    <row r="169" spans="1:15" ht="43.2" x14ac:dyDescent="0.3">
      <c r="A169" t="s">
        <v>181</v>
      </c>
      <c r="B169" t="s">
        <v>25894</v>
      </c>
      <c r="C169" s="194" t="s">
        <v>514</v>
      </c>
      <c r="D169" t="s">
        <v>25894</v>
      </c>
      <c r="E169" s="194" t="s">
        <v>514</v>
      </c>
      <c r="F169" t="s">
        <v>25894</v>
      </c>
      <c r="G169" s="194" t="s">
        <v>26443</v>
      </c>
      <c r="H169" t="s">
        <v>25894</v>
      </c>
      <c r="I169">
        <v>1</v>
      </c>
      <c r="J169" s="197" t="s">
        <v>26604</v>
      </c>
      <c r="K169" t="s">
        <v>25894</v>
      </c>
      <c r="L169" s="197" t="s">
        <v>26703</v>
      </c>
      <c r="M169" s="198" t="s">
        <v>25896</v>
      </c>
      <c r="N169" s="197" t="s">
        <v>25897</v>
      </c>
      <c r="O169" s="195">
        <v>0.02</v>
      </c>
    </row>
    <row r="170" spans="1:15" ht="43.2" x14ac:dyDescent="0.3">
      <c r="A170" t="s">
        <v>182</v>
      </c>
      <c r="B170" t="s">
        <v>25894</v>
      </c>
      <c r="C170" s="194" t="s">
        <v>515</v>
      </c>
      <c r="D170" t="s">
        <v>25894</v>
      </c>
      <c r="E170" s="194" t="s">
        <v>515</v>
      </c>
      <c r="F170" t="s">
        <v>25894</v>
      </c>
      <c r="G170" s="194" t="s">
        <v>26444</v>
      </c>
      <c r="H170" t="s">
        <v>25894</v>
      </c>
      <c r="I170">
        <v>1</v>
      </c>
      <c r="J170" s="197" t="s">
        <v>26604</v>
      </c>
      <c r="K170" t="s">
        <v>25894</v>
      </c>
      <c r="L170" s="197" t="s">
        <v>26703</v>
      </c>
      <c r="M170" s="198" t="s">
        <v>25896</v>
      </c>
      <c r="N170" s="197" t="s">
        <v>25897</v>
      </c>
      <c r="O170" s="195">
        <v>0.02</v>
      </c>
    </row>
    <row r="171" spans="1:15" ht="28.8" x14ac:dyDescent="0.3">
      <c r="A171" t="s">
        <v>183</v>
      </c>
      <c r="B171" t="s">
        <v>25894</v>
      </c>
      <c r="C171" s="194" t="s">
        <v>516</v>
      </c>
      <c r="D171" t="s">
        <v>25894</v>
      </c>
      <c r="E171" s="194" t="s">
        <v>516</v>
      </c>
      <c r="F171" t="s">
        <v>25894</v>
      </c>
      <c r="G171" s="194" t="s">
        <v>26445</v>
      </c>
      <c r="H171" t="s">
        <v>25894</v>
      </c>
      <c r="I171">
        <v>1</v>
      </c>
      <c r="J171" s="197" t="s">
        <v>26604</v>
      </c>
      <c r="K171" t="s">
        <v>25894</v>
      </c>
      <c r="L171" s="197" t="s">
        <v>26703</v>
      </c>
      <c r="M171" s="198" t="s">
        <v>25896</v>
      </c>
      <c r="N171" s="197" t="s">
        <v>25897</v>
      </c>
      <c r="O171" s="195">
        <v>0.02</v>
      </c>
    </row>
    <row r="172" spans="1:15" ht="57.6" x14ac:dyDescent="0.3">
      <c r="A172" t="s">
        <v>184</v>
      </c>
      <c r="B172" t="s">
        <v>25894</v>
      </c>
      <c r="C172" s="194" t="s">
        <v>517</v>
      </c>
      <c r="D172" t="s">
        <v>25894</v>
      </c>
      <c r="E172" s="194" t="s">
        <v>517</v>
      </c>
      <c r="F172" t="s">
        <v>25894</v>
      </c>
      <c r="G172" s="194" t="s">
        <v>26450</v>
      </c>
      <c r="H172" t="s">
        <v>25894</v>
      </c>
      <c r="I172">
        <v>1</v>
      </c>
      <c r="J172" s="197" t="s">
        <v>26604</v>
      </c>
      <c r="K172" t="s">
        <v>25894</v>
      </c>
      <c r="L172" s="197" t="s">
        <v>26703</v>
      </c>
      <c r="M172" s="198" t="s">
        <v>25896</v>
      </c>
      <c r="N172" s="197" t="s">
        <v>25897</v>
      </c>
      <c r="O172" s="195">
        <v>0.02</v>
      </c>
    </row>
    <row r="173" spans="1:15" ht="57.6" x14ac:dyDescent="0.3">
      <c r="A173" t="s">
        <v>185</v>
      </c>
      <c r="B173" t="s">
        <v>25894</v>
      </c>
      <c r="C173" s="194" t="s">
        <v>518</v>
      </c>
      <c r="D173" t="s">
        <v>25894</v>
      </c>
      <c r="E173" s="194" t="s">
        <v>518</v>
      </c>
      <c r="F173" t="s">
        <v>25894</v>
      </c>
      <c r="G173" s="194" t="s">
        <v>26611</v>
      </c>
      <c r="H173" t="s">
        <v>25894</v>
      </c>
      <c r="I173">
        <v>2</v>
      </c>
      <c r="J173" s="197" t="s">
        <v>26603</v>
      </c>
      <c r="K173" t="s">
        <v>25894</v>
      </c>
      <c r="L173" s="197" t="s">
        <v>26703</v>
      </c>
      <c r="M173" s="198" t="s">
        <v>25896</v>
      </c>
      <c r="N173" s="197" t="s">
        <v>25897</v>
      </c>
      <c r="O173" s="195">
        <v>0.03</v>
      </c>
    </row>
    <row r="174" spans="1:15" ht="43.2" x14ac:dyDescent="0.3">
      <c r="A174" t="s">
        <v>186</v>
      </c>
      <c r="B174" t="s">
        <v>25894</v>
      </c>
      <c r="C174" s="194" t="s">
        <v>519</v>
      </c>
      <c r="D174" t="s">
        <v>25894</v>
      </c>
      <c r="E174" s="194" t="s">
        <v>519</v>
      </c>
      <c r="F174" t="s">
        <v>25894</v>
      </c>
      <c r="G174" s="194" t="s">
        <v>26711</v>
      </c>
      <c r="H174" t="s">
        <v>25894</v>
      </c>
      <c r="I174">
        <v>1</v>
      </c>
      <c r="J174" s="197" t="s">
        <v>26604</v>
      </c>
      <c r="K174" t="s">
        <v>25894</v>
      </c>
      <c r="L174" s="197" t="s">
        <v>26703</v>
      </c>
      <c r="M174" s="198" t="s">
        <v>25896</v>
      </c>
      <c r="N174" s="197" t="s">
        <v>25897</v>
      </c>
      <c r="O174" s="195">
        <v>0.02</v>
      </c>
    </row>
    <row r="175" spans="1:15" x14ac:dyDescent="0.3">
      <c r="A175" t="s">
        <v>187</v>
      </c>
      <c r="B175" t="s">
        <v>25894</v>
      </c>
      <c r="C175" s="194" t="s">
        <v>520</v>
      </c>
      <c r="D175" t="s">
        <v>25894</v>
      </c>
      <c r="E175" s="194" t="s">
        <v>520</v>
      </c>
      <c r="F175" t="s">
        <v>25894</v>
      </c>
      <c r="G175" s="194" t="s">
        <v>26451</v>
      </c>
      <c r="H175" t="s">
        <v>25894</v>
      </c>
      <c r="I175">
        <v>1</v>
      </c>
      <c r="J175" s="197" t="s">
        <v>26604</v>
      </c>
      <c r="K175" t="s">
        <v>25894</v>
      </c>
      <c r="L175" s="197" t="s">
        <v>26703</v>
      </c>
      <c r="M175" s="198" t="s">
        <v>25896</v>
      </c>
      <c r="N175" s="197" t="s">
        <v>25897</v>
      </c>
      <c r="O175" s="195">
        <v>0.02</v>
      </c>
    </row>
    <row r="176" spans="1:15" ht="57.6" x14ac:dyDescent="0.3">
      <c r="A176" t="s">
        <v>188</v>
      </c>
      <c r="B176" t="s">
        <v>25894</v>
      </c>
      <c r="C176" s="194" t="s">
        <v>25684</v>
      </c>
      <c r="D176" t="s">
        <v>25894</v>
      </c>
      <c r="E176" s="194" t="s">
        <v>521</v>
      </c>
      <c r="F176" t="s">
        <v>25894</v>
      </c>
      <c r="G176" s="194" t="s">
        <v>26650</v>
      </c>
      <c r="H176" t="s">
        <v>25894</v>
      </c>
      <c r="I176">
        <v>1</v>
      </c>
      <c r="J176" s="197" t="s">
        <v>26604</v>
      </c>
      <c r="K176" t="s">
        <v>25894</v>
      </c>
      <c r="L176" s="197" t="s">
        <v>26703</v>
      </c>
      <c r="M176" s="198" t="s">
        <v>25896</v>
      </c>
      <c r="N176" s="197" t="s">
        <v>25897</v>
      </c>
      <c r="O176" s="195">
        <v>0.02</v>
      </c>
    </row>
    <row r="177" spans="1:15" ht="28.8" x14ac:dyDescent="0.3">
      <c r="A177" t="s">
        <v>189</v>
      </c>
      <c r="B177" t="s">
        <v>25894</v>
      </c>
      <c r="C177" s="194" t="s">
        <v>25685</v>
      </c>
      <c r="D177" t="s">
        <v>25894</v>
      </c>
      <c r="E177" s="194" t="s">
        <v>522</v>
      </c>
      <c r="F177" t="s">
        <v>25894</v>
      </c>
      <c r="G177" s="194" t="s">
        <v>26452</v>
      </c>
      <c r="H177" t="s">
        <v>25894</v>
      </c>
      <c r="I177">
        <v>2</v>
      </c>
      <c r="J177" s="197" t="s">
        <v>26603</v>
      </c>
      <c r="K177" t="s">
        <v>25894</v>
      </c>
      <c r="L177" s="197" t="s">
        <v>26703</v>
      </c>
      <c r="M177" s="198" t="s">
        <v>25896</v>
      </c>
      <c r="N177" s="197" t="s">
        <v>25897</v>
      </c>
      <c r="O177" s="195">
        <v>0.03</v>
      </c>
    </row>
    <row r="178" spans="1:15" ht="28.8" x14ac:dyDescent="0.3">
      <c r="A178" t="s">
        <v>190</v>
      </c>
      <c r="B178" t="s">
        <v>25894</v>
      </c>
      <c r="C178" s="194" t="s">
        <v>523</v>
      </c>
      <c r="D178" t="s">
        <v>25894</v>
      </c>
      <c r="E178" s="194" t="s">
        <v>523</v>
      </c>
      <c r="F178" t="s">
        <v>25894</v>
      </c>
      <c r="G178" s="194" t="s">
        <v>26454</v>
      </c>
      <c r="H178" t="s">
        <v>25894</v>
      </c>
      <c r="I178">
        <v>2</v>
      </c>
      <c r="J178" s="197" t="s">
        <v>26603</v>
      </c>
      <c r="K178" t="s">
        <v>25894</v>
      </c>
      <c r="L178" s="197" t="s">
        <v>26703</v>
      </c>
      <c r="M178" s="198" t="s">
        <v>25896</v>
      </c>
      <c r="N178" s="197" t="s">
        <v>25897</v>
      </c>
      <c r="O178" s="195">
        <v>0.03</v>
      </c>
    </row>
    <row r="179" spans="1:15" ht="28.8" x14ac:dyDescent="0.3">
      <c r="A179" t="s">
        <v>191</v>
      </c>
      <c r="B179" t="s">
        <v>25894</v>
      </c>
      <c r="C179" s="194" t="s">
        <v>524</v>
      </c>
      <c r="D179" t="s">
        <v>25894</v>
      </c>
      <c r="E179" s="194" t="s">
        <v>524</v>
      </c>
      <c r="F179" t="s">
        <v>25894</v>
      </c>
      <c r="G179" s="194" t="s">
        <v>26453</v>
      </c>
      <c r="H179" t="s">
        <v>25894</v>
      </c>
      <c r="I179">
        <v>3</v>
      </c>
      <c r="J179" s="197" t="s">
        <v>26602</v>
      </c>
      <c r="K179" t="s">
        <v>25894</v>
      </c>
      <c r="L179" s="197" t="s">
        <v>26703</v>
      </c>
      <c r="M179" s="198" t="s">
        <v>25896</v>
      </c>
      <c r="N179" s="197" t="s">
        <v>25897</v>
      </c>
      <c r="O179" s="195">
        <v>0.05</v>
      </c>
    </row>
    <row r="180" spans="1:15" ht="57.6" x14ac:dyDescent="0.3">
      <c r="A180" t="s">
        <v>192</v>
      </c>
      <c r="B180" t="s">
        <v>25894</v>
      </c>
      <c r="C180" s="194" t="s">
        <v>525</v>
      </c>
      <c r="D180" t="s">
        <v>25894</v>
      </c>
      <c r="E180" s="194" t="s">
        <v>25690</v>
      </c>
      <c r="F180" t="s">
        <v>25894</v>
      </c>
      <c r="G180" s="194" t="s">
        <v>26712</v>
      </c>
      <c r="H180" t="s">
        <v>25894</v>
      </c>
      <c r="I180">
        <v>3</v>
      </c>
      <c r="J180" s="197" t="s">
        <v>26602</v>
      </c>
      <c r="K180" t="s">
        <v>25894</v>
      </c>
      <c r="L180" s="197" t="s">
        <v>26703</v>
      </c>
      <c r="M180" s="198" t="s">
        <v>25896</v>
      </c>
      <c r="N180" s="197" t="s">
        <v>25897</v>
      </c>
      <c r="O180" s="195">
        <v>0.05</v>
      </c>
    </row>
    <row r="181" spans="1:15" ht="43.2" x14ac:dyDescent="0.3">
      <c r="A181" t="s">
        <v>193</v>
      </c>
      <c r="B181" t="s">
        <v>25894</v>
      </c>
      <c r="C181" s="194" t="s">
        <v>526</v>
      </c>
      <c r="D181" t="s">
        <v>25894</v>
      </c>
      <c r="E181" s="194" t="s">
        <v>26456</v>
      </c>
      <c r="F181" t="s">
        <v>25894</v>
      </c>
      <c r="G181" s="194" t="s">
        <v>26455</v>
      </c>
      <c r="H181" t="s">
        <v>25894</v>
      </c>
      <c r="I181">
        <v>2</v>
      </c>
      <c r="J181" s="197" t="s">
        <v>26603</v>
      </c>
      <c r="K181" t="s">
        <v>25894</v>
      </c>
      <c r="L181" s="197" t="s">
        <v>26703</v>
      </c>
      <c r="M181" s="198" t="s">
        <v>25896</v>
      </c>
      <c r="N181" s="197" t="s">
        <v>25897</v>
      </c>
      <c r="O181" s="195">
        <v>0.03</v>
      </c>
    </row>
    <row r="182" spans="1:15" ht="28.8" x14ac:dyDescent="0.3">
      <c r="A182" t="s">
        <v>194</v>
      </c>
      <c r="B182" t="s">
        <v>25894</v>
      </c>
      <c r="C182" s="194" t="s">
        <v>527</v>
      </c>
      <c r="D182" t="s">
        <v>25894</v>
      </c>
      <c r="E182" s="194" t="s">
        <v>25695</v>
      </c>
      <c r="F182" t="s">
        <v>25894</v>
      </c>
      <c r="G182" s="194" t="s">
        <v>26463</v>
      </c>
      <c r="H182" t="s">
        <v>25894</v>
      </c>
      <c r="I182">
        <v>1</v>
      </c>
      <c r="J182" s="197" t="s">
        <v>26604</v>
      </c>
      <c r="K182" t="s">
        <v>25894</v>
      </c>
      <c r="L182" s="197" t="s">
        <v>26703</v>
      </c>
      <c r="M182" s="198" t="s">
        <v>25896</v>
      </c>
      <c r="N182" s="197" t="s">
        <v>25897</v>
      </c>
      <c r="O182" s="195">
        <v>0.02</v>
      </c>
    </row>
    <row r="183" spans="1:15" ht="57.6" x14ac:dyDescent="0.3">
      <c r="A183" t="s">
        <v>195</v>
      </c>
      <c r="B183" t="s">
        <v>25894</v>
      </c>
      <c r="C183" s="194" t="s">
        <v>528</v>
      </c>
      <c r="D183" t="s">
        <v>25894</v>
      </c>
      <c r="E183" s="194" t="s">
        <v>528</v>
      </c>
      <c r="F183" t="s">
        <v>25894</v>
      </c>
      <c r="G183" s="194" t="s">
        <v>26458</v>
      </c>
      <c r="H183" t="s">
        <v>25894</v>
      </c>
      <c r="I183">
        <v>2</v>
      </c>
      <c r="J183" s="197" t="s">
        <v>26603</v>
      </c>
      <c r="K183" t="s">
        <v>25894</v>
      </c>
      <c r="L183" s="197" t="s">
        <v>26703</v>
      </c>
      <c r="M183" s="198" t="s">
        <v>25896</v>
      </c>
      <c r="N183" s="197" t="s">
        <v>25897</v>
      </c>
      <c r="O183" s="195">
        <v>0.03</v>
      </c>
    </row>
    <row r="184" spans="1:15" ht="72" x14ac:dyDescent="0.3">
      <c r="A184" t="s">
        <v>196</v>
      </c>
      <c r="B184" t="s">
        <v>25894</v>
      </c>
      <c r="C184" s="194" t="s">
        <v>529</v>
      </c>
      <c r="D184" t="s">
        <v>25894</v>
      </c>
      <c r="E184" s="194" t="s">
        <v>25699</v>
      </c>
      <c r="F184" t="s">
        <v>25894</v>
      </c>
      <c r="G184" s="194" t="s">
        <v>26460</v>
      </c>
      <c r="H184" t="s">
        <v>25894</v>
      </c>
      <c r="I184">
        <v>1</v>
      </c>
      <c r="J184" s="197" t="s">
        <v>26604</v>
      </c>
      <c r="K184" t="s">
        <v>25894</v>
      </c>
      <c r="L184" s="197" t="s">
        <v>26703</v>
      </c>
      <c r="M184" s="198" t="s">
        <v>25896</v>
      </c>
      <c r="N184" s="197" t="s">
        <v>25897</v>
      </c>
      <c r="O184" s="195">
        <v>0.02</v>
      </c>
    </row>
    <row r="185" spans="1:15" ht="57.6" x14ac:dyDescent="0.3">
      <c r="A185" t="s">
        <v>197</v>
      </c>
      <c r="B185" t="s">
        <v>25894</v>
      </c>
      <c r="C185" s="194" t="s">
        <v>17142</v>
      </c>
      <c r="D185" t="s">
        <v>25894</v>
      </c>
      <c r="E185" s="194" t="s">
        <v>530</v>
      </c>
      <c r="F185" t="s">
        <v>25894</v>
      </c>
      <c r="G185" s="194" t="s">
        <v>26638</v>
      </c>
      <c r="H185" t="s">
        <v>25894</v>
      </c>
      <c r="I185">
        <v>2</v>
      </c>
      <c r="J185" s="197" t="s">
        <v>26603</v>
      </c>
      <c r="K185" t="s">
        <v>25894</v>
      </c>
      <c r="L185" s="197" t="s">
        <v>26703</v>
      </c>
      <c r="M185" s="198" t="s">
        <v>25896</v>
      </c>
      <c r="N185" s="197" t="s">
        <v>25897</v>
      </c>
      <c r="O185" s="195">
        <v>0.03</v>
      </c>
    </row>
    <row r="186" spans="1:15" ht="57.6" x14ac:dyDescent="0.3">
      <c r="A186" t="s">
        <v>198</v>
      </c>
      <c r="B186" t="s">
        <v>25894</v>
      </c>
      <c r="C186" s="194" t="s">
        <v>17143</v>
      </c>
      <c r="D186" t="s">
        <v>25894</v>
      </c>
      <c r="E186" s="194" t="s">
        <v>531</v>
      </c>
      <c r="F186" t="s">
        <v>25894</v>
      </c>
      <c r="G186" s="194" t="s">
        <v>26639</v>
      </c>
      <c r="H186" t="s">
        <v>25894</v>
      </c>
      <c r="I186">
        <v>1</v>
      </c>
      <c r="J186" s="197" t="s">
        <v>26604</v>
      </c>
      <c r="K186" t="s">
        <v>25894</v>
      </c>
      <c r="L186" s="197" t="s">
        <v>26703</v>
      </c>
      <c r="M186" s="198" t="s">
        <v>25896</v>
      </c>
      <c r="N186" s="197" t="s">
        <v>25897</v>
      </c>
      <c r="O186" s="195">
        <v>0.02</v>
      </c>
    </row>
    <row r="187" spans="1:15" ht="57.6" x14ac:dyDescent="0.3">
      <c r="A187" t="s">
        <v>199</v>
      </c>
      <c r="B187" t="s">
        <v>25894</v>
      </c>
      <c r="C187" s="194" t="s">
        <v>17144</v>
      </c>
      <c r="D187" t="s">
        <v>25894</v>
      </c>
      <c r="E187" s="194" t="s">
        <v>25705</v>
      </c>
      <c r="F187" t="s">
        <v>25894</v>
      </c>
      <c r="G187" s="194" t="s">
        <v>26461</v>
      </c>
      <c r="H187" t="s">
        <v>25894</v>
      </c>
      <c r="I187">
        <v>1</v>
      </c>
      <c r="J187" s="197" t="s">
        <v>26604</v>
      </c>
      <c r="K187" t="s">
        <v>25894</v>
      </c>
      <c r="L187" s="197" t="s">
        <v>26703</v>
      </c>
      <c r="M187" s="198" t="s">
        <v>25896</v>
      </c>
      <c r="N187" s="197" t="s">
        <v>25897</v>
      </c>
      <c r="O187" s="195">
        <v>0.02</v>
      </c>
    </row>
    <row r="188" spans="1:15" ht="57.6" x14ac:dyDescent="0.3">
      <c r="A188" t="s">
        <v>200</v>
      </c>
      <c r="B188" t="s">
        <v>25894</v>
      </c>
      <c r="C188" s="194" t="s">
        <v>533</v>
      </c>
      <c r="D188" t="s">
        <v>25894</v>
      </c>
      <c r="E188" s="194" t="s">
        <v>533</v>
      </c>
      <c r="F188" t="s">
        <v>25894</v>
      </c>
      <c r="G188" s="194" t="s">
        <v>26464</v>
      </c>
      <c r="H188" t="s">
        <v>25894</v>
      </c>
      <c r="I188">
        <v>1</v>
      </c>
      <c r="J188" s="197" t="s">
        <v>26604</v>
      </c>
      <c r="K188" t="s">
        <v>25894</v>
      </c>
      <c r="L188" s="197" t="s">
        <v>26703</v>
      </c>
      <c r="M188" s="198" t="s">
        <v>25896</v>
      </c>
      <c r="N188" s="197" t="s">
        <v>25897</v>
      </c>
      <c r="O188" s="195">
        <v>0.02</v>
      </c>
    </row>
    <row r="189" spans="1:15" ht="57.6" x14ac:dyDescent="0.3">
      <c r="A189" t="s">
        <v>201</v>
      </c>
      <c r="B189" t="s">
        <v>25894</v>
      </c>
      <c r="C189" s="194" t="s">
        <v>17145</v>
      </c>
      <c r="D189" t="s">
        <v>25894</v>
      </c>
      <c r="E189" s="194" t="s">
        <v>534</v>
      </c>
      <c r="F189" t="s">
        <v>25894</v>
      </c>
      <c r="G189" s="194" t="s">
        <v>26465</v>
      </c>
      <c r="H189" t="s">
        <v>25894</v>
      </c>
      <c r="I189">
        <v>1</v>
      </c>
      <c r="J189" s="197" t="s">
        <v>26604</v>
      </c>
      <c r="K189" t="s">
        <v>25894</v>
      </c>
      <c r="L189" s="197" t="s">
        <v>26703</v>
      </c>
      <c r="M189" s="198" t="s">
        <v>25896</v>
      </c>
      <c r="N189" s="197" t="s">
        <v>25897</v>
      </c>
      <c r="O189" s="195">
        <v>0.02</v>
      </c>
    </row>
    <row r="190" spans="1:15" ht="72" x14ac:dyDescent="0.3">
      <c r="A190" t="s">
        <v>202</v>
      </c>
      <c r="B190" t="s">
        <v>25894</v>
      </c>
      <c r="C190" s="194" t="s">
        <v>535</v>
      </c>
      <c r="D190" t="s">
        <v>25894</v>
      </c>
      <c r="E190" s="194" t="s">
        <v>535</v>
      </c>
      <c r="F190" t="s">
        <v>25894</v>
      </c>
      <c r="G190" s="194" t="s">
        <v>26262</v>
      </c>
      <c r="H190" t="s">
        <v>25894</v>
      </c>
      <c r="I190">
        <v>10</v>
      </c>
      <c r="J190" s="197" t="s">
        <v>26595</v>
      </c>
      <c r="K190" t="s">
        <v>25894</v>
      </c>
      <c r="L190" s="197" t="s">
        <v>26703</v>
      </c>
      <c r="M190" s="198" t="s">
        <v>25896</v>
      </c>
      <c r="N190" s="197" t="s">
        <v>25897</v>
      </c>
      <c r="O190" s="195">
        <v>0.15</v>
      </c>
    </row>
    <row r="191" spans="1:15" ht="57.6" x14ac:dyDescent="0.3">
      <c r="A191" t="s">
        <v>203</v>
      </c>
      <c r="B191" t="s">
        <v>25894</v>
      </c>
      <c r="C191" s="194" t="s">
        <v>536</v>
      </c>
      <c r="D191" t="s">
        <v>25894</v>
      </c>
      <c r="E191" s="194" t="s">
        <v>536</v>
      </c>
      <c r="F191" t="s">
        <v>25894</v>
      </c>
      <c r="G191" s="194" t="s">
        <v>26275</v>
      </c>
      <c r="H191" t="s">
        <v>25894</v>
      </c>
      <c r="I191">
        <v>7</v>
      </c>
      <c r="J191" s="197" t="s">
        <v>26598</v>
      </c>
      <c r="K191" t="s">
        <v>25894</v>
      </c>
      <c r="L191" s="197" t="s">
        <v>26703</v>
      </c>
      <c r="M191" s="198" t="s">
        <v>25896</v>
      </c>
      <c r="N191" s="197" t="s">
        <v>25897</v>
      </c>
      <c r="O191" s="195">
        <v>0.11</v>
      </c>
    </row>
    <row r="192" spans="1:15" ht="72" x14ac:dyDescent="0.3">
      <c r="A192" t="s">
        <v>204</v>
      </c>
      <c r="B192" t="s">
        <v>25894</v>
      </c>
      <c r="C192" s="194" t="s">
        <v>17149</v>
      </c>
      <c r="D192" t="s">
        <v>25894</v>
      </c>
      <c r="E192" s="194" t="s">
        <v>17149</v>
      </c>
      <c r="F192" t="s">
        <v>25894</v>
      </c>
      <c r="G192" s="194" t="s">
        <v>26466</v>
      </c>
      <c r="H192" t="s">
        <v>25894</v>
      </c>
      <c r="I192">
        <v>3</v>
      </c>
      <c r="J192" s="197" t="s">
        <v>26602</v>
      </c>
      <c r="K192" t="s">
        <v>25894</v>
      </c>
      <c r="L192" s="197" t="s">
        <v>26703</v>
      </c>
      <c r="M192" s="198" t="s">
        <v>25896</v>
      </c>
      <c r="N192" s="197" t="s">
        <v>25897</v>
      </c>
      <c r="O192" s="195">
        <v>0.05</v>
      </c>
    </row>
    <row r="193" spans="1:15" ht="43.2" x14ac:dyDescent="0.3">
      <c r="A193" t="s">
        <v>205</v>
      </c>
      <c r="B193" t="s">
        <v>25894</v>
      </c>
      <c r="C193" s="194" t="s">
        <v>17152</v>
      </c>
      <c r="D193" t="s">
        <v>25894</v>
      </c>
      <c r="E193" s="194" t="s">
        <v>25711</v>
      </c>
      <c r="F193" t="s">
        <v>25894</v>
      </c>
      <c r="G193" s="194" t="s">
        <v>26467</v>
      </c>
      <c r="H193" t="s">
        <v>25894</v>
      </c>
      <c r="I193">
        <v>2</v>
      </c>
      <c r="J193" s="197" t="s">
        <v>26603</v>
      </c>
      <c r="K193" t="s">
        <v>25894</v>
      </c>
      <c r="L193" s="197" t="s">
        <v>26703</v>
      </c>
      <c r="M193" s="198" t="s">
        <v>25896</v>
      </c>
      <c r="N193" s="197" t="s">
        <v>25897</v>
      </c>
      <c r="O193" s="195">
        <v>0.03</v>
      </c>
    </row>
    <row r="194" spans="1:15" ht="72" x14ac:dyDescent="0.3">
      <c r="A194" t="s">
        <v>206</v>
      </c>
      <c r="B194" t="s">
        <v>25894</v>
      </c>
      <c r="C194" s="194" t="s">
        <v>17153</v>
      </c>
      <c r="D194" t="s">
        <v>25894</v>
      </c>
      <c r="E194" s="194" t="s">
        <v>17153</v>
      </c>
      <c r="F194" t="s">
        <v>25894</v>
      </c>
      <c r="G194" s="194" t="s">
        <v>26468</v>
      </c>
      <c r="H194" t="s">
        <v>25894</v>
      </c>
      <c r="I194">
        <v>2</v>
      </c>
      <c r="J194" s="197" t="s">
        <v>26603</v>
      </c>
      <c r="K194" t="s">
        <v>25894</v>
      </c>
      <c r="L194" s="197" t="s">
        <v>26703</v>
      </c>
      <c r="M194" s="198" t="s">
        <v>25896</v>
      </c>
      <c r="N194" s="197" t="s">
        <v>25897</v>
      </c>
      <c r="O194" s="195">
        <v>0.03</v>
      </c>
    </row>
    <row r="195" spans="1:15" ht="57.6" x14ac:dyDescent="0.3">
      <c r="A195" t="s">
        <v>207</v>
      </c>
      <c r="B195" t="s">
        <v>25894</v>
      </c>
      <c r="C195" s="194" t="s">
        <v>25716</v>
      </c>
      <c r="D195" t="s">
        <v>25894</v>
      </c>
      <c r="E195" s="194" t="s">
        <v>25716</v>
      </c>
      <c r="F195" t="s">
        <v>25894</v>
      </c>
      <c r="G195" s="194" t="s">
        <v>26469</v>
      </c>
      <c r="H195" t="s">
        <v>25894</v>
      </c>
      <c r="I195">
        <v>1</v>
      </c>
      <c r="J195" s="197" t="s">
        <v>26604</v>
      </c>
      <c r="K195" t="s">
        <v>25894</v>
      </c>
      <c r="L195" s="197" t="s">
        <v>26703</v>
      </c>
      <c r="M195" s="198" t="s">
        <v>25896</v>
      </c>
      <c r="N195" s="197" t="s">
        <v>25897</v>
      </c>
      <c r="O195" s="195">
        <v>0.02</v>
      </c>
    </row>
    <row r="196" spans="1:15" ht="57.6" x14ac:dyDescent="0.3">
      <c r="A196" t="s">
        <v>208</v>
      </c>
      <c r="B196" t="s">
        <v>25894</v>
      </c>
      <c r="C196" s="194" t="s">
        <v>17154</v>
      </c>
      <c r="D196" t="s">
        <v>25894</v>
      </c>
      <c r="E196" s="194" t="s">
        <v>17154</v>
      </c>
      <c r="F196" t="s">
        <v>25894</v>
      </c>
      <c r="G196" s="194" t="s">
        <v>26470</v>
      </c>
      <c r="H196" t="s">
        <v>25894</v>
      </c>
      <c r="I196">
        <v>2</v>
      </c>
      <c r="J196" s="197" t="s">
        <v>26603</v>
      </c>
      <c r="K196" t="s">
        <v>25894</v>
      </c>
      <c r="L196" s="197" t="s">
        <v>26703</v>
      </c>
      <c r="M196" s="198" t="s">
        <v>25896</v>
      </c>
      <c r="N196" s="197" t="s">
        <v>25897</v>
      </c>
      <c r="O196" s="195">
        <v>0.03</v>
      </c>
    </row>
    <row r="197" spans="1:15" ht="72" x14ac:dyDescent="0.3">
      <c r="A197" t="s">
        <v>209</v>
      </c>
      <c r="B197" t="s">
        <v>25894</v>
      </c>
      <c r="C197" s="194" t="s">
        <v>542</v>
      </c>
      <c r="D197" t="s">
        <v>25894</v>
      </c>
      <c r="E197" s="194" t="s">
        <v>542</v>
      </c>
      <c r="F197" t="s">
        <v>25894</v>
      </c>
      <c r="G197" s="194" t="s">
        <v>26471</v>
      </c>
      <c r="H197" t="s">
        <v>25894</v>
      </c>
      <c r="I197">
        <v>1</v>
      </c>
      <c r="J197" s="197" t="s">
        <v>26604</v>
      </c>
      <c r="K197" t="s">
        <v>25894</v>
      </c>
      <c r="L197" s="197" t="s">
        <v>26703</v>
      </c>
      <c r="M197" s="198" t="s">
        <v>25896</v>
      </c>
      <c r="N197" s="197" t="s">
        <v>25897</v>
      </c>
      <c r="O197" s="195">
        <v>0.02</v>
      </c>
    </row>
    <row r="198" spans="1:15" x14ac:dyDescent="0.3">
      <c r="A198" t="s">
        <v>210</v>
      </c>
      <c r="B198" t="s">
        <v>25894</v>
      </c>
      <c r="C198" s="194" t="s">
        <v>17155</v>
      </c>
      <c r="D198" t="s">
        <v>25894</v>
      </c>
      <c r="E198" s="194" t="s">
        <v>17155</v>
      </c>
      <c r="F198" t="s">
        <v>25894</v>
      </c>
      <c r="G198" s="194" t="s">
        <v>26472</v>
      </c>
      <c r="H198" t="s">
        <v>25894</v>
      </c>
      <c r="I198">
        <v>3</v>
      </c>
      <c r="J198" s="197" t="s">
        <v>26602</v>
      </c>
      <c r="K198" t="s">
        <v>25894</v>
      </c>
      <c r="L198" s="197" t="s">
        <v>26703</v>
      </c>
      <c r="M198" s="198" t="s">
        <v>25896</v>
      </c>
      <c r="N198" s="197" t="s">
        <v>25897</v>
      </c>
      <c r="O198" s="195">
        <v>0.05</v>
      </c>
    </row>
    <row r="199" spans="1:15" ht="43.2" x14ac:dyDescent="0.3">
      <c r="A199" t="s">
        <v>211</v>
      </c>
      <c r="B199" t="s">
        <v>25894</v>
      </c>
      <c r="C199" s="194" t="s">
        <v>544</v>
      </c>
      <c r="D199" t="s">
        <v>25894</v>
      </c>
      <c r="E199" s="194" t="s">
        <v>544</v>
      </c>
      <c r="F199" t="s">
        <v>25894</v>
      </c>
      <c r="G199" s="194" t="s">
        <v>26473</v>
      </c>
      <c r="H199" t="s">
        <v>25894</v>
      </c>
      <c r="I199">
        <v>1</v>
      </c>
      <c r="J199" s="197" t="s">
        <v>26604</v>
      </c>
      <c r="K199" t="s">
        <v>25894</v>
      </c>
      <c r="L199" s="197" t="s">
        <v>26703</v>
      </c>
      <c r="M199" s="198" t="s">
        <v>25896</v>
      </c>
      <c r="N199" s="197" t="s">
        <v>25897</v>
      </c>
      <c r="O199" s="195">
        <v>0.02</v>
      </c>
    </row>
    <row r="200" spans="1:15" ht="72" x14ac:dyDescent="0.3">
      <c r="A200" t="s">
        <v>212</v>
      </c>
      <c r="B200" t="s">
        <v>25894</v>
      </c>
      <c r="C200" s="194" t="s">
        <v>25725</v>
      </c>
      <c r="D200" t="s">
        <v>25894</v>
      </c>
      <c r="E200" s="194" t="s">
        <v>25726</v>
      </c>
      <c r="F200" t="s">
        <v>25894</v>
      </c>
      <c r="G200" s="194" t="s">
        <v>26474</v>
      </c>
      <c r="H200" t="s">
        <v>25894</v>
      </c>
      <c r="I200">
        <v>2</v>
      </c>
      <c r="J200" s="197" t="s">
        <v>26603</v>
      </c>
      <c r="K200" t="s">
        <v>25894</v>
      </c>
      <c r="L200" s="197" t="s">
        <v>26703</v>
      </c>
      <c r="M200" s="198" t="s">
        <v>25896</v>
      </c>
      <c r="N200" s="197" t="s">
        <v>25897</v>
      </c>
      <c r="O200" s="195">
        <v>0.03</v>
      </c>
    </row>
    <row r="201" spans="1:15" ht="72" x14ac:dyDescent="0.3">
      <c r="A201" t="s">
        <v>213</v>
      </c>
      <c r="B201" t="s">
        <v>25894</v>
      </c>
      <c r="C201" s="194" t="s">
        <v>546</v>
      </c>
      <c r="D201" t="s">
        <v>25894</v>
      </c>
      <c r="E201" s="194" t="s">
        <v>546</v>
      </c>
      <c r="F201" t="s">
        <v>25894</v>
      </c>
      <c r="G201" s="194" t="s">
        <v>26267</v>
      </c>
      <c r="H201" t="s">
        <v>25894</v>
      </c>
      <c r="I201">
        <v>9</v>
      </c>
      <c r="J201" s="197" t="s">
        <v>26596</v>
      </c>
      <c r="K201" t="s">
        <v>25894</v>
      </c>
      <c r="L201" s="197" t="s">
        <v>26703</v>
      </c>
      <c r="M201" s="198" t="s">
        <v>25896</v>
      </c>
      <c r="N201" s="197" t="s">
        <v>25897</v>
      </c>
      <c r="O201" s="195">
        <v>0.14000000000000001</v>
      </c>
    </row>
    <row r="202" spans="1:15" ht="72" x14ac:dyDescent="0.3">
      <c r="A202" t="s">
        <v>214</v>
      </c>
      <c r="B202" t="s">
        <v>25894</v>
      </c>
      <c r="C202" s="194" t="s">
        <v>17158</v>
      </c>
      <c r="D202" t="s">
        <v>25894</v>
      </c>
      <c r="E202" s="194" t="s">
        <v>547</v>
      </c>
      <c r="F202" t="s">
        <v>25894</v>
      </c>
      <c r="G202" s="194" t="s">
        <v>26475</v>
      </c>
      <c r="H202" t="s">
        <v>25894</v>
      </c>
      <c r="I202">
        <v>4</v>
      </c>
      <c r="J202" s="197" t="s">
        <v>26601</v>
      </c>
      <c r="K202" t="s">
        <v>25894</v>
      </c>
      <c r="L202" s="197" t="s">
        <v>26703</v>
      </c>
      <c r="M202" s="198" t="s">
        <v>25896</v>
      </c>
      <c r="N202" s="197" t="s">
        <v>25897</v>
      </c>
      <c r="O202" s="195">
        <v>0.06</v>
      </c>
    </row>
    <row r="203" spans="1:15" ht="43.2" x14ac:dyDescent="0.3">
      <c r="A203" t="s">
        <v>215</v>
      </c>
      <c r="B203" t="s">
        <v>25894</v>
      </c>
      <c r="C203" s="194" t="s">
        <v>17162</v>
      </c>
      <c r="D203" t="s">
        <v>25894</v>
      </c>
      <c r="E203" s="194" t="s">
        <v>548</v>
      </c>
      <c r="F203" t="s">
        <v>25894</v>
      </c>
      <c r="G203" s="194" t="s">
        <v>26476</v>
      </c>
      <c r="H203" t="s">
        <v>25894</v>
      </c>
      <c r="I203">
        <v>1</v>
      </c>
      <c r="J203" s="197" t="s">
        <v>26604</v>
      </c>
      <c r="K203" t="s">
        <v>25894</v>
      </c>
      <c r="L203" s="197" t="s">
        <v>26703</v>
      </c>
      <c r="M203" s="198" t="s">
        <v>25896</v>
      </c>
      <c r="N203" s="197" t="s">
        <v>25897</v>
      </c>
      <c r="O203" s="195">
        <v>0.02</v>
      </c>
    </row>
    <row r="204" spans="1:15" ht="43.2" x14ac:dyDescent="0.3">
      <c r="A204" t="s">
        <v>216</v>
      </c>
      <c r="B204" t="s">
        <v>25894</v>
      </c>
      <c r="C204" s="194" t="s">
        <v>17163</v>
      </c>
      <c r="D204" t="s">
        <v>25894</v>
      </c>
      <c r="E204" s="194" t="s">
        <v>549</v>
      </c>
      <c r="F204" t="s">
        <v>25894</v>
      </c>
      <c r="G204" s="194" t="s">
        <v>26477</v>
      </c>
      <c r="H204" t="s">
        <v>25894</v>
      </c>
      <c r="I204">
        <v>5</v>
      </c>
      <c r="J204" s="197" t="s">
        <v>26600</v>
      </c>
      <c r="K204" t="s">
        <v>25894</v>
      </c>
      <c r="L204" s="197" t="s">
        <v>26703</v>
      </c>
      <c r="M204" s="198" t="s">
        <v>25896</v>
      </c>
      <c r="N204" s="197" t="s">
        <v>25897</v>
      </c>
      <c r="O204" s="195">
        <v>0.08</v>
      </c>
    </row>
    <row r="205" spans="1:15" ht="28.8" x14ac:dyDescent="0.3">
      <c r="A205" t="s">
        <v>217</v>
      </c>
      <c r="B205" t="s">
        <v>25894</v>
      </c>
      <c r="C205" s="194" t="s">
        <v>550</v>
      </c>
      <c r="D205" t="s">
        <v>25894</v>
      </c>
      <c r="E205" s="194" t="s">
        <v>550</v>
      </c>
      <c r="F205" t="s">
        <v>25894</v>
      </c>
      <c r="G205" s="194" t="s">
        <v>26312</v>
      </c>
      <c r="H205" t="s">
        <v>25894</v>
      </c>
      <c r="I205">
        <v>5</v>
      </c>
      <c r="J205" s="197" t="s">
        <v>26600</v>
      </c>
      <c r="K205" t="s">
        <v>25894</v>
      </c>
      <c r="L205" s="197" t="s">
        <v>26703</v>
      </c>
      <c r="M205" s="198" t="s">
        <v>25896</v>
      </c>
      <c r="N205" s="197" t="s">
        <v>25897</v>
      </c>
      <c r="O205" s="195">
        <v>0.08</v>
      </c>
    </row>
    <row r="206" spans="1:15" ht="86.4" x14ac:dyDescent="0.3">
      <c r="A206" t="s">
        <v>218</v>
      </c>
      <c r="B206" t="s">
        <v>25894</v>
      </c>
      <c r="C206" s="194" t="s">
        <v>551</v>
      </c>
      <c r="D206" t="s">
        <v>25894</v>
      </c>
      <c r="E206" s="194" t="s">
        <v>551</v>
      </c>
      <c r="F206" t="s">
        <v>25894</v>
      </c>
      <c r="G206" s="194" t="s">
        <v>26478</v>
      </c>
      <c r="H206" t="s">
        <v>25894</v>
      </c>
      <c r="I206">
        <v>4</v>
      </c>
      <c r="J206" s="197" t="s">
        <v>26601</v>
      </c>
      <c r="K206" t="s">
        <v>25894</v>
      </c>
      <c r="L206" s="197" t="s">
        <v>26703</v>
      </c>
      <c r="M206" s="198" t="s">
        <v>25896</v>
      </c>
      <c r="N206" s="197" t="s">
        <v>25897</v>
      </c>
      <c r="O206" s="195">
        <v>0.06</v>
      </c>
    </row>
    <row r="207" spans="1:15" ht="57.6" x14ac:dyDescent="0.3">
      <c r="A207" t="s">
        <v>219</v>
      </c>
      <c r="B207" t="s">
        <v>25894</v>
      </c>
      <c r="C207" s="194" t="s">
        <v>17166</v>
      </c>
      <c r="D207" t="s">
        <v>25894</v>
      </c>
      <c r="E207" s="194" t="s">
        <v>552</v>
      </c>
      <c r="F207" t="s">
        <v>25894</v>
      </c>
      <c r="G207" s="194" t="s">
        <v>26479</v>
      </c>
      <c r="H207" t="s">
        <v>25894</v>
      </c>
      <c r="I207">
        <v>6</v>
      </c>
      <c r="J207" s="197" t="s">
        <v>26599</v>
      </c>
      <c r="K207" t="s">
        <v>25894</v>
      </c>
      <c r="L207" s="197" t="s">
        <v>26703</v>
      </c>
      <c r="M207" s="198" t="s">
        <v>25896</v>
      </c>
      <c r="N207" s="197" t="s">
        <v>25897</v>
      </c>
      <c r="O207" s="195">
        <v>0.09</v>
      </c>
    </row>
    <row r="208" spans="1:15" ht="72" x14ac:dyDescent="0.3">
      <c r="A208" t="s">
        <v>220</v>
      </c>
      <c r="B208" t="s">
        <v>25894</v>
      </c>
      <c r="C208" s="194" t="s">
        <v>17168</v>
      </c>
      <c r="D208" t="s">
        <v>25894</v>
      </c>
      <c r="E208" s="194" t="s">
        <v>553</v>
      </c>
      <c r="F208" t="s">
        <v>25894</v>
      </c>
      <c r="G208" s="194" t="s">
        <v>26480</v>
      </c>
      <c r="H208" t="s">
        <v>25894</v>
      </c>
      <c r="I208">
        <v>2</v>
      </c>
      <c r="J208" s="197" t="s">
        <v>26603</v>
      </c>
      <c r="K208" t="s">
        <v>25894</v>
      </c>
      <c r="L208" s="197" t="s">
        <v>26703</v>
      </c>
      <c r="M208" s="198" t="s">
        <v>25896</v>
      </c>
      <c r="N208" s="197" t="s">
        <v>25897</v>
      </c>
      <c r="O208" s="195">
        <v>0.03</v>
      </c>
    </row>
    <row r="209" spans="1:15" ht="72" x14ac:dyDescent="0.3">
      <c r="A209" t="s">
        <v>221</v>
      </c>
      <c r="B209" t="s">
        <v>25894</v>
      </c>
      <c r="C209" s="194" t="s">
        <v>25735</v>
      </c>
      <c r="D209" t="s">
        <v>25894</v>
      </c>
      <c r="E209" s="194" t="s">
        <v>25735</v>
      </c>
      <c r="F209" t="s">
        <v>25894</v>
      </c>
      <c r="G209" s="194" t="s">
        <v>26626</v>
      </c>
      <c r="H209" t="s">
        <v>25894</v>
      </c>
      <c r="I209">
        <v>2</v>
      </c>
      <c r="J209" s="197" t="s">
        <v>26603</v>
      </c>
      <c r="K209" t="s">
        <v>25894</v>
      </c>
      <c r="L209" s="197" t="s">
        <v>26703</v>
      </c>
      <c r="M209" s="198" t="s">
        <v>25896</v>
      </c>
      <c r="N209" s="197" t="s">
        <v>25897</v>
      </c>
      <c r="O209" s="195">
        <v>0.03</v>
      </c>
    </row>
    <row r="210" spans="1:15" ht="43.2" x14ac:dyDescent="0.3">
      <c r="A210" t="s">
        <v>222</v>
      </c>
      <c r="B210" t="s">
        <v>25894</v>
      </c>
      <c r="C210" s="194" t="s">
        <v>555</v>
      </c>
      <c r="D210" t="s">
        <v>25894</v>
      </c>
      <c r="E210" s="194" t="s">
        <v>555</v>
      </c>
      <c r="F210" t="s">
        <v>25894</v>
      </c>
      <c r="G210" s="194" t="s">
        <v>26481</v>
      </c>
      <c r="H210" t="s">
        <v>25894</v>
      </c>
      <c r="I210">
        <v>1</v>
      </c>
      <c r="J210" s="197" t="s">
        <v>26604</v>
      </c>
      <c r="K210" t="s">
        <v>25894</v>
      </c>
      <c r="L210" s="197" t="s">
        <v>26703</v>
      </c>
      <c r="M210" s="198" t="s">
        <v>25896</v>
      </c>
      <c r="N210" s="197" t="s">
        <v>25897</v>
      </c>
      <c r="O210" s="195">
        <v>0.02</v>
      </c>
    </row>
    <row r="211" spans="1:15" ht="86.4" x14ac:dyDescent="0.3">
      <c r="A211" t="s">
        <v>223</v>
      </c>
      <c r="B211" t="s">
        <v>25894</v>
      </c>
      <c r="C211" s="194" t="s">
        <v>556</v>
      </c>
      <c r="D211" t="s">
        <v>25894</v>
      </c>
      <c r="E211" s="194" t="s">
        <v>556</v>
      </c>
      <c r="F211" t="s">
        <v>25894</v>
      </c>
      <c r="G211" s="194" t="s">
        <v>26276</v>
      </c>
      <c r="H211" t="s">
        <v>25894</v>
      </c>
      <c r="I211">
        <v>6</v>
      </c>
      <c r="J211" s="197" t="s">
        <v>26599</v>
      </c>
      <c r="K211" t="s">
        <v>25894</v>
      </c>
      <c r="L211" s="197" t="s">
        <v>26703</v>
      </c>
      <c r="M211" s="198" t="s">
        <v>25896</v>
      </c>
      <c r="N211" s="197" t="s">
        <v>25897</v>
      </c>
      <c r="O211" s="195">
        <v>0.09</v>
      </c>
    </row>
    <row r="212" spans="1:15" ht="43.2" x14ac:dyDescent="0.3">
      <c r="A212" t="s">
        <v>224</v>
      </c>
      <c r="B212" t="s">
        <v>25894</v>
      </c>
      <c r="C212" s="194" t="s">
        <v>17173</v>
      </c>
      <c r="D212" t="s">
        <v>25894</v>
      </c>
      <c r="E212" s="194" t="s">
        <v>4</v>
      </c>
      <c r="F212" t="s">
        <v>25894</v>
      </c>
      <c r="G212" s="194" t="s">
        <v>26482</v>
      </c>
      <c r="H212" t="s">
        <v>25894</v>
      </c>
      <c r="I212">
        <v>3</v>
      </c>
      <c r="J212" s="197" t="s">
        <v>26602</v>
      </c>
      <c r="K212" t="s">
        <v>25894</v>
      </c>
      <c r="L212" s="197" t="s">
        <v>26703</v>
      </c>
      <c r="M212" s="198" t="s">
        <v>25896</v>
      </c>
      <c r="N212" s="197" t="s">
        <v>25897</v>
      </c>
      <c r="O212" s="195">
        <v>0.05</v>
      </c>
    </row>
    <row r="213" spans="1:15" ht="43.2" x14ac:dyDescent="0.3">
      <c r="A213" t="s">
        <v>225</v>
      </c>
      <c r="B213" t="s">
        <v>25894</v>
      </c>
      <c r="C213" s="194" t="s">
        <v>557</v>
      </c>
      <c r="D213" t="s">
        <v>25894</v>
      </c>
      <c r="E213" s="194" t="s">
        <v>557</v>
      </c>
      <c r="F213" t="s">
        <v>25894</v>
      </c>
      <c r="G213" s="194" t="s">
        <v>26483</v>
      </c>
      <c r="H213" t="s">
        <v>25894</v>
      </c>
      <c r="I213">
        <v>1</v>
      </c>
      <c r="J213" s="197" t="s">
        <v>26604</v>
      </c>
      <c r="K213" t="s">
        <v>25894</v>
      </c>
      <c r="L213" s="197" t="s">
        <v>26703</v>
      </c>
      <c r="M213" s="198" t="s">
        <v>25896</v>
      </c>
      <c r="N213" s="197" t="s">
        <v>25897</v>
      </c>
      <c r="O213" s="195">
        <v>0.02</v>
      </c>
    </row>
    <row r="214" spans="1:15" ht="57.6" x14ac:dyDescent="0.3">
      <c r="A214" t="s">
        <v>226</v>
      </c>
      <c r="B214" t="s">
        <v>25894</v>
      </c>
      <c r="C214" s="194" t="s">
        <v>558</v>
      </c>
      <c r="D214" t="s">
        <v>25894</v>
      </c>
      <c r="E214" s="194" t="s">
        <v>558</v>
      </c>
      <c r="F214" t="s">
        <v>25894</v>
      </c>
      <c r="G214" s="194" t="s">
        <v>26484</v>
      </c>
      <c r="H214" t="s">
        <v>25894</v>
      </c>
      <c r="I214">
        <v>1</v>
      </c>
      <c r="J214" s="197" t="s">
        <v>26604</v>
      </c>
      <c r="K214" t="s">
        <v>25894</v>
      </c>
      <c r="L214" s="197" t="s">
        <v>26703</v>
      </c>
      <c r="M214" s="198" t="s">
        <v>25896</v>
      </c>
      <c r="N214" s="197" t="s">
        <v>25897</v>
      </c>
      <c r="O214" s="195">
        <v>0.02</v>
      </c>
    </row>
    <row r="215" spans="1:15" ht="57.6" x14ac:dyDescent="0.3">
      <c r="A215" t="s">
        <v>227</v>
      </c>
      <c r="B215" t="s">
        <v>25894</v>
      </c>
      <c r="C215" s="194" t="s">
        <v>559</v>
      </c>
      <c r="D215" t="s">
        <v>25894</v>
      </c>
      <c r="E215" s="194" t="s">
        <v>559</v>
      </c>
      <c r="F215" t="s">
        <v>25894</v>
      </c>
      <c r="G215" s="194" t="s">
        <v>26485</v>
      </c>
      <c r="H215" t="s">
        <v>25894</v>
      </c>
      <c r="I215">
        <v>4</v>
      </c>
      <c r="J215" s="197" t="s">
        <v>26601</v>
      </c>
      <c r="K215" t="s">
        <v>25894</v>
      </c>
      <c r="L215" s="197" t="s">
        <v>26703</v>
      </c>
      <c r="M215" s="198" t="s">
        <v>25896</v>
      </c>
      <c r="N215" s="197" t="s">
        <v>25897</v>
      </c>
      <c r="O215" s="195">
        <v>0.06</v>
      </c>
    </row>
    <row r="216" spans="1:15" ht="43.2" x14ac:dyDescent="0.3">
      <c r="A216" t="s">
        <v>228</v>
      </c>
      <c r="B216" t="s">
        <v>25894</v>
      </c>
      <c r="C216" s="194" t="s">
        <v>560</v>
      </c>
      <c r="D216" t="s">
        <v>25894</v>
      </c>
      <c r="E216" s="194" t="s">
        <v>560</v>
      </c>
      <c r="F216" t="s">
        <v>25894</v>
      </c>
      <c r="G216" s="194" t="s">
        <v>26486</v>
      </c>
      <c r="H216" t="s">
        <v>25894</v>
      </c>
      <c r="I216">
        <v>1</v>
      </c>
      <c r="J216" s="197" t="s">
        <v>26604</v>
      </c>
      <c r="K216" t="s">
        <v>25894</v>
      </c>
      <c r="L216" s="197" t="s">
        <v>26703</v>
      </c>
      <c r="M216" s="198" t="s">
        <v>25896</v>
      </c>
      <c r="N216" s="197" t="s">
        <v>25897</v>
      </c>
      <c r="O216" s="195">
        <v>0.02</v>
      </c>
    </row>
    <row r="217" spans="1:15" ht="72" x14ac:dyDescent="0.3">
      <c r="A217" t="s">
        <v>229</v>
      </c>
      <c r="B217" t="s">
        <v>25894</v>
      </c>
      <c r="C217" s="194" t="s">
        <v>561</v>
      </c>
      <c r="D217" t="s">
        <v>25894</v>
      </c>
      <c r="E217" s="194" t="s">
        <v>561</v>
      </c>
      <c r="F217" t="s">
        <v>25894</v>
      </c>
      <c r="G217" s="194" t="s">
        <v>26487</v>
      </c>
      <c r="H217" t="s">
        <v>25894</v>
      </c>
      <c r="I217">
        <v>1</v>
      </c>
      <c r="J217" s="197" t="s">
        <v>26604</v>
      </c>
      <c r="K217" t="s">
        <v>25894</v>
      </c>
      <c r="L217" s="197" t="s">
        <v>26703</v>
      </c>
      <c r="M217" s="198" t="s">
        <v>25896</v>
      </c>
      <c r="N217" s="197" t="s">
        <v>25897</v>
      </c>
      <c r="O217" s="195">
        <v>0.02</v>
      </c>
    </row>
    <row r="218" spans="1:15" ht="72" x14ac:dyDescent="0.3">
      <c r="A218" t="s">
        <v>230</v>
      </c>
      <c r="B218" t="s">
        <v>25894</v>
      </c>
      <c r="C218" s="194" t="s">
        <v>17177</v>
      </c>
      <c r="D218" t="s">
        <v>25894</v>
      </c>
      <c r="E218" s="194" t="s">
        <v>562</v>
      </c>
      <c r="F218" t="s">
        <v>25894</v>
      </c>
      <c r="G218" s="194" t="s">
        <v>26617</v>
      </c>
      <c r="H218" t="s">
        <v>25894</v>
      </c>
      <c r="I218">
        <v>1</v>
      </c>
      <c r="J218" s="197" t="s">
        <v>26604</v>
      </c>
      <c r="K218" t="s">
        <v>25894</v>
      </c>
      <c r="L218" s="197" t="s">
        <v>26703</v>
      </c>
      <c r="M218" s="198" t="s">
        <v>25896</v>
      </c>
      <c r="N218" s="197" t="s">
        <v>25897</v>
      </c>
      <c r="O218" s="195">
        <v>0.02</v>
      </c>
    </row>
    <row r="219" spans="1:15" ht="28.8" x14ac:dyDescent="0.3">
      <c r="A219" t="s">
        <v>231</v>
      </c>
      <c r="B219" t="s">
        <v>25894</v>
      </c>
      <c r="C219" s="194" t="s">
        <v>563</v>
      </c>
      <c r="D219" t="s">
        <v>25894</v>
      </c>
      <c r="E219" s="194" t="s">
        <v>563</v>
      </c>
      <c r="F219" t="s">
        <v>25894</v>
      </c>
      <c r="G219" s="194" t="s">
        <v>26488</v>
      </c>
      <c r="H219" t="s">
        <v>25894</v>
      </c>
      <c r="I219">
        <v>3</v>
      </c>
      <c r="J219" s="197" t="s">
        <v>26602</v>
      </c>
      <c r="K219" t="s">
        <v>25894</v>
      </c>
      <c r="L219" s="197" t="s">
        <v>26703</v>
      </c>
      <c r="M219" s="198" t="s">
        <v>25896</v>
      </c>
      <c r="N219" s="197" t="s">
        <v>25897</v>
      </c>
      <c r="O219" s="195">
        <v>0.05</v>
      </c>
    </row>
    <row r="220" spans="1:15" ht="57.6" x14ac:dyDescent="0.3">
      <c r="A220" t="s">
        <v>232</v>
      </c>
      <c r="B220" t="s">
        <v>25894</v>
      </c>
      <c r="C220" s="194" t="s">
        <v>17180</v>
      </c>
      <c r="D220" t="s">
        <v>25894</v>
      </c>
      <c r="E220" s="194" t="s">
        <v>17181</v>
      </c>
      <c r="F220" t="s">
        <v>25894</v>
      </c>
      <c r="G220" s="194" t="s">
        <v>26489</v>
      </c>
      <c r="H220" t="s">
        <v>25894</v>
      </c>
      <c r="I220">
        <v>2</v>
      </c>
      <c r="J220" s="197" t="s">
        <v>26603</v>
      </c>
      <c r="K220" t="s">
        <v>25894</v>
      </c>
      <c r="L220" s="197" t="s">
        <v>26703</v>
      </c>
      <c r="M220" s="198" t="s">
        <v>25896</v>
      </c>
      <c r="N220" s="197" t="s">
        <v>25897</v>
      </c>
      <c r="O220" s="195">
        <v>0.03</v>
      </c>
    </row>
    <row r="221" spans="1:15" ht="28.8" x14ac:dyDescent="0.3">
      <c r="A221" t="s">
        <v>233</v>
      </c>
      <c r="B221" t="s">
        <v>25894</v>
      </c>
      <c r="C221" s="194" t="s">
        <v>26038</v>
      </c>
      <c r="D221" t="s">
        <v>25894</v>
      </c>
      <c r="E221" s="194" t="s">
        <v>565</v>
      </c>
      <c r="F221" t="s">
        <v>25894</v>
      </c>
      <c r="G221" s="194" t="s">
        <v>26490</v>
      </c>
      <c r="H221" t="s">
        <v>25894</v>
      </c>
      <c r="I221">
        <v>2</v>
      </c>
      <c r="J221" s="197" t="s">
        <v>26603</v>
      </c>
      <c r="K221" t="s">
        <v>25894</v>
      </c>
      <c r="L221" s="197" t="s">
        <v>26703</v>
      </c>
      <c r="M221" s="198" t="s">
        <v>25896</v>
      </c>
      <c r="N221" s="197" t="s">
        <v>25897</v>
      </c>
      <c r="O221" s="195">
        <v>0.03</v>
      </c>
    </row>
    <row r="222" spans="1:15" ht="57.6" x14ac:dyDescent="0.3">
      <c r="A222" t="s">
        <v>234</v>
      </c>
      <c r="B222" t="s">
        <v>25894</v>
      </c>
      <c r="C222" s="194" t="s">
        <v>17187</v>
      </c>
      <c r="D222" t="s">
        <v>25894</v>
      </c>
      <c r="E222" s="194" t="s">
        <v>566</v>
      </c>
      <c r="F222" t="s">
        <v>25894</v>
      </c>
      <c r="G222" s="194" t="s">
        <v>26491</v>
      </c>
      <c r="H222" t="s">
        <v>25894</v>
      </c>
      <c r="I222">
        <v>3</v>
      </c>
      <c r="J222" s="197" t="s">
        <v>26602</v>
      </c>
      <c r="K222" t="s">
        <v>25894</v>
      </c>
      <c r="L222" s="197" t="s">
        <v>26703</v>
      </c>
      <c r="M222" s="198" t="s">
        <v>25896</v>
      </c>
      <c r="N222" s="197" t="s">
        <v>25897</v>
      </c>
      <c r="O222" s="195">
        <v>0.05</v>
      </c>
    </row>
    <row r="223" spans="1:15" ht="28.8" x14ac:dyDescent="0.3">
      <c r="A223" t="s">
        <v>235</v>
      </c>
      <c r="B223" t="s">
        <v>25894</v>
      </c>
      <c r="C223" s="194" t="s">
        <v>567</v>
      </c>
      <c r="D223" t="s">
        <v>25894</v>
      </c>
      <c r="E223" s="194" t="s">
        <v>567</v>
      </c>
      <c r="F223" t="s">
        <v>25894</v>
      </c>
      <c r="G223" s="194" t="s">
        <v>26492</v>
      </c>
      <c r="H223" t="s">
        <v>25894</v>
      </c>
      <c r="I223">
        <v>2</v>
      </c>
      <c r="J223" s="197" t="s">
        <v>26603</v>
      </c>
      <c r="K223" t="s">
        <v>25894</v>
      </c>
      <c r="L223" s="197" t="s">
        <v>26703</v>
      </c>
      <c r="M223" s="198" t="s">
        <v>25896</v>
      </c>
      <c r="N223" s="197" t="s">
        <v>25897</v>
      </c>
      <c r="O223" s="195">
        <v>0.03</v>
      </c>
    </row>
    <row r="224" spans="1:15" ht="72" x14ac:dyDescent="0.3">
      <c r="A224" t="s">
        <v>236</v>
      </c>
      <c r="B224" t="s">
        <v>25894</v>
      </c>
      <c r="C224" s="194" t="s">
        <v>17192</v>
      </c>
      <c r="D224" t="s">
        <v>25894</v>
      </c>
      <c r="E224" s="194" t="s">
        <v>568</v>
      </c>
      <c r="F224" t="s">
        <v>25894</v>
      </c>
      <c r="G224" s="194" t="s">
        <v>26494</v>
      </c>
      <c r="H224" t="s">
        <v>25894</v>
      </c>
      <c r="I224">
        <v>3</v>
      </c>
      <c r="J224" s="197" t="s">
        <v>26602</v>
      </c>
      <c r="K224" t="s">
        <v>25894</v>
      </c>
      <c r="L224" s="197" t="s">
        <v>26703</v>
      </c>
      <c r="M224" s="198" t="s">
        <v>25896</v>
      </c>
      <c r="N224" s="197" t="s">
        <v>25897</v>
      </c>
      <c r="O224" s="195">
        <v>0.05</v>
      </c>
    </row>
    <row r="225" spans="1:15" ht="57.6" x14ac:dyDescent="0.3">
      <c r="A225" t="s">
        <v>237</v>
      </c>
      <c r="B225" t="s">
        <v>25894</v>
      </c>
      <c r="C225" s="194" t="s">
        <v>569</v>
      </c>
      <c r="D225" t="s">
        <v>25894</v>
      </c>
      <c r="E225" s="194" t="s">
        <v>569</v>
      </c>
      <c r="F225" t="s">
        <v>25894</v>
      </c>
      <c r="G225" s="194" t="s">
        <v>26495</v>
      </c>
      <c r="H225" t="s">
        <v>25894</v>
      </c>
      <c r="I225">
        <v>1</v>
      </c>
      <c r="J225" s="197" t="s">
        <v>26604</v>
      </c>
      <c r="K225" t="s">
        <v>25894</v>
      </c>
      <c r="L225" s="197" t="s">
        <v>26703</v>
      </c>
      <c r="M225" s="198" t="s">
        <v>25896</v>
      </c>
      <c r="N225" s="197" t="s">
        <v>25897</v>
      </c>
      <c r="O225" s="195">
        <v>0.02</v>
      </c>
    </row>
    <row r="226" spans="1:15" ht="57.6" x14ac:dyDescent="0.3">
      <c r="A226" t="s">
        <v>238</v>
      </c>
      <c r="B226" t="s">
        <v>25894</v>
      </c>
      <c r="C226" s="194" t="s">
        <v>17197</v>
      </c>
      <c r="D226" t="s">
        <v>25894</v>
      </c>
      <c r="E226" s="194" t="s">
        <v>570</v>
      </c>
      <c r="F226" t="s">
        <v>25894</v>
      </c>
      <c r="G226" s="194" t="s">
        <v>26496</v>
      </c>
      <c r="H226" t="s">
        <v>25894</v>
      </c>
      <c r="I226">
        <v>2</v>
      </c>
      <c r="J226" s="197" t="s">
        <v>26603</v>
      </c>
      <c r="K226" t="s">
        <v>25894</v>
      </c>
      <c r="L226" s="197" t="s">
        <v>26703</v>
      </c>
      <c r="M226" s="198" t="s">
        <v>25896</v>
      </c>
      <c r="N226" s="197" t="s">
        <v>25897</v>
      </c>
      <c r="O226" s="195">
        <v>0.03</v>
      </c>
    </row>
    <row r="227" spans="1:15" ht="57.6" x14ac:dyDescent="0.3">
      <c r="A227" t="s">
        <v>239</v>
      </c>
      <c r="B227" t="s">
        <v>25894</v>
      </c>
      <c r="C227" s="194" t="s">
        <v>17200</v>
      </c>
      <c r="D227" t="s">
        <v>25894</v>
      </c>
      <c r="E227" s="194" t="s">
        <v>571</v>
      </c>
      <c r="F227" t="s">
        <v>25894</v>
      </c>
      <c r="G227" s="194" t="s">
        <v>26497</v>
      </c>
      <c r="H227" t="s">
        <v>25894</v>
      </c>
      <c r="I227">
        <v>1</v>
      </c>
      <c r="J227" s="197" t="s">
        <v>26604</v>
      </c>
      <c r="K227" t="s">
        <v>25894</v>
      </c>
      <c r="L227" s="197" t="s">
        <v>26703</v>
      </c>
      <c r="M227" s="198" t="s">
        <v>25896</v>
      </c>
      <c r="N227" s="197" t="s">
        <v>25897</v>
      </c>
      <c r="O227" s="195">
        <v>0.02</v>
      </c>
    </row>
    <row r="228" spans="1:15" ht="43.2" x14ac:dyDescent="0.3">
      <c r="A228" t="s">
        <v>240</v>
      </c>
      <c r="B228" t="s">
        <v>25894</v>
      </c>
      <c r="C228" s="194" t="s">
        <v>17203</v>
      </c>
      <c r="D228" t="s">
        <v>25894</v>
      </c>
      <c r="E228" s="194" t="s">
        <v>26710</v>
      </c>
      <c r="F228" t="s">
        <v>25894</v>
      </c>
      <c r="G228" s="194" t="s">
        <v>26498</v>
      </c>
      <c r="H228" t="s">
        <v>25894</v>
      </c>
      <c r="I228">
        <v>2</v>
      </c>
      <c r="J228" s="197" t="s">
        <v>26603</v>
      </c>
      <c r="K228" t="s">
        <v>25894</v>
      </c>
      <c r="L228" s="197" t="s">
        <v>26703</v>
      </c>
      <c r="M228" s="198" t="s">
        <v>25896</v>
      </c>
      <c r="N228" s="197" t="s">
        <v>25897</v>
      </c>
      <c r="O228" s="195">
        <v>0.03</v>
      </c>
    </row>
    <row r="229" spans="1:15" ht="43.2" x14ac:dyDescent="0.3">
      <c r="A229" t="s">
        <v>241</v>
      </c>
      <c r="B229" t="s">
        <v>25894</v>
      </c>
      <c r="C229" s="194" t="s">
        <v>17206</v>
      </c>
      <c r="D229" t="s">
        <v>25894</v>
      </c>
      <c r="E229" s="194" t="s">
        <v>573</v>
      </c>
      <c r="F229" t="s">
        <v>25894</v>
      </c>
      <c r="G229" s="194" t="s">
        <v>26499</v>
      </c>
      <c r="H229" t="s">
        <v>25894</v>
      </c>
      <c r="I229">
        <v>1</v>
      </c>
      <c r="J229" s="197" t="s">
        <v>26604</v>
      </c>
      <c r="K229" t="s">
        <v>25894</v>
      </c>
      <c r="L229" s="197" t="s">
        <v>26703</v>
      </c>
      <c r="M229" s="198" t="s">
        <v>25896</v>
      </c>
      <c r="N229" s="197" t="s">
        <v>25897</v>
      </c>
      <c r="O229" s="195">
        <v>0.02</v>
      </c>
    </row>
    <row r="230" spans="1:15" ht="43.2" x14ac:dyDescent="0.3">
      <c r="A230" t="s">
        <v>242</v>
      </c>
      <c r="B230" t="s">
        <v>25894</v>
      </c>
      <c r="C230" s="194" t="s">
        <v>26039</v>
      </c>
      <c r="D230" t="s">
        <v>25894</v>
      </c>
      <c r="E230" s="194" t="s">
        <v>574</v>
      </c>
      <c r="F230" t="s">
        <v>25894</v>
      </c>
      <c r="G230" s="194" t="s">
        <v>26500</v>
      </c>
      <c r="H230" t="s">
        <v>25894</v>
      </c>
      <c r="I230">
        <v>1</v>
      </c>
      <c r="J230" s="197" t="s">
        <v>26604</v>
      </c>
      <c r="K230" t="s">
        <v>25894</v>
      </c>
      <c r="L230" s="197" t="s">
        <v>26703</v>
      </c>
      <c r="M230" s="198" t="s">
        <v>25896</v>
      </c>
      <c r="N230" s="197" t="s">
        <v>25897</v>
      </c>
      <c r="O230" s="195">
        <v>0.02</v>
      </c>
    </row>
    <row r="231" spans="1:15" ht="86.4" x14ac:dyDescent="0.3">
      <c r="A231" t="s">
        <v>243</v>
      </c>
      <c r="B231" t="s">
        <v>25894</v>
      </c>
      <c r="C231" s="194" t="s">
        <v>17211</v>
      </c>
      <c r="D231" t="s">
        <v>25894</v>
      </c>
      <c r="E231" s="194" t="s">
        <v>575</v>
      </c>
      <c r="F231" t="s">
        <v>25894</v>
      </c>
      <c r="G231" s="194" t="s">
        <v>26313</v>
      </c>
      <c r="H231" t="s">
        <v>25894</v>
      </c>
      <c r="I231">
        <v>4</v>
      </c>
      <c r="J231" s="197" t="s">
        <v>26601</v>
      </c>
      <c r="K231" t="s">
        <v>25894</v>
      </c>
      <c r="L231" s="197" t="s">
        <v>26703</v>
      </c>
      <c r="M231" s="198" t="s">
        <v>25896</v>
      </c>
      <c r="N231" s="197" t="s">
        <v>25897</v>
      </c>
      <c r="O231" s="195">
        <v>0.06</v>
      </c>
    </row>
    <row r="232" spans="1:15" ht="57.6" x14ac:dyDescent="0.3">
      <c r="A232" t="s">
        <v>244</v>
      </c>
      <c r="B232" t="s">
        <v>25894</v>
      </c>
      <c r="C232" s="194" t="s">
        <v>17216</v>
      </c>
      <c r="D232" t="s">
        <v>25894</v>
      </c>
      <c r="E232" s="194" t="s">
        <v>26709</v>
      </c>
      <c r="F232" t="s">
        <v>25894</v>
      </c>
      <c r="G232" s="194" t="s">
        <v>26501</v>
      </c>
      <c r="H232" t="s">
        <v>25894</v>
      </c>
      <c r="I232">
        <v>2</v>
      </c>
      <c r="J232" s="197" t="s">
        <v>26603</v>
      </c>
      <c r="K232" t="s">
        <v>25894</v>
      </c>
      <c r="L232" s="197" t="s">
        <v>26703</v>
      </c>
      <c r="M232" s="198" t="s">
        <v>25896</v>
      </c>
      <c r="N232" s="197" t="s">
        <v>25897</v>
      </c>
      <c r="O232" s="195">
        <v>0.03</v>
      </c>
    </row>
    <row r="233" spans="1:15" ht="57.6" x14ac:dyDescent="0.3">
      <c r="A233" t="s">
        <v>245</v>
      </c>
      <c r="B233" t="s">
        <v>25894</v>
      </c>
      <c r="C233" s="194" t="s">
        <v>17219</v>
      </c>
      <c r="D233" t="s">
        <v>25894</v>
      </c>
      <c r="E233" s="194" t="s">
        <v>577</v>
      </c>
      <c r="F233" t="s">
        <v>25894</v>
      </c>
      <c r="G233" s="194" t="s">
        <v>26314</v>
      </c>
      <c r="H233" t="s">
        <v>25894</v>
      </c>
      <c r="I233">
        <v>6</v>
      </c>
      <c r="J233" s="197" t="s">
        <v>26599</v>
      </c>
      <c r="K233" t="s">
        <v>25894</v>
      </c>
      <c r="L233" s="197" t="s">
        <v>26703</v>
      </c>
      <c r="M233" s="198" t="s">
        <v>25896</v>
      </c>
      <c r="N233" s="197" t="s">
        <v>25897</v>
      </c>
      <c r="O233" s="195">
        <v>0.09</v>
      </c>
    </row>
    <row r="234" spans="1:15" ht="86.4" x14ac:dyDescent="0.3">
      <c r="A234" t="s">
        <v>246</v>
      </c>
      <c r="B234" t="s">
        <v>25894</v>
      </c>
      <c r="C234" s="194" t="s">
        <v>17222</v>
      </c>
      <c r="D234" t="s">
        <v>25894</v>
      </c>
      <c r="E234" s="194" t="s">
        <v>578</v>
      </c>
      <c r="F234" t="s">
        <v>25894</v>
      </c>
      <c r="G234" s="194" t="s">
        <v>26289</v>
      </c>
      <c r="H234" t="s">
        <v>25894</v>
      </c>
      <c r="I234">
        <v>4</v>
      </c>
      <c r="J234" s="197" t="s">
        <v>26601</v>
      </c>
      <c r="K234" t="s">
        <v>25894</v>
      </c>
      <c r="L234" s="197" t="s">
        <v>26703</v>
      </c>
      <c r="M234" s="198" t="s">
        <v>25896</v>
      </c>
      <c r="N234" s="197" t="s">
        <v>25897</v>
      </c>
      <c r="O234" s="195">
        <v>0.06</v>
      </c>
    </row>
    <row r="235" spans="1:15" ht="57.6" x14ac:dyDescent="0.3">
      <c r="A235" t="s">
        <v>247</v>
      </c>
      <c r="B235" t="s">
        <v>25894</v>
      </c>
      <c r="C235" s="194" t="s">
        <v>17225</v>
      </c>
      <c r="D235" t="s">
        <v>25894</v>
      </c>
      <c r="E235" s="194" t="s">
        <v>579</v>
      </c>
      <c r="F235" t="s">
        <v>25894</v>
      </c>
      <c r="G235" s="194" t="s">
        <v>26630</v>
      </c>
      <c r="H235" t="s">
        <v>25894</v>
      </c>
      <c r="I235">
        <v>1</v>
      </c>
      <c r="J235" s="197" t="s">
        <v>26604</v>
      </c>
      <c r="K235" t="s">
        <v>25894</v>
      </c>
      <c r="L235" s="197" t="s">
        <v>26703</v>
      </c>
      <c r="M235" s="198" t="s">
        <v>25896</v>
      </c>
      <c r="N235" s="197" t="s">
        <v>25897</v>
      </c>
      <c r="O235" s="195">
        <v>0.02</v>
      </c>
    </row>
    <row r="236" spans="1:15" ht="57.6" x14ac:dyDescent="0.3">
      <c r="A236" t="s">
        <v>248</v>
      </c>
      <c r="B236" t="s">
        <v>25894</v>
      </c>
      <c r="C236" s="194" t="s">
        <v>580</v>
      </c>
      <c r="D236" t="s">
        <v>25894</v>
      </c>
      <c r="E236" s="194" t="s">
        <v>580</v>
      </c>
      <c r="F236" t="s">
        <v>25894</v>
      </c>
      <c r="G236" s="194" t="s">
        <v>26502</v>
      </c>
      <c r="H236" t="s">
        <v>25894</v>
      </c>
      <c r="I236">
        <v>2</v>
      </c>
      <c r="J236" s="197" t="s">
        <v>26603</v>
      </c>
      <c r="K236" t="s">
        <v>25894</v>
      </c>
      <c r="L236" s="197" t="s">
        <v>26703</v>
      </c>
      <c r="M236" s="198" t="s">
        <v>25896</v>
      </c>
      <c r="N236" s="197" t="s">
        <v>25897</v>
      </c>
      <c r="O236" s="195">
        <v>0.03</v>
      </c>
    </row>
    <row r="237" spans="1:15" ht="57.6" x14ac:dyDescent="0.3">
      <c r="A237" t="s">
        <v>249</v>
      </c>
      <c r="B237" t="s">
        <v>25894</v>
      </c>
      <c r="C237" s="194" t="s">
        <v>581</v>
      </c>
      <c r="D237" t="s">
        <v>25894</v>
      </c>
      <c r="E237" s="194" t="s">
        <v>581</v>
      </c>
      <c r="F237" t="s">
        <v>25894</v>
      </c>
      <c r="G237" s="194" t="s">
        <v>26503</v>
      </c>
      <c r="H237" t="s">
        <v>25894</v>
      </c>
      <c r="I237">
        <v>1</v>
      </c>
      <c r="J237" s="197" t="s">
        <v>26604</v>
      </c>
      <c r="K237" t="s">
        <v>25894</v>
      </c>
      <c r="L237" s="197" t="s">
        <v>26703</v>
      </c>
      <c r="M237" s="198" t="s">
        <v>25896</v>
      </c>
      <c r="N237" s="197" t="s">
        <v>25897</v>
      </c>
      <c r="O237" s="195">
        <v>0.02</v>
      </c>
    </row>
    <row r="238" spans="1:15" ht="57.6" x14ac:dyDescent="0.3">
      <c r="A238" t="s">
        <v>250</v>
      </c>
      <c r="B238" t="s">
        <v>25894</v>
      </c>
      <c r="C238" s="194" t="s">
        <v>17232</v>
      </c>
      <c r="D238" t="s">
        <v>25894</v>
      </c>
      <c r="E238" s="194" t="s">
        <v>582</v>
      </c>
      <c r="F238" t="s">
        <v>25894</v>
      </c>
      <c r="G238" s="194" t="s">
        <v>26504</v>
      </c>
      <c r="H238" t="s">
        <v>25894</v>
      </c>
      <c r="I238">
        <v>5</v>
      </c>
      <c r="J238" s="197" t="s">
        <v>26600</v>
      </c>
      <c r="K238" t="s">
        <v>25894</v>
      </c>
      <c r="L238" s="197" t="s">
        <v>26703</v>
      </c>
      <c r="M238" s="198" t="s">
        <v>25896</v>
      </c>
      <c r="N238" s="197" t="s">
        <v>25897</v>
      </c>
      <c r="O238" s="195">
        <v>0.08</v>
      </c>
    </row>
    <row r="239" spans="1:15" ht="57.6" x14ac:dyDescent="0.3">
      <c r="A239" t="s">
        <v>251</v>
      </c>
      <c r="B239" t="s">
        <v>25894</v>
      </c>
      <c r="C239" s="194" t="s">
        <v>17235</v>
      </c>
      <c r="D239" t="s">
        <v>25894</v>
      </c>
      <c r="E239" s="194" t="s">
        <v>17236</v>
      </c>
      <c r="F239" t="s">
        <v>25894</v>
      </c>
      <c r="G239" s="194" t="s">
        <v>26505</v>
      </c>
      <c r="H239" t="s">
        <v>25894</v>
      </c>
      <c r="I239">
        <v>1</v>
      </c>
      <c r="J239" s="197" t="s">
        <v>26604</v>
      </c>
      <c r="K239" t="s">
        <v>25894</v>
      </c>
      <c r="L239" s="197" t="s">
        <v>26703</v>
      </c>
      <c r="M239" s="198" t="s">
        <v>25896</v>
      </c>
      <c r="N239" s="197" t="s">
        <v>25897</v>
      </c>
      <c r="O239" s="195">
        <v>0.02</v>
      </c>
    </row>
    <row r="240" spans="1:15" ht="43.2" x14ac:dyDescent="0.3">
      <c r="A240" t="s">
        <v>252</v>
      </c>
      <c r="B240" t="s">
        <v>25894</v>
      </c>
      <c r="C240" s="194" t="s">
        <v>17239</v>
      </c>
      <c r="D240" t="s">
        <v>25894</v>
      </c>
      <c r="E240" s="194" t="s">
        <v>584</v>
      </c>
      <c r="F240" t="s">
        <v>25894</v>
      </c>
      <c r="G240" s="194" t="s">
        <v>26506</v>
      </c>
      <c r="H240" t="s">
        <v>25894</v>
      </c>
      <c r="I240">
        <v>1</v>
      </c>
      <c r="J240" s="197" t="s">
        <v>26604</v>
      </c>
      <c r="K240" t="s">
        <v>25894</v>
      </c>
      <c r="L240" s="197" t="s">
        <v>26703</v>
      </c>
      <c r="M240" s="198" t="s">
        <v>25896</v>
      </c>
      <c r="N240" s="197" t="s">
        <v>25897</v>
      </c>
      <c r="O240" s="195">
        <v>0.02</v>
      </c>
    </row>
    <row r="241" spans="1:15" ht="28.8" x14ac:dyDescent="0.3">
      <c r="A241" t="s">
        <v>253</v>
      </c>
      <c r="B241" t="s">
        <v>25894</v>
      </c>
      <c r="C241" s="194" t="s">
        <v>17242</v>
      </c>
      <c r="D241" t="s">
        <v>25894</v>
      </c>
      <c r="E241" s="194" t="s">
        <v>585</v>
      </c>
      <c r="F241" t="s">
        <v>25894</v>
      </c>
      <c r="G241" s="194" t="s">
        <v>26507</v>
      </c>
      <c r="H241" t="s">
        <v>25894</v>
      </c>
      <c r="I241">
        <v>2</v>
      </c>
      <c r="J241" s="197" t="s">
        <v>26603</v>
      </c>
      <c r="K241" t="s">
        <v>25894</v>
      </c>
      <c r="L241" s="197" t="s">
        <v>26703</v>
      </c>
      <c r="M241" s="198" t="s">
        <v>25896</v>
      </c>
      <c r="N241" s="197" t="s">
        <v>25897</v>
      </c>
      <c r="O241" s="195">
        <v>0.03</v>
      </c>
    </row>
    <row r="242" spans="1:15" ht="57.6" x14ac:dyDescent="0.3">
      <c r="A242" t="s">
        <v>254</v>
      </c>
      <c r="B242" t="s">
        <v>25894</v>
      </c>
      <c r="C242" s="194" t="s">
        <v>17245</v>
      </c>
      <c r="D242" t="s">
        <v>25894</v>
      </c>
      <c r="E242" s="194" t="s">
        <v>586</v>
      </c>
      <c r="F242" t="s">
        <v>25894</v>
      </c>
      <c r="G242" s="194" t="s">
        <v>26508</v>
      </c>
      <c r="H242" t="s">
        <v>25894</v>
      </c>
      <c r="I242">
        <v>5</v>
      </c>
      <c r="J242" s="197" t="s">
        <v>26600</v>
      </c>
      <c r="K242" t="s">
        <v>25894</v>
      </c>
      <c r="L242" s="197" t="s">
        <v>26703</v>
      </c>
      <c r="M242" s="198" t="s">
        <v>25896</v>
      </c>
      <c r="N242" s="197" t="s">
        <v>25897</v>
      </c>
      <c r="O242" s="195">
        <v>0.08</v>
      </c>
    </row>
    <row r="243" spans="1:15" ht="28.8" x14ac:dyDescent="0.3">
      <c r="A243" t="s">
        <v>255</v>
      </c>
      <c r="B243" t="s">
        <v>25894</v>
      </c>
      <c r="C243" s="194" t="s">
        <v>17247</v>
      </c>
      <c r="D243" t="s">
        <v>25894</v>
      </c>
      <c r="E243" s="194" t="s">
        <v>587</v>
      </c>
      <c r="F243" t="s">
        <v>25894</v>
      </c>
      <c r="G243" s="194" t="s">
        <v>26511</v>
      </c>
      <c r="H243" t="s">
        <v>25894</v>
      </c>
      <c r="I243">
        <v>2</v>
      </c>
      <c r="J243" s="197" t="s">
        <v>26603</v>
      </c>
      <c r="K243" t="s">
        <v>25894</v>
      </c>
      <c r="L243" s="197" t="s">
        <v>26703</v>
      </c>
      <c r="M243" s="198" t="s">
        <v>25896</v>
      </c>
      <c r="N243" s="197" t="s">
        <v>25897</v>
      </c>
      <c r="O243" s="195">
        <v>0.03</v>
      </c>
    </row>
    <row r="244" spans="1:15" ht="43.2" x14ac:dyDescent="0.3">
      <c r="A244" t="s">
        <v>256</v>
      </c>
      <c r="B244" t="s">
        <v>25894</v>
      </c>
      <c r="C244" s="194" t="s">
        <v>17249</v>
      </c>
      <c r="D244" t="s">
        <v>25894</v>
      </c>
      <c r="E244" s="194" t="s">
        <v>588</v>
      </c>
      <c r="F244" t="s">
        <v>25894</v>
      </c>
      <c r="G244" s="194" t="s">
        <v>26512</v>
      </c>
      <c r="H244" t="s">
        <v>25894</v>
      </c>
      <c r="I244">
        <v>1</v>
      </c>
      <c r="J244" s="197" t="s">
        <v>26604</v>
      </c>
      <c r="K244" t="s">
        <v>25894</v>
      </c>
      <c r="L244" s="197" t="s">
        <v>26703</v>
      </c>
      <c r="M244" s="198" t="s">
        <v>25896</v>
      </c>
      <c r="N244" s="197" t="s">
        <v>25897</v>
      </c>
      <c r="O244" s="195">
        <v>0.02</v>
      </c>
    </row>
    <row r="245" spans="1:15" ht="57.6" x14ac:dyDescent="0.3">
      <c r="A245" t="s">
        <v>257</v>
      </c>
      <c r="B245" t="s">
        <v>25894</v>
      </c>
      <c r="C245" s="194" t="s">
        <v>17251</v>
      </c>
      <c r="D245" t="s">
        <v>25894</v>
      </c>
      <c r="E245" s="194" t="s">
        <v>589</v>
      </c>
      <c r="F245" t="s">
        <v>25894</v>
      </c>
      <c r="G245" s="194" t="s">
        <v>26513</v>
      </c>
      <c r="H245" t="s">
        <v>25894</v>
      </c>
      <c r="I245">
        <v>1</v>
      </c>
      <c r="J245" s="197" t="s">
        <v>26604</v>
      </c>
      <c r="K245" t="s">
        <v>25894</v>
      </c>
      <c r="L245" s="197" t="s">
        <v>26703</v>
      </c>
      <c r="M245" s="198" t="s">
        <v>25896</v>
      </c>
      <c r="N245" s="197" t="s">
        <v>25897</v>
      </c>
      <c r="O245" s="195">
        <v>0.02</v>
      </c>
    </row>
    <row r="246" spans="1:15" ht="57.6" x14ac:dyDescent="0.3">
      <c r="A246" t="s">
        <v>258</v>
      </c>
      <c r="B246" t="s">
        <v>25894</v>
      </c>
      <c r="C246" s="194" t="s">
        <v>17255</v>
      </c>
      <c r="D246" t="s">
        <v>25894</v>
      </c>
      <c r="E246" s="194" t="s">
        <v>17256</v>
      </c>
      <c r="F246" t="s">
        <v>25894</v>
      </c>
      <c r="G246" s="194" t="s">
        <v>26509</v>
      </c>
      <c r="H246" t="s">
        <v>25894</v>
      </c>
      <c r="I246">
        <v>2</v>
      </c>
      <c r="J246" s="197" t="s">
        <v>26603</v>
      </c>
      <c r="K246" t="s">
        <v>25894</v>
      </c>
      <c r="L246" s="197" t="s">
        <v>26703</v>
      </c>
      <c r="M246" s="198" t="s">
        <v>25896</v>
      </c>
      <c r="N246" s="197" t="s">
        <v>25897</v>
      </c>
      <c r="O246" s="195">
        <v>0.03</v>
      </c>
    </row>
    <row r="247" spans="1:15" ht="57.6" x14ac:dyDescent="0.3">
      <c r="A247" t="s">
        <v>259</v>
      </c>
      <c r="B247" t="s">
        <v>25894</v>
      </c>
      <c r="C247" s="194" t="s">
        <v>17258</v>
      </c>
      <c r="D247" t="s">
        <v>25894</v>
      </c>
      <c r="E247" s="194" t="s">
        <v>17362</v>
      </c>
      <c r="F247" t="s">
        <v>25894</v>
      </c>
      <c r="G247" s="194" t="s">
        <v>26510</v>
      </c>
      <c r="H247" t="s">
        <v>25894</v>
      </c>
      <c r="I247">
        <v>6</v>
      </c>
      <c r="J247" s="197" t="s">
        <v>26599</v>
      </c>
      <c r="K247" t="s">
        <v>25894</v>
      </c>
      <c r="L247" s="197" t="s">
        <v>26703</v>
      </c>
      <c r="M247" s="198" t="s">
        <v>25896</v>
      </c>
      <c r="N247" s="197" t="s">
        <v>25897</v>
      </c>
      <c r="O247" s="195">
        <v>0.09</v>
      </c>
    </row>
    <row r="248" spans="1:15" ht="57.6" x14ac:dyDescent="0.3">
      <c r="A248" t="s">
        <v>260</v>
      </c>
      <c r="B248" t="s">
        <v>25894</v>
      </c>
      <c r="C248" s="194" t="s">
        <v>17261</v>
      </c>
      <c r="D248" t="s">
        <v>25894</v>
      </c>
      <c r="E248" s="194" t="s">
        <v>592</v>
      </c>
      <c r="F248" t="s">
        <v>25894</v>
      </c>
      <c r="G248" s="194" t="s">
        <v>26514</v>
      </c>
      <c r="H248" t="s">
        <v>25894</v>
      </c>
      <c r="I248">
        <v>1</v>
      </c>
      <c r="J248" s="197" t="s">
        <v>26604</v>
      </c>
      <c r="K248" t="s">
        <v>25894</v>
      </c>
      <c r="L248" s="197" t="s">
        <v>26703</v>
      </c>
      <c r="M248" s="198" t="s">
        <v>25896</v>
      </c>
      <c r="N248" s="197" t="s">
        <v>25897</v>
      </c>
      <c r="O248" s="195">
        <v>0.02</v>
      </c>
    </row>
    <row r="249" spans="1:15" ht="43.2" x14ac:dyDescent="0.3">
      <c r="A249" t="s">
        <v>261</v>
      </c>
      <c r="B249" t="s">
        <v>25894</v>
      </c>
      <c r="C249" s="194" t="s">
        <v>17263</v>
      </c>
      <c r="D249" t="s">
        <v>25894</v>
      </c>
      <c r="E249" s="194" t="s">
        <v>26043</v>
      </c>
      <c r="F249" t="s">
        <v>25894</v>
      </c>
      <c r="G249" s="194" t="s">
        <v>26515</v>
      </c>
      <c r="H249" t="s">
        <v>25894</v>
      </c>
      <c r="I249">
        <v>4</v>
      </c>
      <c r="J249" s="197" t="s">
        <v>26601</v>
      </c>
      <c r="K249" t="s">
        <v>25894</v>
      </c>
      <c r="L249" s="197" t="s">
        <v>26703</v>
      </c>
      <c r="M249" s="198" t="s">
        <v>25896</v>
      </c>
      <c r="N249" s="197" t="s">
        <v>25897</v>
      </c>
      <c r="O249" s="195">
        <v>0.06</v>
      </c>
    </row>
    <row r="250" spans="1:15" ht="72" x14ac:dyDescent="0.3">
      <c r="A250" t="s">
        <v>262</v>
      </c>
      <c r="B250" t="s">
        <v>25894</v>
      </c>
      <c r="C250" s="194" t="s">
        <v>17265</v>
      </c>
      <c r="D250" t="s">
        <v>25894</v>
      </c>
      <c r="E250" s="194" t="s">
        <v>594</v>
      </c>
      <c r="F250" t="s">
        <v>25894</v>
      </c>
      <c r="G250" s="194" t="s">
        <v>26516</v>
      </c>
      <c r="H250" t="s">
        <v>25894</v>
      </c>
      <c r="I250">
        <v>2</v>
      </c>
      <c r="J250" s="197" t="s">
        <v>26603</v>
      </c>
      <c r="K250" t="s">
        <v>25894</v>
      </c>
      <c r="L250" s="197" t="s">
        <v>26703</v>
      </c>
      <c r="M250" s="198" t="s">
        <v>25896</v>
      </c>
      <c r="N250" s="197" t="s">
        <v>25897</v>
      </c>
      <c r="O250" s="195">
        <v>0.03</v>
      </c>
    </row>
    <row r="251" spans="1:15" ht="57.6" x14ac:dyDescent="0.3">
      <c r="A251" t="s">
        <v>263</v>
      </c>
      <c r="B251" t="s">
        <v>25894</v>
      </c>
      <c r="C251" s="194" t="s">
        <v>17267</v>
      </c>
      <c r="D251" t="s">
        <v>25894</v>
      </c>
      <c r="E251" s="194" t="s">
        <v>595</v>
      </c>
      <c r="F251" t="s">
        <v>25894</v>
      </c>
      <c r="G251" s="194" t="s">
        <v>26517</v>
      </c>
      <c r="H251" t="s">
        <v>25894</v>
      </c>
      <c r="I251">
        <v>2</v>
      </c>
      <c r="J251" s="197" t="s">
        <v>26603</v>
      </c>
      <c r="K251" t="s">
        <v>25894</v>
      </c>
      <c r="L251" s="197" t="s">
        <v>26703</v>
      </c>
      <c r="M251" s="198" t="s">
        <v>25896</v>
      </c>
      <c r="N251" s="197" t="s">
        <v>25897</v>
      </c>
      <c r="O251" s="195">
        <v>0.03</v>
      </c>
    </row>
    <row r="252" spans="1:15" ht="57.6" x14ac:dyDescent="0.3">
      <c r="A252" t="s">
        <v>264</v>
      </c>
      <c r="B252" t="s">
        <v>25894</v>
      </c>
      <c r="C252" s="194" t="s">
        <v>17269</v>
      </c>
      <c r="D252" t="s">
        <v>25894</v>
      </c>
      <c r="E252" s="194" t="s">
        <v>596</v>
      </c>
      <c r="F252" t="s">
        <v>25894</v>
      </c>
      <c r="G252" s="194" t="s">
        <v>26518</v>
      </c>
      <c r="H252" t="s">
        <v>25894</v>
      </c>
      <c r="I252">
        <v>3</v>
      </c>
      <c r="J252" s="197" t="s">
        <v>26602</v>
      </c>
      <c r="K252" t="s">
        <v>25894</v>
      </c>
      <c r="L252" s="197" t="s">
        <v>26703</v>
      </c>
      <c r="M252" s="198" t="s">
        <v>25896</v>
      </c>
      <c r="N252" s="197" t="s">
        <v>25897</v>
      </c>
      <c r="O252" s="195">
        <v>0.05</v>
      </c>
    </row>
    <row r="253" spans="1:15" ht="72" x14ac:dyDescent="0.3">
      <c r="A253" t="s">
        <v>265</v>
      </c>
      <c r="B253" t="s">
        <v>25894</v>
      </c>
      <c r="C253" s="194" t="s">
        <v>17270</v>
      </c>
      <c r="D253" t="s">
        <v>25894</v>
      </c>
      <c r="E253" s="194" t="s">
        <v>597</v>
      </c>
      <c r="F253" t="s">
        <v>25894</v>
      </c>
      <c r="G253" s="194" t="s">
        <v>26635</v>
      </c>
      <c r="H253" t="s">
        <v>25894</v>
      </c>
      <c r="I253">
        <v>1</v>
      </c>
      <c r="J253" s="197" t="s">
        <v>26604</v>
      </c>
      <c r="K253" t="s">
        <v>25894</v>
      </c>
      <c r="L253" s="197" t="s">
        <v>26703</v>
      </c>
      <c r="M253" s="198" t="s">
        <v>25896</v>
      </c>
      <c r="N253" s="197" t="s">
        <v>25897</v>
      </c>
      <c r="O253" s="195">
        <v>0.02</v>
      </c>
    </row>
    <row r="254" spans="1:15" ht="57.6" x14ac:dyDescent="0.3">
      <c r="A254" t="s">
        <v>266</v>
      </c>
      <c r="B254" t="s">
        <v>25894</v>
      </c>
      <c r="C254" s="194" t="s">
        <v>598</v>
      </c>
      <c r="D254" t="s">
        <v>25894</v>
      </c>
      <c r="E254" s="194" t="s">
        <v>17344</v>
      </c>
      <c r="F254" t="s">
        <v>25894</v>
      </c>
      <c r="G254" s="194" t="s">
        <v>26519</v>
      </c>
      <c r="H254" t="s">
        <v>25894</v>
      </c>
      <c r="I254">
        <v>2</v>
      </c>
      <c r="J254" s="197" t="s">
        <v>26603</v>
      </c>
      <c r="K254" t="s">
        <v>25894</v>
      </c>
      <c r="L254" s="197" t="s">
        <v>26703</v>
      </c>
      <c r="M254" s="198" t="s">
        <v>25896</v>
      </c>
      <c r="N254" s="197" t="s">
        <v>25897</v>
      </c>
      <c r="O254" s="195">
        <v>0.03</v>
      </c>
    </row>
    <row r="255" spans="1:15" ht="57.6" x14ac:dyDescent="0.3">
      <c r="A255" t="s">
        <v>267</v>
      </c>
      <c r="B255" t="s">
        <v>25894</v>
      </c>
      <c r="C255" s="194" t="s">
        <v>17271</v>
      </c>
      <c r="D255" t="s">
        <v>25894</v>
      </c>
      <c r="E255" s="194" t="s">
        <v>17271</v>
      </c>
      <c r="F255" t="s">
        <v>25894</v>
      </c>
      <c r="G255" s="194" t="s">
        <v>26520</v>
      </c>
      <c r="H255" t="s">
        <v>25894</v>
      </c>
      <c r="I255">
        <v>2</v>
      </c>
      <c r="J255" s="197" t="s">
        <v>26603</v>
      </c>
      <c r="K255" t="s">
        <v>25894</v>
      </c>
      <c r="L255" s="197" t="s">
        <v>26703</v>
      </c>
      <c r="M255" s="198" t="s">
        <v>25896</v>
      </c>
      <c r="N255" s="197" t="s">
        <v>25897</v>
      </c>
      <c r="O255" s="195">
        <v>0.03</v>
      </c>
    </row>
    <row r="256" spans="1:15" ht="57.6" x14ac:dyDescent="0.3">
      <c r="A256" t="s">
        <v>268</v>
      </c>
      <c r="B256" t="s">
        <v>25894</v>
      </c>
      <c r="C256" s="194" t="s">
        <v>17272</v>
      </c>
      <c r="D256" t="s">
        <v>25894</v>
      </c>
      <c r="E256" s="194" t="s">
        <v>26040</v>
      </c>
      <c r="F256" t="s">
        <v>25894</v>
      </c>
      <c r="G256" s="194" t="s">
        <v>26521</v>
      </c>
      <c r="H256" t="s">
        <v>25894</v>
      </c>
      <c r="I256">
        <v>1</v>
      </c>
      <c r="J256" s="197" t="s">
        <v>26604</v>
      </c>
      <c r="K256" t="s">
        <v>25894</v>
      </c>
      <c r="L256" s="197" t="s">
        <v>26703</v>
      </c>
      <c r="M256" s="198" t="s">
        <v>25896</v>
      </c>
      <c r="N256" s="197" t="s">
        <v>25897</v>
      </c>
      <c r="O256" s="195">
        <v>0.02</v>
      </c>
    </row>
    <row r="257" spans="1:15" ht="43.2" x14ac:dyDescent="0.3">
      <c r="A257" t="s">
        <v>269</v>
      </c>
      <c r="B257" t="s">
        <v>25894</v>
      </c>
      <c r="C257" s="194" t="s">
        <v>17273</v>
      </c>
      <c r="D257" t="s">
        <v>25894</v>
      </c>
      <c r="E257" s="194" t="s">
        <v>25765</v>
      </c>
      <c r="F257" t="s">
        <v>25894</v>
      </c>
      <c r="G257" s="194" t="s">
        <v>26522</v>
      </c>
      <c r="H257" t="s">
        <v>25894</v>
      </c>
      <c r="I257">
        <v>1</v>
      </c>
      <c r="J257" s="197" t="s">
        <v>26604</v>
      </c>
      <c r="K257" t="s">
        <v>25894</v>
      </c>
      <c r="L257" s="197" t="s">
        <v>26703</v>
      </c>
      <c r="M257" s="198" t="s">
        <v>25896</v>
      </c>
      <c r="N257" s="197" t="s">
        <v>25897</v>
      </c>
      <c r="O257" s="195">
        <v>0.02</v>
      </c>
    </row>
    <row r="258" spans="1:15" ht="57.6" x14ac:dyDescent="0.3">
      <c r="A258" t="s">
        <v>270</v>
      </c>
      <c r="B258" t="s">
        <v>25894</v>
      </c>
      <c r="C258" s="194" t="s">
        <v>17274</v>
      </c>
      <c r="D258" t="s">
        <v>25894</v>
      </c>
      <c r="E258" s="194" t="s">
        <v>602</v>
      </c>
      <c r="F258" t="s">
        <v>25894</v>
      </c>
      <c r="G258" s="194" t="s">
        <v>26523</v>
      </c>
      <c r="H258" t="s">
        <v>25894</v>
      </c>
      <c r="I258">
        <v>2</v>
      </c>
      <c r="J258" s="197" t="s">
        <v>26603</v>
      </c>
      <c r="K258" t="s">
        <v>25894</v>
      </c>
      <c r="L258" s="197" t="s">
        <v>26703</v>
      </c>
      <c r="M258" s="198" t="s">
        <v>25896</v>
      </c>
      <c r="N258" s="197" t="s">
        <v>25897</v>
      </c>
      <c r="O258" s="195">
        <v>0.03</v>
      </c>
    </row>
    <row r="259" spans="1:15" ht="43.2" x14ac:dyDescent="0.3">
      <c r="A259" t="s">
        <v>271</v>
      </c>
      <c r="B259" t="s">
        <v>25894</v>
      </c>
      <c r="C259" s="194" t="s">
        <v>603</v>
      </c>
      <c r="D259" t="s">
        <v>25894</v>
      </c>
      <c r="E259" s="194" t="s">
        <v>603</v>
      </c>
      <c r="F259" t="s">
        <v>25894</v>
      </c>
      <c r="G259" s="194" t="s">
        <v>26618</v>
      </c>
      <c r="H259" t="s">
        <v>25894</v>
      </c>
      <c r="I259">
        <v>1</v>
      </c>
      <c r="J259" s="197" t="s">
        <v>26604</v>
      </c>
      <c r="K259" t="s">
        <v>25894</v>
      </c>
      <c r="L259" s="197" t="s">
        <v>26703</v>
      </c>
      <c r="M259" s="198" t="s">
        <v>25896</v>
      </c>
      <c r="N259" s="197" t="s">
        <v>25897</v>
      </c>
      <c r="O259" s="195">
        <v>0.02</v>
      </c>
    </row>
    <row r="260" spans="1:15" ht="43.2" x14ac:dyDescent="0.3">
      <c r="A260" t="s">
        <v>272</v>
      </c>
      <c r="B260" t="s">
        <v>25894</v>
      </c>
      <c r="C260" s="194" t="s">
        <v>17276</v>
      </c>
      <c r="D260" t="s">
        <v>25894</v>
      </c>
      <c r="E260" s="194" t="s">
        <v>17276</v>
      </c>
      <c r="F260" t="s">
        <v>25894</v>
      </c>
      <c r="G260" s="194" t="s">
        <v>26525</v>
      </c>
      <c r="H260" t="s">
        <v>25894</v>
      </c>
      <c r="I260">
        <v>1</v>
      </c>
      <c r="J260" s="197" t="s">
        <v>26604</v>
      </c>
      <c r="K260" t="s">
        <v>25894</v>
      </c>
      <c r="L260" s="197" t="s">
        <v>26703</v>
      </c>
      <c r="M260" s="198" t="s">
        <v>25896</v>
      </c>
      <c r="N260" s="197" t="s">
        <v>25897</v>
      </c>
      <c r="O260" s="195">
        <v>0.02</v>
      </c>
    </row>
    <row r="261" spans="1:15" ht="43.2" x14ac:dyDescent="0.3">
      <c r="A261" t="s">
        <v>273</v>
      </c>
      <c r="B261" t="s">
        <v>25894</v>
      </c>
      <c r="C261" s="194" t="s">
        <v>605</v>
      </c>
      <c r="D261" t="s">
        <v>25894</v>
      </c>
      <c r="E261" s="194" t="s">
        <v>605</v>
      </c>
      <c r="F261" t="s">
        <v>25894</v>
      </c>
      <c r="G261" s="194" t="s">
        <v>26526</v>
      </c>
      <c r="H261" t="s">
        <v>25894</v>
      </c>
      <c r="I261">
        <v>1</v>
      </c>
      <c r="J261" s="197" t="s">
        <v>26604</v>
      </c>
      <c r="K261" t="s">
        <v>25894</v>
      </c>
      <c r="L261" s="197" t="s">
        <v>26703</v>
      </c>
      <c r="M261" s="198" t="s">
        <v>25896</v>
      </c>
      <c r="N261" s="197" t="s">
        <v>25897</v>
      </c>
      <c r="O261" s="195">
        <v>0.02</v>
      </c>
    </row>
    <row r="262" spans="1:15" ht="43.2" x14ac:dyDescent="0.3">
      <c r="A262" t="s">
        <v>274</v>
      </c>
      <c r="B262" t="s">
        <v>25894</v>
      </c>
      <c r="C262" s="194" t="s">
        <v>17279</v>
      </c>
      <c r="D262" t="s">
        <v>25894</v>
      </c>
      <c r="E262" s="194" t="s">
        <v>17279</v>
      </c>
      <c r="F262" t="s">
        <v>25894</v>
      </c>
      <c r="G262" s="194" t="s">
        <v>26527</v>
      </c>
      <c r="H262" t="s">
        <v>25894</v>
      </c>
      <c r="I262">
        <v>1</v>
      </c>
      <c r="J262" s="197" t="s">
        <v>26604</v>
      </c>
      <c r="K262" t="s">
        <v>25894</v>
      </c>
      <c r="L262" s="197" t="s">
        <v>26703</v>
      </c>
      <c r="M262" s="198" t="s">
        <v>25896</v>
      </c>
      <c r="N262" s="197" t="s">
        <v>25897</v>
      </c>
      <c r="O262" s="195">
        <v>0.02</v>
      </c>
    </row>
    <row r="263" spans="1:15" ht="72" x14ac:dyDescent="0.3">
      <c r="A263" t="s">
        <v>275</v>
      </c>
      <c r="B263" t="s">
        <v>25894</v>
      </c>
      <c r="C263" s="194" t="s">
        <v>17281</v>
      </c>
      <c r="D263" t="s">
        <v>25894</v>
      </c>
      <c r="E263" s="194" t="s">
        <v>25773</v>
      </c>
      <c r="F263" t="s">
        <v>25894</v>
      </c>
      <c r="G263" s="194" t="s">
        <v>26317</v>
      </c>
      <c r="H263" t="s">
        <v>25894</v>
      </c>
      <c r="I263">
        <v>3</v>
      </c>
      <c r="J263" s="197" t="s">
        <v>26602</v>
      </c>
      <c r="K263" t="s">
        <v>25894</v>
      </c>
      <c r="L263" s="197" t="s">
        <v>26703</v>
      </c>
      <c r="M263" s="198" t="s">
        <v>25896</v>
      </c>
      <c r="N263" s="197" t="s">
        <v>25897</v>
      </c>
      <c r="O263" s="195">
        <v>0.05</v>
      </c>
    </row>
    <row r="264" spans="1:15" ht="57.6" x14ac:dyDescent="0.3">
      <c r="A264" t="s">
        <v>276</v>
      </c>
      <c r="B264" t="s">
        <v>25894</v>
      </c>
      <c r="C264" s="194" t="s">
        <v>17282</v>
      </c>
      <c r="D264" t="s">
        <v>25894</v>
      </c>
      <c r="E264" s="194" t="s">
        <v>608</v>
      </c>
      <c r="F264" t="s">
        <v>25894</v>
      </c>
      <c r="G264" s="194" t="s">
        <v>26528</v>
      </c>
      <c r="H264" t="s">
        <v>25894</v>
      </c>
      <c r="I264">
        <v>2</v>
      </c>
      <c r="J264" s="197" t="s">
        <v>26603</v>
      </c>
      <c r="K264" t="s">
        <v>25894</v>
      </c>
      <c r="L264" s="197" t="s">
        <v>26703</v>
      </c>
      <c r="M264" s="198" t="s">
        <v>25896</v>
      </c>
      <c r="N264" s="197" t="s">
        <v>25897</v>
      </c>
      <c r="O264" s="195">
        <v>0.03</v>
      </c>
    </row>
    <row r="265" spans="1:15" ht="57.6" x14ac:dyDescent="0.3">
      <c r="A265" t="s">
        <v>277</v>
      </c>
      <c r="B265" t="s">
        <v>25894</v>
      </c>
      <c r="C265" s="194" t="s">
        <v>17283</v>
      </c>
      <c r="D265" t="s">
        <v>25894</v>
      </c>
      <c r="E265" s="194" t="s">
        <v>609</v>
      </c>
      <c r="F265" t="s">
        <v>25894</v>
      </c>
      <c r="G265" s="194" t="s">
        <v>26530</v>
      </c>
      <c r="H265" t="s">
        <v>25894</v>
      </c>
      <c r="I265">
        <v>1</v>
      </c>
      <c r="J265" s="197" t="s">
        <v>26604</v>
      </c>
      <c r="K265" t="s">
        <v>25894</v>
      </c>
      <c r="L265" s="197" t="s">
        <v>26703</v>
      </c>
      <c r="M265" s="198" t="s">
        <v>25896</v>
      </c>
      <c r="N265" s="197" t="s">
        <v>25897</v>
      </c>
      <c r="O265" s="195">
        <v>0.02</v>
      </c>
    </row>
    <row r="266" spans="1:15" ht="57.6" x14ac:dyDescent="0.3">
      <c r="A266" t="s">
        <v>278</v>
      </c>
      <c r="B266" t="s">
        <v>25894</v>
      </c>
      <c r="C266" s="194" t="s">
        <v>17285</v>
      </c>
      <c r="D266" t="s">
        <v>25894</v>
      </c>
      <c r="E266" s="194" t="s">
        <v>610</v>
      </c>
      <c r="F266" t="s">
        <v>25894</v>
      </c>
      <c r="G266" s="194" t="s">
        <v>26531</v>
      </c>
      <c r="H266" t="s">
        <v>25894</v>
      </c>
      <c r="I266">
        <v>3</v>
      </c>
      <c r="J266" s="197" t="s">
        <v>26602</v>
      </c>
      <c r="K266" t="s">
        <v>25894</v>
      </c>
      <c r="L266" s="197" t="s">
        <v>26703</v>
      </c>
      <c r="M266" s="198" t="s">
        <v>25896</v>
      </c>
      <c r="N266" s="197" t="s">
        <v>25897</v>
      </c>
      <c r="O266" s="195">
        <v>0.05</v>
      </c>
    </row>
    <row r="267" spans="1:15" ht="43.2" x14ac:dyDescent="0.3">
      <c r="A267" t="s">
        <v>279</v>
      </c>
      <c r="B267" t="s">
        <v>25894</v>
      </c>
      <c r="C267" s="194" t="s">
        <v>17286</v>
      </c>
      <c r="D267" t="s">
        <v>25894</v>
      </c>
      <c r="E267" s="194" t="s">
        <v>611</v>
      </c>
      <c r="F267" t="s">
        <v>25894</v>
      </c>
      <c r="G267" s="194" t="s">
        <v>26532</v>
      </c>
      <c r="H267" t="s">
        <v>25894</v>
      </c>
      <c r="I267">
        <v>3</v>
      </c>
      <c r="J267" s="197" t="s">
        <v>26602</v>
      </c>
      <c r="K267" t="s">
        <v>25894</v>
      </c>
      <c r="L267" s="197" t="s">
        <v>26703</v>
      </c>
      <c r="M267" s="198" t="s">
        <v>25896</v>
      </c>
      <c r="N267" s="197" t="s">
        <v>25897</v>
      </c>
      <c r="O267" s="195">
        <v>0.05</v>
      </c>
    </row>
    <row r="268" spans="1:15" ht="57.6" x14ac:dyDescent="0.3">
      <c r="A268" t="s">
        <v>280</v>
      </c>
      <c r="B268" t="s">
        <v>25894</v>
      </c>
      <c r="C268" s="194" t="s">
        <v>612</v>
      </c>
      <c r="D268" t="s">
        <v>25894</v>
      </c>
      <c r="E268" s="194" t="s">
        <v>612</v>
      </c>
      <c r="F268" t="s">
        <v>25894</v>
      </c>
      <c r="G268" s="194" t="s">
        <v>26533</v>
      </c>
      <c r="H268" t="s">
        <v>25894</v>
      </c>
      <c r="I268">
        <v>1</v>
      </c>
      <c r="J268" s="197" t="s">
        <v>26604</v>
      </c>
      <c r="K268" t="s">
        <v>25894</v>
      </c>
      <c r="L268" s="197" t="s">
        <v>26703</v>
      </c>
      <c r="M268" s="198" t="s">
        <v>25896</v>
      </c>
      <c r="N268" s="197" t="s">
        <v>25897</v>
      </c>
      <c r="O268" s="195">
        <v>0.02</v>
      </c>
    </row>
    <row r="269" spans="1:15" ht="43.2" x14ac:dyDescent="0.3">
      <c r="A269" t="s">
        <v>281</v>
      </c>
      <c r="B269" t="s">
        <v>25894</v>
      </c>
      <c r="C269" s="194" t="s">
        <v>17288</v>
      </c>
      <c r="D269" t="s">
        <v>25894</v>
      </c>
      <c r="E269" s="194" t="s">
        <v>26628</v>
      </c>
      <c r="F269" t="s">
        <v>25894</v>
      </c>
      <c r="G269" s="220" t="s">
        <v>26629</v>
      </c>
      <c r="H269" t="s">
        <v>25894</v>
      </c>
      <c r="I269">
        <v>1</v>
      </c>
      <c r="J269" s="197" t="s">
        <v>26604</v>
      </c>
      <c r="K269" t="s">
        <v>25894</v>
      </c>
      <c r="L269" s="197" t="s">
        <v>26703</v>
      </c>
      <c r="M269" s="198" t="s">
        <v>25896</v>
      </c>
      <c r="N269" s="197" t="s">
        <v>25897</v>
      </c>
      <c r="O269" s="195">
        <v>0.02</v>
      </c>
    </row>
    <row r="270" spans="1:15" ht="28.8" x14ac:dyDescent="0.3">
      <c r="A270" t="s">
        <v>282</v>
      </c>
      <c r="B270" t="s">
        <v>25894</v>
      </c>
      <c r="C270" s="194" t="s">
        <v>17289</v>
      </c>
      <c r="D270" t="s">
        <v>25894</v>
      </c>
      <c r="E270" s="194" t="s">
        <v>17289</v>
      </c>
      <c r="F270" t="s">
        <v>25894</v>
      </c>
      <c r="G270" s="194" t="s">
        <v>26631</v>
      </c>
      <c r="H270" t="s">
        <v>25894</v>
      </c>
      <c r="I270">
        <v>2</v>
      </c>
      <c r="J270" s="197" t="s">
        <v>26603</v>
      </c>
      <c r="K270" t="s">
        <v>25894</v>
      </c>
      <c r="L270" s="197" t="s">
        <v>26703</v>
      </c>
      <c r="M270" s="198" t="s">
        <v>25896</v>
      </c>
      <c r="N270" s="197" t="s">
        <v>25897</v>
      </c>
      <c r="O270" s="195">
        <v>0.03</v>
      </c>
    </row>
    <row r="271" spans="1:15" ht="43.2" x14ac:dyDescent="0.3">
      <c r="A271" t="s">
        <v>283</v>
      </c>
      <c r="B271" t="s">
        <v>25894</v>
      </c>
      <c r="C271" s="194" t="s">
        <v>17290</v>
      </c>
      <c r="D271" t="s">
        <v>25894</v>
      </c>
      <c r="E271" s="194" t="s">
        <v>17290</v>
      </c>
      <c r="F271" t="s">
        <v>25894</v>
      </c>
      <c r="G271" s="194" t="s">
        <v>26535</v>
      </c>
      <c r="H271" t="s">
        <v>25894</v>
      </c>
      <c r="I271">
        <v>1</v>
      </c>
      <c r="J271" s="197" t="s">
        <v>26604</v>
      </c>
      <c r="K271" t="s">
        <v>25894</v>
      </c>
      <c r="L271" s="197" t="s">
        <v>26703</v>
      </c>
      <c r="M271" s="198" t="s">
        <v>25896</v>
      </c>
      <c r="N271" s="197" t="s">
        <v>25897</v>
      </c>
      <c r="O271" s="195">
        <v>0.02</v>
      </c>
    </row>
    <row r="272" spans="1:15" ht="43.2" x14ac:dyDescent="0.3">
      <c r="A272" t="s">
        <v>284</v>
      </c>
      <c r="B272" t="s">
        <v>25894</v>
      </c>
      <c r="C272" s="194" t="s">
        <v>17291</v>
      </c>
      <c r="D272" t="s">
        <v>25894</v>
      </c>
      <c r="E272" s="194" t="s">
        <v>17291</v>
      </c>
      <c r="F272" t="s">
        <v>25894</v>
      </c>
      <c r="G272" s="194" t="s">
        <v>26536</v>
      </c>
      <c r="H272" t="s">
        <v>25894</v>
      </c>
      <c r="I272">
        <v>1</v>
      </c>
      <c r="J272" s="197" t="s">
        <v>26604</v>
      </c>
      <c r="K272" t="s">
        <v>25894</v>
      </c>
      <c r="L272" s="197" t="s">
        <v>26703</v>
      </c>
      <c r="M272" s="198" t="s">
        <v>25896</v>
      </c>
      <c r="N272" s="197" t="s">
        <v>25897</v>
      </c>
      <c r="O272" s="195">
        <v>0.02</v>
      </c>
    </row>
    <row r="273" spans="1:15" ht="43.2" x14ac:dyDescent="0.3">
      <c r="A273" t="s">
        <v>285</v>
      </c>
      <c r="B273" t="s">
        <v>25894</v>
      </c>
      <c r="C273" s="194" t="s">
        <v>617</v>
      </c>
      <c r="D273" t="s">
        <v>25894</v>
      </c>
      <c r="E273" s="194" t="s">
        <v>25816</v>
      </c>
      <c r="F273" t="s">
        <v>25894</v>
      </c>
      <c r="G273" s="194" t="s">
        <v>26619</v>
      </c>
      <c r="H273" t="s">
        <v>25894</v>
      </c>
      <c r="I273">
        <v>1</v>
      </c>
      <c r="J273" s="197" t="s">
        <v>26604</v>
      </c>
      <c r="K273" t="s">
        <v>25894</v>
      </c>
      <c r="L273" s="197" t="s">
        <v>26703</v>
      </c>
      <c r="M273" s="198" t="s">
        <v>25896</v>
      </c>
      <c r="N273" s="197" t="s">
        <v>25897</v>
      </c>
      <c r="O273" s="195">
        <v>0.02</v>
      </c>
    </row>
    <row r="274" spans="1:15" ht="72" x14ac:dyDescent="0.3">
      <c r="A274" t="s">
        <v>286</v>
      </c>
      <c r="B274" t="s">
        <v>25894</v>
      </c>
      <c r="C274" s="194" t="s">
        <v>618</v>
      </c>
      <c r="D274" t="s">
        <v>25894</v>
      </c>
      <c r="E274" s="194" t="s">
        <v>25819</v>
      </c>
      <c r="F274" t="s">
        <v>25894</v>
      </c>
      <c r="G274" s="194" t="s">
        <v>26537</v>
      </c>
      <c r="H274" t="s">
        <v>25894</v>
      </c>
      <c r="I274">
        <v>1</v>
      </c>
      <c r="J274" s="197" t="s">
        <v>26604</v>
      </c>
      <c r="K274" t="s">
        <v>25894</v>
      </c>
      <c r="L274" s="197" t="s">
        <v>26703</v>
      </c>
      <c r="M274" s="198" t="s">
        <v>25896</v>
      </c>
      <c r="N274" s="197" t="s">
        <v>25897</v>
      </c>
      <c r="O274" s="195">
        <v>0.02</v>
      </c>
    </row>
    <row r="275" spans="1:15" ht="57.6" x14ac:dyDescent="0.3">
      <c r="A275" t="s">
        <v>287</v>
      </c>
      <c r="B275" t="s">
        <v>25894</v>
      </c>
      <c r="C275" s="194" t="s">
        <v>619</v>
      </c>
      <c r="D275" t="s">
        <v>25894</v>
      </c>
      <c r="E275" s="194" t="s">
        <v>619</v>
      </c>
      <c r="F275" t="s">
        <v>25894</v>
      </c>
      <c r="G275" s="194" t="s">
        <v>26625</v>
      </c>
      <c r="H275" t="s">
        <v>25894</v>
      </c>
      <c r="I275">
        <v>1</v>
      </c>
      <c r="J275" s="197" t="s">
        <v>26604</v>
      </c>
      <c r="K275" t="s">
        <v>25894</v>
      </c>
      <c r="L275" s="197" t="s">
        <v>26703</v>
      </c>
      <c r="M275" s="198" t="s">
        <v>25896</v>
      </c>
      <c r="N275" s="197" t="s">
        <v>25897</v>
      </c>
      <c r="O275" s="195">
        <v>0.02</v>
      </c>
    </row>
    <row r="276" spans="1:15" ht="28.8" x14ac:dyDescent="0.3">
      <c r="A276" t="s">
        <v>288</v>
      </c>
      <c r="B276" t="s">
        <v>25894</v>
      </c>
      <c r="C276" s="194" t="s">
        <v>17292</v>
      </c>
      <c r="D276" t="s">
        <v>25894</v>
      </c>
      <c r="E276" s="194" t="s">
        <v>620</v>
      </c>
      <c r="F276" t="s">
        <v>25894</v>
      </c>
      <c r="G276" s="194" t="s">
        <v>26318</v>
      </c>
      <c r="H276" t="s">
        <v>25894</v>
      </c>
      <c r="I276">
        <v>5</v>
      </c>
      <c r="J276" s="197" t="s">
        <v>26600</v>
      </c>
      <c r="K276" t="s">
        <v>25894</v>
      </c>
      <c r="L276" s="197" t="s">
        <v>26703</v>
      </c>
      <c r="M276" s="198" t="s">
        <v>25896</v>
      </c>
      <c r="N276" s="197" t="s">
        <v>25897</v>
      </c>
      <c r="O276" s="195">
        <v>0.08</v>
      </c>
    </row>
    <row r="277" spans="1:15" ht="43.2" x14ac:dyDescent="0.3">
      <c r="A277" t="s">
        <v>289</v>
      </c>
      <c r="B277" t="s">
        <v>25894</v>
      </c>
      <c r="C277" s="194" t="s">
        <v>17295</v>
      </c>
      <c r="D277" t="s">
        <v>25894</v>
      </c>
      <c r="E277" s="194" t="s">
        <v>26708</v>
      </c>
      <c r="F277" t="s">
        <v>25894</v>
      </c>
      <c r="G277" s="194" t="s">
        <v>26538</v>
      </c>
      <c r="H277" t="s">
        <v>25894</v>
      </c>
      <c r="I277">
        <v>1</v>
      </c>
      <c r="J277" s="197" t="s">
        <v>26604</v>
      </c>
      <c r="K277" t="s">
        <v>25894</v>
      </c>
      <c r="L277" s="197" t="s">
        <v>26703</v>
      </c>
      <c r="M277" s="198" t="s">
        <v>25896</v>
      </c>
      <c r="N277" s="197" t="s">
        <v>25897</v>
      </c>
      <c r="O277" s="195">
        <v>0.02</v>
      </c>
    </row>
    <row r="278" spans="1:15" ht="57.6" x14ac:dyDescent="0.3">
      <c r="A278" t="s">
        <v>290</v>
      </c>
      <c r="B278" t="s">
        <v>25894</v>
      </c>
      <c r="C278" s="194" t="s">
        <v>622</v>
      </c>
      <c r="D278" t="s">
        <v>25894</v>
      </c>
      <c r="E278" s="194" t="s">
        <v>622</v>
      </c>
      <c r="F278" t="s">
        <v>25894</v>
      </c>
      <c r="G278" s="194" t="s">
        <v>26539</v>
      </c>
      <c r="H278" t="s">
        <v>25894</v>
      </c>
      <c r="I278">
        <v>2</v>
      </c>
      <c r="J278" s="197" t="s">
        <v>26603</v>
      </c>
      <c r="K278" t="s">
        <v>25894</v>
      </c>
      <c r="L278" s="197" t="s">
        <v>26703</v>
      </c>
      <c r="M278" s="198" t="s">
        <v>25896</v>
      </c>
      <c r="N278" s="197" t="s">
        <v>25897</v>
      </c>
      <c r="O278" s="195">
        <v>0.03</v>
      </c>
    </row>
    <row r="279" spans="1:15" ht="72" x14ac:dyDescent="0.3">
      <c r="A279" t="s">
        <v>291</v>
      </c>
      <c r="B279" t="s">
        <v>25894</v>
      </c>
      <c r="C279" s="194" t="s">
        <v>623</v>
      </c>
      <c r="D279" t="s">
        <v>25894</v>
      </c>
      <c r="E279" s="194" t="s">
        <v>623</v>
      </c>
      <c r="F279" t="s">
        <v>25894</v>
      </c>
      <c r="G279" s="194" t="s">
        <v>26540</v>
      </c>
      <c r="H279" t="s">
        <v>25894</v>
      </c>
      <c r="I279">
        <v>2</v>
      </c>
      <c r="J279" s="197" t="s">
        <v>26603</v>
      </c>
      <c r="K279" t="s">
        <v>25894</v>
      </c>
      <c r="L279" s="197" t="s">
        <v>26703</v>
      </c>
      <c r="M279" s="198" t="s">
        <v>25896</v>
      </c>
      <c r="N279" s="197" t="s">
        <v>25897</v>
      </c>
      <c r="O279" s="195">
        <v>0.03</v>
      </c>
    </row>
    <row r="280" spans="1:15" ht="43.2" x14ac:dyDescent="0.3">
      <c r="A280" t="s">
        <v>292</v>
      </c>
      <c r="B280" t="s">
        <v>25894</v>
      </c>
      <c r="C280" s="194" t="s">
        <v>624</v>
      </c>
      <c r="D280" t="s">
        <v>25894</v>
      </c>
      <c r="E280" s="194" t="s">
        <v>624</v>
      </c>
      <c r="F280" t="s">
        <v>25894</v>
      </c>
      <c r="G280" s="194" t="s">
        <v>26541</v>
      </c>
      <c r="H280" t="s">
        <v>25894</v>
      </c>
      <c r="I280">
        <v>1</v>
      </c>
      <c r="J280" s="197" t="s">
        <v>26604</v>
      </c>
      <c r="K280" t="s">
        <v>25894</v>
      </c>
      <c r="L280" s="197" t="s">
        <v>26703</v>
      </c>
      <c r="M280" s="198" t="s">
        <v>25896</v>
      </c>
      <c r="N280" s="197" t="s">
        <v>25897</v>
      </c>
      <c r="O280" s="195">
        <v>0.02</v>
      </c>
    </row>
    <row r="281" spans="1:15" ht="57.6" x14ac:dyDescent="0.3">
      <c r="A281" t="s">
        <v>293</v>
      </c>
      <c r="B281" t="s">
        <v>25894</v>
      </c>
      <c r="C281" s="194" t="s">
        <v>17297</v>
      </c>
      <c r="D281" t="s">
        <v>25894</v>
      </c>
      <c r="E281" s="194" t="s">
        <v>625</v>
      </c>
      <c r="F281" t="s">
        <v>25894</v>
      </c>
      <c r="G281" s="194" t="s">
        <v>26542</v>
      </c>
      <c r="H281" t="s">
        <v>25894</v>
      </c>
      <c r="I281">
        <v>4</v>
      </c>
      <c r="J281" s="197" t="s">
        <v>26601</v>
      </c>
      <c r="K281" t="s">
        <v>25894</v>
      </c>
      <c r="L281" s="197" t="s">
        <v>26703</v>
      </c>
      <c r="M281" s="198" t="s">
        <v>25896</v>
      </c>
      <c r="N281" s="197" t="s">
        <v>25897</v>
      </c>
      <c r="O281" s="195">
        <v>0.06</v>
      </c>
    </row>
    <row r="282" spans="1:15" ht="57.6" x14ac:dyDescent="0.3">
      <c r="A282" t="s">
        <v>294</v>
      </c>
      <c r="B282" t="s">
        <v>25894</v>
      </c>
      <c r="C282" s="194" t="s">
        <v>17299</v>
      </c>
      <c r="D282" t="s">
        <v>25894</v>
      </c>
      <c r="E282" s="194" t="s">
        <v>17300</v>
      </c>
      <c r="F282" t="s">
        <v>25894</v>
      </c>
      <c r="G282" s="194" t="s">
        <v>26543</v>
      </c>
      <c r="H282" t="s">
        <v>25894</v>
      </c>
      <c r="I282">
        <v>2</v>
      </c>
      <c r="J282" s="197" t="s">
        <v>26603</v>
      </c>
      <c r="K282" t="s">
        <v>25894</v>
      </c>
      <c r="L282" s="197" t="s">
        <v>26703</v>
      </c>
      <c r="M282" s="198" t="s">
        <v>25896</v>
      </c>
      <c r="N282" s="197" t="s">
        <v>25897</v>
      </c>
      <c r="O282" s="195">
        <v>0.03</v>
      </c>
    </row>
    <row r="283" spans="1:15" ht="57.6" x14ac:dyDescent="0.3">
      <c r="A283" t="s">
        <v>295</v>
      </c>
      <c r="B283" t="s">
        <v>25894</v>
      </c>
      <c r="C283" s="194" t="s">
        <v>17301</v>
      </c>
      <c r="D283" t="s">
        <v>25894</v>
      </c>
      <c r="E283" s="219" t="s">
        <v>26627</v>
      </c>
      <c r="F283" t="s">
        <v>25894</v>
      </c>
      <c r="G283" s="194" t="s">
        <v>26637</v>
      </c>
      <c r="H283" t="s">
        <v>25894</v>
      </c>
      <c r="I283">
        <v>2</v>
      </c>
      <c r="J283" s="197" t="s">
        <v>26603</v>
      </c>
      <c r="K283" t="s">
        <v>25894</v>
      </c>
      <c r="L283" s="197" t="s">
        <v>26703</v>
      </c>
      <c r="M283" s="198" t="s">
        <v>25896</v>
      </c>
      <c r="N283" s="197" t="s">
        <v>25897</v>
      </c>
      <c r="O283" s="195">
        <v>0.03</v>
      </c>
    </row>
    <row r="284" spans="1:15" ht="43.2" x14ac:dyDescent="0.3">
      <c r="A284" t="s">
        <v>296</v>
      </c>
      <c r="B284" t="s">
        <v>25894</v>
      </c>
      <c r="C284" s="194" t="s">
        <v>628</v>
      </c>
      <c r="D284" t="s">
        <v>25894</v>
      </c>
      <c r="E284" s="194" t="s">
        <v>628</v>
      </c>
      <c r="F284" t="s">
        <v>25894</v>
      </c>
      <c r="G284" s="194" t="s">
        <v>26544</v>
      </c>
      <c r="H284" t="s">
        <v>25894</v>
      </c>
      <c r="I284">
        <v>2</v>
      </c>
      <c r="J284" s="197" t="s">
        <v>26603</v>
      </c>
      <c r="K284" t="s">
        <v>25894</v>
      </c>
      <c r="L284" s="197" t="s">
        <v>26703</v>
      </c>
      <c r="M284" s="198" t="s">
        <v>25896</v>
      </c>
      <c r="N284" s="197" t="s">
        <v>25897</v>
      </c>
      <c r="O284" s="195">
        <v>0.03</v>
      </c>
    </row>
    <row r="285" spans="1:15" ht="28.8" x14ac:dyDescent="0.3">
      <c r="A285" t="s">
        <v>297</v>
      </c>
      <c r="B285" t="s">
        <v>25894</v>
      </c>
      <c r="C285" s="194" t="s">
        <v>17302</v>
      </c>
      <c r="D285" t="s">
        <v>25894</v>
      </c>
      <c r="E285" s="194" t="s">
        <v>629</v>
      </c>
      <c r="F285" t="s">
        <v>25894</v>
      </c>
      <c r="G285" s="194" t="s">
        <v>26545</v>
      </c>
      <c r="H285" t="s">
        <v>25894</v>
      </c>
      <c r="I285">
        <v>2</v>
      </c>
      <c r="J285" s="197" t="s">
        <v>26603</v>
      </c>
      <c r="K285" t="s">
        <v>25894</v>
      </c>
      <c r="L285" s="197" t="s">
        <v>26703</v>
      </c>
      <c r="M285" s="198" t="s">
        <v>25896</v>
      </c>
      <c r="N285" s="197" t="s">
        <v>25897</v>
      </c>
      <c r="O285" s="195">
        <v>0.03</v>
      </c>
    </row>
    <row r="286" spans="1:15" ht="72" x14ac:dyDescent="0.3">
      <c r="A286" t="s">
        <v>298</v>
      </c>
      <c r="B286" t="s">
        <v>25894</v>
      </c>
      <c r="C286" s="194" t="s">
        <v>17303</v>
      </c>
      <c r="D286" t="s">
        <v>25894</v>
      </c>
      <c r="E286" s="194" t="s">
        <v>630</v>
      </c>
      <c r="F286" t="s">
        <v>25894</v>
      </c>
      <c r="G286" s="194" t="s">
        <v>26546</v>
      </c>
      <c r="H286" t="s">
        <v>25894</v>
      </c>
      <c r="I286">
        <v>1</v>
      </c>
      <c r="J286" s="197" t="s">
        <v>26604</v>
      </c>
      <c r="K286" t="s">
        <v>25894</v>
      </c>
      <c r="L286" s="197" t="s">
        <v>26703</v>
      </c>
      <c r="M286" s="198" t="s">
        <v>25896</v>
      </c>
      <c r="N286" s="197" t="s">
        <v>25897</v>
      </c>
      <c r="O286" s="195">
        <v>0.02</v>
      </c>
    </row>
    <row r="287" spans="1:15" ht="72" x14ac:dyDescent="0.3">
      <c r="A287" t="s">
        <v>299</v>
      </c>
      <c r="B287" t="s">
        <v>25894</v>
      </c>
      <c r="C287" s="194" t="s">
        <v>17304</v>
      </c>
      <c r="D287" t="s">
        <v>25894</v>
      </c>
      <c r="E287" s="194" t="s">
        <v>631</v>
      </c>
      <c r="F287" t="s">
        <v>25894</v>
      </c>
      <c r="G287" s="194" t="s">
        <v>26547</v>
      </c>
      <c r="H287" t="s">
        <v>25894</v>
      </c>
      <c r="I287">
        <v>1</v>
      </c>
      <c r="J287" s="197" t="s">
        <v>26604</v>
      </c>
      <c r="K287" t="s">
        <v>25894</v>
      </c>
      <c r="L287" s="197" t="s">
        <v>26703</v>
      </c>
      <c r="M287" s="198" t="s">
        <v>25896</v>
      </c>
      <c r="N287" s="197" t="s">
        <v>25897</v>
      </c>
      <c r="O287" s="195">
        <v>0.02</v>
      </c>
    </row>
    <row r="288" spans="1:15" ht="43.2" x14ac:dyDescent="0.3">
      <c r="A288" t="s">
        <v>300</v>
      </c>
      <c r="B288" t="s">
        <v>25894</v>
      </c>
      <c r="C288" s="194" t="s">
        <v>17305</v>
      </c>
      <c r="D288" t="s">
        <v>25894</v>
      </c>
      <c r="E288" s="194" t="s">
        <v>632</v>
      </c>
      <c r="F288" t="s">
        <v>25894</v>
      </c>
      <c r="G288" s="194" t="s">
        <v>26549</v>
      </c>
      <c r="H288" t="s">
        <v>25894</v>
      </c>
      <c r="I288">
        <v>1</v>
      </c>
      <c r="J288" s="197" t="s">
        <v>26604</v>
      </c>
      <c r="K288" t="s">
        <v>25894</v>
      </c>
      <c r="L288" s="197" t="s">
        <v>26703</v>
      </c>
      <c r="M288" s="198" t="s">
        <v>25896</v>
      </c>
      <c r="N288" s="197" t="s">
        <v>25897</v>
      </c>
      <c r="O288" s="195">
        <v>0.02</v>
      </c>
    </row>
    <row r="289" spans="1:15" ht="28.8" x14ac:dyDescent="0.3">
      <c r="A289" t="s">
        <v>301</v>
      </c>
      <c r="B289" t="s">
        <v>25894</v>
      </c>
      <c r="C289" s="194" t="s">
        <v>633</v>
      </c>
      <c r="D289" t="s">
        <v>25894</v>
      </c>
      <c r="E289" s="194" t="s">
        <v>633</v>
      </c>
      <c r="F289" t="s">
        <v>25894</v>
      </c>
      <c r="G289" s="194" t="s">
        <v>26550</v>
      </c>
      <c r="H289" t="s">
        <v>25894</v>
      </c>
      <c r="I289">
        <v>1</v>
      </c>
      <c r="J289" s="197" t="s">
        <v>26604</v>
      </c>
      <c r="K289" t="s">
        <v>25894</v>
      </c>
      <c r="L289" s="197" t="s">
        <v>26703</v>
      </c>
      <c r="M289" s="198" t="s">
        <v>25896</v>
      </c>
      <c r="N289" s="197" t="s">
        <v>25897</v>
      </c>
      <c r="O289" s="195">
        <v>0.02</v>
      </c>
    </row>
    <row r="290" spans="1:15" ht="72" x14ac:dyDescent="0.3">
      <c r="A290" t="s">
        <v>302</v>
      </c>
      <c r="B290" t="s">
        <v>25894</v>
      </c>
      <c r="C290" s="194" t="s">
        <v>634</v>
      </c>
      <c r="D290" t="s">
        <v>25894</v>
      </c>
      <c r="E290" s="194" t="s">
        <v>634</v>
      </c>
      <c r="F290" t="s">
        <v>25894</v>
      </c>
      <c r="G290" s="194" t="s">
        <v>26633</v>
      </c>
      <c r="H290" t="s">
        <v>25894</v>
      </c>
      <c r="I290">
        <v>1</v>
      </c>
      <c r="J290" s="197" t="s">
        <v>26604</v>
      </c>
      <c r="K290" t="s">
        <v>25894</v>
      </c>
      <c r="L290" s="197" t="s">
        <v>26703</v>
      </c>
      <c r="M290" s="198" t="s">
        <v>25896</v>
      </c>
      <c r="N290" s="197" t="s">
        <v>25897</v>
      </c>
      <c r="O290" s="195">
        <v>0.02</v>
      </c>
    </row>
    <row r="291" spans="1:15" ht="57.6" x14ac:dyDescent="0.3">
      <c r="A291" t="s">
        <v>303</v>
      </c>
      <c r="B291" t="s">
        <v>25894</v>
      </c>
      <c r="C291" s="194" t="s">
        <v>635</v>
      </c>
      <c r="D291" t="s">
        <v>25894</v>
      </c>
      <c r="E291" s="194" t="s">
        <v>635</v>
      </c>
      <c r="F291" t="s">
        <v>25894</v>
      </c>
      <c r="G291" s="194" t="s">
        <v>26551</v>
      </c>
      <c r="H291" t="s">
        <v>25894</v>
      </c>
      <c r="I291">
        <v>1</v>
      </c>
      <c r="J291" s="197" t="s">
        <v>26604</v>
      </c>
      <c r="K291" t="s">
        <v>25894</v>
      </c>
      <c r="L291" s="197" t="s">
        <v>26703</v>
      </c>
      <c r="M291" s="198" t="s">
        <v>25896</v>
      </c>
      <c r="N291" s="197" t="s">
        <v>25897</v>
      </c>
      <c r="O291" s="195">
        <v>0.02</v>
      </c>
    </row>
    <row r="292" spans="1:15" ht="72" x14ac:dyDescent="0.3">
      <c r="A292" t="s">
        <v>304</v>
      </c>
      <c r="B292" t="s">
        <v>25894</v>
      </c>
      <c r="C292" s="194" t="s">
        <v>636</v>
      </c>
      <c r="D292" t="s">
        <v>25894</v>
      </c>
      <c r="E292" s="194" t="s">
        <v>636</v>
      </c>
      <c r="F292" t="s">
        <v>25894</v>
      </c>
      <c r="G292" s="194" t="s">
        <v>26553</v>
      </c>
      <c r="H292" t="s">
        <v>25894</v>
      </c>
      <c r="I292">
        <v>1</v>
      </c>
      <c r="J292" s="197" t="s">
        <v>26604</v>
      </c>
      <c r="K292" t="s">
        <v>25894</v>
      </c>
      <c r="L292" s="197" t="s">
        <v>26703</v>
      </c>
      <c r="M292" s="198" t="s">
        <v>25896</v>
      </c>
      <c r="N292" s="197" t="s">
        <v>25897</v>
      </c>
      <c r="O292" s="195">
        <v>0.02</v>
      </c>
    </row>
    <row r="293" spans="1:15" ht="57.6" x14ac:dyDescent="0.3">
      <c r="A293" t="s">
        <v>305</v>
      </c>
      <c r="B293" t="s">
        <v>25894</v>
      </c>
      <c r="C293" s="194" t="s">
        <v>637</v>
      </c>
      <c r="D293" t="s">
        <v>25894</v>
      </c>
      <c r="E293" s="194" t="s">
        <v>637</v>
      </c>
      <c r="F293" t="s">
        <v>25894</v>
      </c>
      <c r="G293" s="194" t="s">
        <v>26554</v>
      </c>
      <c r="H293" t="s">
        <v>25894</v>
      </c>
      <c r="I293">
        <v>1</v>
      </c>
      <c r="J293" s="197" t="s">
        <v>26604</v>
      </c>
      <c r="K293" t="s">
        <v>25894</v>
      </c>
      <c r="L293" s="197" t="s">
        <v>26703</v>
      </c>
      <c r="M293" s="198" t="s">
        <v>25896</v>
      </c>
      <c r="N293" s="197" t="s">
        <v>25897</v>
      </c>
      <c r="O293" s="195">
        <v>0.02</v>
      </c>
    </row>
    <row r="294" spans="1:15" ht="72" x14ac:dyDescent="0.3">
      <c r="A294" t="s">
        <v>306</v>
      </c>
      <c r="B294" t="s">
        <v>25894</v>
      </c>
      <c r="C294" s="194" t="s">
        <v>638</v>
      </c>
      <c r="D294" t="s">
        <v>25894</v>
      </c>
      <c r="E294" s="194" t="s">
        <v>25833</v>
      </c>
      <c r="F294" t="s">
        <v>25894</v>
      </c>
      <c r="G294" s="194" t="s">
        <v>26555</v>
      </c>
      <c r="H294" t="s">
        <v>25894</v>
      </c>
      <c r="I294">
        <v>2</v>
      </c>
      <c r="J294" s="197" t="s">
        <v>26603</v>
      </c>
      <c r="K294" t="s">
        <v>25894</v>
      </c>
      <c r="L294" s="197" t="s">
        <v>26703</v>
      </c>
      <c r="M294" s="198" t="s">
        <v>25896</v>
      </c>
      <c r="N294" s="197" t="s">
        <v>25897</v>
      </c>
      <c r="O294" s="195">
        <v>0.03</v>
      </c>
    </row>
    <row r="295" spans="1:15" ht="72" x14ac:dyDescent="0.3">
      <c r="A295" t="s">
        <v>307</v>
      </c>
      <c r="B295" t="s">
        <v>25894</v>
      </c>
      <c r="C295" s="194" t="s">
        <v>639</v>
      </c>
      <c r="D295" t="s">
        <v>25894</v>
      </c>
      <c r="E295" s="194" t="s">
        <v>639</v>
      </c>
      <c r="F295" t="s">
        <v>25894</v>
      </c>
      <c r="G295" s="194" t="s">
        <v>26620</v>
      </c>
      <c r="H295" t="s">
        <v>25894</v>
      </c>
      <c r="I295">
        <v>1</v>
      </c>
      <c r="J295" s="197" t="s">
        <v>26604</v>
      </c>
      <c r="K295" t="s">
        <v>25894</v>
      </c>
      <c r="L295" s="197" t="s">
        <v>26703</v>
      </c>
      <c r="M295" s="198" t="s">
        <v>25896</v>
      </c>
      <c r="N295" s="197" t="s">
        <v>25897</v>
      </c>
      <c r="O295" s="195">
        <v>0.02</v>
      </c>
    </row>
    <row r="296" spans="1:15" ht="57.6" x14ac:dyDescent="0.3">
      <c r="A296" t="s">
        <v>308</v>
      </c>
      <c r="B296" t="s">
        <v>25894</v>
      </c>
      <c r="C296" s="194" t="s">
        <v>640</v>
      </c>
      <c r="D296" t="s">
        <v>25894</v>
      </c>
      <c r="E296" s="194" t="s">
        <v>640</v>
      </c>
      <c r="F296" t="s">
        <v>25894</v>
      </c>
      <c r="G296" s="194" t="s">
        <v>26556</v>
      </c>
      <c r="H296" t="s">
        <v>25894</v>
      </c>
      <c r="I296">
        <v>3</v>
      </c>
      <c r="J296" s="197" t="s">
        <v>26602</v>
      </c>
      <c r="K296" t="s">
        <v>25894</v>
      </c>
      <c r="L296" s="197" t="s">
        <v>26703</v>
      </c>
      <c r="M296" s="198" t="s">
        <v>25896</v>
      </c>
      <c r="N296" s="197" t="s">
        <v>25897</v>
      </c>
      <c r="O296" s="195">
        <v>0.05</v>
      </c>
    </row>
    <row r="297" spans="1:15" ht="57.6" x14ac:dyDescent="0.3">
      <c r="A297" t="s">
        <v>17315</v>
      </c>
      <c r="B297" t="s">
        <v>25894</v>
      </c>
      <c r="C297" s="194" t="s">
        <v>17316</v>
      </c>
      <c r="D297" t="s">
        <v>25894</v>
      </c>
      <c r="E297" s="194" t="s">
        <v>17316</v>
      </c>
      <c r="F297" t="s">
        <v>25894</v>
      </c>
      <c r="G297" s="194" t="s">
        <v>26557</v>
      </c>
      <c r="H297" t="s">
        <v>25894</v>
      </c>
      <c r="I297">
        <v>1</v>
      </c>
      <c r="J297" s="197" t="s">
        <v>26604</v>
      </c>
      <c r="K297" t="s">
        <v>25894</v>
      </c>
      <c r="L297" s="197" t="s">
        <v>26703</v>
      </c>
      <c r="M297" s="198" t="s">
        <v>25896</v>
      </c>
      <c r="N297" s="197" t="s">
        <v>25897</v>
      </c>
      <c r="O297" s="195">
        <v>0.02</v>
      </c>
    </row>
    <row r="298" spans="1:15" ht="57.6" x14ac:dyDescent="0.3">
      <c r="A298" t="s">
        <v>17318</v>
      </c>
      <c r="B298" t="s">
        <v>25894</v>
      </c>
      <c r="C298" s="194" t="s">
        <v>17332</v>
      </c>
      <c r="D298" t="s">
        <v>25894</v>
      </c>
      <c r="E298" s="194" t="s">
        <v>25800</v>
      </c>
      <c r="F298" t="s">
        <v>25894</v>
      </c>
      <c r="G298" s="194" t="s">
        <v>26558</v>
      </c>
      <c r="H298" t="s">
        <v>25894</v>
      </c>
      <c r="I298">
        <v>1</v>
      </c>
      <c r="J298" s="197" t="s">
        <v>26604</v>
      </c>
      <c r="K298" t="s">
        <v>25894</v>
      </c>
      <c r="L298" s="197" t="s">
        <v>26703</v>
      </c>
      <c r="M298" s="198" t="s">
        <v>25896</v>
      </c>
      <c r="N298" s="197" t="s">
        <v>25897</v>
      </c>
      <c r="O298" s="195">
        <v>0.02</v>
      </c>
    </row>
    <row r="299" spans="1:15" ht="57.6" x14ac:dyDescent="0.3">
      <c r="A299" t="s">
        <v>17319</v>
      </c>
      <c r="B299" t="s">
        <v>25894</v>
      </c>
      <c r="C299" s="194" t="s">
        <v>17333</v>
      </c>
      <c r="D299" t="s">
        <v>25894</v>
      </c>
      <c r="E299" s="194" t="s">
        <v>17333</v>
      </c>
      <c r="F299" t="s">
        <v>25894</v>
      </c>
      <c r="G299" s="194" t="s">
        <v>26559</v>
      </c>
      <c r="H299" t="s">
        <v>25894</v>
      </c>
      <c r="I299">
        <v>1</v>
      </c>
      <c r="J299" s="197" t="s">
        <v>26604</v>
      </c>
      <c r="K299" t="s">
        <v>25894</v>
      </c>
      <c r="L299" s="197" t="s">
        <v>26703</v>
      </c>
      <c r="M299" s="198" t="s">
        <v>25896</v>
      </c>
      <c r="N299" s="197" t="s">
        <v>25897</v>
      </c>
      <c r="O299" s="195">
        <v>0.02</v>
      </c>
    </row>
    <row r="300" spans="1:15" ht="72" x14ac:dyDescent="0.3">
      <c r="A300" t="s">
        <v>17320</v>
      </c>
      <c r="B300" t="s">
        <v>25894</v>
      </c>
      <c r="C300" s="194" t="s">
        <v>17334</v>
      </c>
      <c r="D300" t="s">
        <v>25894</v>
      </c>
      <c r="E300" s="194" t="s">
        <v>17334</v>
      </c>
      <c r="F300" t="s">
        <v>25894</v>
      </c>
      <c r="G300" s="194" t="s">
        <v>26560</v>
      </c>
      <c r="H300" t="s">
        <v>25894</v>
      </c>
      <c r="I300">
        <v>1</v>
      </c>
      <c r="J300" s="197" t="s">
        <v>26604</v>
      </c>
      <c r="K300" t="s">
        <v>25894</v>
      </c>
      <c r="L300" s="197" t="s">
        <v>26703</v>
      </c>
      <c r="M300" s="198" t="s">
        <v>25896</v>
      </c>
      <c r="N300" s="197" t="s">
        <v>25897</v>
      </c>
      <c r="O300" s="195">
        <v>0.02</v>
      </c>
    </row>
    <row r="301" spans="1:15" ht="72" x14ac:dyDescent="0.3">
      <c r="A301" t="s">
        <v>17321</v>
      </c>
      <c r="B301" t="s">
        <v>25894</v>
      </c>
      <c r="C301" s="194" t="s">
        <v>17335</v>
      </c>
      <c r="D301" t="s">
        <v>25894</v>
      </c>
      <c r="E301" s="194" t="s">
        <v>25799</v>
      </c>
      <c r="F301" t="s">
        <v>25894</v>
      </c>
      <c r="G301" s="194" t="s">
        <v>26561</v>
      </c>
      <c r="H301" t="s">
        <v>25894</v>
      </c>
      <c r="I301">
        <v>1</v>
      </c>
      <c r="J301" s="197" t="s">
        <v>26604</v>
      </c>
      <c r="K301" t="s">
        <v>25894</v>
      </c>
      <c r="L301" s="197" t="s">
        <v>26703</v>
      </c>
      <c r="M301" s="198" t="s">
        <v>25896</v>
      </c>
      <c r="N301" s="197" t="s">
        <v>25897</v>
      </c>
      <c r="O301" s="195">
        <v>0.02</v>
      </c>
    </row>
    <row r="302" spans="1:15" ht="28.8" x14ac:dyDescent="0.3">
      <c r="A302" t="s">
        <v>17322</v>
      </c>
      <c r="B302" t="s">
        <v>25894</v>
      </c>
      <c r="C302" s="194" t="s">
        <v>17336</v>
      </c>
      <c r="D302" t="s">
        <v>25894</v>
      </c>
      <c r="E302" s="194" t="s">
        <v>17337</v>
      </c>
      <c r="F302" t="s">
        <v>25894</v>
      </c>
      <c r="G302" s="194" t="s">
        <v>26562</v>
      </c>
      <c r="H302" t="s">
        <v>25894</v>
      </c>
      <c r="I302">
        <v>1</v>
      </c>
      <c r="J302" s="197" t="s">
        <v>26604</v>
      </c>
      <c r="K302" t="s">
        <v>25894</v>
      </c>
      <c r="L302" s="197" t="s">
        <v>26703</v>
      </c>
      <c r="M302" s="198" t="s">
        <v>25896</v>
      </c>
      <c r="N302" s="197" t="s">
        <v>25897</v>
      </c>
      <c r="O302" s="195">
        <v>0.02</v>
      </c>
    </row>
    <row r="303" spans="1:15" ht="57.6" x14ac:dyDescent="0.3">
      <c r="A303" t="s">
        <v>17323</v>
      </c>
      <c r="B303" t="s">
        <v>25894</v>
      </c>
      <c r="C303" s="194" t="s">
        <v>17340</v>
      </c>
      <c r="D303" t="s">
        <v>25894</v>
      </c>
      <c r="E303" s="194" t="s">
        <v>17340</v>
      </c>
      <c r="F303" t="s">
        <v>25894</v>
      </c>
      <c r="G303" s="194" t="s">
        <v>26563</v>
      </c>
      <c r="H303" t="s">
        <v>25894</v>
      </c>
      <c r="I303">
        <v>1</v>
      </c>
      <c r="J303" s="197" t="s">
        <v>26604</v>
      </c>
      <c r="K303" t="s">
        <v>25894</v>
      </c>
      <c r="L303" s="197" t="s">
        <v>26703</v>
      </c>
      <c r="M303" s="198" t="s">
        <v>25896</v>
      </c>
      <c r="N303" s="197" t="s">
        <v>25897</v>
      </c>
      <c r="O303" s="195">
        <v>0.02</v>
      </c>
    </row>
    <row r="304" spans="1:15" ht="57.6" x14ac:dyDescent="0.3">
      <c r="A304" t="s">
        <v>17324</v>
      </c>
      <c r="B304" t="s">
        <v>25894</v>
      </c>
      <c r="C304" s="194" t="s">
        <v>17341</v>
      </c>
      <c r="D304" t="s">
        <v>25894</v>
      </c>
      <c r="E304" s="194" t="s">
        <v>17341</v>
      </c>
      <c r="F304" t="s">
        <v>25894</v>
      </c>
      <c r="G304" s="194" t="s">
        <v>26564</v>
      </c>
      <c r="H304" t="s">
        <v>25894</v>
      </c>
      <c r="I304">
        <v>1</v>
      </c>
      <c r="J304" s="197" t="s">
        <v>26604</v>
      </c>
      <c r="K304" t="s">
        <v>25894</v>
      </c>
      <c r="L304" s="197" t="s">
        <v>26703</v>
      </c>
      <c r="M304" s="198" t="s">
        <v>25896</v>
      </c>
      <c r="N304" s="197" t="s">
        <v>25897</v>
      </c>
      <c r="O304" s="195">
        <v>0.02</v>
      </c>
    </row>
    <row r="305" spans="1:15" ht="57.6" x14ac:dyDescent="0.3">
      <c r="A305" t="s">
        <v>17325</v>
      </c>
      <c r="B305" t="s">
        <v>25894</v>
      </c>
      <c r="C305" s="194" t="s">
        <v>17343</v>
      </c>
      <c r="D305" t="s">
        <v>25894</v>
      </c>
      <c r="E305" s="194" t="s">
        <v>17360</v>
      </c>
      <c r="F305" t="s">
        <v>25894</v>
      </c>
      <c r="G305" s="194" t="s">
        <v>26621</v>
      </c>
      <c r="H305" t="s">
        <v>25894</v>
      </c>
      <c r="I305">
        <v>1</v>
      </c>
      <c r="J305" s="197" t="s">
        <v>26604</v>
      </c>
      <c r="K305" t="s">
        <v>25894</v>
      </c>
      <c r="L305" s="197" t="s">
        <v>26703</v>
      </c>
      <c r="M305" s="198" t="s">
        <v>25896</v>
      </c>
      <c r="N305" s="197" t="s">
        <v>25897</v>
      </c>
      <c r="O305" s="195">
        <v>0.02</v>
      </c>
    </row>
    <row r="306" spans="1:15" ht="57.6" x14ac:dyDescent="0.3">
      <c r="A306" t="s">
        <v>17326</v>
      </c>
      <c r="B306" t="s">
        <v>25894</v>
      </c>
      <c r="C306" s="194" t="s">
        <v>17349</v>
      </c>
      <c r="D306" t="s">
        <v>25894</v>
      </c>
      <c r="E306" s="194" t="s">
        <v>17350</v>
      </c>
      <c r="F306" t="s">
        <v>25894</v>
      </c>
      <c r="G306" s="194" t="s">
        <v>26565</v>
      </c>
      <c r="H306" t="s">
        <v>25894</v>
      </c>
      <c r="I306">
        <v>2</v>
      </c>
      <c r="J306" s="197" t="s">
        <v>26603</v>
      </c>
      <c r="K306" t="s">
        <v>25894</v>
      </c>
      <c r="L306" s="197" t="s">
        <v>26703</v>
      </c>
      <c r="M306" s="198" t="s">
        <v>25896</v>
      </c>
      <c r="N306" s="197" t="s">
        <v>25897</v>
      </c>
      <c r="O306" s="195">
        <v>0.03</v>
      </c>
    </row>
    <row r="307" spans="1:15" ht="43.2" x14ac:dyDescent="0.3">
      <c r="A307" t="s">
        <v>17327</v>
      </c>
      <c r="B307" t="s">
        <v>25894</v>
      </c>
      <c r="C307" s="194" t="s">
        <v>17352</v>
      </c>
      <c r="D307" t="s">
        <v>25894</v>
      </c>
      <c r="E307" s="194" t="s">
        <v>17353</v>
      </c>
      <c r="F307" t="s">
        <v>25894</v>
      </c>
      <c r="G307" s="194" t="s">
        <v>26566</v>
      </c>
      <c r="H307" t="s">
        <v>25894</v>
      </c>
      <c r="I307">
        <v>1</v>
      </c>
      <c r="J307" s="197" t="s">
        <v>26604</v>
      </c>
      <c r="K307" t="s">
        <v>25894</v>
      </c>
      <c r="L307" s="197" t="s">
        <v>26703</v>
      </c>
      <c r="M307" s="198" t="s">
        <v>25896</v>
      </c>
      <c r="N307" s="197" t="s">
        <v>25897</v>
      </c>
      <c r="O307" s="195">
        <v>0.02</v>
      </c>
    </row>
    <row r="308" spans="1:15" ht="43.2" x14ac:dyDescent="0.3">
      <c r="A308" t="s">
        <v>17328</v>
      </c>
      <c r="B308" t="s">
        <v>25894</v>
      </c>
      <c r="C308" s="194" t="s">
        <v>17354</v>
      </c>
      <c r="D308" t="s">
        <v>25894</v>
      </c>
      <c r="E308" s="194" t="s">
        <v>17355</v>
      </c>
      <c r="F308" t="s">
        <v>25894</v>
      </c>
      <c r="G308" s="194" t="s">
        <v>26567</v>
      </c>
      <c r="H308" t="s">
        <v>25894</v>
      </c>
      <c r="I308">
        <v>2</v>
      </c>
      <c r="J308" s="197" t="s">
        <v>26603</v>
      </c>
      <c r="K308" t="s">
        <v>25894</v>
      </c>
      <c r="L308" s="197" t="s">
        <v>26703</v>
      </c>
      <c r="M308" s="198" t="s">
        <v>25896</v>
      </c>
      <c r="N308" s="197" t="s">
        <v>25897</v>
      </c>
      <c r="O308" s="195">
        <v>0.03</v>
      </c>
    </row>
    <row r="309" spans="1:15" ht="43.2" x14ac:dyDescent="0.3">
      <c r="A309" t="s">
        <v>17329</v>
      </c>
      <c r="B309" t="s">
        <v>25894</v>
      </c>
      <c r="C309" s="194" t="s">
        <v>17358</v>
      </c>
      <c r="D309" t="s">
        <v>25894</v>
      </c>
      <c r="E309" s="194" t="s">
        <v>17357</v>
      </c>
      <c r="F309" t="s">
        <v>25894</v>
      </c>
      <c r="G309" s="194" t="s">
        <v>26622</v>
      </c>
      <c r="H309" t="s">
        <v>25894</v>
      </c>
      <c r="I309">
        <v>1</v>
      </c>
      <c r="J309" s="197" t="s">
        <v>26604</v>
      </c>
      <c r="K309" t="s">
        <v>25894</v>
      </c>
      <c r="L309" s="197" t="s">
        <v>26703</v>
      </c>
      <c r="M309" s="198" t="s">
        <v>25896</v>
      </c>
      <c r="N309" s="197" t="s">
        <v>25897</v>
      </c>
      <c r="O309" s="195">
        <v>0.02</v>
      </c>
    </row>
    <row r="310" spans="1:15" ht="57.6" x14ac:dyDescent="0.3">
      <c r="A310" t="s">
        <v>17330</v>
      </c>
      <c r="B310" t="s">
        <v>25894</v>
      </c>
      <c r="C310" s="194" t="s">
        <v>17366</v>
      </c>
      <c r="D310" t="s">
        <v>25894</v>
      </c>
      <c r="E310" s="194" t="s">
        <v>17366</v>
      </c>
      <c r="F310" t="s">
        <v>25894</v>
      </c>
      <c r="G310" s="194" t="s">
        <v>26568</v>
      </c>
      <c r="H310" t="s">
        <v>25894</v>
      </c>
      <c r="I310">
        <v>1</v>
      </c>
      <c r="J310" s="197" t="s">
        <v>26604</v>
      </c>
      <c r="K310" t="s">
        <v>25894</v>
      </c>
      <c r="L310" s="197" t="s">
        <v>26703</v>
      </c>
      <c r="M310" s="198" t="s">
        <v>25896</v>
      </c>
      <c r="N310" s="197" t="s">
        <v>25897</v>
      </c>
      <c r="O310" s="195">
        <v>0.02</v>
      </c>
    </row>
    <row r="311" spans="1:15" ht="57.6" x14ac:dyDescent="0.3">
      <c r="A311" t="s">
        <v>17331</v>
      </c>
      <c r="B311" t="s">
        <v>25894</v>
      </c>
      <c r="C311" s="194" t="s">
        <v>17367</v>
      </c>
      <c r="D311" t="s">
        <v>25894</v>
      </c>
      <c r="E311" s="194" t="s">
        <v>17367</v>
      </c>
      <c r="F311" t="s">
        <v>25894</v>
      </c>
      <c r="G311" s="194" t="s">
        <v>26570</v>
      </c>
      <c r="H311" t="s">
        <v>25894</v>
      </c>
      <c r="I311">
        <v>1</v>
      </c>
      <c r="J311" s="197" t="s">
        <v>26604</v>
      </c>
      <c r="K311" t="s">
        <v>25894</v>
      </c>
      <c r="L311" s="197" t="s">
        <v>26703</v>
      </c>
      <c r="M311" s="198" t="s">
        <v>25896</v>
      </c>
      <c r="N311" s="197" t="s">
        <v>25897</v>
      </c>
      <c r="O311" s="195">
        <v>0.02</v>
      </c>
    </row>
    <row r="312" spans="1:15" ht="57.6" x14ac:dyDescent="0.3">
      <c r="A312" t="s">
        <v>17369</v>
      </c>
      <c r="B312" t="s">
        <v>25894</v>
      </c>
      <c r="C312" s="194" t="s">
        <v>17374</v>
      </c>
      <c r="D312" t="s">
        <v>25894</v>
      </c>
      <c r="E312" s="194" t="s">
        <v>17374</v>
      </c>
      <c r="F312" t="s">
        <v>25894</v>
      </c>
      <c r="G312" s="194" t="s">
        <v>26571</v>
      </c>
      <c r="H312" t="s">
        <v>25894</v>
      </c>
      <c r="I312">
        <v>1</v>
      </c>
      <c r="J312" s="197" t="s">
        <v>26604</v>
      </c>
      <c r="K312" t="s">
        <v>25894</v>
      </c>
      <c r="L312" s="197" t="s">
        <v>26703</v>
      </c>
      <c r="M312" s="198" t="s">
        <v>25896</v>
      </c>
      <c r="N312" s="197" t="s">
        <v>25897</v>
      </c>
      <c r="O312" s="195">
        <v>0.02</v>
      </c>
    </row>
    <row r="313" spans="1:15" ht="72" x14ac:dyDescent="0.3">
      <c r="A313" t="s">
        <v>17370</v>
      </c>
      <c r="B313" t="s">
        <v>25894</v>
      </c>
      <c r="C313" s="194" t="s">
        <v>17375</v>
      </c>
      <c r="D313" t="s">
        <v>25894</v>
      </c>
      <c r="E313" s="194" t="s">
        <v>17375</v>
      </c>
      <c r="F313" t="s">
        <v>25894</v>
      </c>
      <c r="G313" s="194" t="s">
        <v>26572</v>
      </c>
      <c r="H313" t="s">
        <v>25894</v>
      </c>
      <c r="I313">
        <v>1</v>
      </c>
      <c r="J313" s="197" t="s">
        <v>26604</v>
      </c>
      <c r="K313" t="s">
        <v>25894</v>
      </c>
      <c r="L313" s="197" t="s">
        <v>26703</v>
      </c>
      <c r="M313" s="198" t="s">
        <v>25896</v>
      </c>
      <c r="N313" s="197" t="s">
        <v>25897</v>
      </c>
      <c r="O313" s="195">
        <v>0.02</v>
      </c>
    </row>
    <row r="314" spans="1:15" ht="100.8" x14ac:dyDescent="0.3">
      <c r="A314" t="s">
        <v>17371</v>
      </c>
      <c r="B314" t="s">
        <v>25894</v>
      </c>
      <c r="C314" s="194" t="s">
        <v>25846</v>
      </c>
      <c r="D314" t="s">
        <v>25894</v>
      </c>
      <c r="E314" s="194" t="s">
        <v>25846</v>
      </c>
      <c r="F314" t="s">
        <v>25894</v>
      </c>
      <c r="G314" s="194" t="s">
        <v>26573</v>
      </c>
      <c r="H314" t="s">
        <v>25894</v>
      </c>
      <c r="I314">
        <v>1</v>
      </c>
      <c r="J314" s="197" t="s">
        <v>26604</v>
      </c>
      <c r="K314" t="s">
        <v>25894</v>
      </c>
      <c r="L314" s="197" t="s">
        <v>26703</v>
      </c>
      <c r="M314" s="198" t="s">
        <v>25896</v>
      </c>
      <c r="N314" s="197" t="s">
        <v>25897</v>
      </c>
      <c r="O314" s="195">
        <v>0.02</v>
      </c>
    </row>
    <row r="315" spans="1:15" ht="72" x14ac:dyDescent="0.3">
      <c r="A315" t="s">
        <v>17372</v>
      </c>
      <c r="B315" t="s">
        <v>25894</v>
      </c>
      <c r="C315" s="194" t="s">
        <v>17377</v>
      </c>
      <c r="D315" t="s">
        <v>25894</v>
      </c>
      <c r="E315" s="194" t="s">
        <v>17377</v>
      </c>
      <c r="F315" t="s">
        <v>25894</v>
      </c>
      <c r="G315" s="194" t="s">
        <v>26574</v>
      </c>
      <c r="H315" t="s">
        <v>25894</v>
      </c>
      <c r="I315">
        <v>1</v>
      </c>
      <c r="J315" s="197" t="s">
        <v>26604</v>
      </c>
      <c r="K315" t="s">
        <v>25894</v>
      </c>
      <c r="L315" s="197" t="s">
        <v>26703</v>
      </c>
      <c r="M315" s="198" t="s">
        <v>25896</v>
      </c>
      <c r="N315" s="197" t="s">
        <v>25897</v>
      </c>
      <c r="O315" s="195">
        <v>0.02</v>
      </c>
    </row>
    <row r="316" spans="1:15" ht="57.6" x14ac:dyDescent="0.3">
      <c r="A316" t="s">
        <v>17373</v>
      </c>
      <c r="B316" t="s">
        <v>25894</v>
      </c>
      <c r="C316" s="194" t="s">
        <v>17378</v>
      </c>
      <c r="D316" t="s">
        <v>25894</v>
      </c>
      <c r="E316" s="194" t="s">
        <v>17378</v>
      </c>
      <c r="F316" t="s">
        <v>25894</v>
      </c>
      <c r="G316" s="194" t="s">
        <v>26575</v>
      </c>
      <c r="H316" t="s">
        <v>25894</v>
      </c>
      <c r="I316">
        <v>1</v>
      </c>
      <c r="J316" s="197" t="s">
        <v>26604</v>
      </c>
      <c r="K316" t="s">
        <v>25894</v>
      </c>
      <c r="L316" s="197" t="s">
        <v>26703</v>
      </c>
      <c r="M316" s="198" t="s">
        <v>25896</v>
      </c>
      <c r="N316" s="197" t="s">
        <v>25897</v>
      </c>
      <c r="O316" s="195">
        <v>0.02</v>
      </c>
    </row>
    <row r="317" spans="1:15" ht="43.2" x14ac:dyDescent="0.3">
      <c r="A317" t="s">
        <v>17398</v>
      </c>
      <c r="B317" t="s">
        <v>25894</v>
      </c>
      <c r="C317" s="194" t="s">
        <v>17399</v>
      </c>
      <c r="D317" t="s">
        <v>25894</v>
      </c>
      <c r="E317" s="194" t="s">
        <v>25808</v>
      </c>
      <c r="F317" t="s">
        <v>25894</v>
      </c>
      <c r="G317" s="194" t="s">
        <v>26576</v>
      </c>
      <c r="H317" t="s">
        <v>25894</v>
      </c>
      <c r="I317">
        <v>1</v>
      </c>
      <c r="J317" s="197" t="s">
        <v>26604</v>
      </c>
      <c r="K317" t="s">
        <v>25894</v>
      </c>
      <c r="L317" s="197" t="s">
        <v>26703</v>
      </c>
      <c r="M317" s="198" t="s">
        <v>25896</v>
      </c>
      <c r="N317" s="197" t="s">
        <v>25897</v>
      </c>
      <c r="O317" s="195">
        <v>0.02</v>
      </c>
    </row>
    <row r="318" spans="1:15" ht="57.6" x14ac:dyDescent="0.3">
      <c r="A318" t="s">
        <v>25522</v>
      </c>
      <c r="B318" t="s">
        <v>25894</v>
      </c>
      <c r="C318" s="194" t="s">
        <v>25524</v>
      </c>
      <c r="D318" t="s">
        <v>25894</v>
      </c>
      <c r="E318" s="194" t="s">
        <v>25524</v>
      </c>
      <c r="F318" t="s">
        <v>25894</v>
      </c>
      <c r="G318" s="194" t="s">
        <v>26577</v>
      </c>
      <c r="H318" t="s">
        <v>25894</v>
      </c>
      <c r="I318">
        <v>1</v>
      </c>
      <c r="J318" s="197" t="s">
        <v>26604</v>
      </c>
      <c r="K318" t="s">
        <v>25894</v>
      </c>
      <c r="L318" s="197" t="s">
        <v>26703</v>
      </c>
      <c r="M318" s="198" t="s">
        <v>25896</v>
      </c>
      <c r="N318" s="197" t="s">
        <v>25897</v>
      </c>
      <c r="O318" s="195">
        <v>0.02</v>
      </c>
    </row>
    <row r="319" spans="1:15" ht="43.2" x14ac:dyDescent="0.3">
      <c r="A319" t="s">
        <v>25525</v>
      </c>
      <c r="B319" t="s">
        <v>25894</v>
      </c>
      <c r="C319" s="194" t="s">
        <v>25526</v>
      </c>
      <c r="D319" t="s">
        <v>25894</v>
      </c>
      <c r="E319" s="194" t="s">
        <v>26223</v>
      </c>
      <c r="F319" t="s">
        <v>25894</v>
      </c>
      <c r="G319" s="194" t="s">
        <v>26578</v>
      </c>
      <c r="H319" t="s">
        <v>25894</v>
      </c>
      <c r="I319">
        <v>1</v>
      </c>
      <c r="J319" s="197" t="s">
        <v>26604</v>
      </c>
      <c r="K319" t="s">
        <v>25894</v>
      </c>
      <c r="L319" s="197" t="s">
        <v>26703</v>
      </c>
      <c r="M319" s="198" t="s">
        <v>25896</v>
      </c>
      <c r="N319" s="197" t="s">
        <v>25897</v>
      </c>
      <c r="O319" s="195">
        <v>0.02</v>
      </c>
    </row>
    <row r="320" spans="1:15" ht="57.6" x14ac:dyDescent="0.3">
      <c r="A320" t="s">
        <v>25532</v>
      </c>
      <c r="B320" t="s">
        <v>25894</v>
      </c>
      <c r="C320" s="194" t="s">
        <v>25533</v>
      </c>
      <c r="D320" t="s">
        <v>25894</v>
      </c>
      <c r="E320" s="194" t="s">
        <v>25533</v>
      </c>
      <c r="F320" t="s">
        <v>25894</v>
      </c>
      <c r="G320" s="194" t="s">
        <v>26579</v>
      </c>
      <c r="H320" t="s">
        <v>25894</v>
      </c>
      <c r="I320">
        <v>1</v>
      </c>
      <c r="J320" s="197" t="s">
        <v>26604</v>
      </c>
      <c r="K320" t="s">
        <v>25894</v>
      </c>
      <c r="L320" s="197" t="s">
        <v>26703</v>
      </c>
      <c r="M320" s="198" t="s">
        <v>25896</v>
      </c>
      <c r="N320" s="197" t="s">
        <v>25897</v>
      </c>
      <c r="O320" s="195">
        <v>0.02</v>
      </c>
    </row>
  </sheetData>
  <phoneticPr fontId="18" type="noConversion"/>
  <hyperlinks>
    <hyperlink ref="M2" r:id="rId1" xr:uid="{2893D18E-38FE-475F-A4B0-61431B79F9CD}"/>
    <hyperlink ref="M8" r:id="rId2" xr:uid="{5F7641A5-B168-4FA7-974C-05B3F7DBC0EE}"/>
    <hyperlink ref="M4" r:id="rId3" xr:uid="{48B49B05-CD1D-4EC0-BCC5-947B3D65835F}"/>
    <hyperlink ref="M18" r:id="rId4" xr:uid="{C2A4CBDF-C73B-4B76-9DE1-9058BCEC8BC4}"/>
    <hyperlink ref="M5" r:id="rId5" xr:uid="{1D0F4C60-82E6-4F44-91DE-2546FB484838}"/>
    <hyperlink ref="M17" r:id="rId6" xr:uid="{0D0C361C-2A93-40C5-BF0D-1B03B9E77F42}"/>
    <hyperlink ref="M3" r:id="rId7" xr:uid="{83298B19-F544-449B-8DE2-8902BA3A67E1}"/>
    <hyperlink ref="M22" r:id="rId8" xr:uid="{B9CBCAE8-BA99-4105-A437-2AEC7043EA89}"/>
    <hyperlink ref="M13" r:id="rId9" xr:uid="{1D39C3DE-266B-4912-AD65-4A85373C46E0}"/>
    <hyperlink ref="M63" r:id="rId10" xr:uid="{BB9A1330-D94C-40D3-9C76-22851AD32019}"/>
    <hyperlink ref="M9" r:id="rId11" xr:uid="{E3659781-DD20-46A7-9E11-6D7EFE8FD24C}"/>
    <hyperlink ref="M11" r:id="rId12" xr:uid="{9AE829A9-4025-40D0-9648-19FA382702A2}"/>
    <hyperlink ref="M75" r:id="rId13" xr:uid="{A2442ADB-577F-4856-9935-D57E881243FF}"/>
    <hyperlink ref="M24" r:id="rId14" xr:uid="{B9F2513A-BFAF-46CB-B362-F3DA0AF93F58}"/>
    <hyperlink ref="M10" r:id="rId15" xr:uid="{EE5AF95B-BFA8-4035-8B79-2A6D7C6E1012}"/>
    <hyperlink ref="M20" r:id="rId16" xr:uid="{EE5FA255-41C5-4E2D-A0F9-B4D59CB03F18}"/>
    <hyperlink ref="M58" r:id="rId17" xr:uid="{6F9FFB21-2B39-470A-BCFA-83157A96025D}"/>
    <hyperlink ref="M190" r:id="rId18" xr:uid="{28363779-EE5E-4DF4-A9CB-BC0D9831DB71}"/>
    <hyperlink ref="M45" r:id="rId19" xr:uid="{F8E1A8A8-99F1-4A56-853F-5421BF86F3BC}"/>
    <hyperlink ref="M55" r:id="rId20" xr:uid="{C2B342B9-4AB4-4AA9-B839-22372BE59D94}"/>
    <hyperlink ref="M62" r:id="rId21" xr:uid="{0BFC0C39-E8A6-4B0D-BE81-FB2056CDCD23}"/>
    <hyperlink ref="M201" r:id="rId22" xr:uid="{A3E5B43E-96AC-4BDD-9FA6-3EF2F81F6C04}"/>
    <hyperlink ref="M48" r:id="rId23" xr:uid="{75A91E7C-AFFA-42BC-9D2A-BD1E5B88510E}"/>
    <hyperlink ref="M49" r:id="rId24" xr:uid="{D1CFB346-D2E2-4AF7-A3D2-362AB232408E}"/>
    <hyperlink ref="M52" r:id="rId25" xr:uid="{5ACF9232-553F-42CB-9756-19A9B7A27EE6}"/>
    <hyperlink ref="M64" r:id="rId26" xr:uid="{C5BDBCCD-0FEB-4036-ABB2-280AF5BE733E}"/>
    <hyperlink ref="M86" r:id="rId27" xr:uid="{16070C6B-8882-4E4A-A488-CDC5903B3EBB}"/>
    <hyperlink ref="M105" r:id="rId28" xr:uid="{AB0D28F0-D52E-493C-BD5C-3308E07BE25D}"/>
    <hyperlink ref="M191" r:id="rId29" xr:uid="{992092B1-0627-43CE-8589-8C5171D12010}"/>
    <hyperlink ref="M19" r:id="rId30" xr:uid="{603D961A-8E11-4D86-87F8-3979582014C4}"/>
    <hyperlink ref="M23" r:id="rId31" xr:uid="{B19E15F2-8E6D-4DD3-A944-496657E20F70}"/>
    <hyperlink ref="M26" r:id="rId32" xr:uid="{BA60EDB4-B507-4F24-9A1A-F36AA93D93F1}"/>
    <hyperlink ref="M27" r:id="rId33" xr:uid="{DA37BD92-6ED9-4C4C-86B1-EE61E888DDE3}"/>
    <hyperlink ref="M56" r:id="rId34" xr:uid="{2E32C142-C829-437E-ACFA-1B269AB649BC}"/>
    <hyperlink ref="M61" r:id="rId35" xr:uid="{CFD2C63E-EC64-43A9-B644-B958B20367EA}"/>
    <hyperlink ref="M66" r:id="rId36" xr:uid="{2B42A49A-5BB0-44EB-B570-1A729D56E7EC}"/>
    <hyperlink ref="M70" r:id="rId37" xr:uid="{60A7C6E2-2C05-4E69-B5EC-63EAA7CEE52C}"/>
    <hyperlink ref="M71" r:id="rId38" xr:uid="{C295C988-BB22-4EAA-B898-CEA31E306B95}"/>
    <hyperlink ref="M72" r:id="rId39" xr:uid="{4A76D373-E316-4BC4-9EE5-9D10090EDA02}"/>
    <hyperlink ref="M126" r:id="rId40" xr:uid="{9E1D18C3-2A7C-4220-B251-C87309092638}"/>
    <hyperlink ref="M152" r:id="rId41" xr:uid="{66D27719-E8DD-48E2-AFD0-B60A3C1463E5}"/>
    <hyperlink ref="M207" r:id="rId42" xr:uid="{EE77660A-9322-4299-978B-8E7A3D902496}"/>
    <hyperlink ref="M211" r:id="rId43" xr:uid="{9A7A4A2A-2CAC-4591-B7BA-A200788252F3}"/>
    <hyperlink ref="M233" r:id="rId44" xr:uid="{4C0C6298-50C7-4EA5-8FE7-028CD25EE0B5}"/>
    <hyperlink ref="M247" r:id="rId45" xr:uid="{36AD1289-BCB2-41E9-9C39-E6089954497A}"/>
    <hyperlink ref="M7" r:id="rId46" xr:uid="{97ADC50A-802D-4AEA-AD43-DB04E1165F42}"/>
    <hyperlink ref="M12" r:id="rId47" xr:uid="{936A18A0-6610-4E65-8861-0BF98ACEE5D4}"/>
    <hyperlink ref="M53" r:id="rId48" xr:uid="{FF854862-484A-4C46-A712-D57F1576A23E}"/>
    <hyperlink ref="M84" r:id="rId49" xr:uid="{7520D4B2-5F34-403E-974C-C10F38220182}"/>
    <hyperlink ref="M116" r:id="rId50" xr:uid="{C4025994-6EA7-4369-A13E-1078B4CC443E}"/>
    <hyperlink ref="M125" r:id="rId51" xr:uid="{0254BE57-2B04-4BB3-AE9E-4AF8FE080007}"/>
    <hyperlink ref="M142" r:id="rId52" xr:uid="{EDA77B29-0BBD-4530-BC60-B59E65A3594D}"/>
    <hyperlink ref="M144" r:id="rId53" xr:uid="{C9473C90-F488-4E82-BE52-6526150BDD40}"/>
    <hyperlink ref="M146" r:id="rId54" xr:uid="{CD14B465-4345-4A8D-9BF2-BAFCBEAABE02}"/>
    <hyperlink ref="M157" r:id="rId55" xr:uid="{B00DC047-CD21-4FCE-8B3B-5F871EB8BE41}"/>
    <hyperlink ref="M168" r:id="rId56" xr:uid="{C0CBAF1C-1500-4AD5-AC0D-7E7B977799C9}"/>
    <hyperlink ref="M204" r:id="rId57" xr:uid="{6171C7E1-B95C-416A-9105-26840D0CF22D}"/>
    <hyperlink ref="M205" r:id="rId58" xr:uid="{FEE2874D-8D9C-4A42-8D6E-6E7516862809}"/>
    <hyperlink ref="M238" r:id="rId59" xr:uid="{BC79885C-F385-4DA4-9A33-B6FFB6ECE606}"/>
    <hyperlink ref="M242" r:id="rId60" xr:uid="{8A3A814B-0244-4E59-9D3B-F0E9547EB519}"/>
    <hyperlink ref="M276" r:id="rId61" xr:uid="{EE01836D-E541-43F7-A384-5EFF1E84B0F4}"/>
    <hyperlink ref="M21" r:id="rId62" xr:uid="{9B8034EF-66C1-4BC5-9ADF-98890C10AD4D}"/>
    <hyperlink ref="M28" r:id="rId63" xr:uid="{0972FA05-D4F2-4BA0-9E5E-A0C26B65820F}"/>
    <hyperlink ref="M54" r:id="rId64" xr:uid="{E54F3959-3EE0-4BA6-8FB0-7B2D24C58BFC}"/>
    <hyperlink ref="M57" r:id="rId65" xr:uid="{2CC44B8C-2889-48C5-B0C1-08FE9BC8E89F}"/>
    <hyperlink ref="M59" r:id="rId66" xr:uid="{511C77F8-F48B-4407-8CB9-86193F4E1D2C}"/>
    <hyperlink ref="M77" r:id="rId67" xr:uid="{28AB5D04-A835-436E-A66F-18842CF6D5EC}"/>
    <hyperlink ref="M88" r:id="rId68" xr:uid="{7B61D752-47C8-479A-B090-DC3974F783FD}"/>
    <hyperlink ref="M90" r:id="rId69" xr:uid="{94AA18D8-E339-4704-9E1B-C13D86E32F88}"/>
    <hyperlink ref="M104" r:id="rId70" xr:uid="{09E5E474-4A5E-424E-9191-7B100FF6D518}"/>
    <hyperlink ref="M107" r:id="rId71" xr:uid="{59703F6B-5AEA-4CAF-93C7-52B78CC5111B}"/>
    <hyperlink ref="M130" r:id="rId72" xr:uid="{4B4B8058-8E7E-4A36-BAC0-F73DF4EB0BE6}"/>
    <hyperlink ref="M131" r:id="rId73" xr:uid="{DD2FA44D-40EC-4A4A-B4DD-759DAA4C5BD0}"/>
    <hyperlink ref="M140" r:id="rId74" xr:uid="{E6D11F2A-7DD9-4E32-A592-433DB31DCA5F}"/>
    <hyperlink ref="M155" r:id="rId75" xr:uid="{83EE51C8-BBF8-48E3-AB54-45ACFA143DC4}"/>
    <hyperlink ref="M163" r:id="rId76" xr:uid="{82CCBD26-6E8E-43C5-9935-C0B60B156D01}"/>
    <hyperlink ref="M202" r:id="rId77" xr:uid="{D6D288E0-4DE0-4F24-9C19-23095C06F08B}"/>
    <hyperlink ref="M206" r:id="rId78" xr:uid="{1A3A0EEC-8542-4F7A-9C32-40949D8D7F04}"/>
    <hyperlink ref="M215" r:id="rId79" xr:uid="{95413F7C-CFD3-45CB-A576-0394761D63CC}"/>
    <hyperlink ref="M231" r:id="rId80" xr:uid="{51C309A2-53DA-41B5-9DE5-EF43D0101DBF}"/>
    <hyperlink ref="M234" r:id="rId81" xr:uid="{28A0C3DD-304F-4AAA-8A62-DD4F9FFC9E5A}"/>
    <hyperlink ref="M249" r:id="rId82" xr:uid="{CF48E28C-EC54-4CD0-A2EA-B4D725A98AEC}"/>
    <hyperlink ref="M281" r:id="rId83" xr:uid="{CB3294BF-04F2-459B-B334-8BD0A9AE9FD6}"/>
    <hyperlink ref="M25" r:id="rId84" xr:uid="{59D2BDD9-2B1D-4328-946D-137C6C43E36D}"/>
    <hyperlink ref="M30" r:id="rId85" xr:uid="{2BBC6E58-DD04-43AF-B0FB-795F326B015D}"/>
    <hyperlink ref="M47" r:id="rId86" xr:uid="{C716135B-D514-4D43-AD1E-F060ADDCAB9A}"/>
    <hyperlink ref="M73" r:id="rId87" xr:uid="{4A60DA24-062D-4175-A168-24336FD7BA25}"/>
    <hyperlink ref="M85" r:id="rId88" xr:uid="{73511DA9-F15D-4E8A-A3F4-0CA940F1E3E9}"/>
    <hyperlink ref="M98" r:id="rId89" xr:uid="{B6097657-3EF0-4C94-8B95-C3CA4AE86760}"/>
    <hyperlink ref="M101" r:id="rId90" xr:uid="{D14CF004-FEF7-49A7-AC1B-5681457F069B}"/>
    <hyperlink ref="M103" r:id="rId91" xr:uid="{1F7CC27C-C0CD-4B33-BCEC-FEF9136EA348}"/>
    <hyperlink ref="M108" r:id="rId92" xr:uid="{A053620D-928B-4FAF-A272-2FD5D12CC188}"/>
    <hyperlink ref="M109" r:id="rId93" xr:uid="{97AD287B-AE84-47DA-AF3F-8D88183FB2B8}"/>
    <hyperlink ref="M115" r:id="rId94" xr:uid="{48EC90D7-C3CF-4E3F-AA5E-A25380571EC0}"/>
    <hyperlink ref="M117" r:id="rId95" xr:uid="{5B7C2373-C8E2-4DB4-9978-1BCECF115F83}"/>
    <hyperlink ref="M119" r:id="rId96" xr:uid="{21017F4A-2F42-4860-9F01-CE1A2EB65986}"/>
    <hyperlink ref="M121" r:id="rId97" xr:uid="{7C6F2C3C-888E-40C1-B730-85DEE3EDD774}"/>
    <hyperlink ref="M127" r:id="rId98" xr:uid="{032804BE-C282-4B76-9B43-99D1061193F1}"/>
    <hyperlink ref="M128" r:id="rId99" xr:uid="{AE663579-85BF-4A7B-9186-3B22B0C7AC33}"/>
    <hyperlink ref="M138" r:id="rId100" xr:uid="{8CB6F822-651B-4C56-96CC-5E9E3D32BF56}"/>
    <hyperlink ref="M147" r:id="rId101" xr:uid="{32C688AE-76F3-4E6E-89A3-83047972F353}"/>
    <hyperlink ref="M149" r:id="rId102" xr:uid="{4F6BFFDE-716A-41F2-9ECD-60B6894C0938}"/>
    <hyperlink ref="M158" r:id="rId103" xr:uid="{3B58C2C0-AAAC-4DD9-A4CF-59D7A0E4E39F}"/>
    <hyperlink ref="M160" r:id="rId104" xr:uid="{E43A2911-E506-4257-B47C-F66F5FCB9015}"/>
    <hyperlink ref="M162" r:id="rId105" xr:uid="{E3F16CC1-AD8E-4C31-AB3A-7A89B925D7F8}"/>
    <hyperlink ref="M179" r:id="rId106" xr:uid="{3F02892D-49FF-4077-8128-C1EA1A984921}"/>
    <hyperlink ref="M180" r:id="rId107" xr:uid="{B0B2929D-6C23-4520-8AC8-642E082C718E}"/>
    <hyperlink ref="M192" r:id="rId108" xr:uid="{E467A683-C5FD-4C0F-BEC9-ABE71F3478CE}"/>
    <hyperlink ref="M198" r:id="rId109" xr:uid="{94330193-D2EF-4711-AFAB-FFC9FDF23C12}"/>
    <hyperlink ref="M212" r:id="rId110" xr:uid="{88381032-6672-4AB4-B8F5-BDE4D8A22979}"/>
    <hyperlink ref="M219" r:id="rId111" xr:uid="{C3B34E87-9B86-4385-A61D-299E7B8E5E17}"/>
    <hyperlink ref="M222" r:id="rId112" xr:uid="{D7750464-4533-488C-893C-A5EBEF57B1C2}"/>
    <hyperlink ref="M224" r:id="rId113" xr:uid="{C3544A65-D764-45AD-A7AC-9C244FAB3EEA}"/>
    <hyperlink ref="M252" r:id="rId114" xr:uid="{82DA7203-52B1-4842-967E-706FAE77C6E9}"/>
    <hyperlink ref="M263" r:id="rId115" xr:uid="{248271E8-6379-4BD4-929C-3DA854CDFE16}"/>
    <hyperlink ref="M266" r:id="rId116" xr:uid="{28F5A4CC-8D06-483C-8ED6-212F8A5ED31C}"/>
    <hyperlink ref="M267" r:id="rId117" xr:uid="{68BF5380-B72A-4E28-9B6C-343E3C9D9357}"/>
    <hyperlink ref="M296" r:id="rId118" xr:uid="{68AED8C6-34AA-49CB-BBE4-0FEEA7726538}"/>
    <hyperlink ref="M6" r:id="rId119" xr:uid="{5752D7D4-15E2-4374-ADAB-F2F07E776CE9}"/>
    <hyperlink ref="M14" r:id="rId120" xr:uid="{2F6B3BDE-EE9F-40FA-AA25-73149A5AC10A}"/>
    <hyperlink ref="M15" r:id="rId121" xr:uid="{EA3FB39C-0159-4170-8AA4-CEBF396178E1}"/>
    <hyperlink ref="M31" r:id="rId122" xr:uid="{75B64D3D-D94B-475C-8719-D7EDE072B8EA}"/>
    <hyperlink ref="M32" r:id="rId123" xr:uid="{7E7CF5AA-4B84-435F-BCF5-B443562ABAA3}"/>
    <hyperlink ref="M34" r:id="rId124" xr:uid="{6FD3E7D1-9D6E-4525-A430-3CFC4F7F37BD}"/>
    <hyperlink ref="M44" r:id="rId125" xr:uid="{00386EAF-9ACD-4CBE-95C6-639AFD158DC3}"/>
    <hyperlink ref="M46" r:id="rId126" xr:uid="{50FA7D9E-6BB3-4C62-9415-0EA112299F51}"/>
    <hyperlink ref="M50" r:id="rId127" xr:uid="{0EEA6345-974C-476D-80DA-4BA19A77608F}"/>
    <hyperlink ref="M60" r:id="rId128" xr:uid="{C8AC410C-3F24-49CC-98B4-791794DA7E22}"/>
    <hyperlink ref="M65" r:id="rId129" xr:uid="{778B9BD9-80FA-4450-AAB3-301A692A0383}"/>
    <hyperlink ref="M78" r:id="rId130" xr:uid="{1FD144A8-003F-4186-8741-46A62211B982}"/>
    <hyperlink ref="M83" r:id="rId131" xr:uid="{C0FD5DDB-81F7-46EA-9C15-27FE9F22DA19}"/>
    <hyperlink ref="M89" r:id="rId132" xr:uid="{1CEF8C22-D989-4C4C-92B8-468950528E20}"/>
    <hyperlink ref="M96" r:id="rId133" xr:uid="{31404BA5-BA0F-4653-A00C-2E829FDB6735}"/>
    <hyperlink ref="M106" r:id="rId134" xr:uid="{44CF344A-8605-441D-B7C1-8AFFC0E60EC9}"/>
    <hyperlink ref="M110" r:id="rId135" xr:uid="{A3BF1169-E9AA-49C1-9D1B-F7422DB57B85}"/>
    <hyperlink ref="M111" r:id="rId136" xr:uid="{FAAAC2F9-0CD5-4F3B-A2A0-B92F501C649F}"/>
    <hyperlink ref="M122" r:id="rId137" xr:uid="{AB9A2EA2-3F43-4F83-882C-F15C86D90DAA}"/>
    <hyperlink ref="M129" r:id="rId138" xr:uid="{25B630CB-F1B2-4663-BCCB-B76BD10B0A01}"/>
    <hyperlink ref="M132" r:id="rId139" xr:uid="{C36484C5-EF87-4EFA-9CC0-C64793A5BD39}"/>
    <hyperlink ref="M133" r:id="rId140" xr:uid="{491FF8DD-53C1-4FD6-A0ED-181B28C621DD}"/>
    <hyperlink ref="M134" r:id="rId141" xr:uid="{864C4FFB-050A-4D52-BB93-4B91FF59383A}"/>
    <hyperlink ref="M136" r:id="rId142" xr:uid="{49F302AF-449D-48A8-82E8-10406F5236B9}"/>
    <hyperlink ref="M143" r:id="rId143" xr:uid="{E6875FD1-922B-45BB-B445-41F9F55C9C79}"/>
    <hyperlink ref="M150" r:id="rId144" xr:uid="{B48D8631-6433-4D53-8F59-BF627E490D75}"/>
    <hyperlink ref="M151" r:id="rId145" xr:uid="{F777998C-870A-453E-AA13-7555CD25FCBD}"/>
    <hyperlink ref="M154" r:id="rId146" xr:uid="{6934D006-0CA9-4449-B4DD-7D13621C1702}"/>
    <hyperlink ref="M156" r:id="rId147" xr:uid="{A524628D-D1F2-4B05-B848-7E194D98A979}"/>
    <hyperlink ref="M173" r:id="rId148" xr:uid="{6A8A2AAF-CD14-4114-A42C-BAC180C48302}"/>
    <hyperlink ref="M177" r:id="rId149" xr:uid="{9A4F1658-BF02-4F67-B5C4-89A47F76B794}"/>
    <hyperlink ref="M178" r:id="rId150" xr:uid="{0E1C96C5-EB51-4F5D-8A17-0929C34A4EAF}"/>
    <hyperlink ref="M181" r:id="rId151" xr:uid="{1E175E92-773E-43D2-8EC3-8418532A35C5}"/>
    <hyperlink ref="M183" r:id="rId152" xr:uid="{5F368538-C121-410A-87AD-4906E438D880}"/>
    <hyperlink ref="M185" r:id="rId153" xr:uid="{4565FC65-8BB5-40C8-AC57-BC82D6F7AC59}"/>
    <hyperlink ref="M193" r:id="rId154" xr:uid="{B05DD679-F7B1-48B1-B453-A11DC8DB181F}"/>
    <hyperlink ref="M194" r:id="rId155" xr:uid="{00CDC652-E257-4067-A520-21C3B3D95DF0}"/>
    <hyperlink ref="M196" r:id="rId156" xr:uid="{99A87154-5FB1-4CCB-B7E7-383E73ABBF4F}"/>
    <hyperlink ref="M200" r:id="rId157" xr:uid="{0525D14D-E864-4BDF-A080-F429BFB43DCC}"/>
    <hyperlink ref="M208" r:id="rId158" xr:uid="{69DC14B1-4A65-48B4-841F-1B93612B366C}"/>
    <hyperlink ref="M209" r:id="rId159" xr:uid="{721B5951-C2F8-4958-8494-7947ED8AF6F9}"/>
    <hyperlink ref="M220" r:id="rId160" xr:uid="{83B71E1F-C1D3-439B-8494-6BFE9575F2CE}"/>
    <hyperlink ref="M221" r:id="rId161" xr:uid="{70E753DC-E5E6-477E-8A02-62A8B2F494E3}"/>
    <hyperlink ref="M223" r:id="rId162" xr:uid="{20032BCE-DA43-45D8-9B99-760432152EE4}"/>
    <hyperlink ref="M226" r:id="rId163" xr:uid="{F7ECD93D-CFFA-496D-A745-B06062A2EFAF}"/>
    <hyperlink ref="M228" r:id="rId164" xr:uid="{FF264020-8173-40C5-B2E6-382923F87AA4}"/>
    <hyperlink ref="M232" r:id="rId165" xr:uid="{098AAF98-4581-417D-8F51-0BD15E8D70C0}"/>
    <hyperlink ref="M236" r:id="rId166" xr:uid="{CCDFDFB4-8FAB-4413-8930-EAEE293BBDB9}"/>
    <hyperlink ref="M241" r:id="rId167" xr:uid="{FAE0E25A-1E19-4082-B563-2FB1F7AD314B}"/>
    <hyperlink ref="M243" r:id="rId168" xr:uid="{34116522-5527-404F-9645-C8F5A9293C8F}"/>
    <hyperlink ref="M246" r:id="rId169" xr:uid="{C74A3BD5-3F1D-43B6-AFA9-2D50E80AE796}"/>
    <hyperlink ref="M250" r:id="rId170" xr:uid="{8F3C49CE-F54D-4B7E-B51B-23F93E1154B9}"/>
    <hyperlink ref="M251" r:id="rId171" xr:uid="{BB1E9250-302C-4236-A5DA-E8EC3E19A6B2}"/>
    <hyperlink ref="M254" r:id="rId172" xr:uid="{DA43CD3B-D818-4D2C-953F-91D26827C40E}"/>
    <hyperlink ref="M255" r:id="rId173" xr:uid="{808A7DB7-4457-43BF-8D5A-45481837AADB}"/>
    <hyperlink ref="M258" r:id="rId174" xr:uid="{C271CF8C-EBDA-49EE-A613-720B670132FA}"/>
    <hyperlink ref="M264" r:id="rId175" xr:uid="{A6A230CD-0210-4417-8FB5-F901B7684370}"/>
    <hyperlink ref="M270" r:id="rId176" xr:uid="{C14DD280-0A19-4AD9-AACB-0A2DF38BDB2F}"/>
    <hyperlink ref="M278" r:id="rId177" xr:uid="{B3BBEEB1-F5F0-4304-ADE4-188047636B05}"/>
    <hyperlink ref="M279" r:id="rId178" xr:uid="{6C560FE8-1442-4805-880A-3736885B6568}"/>
    <hyperlink ref="M282" r:id="rId179" xr:uid="{19D629F7-3F59-4586-B1FB-0F614CBB1705}"/>
    <hyperlink ref="M283" r:id="rId180" xr:uid="{3FC710B0-D350-4870-B7A4-6BCD6B5672EE}"/>
    <hyperlink ref="M284" r:id="rId181" xr:uid="{094E0557-AEF6-45E1-9977-A9A8F6F0CA8E}"/>
    <hyperlink ref="M285" r:id="rId182" xr:uid="{5EC0F57B-BD0E-4C3A-BDAA-311687060403}"/>
    <hyperlink ref="M294" r:id="rId183" xr:uid="{929A47E1-6788-4C4D-8B7B-F5483DD2F08B}"/>
    <hyperlink ref="M306" r:id="rId184" xr:uid="{C4CBE42D-BC1A-484B-9FCC-BEC0CE5CB6DF}"/>
    <hyperlink ref="M308" r:id="rId185" xr:uid="{43C3C5EE-9B49-4C5A-B0EF-3A653E758811}"/>
    <hyperlink ref="M16" r:id="rId186" xr:uid="{9CACC2E1-D995-4B53-BF15-68FFCA2B486A}"/>
    <hyperlink ref="M29" r:id="rId187" xr:uid="{5C0303EA-4BE7-404B-AE24-E0D2E93E85D1}"/>
    <hyperlink ref="M33" r:id="rId188" xr:uid="{A3329F04-A0D4-498A-B251-D8C22E29B8FF}"/>
    <hyperlink ref="M35" r:id="rId189" xr:uid="{626365A0-19AC-4202-869D-0EAFB5117DE8}"/>
    <hyperlink ref="M36" r:id="rId190" xr:uid="{B177F068-443C-46F4-8727-DCCB6F7A1A2B}"/>
    <hyperlink ref="M37" r:id="rId191" xr:uid="{60B901B6-98F8-45CB-BBFC-B9E79F0ED845}"/>
    <hyperlink ref="M38" r:id="rId192" xr:uid="{C63CFEF1-4A97-4A0C-9E9D-85FECFC56D38}"/>
    <hyperlink ref="M39" r:id="rId193" xr:uid="{0DB1EEB2-64E9-43C3-86BB-C48D50450920}"/>
    <hyperlink ref="M41" r:id="rId194" xr:uid="{96825700-263E-41F6-BA78-C92412934D8A}"/>
    <hyperlink ref="M43" r:id="rId195" xr:uid="{173E1111-0A68-47A3-9FC5-66FF87DE2DC0}"/>
    <hyperlink ref="M51" r:id="rId196" xr:uid="{E0DE5FC8-9CEE-4D28-B8C2-ED89D74197FF}"/>
    <hyperlink ref="M67" r:id="rId197" xr:uid="{DE2D2A0D-C4BF-439E-9D64-C4308576D249}"/>
    <hyperlink ref="M69" r:id="rId198" xr:uid="{19290C6A-00E7-4546-B910-C1DBC1FE30BF}"/>
    <hyperlink ref="M74" r:id="rId199" xr:uid="{3BC550DF-D055-46A3-AC73-3447C9CFC64C}"/>
    <hyperlink ref="M76" r:id="rId200" xr:uid="{D2A0A12D-B5B0-4E2F-99EA-8C3C42D58A44}"/>
    <hyperlink ref="M79" r:id="rId201" xr:uid="{22E280D3-6364-4764-AC5A-793B1E20CA14}"/>
    <hyperlink ref="M80" r:id="rId202" xr:uid="{58527280-30A4-4EAB-9CD7-B167EBDBEBA5}"/>
    <hyperlink ref="M81" r:id="rId203" xr:uid="{345594C5-1C9A-4215-90E5-5AA42296EC98}"/>
    <hyperlink ref="M82" r:id="rId204" xr:uid="{DA7F0A1C-9087-4B0D-915C-4B465E2C3AD5}"/>
    <hyperlink ref="M87" r:id="rId205" xr:uid="{5213CFB7-82C1-4CB0-8D0D-B9B730B07F27}"/>
    <hyperlink ref="M92" r:id="rId206" xr:uid="{5449B261-B6BF-496E-9AF4-2F1515AB33CB}"/>
    <hyperlink ref="M100" r:id="rId207" xr:uid="{663B07F9-3BC0-4F7C-9329-FDE0983E478A}"/>
    <hyperlink ref="M102" r:id="rId208" xr:uid="{D7E56A4D-BB5A-493A-B2E1-91511E2CF98B}"/>
    <hyperlink ref="M112" r:id="rId209" xr:uid="{B370F97F-C590-4CF2-A91C-A11BB5CDF233}"/>
    <hyperlink ref="M113" r:id="rId210" xr:uid="{48568CC9-D466-42C9-9347-E04177CE874C}"/>
    <hyperlink ref="M114" r:id="rId211" xr:uid="{AC430105-F9E7-4BEE-AFA2-45259D02AC40}"/>
    <hyperlink ref="M118" r:id="rId212" xr:uid="{7147458A-74FA-4F78-B4AF-351DB177EF64}"/>
    <hyperlink ref="M120" r:id="rId213" xr:uid="{28F5D2E7-45B3-4611-801E-8AE80D0ED892}"/>
    <hyperlink ref="M123" r:id="rId214" xr:uid="{C835FE2C-80A5-47BC-BEA2-4771B6FA3E46}"/>
    <hyperlink ref="M124" r:id="rId215" xr:uid="{5C427D0E-B280-434A-936C-C762093ACD27}"/>
    <hyperlink ref="M135" r:id="rId216" xr:uid="{EB775289-AE40-4BAC-A7A0-F2D900EAE456}"/>
    <hyperlink ref="M137" r:id="rId217" xr:uid="{5A52661E-250E-454C-A976-6418D39CBAD8}"/>
    <hyperlink ref="M139" r:id="rId218" xr:uid="{9D9F2E50-35B6-4BD3-9ED4-D037FBE58081}"/>
    <hyperlink ref="M141" r:id="rId219" xr:uid="{DC98E89A-65B8-4686-9316-29C53C97CEC6}"/>
    <hyperlink ref="M145" r:id="rId220" xr:uid="{609E1FEF-2E24-4188-BDA7-CB35091ECDA6}"/>
    <hyperlink ref="M148" r:id="rId221" xr:uid="{8A7A92F5-C896-4F43-A2B0-7F06D641BD6B}"/>
    <hyperlink ref="M153" r:id="rId222" xr:uid="{76DA21EC-7C3C-496B-AC94-6B33080F9788}"/>
    <hyperlink ref="M159" r:id="rId223" xr:uid="{681F1637-0122-44A8-B79F-790EEB859695}"/>
    <hyperlink ref="M161" r:id="rId224" xr:uid="{06A4D397-2C6A-4C62-8FE2-FE8794AD2645}"/>
    <hyperlink ref="M164" r:id="rId225" xr:uid="{9A712BB5-E66A-4808-8980-9867388AC727}"/>
    <hyperlink ref="M165" r:id="rId226" xr:uid="{068BFFD8-7CE3-46B1-A2CC-85D0948DA56D}"/>
    <hyperlink ref="M166" r:id="rId227" xr:uid="{2E55B487-8771-4AAE-AB92-E5CD3DE1E4A4}"/>
    <hyperlink ref="M167" r:id="rId228" xr:uid="{30079BCF-9312-4FB3-B128-C7F027BD3872}"/>
    <hyperlink ref="M169" r:id="rId229" xr:uid="{A759D0BF-3EFD-4A67-BD30-DE8380EB79A8}"/>
    <hyperlink ref="M170" r:id="rId230" xr:uid="{73B4EA66-57E1-4095-9470-A756C8838385}"/>
    <hyperlink ref="M171" r:id="rId231" xr:uid="{B76E6BEE-0C9D-4654-9ED6-DDC1249A6414}"/>
    <hyperlink ref="M172" r:id="rId232" xr:uid="{DD8DD69B-270D-47E0-9654-FB6DE0A5C6E8}"/>
    <hyperlink ref="M174" r:id="rId233" xr:uid="{CBEB5E3D-C78D-48CA-977F-D308C0F288B5}"/>
    <hyperlink ref="M175" r:id="rId234" xr:uid="{BFF7E51A-E20E-4AE5-A619-D998FB10CB45}"/>
    <hyperlink ref="M176" r:id="rId235" xr:uid="{BCDAAB2F-3C2D-4D3C-9DAB-18B1F262916C}"/>
    <hyperlink ref="M182" r:id="rId236" xr:uid="{34CD5350-E6FD-4DE6-9410-25CA5FF77A68}"/>
    <hyperlink ref="M184" r:id="rId237" xr:uid="{2A47D543-4856-4C01-B78D-152CC99AEC9F}"/>
    <hyperlink ref="M186" r:id="rId238" xr:uid="{5542D5E8-275C-47B8-82A7-AB7793BF8FE0}"/>
    <hyperlink ref="M187" r:id="rId239" xr:uid="{3293104D-6D0E-46A8-BB31-7A4FF3F750F3}"/>
    <hyperlink ref="M188" r:id="rId240" xr:uid="{FAFD83D4-870E-4E7C-A84F-BF18C22DF378}"/>
    <hyperlink ref="M189" r:id="rId241" xr:uid="{31AB2C22-2E41-45A1-A813-6DCED5DDE5B8}"/>
    <hyperlink ref="M195" r:id="rId242" xr:uid="{73785DF5-4B72-479E-B9B1-1C0A257A20AF}"/>
    <hyperlink ref="M197" r:id="rId243" xr:uid="{7A68B34F-70D8-46B1-945E-FB3A218AEA97}"/>
    <hyperlink ref="M199" r:id="rId244" xr:uid="{FD333CD8-18F6-44A9-8107-67463F423A39}"/>
    <hyperlink ref="M203" r:id="rId245" xr:uid="{2C2B5101-576F-468D-9F1E-0DF56CB91695}"/>
    <hyperlink ref="M210" r:id="rId246" xr:uid="{F633ACE9-4AA3-4C71-A95F-E9E0DCDED199}"/>
    <hyperlink ref="M213" r:id="rId247" xr:uid="{CFCA7043-48F6-40AC-BE11-DFC543CE32EE}"/>
    <hyperlink ref="M214" r:id="rId248" xr:uid="{47F61E6E-33B3-4B7A-A95B-2CF88E6CE61B}"/>
    <hyperlink ref="M216" r:id="rId249" xr:uid="{30286548-75CA-46FE-94BE-272A46FE1D05}"/>
    <hyperlink ref="M217" r:id="rId250" xr:uid="{B778C758-4FF1-49A5-8E71-E8928D6EA190}"/>
    <hyperlink ref="M218" r:id="rId251" xr:uid="{FA874004-E894-49BF-9C94-F10E97E3CF9D}"/>
    <hyperlink ref="M225" r:id="rId252" xr:uid="{0730CCCF-D5B9-4A17-8A48-77A9089880E5}"/>
    <hyperlink ref="M227" r:id="rId253" xr:uid="{FDED4288-30AF-4927-85B7-C9442FE32C7D}"/>
    <hyperlink ref="M229" r:id="rId254" xr:uid="{A416E889-A266-4747-918C-887D1EFBD756}"/>
    <hyperlink ref="M230" r:id="rId255" xr:uid="{EE00B2B5-DA90-4346-BF9E-FD927D7B3F98}"/>
    <hyperlink ref="M235" r:id="rId256" xr:uid="{64765E04-1B14-479C-91EA-0F0FAD57443D}"/>
    <hyperlink ref="M237" r:id="rId257" xr:uid="{2107936A-7FCC-4A40-AA46-CCDD01784A1F}"/>
    <hyperlink ref="M239" r:id="rId258" xr:uid="{21B42A62-4656-434B-B9A4-CECD7AD7B6AB}"/>
    <hyperlink ref="M240" r:id="rId259" xr:uid="{E8E9FAF0-889F-4ACD-BC55-0CEDE00A605B}"/>
    <hyperlink ref="M244" r:id="rId260" xr:uid="{EAEF7392-7E7E-4752-9A30-2D1084134577}"/>
    <hyperlink ref="M245" r:id="rId261" xr:uid="{C2D1D4D4-612B-4E25-8A6F-C025AEF8968F}"/>
    <hyperlink ref="M248" r:id="rId262" xr:uid="{B501B276-129B-4918-B207-C00B59875C4A}"/>
    <hyperlink ref="M253" r:id="rId263" xr:uid="{12CA022F-CB57-419A-9367-D2CDA57ED42C}"/>
    <hyperlink ref="M256" r:id="rId264" xr:uid="{6CA55197-6A28-48E7-99CA-379C7F87FE1B}"/>
    <hyperlink ref="M257" r:id="rId265" xr:uid="{A0A549C9-D57B-4DC8-A9DF-BD8C2B21CB8F}"/>
    <hyperlink ref="M259" r:id="rId266" xr:uid="{861CD2B3-05AA-461F-A37D-8CB3E90985ED}"/>
    <hyperlink ref="M260" r:id="rId267" xr:uid="{93A15D84-6E21-4F53-9C0D-431962652B3F}"/>
    <hyperlink ref="M261" r:id="rId268" xr:uid="{80790840-BE28-49D5-8B38-625A3AD337CD}"/>
    <hyperlink ref="M262" r:id="rId269" xr:uid="{E7F6B86C-11B5-41E5-9C9F-AC3F0570A1FA}"/>
    <hyperlink ref="M265" r:id="rId270" xr:uid="{0EC50151-A5BC-4054-92F5-25BC606DA44B}"/>
    <hyperlink ref="M268" r:id="rId271" xr:uid="{229288D5-6C02-4EEE-9E31-87332D0D7F7B}"/>
    <hyperlink ref="M269" r:id="rId272" xr:uid="{5A23C1D9-6901-4CD0-8932-E9AB5D882FCE}"/>
    <hyperlink ref="M271" r:id="rId273" xr:uid="{CB5E5A5B-89FE-41CB-AACB-F9DF0117B5C6}"/>
    <hyperlink ref="M272" r:id="rId274" xr:uid="{51567C89-D72D-42EC-B91D-E09122952F96}"/>
    <hyperlink ref="M273" r:id="rId275" xr:uid="{02CB6838-6564-4B7F-8C7C-77B5D3E9E93C}"/>
    <hyperlink ref="M274" r:id="rId276" xr:uid="{B26967FC-2B06-4B4F-AE0E-27959D7D96C9}"/>
    <hyperlink ref="M275" r:id="rId277" xr:uid="{311D349F-592C-4150-81DE-DB93C426A45F}"/>
    <hyperlink ref="M277" r:id="rId278" xr:uid="{7D24CABE-025A-43A3-99D6-F715CA1936BB}"/>
    <hyperlink ref="M280" r:id="rId279" xr:uid="{20A043E3-2A98-4F4C-BB7F-4A7F15C7D999}"/>
    <hyperlink ref="M286" r:id="rId280" xr:uid="{7DBB7D97-A26A-454B-8330-9A9C4EBC5252}"/>
    <hyperlink ref="M287" r:id="rId281" xr:uid="{D87C4612-9701-4349-A48B-351DBEE9BA1F}"/>
    <hyperlink ref="M288" r:id="rId282" xr:uid="{557AF7E2-B4B0-48A0-A401-5835FE2FA74F}"/>
    <hyperlink ref="M289" r:id="rId283" xr:uid="{4E14540C-5415-493B-9365-8BA81A777964}"/>
    <hyperlink ref="M290" r:id="rId284" xr:uid="{0925BFB5-483B-4106-AE61-6B3C10CA43D3}"/>
    <hyperlink ref="M291" r:id="rId285" xr:uid="{B4AF730A-A142-4F46-9598-1F3ED22372FF}"/>
    <hyperlink ref="M292" r:id="rId286" xr:uid="{CB88A236-60B9-44DF-B3A1-177F31E5C29E}"/>
    <hyperlink ref="M293" r:id="rId287" xr:uid="{3EA3C5A2-2188-4B16-AAF7-C26D7C266F90}"/>
    <hyperlink ref="M295" r:id="rId288" xr:uid="{B77CF913-DD86-43E3-B3AE-DA299B65D7A8}"/>
    <hyperlink ref="M297" r:id="rId289" xr:uid="{00D2E107-01A1-438E-8188-003F761FD3F1}"/>
    <hyperlink ref="M298" r:id="rId290" xr:uid="{984E8A5A-295D-4490-9640-EB42B66BBCF8}"/>
    <hyperlink ref="M299" r:id="rId291" xr:uid="{49F5CA74-E5B8-4849-B3E9-A65BAA0FC57F}"/>
    <hyperlink ref="M300" r:id="rId292" xr:uid="{6790B6F7-D1EF-4EF9-B8ED-6264488D2AE7}"/>
    <hyperlink ref="M301" r:id="rId293" xr:uid="{EB615E22-E07D-4A17-9C3A-0168548BE376}"/>
    <hyperlink ref="M302" r:id="rId294" xr:uid="{A0952B77-BBD8-46C8-99C6-4061F57C5F96}"/>
    <hyperlink ref="M303" r:id="rId295" xr:uid="{FCAB15D0-73BF-4026-A1E9-E731279D2FDC}"/>
    <hyperlink ref="M304" r:id="rId296" xr:uid="{1BDD4274-9C5D-4759-8FFA-1D3C2E9CD571}"/>
    <hyperlink ref="M305" r:id="rId297" xr:uid="{72837C96-79C1-4DB4-807A-D80ED9983DE9}"/>
    <hyperlink ref="M307" r:id="rId298" xr:uid="{1E76E470-5E70-48E4-9990-CA50F252CAA3}"/>
    <hyperlink ref="M309" r:id="rId299" xr:uid="{200E0FC2-5D55-4305-B90D-FC88BEFE74A6}"/>
    <hyperlink ref="M310" r:id="rId300" xr:uid="{AD517969-2A2C-44CC-934F-D22E83A7EAB0}"/>
    <hyperlink ref="M311" r:id="rId301" xr:uid="{7F1A89D1-5153-41AD-80D9-AD4665673E89}"/>
    <hyperlink ref="M312" r:id="rId302" xr:uid="{8C419C95-38F7-4ADC-A59B-ACE190CB7D27}"/>
    <hyperlink ref="M313" r:id="rId303" xr:uid="{3A43CE9A-1C45-4E29-89A8-46FC797236FF}"/>
    <hyperlink ref="M314" r:id="rId304" xr:uid="{F36FE219-303C-492F-BD8B-9A343D62B021}"/>
    <hyperlink ref="M315" r:id="rId305" xr:uid="{C8C3B26B-F9EB-4C23-9A2C-69D01BFEB33D}"/>
    <hyperlink ref="M316" r:id="rId306" xr:uid="{C66D28F8-1179-4FED-9471-97CD4549F7B8}"/>
    <hyperlink ref="M317" r:id="rId307" xr:uid="{2E66C910-10E0-49A4-956F-5ACE7381C1C3}"/>
    <hyperlink ref="M318" r:id="rId308" xr:uid="{F481304E-44F1-4B79-8561-F0E53E8ADB44}"/>
    <hyperlink ref="M319" r:id="rId309" xr:uid="{86CF114E-C35B-4A39-AA1B-076EB24F3A93}"/>
    <hyperlink ref="M320" r:id="rId310" xr:uid="{0982B9EF-73D8-42D6-AF0A-84B4ECBBA6D2}"/>
    <hyperlink ref="M40" r:id="rId311" xr:uid="{46923522-A565-4D7E-ADEB-BF4D5135928D}"/>
    <hyperlink ref="M42" r:id="rId312" xr:uid="{1E59BDD5-DCCA-42A0-B51A-26CA2640C3B7}"/>
    <hyperlink ref="M68" r:id="rId313" xr:uid="{E33796A4-0D52-417E-8F99-96E4E25D5606}"/>
    <hyperlink ref="M91" r:id="rId314" xr:uid="{68CA1137-EE2B-4369-A80E-675953F9FA1D}"/>
    <hyperlink ref="M93" r:id="rId315" xr:uid="{092DE6F0-B8D3-4B14-A820-3644A0FF42D8}"/>
    <hyperlink ref="M94" r:id="rId316" xr:uid="{56FFD37C-FAF3-48CF-A8E6-D40DF6FD4B0C}"/>
    <hyperlink ref="M95" r:id="rId317" xr:uid="{F9F2A280-2DA7-4F17-A77C-B2262FC17238}"/>
    <hyperlink ref="M97" r:id="rId318" xr:uid="{D5681833-9C7C-4AC4-B842-2A008D2E9512}"/>
    <hyperlink ref="M99" r:id="rId319" xr:uid="{46292EC9-1E75-4B02-81F8-1DFBEA82B3E2}"/>
  </hyperlinks>
  <pageMargins left="0.511811024" right="0.511811024" top="0.78740157499999996" bottom="0.78740157499999996" header="0.31496062000000002" footer="0.31496062000000002"/>
  <tableParts count="1">
    <tablePart r:id="rId320"/>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3849-E864-4A8E-AA2D-FCE6EE4E6E88}">
  <sheetPr>
    <tabColor rgb="FF7030A0"/>
  </sheetPr>
  <dimension ref="A1:MU153"/>
  <sheetViews>
    <sheetView showGridLines="0" tabSelected="1" zoomScaleNormal="100" workbookViewId="0">
      <pane ySplit="4" topLeftCell="A10" activePane="bottomLeft" state="frozen"/>
      <selection pane="bottomLeft" activeCell="G4" sqref="G4"/>
    </sheetView>
  </sheetViews>
  <sheetFormatPr defaultColWidth="17.88671875" defaultRowHeight="13.8" x14ac:dyDescent="0.25"/>
  <cols>
    <col min="1" max="1" width="21.33203125" style="22" customWidth="1"/>
    <col min="2" max="2" width="7.6640625" style="22" bestFit="1" customWidth="1"/>
    <col min="3" max="3" width="7.6640625" style="29" customWidth="1"/>
    <col min="4" max="4" width="15" style="23" customWidth="1"/>
    <col min="5" max="5" width="15.44140625" style="23" bestFit="1" customWidth="1"/>
    <col min="6" max="6" width="15.6640625" style="29" customWidth="1"/>
    <col min="7" max="7" width="8.88671875" style="29" bestFit="1" customWidth="1"/>
    <col min="8" max="8" width="34.5546875" style="23" customWidth="1"/>
    <col min="9" max="9" width="17.6640625" style="23" hidden="1" customWidth="1"/>
    <col min="10" max="10" width="13.44140625" style="29" hidden="1" customWidth="1"/>
    <col min="11" max="11" width="17.88671875" style="23" customWidth="1"/>
    <col min="12" max="12" width="13.88671875" style="23" hidden="1" customWidth="1"/>
    <col min="13" max="14" width="17.88671875" style="23" customWidth="1"/>
    <col min="15" max="22" width="17.88671875" style="23" hidden="1" customWidth="1"/>
    <col min="23" max="23" width="17.88671875" style="23" customWidth="1"/>
    <col min="24" max="24" width="16" style="35" customWidth="1"/>
    <col min="25" max="25" width="8.44140625" style="35" customWidth="1"/>
    <col min="26" max="39" width="8.44140625" style="22" customWidth="1"/>
    <col min="40" max="40" width="8.33203125" style="22" bestFit="1" customWidth="1"/>
    <col min="41" max="329" width="7" style="22" customWidth="1"/>
    <col min="330" max="330" width="10.5546875" style="22" bestFit="1" customWidth="1"/>
    <col min="331" max="331" width="5.6640625" style="22" bestFit="1" customWidth="1"/>
    <col min="332" max="358" width="5.5546875" style="22" customWidth="1"/>
    <col min="359" max="359" width="9.33203125" style="28" customWidth="1"/>
    <col min="360" max="16384" width="17.88671875" style="22"/>
  </cols>
  <sheetData>
    <row r="1" spans="1:359" s="1" customFormat="1" x14ac:dyDescent="0.25">
      <c r="C1" s="2" t="s">
        <v>0</v>
      </c>
      <c r="D1" s="3"/>
      <c r="E1" s="314" t="s">
        <v>27147</v>
      </c>
      <c r="F1" s="314" t="s">
        <v>27147</v>
      </c>
      <c r="G1" s="314" t="s">
        <v>0</v>
      </c>
      <c r="H1" s="3"/>
      <c r="I1" s="2"/>
      <c r="J1" s="3"/>
      <c r="K1" s="3"/>
      <c r="L1" s="3"/>
      <c r="M1" s="3"/>
      <c r="N1" s="3"/>
      <c r="O1" s="3"/>
      <c r="P1" s="3"/>
      <c r="Q1" s="3"/>
      <c r="R1" s="3"/>
      <c r="S1" s="3"/>
      <c r="T1" s="3"/>
      <c r="U1" s="3"/>
      <c r="V1" s="3"/>
      <c r="W1" s="4" t="s">
        <v>26754</v>
      </c>
      <c r="X1" s="4" t="s">
        <v>26752</v>
      </c>
      <c r="Y1" s="15"/>
      <c r="AD1" s="221"/>
      <c r="AE1" s="5"/>
      <c r="AJ1" s="5"/>
      <c r="AN1" s="323"/>
      <c r="AO1" s="324"/>
      <c r="AP1" s="324"/>
      <c r="AQ1" s="324"/>
      <c r="AR1" s="324"/>
      <c r="AS1" s="324"/>
      <c r="AT1" s="324"/>
      <c r="AU1" s="324"/>
      <c r="AV1" s="324"/>
      <c r="AW1" s="324"/>
      <c r="AX1" s="324"/>
      <c r="AY1" s="324"/>
      <c r="AZ1" s="324"/>
      <c r="BA1" s="324"/>
      <c r="BB1" s="324"/>
      <c r="BC1" s="324"/>
      <c r="BD1" s="324"/>
      <c r="BE1" s="324"/>
      <c r="BF1" s="324"/>
      <c r="BG1" s="324"/>
      <c r="BH1" s="324"/>
      <c r="MU1" s="6"/>
    </row>
    <row r="2" spans="1:359" s="7" customFormat="1" x14ac:dyDescent="0.25">
      <c r="C2" s="8"/>
      <c r="D2" s="8"/>
      <c r="E2" s="315" t="s">
        <v>5</v>
      </c>
      <c r="F2" s="315" t="s">
        <v>5</v>
      </c>
      <c r="G2" s="315"/>
      <c r="H2" s="8"/>
      <c r="I2" s="8"/>
      <c r="J2" s="8"/>
      <c r="K2" s="8"/>
      <c r="L2" s="8"/>
      <c r="M2" s="8"/>
      <c r="N2" s="8"/>
      <c r="O2" s="8"/>
      <c r="P2" s="8"/>
      <c r="Q2" s="8"/>
      <c r="R2" s="8"/>
      <c r="S2" s="8"/>
      <c r="T2" s="8"/>
      <c r="U2" s="8"/>
      <c r="V2" s="8"/>
      <c r="W2" s="7" t="s">
        <v>5</v>
      </c>
      <c r="X2" s="7" t="s">
        <v>6</v>
      </c>
      <c r="Y2" s="222"/>
      <c r="Z2" s="10"/>
      <c r="AA2" s="10"/>
      <c r="AB2" s="10"/>
      <c r="AC2" s="10"/>
      <c r="AD2" s="11"/>
      <c r="AE2" s="9"/>
      <c r="AF2" s="10"/>
      <c r="AG2" s="10"/>
      <c r="AH2" s="10"/>
      <c r="AI2" s="11"/>
      <c r="AJ2" s="325" t="s">
        <v>7</v>
      </c>
      <c r="AK2" s="326"/>
      <c r="AL2" s="326"/>
      <c r="AM2" s="327"/>
      <c r="AN2" s="12"/>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MU2" s="14"/>
    </row>
    <row r="3" spans="1:359" s="1" customFormat="1" x14ac:dyDescent="0.25">
      <c r="C3" s="2" t="s">
        <v>8</v>
      </c>
      <c r="D3" s="3"/>
      <c r="E3" s="314" t="s">
        <v>9</v>
      </c>
      <c r="F3" s="314" t="s">
        <v>9</v>
      </c>
      <c r="G3" s="314" t="s">
        <v>8</v>
      </c>
      <c r="H3" s="3"/>
      <c r="I3" s="2"/>
      <c r="J3" s="3"/>
      <c r="K3" s="3"/>
      <c r="L3" s="3"/>
      <c r="M3" s="3"/>
      <c r="N3" s="3"/>
      <c r="O3" s="3"/>
      <c r="P3" s="3"/>
      <c r="Q3" s="3"/>
      <c r="R3" s="3"/>
      <c r="S3" s="3"/>
      <c r="T3" s="3"/>
      <c r="U3" s="3"/>
      <c r="V3" s="3"/>
      <c r="W3" s="4" t="s">
        <v>9</v>
      </c>
      <c r="X3" s="4" t="s">
        <v>10</v>
      </c>
      <c r="Y3" s="323" t="s">
        <v>11</v>
      </c>
      <c r="Z3" s="324"/>
      <c r="AA3" s="324"/>
      <c r="AB3" s="324"/>
      <c r="AC3" s="324"/>
      <c r="AD3" s="328"/>
      <c r="AE3" s="329" t="s">
        <v>12</v>
      </c>
      <c r="AF3" s="324"/>
      <c r="AG3" s="324"/>
      <c r="AH3" s="324"/>
      <c r="AI3" s="328"/>
      <c r="AJ3" s="329" t="s">
        <v>13</v>
      </c>
      <c r="AK3" s="324"/>
      <c r="AL3" s="324"/>
      <c r="AM3" s="330"/>
      <c r="AN3" s="15" t="s">
        <v>14</v>
      </c>
      <c r="AO3" s="1" t="s">
        <v>15</v>
      </c>
      <c r="AP3" s="1" t="s">
        <v>16</v>
      </c>
      <c r="AQ3" s="1" t="s">
        <v>17</v>
      </c>
      <c r="AR3" s="1" t="s">
        <v>18</v>
      </c>
      <c r="AS3" s="1" t="s">
        <v>19</v>
      </c>
      <c r="AT3" s="1" t="s">
        <v>20</v>
      </c>
      <c r="AU3" s="1" t="s">
        <v>21</v>
      </c>
      <c r="AV3" s="1" t="s">
        <v>22</v>
      </c>
      <c r="AW3" s="1" t="s">
        <v>23</v>
      </c>
      <c r="AX3" s="1" t="s">
        <v>24</v>
      </c>
      <c r="AY3" s="1" t="s">
        <v>25</v>
      </c>
      <c r="AZ3" s="1" t="s">
        <v>26</v>
      </c>
      <c r="BA3" s="1" t="s">
        <v>27</v>
      </c>
      <c r="BB3" s="1" t="s">
        <v>28</v>
      </c>
      <c r="BC3" s="1" t="s">
        <v>29</v>
      </c>
      <c r="BD3" s="1" t="s">
        <v>30</v>
      </c>
      <c r="BE3" s="1" t="s">
        <v>31</v>
      </c>
      <c r="BF3" s="1" t="s">
        <v>32</v>
      </c>
      <c r="BG3" s="1" t="s">
        <v>33</v>
      </c>
      <c r="BH3" s="1" t="s">
        <v>34</v>
      </c>
      <c r="BI3" s="1" t="s">
        <v>35</v>
      </c>
      <c r="BJ3" s="1" t="s">
        <v>36</v>
      </c>
      <c r="BK3" s="1" t="s">
        <v>37</v>
      </c>
      <c r="BL3" s="1" t="s">
        <v>38</v>
      </c>
      <c r="BM3" s="1" t="s">
        <v>39</v>
      </c>
      <c r="BN3" s="1" t="s">
        <v>40</v>
      </c>
      <c r="BO3" s="1" t="s">
        <v>41</v>
      </c>
      <c r="BP3" s="1" t="s">
        <v>42</v>
      </c>
      <c r="BQ3" s="1" t="s">
        <v>43</v>
      </c>
      <c r="BR3" s="1" t="s">
        <v>44</v>
      </c>
      <c r="BS3" s="1" t="s">
        <v>45</v>
      </c>
      <c r="BT3" s="1" t="s">
        <v>46</v>
      </c>
      <c r="BU3" s="1" t="s">
        <v>47</v>
      </c>
      <c r="BV3" s="1" t="s">
        <v>48</v>
      </c>
      <c r="BW3" s="1" t="s">
        <v>49</v>
      </c>
      <c r="BX3" s="1" t="s">
        <v>50</v>
      </c>
      <c r="BY3" s="1" t="s">
        <v>51</v>
      </c>
      <c r="BZ3" s="1" t="s">
        <v>52</v>
      </c>
      <c r="CA3" s="1" t="s">
        <v>53</v>
      </c>
      <c r="CB3" s="1" t="s">
        <v>54</v>
      </c>
      <c r="CC3" s="1" t="s">
        <v>55</v>
      </c>
      <c r="CD3" s="1" t="s">
        <v>56</v>
      </c>
      <c r="CE3" s="1" t="s">
        <v>57</v>
      </c>
      <c r="CF3" s="1" t="s">
        <v>58</v>
      </c>
      <c r="CG3" s="1" t="s">
        <v>59</v>
      </c>
      <c r="CH3" s="1" t="s">
        <v>60</v>
      </c>
      <c r="CI3" s="1" t="s">
        <v>61</v>
      </c>
      <c r="CJ3" s="1" t="s">
        <v>62</v>
      </c>
      <c r="CK3" s="1" t="s">
        <v>63</v>
      </c>
      <c r="CL3" s="1" t="s">
        <v>64</v>
      </c>
      <c r="CM3" s="1" t="s">
        <v>65</v>
      </c>
      <c r="CN3" s="1" t="s">
        <v>66</v>
      </c>
      <c r="CO3" s="1" t="s">
        <v>67</v>
      </c>
      <c r="CP3" s="1" t="s">
        <v>68</v>
      </c>
      <c r="CQ3" s="1" t="s">
        <v>69</v>
      </c>
      <c r="CR3" s="1" t="s">
        <v>70</v>
      </c>
      <c r="CS3" s="1" t="s">
        <v>71</v>
      </c>
      <c r="CT3" s="1" t="s">
        <v>72</v>
      </c>
      <c r="CU3" s="1" t="s">
        <v>73</v>
      </c>
      <c r="CV3" s="1" t="s">
        <v>74</v>
      </c>
      <c r="CW3" s="1" t="s">
        <v>75</v>
      </c>
      <c r="CX3" s="1" t="s">
        <v>76</v>
      </c>
      <c r="CY3" s="1" t="s">
        <v>77</v>
      </c>
      <c r="CZ3" s="1" t="s">
        <v>78</v>
      </c>
      <c r="DA3" s="1" t="s">
        <v>79</v>
      </c>
      <c r="DB3" s="1" t="s">
        <v>80</v>
      </c>
      <c r="DC3" s="1" t="s">
        <v>81</v>
      </c>
      <c r="DD3" s="1" t="s">
        <v>82</v>
      </c>
      <c r="DE3" s="1" t="s">
        <v>83</v>
      </c>
      <c r="DF3" s="1" t="s">
        <v>84</v>
      </c>
      <c r="DG3" s="1" t="s">
        <v>85</v>
      </c>
      <c r="DH3" s="1" t="s">
        <v>86</v>
      </c>
      <c r="DI3" s="1" t="s">
        <v>87</v>
      </c>
      <c r="DJ3" s="1" t="s">
        <v>88</v>
      </c>
      <c r="DK3" s="1" t="s">
        <v>89</v>
      </c>
      <c r="DL3" s="1" t="s">
        <v>90</v>
      </c>
      <c r="DM3" s="1" t="s">
        <v>91</v>
      </c>
      <c r="DN3" s="1" t="s">
        <v>92</v>
      </c>
      <c r="DO3" s="1" t="s">
        <v>93</v>
      </c>
      <c r="DP3" s="1" t="s">
        <v>94</v>
      </c>
      <c r="DQ3" s="1" t="s">
        <v>95</v>
      </c>
      <c r="DR3" s="1" t="s">
        <v>96</v>
      </c>
      <c r="DS3" s="1" t="s">
        <v>97</v>
      </c>
      <c r="DT3" s="1" t="s">
        <v>98</v>
      </c>
      <c r="DU3" s="1" t="s">
        <v>99</v>
      </c>
      <c r="DV3" s="1" t="s">
        <v>100</v>
      </c>
      <c r="DW3" s="1" t="s">
        <v>101</v>
      </c>
      <c r="DX3" s="1" t="s">
        <v>102</v>
      </c>
      <c r="DY3" s="1" t="s">
        <v>103</v>
      </c>
      <c r="DZ3" s="1" t="s">
        <v>104</v>
      </c>
      <c r="EA3" s="1" t="s">
        <v>105</v>
      </c>
      <c r="EB3" s="1" t="s">
        <v>106</v>
      </c>
      <c r="EC3" s="1" t="s">
        <v>107</v>
      </c>
      <c r="ED3" s="1" t="s">
        <v>108</v>
      </c>
      <c r="EE3" s="1" t="s">
        <v>109</v>
      </c>
      <c r="EF3" s="1" t="s">
        <v>110</v>
      </c>
      <c r="EG3" s="1" t="s">
        <v>111</v>
      </c>
      <c r="EH3" s="1" t="s">
        <v>112</v>
      </c>
      <c r="EI3" s="1" t="s">
        <v>113</v>
      </c>
      <c r="EJ3" s="1" t="s">
        <v>114</v>
      </c>
      <c r="EK3" s="1" t="s">
        <v>115</v>
      </c>
      <c r="EL3" s="1" t="s">
        <v>116</v>
      </c>
      <c r="EM3" s="1" t="s">
        <v>117</v>
      </c>
      <c r="EN3" s="1" t="s">
        <v>118</v>
      </c>
      <c r="EO3" s="1" t="s">
        <v>119</v>
      </c>
      <c r="EP3" s="1" t="s">
        <v>120</v>
      </c>
      <c r="EQ3" s="1" t="s">
        <v>121</v>
      </c>
      <c r="ER3" s="1" t="s">
        <v>122</v>
      </c>
      <c r="ES3" s="1" t="s">
        <v>123</v>
      </c>
      <c r="ET3" s="1" t="s">
        <v>124</v>
      </c>
      <c r="EU3" s="1" t="s">
        <v>125</v>
      </c>
      <c r="EV3" s="1" t="s">
        <v>126</v>
      </c>
      <c r="EW3" s="1" t="s">
        <v>127</v>
      </c>
      <c r="EX3" s="1" t="s">
        <v>128</v>
      </c>
      <c r="EY3" s="1" t="s">
        <v>129</v>
      </c>
      <c r="EZ3" s="1" t="s">
        <v>130</v>
      </c>
      <c r="FA3" s="1" t="s">
        <v>131</v>
      </c>
      <c r="FB3" s="1" t="s">
        <v>132</v>
      </c>
      <c r="FC3" s="1" t="s">
        <v>133</v>
      </c>
      <c r="FD3" s="1" t="s">
        <v>134</v>
      </c>
      <c r="FE3" s="1" t="s">
        <v>135</v>
      </c>
      <c r="FF3" s="1" t="s">
        <v>136</v>
      </c>
      <c r="FG3" s="1" t="s">
        <v>137</v>
      </c>
      <c r="FH3" s="1" t="s">
        <v>138</v>
      </c>
      <c r="FI3" s="1" t="s">
        <v>139</v>
      </c>
      <c r="FJ3" s="1" t="s">
        <v>140</v>
      </c>
      <c r="FK3" s="1" t="s">
        <v>141</v>
      </c>
      <c r="FL3" s="1" t="s">
        <v>142</v>
      </c>
      <c r="FM3" s="1" t="s">
        <v>143</v>
      </c>
      <c r="FN3" s="1" t="s">
        <v>144</v>
      </c>
      <c r="FO3" s="1" t="s">
        <v>145</v>
      </c>
      <c r="FP3" s="1" t="s">
        <v>146</v>
      </c>
      <c r="FQ3" s="1" t="s">
        <v>147</v>
      </c>
      <c r="FR3" s="1" t="s">
        <v>148</v>
      </c>
      <c r="FS3" s="1" t="s">
        <v>149</v>
      </c>
      <c r="FT3" s="1" t="s">
        <v>150</v>
      </c>
      <c r="FU3" s="1" t="s">
        <v>151</v>
      </c>
      <c r="FV3" s="1" t="s">
        <v>152</v>
      </c>
      <c r="FW3" s="1" t="s">
        <v>153</v>
      </c>
      <c r="FX3" s="1" t="s">
        <v>154</v>
      </c>
      <c r="FY3" s="1" t="s">
        <v>155</v>
      </c>
      <c r="FZ3" s="1" t="s">
        <v>156</v>
      </c>
      <c r="GA3" s="1" t="s">
        <v>157</v>
      </c>
      <c r="GB3" s="1" t="s">
        <v>158</v>
      </c>
      <c r="GC3" s="1" t="s">
        <v>159</v>
      </c>
      <c r="GD3" s="1" t="s">
        <v>160</v>
      </c>
      <c r="GE3" s="1" t="s">
        <v>161</v>
      </c>
      <c r="GF3" s="1" t="s">
        <v>162</v>
      </c>
      <c r="GG3" s="1" t="s">
        <v>163</v>
      </c>
      <c r="GH3" s="1" t="s">
        <v>164</v>
      </c>
      <c r="GI3" s="1" t="s">
        <v>165</v>
      </c>
      <c r="GJ3" s="1" t="s">
        <v>166</v>
      </c>
      <c r="GK3" s="1" t="s">
        <v>167</v>
      </c>
      <c r="GL3" s="1" t="s">
        <v>168</v>
      </c>
      <c r="GM3" s="1" t="s">
        <v>169</v>
      </c>
      <c r="GN3" s="1" t="s">
        <v>170</v>
      </c>
      <c r="GO3" s="1" t="s">
        <v>171</v>
      </c>
      <c r="GP3" s="1" t="s">
        <v>172</v>
      </c>
      <c r="GQ3" s="1" t="s">
        <v>173</v>
      </c>
      <c r="GR3" s="1" t="s">
        <v>174</v>
      </c>
      <c r="GS3" s="1" t="s">
        <v>175</v>
      </c>
      <c r="GT3" s="1" t="s">
        <v>176</v>
      </c>
      <c r="GU3" s="1" t="s">
        <v>177</v>
      </c>
      <c r="GV3" s="1" t="s">
        <v>178</v>
      </c>
      <c r="GW3" s="1" t="s">
        <v>179</v>
      </c>
      <c r="GX3" s="1" t="s">
        <v>180</v>
      </c>
      <c r="GY3" s="1" t="s">
        <v>181</v>
      </c>
      <c r="GZ3" s="1" t="s">
        <v>182</v>
      </c>
      <c r="HA3" s="1" t="s">
        <v>183</v>
      </c>
      <c r="HB3" s="1" t="s">
        <v>184</v>
      </c>
      <c r="HC3" s="1" t="s">
        <v>185</v>
      </c>
      <c r="HD3" s="1" t="s">
        <v>186</v>
      </c>
      <c r="HE3" s="1" t="s">
        <v>187</v>
      </c>
      <c r="HF3" s="1" t="s">
        <v>188</v>
      </c>
      <c r="HG3" s="1" t="s">
        <v>189</v>
      </c>
      <c r="HH3" s="1" t="s">
        <v>190</v>
      </c>
      <c r="HI3" s="1" t="s">
        <v>191</v>
      </c>
      <c r="HJ3" s="1" t="s">
        <v>192</v>
      </c>
      <c r="HK3" s="1" t="s">
        <v>193</v>
      </c>
      <c r="HL3" s="1" t="s">
        <v>194</v>
      </c>
      <c r="HM3" s="1" t="s">
        <v>195</v>
      </c>
      <c r="HN3" s="1" t="s">
        <v>196</v>
      </c>
      <c r="HO3" s="1" t="s">
        <v>197</v>
      </c>
      <c r="HP3" s="1" t="s">
        <v>198</v>
      </c>
      <c r="HQ3" s="1" t="s">
        <v>199</v>
      </c>
      <c r="HR3" s="1" t="s">
        <v>200</v>
      </c>
      <c r="HS3" s="1" t="s">
        <v>201</v>
      </c>
      <c r="HT3" s="1" t="s">
        <v>202</v>
      </c>
      <c r="HU3" s="1" t="s">
        <v>203</v>
      </c>
      <c r="HV3" s="1" t="s">
        <v>204</v>
      </c>
      <c r="HW3" s="1" t="s">
        <v>205</v>
      </c>
      <c r="HX3" s="1" t="s">
        <v>206</v>
      </c>
      <c r="HY3" s="1" t="s">
        <v>207</v>
      </c>
      <c r="HZ3" s="1" t="s">
        <v>208</v>
      </c>
      <c r="IA3" s="1" t="s">
        <v>209</v>
      </c>
      <c r="IB3" s="1" t="s">
        <v>210</v>
      </c>
      <c r="IC3" s="1" t="s">
        <v>211</v>
      </c>
      <c r="ID3" s="1" t="s">
        <v>212</v>
      </c>
      <c r="IE3" s="1" t="s">
        <v>213</v>
      </c>
      <c r="IF3" s="1" t="s">
        <v>214</v>
      </c>
      <c r="IG3" s="1" t="s">
        <v>215</v>
      </c>
      <c r="IH3" s="1" t="s">
        <v>216</v>
      </c>
      <c r="II3" s="1" t="s">
        <v>217</v>
      </c>
      <c r="IJ3" s="1" t="s">
        <v>218</v>
      </c>
      <c r="IK3" s="1" t="s">
        <v>219</v>
      </c>
      <c r="IL3" s="1" t="s">
        <v>220</v>
      </c>
      <c r="IM3" s="1" t="s">
        <v>221</v>
      </c>
      <c r="IN3" s="1" t="s">
        <v>222</v>
      </c>
      <c r="IO3" s="1" t="s">
        <v>223</v>
      </c>
      <c r="IP3" s="1" t="s">
        <v>224</v>
      </c>
      <c r="IQ3" s="1" t="s">
        <v>225</v>
      </c>
      <c r="IR3" s="1" t="s">
        <v>226</v>
      </c>
      <c r="IS3" s="1" t="s">
        <v>227</v>
      </c>
      <c r="IT3" s="1" t="s">
        <v>228</v>
      </c>
      <c r="IU3" s="1" t="s">
        <v>229</v>
      </c>
      <c r="IV3" s="1" t="s">
        <v>230</v>
      </c>
      <c r="IW3" s="1" t="s">
        <v>231</v>
      </c>
      <c r="IX3" s="1" t="s">
        <v>232</v>
      </c>
      <c r="IY3" s="1" t="s">
        <v>233</v>
      </c>
      <c r="IZ3" s="1" t="s">
        <v>234</v>
      </c>
      <c r="JA3" s="1" t="s">
        <v>235</v>
      </c>
      <c r="JB3" s="1" t="s">
        <v>236</v>
      </c>
      <c r="JC3" s="1" t="s">
        <v>237</v>
      </c>
      <c r="JD3" s="1" t="s">
        <v>238</v>
      </c>
      <c r="JE3" s="1" t="s">
        <v>239</v>
      </c>
      <c r="JF3" s="1" t="s">
        <v>240</v>
      </c>
      <c r="JG3" s="1" t="s">
        <v>241</v>
      </c>
      <c r="JH3" s="1" t="s">
        <v>242</v>
      </c>
      <c r="JI3" s="1" t="s">
        <v>243</v>
      </c>
      <c r="JJ3" s="1" t="s">
        <v>244</v>
      </c>
      <c r="JK3" s="1" t="s">
        <v>245</v>
      </c>
      <c r="JL3" s="1" t="s">
        <v>246</v>
      </c>
      <c r="JM3" s="1" t="s">
        <v>247</v>
      </c>
      <c r="JN3" s="1" t="s">
        <v>248</v>
      </c>
      <c r="JO3" s="1" t="s">
        <v>249</v>
      </c>
      <c r="JP3" s="1" t="s">
        <v>250</v>
      </c>
      <c r="JQ3" s="1" t="s">
        <v>251</v>
      </c>
      <c r="JR3" s="1" t="s">
        <v>252</v>
      </c>
      <c r="JS3" s="1" t="s">
        <v>253</v>
      </c>
      <c r="JT3" s="1" t="s">
        <v>254</v>
      </c>
      <c r="JU3" s="1" t="s">
        <v>255</v>
      </c>
      <c r="JV3" s="1" t="s">
        <v>256</v>
      </c>
      <c r="JW3" s="1" t="s">
        <v>257</v>
      </c>
      <c r="JX3" s="1" t="s">
        <v>258</v>
      </c>
      <c r="JY3" s="1" t="s">
        <v>259</v>
      </c>
      <c r="JZ3" s="1" t="s">
        <v>260</v>
      </c>
      <c r="KA3" s="1" t="s">
        <v>261</v>
      </c>
      <c r="KB3" s="1" t="s">
        <v>262</v>
      </c>
      <c r="KC3" s="1" t="s">
        <v>263</v>
      </c>
      <c r="KD3" s="1" t="s">
        <v>264</v>
      </c>
      <c r="KE3" s="1" t="s">
        <v>265</v>
      </c>
      <c r="KF3" s="1" t="s">
        <v>266</v>
      </c>
      <c r="KG3" s="1" t="s">
        <v>267</v>
      </c>
      <c r="KH3" s="1" t="s">
        <v>268</v>
      </c>
      <c r="KI3" s="1" t="s">
        <v>269</v>
      </c>
      <c r="KJ3" s="1" t="s">
        <v>270</v>
      </c>
      <c r="KK3" s="1" t="s">
        <v>271</v>
      </c>
      <c r="KL3" s="1" t="s">
        <v>272</v>
      </c>
      <c r="KM3" s="1" t="s">
        <v>273</v>
      </c>
      <c r="KN3" s="1" t="s">
        <v>274</v>
      </c>
      <c r="KO3" s="1" t="s">
        <v>275</v>
      </c>
      <c r="KP3" s="1" t="s">
        <v>276</v>
      </c>
      <c r="KQ3" s="1" t="s">
        <v>277</v>
      </c>
      <c r="KR3" s="1" t="s">
        <v>278</v>
      </c>
      <c r="KS3" s="1" t="s">
        <v>279</v>
      </c>
      <c r="KT3" s="1" t="s">
        <v>280</v>
      </c>
      <c r="KU3" s="1" t="s">
        <v>281</v>
      </c>
      <c r="KV3" s="1" t="s">
        <v>282</v>
      </c>
      <c r="KW3" s="1" t="s">
        <v>283</v>
      </c>
      <c r="KX3" s="1" t="s">
        <v>284</v>
      </c>
      <c r="KY3" s="1" t="s">
        <v>285</v>
      </c>
      <c r="KZ3" s="1" t="s">
        <v>286</v>
      </c>
      <c r="LA3" s="1" t="s">
        <v>287</v>
      </c>
      <c r="LB3" s="1" t="s">
        <v>288</v>
      </c>
      <c r="LC3" s="1" t="s">
        <v>289</v>
      </c>
      <c r="LD3" s="1" t="s">
        <v>290</v>
      </c>
      <c r="LE3" s="1" t="s">
        <v>291</v>
      </c>
      <c r="LF3" s="1" t="s">
        <v>292</v>
      </c>
      <c r="LG3" s="1" t="s">
        <v>293</v>
      </c>
      <c r="LH3" s="1" t="s">
        <v>294</v>
      </c>
      <c r="LI3" s="1" t="s">
        <v>295</v>
      </c>
      <c r="LJ3" s="1" t="s">
        <v>296</v>
      </c>
      <c r="LK3" s="1" t="s">
        <v>297</v>
      </c>
      <c r="LL3" s="1" t="s">
        <v>298</v>
      </c>
      <c r="LM3" s="1" t="s">
        <v>299</v>
      </c>
      <c r="LN3" s="1" t="s">
        <v>300</v>
      </c>
      <c r="LO3" s="1" t="s">
        <v>301</v>
      </c>
      <c r="LP3" s="1" t="s">
        <v>302</v>
      </c>
      <c r="LQ3" s="1" t="s">
        <v>303</v>
      </c>
      <c r="LR3" s="1" t="s">
        <v>304</v>
      </c>
      <c r="LS3" s="1" t="s">
        <v>305</v>
      </c>
      <c r="LT3" s="1" t="s">
        <v>306</v>
      </c>
      <c r="LU3" s="1" t="s">
        <v>307</v>
      </c>
      <c r="LV3" s="1" t="s">
        <v>308</v>
      </c>
      <c r="LW3" s="1" t="s">
        <v>17315</v>
      </c>
      <c r="LX3" s="1" t="s">
        <v>17318</v>
      </c>
      <c r="LY3" s="1" t="s">
        <v>17319</v>
      </c>
      <c r="LZ3" s="1" t="s">
        <v>17320</v>
      </c>
      <c r="MA3" s="1" t="s">
        <v>17321</v>
      </c>
      <c r="MB3" s="1" t="s">
        <v>17322</v>
      </c>
      <c r="MC3" s="1" t="s">
        <v>17323</v>
      </c>
      <c r="MD3" s="1" t="s">
        <v>17324</v>
      </c>
      <c r="ME3" s="1" t="s">
        <v>17325</v>
      </c>
      <c r="MF3" s="1" t="s">
        <v>17326</v>
      </c>
      <c r="MG3" s="1" t="s">
        <v>17327</v>
      </c>
      <c r="MH3" s="1" t="s">
        <v>17328</v>
      </c>
      <c r="MI3" s="1" t="s">
        <v>17329</v>
      </c>
      <c r="MJ3" s="1" t="s">
        <v>17330</v>
      </c>
      <c r="MK3" s="1" t="s">
        <v>17331</v>
      </c>
      <c r="ML3" s="1" t="s">
        <v>17369</v>
      </c>
      <c r="MM3" s="1" t="s">
        <v>17370</v>
      </c>
      <c r="MN3" s="1" t="s">
        <v>17371</v>
      </c>
      <c r="MO3" s="1" t="s">
        <v>17372</v>
      </c>
      <c r="MP3" s="1" t="s">
        <v>17373</v>
      </c>
      <c r="MQ3" s="1" t="s">
        <v>17398</v>
      </c>
      <c r="MR3" s="1" t="s">
        <v>25522</v>
      </c>
      <c r="MS3" s="1" t="s">
        <v>25525</v>
      </c>
      <c r="MT3" s="1" t="s">
        <v>25532</v>
      </c>
      <c r="MU3" s="6"/>
    </row>
    <row r="4" spans="1:359" s="16" customFormat="1" ht="107.4" customHeight="1" x14ac:dyDescent="0.3">
      <c r="A4" s="16" t="s">
        <v>309</v>
      </c>
      <c r="B4" s="16" t="s">
        <v>310</v>
      </c>
      <c r="C4" s="16" t="s">
        <v>311</v>
      </c>
      <c r="D4" s="17" t="s">
        <v>312</v>
      </c>
      <c r="E4" s="16" t="s">
        <v>313</v>
      </c>
      <c r="F4" s="16" t="s">
        <v>314</v>
      </c>
      <c r="G4" s="16" t="s">
        <v>1724</v>
      </c>
      <c r="H4" t="s">
        <v>315</v>
      </c>
      <c r="I4" t="s">
        <v>316</v>
      </c>
      <c r="J4" t="s">
        <v>317</v>
      </c>
      <c r="K4" t="s">
        <v>318</v>
      </c>
      <c r="L4" t="s">
        <v>319</v>
      </c>
      <c r="M4" t="s">
        <v>320</v>
      </c>
      <c r="N4" t="s">
        <v>321</v>
      </c>
      <c r="O4" t="s">
        <v>322</v>
      </c>
      <c r="P4" t="s">
        <v>323</v>
      </c>
      <c r="Q4" t="s">
        <v>324</v>
      </c>
      <c r="R4" t="s">
        <v>325</v>
      </c>
      <c r="S4" t="s">
        <v>326</v>
      </c>
      <c r="T4" t="s">
        <v>327</v>
      </c>
      <c r="U4" t="s">
        <v>328</v>
      </c>
      <c r="V4" t="s">
        <v>329</v>
      </c>
      <c r="W4" s="16" t="s">
        <v>330</v>
      </c>
      <c r="X4" s="16" t="s">
        <v>331</v>
      </c>
      <c r="Y4" s="20" t="s">
        <v>332</v>
      </c>
      <c r="Z4" s="16" t="s">
        <v>333</v>
      </c>
      <c r="AA4" s="16" t="s">
        <v>334</v>
      </c>
      <c r="AB4" s="16" t="s">
        <v>335</v>
      </c>
      <c r="AC4" s="16" t="s">
        <v>336</v>
      </c>
      <c r="AD4" s="223" t="s">
        <v>337</v>
      </c>
      <c r="AE4" s="19" t="s">
        <v>338</v>
      </c>
      <c r="AF4" s="16" t="s">
        <v>339</v>
      </c>
      <c r="AG4" s="16" t="s">
        <v>340</v>
      </c>
      <c r="AH4" s="16" t="s">
        <v>341</v>
      </c>
      <c r="AI4" s="16" t="s">
        <v>342</v>
      </c>
      <c r="AJ4" s="19" t="s">
        <v>343</v>
      </c>
      <c r="AK4" s="16" t="s">
        <v>344</v>
      </c>
      <c r="AL4" s="16" t="s">
        <v>345</v>
      </c>
      <c r="AM4" s="16" t="s">
        <v>346</v>
      </c>
      <c r="AN4" s="20" t="s">
        <v>347</v>
      </c>
      <c r="AO4" s="16" t="s">
        <v>348</v>
      </c>
      <c r="AP4" s="16" t="s">
        <v>349</v>
      </c>
      <c r="AQ4" s="16" t="s">
        <v>350</v>
      </c>
      <c r="AR4" s="16" t="s">
        <v>351</v>
      </c>
      <c r="AS4" s="16" t="s">
        <v>352</v>
      </c>
      <c r="AT4" s="16" t="s">
        <v>353</v>
      </c>
      <c r="AU4" s="16" t="s">
        <v>354</v>
      </c>
      <c r="AV4" s="16" t="s">
        <v>355</v>
      </c>
      <c r="AW4" s="16" t="s">
        <v>356</v>
      </c>
      <c r="AX4" s="16" t="s">
        <v>357</v>
      </c>
      <c r="AY4" s="16" t="s">
        <v>358</v>
      </c>
      <c r="AZ4" s="16" t="s">
        <v>16839</v>
      </c>
      <c r="BA4" s="16" t="s">
        <v>360</v>
      </c>
      <c r="BB4" s="16" t="s">
        <v>361</v>
      </c>
      <c r="BC4" s="16" t="s">
        <v>362</v>
      </c>
      <c r="BD4" s="16" t="s">
        <v>363</v>
      </c>
      <c r="BE4" s="16" t="s">
        <v>364</v>
      </c>
      <c r="BF4" s="16" t="s">
        <v>365</v>
      </c>
      <c r="BG4" s="16" t="s">
        <v>366</v>
      </c>
      <c r="BH4" s="16" t="s">
        <v>16874</v>
      </c>
      <c r="BI4" s="16" t="s">
        <v>368</v>
      </c>
      <c r="BJ4" s="16" t="s">
        <v>369</v>
      </c>
      <c r="BK4" s="16" t="s">
        <v>370</v>
      </c>
      <c r="BL4" s="16" t="s">
        <v>371</v>
      </c>
      <c r="BM4" s="16" t="s">
        <v>372</v>
      </c>
      <c r="BN4" s="16" t="s">
        <v>373</v>
      </c>
      <c r="BO4" s="16" t="s">
        <v>374</v>
      </c>
      <c r="BP4" s="16" t="s">
        <v>375</v>
      </c>
      <c r="BQ4" s="16" t="s">
        <v>376</v>
      </c>
      <c r="BR4" s="16" t="s">
        <v>377</v>
      </c>
      <c r="BS4" s="16" t="s">
        <v>378</v>
      </c>
      <c r="BT4" s="16" t="s">
        <v>16907</v>
      </c>
      <c r="BU4" s="16" t="s">
        <v>25551</v>
      </c>
      <c r="BV4" s="16" t="s">
        <v>381</v>
      </c>
      <c r="BW4" s="16" t="s">
        <v>382</v>
      </c>
      <c r="BX4" s="16" t="s">
        <v>383</v>
      </c>
      <c r="BY4" s="16" t="s">
        <v>384</v>
      </c>
      <c r="BZ4" s="16" t="s">
        <v>385</v>
      </c>
      <c r="CA4" s="16" t="s">
        <v>386</v>
      </c>
      <c r="CB4" s="16" t="s">
        <v>387</v>
      </c>
      <c r="CC4" s="16" t="s">
        <v>388</v>
      </c>
      <c r="CD4" s="16" t="s">
        <v>389</v>
      </c>
      <c r="CE4" s="16" t="s">
        <v>390</v>
      </c>
      <c r="CF4" s="16" t="s">
        <v>391</v>
      </c>
      <c r="CG4" s="16" t="s">
        <v>392</v>
      </c>
      <c r="CH4" s="16" t="s">
        <v>16922</v>
      </c>
      <c r="CI4" s="16" t="s">
        <v>394</v>
      </c>
      <c r="CJ4" s="16" t="s">
        <v>395</v>
      </c>
      <c r="CK4" s="16" t="s">
        <v>396</v>
      </c>
      <c r="CL4" s="16" t="s">
        <v>397</v>
      </c>
      <c r="CM4" s="16" t="s">
        <v>17361</v>
      </c>
      <c r="CN4" s="16" t="s">
        <v>399</v>
      </c>
      <c r="CO4" s="16" t="s">
        <v>400</v>
      </c>
      <c r="CP4" s="16" t="s">
        <v>401</v>
      </c>
      <c r="CQ4" s="16" t="s">
        <v>402</v>
      </c>
      <c r="CR4" s="16" t="s">
        <v>403</v>
      </c>
      <c r="CS4" s="16" t="s">
        <v>404</v>
      </c>
      <c r="CT4" s="16" t="s">
        <v>405</v>
      </c>
      <c r="CU4" s="16" t="s">
        <v>406</v>
      </c>
      <c r="CV4" s="16" t="s">
        <v>407</v>
      </c>
      <c r="CW4" s="16" t="s">
        <v>408</v>
      </c>
      <c r="CX4" s="16" t="s">
        <v>409</v>
      </c>
      <c r="CY4" s="16" t="s">
        <v>410</v>
      </c>
      <c r="CZ4" s="16" t="s">
        <v>411</v>
      </c>
      <c r="DA4" s="16" t="s">
        <v>412</v>
      </c>
      <c r="DB4" s="16" t="s">
        <v>413</v>
      </c>
      <c r="DC4" s="16" t="s">
        <v>16979</v>
      </c>
      <c r="DD4" s="16" t="s">
        <v>415</v>
      </c>
      <c r="DE4" s="16" t="s">
        <v>416</v>
      </c>
      <c r="DF4" s="16" t="s">
        <v>16987</v>
      </c>
      <c r="DG4" s="16" t="s">
        <v>418</v>
      </c>
      <c r="DH4" s="16" t="s">
        <v>419</v>
      </c>
      <c r="DI4" s="16" t="s">
        <v>420</v>
      </c>
      <c r="DJ4" s="16" t="s">
        <v>421</v>
      </c>
      <c r="DK4" s="16" t="s">
        <v>422</v>
      </c>
      <c r="DL4" s="16" t="s">
        <v>423</v>
      </c>
      <c r="DM4" s="16" t="s">
        <v>424</v>
      </c>
      <c r="DN4" s="16" t="s">
        <v>425</v>
      </c>
      <c r="DO4" s="16" t="s">
        <v>25576</v>
      </c>
      <c r="DP4" s="16" t="s">
        <v>25580</v>
      </c>
      <c r="DQ4" s="16" t="s">
        <v>25585</v>
      </c>
      <c r="DR4" s="16" t="s">
        <v>25586</v>
      </c>
      <c r="DS4" s="16" t="s">
        <v>430</v>
      </c>
      <c r="DT4" s="16" t="s">
        <v>431</v>
      </c>
      <c r="DU4" s="16" t="s">
        <v>432</v>
      </c>
      <c r="DV4" s="16" t="s">
        <v>433</v>
      </c>
      <c r="DW4" s="16" t="s">
        <v>434</v>
      </c>
      <c r="DX4" s="16" t="s">
        <v>435</v>
      </c>
      <c r="DY4" s="16" t="s">
        <v>436</v>
      </c>
      <c r="DZ4" s="16" t="s">
        <v>437</v>
      </c>
      <c r="EA4" s="16" t="s">
        <v>438</v>
      </c>
      <c r="EB4" s="16" t="s">
        <v>439</v>
      </c>
      <c r="EC4" s="16" t="s">
        <v>440</v>
      </c>
      <c r="ED4" s="16" t="s">
        <v>441</v>
      </c>
      <c r="EE4" s="16" t="s">
        <v>17037</v>
      </c>
      <c r="EF4" s="16" t="s">
        <v>17041</v>
      </c>
      <c r="EG4" s="16" t="s">
        <v>444</v>
      </c>
      <c r="EH4" s="16" t="s">
        <v>445</v>
      </c>
      <c r="EI4" s="16" t="s">
        <v>446</v>
      </c>
      <c r="EJ4" s="16" t="s">
        <v>447</v>
      </c>
      <c r="EK4" s="16" t="s">
        <v>448</v>
      </c>
      <c r="EL4" s="16" t="s">
        <v>449</v>
      </c>
      <c r="EM4" s="16" t="s">
        <v>450</v>
      </c>
      <c r="EN4" s="16" t="s">
        <v>451</v>
      </c>
      <c r="EO4" s="16" t="s">
        <v>452</v>
      </c>
      <c r="EP4" s="16" t="s">
        <v>453</v>
      </c>
      <c r="EQ4" s="16" t="s">
        <v>25602</v>
      </c>
      <c r="ER4" s="16" t="s">
        <v>25606</v>
      </c>
      <c r="ES4" s="16" t="s">
        <v>456</v>
      </c>
      <c r="ET4" s="16" t="s">
        <v>457</v>
      </c>
      <c r="EU4" s="16" t="s">
        <v>458</v>
      </c>
      <c r="EV4" s="16" t="s">
        <v>459</v>
      </c>
      <c r="EW4" s="16" t="s">
        <v>460</v>
      </c>
      <c r="EX4" s="16" t="s">
        <v>461</v>
      </c>
      <c r="EY4" s="16" t="s">
        <v>462</v>
      </c>
      <c r="EZ4" s="16" t="s">
        <v>463</v>
      </c>
      <c r="FA4" s="16" t="s">
        <v>464</v>
      </c>
      <c r="FB4" s="16" t="s">
        <v>465</v>
      </c>
      <c r="FC4" s="16" t="s">
        <v>466</v>
      </c>
      <c r="FD4" s="16" t="s">
        <v>467</v>
      </c>
      <c r="FE4" s="16" t="s">
        <v>468</v>
      </c>
      <c r="FF4" s="16" t="s">
        <v>469</v>
      </c>
      <c r="FG4" s="16" t="s">
        <v>17345</v>
      </c>
      <c r="FH4" s="16" t="s">
        <v>471</v>
      </c>
      <c r="FI4" s="16" t="s">
        <v>472</v>
      </c>
      <c r="FJ4" s="16" t="s">
        <v>473</v>
      </c>
      <c r="FK4" s="16" t="s">
        <v>474</v>
      </c>
      <c r="FL4" s="16" t="s">
        <v>475</v>
      </c>
      <c r="FM4" s="16" t="s">
        <v>476</v>
      </c>
      <c r="FN4" s="16" t="s">
        <v>477</v>
      </c>
      <c r="FO4" s="16" t="s">
        <v>478</v>
      </c>
      <c r="FP4" s="16" t="s">
        <v>479</v>
      </c>
      <c r="FQ4" s="16" t="s">
        <v>480</v>
      </c>
      <c r="FR4" s="16" t="s">
        <v>481</v>
      </c>
      <c r="FS4" s="16" t="s">
        <v>25639</v>
      </c>
      <c r="FT4" s="16" t="s">
        <v>483</v>
      </c>
      <c r="FU4" s="16" t="s">
        <v>484</v>
      </c>
      <c r="FV4" s="16" t="s">
        <v>485</v>
      </c>
      <c r="FW4" s="16" t="s">
        <v>486</v>
      </c>
      <c r="FX4" s="16" t="s">
        <v>487</v>
      </c>
      <c r="FY4" s="16" t="s">
        <v>17107</v>
      </c>
      <c r="FZ4" s="16" t="s">
        <v>489</v>
      </c>
      <c r="GA4" s="16" t="s">
        <v>490</v>
      </c>
      <c r="GB4" s="16" t="s">
        <v>17114</v>
      </c>
      <c r="GC4" s="16" t="s">
        <v>492</v>
      </c>
      <c r="GD4" s="16" t="s">
        <v>493</v>
      </c>
      <c r="GE4" s="16" t="s">
        <v>494</v>
      </c>
      <c r="GF4" s="16" t="s">
        <v>495</v>
      </c>
      <c r="GG4" s="16" t="s">
        <v>496</v>
      </c>
      <c r="GH4" s="16" t="s">
        <v>497</v>
      </c>
      <c r="GI4" s="16" t="s">
        <v>498</v>
      </c>
      <c r="GJ4" s="16" t="s">
        <v>499</v>
      </c>
      <c r="GK4" s="16" t="s">
        <v>500</v>
      </c>
      <c r="GL4" s="16" t="s">
        <v>501</v>
      </c>
      <c r="GM4" s="16" t="s">
        <v>502</v>
      </c>
      <c r="GN4" s="16" t="s">
        <v>17133</v>
      </c>
      <c r="GO4" s="16" t="s">
        <v>504</v>
      </c>
      <c r="GP4" s="16" t="s">
        <v>505</v>
      </c>
      <c r="GQ4" s="16" t="s">
        <v>506</v>
      </c>
      <c r="GR4" s="16" t="s">
        <v>507</v>
      </c>
      <c r="GS4" s="16" t="s">
        <v>508</v>
      </c>
      <c r="GT4" s="16" t="s">
        <v>17141</v>
      </c>
      <c r="GU4" s="16" t="s">
        <v>510</v>
      </c>
      <c r="GV4" s="16" t="s">
        <v>511</v>
      </c>
      <c r="GW4" s="16" t="s">
        <v>512</v>
      </c>
      <c r="GX4" s="16" t="s">
        <v>513</v>
      </c>
      <c r="GY4" s="16" t="s">
        <v>514</v>
      </c>
      <c r="GZ4" s="16" t="s">
        <v>515</v>
      </c>
      <c r="HA4" s="16" t="s">
        <v>516</v>
      </c>
      <c r="HB4" s="16" t="s">
        <v>517</v>
      </c>
      <c r="HC4" s="16" t="s">
        <v>518</v>
      </c>
      <c r="HD4" s="16" t="s">
        <v>519</v>
      </c>
      <c r="HE4" s="16" t="s">
        <v>520</v>
      </c>
      <c r="HF4" s="16" t="s">
        <v>521</v>
      </c>
      <c r="HG4" s="16" t="s">
        <v>522</v>
      </c>
      <c r="HH4" s="16" t="s">
        <v>523</v>
      </c>
      <c r="HI4" s="16" t="s">
        <v>524</v>
      </c>
      <c r="HJ4" s="16" t="s">
        <v>25690</v>
      </c>
      <c r="HK4" s="16" t="s">
        <v>526</v>
      </c>
      <c r="HL4" s="16" t="s">
        <v>25695</v>
      </c>
      <c r="HM4" s="16" t="s">
        <v>528</v>
      </c>
      <c r="HN4" s="16" t="s">
        <v>25699</v>
      </c>
      <c r="HO4" s="16" t="s">
        <v>530</v>
      </c>
      <c r="HP4" s="16" t="s">
        <v>531</v>
      </c>
      <c r="HQ4" s="16" t="s">
        <v>25705</v>
      </c>
      <c r="HR4" s="16" t="s">
        <v>533</v>
      </c>
      <c r="HS4" s="16" t="s">
        <v>534</v>
      </c>
      <c r="HT4" s="16" t="s">
        <v>535</v>
      </c>
      <c r="HU4" s="16" t="s">
        <v>536</v>
      </c>
      <c r="HV4" s="16" t="s">
        <v>17149</v>
      </c>
      <c r="HW4" s="16" t="s">
        <v>25711</v>
      </c>
      <c r="HX4" s="16" t="s">
        <v>17153</v>
      </c>
      <c r="HY4" s="16" t="s">
        <v>25716</v>
      </c>
      <c r="HZ4" s="16" t="s">
        <v>17154</v>
      </c>
      <c r="IA4" s="16" t="s">
        <v>542</v>
      </c>
      <c r="IB4" s="16" t="s">
        <v>17155</v>
      </c>
      <c r="IC4" s="16" t="s">
        <v>544</v>
      </c>
      <c r="ID4" s="16" t="s">
        <v>25726</v>
      </c>
      <c r="IE4" s="16" t="s">
        <v>546</v>
      </c>
      <c r="IF4" s="16" t="s">
        <v>547</v>
      </c>
      <c r="IG4" s="16" t="s">
        <v>548</v>
      </c>
      <c r="IH4" s="16" t="s">
        <v>549</v>
      </c>
      <c r="II4" s="16" t="s">
        <v>550</v>
      </c>
      <c r="IJ4" s="16" t="s">
        <v>551</v>
      </c>
      <c r="IK4" s="16" t="s">
        <v>552</v>
      </c>
      <c r="IL4" s="16" t="s">
        <v>553</v>
      </c>
      <c r="IM4" s="16" t="s">
        <v>25735</v>
      </c>
      <c r="IN4" s="16" t="s">
        <v>555</v>
      </c>
      <c r="IO4" s="16" t="s">
        <v>556</v>
      </c>
      <c r="IP4" s="16" t="s">
        <v>4</v>
      </c>
      <c r="IQ4" s="16" t="s">
        <v>557</v>
      </c>
      <c r="IR4" s="16" t="s">
        <v>558</v>
      </c>
      <c r="IS4" s="16" t="s">
        <v>559</v>
      </c>
      <c r="IT4" s="16" t="s">
        <v>560</v>
      </c>
      <c r="IU4" s="16" t="s">
        <v>561</v>
      </c>
      <c r="IV4" s="16" t="s">
        <v>562</v>
      </c>
      <c r="IW4" s="16" t="s">
        <v>563</v>
      </c>
      <c r="IX4" s="16" t="s">
        <v>17181</v>
      </c>
      <c r="IY4" s="16" t="s">
        <v>565</v>
      </c>
      <c r="IZ4" s="16" t="s">
        <v>566</v>
      </c>
      <c r="JA4" s="16" t="s">
        <v>567</v>
      </c>
      <c r="JB4" s="16" t="s">
        <v>568</v>
      </c>
      <c r="JC4" s="16" t="s">
        <v>569</v>
      </c>
      <c r="JD4" s="16" t="s">
        <v>570</v>
      </c>
      <c r="JE4" s="16" t="s">
        <v>571</v>
      </c>
      <c r="JF4" s="16" t="s">
        <v>572</v>
      </c>
      <c r="JG4" s="16" t="s">
        <v>573</v>
      </c>
      <c r="JH4" s="16" t="s">
        <v>574</v>
      </c>
      <c r="JI4" s="16" t="s">
        <v>575</v>
      </c>
      <c r="JJ4" s="16" t="s">
        <v>576</v>
      </c>
      <c r="JK4" s="16" t="s">
        <v>577</v>
      </c>
      <c r="JL4" s="16" t="s">
        <v>578</v>
      </c>
      <c r="JM4" s="16" t="s">
        <v>579</v>
      </c>
      <c r="JN4" s="16" t="s">
        <v>580</v>
      </c>
      <c r="JO4" s="16" t="s">
        <v>581</v>
      </c>
      <c r="JP4" s="16" t="s">
        <v>582</v>
      </c>
      <c r="JQ4" s="16" t="s">
        <v>17236</v>
      </c>
      <c r="JR4" s="16" t="s">
        <v>584</v>
      </c>
      <c r="JS4" s="16" t="s">
        <v>585</v>
      </c>
      <c r="JT4" s="16" t="s">
        <v>586</v>
      </c>
      <c r="JU4" s="16" t="s">
        <v>587</v>
      </c>
      <c r="JV4" s="16" t="s">
        <v>588</v>
      </c>
      <c r="JW4" s="16" t="s">
        <v>589</v>
      </c>
      <c r="JX4" s="16" t="s">
        <v>17256</v>
      </c>
      <c r="JY4" s="16" t="s">
        <v>17362</v>
      </c>
      <c r="JZ4" s="16" t="s">
        <v>592</v>
      </c>
      <c r="KA4" s="16" t="s">
        <v>26043</v>
      </c>
      <c r="KB4" s="16" t="s">
        <v>594</v>
      </c>
      <c r="KC4" s="16" t="s">
        <v>595</v>
      </c>
      <c r="KD4" s="16" t="s">
        <v>596</v>
      </c>
      <c r="KE4" s="16" t="s">
        <v>597</v>
      </c>
      <c r="KF4" s="16" t="s">
        <v>17344</v>
      </c>
      <c r="KG4" s="16" t="s">
        <v>17271</v>
      </c>
      <c r="KH4" s="16" t="s">
        <v>26040</v>
      </c>
      <c r="KI4" s="16" t="s">
        <v>25765</v>
      </c>
      <c r="KJ4" s="16" t="s">
        <v>602</v>
      </c>
      <c r="KK4" s="16" t="s">
        <v>603</v>
      </c>
      <c r="KL4" s="16" t="s">
        <v>17276</v>
      </c>
      <c r="KM4" s="16" t="s">
        <v>605</v>
      </c>
      <c r="KN4" s="16" t="s">
        <v>17279</v>
      </c>
      <c r="KO4" s="16" t="s">
        <v>25773</v>
      </c>
      <c r="KP4" s="16" t="s">
        <v>608</v>
      </c>
      <c r="KQ4" s="16" t="s">
        <v>609</v>
      </c>
      <c r="KR4" s="16" t="s">
        <v>610</v>
      </c>
      <c r="KS4" s="16" t="s">
        <v>611</v>
      </c>
      <c r="KT4" s="16" t="s">
        <v>612</v>
      </c>
      <c r="KU4" s="16" t="s">
        <v>25810</v>
      </c>
      <c r="KV4" s="16" t="s">
        <v>17289</v>
      </c>
      <c r="KW4" s="16" t="s">
        <v>17290</v>
      </c>
      <c r="KX4" s="16" t="s">
        <v>17291</v>
      </c>
      <c r="KY4" s="16" t="s">
        <v>25816</v>
      </c>
      <c r="KZ4" s="16" t="s">
        <v>25819</v>
      </c>
      <c r="LA4" s="16" t="s">
        <v>619</v>
      </c>
      <c r="LB4" s="16" t="s">
        <v>620</v>
      </c>
      <c r="LC4" s="16" t="s">
        <v>25869</v>
      </c>
      <c r="LD4" s="16" t="s">
        <v>622</v>
      </c>
      <c r="LE4" s="16" t="s">
        <v>623</v>
      </c>
      <c r="LF4" s="16" t="s">
        <v>624</v>
      </c>
      <c r="LG4" s="16" t="s">
        <v>625</v>
      </c>
      <c r="LH4" s="16" t="s">
        <v>17300</v>
      </c>
      <c r="LI4" s="16" t="s">
        <v>627</v>
      </c>
      <c r="LJ4" s="16" t="s">
        <v>628</v>
      </c>
      <c r="LK4" s="16" t="s">
        <v>629</v>
      </c>
      <c r="LL4" s="16" t="s">
        <v>630</v>
      </c>
      <c r="LM4" s="16" t="s">
        <v>631</v>
      </c>
      <c r="LN4" s="16" t="s">
        <v>632</v>
      </c>
      <c r="LO4" s="16" t="s">
        <v>633</v>
      </c>
      <c r="LP4" s="16" t="s">
        <v>634</v>
      </c>
      <c r="LQ4" s="21" t="s">
        <v>635</v>
      </c>
      <c r="LR4" s="21" t="s">
        <v>636</v>
      </c>
      <c r="LS4" s="21" t="s">
        <v>637</v>
      </c>
      <c r="LT4" s="21" t="s">
        <v>25833</v>
      </c>
      <c r="LU4" s="21" t="s">
        <v>639</v>
      </c>
      <c r="LV4" s="21" t="s">
        <v>640</v>
      </c>
      <c r="LW4" s="21" t="s">
        <v>17316</v>
      </c>
      <c r="LX4" s="21" t="s">
        <v>25800</v>
      </c>
      <c r="LY4" s="21" t="s">
        <v>17333</v>
      </c>
      <c r="LZ4" s="21" t="s">
        <v>17334</v>
      </c>
      <c r="MA4" s="21" t="s">
        <v>25799</v>
      </c>
      <c r="MB4" s="21" t="s">
        <v>17337</v>
      </c>
      <c r="MC4" s="21" t="s">
        <v>17340</v>
      </c>
      <c r="MD4" s="21" t="s">
        <v>17341</v>
      </c>
      <c r="ME4" s="21" t="s">
        <v>17360</v>
      </c>
      <c r="MF4" s="21" t="s">
        <v>17350</v>
      </c>
      <c r="MG4" s="21" t="s">
        <v>17353</v>
      </c>
      <c r="MH4" s="21" t="s">
        <v>17355</v>
      </c>
      <c r="MI4" s="21" t="s">
        <v>17357</v>
      </c>
      <c r="MJ4" s="21" t="s">
        <v>17366</v>
      </c>
      <c r="MK4" s="21" t="s">
        <v>17367</v>
      </c>
      <c r="ML4" s="21" t="s">
        <v>17374</v>
      </c>
      <c r="MM4" s="21" t="s">
        <v>17375</v>
      </c>
      <c r="MN4" s="21" t="s">
        <v>17376</v>
      </c>
      <c r="MO4" s="21" t="s">
        <v>17377</v>
      </c>
      <c r="MP4" s="21" t="s">
        <v>17378</v>
      </c>
      <c r="MQ4" s="21" t="s">
        <v>25808</v>
      </c>
      <c r="MR4" s="21" t="s">
        <v>25524</v>
      </c>
      <c r="MS4" s="21" t="s">
        <v>25526</v>
      </c>
      <c r="MT4" s="21" t="s">
        <v>25533</v>
      </c>
      <c r="MU4" s="18" t="s">
        <v>641</v>
      </c>
    </row>
    <row r="5" spans="1:359" s="23" customFormat="1" hidden="1" x14ac:dyDescent="0.25">
      <c r="A5" s="22" t="s">
        <v>642</v>
      </c>
      <c r="B5" s="23" t="s">
        <v>643</v>
      </c>
      <c r="C5" s="23">
        <v>0</v>
      </c>
      <c r="D5" s="23" t="s">
        <v>644</v>
      </c>
      <c r="E5" s="23">
        <v>1</v>
      </c>
      <c r="F5" s="23" t="s">
        <v>645</v>
      </c>
      <c r="G5" s="24"/>
      <c r="H5" s="23" t="s">
        <v>646</v>
      </c>
      <c r="I5" s="25" t="s">
        <v>647</v>
      </c>
      <c r="J5" s="25" t="s">
        <v>648</v>
      </c>
      <c r="K5" s="25" t="s">
        <v>649</v>
      </c>
      <c r="L5" s="25"/>
      <c r="M5" s="25">
        <v>2012</v>
      </c>
      <c r="N5" s="25" t="s">
        <v>650</v>
      </c>
      <c r="O5" s="25">
        <v>11</v>
      </c>
      <c r="P5" s="25" t="s">
        <v>651</v>
      </c>
      <c r="Q5" s="25"/>
      <c r="R5" s="25" t="s">
        <v>652</v>
      </c>
      <c r="S5" s="25" t="s">
        <v>653</v>
      </c>
      <c r="T5" s="25" t="s">
        <v>654</v>
      </c>
      <c r="U5" s="25" t="s">
        <v>655</v>
      </c>
      <c r="V5" s="25" t="s">
        <v>644</v>
      </c>
      <c r="Y5" s="27"/>
      <c r="AD5" s="224"/>
      <c r="AE5" s="26"/>
      <c r="AJ5" s="26"/>
      <c r="AN5" s="27"/>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c r="EN5" s="22"/>
      <c r="EO5" s="22"/>
      <c r="EP5" s="22"/>
      <c r="EQ5" s="22"/>
      <c r="ER5" s="22"/>
      <c r="ES5" s="22"/>
      <c r="ET5" s="22"/>
      <c r="EU5" s="22"/>
      <c r="EV5" s="22"/>
      <c r="EW5" s="22"/>
      <c r="EX5" s="22"/>
      <c r="EY5" s="22"/>
      <c r="EZ5" s="22"/>
      <c r="FA5" s="22"/>
      <c r="FB5" s="22"/>
      <c r="FC5" s="22"/>
      <c r="FD5" s="22"/>
      <c r="FE5" s="22"/>
      <c r="FF5" s="22"/>
      <c r="FG5" s="22"/>
      <c r="FH5" s="22"/>
      <c r="FI5" s="22"/>
      <c r="FJ5" s="22"/>
      <c r="FK5" s="22"/>
      <c r="FL5" s="22"/>
      <c r="FM5" s="22"/>
      <c r="FN5" s="22"/>
      <c r="FO5" s="22"/>
      <c r="FP5" s="22"/>
      <c r="FQ5" s="22"/>
      <c r="FR5" s="22"/>
      <c r="FS5" s="22"/>
      <c r="FT5" s="22"/>
      <c r="FU5" s="22"/>
      <c r="FV5" s="22"/>
      <c r="FW5" s="22"/>
      <c r="FX5" s="22"/>
      <c r="FY5" s="22"/>
      <c r="FZ5" s="22"/>
      <c r="GA5" s="22"/>
      <c r="GB5" s="22"/>
      <c r="GC5" s="22"/>
      <c r="GD5" s="22"/>
      <c r="GE5" s="22"/>
      <c r="GF5" s="22"/>
      <c r="GG5" s="22"/>
      <c r="GH5" s="22"/>
      <c r="GI5" s="22"/>
      <c r="GJ5" s="22"/>
      <c r="GK5" s="22"/>
      <c r="GL5" s="22"/>
      <c r="GM5" s="22"/>
      <c r="GN5" s="22"/>
      <c r="GO5" s="22"/>
      <c r="GP5" s="22"/>
      <c r="GQ5" s="22"/>
      <c r="GR5" s="22"/>
      <c r="GS5" s="22"/>
      <c r="GT5" s="22"/>
      <c r="GU5" s="22"/>
      <c r="GV5" s="22"/>
      <c r="GW5" s="22"/>
      <c r="GX5" s="22"/>
      <c r="GY5" s="22"/>
      <c r="GZ5" s="22"/>
      <c r="HA5" s="22"/>
      <c r="HB5" s="22"/>
      <c r="HC5" s="22"/>
      <c r="HD5" s="22"/>
      <c r="HE5" s="22"/>
      <c r="HF5" s="22"/>
      <c r="HG5" s="22"/>
      <c r="HH5" s="22"/>
      <c r="HI5" s="22"/>
      <c r="HJ5" s="22"/>
      <c r="HK5" s="22"/>
      <c r="HL5" s="22"/>
      <c r="HM5" s="22"/>
      <c r="HN5" s="22"/>
      <c r="HO5" s="22"/>
      <c r="HP5" s="22"/>
      <c r="HQ5" s="22"/>
      <c r="HR5" s="22"/>
      <c r="HS5" s="22"/>
      <c r="HT5" s="22"/>
      <c r="HU5" s="22"/>
      <c r="HV5" s="22"/>
      <c r="HW5" s="22"/>
      <c r="HX5" s="22"/>
      <c r="HY5" s="22"/>
      <c r="HZ5" s="22"/>
      <c r="IA5" s="22"/>
      <c r="IB5" s="22"/>
      <c r="IC5" s="22"/>
      <c r="ID5" s="22"/>
      <c r="IE5" s="22"/>
      <c r="IF5" s="22"/>
      <c r="IG5" s="22"/>
      <c r="IH5" s="22"/>
      <c r="II5" s="22"/>
      <c r="IJ5" s="22"/>
      <c r="IK5" s="22"/>
      <c r="IL5" s="22"/>
      <c r="IM5" s="22"/>
      <c r="IN5" s="22"/>
      <c r="IO5" s="22"/>
      <c r="IP5" s="22"/>
      <c r="IQ5" s="22"/>
      <c r="IR5" s="22"/>
      <c r="IS5" s="22"/>
      <c r="IT5" s="22" t="s">
        <v>656</v>
      </c>
      <c r="IU5" s="22" t="s">
        <v>657</v>
      </c>
      <c r="IV5" s="22" t="s">
        <v>658</v>
      </c>
      <c r="IW5" s="22" t="s">
        <v>659</v>
      </c>
      <c r="IX5" s="22"/>
      <c r="IY5" s="22"/>
      <c r="IZ5" s="22"/>
      <c r="JA5" s="22"/>
      <c r="JB5" s="22"/>
      <c r="JC5" s="22"/>
      <c r="JD5" s="22"/>
      <c r="JE5" s="22"/>
      <c r="JF5" s="22"/>
      <c r="JG5" s="22"/>
      <c r="JH5" s="22"/>
      <c r="JI5" s="22"/>
      <c r="JJ5" s="22"/>
      <c r="JK5" s="22"/>
      <c r="JL5" s="22"/>
      <c r="JM5" s="22"/>
      <c r="JN5" s="22"/>
      <c r="JO5" s="22"/>
      <c r="JP5" s="22"/>
      <c r="JQ5" s="22"/>
      <c r="JR5" s="22"/>
      <c r="JS5" s="22"/>
      <c r="JT5" s="22"/>
      <c r="JU5" s="22"/>
      <c r="JV5" s="22"/>
      <c r="JW5" s="22"/>
      <c r="JX5" s="22"/>
      <c r="JY5" s="22"/>
      <c r="JZ5" s="22"/>
      <c r="KA5" s="22"/>
      <c r="KB5" s="22"/>
      <c r="KC5" s="22"/>
      <c r="KD5" s="22"/>
      <c r="KE5" s="22"/>
      <c r="KF5" s="22"/>
      <c r="KG5" s="22"/>
      <c r="KH5" s="22"/>
      <c r="KI5" s="22"/>
      <c r="KJ5" s="22"/>
      <c r="KK5" s="22"/>
      <c r="KL5" s="22"/>
      <c r="KM5" s="22"/>
      <c r="KN5" s="22"/>
      <c r="KO5" s="22"/>
      <c r="KP5" s="22"/>
      <c r="KQ5" s="22"/>
      <c r="KR5" s="22"/>
      <c r="KS5" s="22"/>
      <c r="KT5" s="22"/>
      <c r="KU5" s="22"/>
      <c r="KV5" s="22"/>
      <c r="KW5" s="22"/>
      <c r="KX5" s="22"/>
      <c r="KY5" s="22"/>
      <c r="KZ5" s="22"/>
      <c r="LA5" s="22"/>
      <c r="LB5" s="22"/>
      <c r="LC5" s="22"/>
      <c r="LD5" s="22"/>
      <c r="LE5" s="22"/>
      <c r="LF5" s="22"/>
      <c r="LG5" s="22"/>
      <c r="LH5" s="22"/>
      <c r="LI5" s="22"/>
      <c r="LJ5" s="22"/>
      <c r="LK5" s="22"/>
      <c r="LL5" s="22"/>
      <c r="LM5" s="22"/>
      <c r="LN5" s="22"/>
      <c r="LO5" s="22"/>
      <c r="LP5" s="22"/>
      <c r="LQ5" s="22"/>
      <c r="LR5" s="22"/>
      <c r="LS5" s="22"/>
      <c r="LT5" s="22"/>
      <c r="LU5" s="22"/>
      <c r="LV5" s="22"/>
      <c r="LW5" s="22"/>
      <c r="LX5" s="22"/>
      <c r="LY5" s="22"/>
      <c r="LZ5" s="22"/>
      <c r="MA5" s="22"/>
      <c r="MB5" s="22"/>
      <c r="MC5" s="22"/>
      <c r="MD5" s="22"/>
      <c r="ME5" s="22"/>
      <c r="MF5" s="22"/>
      <c r="MG5" s="22"/>
      <c r="MH5" s="22"/>
      <c r="MI5" s="22"/>
      <c r="MJ5" s="22"/>
      <c r="MK5" s="22"/>
      <c r="ML5" s="22"/>
      <c r="MM5" s="22"/>
      <c r="MN5" s="22"/>
      <c r="MO5" s="22"/>
      <c r="MP5" s="22"/>
      <c r="MQ5" s="22"/>
      <c r="MR5" s="22"/>
      <c r="MS5" s="22"/>
      <c r="MT5" s="22"/>
      <c r="MU5" s="28">
        <f>SUM(Tabela7[[#This Row],[Communication]:[Training of DevOps activities]])</f>
        <v>0</v>
      </c>
    </row>
    <row r="6" spans="1:359" s="23" customFormat="1" hidden="1" x14ac:dyDescent="0.25">
      <c r="A6" s="22" t="s">
        <v>660</v>
      </c>
      <c r="B6" s="23" t="s">
        <v>661</v>
      </c>
      <c r="C6" s="29">
        <v>1</v>
      </c>
      <c r="D6" s="23" t="s">
        <v>644</v>
      </c>
      <c r="E6" s="29">
        <v>1</v>
      </c>
      <c r="F6" s="29" t="s">
        <v>645</v>
      </c>
      <c r="G6" s="29">
        <v>0</v>
      </c>
      <c r="H6" s="23" t="s">
        <v>662</v>
      </c>
      <c r="I6" s="30" t="s">
        <v>663</v>
      </c>
      <c r="J6" s="30" t="s">
        <v>664</v>
      </c>
      <c r="K6" s="30" t="s">
        <v>665</v>
      </c>
      <c r="L6" s="30"/>
      <c r="M6" s="30">
        <v>2019</v>
      </c>
      <c r="N6" s="30" t="s">
        <v>666</v>
      </c>
      <c r="O6" s="30"/>
      <c r="P6" s="30" t="s">
        <v>667</v>
      </c>
      <c r="Q6" s="30"/>
      <c r="R6" s="30" t="s">
        <v>668</v>
      </c>
      <c r="S6" s="30" t="s">
        <v>669</v>
      </c>
      <c r="T6" s="30" t="s">
        <v>646</v>
      </c>
      <c r="U6" s="30" t="s">
        <v>670</v>
      </c>
      <c r="V6" s="30" t="s">
        <v>644</v>
      </c>
      <c r="W6" s="29"/>
      <c r="X6" s="29"/>
      <c r="Y6" s="32"/>
      <c r="Z6" s="29"/>
      <c r="AA6" s="29"/>
      <c r="AB6" s="29"/>
      <c r="AC6" s="29"/>
      <c r="AD6" s="225"/>
      <c r="AE6" s="31"/>
      <c r="AF6" s="29"/>
      <c r="AG6" s="29"/>
      <c r="AH6" s="29"/>
      <c r="AI6" s="29"/>
      <c r="AJ6" s="31"/>
      <c r="AK6" s="29"/>
      <c r="AL6" s="29"/>
      <c r="AM6" s="29"/>
      <c r="AN6" s="32"/>
      <c r="AO6" s="29"/>
      <c r="AP6" s="29"/>
      <c r="AQ6" s="29"/>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c r="EN6" s="22"/>
      <c r="EO6" s="22"/>
      <c r="EP6" s="22"/>
      <c r="EQ6" s="22"/>
      <c r="ER6" s="22"/>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22"/>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22"/>
      <c r="HW6" s="22"/>
      <c r="HX6" s="22"/>
      <c r="HY6" s="22"/>
      <c r="HZ6" s="22"/>
      <c r="IA6" s="22"/>
      <c r="IB6" s="22"/>
      <c r="IC6" s="22"/>
      <c r="ID6" s="22"/>
      <c r="IE6" s="22"/>
      <c r="IF6" s="22"/>
      <c r="IG6" s="22"/>
      <c r="IH6" s="22"/>
      <c r="II6" s="22"/>
      <c r="IJ6" s="22"/>
      <c r="IK6" s="22"/>
      <c r="IL6" s="22"/>
      <c r="IM6" s="22"/>
      <c r="IN6" s="22"/>
      <c r="IO6" s="22"/>
      <c r="IP6" s="22"/>
      <c r="IQ6" s="22"/>
      <c r="IR6" s="22"/>
      <c r="IS6" s="22"/>
      <c r="IT6" s="22"/>
      <c r="IU6" s="22"/>
      <c r="IV6" s="22"/>
      <c r="IW6" s="22"/>
      <c r="IX6" s="22"/>
      <c r="IY6" s="22"/>
      <c r="IZ6" s="22"/>
      <c r="JA6" s="22"/>
      <c r="JB6" s="22"/>
      <c r="JC6" s="22"/>
      <c r="JD6" s="22"/>
      <c r="JE6" s="22"/>
      <c r="JF6" s="22"/>
      <c r="JG6" s="22"/>
      <c r="JH6" s="22"/>
      <c r="JI6" s="22"/>
      <c r="JJ6" s="22"/>
      <c r="JK6" s="22"/>
      <c r="JL6" s="22"/>
      <c r="JM6" s="22"/>
      <c r="JN6" s="22"/>
      <c r="JO6" s="22"/>
      <c r="JP6" s="22"/>
      <c r="JQ6" s="22"/>
      <c r="JR6" s="22"/>
      <c r="JS6" s="22"/>
      <c r="JT6" s="22"/>
      <c r="JU6" s="22"/>
      <c r="JV6" s="22"/>
      <c r="JW6" s="22"/>
      <c r="JX6" s="22"/>
      <c r="JY6" s="22"/>
      <c r="JZ6" s="22"/>
      <c r="KA6" s="22"/>
      <c r="KB6" s="22"/>
      <c r="KC6" s="22"/>
      <c r="KD6" s="22"/>
      <c r="KE6" s="22"/>
      <c r="KF6" s="22"/>
      <c r="KG6" s="22"/>
      <c r="KH6" s="22"/>
      <c r="KI6" s="22"/>
      <c r="KJ6" s="22"/>
      <c r="KK6" s="22"/>
      <c r="KL6" s="22"/>
      <c r="KM6" s="22"/>
      <c r="KN6" s="22"/>
      <c r="KO6" s="22"/>
      <c r="KP6" s="22"/>
      <c r="KQ6" s="22"/>
      <c r="KR6" s="22"/>
      <c r="KS6" s="22"/>
      <c r="KT6" s="22"/>
      <c r="KU6" s="22"/>
      <c r="KV6" s="22"/>
      <c r="KW6" s="22"/>
      <c r="KX6" s="22"/>
      <c r="KY6" s="22"/>
      <c r="KZ6" s="22"/>
      <c r="LA6" s="22"/>
      <c r="LB6" s="22"/>
      <c r="LC6" s="22"/>
      <c r="LD6" s="22"/>
      <c r="LE6" s="22"/>
      <c r="LF6" s="22"/>
      <c r="LG6" s="22"/>
      <c r="LH6" s="22"/>
      <c r="LI6" s="22"/>
      <c r="LJ6" s="22"/>
      <c r="LK6" s="22"/>
      <c r="LL6" s="22"/>
      <c r="LM6" s="22"/>
      <c r="LN6" s="22"/>
      <c r="LO6" s="22"/>
      <c r="LP6" s="22"/>
      <c r="LQ6" s="22"/>
      <c r="LR6" s="22"/>
      <c r="LS6" s="22"/>
      <c r="LT6" s="22"/>
      <c r="LU6" s="22"/>
      <c r="LV6" s="22"/>
      <c r="LW6" s="22"/>
      <c r="LX6" s="22"/>
      <c r="LY6" s="22"/>
      <c r="LZ6" s="22"/>
      <c r="MA6" s="22"/>
      <c r="MB6" s="22"/>
      <c r="MC6" s="22"/>
      <c r="MD6" s="22"/>
      <c r="ME6" s="22"/>
      <c r="MF6" s="22"/>
      <c r="MG6" s="22"/>
      <c r="MH6" s="22"/>
      <c r="MI6" s="22"/>
      <c r="MJ6" s="22"/>
      <c r="MK6" s="22"/>
      <c r="ML6" s="22"/>
      <c r="MM6" s="22"/>
      <c r="MN6" s="22"/>
      <c r="MO6" s="22"/>
      <c r="MP6" s="22"/>
      <c r="MQ6" s="22"/>
      <c r="MR6" s="22"/>
      <c r="MS6" s="22"/>
      <c r="MT6" s="22"/>
      <c r="MU6" s="28">
        <f>SUM(Tabela7[[#This Row],[Communication]:[Training of DevOps activities]])</f>
        <v>0</v>
      </c>
    </row>
    <row r="7" spans="1:359" s="23" customFormat="1" hidden="1" x14ac:dyDescent="0.25">
      <c r="A7" s="22" t="s">
        <v>671</v>
      </c>
      <c r="B7" s="23" t="s">
        <v>672</v>
      </c>
      <c r="C7" s="29">
        <v>1</v>
      </c>
      <c r="D7" s="23" t="s">
        <v>644</v>
      </c>
      <c r="E7" s="29">
        <v>1</v>
      </c>
      <c r="F7" s="29" t="s">
        <v>645</v>
      </c>
      <c r="G7" s="29">
        <v>0</v>
      </c>
      <c r="H7" s="23" t="s">
        <v>673</v>
      </c>
      <c r="I7" s="33" t="s">
        <v>674</v>
      </c>
      <c r="J7" s="33" t="s">
        <v>675</v>
      </c>
      <c r="K7" s="33" t="s">
        <v>676</v>
      </c>
      <c r="L7" s="33"/>
      <c r="M7" s="33">
        <v>2018</v>
      </c>
      <c r="N7" s="33" t="s">
        <v>677</v>
      </c>
      <c r="O7" s="33">
        <v>1</v>
      </c>
      <c r="P7" s="33" t="s">
        <v>678</v>
      </c>
      <c r="Q7" s="33"/>
      <c r="R7" s="33" t="s">
        <v>679</v>
      </c>
      <c r="S7" s="33" t="s">
        <v>680</v>
      </c>
      <c r="T7" s="33" t="s">
        <v>646</v>
      </c>
      <c r="U7" s="33" t="s">
        <v>670</v>
      </c>
      <c r="V7" s="33" t="s">
        <v>644</v>
      </c>
      <c r="W7" s="29"/>
      <c r="X7" s="29"/>
      <c r="Y7" s="32"/>
      <c r="Z7" s="29"/>
      <c r="AA7" s="29"/>
      <c r="AB7" s="29"/>
      <c r="AC7" s="29"/>
      <c r="AD7" s="225"/>
      <c r="AE7" s="31"/>
      <c r="AF7" s="29"/>
      <c r="AG7" s="29"/>
      <c r="AH7" s="29"/>
      <c r="AI7" s="29"/>
      <c r="AJ7" s="31"/>
      <c r="AK7" s="29"/>
      <c r="AL7" s="29"/>
      <c r="AM7" s="29"/>
      <c r="AN7" s="32"/>
      <c r="AO7" s="29"/>
      <c r="AP7" s="29"/>
      <c r="AQ7" s="29"/>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c r="EM7" s="22"/>
      <c r="EN7" s="22"/>
      <c r="EO7" s="22"/>
      <c r="EP7" s="22"/>
      <c r="EQ7" s="22"/>
      <c r="ER7" s="22"/>
      <c r="ES7" s="22"/>
      <c r="ET7" s="22"/>
      <c r="EU7" s="22"/>
      <c r="EV7" s="22"/>
      <c r="EW7" s="22"/>
      <c r="EX7" s="22"/>
      <c r="EY7" s="22"/>
      <c r="EZ7" s="22"/>
      <c r="FA7" s="22"/>
      <c r="FB7" s="22"/>
      <c r="FC7" s="22"/>
      <c r="FD7" s="22"/>
      <c r="FE7" s="22"/>
      <c r="FF7" s="22"/>
      <c r="FG7" s="22"/>
      <c r="FH7" s="22"/>
      <c r="FI7" s="22"/>
      <c r="FJ7" s="22"/>
      <c r="FK7" s="22"/>
      <c r="FL7" s="22"/>
      <c r="FM7" s="22"/>
      <c r="FN7" s="22"/>
      <c r="FO7" s="22"/>
      <c r="FP7" s="22"/>
      <c r="FQ7" s="22"/>
      <c r="FR7" s="22"/>
      <c r="FS7" s="22"/>
      <c r="FT7" s="22"/>
      <c r="FU7" s="22"/>
      <c r="FV7" s="22"/>
      <c r="FW7" s="22"/>
      <c r="FX7" s="22"/>
      <c r="FY7" s="22"/>
      <c r="FZ7" s="22"/>
      <c r="GA7" s="22"/>
      <c r="GB7" s="22"/>
      <c r="GC7" s="22"/>
      <c r="GD7" s="22"/>
      <c r="GE7" s="22"/>
      <c r="GF7" s="22"/>
      <c r="GG7" s="22"/>
      <c r="GH7" s="22"/>
      <c r="GI7" s="22"/>
      <c r="GJ7" s="22"/>
      <c r="GK7" s="22"/>
      <c r="GL7" s="22"/>
      <c r="GM7" s="22"/>
      <c r="GN7" s="22"/>
      <c r="GO7" s="22"/>
      <c r="GP7" s="22"/>
      <c r="GQ7" s="22"/>
      <c r="GR7" s="22"/>
      <c r="GS7" s="22"/>
      <c r="GT7" s="22"/>
      <c r="GU7" s="22"/>
      <c r="GV7" s="22"/>
      <c r="GW7" s="22"/>
      <c r="GX7" s="22"/>
      <c r="GY7" s="22"/>
      <c r="GZ7" s="22"/>
      <c r="HA7" s="22"/>
      <c r="HB7" s="22"/>
      <c r="HC7" s="22"/>
      <c r="HD7" s="22"/>
      <c r="HE7" s="22"/>
      <c r="HF7" s="22"/>
      <c r="HG7" s="22"/>
      <c r="HH7" s="22"/>
      <c r="HI7" s="22"/>
      <c r="HJ7" s="22"/>
      <c r="HK7" s="22"/>
      <c r="HL7" s="22"/>
      <c r="HM7" s="22"/>
      <c r="HN7" s="22"/>
      <c r="HO7" s="22"/>
      <c r="HP7" s="22"/>
      <c r="HQ7" s="22"/>
      <c r="HR7" s="22"/>
      <c r="HS7" s="22"/>
      <c r="HT7" s="22"/>
      <c r="HU7" s="22"/>
      <c r="HV7" s="22"/>
      <c r="HW7" s="22"/>
      <c r="HX7" s="22"/>
      <c r="HY7" s="22"/>
      <c r="HZ7" s="22"/>
      <c r="IA7" s="22"/>
      <c r="IB7" s="22"/>
      <c r="IC7" s="22"/>
      <c r="ID7" s="22"/>
      <c r="IE7" s="22"/>
      <c r="IF7" s="22"/>
      <c r="IG7" s="22"/>
      <c r="IH7" s="22"/>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22"/>
      <c r="JR7" s="22"/>
      <c r="JS7" s="22"/>
      <c r="JT7" s="22"/>
      <c r="JU7" s="22"/>
      <c r="JV7" s="22"/>
      <c r="JW7" s="22"/>
      <c r="JX7" s="22"/>
      <c r="JY7" s="22"/>
      <c r="JZ7" s="22"/>
      <c r="KA7" s="22"/>
      <c r="KB7" s="22"/>
      <c r="KC7" s="22"/>
      <c r="KD7" s="22"/>
      <c r="KE7" s="22"/>
      <c r="KF7" s="22"/>
      <c r="KG7" s="22"/>
      <c r="KH7" s="22"/>
      <c r="KI7" s="22"/>
      <c r="KJ7" s="22"/>
      <c r="KK7" s="22"/>
      <c r="KL7" s="22"/>
      <c r="KM7" s="22"/>
      <c r="KN7" s="22"/>
      <c r="KO7" s="22"/>
      <c r="KP7" s="22"/>
      <c r="KQ7" s="22"/>
      <c r="KR7" s="22"/>
      <c r="KS7" s="22"/>
      <c r="KT7" s="22"/>
      <c r="KU7" s="22"/>
      <c r="KV7" s="22"/>
      <c r="KW7" s="22"/>
      <c r="KX7" s="22"/>
      <c r="KY7" s="22"/>
      <c r="KZ7" s="22"/>
      <c r="LA7" s="22"/>
      <c r="LB7" s="22"/>
      <c r="LC7" s="22"/>
      <c r="LD7" s="22"/>
      <c r="LE7" s="22"/>
      <c r="LF7" s="22"/>
      <c r="LG7" s="22"/>
      <c r="LH7" s="22"/>
      <c r="LI7" s="22"/>
      <c r="LJ7" s="22"/>
      <c r="LK7" s="22"/>
      <c r="LL7" s="22"/>
      <c r="LM7" s="22"/>
      <c r="LN7" s="22"/>
      <c r="LO7" s="22"/>
      <c r="LP7" s="22"/>
      <c r="LQ7" s="22"/>
      <c r="LR7" s="22"/>
      <c r="LS7" s="22"/>
      <c r="LT7" s="22"/>
      <c r="LU7" s="22"/>
      <c r="LV7" s="22"/>
      <c r="LW7" s="22"/>
      <c r="LX7" s="22"/>
      <c r="LY7" s="22"/>
      <c r="LZ7" s="22"/>
      <c r="MA7" s="22"/>
      <c r="MB7" s="22"/>
      <c r="MC7" s="22"/>
      <c r="MD7" s="22"/>
      <c r="ME7" s="22"/>
      <c r="MF7" s="22"/>
      <c r="MG7" s="22"/>
      <c r="MH7" s="22"/>
      <c r="MI7" s="22"/>
      <c r="MJ7" s="22"/>
      <c r="MK7" s="22"/>
      <c r="ML7" s="22"/>
      <c r="MM7" s="22"/>
      <c r="MN7" s="22"/>
      <c r="MO7" s="22"/>
      <c r="MP7" s="22"/>
      <c r="MQ7" s="22"/>
      <c r="MR7" s="22"/>
      <c r="MS7" s="22"/>
      <c r="MT7" s="22"/>
      <c r="MU7" s="28">
        <f>SUM(Tabela7[[#This Row],[Communication]:[Training of DevOps activities]])</f>
        <v>0</v>
      </c>
    </row>
    <row r="8" spans="1:359" s="23" customFormat="1" hidden="1" x14ac:dyDescent="0.25">
      <c r="A8" s="22" t="s">
        <v>681</v>
      </c>
      <c r="B8" s="23" t="s">
        <v>682</v>
      </c>
      <c r="C8" s="29">
        <v>1</v>
      </c>
      <c r="D8" s="23" t="s">
        <v>644</v>
      </c>
      <c r="E8" s="29">
        <v>1</v>
      </c>
      <c r="F8" s="29" t="s">
        <v>645</v>
      </c>
      <c r="G8" s="29">
        <v>0</v>
      </c>
      <c r="H8" s="23" t="s">
        <v>683</v>
      </c>
      <c r="I8" s="30" t="s">
        <v>684</v>
      </c>
      <c r="J8" s="30" t="s">
        <v>685</v>
      </c>
      <c r="K8" s="30" t="s">
        <v>686</v>
      </c>
      <c r="L8" s="30"/>
      <c r="M8" s="30">
        <v>2017</v>
      </c>
      <c r="N8" s="30" t="s">
        <v>687</v>
      </c>
      <c r="O8" s="30">
        <v>4</v>
      </c>
      <c r="P8" s="30" t="s">
        <v>688</v>
      </c>
      <c r="Q8" s="30"/>
      <c r="R8" s="30" t="s">
        <v>689</v>
      </c>
      <c r="S8" s="30" t="s">
        <v>690</v>
      </c>
      <c r="T8" s="30" t="s">
        <v>646</v>
      </c>
      <c r="U8" s="30" t="s">
        <v>670</v>
      </c>
      <c r="V8" s="30" t="s">
        <v>644</v>
      </c>
      <c r="W8" s="29"/>
      <c r="X8" s="29"/>
      <c r="Y8" s="32"/>
      <c r="Z8" s="29"/>
      <c r="AA8" s="29"/>
      <c r="AB8" s="29"/>
      <c r="AC8" s="29"/>
      <c r="AD8" s="225"/>
      <c r="AE8" s="31"/>
      <c r="AF8" s="29"/>
      <c r="AG8" s="29"/>
      <c r="AH8" s="29"/>
      <c r="AI8" s="29"/>
      <c r="AJ8" s="31"/>
      <c r="AK8" s="29"/>
      <c r="AL8" s="29"/>
      <c r="AM8" s="29"/>
      <c r="AN8" s="32"/>
      <c r="AO8" s="29"/>
      <c r="AP8" s="29"/>
      <c r="AQ8" s="29"/>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c r="EM8" s="22"/>
      <c r="EN8" s="22"/>
      <c r="EO8" s="22"/>
      <c r="EP8" s="22"/>
      <c r="EQ8" s="22"/>
      <c r="ER8" s="22"/>
      <c r="ES8" s="22"/>
      <c r="ET8" s="22"/>
      <c r="EU8" s="22"/>
      <c r="EV8" s="22"/>
      <c r="EW8" s="22"/>
      <c r="EX8" s="22"/>
      <c r="EY8" s="22"/>
      <c r="EZ8" s="22"/>
      <c r="FA8" s="22"/>
      <c r="FB8" s="22"/>
      <c r="FC8" s="22"/>
      <c r="FD8" s="22"/>
      <c r="FE8" s="22"/>
      <c r="FF8" s="22"/>
      <c r="FG8" s="22"/>
      <c r="FH8" s="22"/>
      <c r="FI8" s="22"/>
      <c r="FJ8" s="22"/>
      <c r="FK8" s="22"/>
      <c r="FL8" s="22"/>
      <c r="FM8" s="22"/>
      <c r="FN8" s="22"/>
      <c r="FO8" s="22"/>
      <c r="FP8" s="22"/>
      <c r="FQ8" s="22"/>
      <c r="FR8" s="22"/>
      <c r="FS8" s="22"/>
      <c r="FT8" s="22"/>
      <c r="FU8" s="22"/>
      <c r="FV8" s="22"/>
      <c r="FW8" s="22"/>
      <c r="FX8" s="22"/>
      <c r="FY8" s="22"/>
      <c r="FZ8" s="22"/>
      <c r="GA8" s="22"/>
      <c r="GB8" s="22"/>
      <c r="GC8" s="22"/>
      <c r="GD8" s="22"/>
      <c r="GE8" s="22"/>
      <c r="GF8" s="22"/>
      <c r="GG8" s="22"/>
      <c r="GH8" s="22"/>
      <c r="GI8" s="22"/>
      <c r="GJ8" s="22"/>
      <c r="GK8" s="22"/>
      <c r="GL8" s="22"/>
      <c r="GM8" s="22"/>
      <c r="GN8" s="22"/>
      <c r="GO8" s="22"/>
      <c r="GP8" s="22"/>
      <c r="GQ8" s="22"/>
      <c r="GR8" s="22"/>
      <c r="GS8" s="22"/>
      <c r="GT8" s="22"/>
      <c r="GU8" s="22"/>
      <c r="GV8" s="22"/>
      <c r="GW8" s="22"/>
      <c r="GX8" s="22"/>
      <c r="GY8" s="22"/>
      <c r="GZ8" s="22"/>
      <c r="HA8" s="22"/>
      <c r="HB8" s="22"/>
      <c r="HC8" s="22"/>
      <c r="HD8" s="22"/>
      <c r="HE8" s="22"/>
      <c r="HF8" s="22"/>
      <c r="HG8" s="22"/>
      <c r="HH8" s="22"/>
      <c r="HI8" s="22"/>
      <c r="HJ8" s="22"/>
      <c r="HK8" s="22"/>
      <c r="HL8" s="22"/>
      <c r="HM8" s="22"/>
      <c r="HN8" s="22"/>
      <c r="HO8" s="22"/>
      <c r="HP8" s="22"/>
      <c r="HQ8" s="22"/>
      <c r="HR8" s="22"/>
      <c r="HS8" s="22"/>
      <c r="HT8" s="22"/>
      <c r="HU8" s="22"/>
      <c r="HV8" s="22"/>
      <c r="HW8" s="22"/>
      <c r="HX8" s="22"/>
      <c r="HY8" s="22"/>
      <c r="HZ8" s="22"/>
      <c r="IA8" s="22"/>
      <c r="IB8" s="22"/>
      <c r="IC8" s="22"/>
      <c r="ID8" s="22"/>
      <c r="IE8" s="22"/>
      <c r="IF8" s="22"/>
      <c r="IG8" s="22"/>
      <c r="IH8" s="22"/>
      <c r="II8" s="22"/>
      <c r="IJ8" s="22"/>
      <c r="IK8" s="22"/>
      <c r="IL8" s="22"/>
      <c r="IM8" s="22"/>
      <c r="IN8" s="22"/>
      <c r="IO8" s="22"/>
      <c r="IP8" s="22"/>
      <c r="IQ8" s="22"/>
      <c r="IR8" s="22"/>
      <c r="IS8" s="22"/>
      <c r="IT8" s="22"/>
      <c r="IU8" s="22"/>
      <c r="IV8" s="22"/>
      <c r="IW8" s="22"/>
      <c r="IX8" s="22"/>
      <c r="IY8" s="22"/>
      <c r="IZ8" s="22"/>
      <c r="JA8" s="22"/>
      <c r="JB8" s="22"/>
      <c r="JC8" s="22"/>
      <c r="JD8" s="22"/>
      <c r="JE8" s="22"/>
      <c r="JF8" s="22"/>
      <c r="JG8" s="22"/>
      <c r="JH8" s="22"/>
      <c r="JI8" s="22"/>
      <c r="JJ8" s="22"/>
      <c r="JK8" s="22"/>
      <c r="JL8" s="22"/>
      <c r="JM8" s="22"/>
      <c r="JN8" s="22"/>
      <c r="JO8" s="22"/>
      <c r="JP8" s="22"/>
      <c r="JQ8" s="22"/>
      <c r="JR8" s="22"/>
      <c r="JS8" s="22"/>
      <c r="JT8" s="22"/>
      <c r="JU8" s="22"/>
      <c r="JV8" s="22"/>
      <c r="JW8" s="22"/>
      <c r="JX8" s="22"/>
      <c r="JY8" s="22"/>
      <c r="JZ8" s="22"/>
      <c r="KA8" s="22"/>
      <c r="KB8" s="22"/>
      <c r="KC8" s="22"/>
      <c r="KD8" s="22"/>
      <c r="KE8" s="22"/>
      <c r="KF8" s="22"/>
      <c r="KG8" s="22"/>
      <c r="KH8" s="22"/>
      <c r="KI8" s="22"/>
      <c r="KJ8" s="22"/>
      <c r="KK8" s="22"/>
      <c r="KL8" s="22"/>
      <c r="KM8" s="22"/>
      <c r="KN8" s="22"/>
      <c r="KO8" s="22"/>
      <c r="KP8" s="22"/>
      <c r="KQ8" s="22"/>
      <c r="KR8" s="22"/>
      <c r="KS8" s="22"/>
      <c r="KT8" s="22"/>
      <c r="KU8" s="22"/>
      <c r="KV8" s="22"/>
      <c r="KW8" s="22"/>
      <c r="KX8" s="22"/>
      <c r="KY8" s="22"/>
      <c r="KZ8" s="22"/>
      <c r="LA8" s="22"/>
      <c r="LB8" s="22"/>
      <c r="LC8" s="22"/>
      <c r="LD8" s="22"/>
      <c r="LE8" s="22"/>
      <c r="LF8" s="22"/>
      <c r="LG8" s="22"/>
      <c r="LH8" s="22"/>
      <c r="LI8" s="22"/>
      <c r="LJ8" s="22"/>
      <c r="LK8" s="22"/>
      <c r="LL8" s="22"/>
      <c r="LM8" s="22"/>
      <c r="LN8" s="22"/>
      <c r="LO8" s="22"/>
      <c r="LP8" s="22"/>
      <c r="LQ8" s="22"/>
      <c r="LR8" s="22"/>
      <c r="LS8" s="22"/>
      <c r="LT8" s="22"/>
      <c r="LU8" s="22"/>
      <c r="LV8" s="22"/>
      <c r="LW8" s="22"/>
      <c r="LX8" s="22"/>
      <c r="LY8" s="22"/>
      <c r="LZ8" s="22"/>
      <c r="MA8" s="22"/>
      <c r="MB8" s="22"/>
      <c r="MC8" s="22"/>
      <c r="MD8" s="22"/>
      <c r="ME8" s="22"/>
      <c r="MF8" s="22"/>
      <c r="MG8" s="22"/>
      <c r="MH8" s="22"/>
      <c r="MI8" s="22"/>
      <c r="MJ8" s="22"/>
      <c r="MK8" s="22"/>
      <c r="ML8" s="22"/>
      <c r="MM8" s="22"/>
      <c r="MN8" s="22"/>
      <c r="MO8" s="22"/>
      <c r="MP8" s="22"/>
      <c r="MQ8" s="22"/>
      <c r="MR8" s="22"/>
      <c r="MS8" s="22"/>
      <c r="MT8" s="22"/>
      <c r="MU8" s="28">
        <f>SUM(Tabela7[[#This Row],[Communication]:[Training of DevOps activities]])</f>
        <v>0</v>
      </c>
    </row>
    <row r="9" spans="1:359" s="23" customFormat="1" hidden="1" x14ac:dyDescent="0.25">
      <c r="A9" s="22" t="s">
        <v>691</v>
      </c>
      <c r="B9" s="23" t="s">
        <v>692</v>
      </c>
      <c r="C9" s="29">
        <v>1</v>
      </c>
      <c r="D9" s="23" t="s">
        <v>644</v>
      </c>
      <c r="E9" s="29">
        <v>1</v>
      </c>
      <c r="F9" s="29" t="s">
        <v>645</v>
      </c>
      <c r="G9" s="29">
        <v>0</v>
      </c>
      <c r="H9" s="23" t="s">
        <v>693</v>
      </c>
      <c r="I9" s="33" t="s">
        <v>694</v>
      </c>
      <c r="J9" s="33" t="s">
        <v>695</v>
      </c>
      <c r="K9" s="33" t="s">
        <v>696</v>
      </c>
      <c r="L9" s="33"/>
      <c r="M9" s="33">
        <v>2015</v>
      </c>
      <c r="N9" s="33" t="s">
        <v>697</v>
      </c>
      <c r="O9" s="33">
        <v>116</v>
      </c>
      <c r="P9" s="33" t="s">
        <v>698</v>
      </c>
      <c r="Q9" s="33"/>
      <c r="R9" s="33" t="s">
        <v>699</v>
      </c>
      <c r="S9" s="33" t="s">
        <v>700</v>
      </c>
      <c r="T9" s="33" t="s">
        <v>646</v>
      </c>
      <c r="U9" s="33" t="s">
        <v>655</v>
      </c>
      <c r="V9" s="33" t="s">
        <v>644</v>
      </c>
      <c r="W9" s="29"/>
      <c r="X9" s="29"/>
      <c r="Y9" s="32"/>
      <c r="Z9" s="29"/>
      <c r="AA9" s="29"/>
      <c r="AB9" s="29"/>
      <c r="AC9" s="29"/>
      <c r="AD9" s="225"/>
      <c r="AE9" s="31"/>
      <c r="AF9" s="29"/>
      <c r="AG9" s="29"/>
      <c r="AH9" s="29"/>
      <c r="AI9" s="29"/>
      <c r="AJ9" s="31"/>
      <c r="AK9" s="29"/>
      <c r="AL9" s="29"/>
      <c r="AM9" s="29"/>
      <c r="AN9" s="32"/>
      <c r="AO9" s="29"/>
      <c r="AP9" s="29"/>
      <c r="AQ9" s="29"/>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c r="EN9" s="22"/>
      <c r="EO9" s="22"/>
      <c r="EP9" s="22"/>
      <c r="EQ9" s="22"/>
      <c r="ER9" s="22"/>
      <c r="ES9" s="22"/>
      <c r="ET9" s="22"/>
      <c r="EU9" s="22"/>
      <c r="EV9" s="22"/>
      <c r="EW9" s="22"/>
      <c r="EX9" s="22"/>
      <c r="EY9" s="22"/>
      <c r="EZ9" s="22"/>
      <c r="FA9" s="22"/>
      <c r="FB9" s="22"/>
      <c r="FC9" s="22"/>
      <c r="FD9" s="22"/>
      <c r="FE9" s="22"/>
      <c r="FF9" s="22"/>
      <c r="FG9" s="22"/>
      <c r="FH9" s="22"/>
      <c r="FI9" s="22"/>
      <c r="FJ9" s="22"/>
      <c r="FK9" s="22"/>
      <c r="FL9" s="22"/>
      <c r="FM9" s="22"/>
      <c r="FN9" s="22"/>
      <c r="FO9" s="22"/>
      <c r="FP9" s="22"/>
      <c r="FQ9" s="22"/>
      <c r="FR9" s="22"/>
      <c r="FS9" s="22"/>
      <c r="FT9" s="22"/>
      <c r="FU9" s="22"/>
      <c r="FV9" s="22"/>
      <c r="FW9" s="22"/>
      <c r="FX9" s="22"/>
      <c r="FY9" s="22"/>
      <c r="FZ9" s="22"/>
      <c r="GA9" s="22"/>
      <c r="GB9" s="22"/>
      <c r="GC9" s="22"/>
      <c r="GD9" s="22"/>
      <c r="GE9" s="22"/>
      <c r="GF9" s="22"/>
      <c r="GG9" s="22"/>
      <c r="GH9" s="22"/>
      <c r="GI9" s="22"/>
      <c r="GJ9" s="22"/>
      <c r="GK9" s="22"/>
      <c r="GL9" s="22"/>
      <c r="GM9" s="22"/>
      <c r="GN9" s="22"/>
      <c r="GO9" s="22"/>
      <c r="GP9" s="22"/>
      <c r="GQ9" s="22"/>
      <c r="GR9" s="22"/>
      <c r="GS9" s="22"/>
      <c r="GT9" s="22"/>
      <c r="GU9" s="22"/>
      <c r="GV9" s="22"/>
      <c r="GW9" s="22"/>
      <c r="GX9" s="22"/>
      <c r="GY9" s="22"/>
      <c r="GZ9" s="22"/>
      <c r="HA9" s="22"/>
      <c r="HB9" s="22"/>
      <c r="HC9" s="22"/>
      <c r="HD9" s="22"/>
      <c r="HE9" s="22"/>
      <c r="HF9" s="22"/>
      <c r="HG9" s="22"/>
      <c r="HH9" s="22"/>
      <c r="HI9" s="22"/>
      <c r="HJ9" s="22"/>
      <c r="HK9" s="22"/>
      <c r="HL9" s="22"/>
      <c r="HM9" s="22"/>
      <c r="HN9" s="22"/>
      <c r="HO9" s="22"/>
      <c r="HP9" s="22"/>
      <c r="HQ9" s="22"/>
      <c r="HR9" s="22"/>
      <c r="HS9" s="22"/>
      <c r="HT9" s="22"/>
      <c r="HU9" s="22"/>
      <c r="HV9" s="22"/>
      <c r="HW9" s="22"/>
      <c r="HX9" s="22"/>
      <c r="HY9" s="22"/>
      <c r="HZ9" s="22"/>
      <c r="IA9" s="22"/>
      <c r="IB9" s="22"/>
      <c r="IC9" s="22"/>
      <c r="ID9" s="22"/>
      <c r="IE9" s="22"/>
      <c r="IF9" s="22"/>
      <c r="IG9" s="22"/>
      <c r="IH9" s="22"/>
      <c r="II9" s="22"/>
      <c r="IJ9" s="22"/>
      <c r="IK9" s="22"/>
      <c r="IL9" s="22"/>
      <c r="IM9" s="22"/>
      <c r="IN9" s="22"/>
      <c r="IO9" s="22"/>
      <c r="IP9" s="22"/>
      <c r="IQ9" s="22"/>
      <c r="IR9" s="22"/>
      <c r="IS9" s="22"/>
      <c r="IT9" s="22"/>
      <c r="IU9" s="22"/>
      <c r="IV9" s="22"/>
      <c r="IW9" s="22"/>
      <c r="IX9" s="22"/>
      <c r="IY9" s="22"/>
      <c r="IZ9" s="22"/>
      <c r="JA9" s="22"/>
      <c r="JB9" s="22"/>
      <c r="JC9" s="22"/>
      <c r="JD9" s="22"/>
      <c r="JE9" s="22"/>
      <c r="JF9" s="22"/>
      <c r="JG9" s="22"/>
      <c r="JH9" s="22"/>
      <c r="JI9" s="22"/>
      <c r="JJ9" s="22"/>
      <c r="JK9" s="22"/>
      <c r="JL9" s="22"/>
      <c r="JM9" s="22"/>
      <c r="JN9" s="22"/>
      <c r="JO9" s="22"/>
      <c r="JP9" s="22"/>
      <c r="JQ9" s="22"/>
      <c r="JR9" s="22"/>
      <c r="JS9" s="22"/>
      <c r="JT9" s="22"/>
      <c r="JU9" s="22"/>
      <c r="JV9" s="22"/>
      <c r="JW9" s="22"/>
      <c r="JX9" s="22"/>
      <c r="JY9" s="22"/>
      <c r="JZ9" s="22"/>
      <c r="KA9" s="22"/>
      <c r="KB9" s="22"/>
      <c r="KC9" s="22"/>
      <c r="KD9" s="22"/>
      <c r="KE9" s="22"/>
      <c r="KF9" s="22"/>
      <c r="KG9" s="22"/>
      <c r="KH9" s="22"/>
      <c r="KI9" s="22"/>
      <c r="KJ9" s="22"/>
      <c r="KK9" s="22"/>
      <c r="KL9" s="22"/>
      <c r="KM9" s="22"/>
      <c r="KN9" s="22"/>
      <c r="KO9" s="22"/>
      <c r="KP9" s="22"/>
      <c r="KQ9" s="22"/>
      <c r="KR9" s="22"/>
      <c r="KS9" s="22"/>
      <c r="KT9" s="22"/>
      <c r="KU9" s="22"/>
      <c r="KV9" s="22"/>
      <c r="KW9" s="22"/>
      <c r="KX9" s="22"/>
      <c r="KY9" s="22"/>
      <c r="KZ9" s="22"/>
      <c r="LA9" s="22"/>
      <c r="LB9" s="22"/>
      <c r="LC9" s="22"/>
      <c r="LD9" s="22"/>
      <c r="LE9" s="22"/>
      <c r="LF9" s="22"/>
      <c r="LG9" s="22"/>
      <c r="LH9" s="22"/>
      <c r="LI9" s="22"/>
      <c r="LJ9" s="22"/>
      <c r="LK9" s="22"/>
      <c r="LL9" s="22"/>
      <c r="LM9" s="22"/>
      <c r="LN9" s="22"/>
      <c r="LO9" s="22"/>
      <c r="LP9" s="22"/>
      <c r="LQ9" s="22"/>
      <c r="LR9" s="22"/>
      <c r="LS9" s="22"/>
      <c r="LT9" s="22"/>
      <c r="LU9" s="22"/>
      <c r="LV9" s="22"/>
      <c r="LW9" s="22"/>
      <c r="LX9" s="22"/>
      <c r="LY9" s="22"/>
      <c r="LZ9" s="22"/>
      <c r="MA9" s="22"/>
      <c r="MB9" s="22"/>
      <c r="MC9" s="22"/>
      <c r="MD9" s="22"/>
      <c r="ME9" s="22"/>
      <c r="MF9" s="22"/>
      <c r="MG9" s="22"/>
      <c r="MH9" s="22"/>
      <c r="MI9" s="22"/>
      <c r="MJ9" s="22"/>
      <c r="MK9" s="22"/>
      <c r="ML9" s="22"/>
      <c r="MM9" s="22"/>
      <c r="MN9" s="22"/>
      <c r="MO9" s="22"/>
      <c r="MP9" s="22"/>
      <c r="MQ9" s="22"/>
      <c r="MR9" s="22"/>
      <c r="MS9" s="22"/>
      <c r="MT9" s="22"/>
      <c r="MU9" s="28">
        <f>SUM(Tabela7[[#This Row],[Communication]:[Training of DevOps activities]])</f>
        <v>0</v>
      </c>
    </row>
    <row r="10" spans="1:359" ht="14.4" x14ac:dyDescent="0.3">
      <c r="A10" s="22" t="s">
        <v>701</v>
      </c>
      <c r="B10" s="29" t="s">
        <v>702</v>
      </c>
      <c r="C10" s="29">
        <v>1</v>
      </c>
      <c r="D10" s="23" t="s">
        <v>644</v>
      </c>
      <c r="E10" s="29">
        <v>1</v>
      </c>
      <c r="F10" s="29" t="s">
        <v>26753</v>
      </c>
      <c r="G10" s="29">
        <v>1</v>
      </c>
      <c r="H10" t="s">
        <v>703</v>
      </c>
      <c r="I10" t="s">
        <v>704</v>
      </c>
      <c r="J10" t="s">
        <v>705</v>
      </c>
      <c r="K10" t="s">
        <v>706</v>
      </c>
      <c r="L10" t="s">
        <v>707</v>
      </c>
      <c r="M10">
        <v>2015</v>
      </c>
      <c r="N10" t="s">
        <v>708</v>
      </c>
      <c r="O10">
        <v>68</v>
      </c>
      <c r="P10" t="s">
        <v>709</v>
      </c>
      <c r="Q10" t="s">
        <v>710</v>
      </c>
      <c r="R10" t="s">
        <v>711</v>
      </c>
      <c r="S10" t="s">
        <v>712</v>
      </c>
      <c r="T10" t="s">
        <v>713</v>
      </c>
      <c r="U10" t="s">
        <v>670</v>
      </c>
      <c r="V10" t="s">
        <v>644</v>
      </c>
      <c r="W10" s="29" t="s">
        <v>26753</v>
      </c>
      <c r="X10" s="29" t="s">
        <v>26753</v>
      </c>
      <c r="Y10" s="32"/>
      <c r="Z10" s="29"/>
      <c r="AA10" s="29">
        <v>1</v>
      </c>
      <c r="AB10" s="29"/>
      <c r="AC10" s="29"/>
      <c r="AD10" s="225"/>
      <c r="AE10" s="31"/>
      <c r="AF10" s="29">
        <v>1</v>
      </c>
      <c r="AG10" s="29">
        <v>1</v>
      </c>
      <c r="AH10" s="29"/>
      <c r="AI10" s="29"/>
      <c r="AJ10" s="31"/>
      <c r="AK10" s="29">
        <v>1</v>
      </c>
      <c r="AL10" s="29"/>
      <c r="AM10" s="29"/>
      <c r="AN10" s="34"/>
      <c r="AO10" s="28"/>
      <c r="AP10" s="28">
        <v>1</v>
      </c>
      <c r="AQ10" s="28">
        <v>1</v>
      </c>
      <c r="AR10" s="28"/>
      <c r="AS10" s="28"/>
      <c r="AT10" s="28">
        <v>1</v>
      </c>
      <c r="AU10" s="28"/>
      <c r="AV10" s="28"/>
      <c r="AW10" s="28"/>
      <c r="AX10" s="28"/>
      <c r="AY10" s="28">
        <v>1</v>
      </c>
      <c r="AZ10" s="28"/>
      <c r="BA10" s="28"/>
      <c r="BB10" s="28"/>
      <c r="BC10" s="28"/>
      <c r="BD10" s="28">
        <v>1</v>
      </c>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v>1</v>
      </c>
      <c r="CX10" s="28">
        <v>1</v>
      </c>
      <c r="CY10" s="28"/>
      <c r="CZ10" s="28"/>
      <c r="DA10" s="28"/>
      <c r="DB10" s="28"/>
      <c r="DC10" s="28"/>
      <c r="DD10" s="35"/>
      <c r="DE10" s="35"/>
      <c r="DF10" s="35"/>
      <c r="DG10" s="35"/>
      <c r="DH10" s="35"/>
      <c r="DI10" s="35"/>
      <c r="DJ10" s="35"/>
      <c r="DK10" s="35"/>
      <c r="DL10" s="35"/>
      <c r="DM10" s="35"/>
      <c r="DN10" s="35"/>
      <c r="MU10" s="28">
        <f>SUM(Tabela7[[#This Row],[Communication]:[Training of DevOps activities]])</f>
        <v>7</v>
      </c>
    </row>
    <row r="11" spans="1:359" s="23" customFormat="1" hidden="1" x14ac:dyDescent="0.25">
      <c r="A11" s="22" t="s">
        <v>715</v>
      </c>
      <c r="B11" s="23" t="s">
        <v>716</v>
      </c>
      <c r="C11" s="29">
        <v>1</v>
      </c>
      <c r="D11" s="23" t="s">
        <v>717</v>
      </c>
      <c r="E11" s="29">
        <v>1</v>
      </c>
      <c r="F11" s="29" t="s">
        <v>645</v>
      </c>
      <c r="G11" s="29">
        <v>0</v>
      </c>
      <c r="H11" s="23" t="s">
        <v>646</v>
      </c>
      <c r="I11" s="33" t="s">
        <v>718</v>
      </c>
      <c r="J11" s="33" t="s">
        <v>719</v>
      </c>
      <c r="K11" s="33" t="s">
        <v>720</v>
      </c>
      <c r="L11" s="33"/>
      <c r="M11" s="33">
        <v>2018</v>
      </c>
      <c r="N11" s="33" t="s">
        <v>721</v>
      </c>
      <c r="O11" s="33">
        <v>3</v>
      </c>
      <c r="P11" s="33" t="s">
        <v>722</v>
      </c>
      <c r="Q11" s="33"/>
      <c r="R11" s="33" t="s">
        <v>723</v>
      </c>
      <c r="S11" s="33" t="s">
        <v>724</v>
      </c>
      <c r="T11" s="33" t="s">
        <v>646</v>
      </c>
      <c r="U11" s="33" t="s">
        <v>670</v>
      </c>
      <c r="V11" s="33" t="s">
        <v>644</v>
      </c>
      <c r="W11" s="29"/>
      <c r="X11" s="29"/>
      <c r="Y11" s="32"/>
      <c r="Z11" s="29"/>
      <c r="AA11" s="29"/>
      <c r="AB11" s="29"/>
      <c r="AC11" s="29"/>
      <c r="AD11" s="225"/>
      <c r="AE11" s="31"/>
      <c r="AF11" s="29"/>
      <c r="AG11" s="29"/>
      <c r="AH11" s="29"/>
      <c r="AI11" s="29"/>
      <c r="AJ11" s="31"/>
      <c r="AK11" s="29"/>
      <c r="AL11" s="29"/>
      <c r="AM11" s="29"/>
      <c r="AN11" s="32"/>
      <c r="AO11" s="29"/>
      <c r="AP11" s="29"/>
      <c r="AQ11" s="29"/>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c r="EM11" s="22"/>
      <c r="EN11" s="22"/>
      <c r="EO11" s="22"/>
      <c r="EP11" s="22"/>
      <c r="EQ11" s="22"/>
      <c r="ER11" s="22"/>
      <c r="ES11" s="22"/>
      <c r="ET11" s="22"/>
      <c r="EU11" s="22"/>
      <c r="EV11" s="22"/>
      <c r="EW11" s="22"/>
      <c r="EX11" s="22"/>
      <c r="EY11" s="22"/>
      <c r="EZ11" s="22"/>
      <c r="FA11" s="22"/>
      <c r="FB11" s="22"/>
      <c r="FC11" s="22"/>
      <c r="FD11" s="22"/>
      <c r="FE11" s="22"/>
      <c r="FF11" s="22"/>
      <c r="FG11" s="22"/>
      <c r="FH11" s="22"/>
      <c r="FI11" s="22"/>
      <c r="FJ11" s="22"/>
      <c r="FK11" s="22"/>
      <c r="FL11" s="22"/>
      <c r="FM11" s="22"/>
      <c r="FN11" s="22"/>
      <c r="FO11" s="22"/>
      <c r="FP11" s="22"/>
      <c r="FQ11" s="22"/>
      <c r="FR11" s="22"/>
      <c r="FS11" s="22"/>
      <c r="FT11" s="22"/>
      <c r="FU11" s="22"/>
      <c r="FV11" s="22"/>
      <c r="FW11" s="22"/>
      <c r="FX11" s="22"/>
      <c r="FY11" s="22"/>
      <c r="FZ11" s="22"/>
      <c r="GA11" s="22"/>
      <c r="GB11" s="22"/>
      <c r="GC11" s="22"/>
      <c r="GD11" s="22"/>
      <c r="GE11" s="22"/>
      <c r="GF11" s="22"/>
      <c r="GG11" s="22"/>
      <c r="GH11" s="22"/>
      <c r="GI11" s="22"/>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2"/>
      <c r="HL11" s="22"/>
      <c r="HM11" s="22"/>
      <c r="HN11" s="22"/>
      <c r="HO11" s="22"/>
      <c r="HP11" s="22"/>
      <c r="HQ11" s="22"/>
      <c r="HR11" s="22"/>
      <c r="HS11" s="22"/>
      <c r="HT11" s="22"/>
      <c r="HU11" s="22"/>
      <c r="HV11" s="22"/>
      <c r="HW11" s="22"/>
      <c r="HX11" s="22"/>
      <c r="HY11" s="22"/>
      <c r="HZ11" s="22"/>
      <c r="IA11" s="22"/>
      <c r="IB11" s="22"/>
      <c r="IC11" s="22"/>
      <c r="ID11" s="22"/>
      <c r="IE11" s="22"/>
      <c r="IF11" s="22"/>
      <c r="IG11" s="22"/>
      <c r="IH11" s="22"/>
      <c r="II11" s="22"/>
      <c r="IJ11" s="22"/>
      <c r="IK11" s="22"/>
      <c r="IL11" s="22"/>
      <c r="IM11" s="22"/>
      <c r="IN11" s="22"/>
      <c r="IO11" s="22"/>
      <c r="IP11" s="22"/>
      <c r="IQ11" s="22"/>
      <c r="IR11" s="22"/>
      <c r="IS11" s="22"/>
      <c r="IT11" s="22"/>
      <c r="IU11" s="22"/>
      <c r="IV11" s="22"/>
      <c r="IW11" s="22"/>
      <c r="IX11" s="22"/>
      <c r="IY11" s="22"/>
      <c r="IZ11" s="22"/>
      <c r="JA11" s="22"/>
      <c r="JB11" s="22"/>
      <c r="JC11" s="22"/>
      <c r="JD11" s="22"/>
      <c r="JE11" s="22"/>
      <c r="JF11" s="22"/>
      <c r="JG11" s="22"/>
      <c r="JH11" s="22"/>
      <c r="JI11" s="22"/>
      <c r="JJ11" s="22"/>
      <c r="JK11" s="22"/>
      <c r="JL11" s="22"/>
      <c r="JM11" s="22"/>
      <c r="JN11" s="22"/>
      <c r="JO11" s="22"/>
      <c r="JP11" s="22"/>
      <c r="JQ11" s="22"/>
      <c r="JR11" s="22"/>
      <c r="JS11" s="22"/>
      <c r="JT11" s="22"/>
      <c r="JU11" s="22"/>
      <c r="JV11" s="22"/>
      <c r="JW11" s="22"/>
      <c r="JX11" s="22"/>
      <c r="JY11" s="22"/>
      <c r="JZ11" s="22"/>
      <c r="KA11" s="22"/>
      <c r="KB11" s="22"/>
      <c r="KC11" s="22"/>
      <c r="KD11" s="22"/>
      <c r="KE11" s="22"/>
      <c r="KF11" s="22"/>
      <c r="KG11" s="22"/>
      <c r="KH11" s="22"/>
      <c r="KI11" s="22"/>
      <c r="KJ11" s="22"/>
      <c r="KK11" s="22"/>
      <c r="KL11" s="22"/>
      <c r="KM11" s="22"/>
      <c r="KN11" s="22"/>
      <c r="KO11" s="22"/>
      <c r="KP11" s="22"/>
      <c r="KQ11" s="22"/>
      <c r="KR11" s="22"/>
      <c r="KS11" s="22"/>
      <c r="KT11" s="22"/>
      <c r="KU11" s="22"/>
      <c r="KV11" s="22"/>
      <c r="KW11" s="22"/>
      <c r="KX11" s="22"/>
      <c r="KY11" s="22"/>
      <c r="KZ11" s="22"/>
      <c r="LA11" s="22"/>
      <c r="LB11" s="22"/>
      <c r="LC11" s="22"/>
      <c r="LD11" s="22"/>
      <c r="LE11" s="22"/>
      <c r="LF11" s="22"/>
      <c r="LG11" s="22"/>
      <c r="LH11" s="22"/>
      <c r="LI11" s="22"/>
      <c r="LJ11" s="22"/>
      <c r="LK11" s="22"/>
      <c r="LL11" s="22"/>
      <c r="LM11" s="22"/>
      <c r="LN11" s="22"/>
      <c r="LO11" s="22"/>
      <c r="LP11" s="22"/>
      <c r="LQ11" s="22"/>
      <c r="LR11" s="22"/>
      <c r="LS11" s="22"/>
      <c r="LT11" s="22"/>
      <c r="LU11" s="22"/>
      <c r="LV11" s="22"/>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8">
        <f>SUM(Tabela7[[#This Row],[Communication]:[Training of DevOps activities]])</f>
        <v>0</v>
      </c>
    </row>
    <row r="12" spans="1:359" s="23" customFormat="1" hidden="1" x14ac:dyDescent="0.25">
      <c r="A12" s="22" t="s">
        <v>725</v>
      </c>
      <c r="B12" s="23" t="s">
        <v>726</v>
      </c>
      <c r="C12" s="23">
        <v>0</v>
      </c>
      <c r="D12" s="23" t="s">
        <v>717</v>
      </c>
      <c r="E12" s="23">
        <v>1</v>
      </c>
      <c r="F12" s="23" t="s">
        <v>645</v>
      </c>
      <c r="G12" s="24"/>
      <c r="H12" s="23" t="s">
        <v>727</v>
      </c>
      <c r="I12" s="30" t="s">
        <v>728</v>
      </c>
      <c r="J12" s="30" t="s">
        <v>729</v>
      </c>
      <c r="K12" s="30" t="s">
        <v>730</v>
      </c>
      <c r="L12" s="30"/>
      <c r="M12" s="30">
        <v>2017</v>
      </c>
      <c r="N12" s="30" t="s">
        <v>731</v>
      </c>
      <c r="O12" s="30">
        <v>1</v>
      </c>
      <c r="P12" s="30" t="s">
        <v>732</v>
      </c>
      <c r="Q12" s="30"/>
      <c r="R12" s="30" t="s">
        <v>733</v>
      </c>
      <c r="S12" s="30" t="s">
        <v>734</v>
      </c>
      <c r="T12" s="30" t="s">
        <v>735</v>
      </c>
      <c r="U12" s="30" t="s">
        <v>670</v>
      </c>
      <c r="V12" s="30" t="s">
        <v>644</v>
      </c>
      <c r="Y12" s="27"/>
      <c r="AD12" s="224"/>
      <c r="AE12" s="26"/>
      <c r="AJ12" s="26"/>
      <c r="AN12" s="27"/>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22"/>
      <c r="EH12" s="22"/>
      <c r="EI12" s="22"/>
      <c r="EJ12" s="22"/>
      <c r="EK12" s="22"/>
      <c r="EL12" s="22"/>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HU12" s="22"/>
      <c r="HV12" s="22"/>
      <c r="HW12" s="22"/>
      <c r="HX12" s="22"/>
      <c r="HY12" s="22"/>
      <c r="HZ12" s="22"/>
      <c r="IA12" s="22"/>
      <c r="IB12" s="22"/>
      <c r="IC12" s="22"/>
      <c r="ID12" s="22"/>
      <c r="IE12" s="22"/>
      <c r="IF12" s="22"/>
      <c r="IG12" s="22"/>
      <c r="IH12" s="22"/>
      <c r="II12" s="22"/>
      <c r="IJ12" s="22"/>
      <c r="IK12" s="22"/>
      <c r="IL12" s="22"/>
      <c r="IM12" s="22"/>
      <c r="IN12" s="22"/>
      <c r="IO12" s="22"/>
      <c r="IP12" s="22"/>
      <c r="IQ12" s="22"/>
      <c r="IR12" s="22"/>
      <c r="IS12" s="22"/>
      <c r="IT12" s="22"/>
      <c r="IU12" s="22"/>
      <c r="IV12" s="22"/>
      <c r="IW12" s="22"/>
      <c r="IX12" s="22"/>
      <c r="IY12" s="22"/>
      <c r="IZ12" s="22"/>
      <c r="JA12" s="22"/>
      <c r="JB12" s="22"/>
      <c r="JC12" s="22"/>
      <c r="JD12" s="22"/>
      <c r="JE12" s="22"/>
      <c r="JF12" s="22"/>
      <c r="JG12" s="22"/>
      <c r="JH12" s="22"/>
      <c r="JI12" s="22"/>
      <c r="JJ12" s="22"/>
      <c r="JK12" s="22"/>
      <c r="JL12" s="22"/>
      <c r="JM12" s="22"/>
      <c r="JN12" s="22"/>
      <c r="JO12" s="22"/>
      <c r="JP12" s="22"/>
      <c r="JQ12" s="22"/>
      <c r="JR12" s="22"/>
      <c r="JS12" s="22"/>
      <c r="JT12" s="22"/>
      <c r="JU12" s="22"/>
      <c r="JV12" s="22"/>
      <c r="JW12" s="22"/>
      <c r="JX12" s="22"/>
      <c r="JY12" s="22"/>
      <c r="JZ12" s="22"/>
      <c r="KA12" s="22"/>
      <c r="KB12" s="22"/>
      <c r="KC12" s="22"/>
      <c r="KD12" s="22"/>
      <c r="KE12" s="22"/>
      <c r="KF12" s="22"/>
      <c r="KG12" s="22"/>
      <c r="KH12" s="22"/>
      <c r="KI12" s="22"/>
      <c r="KJ12" s="22"/>
      <c r="KK12" s="22"/>
      <c r="KL12" s="22"/>
      <c r="KM12" s="22"/>
      <c r="KN12" s="22"/>
      <c r="KO12" s="22"/>
      <c r="KP12" s="22"/>
      <c r="KQ12" s="22"/>
      <c r="KR12" s="22"/>
      <c r="KS12" s="22"/>
      <c r="KT12" s="22"/>
      <c r="KU12" s="22"/>
      <c r="KV12" s="22"/>
      <c r="KW12" s="22"/>
      <c r="KX12" s="22"/>
      <c r="KY12" s="22"/>
      <c r="KZ12" s="22"/>
      <c r="LA12" s="22"/>
      <c r="LB12" s="22"/>
      <c r="LC12" s="22"/>
      <c r="LD12" s="22"/>
      <c r="LE12" s="22"/>
      <c r="LF12" s="22"/>
      <c r="LG12" s="22"/>
      <c r="LH12" s="22"/>
      <c r="LI12" s="22"/>
      <c r="LJ12" s="22"/>
      <c r="LK12" s="22"/>
      <c r="LL12" s="22"/>
      <c r="LM12" s="22"/>
      <c r="LN12" s="22"/>
      <c r="LO12" s="22"/>
      <c r="LP12" s="22"/>
      <c r="LQ12" s="22"/>
      <c r="LR12" s="22"/>
      <c r="LS12" s="22"/>
      <c r="LT12" s="22"/>
      <c r="LU12" s="22"/>
      <c r="LV12" s="22"/>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8">
        <f>SUM(Tabela7[[#This Row],[Communication]:[Training of DevOps activities]])</f>
        <v>0</v>
      </c>
    </row>
    <row r="13" spans="1:359" ht="14.4" x14ac:dyDescent="0.3">
      <c r="A13" s="22" t="s">
        <v>736</v>
      </c>
      <c r="B13" s="29" t="s">
        <v>737</v>
      </c>
      <c r="C13" s="29">
        <v>1</v>
      </c>
      <c r="D13" s="23" t="s">
        <v>717</v>
      </c>
      <c r="E13" s="29">
        <v>1</v>
      </c>
      <c r="F13" s="29" t="s">
        <v>26753</v>
      </c>
      <c r="G13" s="29">
        <v>1</v>
      </c>
      <c r="H13" t="s">
        <v>738</v>
      </c>
      <c r="I13" t="s">
        <v>739</v>
      </c>
      <c r="J13" t="s">
        <v>740</v>
      </c>
      <c r="K13" t="s">
        <v>741</v>
      </c>
      <c r="L13" t="s">
        <v>742</v>
      </c>
      <c r="M13">
        <v>2013</v>
      </c>
      <c r="N13" t="s">
        <v>743</v>
      </c>
      <c r="O13">
        <v>66</v>
      </c>
      <c r="P13" t="s">
        <v>744</v>
      </c>
      <c r="Q13" t="s">
        <v>745</v>
      </c>
      <c r="R13" t="s">
        <v>746</v>
      </c>
      <c r="S13" t="s">
        <v>747</v>
      </c>
      <c r="T13" t="s">
        <v>748</v>
      </c>
      <c r="U13" t="s">
        <v>655</v>
      </c>
      <c r="V13" t="s">
        <v>644</v>
      </c>
      <c r="W13" s="29" t="s">
        <v>26753</v>
      </c>
      <c r="X13" s="29">
        <v>1</v>
      </c>
      <c r="Y13" s="32"/>
      <c r="Z13" s="29">
        <v>1</v>
      </c>
      <c r="AA13" s="29">
        <v>1</v>
      </c>
      <c r="AB13" s="29"/>
      <c r="AC13" s="29"/>
      <c r="AD13" s="225">
        <v>1</v>
      </c>
      <c r="AE13" s="31"/>
      <c r="AF13" s="29">
        <v>1</v>
      </c>
      <c r="AG13" s="29">
        <v>1</v>
      </c>
      <c r="AH13" s="29">
        <v>1</v>
      </c>
      <c r="AI13" s="29">
        <v>1</v>
      </c>
      <c r="AJ13" s="31"/>
      <c r="AK13" s="29">
        <v>1</v>
      </c>
      <c r="AL13" s="29"/>
      <c r="AM13" s="29"/>
      <c r="AN13" s="34">
        <v>1</v>
      </c>
      <c r="AO13" s="28">
        <v>1</v>
      </c>
      <c r="AP13" s="28">
        <v>1</v>
      </c>
      <c r="AQ13" s="28">
        <v>1</v>
      </c>
      <c r="AR13" s="28"/>
      <c r="AS13" s="28"/>
      <c r="AT13" s="28">
        <v>1</v>
      </c>
      <c r="AU13" s="28">
        <v>1</v>
      </c>
      <c r="AV13" s="28">
        <v>1</v>
      </c>
      <c r="AW13" s="28"/>
      <c r="AX13" s="28"/>
      <c r="AY13" s="28"/>
      <c r="AZ13" s="28"/>
      <c r="BA13" s="28"/>
      <c r="BB13" s="28"/>
      <c r="BC13" s="28">
        <v>1</v>
      </c>
      <c r="BD13" s="28"/>
      <c r="BE13" s="28"/>
      <c r="BF13" s="28">
        <v>1</v>
      </c>
      <c r="BG13" s="28"/>
      <c r="BH13" s="28">
        <v>1</v>
      </c>
      <c r="BI13" s="28"/>
      <c r="BJ13" s="28">
        <v>1</v>
      </c>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v>1</v>
      </c>
      <c r="CN13" s="28"/>
      <c r="CO13" s="28"/>
      <c r="CP13" s="28"/>
      <c r="CQ13" s="28"/>
      <c r="CR13" s="28"/>
      <c r="CS13" s="28"/>
      <c r="CT13" s="28"/>
      <c r="CU13" s="28"/>
      <c r="CV13" s="28"/>
      <c r="CW13" s="28">
        <v>1</v>
      </c>
      <c r="CX13" s="28">
        <v>1</v>
      </c>
      <c r="CY13" s="28">
        <v>1</v>
      </c>
      <c r="CZ13" s="28">
        <v>1</v>
      </c>
      <c r="DA13" s="28">
        <v>1</v>
      </c>
      <c r="DB13" s="28"/>
      <c r="DC13" s="28">
        <v>1</v>
      </c>
      <c r="DD13" s="35"/>
      <c r="DE13" s="35"/>
      <c r="DF13" s="35"/>
      <c r="DG13" s="35"/>
      <c r="DH13" s="35"/>
      <c r="DI13" s="35"/>
      <c r="DJ13" s="35"/>
      <c r="DK13" s="35"/>
      <c r="DL13" s="35"/>
      <c r="DM13" s="35"/>
      <c r="DN13" s="35"/>
      <c r="MU13" s="28">
        <f>SUM(Tabela7[[#This Row],[Communication]:[Training of DevOps activities]])</f>
        <v>18</v>
      </c>
    </row>
    <row r="14" spans="1:359" s="23" customFormat="1" hidden="1" x14ac:dyDescent="0.25">
      <c r="A14" s="22" t="s">
        <v>749</v>
      </c>
      <c r="B14" s="23" t="s">
        <v>750</v>
      </c>
      <c r="C14" s="29">
        <v>1</v>
      </c>
      <c r="D14" s="23" t="s">
        <v>717</v>
      </c>
      <c r="E14" s="29">
        <v>1</v>
      </c>
      <c r="F14" s="29" t="s">
        <v>645</v>
      </c>
      <c r="G14" s="29">
        <v>0</v>
      </c>
      <c r="H14" s="23" t="s">
        <v>751</v>
      </c>
      <c r="I14" s="30" t="s">
        <v>752</v>
      </c>
      <c r="J14" s="30" t="s">
        <v>753</v>
      </c>
      <c r="K14" s="30" t="s">
        <v>754</v>
      </c>
      <c r="L14" s="30"/>
      <c r="M14" s="30">
        <v>2017</v>
      </c>
      <c r="N14" s="30" t="s">
        <v>755</v>
      </c>
      <c r="O14" s="30">
        <v>4</v>
      </c>
      <c r="P14" s="30" t="s">
        <v>756</v>
      </c>
      <c r="Q14" s="30"/>
      <c r="R14" s="30" t="s">
        <v>757</v>
      </c>
      <c r="S14" s="30" t="s">
        <v>758</v>
      </c>
      <c r="T14" s="30" t="s">
        <v>759</v>
      </c>
      <c r="U14" s="30" t="s">
        <v>655</v>
      </c>
      <c r="V14" s="30" t="s">
        <v>644</v>
      </c>
      <c r="W14" s="29"/>
      <c r="X14" s="29"/>
      <c r="Y14" s="32"/>
      <c r="Z14" s="29"/>
      <c r="AA14" s="29"/>
      <c r="AB14" s="29"/>
      <c r="AC14" s="29"/>
      <c r="AD14" s="225"/>
      <c r="AE14" s="31"/>
      <c r="AF14" s="29"/>
      <c r="AG14" s="29"/>
      <c r="AH14" s="29"/>
      <c r="AI14" s="29"/>
      <c r="AJ14" s="31"/>
      <c r="AK14" s="29"/>
      <c r="AL14" s="29"/>
      <c r="AM14" s="29"/>
      <c r="AN14" s="32"/>
      <c r="AO14" s="29"/>
      <c r="AP14" s="29"/>
      <c r="AQ14" s="29"/>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2"/>
      <c r="EH14" s="22"/>
      <c r="EI14" s="22"/>
      <c r="EJ14" s="22"/>
      <c r="EK14" s="22"/>
      <c r="EL14" s="22"/>
      <c r="EM14" s="22"/>
      <c r="EN14" s="22"/>
      <c r="EO14" s="22"/>
      <c r="EP14" s="22"/>
      <c r="EQ14" s="22"/>
      <c r="ER14" s="22"/>
      <c r="ES14" s="22"/>
      <c r="ET14" s="22"/>
      <c r="EU14" s="22"/>
      <c r="EV14" s="22"/>
      <c r="EW14" s="22"/>
      <c r="EX14" s="22"/>
      <c r="EY14" s="22"/>
      <c r="EZ14" s="22"/>
      <c r="FA14" s="22"/>
      <c r="FB14" s="22"/>
      <c r="FC14" s="22"/>
      <c r="FD14" s="22"/>
      <c r="FE14" s="22"/>
      <c r="FF14" s="22"/>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2"/>
      <c r="HX14" s="22"/>
      <c r="HY14" s="22"/>
      <c r="HZ14" s="22"/>
      <c r="IA14" s="22"/>
      <c r="IB14" s="22"/>
      <c r="IC14" s="22"/>
      <c r="ID14" s="22"/>
      <c r="IE14" s="22"/>
      <c r="IF14" s="22"/>
      <c r="IG14" s="22"/>
      <c r="IH14" s="22"/>
      <c r="II14" s="22"/>
      <c r="IJ14" s="22"/>
      <c r="IK14" s="22"/>
      <c r="IL14" s="22"/>
      <c r="IM14" s="22"/>
      <c r="IN14" s="22"/>
      <c r="IO14" s="22"/>
      <c r="IP14" s="22"/>
      <c r="IQ14" s="22"/>
      <c r="IR14" s="22"/>
      <c r="IS14" s="22"/>
      <c r="IT14" s="22"/>
      <c r="IU14" s="22"/>
      <c r="IV14" s="22"/>
      <c r="IW14" s="22"/>
      <c r="IX14" s="22"/>
      <c r="IY14" s="22"/>
      <c r="IZ14" s="22"/>
      <c r="JA14" s="22"/>
      <c r="JB14" s="22"/>
      <c r="JC14" s="22"/>
      <c r="JD14" s="22"/>
      <c r="JE14" s="22"/>
      <c r="JF14" s="22"/>
      <c r="JG14" s="22"/>
      <c r="JH14" s="22"/>
      <c r="JI14" s="22"/>
      <c r="JJ14" s="22"/>
      <c r="JK14" s="22"/>
      <c r="JL14" s="22"/>
      <c r="JM14" s="22"/>
      <c r="JN14" s="22"/>
      <c r="JO14" s="22"/>
      <c r="JP14" s="22"/>
      <c r="JQ14" s="22"/>
      <c r="JR14" s="22"/>
      <c r="JS14" s="22"/>
      <c r="JT14" s="22"/>
      <c r="JU14" s="22"/>
      <c r="JV14" s="22"/>
      <c r="JW14" s="22"/>
      <c r="JX14" s="22"/>
      <c r="JY14" s="22"/>
      <c r="JZ14" s="22"/>
      <c r="KA14" s="22"/>
      <c r="KB14" s="22"/>
      <c r="KC14" s="22"/>
      <c r="KD14" s="22"/>
      <c r="KE14" s="22"/>
      <c r="KF14" s="22"/>
      <c r="KG14" s="22"/>
      <c r="KH14" s="22"/>
      <c r="KI14" s="22"/>
      <c r="KJ14" s="22"/>
      <c r="KK14" s="22"/>
      <c r="KL14" s="22"/>
      <c r="KM14" s="22"/>
      <c r="KN14" s="22"/>
      <c r="KO14" s="22"/>
      <c r="KP14" s="22"/>
      <c r="KQ14" s="22"/>
      <c r="KR14" s="22"/>
      <c r="KS14" s="22"/>
      <c r="KT14" s="22"/>
      <c r="KU14" s="22"/>
      <c r="KV14" s="22"/>
      <c r="KW14" s="22"/>
      <c r="KX14" s="22"/>
      <c r="KY14" s="22"/>
      <c r="KZ14" s="22"/>
      <c r="LA14" s="22"/>
      <c r="LB14" s="22"/>
      <c r="LC14" s="22"/>
      <c r="LD14" s="22"/>
      <c r="LE14" s="22"/>
      <c r="LF14" s="22"/>
      <c r="LG14" s="22"/>
      <c r="LH14" s="22"/>
      <c r="LI14" s="22"/>
      <c r="LJ14" s="22"/>
      <c r="LK14" s="22"/>
      <c r="LL14" s="22"/>
      <c r="LM14" s="22"/>
      <c r="LN14" s="22"/>
      <c r="LO14" s="22"/>
      <c r="LP14" s="22"/>
      <c r="LQ14" s="22"/>
      <c r="LR14" s="22"/>
      <c r="LS14" s="22"/>
      <c r="LT14" s="22"/>
      <c r="LU14" s="22"/>
      <c r="LV14" s="22"/>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8">
        <f>SUM(Tabela7[[#This Row],[Communication]:[Training of DevOps activities]])</f>
        <v>0</v>
      </c>
    </row>
    <row r="15" spans="1:359" s="23" customFormat="1" hidden="1" x14ac:dyDescent="0.25">
      <c r="A15" s="22" t="s">
        <v>760</v>
      </c>
      <c r="B15" s="23" t="s">
        <v>761</v>
      </c>
      <c r="C15" s="29">
        <v>1</v>
      </c>
      <c r="D15" s="23" t="s">
        <v>717</v>
      </c>
      <c r="E15" s="29">
        <v>1</v>
      </c>
      <c r="F15" s="29" t="s">
        <v>645</v>
      </c>
      <c r="G15" s="29">
        <v>0</v>
      </c>
      <c r="H15" s="23" t="s">
        <v>762</v>
      </c>
      <c r="I15" s="33" t="s">
        <v>763</v>
      </c>
      <c r="J15" s="33" t="s">
        <v>764</v>
      </c>
      <c r="K15" s="33" t="s">
        <v>765</v>
      </c>
      <c r="L15" s="33"/>
      <c r="M15" s="33">
        <v>2017</v>
      </c>
      <c r="N15" s="33" t="s">
        <v>766</v>
      </c>
      <c r="O15" s="33">
        <v>2</v>
      </c>
      <c r="P15" s="33" t="s">
        <v>767</v>
      </c>
      <c r="Q15" s="33"/>
      <c r="R15" s="33" t="s">
        <v>768</v>
      </c>
      <c r="S15" s="33" t="s">
        <v>769</v>
      </c>
      <c r="T15" s="33" t="s">
        <v>646</v>
      </c>
      <c r="U15" s="33" t="s">
        <v>670</v>
      </c>
      <c r="V15" s="33" t="s">
        <v>644</v>
      </c>
      <c r="W15" s="29"/>
      <c r="X15" s="29"/>
      <c r="Y15" s="32"/>
      <c r="Z15" s="29"/>
      <c r="AA15" s="29"/>
      <c r="AB15" s="29"/>
      <c r="AC15" s="29"/>
      <c r="AD15" s="225"/>
      <c r="AE15" s="31"/>
      <c r="AF15" s="29"/>
      <c r="AG15" s="29"/>
      <c r="AH15" s="29"/>
      <c r="AI15" s="29"/>
      <c r="AJ15" s="31"/>
      <c r="AK15" s="29"/>
      <c r="AL15" s="29"/>
      <c r="AM15" s="29"/>
      <c r="AN15" s="32"/>
      <c r="AO15" s="29"/>
      <c r="AP15" s="29"/>
      <c r="AQ15" s="29"/>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
      <c r="HX15" s="22"/>
      <c r="HY15" s="22"/>
      <c r="HZ15" s="22"/>
      <c r="IA15" s="22"/>
      <c r="IB15" s="22"/>
      <c r="IC15" s="22"/>
      <c r="ID15" s="22"/>
      <c r="IE15" s="22"/>
      <c r="IF15" s="22"/>
      <c r="IG15" s="22"/>
      <c r="IH15" s="22"/>
      <c r="II15" s="22"/>
      <c r="IJ15" s="22"/>
      <c r="IK15" s="22"/>
      <c r="IL15" s="22"/>
      <c r="IM15" s="22"/>
      <c r="IN15" s="22"/>
      <c r="IO15" s="22"/>
      <c r="IP15" s="22"/>
      <c r="IQ15" s="22"/>
      <c r="IR15" s="22"/>
      <c r="IS15" s="22"/>
      <c r="IT15" s="22"/>
      <c r="IU15" s="22"/>
      <c r="IV15" s="22"/>
      <c r="IW15" s="22"/>
      <c r="IX15" s="22"/>
      <c r="IY15" s="22"/>
      <c r="IZ15" s="22"/>
      <c r="JA15" s="22"/>
      <c r="JB15" s="22"/>
      <c r="JC15" s="22"/>
      <c r="JD15" s="22"/>
      <c r="JE15" s="22"/>
      <c r="JF15" s="22"/>
      <c r="JG15" s="22"/>
      <c r="JH15" s="22"/>
      <c r="JI15" s="22"/>
      <c r="JJ15" s="22"/>
      <c r="JK15" s="22"/>
      <c r="JL15" s="22"/>
      <c r="JM15" s="22"/>
      <c r="JN15" s="22"/>
      <c r="JO15" s="22"/>
      <c r="JP15" s="22"/>
      <c r="JQ15" s="22"/>
      <c r="JR15" s="22"/>
      <c r="JS15" s="22"/>
      <c r="JT15" s="22"/>
      <c r="JU15" s="22"/>
      <c r="JV15" s="22"/>
      <c r="JW15" s="22"/>
      <c r="JX15" s="22"/>
      <c r="JY15" s="22"/>
      <c r="JZ15" s="22"/>
      <c r="KA15" s="22"/>
      <c r="KB15" s="22"/>
      <c r="KC15" s="22"/>
      <c r="KD15" s="22"/>
      <c r="KE15" s="22"/>
      <c r="KF15" s="22"/>
      <c r="KG15" s="22"/>
      <c r="KH15" s="22"/>
      <c r="KI15" s="22"/>
      <c r="KJ15" s="22"/>
      <c r="KK15" s="22"/>
      <c r="KL15" s="22"/>
      <c r="KM15" s="22"/>
      <c r="KN15" s="22"/>
      <c r="KO15" s="22"/>
      <c r="KP15" s="22"/>
      <c r="KQ15" s="22"/>
      <c r="KR15" s="22"/>
      <c r="KS15" s="22"/>
      <c r="KT15" s="22"/>
      <c r="KU15" s="22"/>
      <c r="KV15" s="22"/>
      <c r="KW15" s="22"/>
      <c r="KX15" s="22"/>
      <c r="KY15" s="22"/>
      <c r="KZ15" s="22"/>
      <c r="LA15" s="22"/>
      <c r="LB15" s="22"/>
      <c r="LC15" s="22"/>
      <c r="LD15" s="22"/>
      <c r="LE15" s="22"/>
      <c r="LF15" s="22"/>
      <c r="LG15" s="22"/>
      <c r="LH15" s="22"/>
      <c r="LI15" s="22"/>
      <c r="LJ15" s="22"/>
      <c r="LK15" s="22"/>
      <c r="LL15" s="22"/>
      <c r="LM15" s="22"/>
      <c r="LN15" s="22"/>
      <c r="LO15" s="22"/>
      <c r="LP15" s="22"/>
      <c r="LQ15" s="22"/>
      <c r="LR15" s="22"/>
      <c r="LS15" s="22"/>
      <c r="LT15" s="22"/>
      <c r="LU15" s="22"/>
      <c r="LV15" s="22"/>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8">
        <f>SUM(Tabela7[[#This Row],[Communication]:[Training of DevOps activities]])</f>
        <v>0</v>
      </c>
    </row>
    <row r="16" spans="1:359" s="23" customFormat="1" hidden="1" x14ac:dyDescent="0.25">
      <c r="A16" s="22" t="s">
        <v>770</v>
      </c>
      <c r="B16" s="23" t="s">
        <v>771</v>
      </c>
      <c r="C16" s="29">
        <v>1</v>
      </c>
      <c r="D16" s="23" t="s">
        <v>717</v>
      </c>
      <c r="E16" s="29">
        <v>1</v>
      </c>
      <c r="F16" s="29" t="s">
        <v>645</v>
      </c>
      <c r="G16" s="29">
        <v>0</v>
      </c>
      <c r="H16" s="23" t="s">
        <v>772</v>
      </c>
      <c r="I16" s="30" t="s">
        <v>773</v>
      </c>
      <c r="J16" s="30" t="s">
        <v>774</v>
      </c>
      <c r="K16" s="30" t="s">
        <v>775</v>
      </c>
      <c r="L16" s="30"/>
      <c r="M16" s="30">
        <v>2017</v>
      </c>
      <c r="N16" s="30" t="s">
        <v>776</v>
      </c>
      <c r="O16" s="30">
        <v>49</v>
      </c>
      <c r="P16" s="30" t="s">
        <v>777</v>
      </c>
      <c r="Q16" s="30"/>
      <c r="R16" s="30" t="s">
        <v>778</v>
      </c>
      <c r="S16" s="30" t="s">
        <v>779</v>
      </c>
      <c r="T16" s="30" t="s">
        <v>780</v>
      </c>
      <c r="U16" s="30" t="s">
        <v>655</v>
      </c>
      <c r="V16" s="30" t="s">
        <v>644</v>
      </c>
      <c r="W16" s="29"/>
      <c r="X16" s="29"/>
      <c r="Y16" s="32"/>
      <c r="Z16" s="29"/>
      <c r="AA16" s="29"/>
      <c r="AB16" s="29"/>
      <c r="AC16" s="29"/>
      <c r="AD16" s="225"/>
      <c r="AE16" s="31"/>
      <c r="AF16" s="29"/>
      <c r="AG16" s="29"/>
      <c r="AH16" s="29"/>
      <c r="AI16" s="29"/>
      <c r="AJ16" s="31"/>
      <c r="AK16" s="29"/>
      <c r="AL16" s="29"/>
      <c r="AM16" s="29"/>
      <c r="AN16" s="32"/>
      <c r="AO16" s="29"/>
      <c r="AP16" s="29"/>
      <c r="AQ16" s="29"/>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2"/>
      <c r="HX16" s="22"/>
      <c r="HY16" s="22"/>
      <c r="HZ16" s="22"/>
      <c r="IA16" s="22"/>
      <c r="IB16" s="22"/>
      <c r="IC16" s="22"/>
      <c r="ID16" s="22"/>
      <c r="IE16" s="22"/>
      <c r="IF16" s="22"/>
      <c r="IG16" s="22"/>
      <c r="IH16" s="22"/>
      <c r="II16" s="22"/>
      <c r="IJ16" s="22"/>
      <c r="IK16" s="22"/>
      <c r="IL16" s="22"/>
      <c r="IM16" s="22"/>
      <c r="IN16" s="22"/>
      <c r="IO16" s="22"/>
      <c r="IP16" s="22"/>
      <c r="IQ16" s="22"/>
      <c r="IR16" s="22"/>
      <c r="IS16" s="22"/>
      <c r="IT16" s="22"/>
      <c r="IU16" s="22"/>
      <c r="IV16" s="22"/>
      <c r="IW16" s="22"/>
      <c r="IX16" s="22"/>
      <c r="IY16" s="22"/>
      <c r="IZ16" s="22"/>
      <c r="JA16" s="22"/>
      <c r="JB16" s="22"/>
      <c r="JC16" s="22"/>
      <c r="JD16" s="22"/>
      <c r="JE16" s="22"/>
      <c r="JF16" s="22"/>
      <c r="JG16" s="22"/>
      <c r="JH16" s="22"/>
      <c r="JI16" s="22"/>
      <c r="JJ16" s="22"/>
      <c r="JK16" s="22"/>
      <c r="JL16" s="22"/>
      <c r="JM16" s="22"/>
      <c r="JN16" s="22"/>
      <c r="JO16" s="22"/>
      <c r="JP16" s="22"/>
      <c r="JQ16" s="22"/>
      <c r="JR16" s="22"/>
      <c r="JS16" s="22"/>
      <c r="JT16" s="22"/>
      <c r="JU16" s="22"/>
      <c r="JV16" s="22"/>
      <c r="JW16" s="22"/>
      <c r="JX16" s="22"/>
      <c r="JY16" s="22"/>
      <c r="JZ16" s="22"/>
      <c r="KA16" s="22"/>
      <c r="KB16" s="22"/>
      <c r="KC16" s="22"/>
      <c r="KD16" s="22"/>
      <c r="KE16" s="22"/>
      <c r="KF16" s="22"/>
      <c r="KG16" s="22"/>
      <c r="KH16" s="22"/>
      <c r="KI16" s="22"/>
      <c r="KJ16" s="22"/>
      <c r="KK16" s="22"/>
      <c r="KL16" s="22"/>
      <c r="KM16" s="22"/>
      <c r="KN16" s="22"/>
      <c r="KO16" s="22"/>
      <c r="KP16" s="22"/>
      <c r="KQ16" s="22"/>
      <c r="KR16" s="22"/>
      <c r="KS16" s="22"/>
      <c r="KT16" s="22"/>
      <c r="KU16" s="22"/>
      <c r="KV16" s="22"/>
      <c r="KW16" s="22"/>
      <c r="KX16" s="22"/>
      <c r="KY16" s="22"/>
      <c r="KZ16" s="22"/>
      <c r="LA16" s="22"/>
      <c r="LB16" s="22"/>
      <c r="LC16" s="22"/>
      <c r="LD16" s="22"/>
      <c r="LE16" s="22"/>
      <c r="LF16" s="22"/>
      <c r="LG16" s="22"/>
      <c r="LH16" s="22"/>
      <c r="LI16" s="22"/>
      <c r="LJ16" s="22"/>
      <c r="LK16" s="22"/>
      <c r="LL16" s="22"/>
      <c r="LM16" s="22"/>
      <c r="LN16" s="22"/>
      <c r="LO16" s="22"/>
      <c r="LP16" s="22"/>
      <c r="LQ16" s="22"/>
      <c r="LR16" s="22"/>
      <c r="LS16" s="22"/>
      <c r="LT16" s="22"/>
      <c r="LU16" s="22"/>
      <c r="LV16" s="22"/>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8">
        <f>SUM(Tabela7[[#This Row],[Communication]:[Training of DevOps activities]])</f>
        <v>0</v>
      </c>
    </row>
    <row r="17" spans="1:359" s="23" customFormat="1" hidden="1" x14ac:dyDescent="0.25">
      <c r="A17" s="22" t="s">
        <v>781</v>
      </c>
      <c r="B17" s="23" t="s">
        <v>782</v>
      </c>
      <c r="C17" s="29">
        <v>1</v>
      </c>
      <c r="D17" s="23" t="s">
        <v>717</v>
      </c>
      <c r="E17" s="29">
        <v>1</v>
      </c>
      <c r="F17" s="29" t="s">
        <v>645</v>
      </c>
      <c r="G17" s="29">
        <v>0</v>
      </c>
      <c r="H17" s="23" t="s">
        <v>783</v>
      </c>
      <c r="I17" s="33" t="s">
        <v>784</v>
      </c>
      <c r="J17" s="33" t="s">
        <v>785</v>
      </c>
      <c r="K17" s="33" t="s">
        <v>786</v>
      </c>
      <c r="L17" s="33"/>
      <c r="M17" s="33">
        <v>2012</v>
      </c>
      <c r="N17" s="33" t="s">
        <v>708</v>
      </c>
      <c r="O17" s="33">
        <v>75</v>
      </c>
      <c r="P17" s="33" t="s">
        <v>787</v>
      </c>
      <c r="Q17" s="33"/>
      <c r="R17" s="33" t="s">
        <v>788</v>
      </c>
      <c r="S17" s="33" t="s">
        <v>789</v>
      </c>
      <c r="T17" s="33" t="s">
        <v>790</v>
      </c>
      <c r="U17" s="33" t="s">
        <v>791</v>
      </c>
      <c r="V17" s="33" t="s">
        <v>644</v>
      </c>
      <c r="W17" s="29"/>
      <c r="X17" s="29"/>
      <c r="Y17" s="32"/>
      <c r="Z17" s="29"/>
      <c r="AA17" s="29"/>
      <c r="AB17" s="29"/>
      <c r="AC17" s="29"/>
      <c r="AD17" s="225"/>
      <c r="AE17" s="31"/>
      <c r="AF17" s="29"/>
      <c r="AG17" s="29"/>
      <c r="AH17" s="29"/>
      <c r="AI17" s="29"/>
      <c r="AJ17" s="31"/>
      <c r="AK17" s="29"/>
      <c r="AL17" s="29"/>
      <c r="AM17" s="29"/>
      <c r="AN17" s="32"/>
      <c r="AO17" s="29"/>
      <c r="AP17" s="29"/>
      <c r="AQ17" s="29"/>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c r="IE17" s="22"/>
      <c r="IF17" s="22"/>
      <c r="IG17" s="22"/>
      <c r="IH17" s="22"/>
      <c r="II17" s="22"/>
      <c r="IJ17" s="22"/>
      <c r="IK17" s="22"/>
      <c r="IL17" s="22"/>
      <c r="IM17" s="22"/>
      <c r="IN17" s="22"/>
      <c r="IO17" s="22"/>
      <c r="IP17" s="22"/>
      <c r="IQ17" s="22"/>
      <c r="IR17" s="22"/>
      <c r="IS17" s="22"/>
      <c r="IT17" s="22"/>
      <c r="IU17" s="22"/>
      <c r="IV17" s="22"/>
      <c r="IW17" s="22"/>
      <c r="IX17" s="22"/>
      <c r="IY17" s="22"/>
      <c r="IZ17" s="22"/>
      <c r="JA17" s="22"/>
      <c r="JB17" s="22"/>
      <c r="JC17" s="22"/>
      <c r="JD17" s="22"/>
      <c r="JE17" s="22"/>
      <c r="JF17" s="22"/>
      <c r="JG17" s="22"/>
      <c r="JH17" s="22"/>
      <c r="JI17" s="22"/>
      <c r="JJ17" s="22"/>
      <c r="JK17" s="22"/>
      <c r="JL17" s="22"/>
      <c r="JM17" s="22"/>
      <c r="JN17" s="22"/>
      <c r="JO17" s="22"/>
      <c r="JP17" s="22"/>
      <c r="JQ17" s="22"/>
      <c r="JR17" s="22"/>
      <c r="JS17" s="22"/>
      <c r="JT17" s="22"/>
      <c r="JU17" s="22"/>
      <c r="JV17" s="22"/>
      <c r="JW17" s="22"/>
      <c r="JX17" s="22"/>
      <c r="JY17" s="22"/>
      <c r="JZ17" s="22"/>
      <c r="KA17" s="22"/>
      <c r="KB17" s="22"/>
      <c r="KC17" s="22"/>
      <c r="KD17" s="22"/>
      <c r="KE17" s="22"/>
      <c r="KF17" s="22"/>
      <c r="KG17" s="22"/>
      <c r="KH17" s="22"/>
      <c r="KI17" s="22"/>
      <c r="KJ17" s="22"/>
      <c r="KK17" s="22"/>
      <c r="KL17" s="22"/>
      <c r="KM17" s="22"/>
      <c r="KN17" s="22"/>
      <c r="KO17" s="22"/>
      <c r="KP17" s="22"/>
      <c r="KQ17" s="22"/>
      <c r="KR17" s="22"/>
      <c r="KS17" s="22"/>
      <c r="KT17" s="22"/>
      <c r="KU17" s="22"/>
      <c r="KV17" s="22"/>
      <c r="KW17" s="22"/>
      <c r="KX17" s="22"/>
      <c r="KY17" s="22"/>
      <c r="KZ17" s="22"/>
      <c r="LA17" s="22"/>
      <c r="LB17" s="22"/>
      <c r="LC17" s="22"/>
      <c r="LD17" s="22"/>
      <c r="LE17" s="22"/>
      <c r="LF17" s="22"/>
      <c r="LG17" s="22"/>
      <c r="LH17" s="22"/>
      <c r="LI17" s="22"/>
      <c r="LJ17" s="22"/>
      <c r="LK17" s="22"/>
      <c r="LL17" s="22"/>
      <c r="LM17" s="22"/>
      <c r="LN17" s="22"/>
      <c r="LO17" s="22"/>
      <c r="LP17" s="22"/>
      <c r="LQ17" s="22"/>
      <c r="LR17" s="22"/>
      <c r="LS17" s="22"/>
      <c r="LT17" s="22"/>
      <c r="LU17" s="22"/>
      <c r="LV17" s="22"/>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8">
        <f>SUM(Tabela7[[#This Row],[Communication]:[Training of DevOps activities]])</f>
        <v>0</v>
      </c>
    </row>
    <row r="18" spans="1:359" s="23" customFormat="1" hidden="1" x14ac:dyDescent="0.25">
      <c r="A18" s="22" t="s">
        <v>792</v>
      </c>
      <c r="B18" s="23" t="s">
        <v>793</v>
      </c>
      <c r="C18" s="29">
        <v>1</v>
      </c>
      <c r="D18" s="23" t="s">
        <v>644</v>
      </c>
      <c r="E18" s="29">
        <v>1</v>
      </c>
      <c r="F18" s="29" t="s">
        <v>645</v>
      </c>
      <c r="G18" s="29">
        <v>0</v>
      </c>
      <c r="H18" s="23" t="s">
        <v>794</v>
      </c>
      <c r="I18" s="30" t="s">
        <v>795</v>
      </c>
      <c r="J18" s="30" t="s">
        <v>796</v>
      </c>
      <c r="K18" s="30" t="s">
        <v>797</v>
      </c>
      <c r="L18" s="30"/>
      <c r="M18" s="30">
        <v>2019</v>
      </c>
      <c r="N18" s="30" t="s">
        <v>687</v>
      </c>
      <c r="O18" s="30"/>
      <c r="P18" s="30" t="s">
        <v>798</v>
      </c>
      <c r="Q18" s="30"/>
      <c r="R18" s="30" t="s">
        <v>799</v>
      </c>
      <c r="S18" s="30" t="s">
        <v>800</v>
      </c>
      <c r="T18" s="30" t="s">
        <v>646</v>
      </c>
      <c r="U18" s="30" t="s">
        <v>670</v>
      </c>
      <c r="V18" s="30" t="s">
        <v>644</v>
      </c>
      <c r="W18" s="29"/>
      <c r="X18" s="29"/>
      <c r="Y18" s="32"/>
      <c r="Z18" s="29"/>
      <c r="AA18" s="29"/>
      <c r="AB18" s="29"/>
      <c r="AC18" s="29"/>
      <c r="AD18" s="225"/>
      <c r="AE18" s="31"/>
      <c r="AF18" s="29"/>
      <c r="AG18" s="29"/>
      <c r="AH18" s="29"/>
      <c r="AI18" s="29"/>
      <c r="AJ18" s="31"/>
      <c r="AK18" s="29"/>
      <c r="AL18" s="29"/>
      <c r="AM18" s="29"/>
      <c r="AN18" s="32"/>
      <c r="AO18" s="29"/>
      <c r="AP18" s="29"/>
      <c r="AQ18" s="29"/>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c r="IE18" s="22"/>
      <c r="IF18" s="22"/>
      <c r="IG18" s="22"/>
      <c r="IH18" s="22"/>
      <c r="II18" s="22"/>
      <c r="IJ18" s="22"/>
      <c r="IK18" s="22"/>
      <c r="IL18" s="22"/>
      <c r="IM18" s="22"/>
      <c r="IN18" s="22"/>
      <c r="IO18" s="22"/>
      <c r="IP18" s="22"/>
      <c r="IQ18" s="22"/>
      <c r="IR18" s="22"/>
      <c r="IS18" s="22"/>
      <c r="IT18" s="22"/>
      <c r="IU18" s="22"/>
      <c r="IV18" s="22"/>
      <c r="IW18" s="22"/>
      <c r="IX18" s="22"/>
      <c r="IY18" s="22"/>
      <c r="IZ18" s="22"/>
      <c r="JA18" s="22"/>
      <c r="JB18" s="22"/>
      <c r="JC18" s="22"/>
      <c r="JD18" s="22"/>
      <c r="JE18" s="22"/>
      <c r="JF18" s="22"/>
      <c r="JG18" s="22"/>
      <c r="JH18" s="22"/>
      <c r="JI18" s="22"/>
      <c r="JJ18" s="22"/>
      <c r="JK18" s="22"/>
      <c r="JL18" s="22"/>
      <c r="JM18" s="22"/>
      <c r="JN18" s="22"/>
      <c r="JO18" s="22"/>
      <c r="JP18" s="22"/>
      <c r="JQ18" s="22"/>
      <c r="JR18" s="22"/>
      <c r="JS18" s="22"/>
      <c r="JT18" s="22"/>
      <c r="JU18" s="22"/>
      <c r="JV18" s="22"/>
      <c r="JW18" s="22"/>
      <c r="JX18" s="22"/>
      <c r="JY18" s="22"/>
      <c r="JZ18" s="22"/>
      <c r="KA18" s="22"/>
      <c r="KB18" s="22"/>
      <c r="KC18" s="22"/>
      <c r="KD18" s="22"/>
      <c r="KE18" s="22"/>
      <c r="KF18" s="22"/>
      <c r="KG18" s="22"/>
      <c r="KH18" s="22"/>
      <c r="KI18" s="22"/>
      <c r="KJ18" s="22"/>
      <c r="KK18" s="22"/>
      <c r="KL18" s="22"/>
      <c r="KM18" s="22"/>
      <c r="KN18" s="22"/>
      <c r="KO18" s="22"/>
      <c r="KP18" s="22"/>
      <c r="KQ18" s="22"/>
      <c r="KR18" s="22"/>
      <c r="KS18" s="22"/>
      <c r="KT18" s="22"/>
      <c r="KU18" s="22"/>
      <c r="KV18" s="22"/>
      <c r="KW18" s="22"/>
      <c r="KX18" s="22"/>
      <c r="KY18" s="22"/>
      <c r="KZ18" s="22"/>
      <c r="LA18" s="22"/>
      <c r="LB18" s="22"/>
      <c r="LC18" s="22"/>
      <c r="LD18" s="22"/>
      <c r="LE18" s="22"/>
      <c r="LF18" s="22"/>
      <c r="LG18" s="22"/>
      <c r="LH18" s="22"/>
      <c r="LI18" s="22"/>
      <c r="LJ18" s="22"/>
      <c r="LK18" s="22"/>
      <c r="LL18" s="22"/>
      <c r="LM18" s="22"/>
      <c r="LN18" s="22"/>
      <c r="LO18" s="22"/>
      <c r="LP18" s="22"/>
      <c r="LQ18" s="22"/>
      <c r="LR18" s="22"/>
      <c r="LS18" s="22"/>
      <c r="LT18" s="22"/>
      <c r="LU18" s="22"/>
      <c r="LV18" s="22"/>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8">
        <f>SUM(Tabela7[[#This Row],[Communication]:[Training of DevOps activities]])</f>
        <v>0</v>
      </c>
    </row>
    <row r="19" spans="1:359" s="23" customFormat="1" hidden="1" x14ac:dyDescent="0.25">
      <c r="A19" s="22" t="s">
        <v>801</v>
      </c>
      <c r="B19" s="23" t="s">
        <v>802</v>
      </c>
      <c r="C19" s="29">
        <v>1</v>
      </c>
      <c r="D19" s="23" t="s">
        <v>717</v>
      </c>
      <c r="E19" s="29">
        <v>1</v>
      </c>
      <c r="F19" s="29" t="s">
        <v>645</v>
      </c>
      <c r="G19" s="29">
        <v>0</v>
      </c>
      <c r="H19" s="23" t="s">
        <v>803</v>
      </c>
      <c r="I19" s="33" t="s">
        <v>804</v>
      </c>
      <c r="J19" s="33" t="s">
        <v>805</v>
      </c>
      <c r="K19" s="33" t="s">
        <v>806</v>
      </c>
      <c r="L19" s="33"/>
      <c r="M19" s="33">
        <v>2018</v>
      </c>
      <c r="N19" s="33" t="s">
        <v>807</v>
      </c>
      <c r="O19" s="33">
        <v>1</v>
      </c>
      <c r="P19" s="33" t="s">
        <v>808</v>
      </c>
      <c r="Q19" s="33"/>
      <c r="R19" s="33" t="s">
        <v>809</v>
      </c>
      <c r="S19" s="33" t="s">
        <v>810</v>
      </c>
      <c r="T19" s="33" t="s">
        <v>811</v>
      </c>
      <c r="U19" s="33" t="s">
        <v>655</v>
      </c>
      <c r="V19" s="33" t="s">
        <v>644</v>
      </c>
      <c r="W19" s="29"/>
      <c r="X19" s="29"/>
      <c r="Y19" s="32"/>
      <c r="Z19" s="29"/>
      <c r="AA19" s="29"/>
      <c r="AB19" s="29"/>
      <c r="AC19" s="29"/>
      <c r="AD19" s="225"/>
      <c r="AE19" s="31"/>
      <c r="AF19" s="29"/>
      <c r="AG19" s="29"/>
      <c r="AH19" s="29"/>
      <c r="AI19" s="29"/>
      <c r="AJ19" s="31"/>
      <c r="AK19" s="29"/>
      <c r="AL19" s="29"/>
      <c r="AM19" s="29"/>
      <c r="AN19" s="32"/>
      <c r="AO19" s="29"/>
      <c r="AP19" s="29"/>
      <c r="AQ19" s="29"/>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22"/>
      <c r="JL19" s="22"/>
      <c r="JM19" s="22"/>
      <c r="JN19" s="22"/>
      <c r="JO19" s="22"/>
      <c r="JP19" s="22"/>
      <c r="JQ19" s="22"/>
      <c r="JR19" s="22"/>
      <c r="JS19" s="22"/>
      <c r="JT19" s="22"/>
      <c r="JU19" s="22"/>
      <c r="JV19" s="22"/>
      <c r="JW19" s="22"/>
      <c r="JX19" s="22"/>
      <c r="JY19" s="22"/>
      <c r="JZ19" s="22"/>
      <c r="KA19" s="22"/>
      <c r="KB19" s="22"/>
      <c r="KC19" s="22"/>
      <c r="KD19" s="22"/>
      <c r="KE19" s="22"/>
      <c r="KF19" s="22"/>
      <c r="KG19" s="22"/>
      <c r="KH19" s="22"/>
      <c r="KI19" s="22"/>
      <c r="KJ19" s="22"/>
      <c r="KK19" s="22"/>
      <c r="KL19" s="22"/>
      <c r="KM19" s="22"/>
      <c r="KN19" s="22"/>
      <c r="KO19" s="22"/>
      <c r="KP19" s="22"/>
      <c r="KQ19" s="22"/>
      <c r="KR19" s="22"/>
      <c r="KS19" s="22"/>
      <c r="KT19" s="22"/>
      <c r="KU19" s="22"/>
      <c r="KV19" s="22"/>
      <c r="KW19" s="22"/>
      <c r="KX19" s="22"/>
      <c r="KY19" s="22"/>
      <c r="KZ19" s="22"/>
      <c r="LA19" s="22"/>
      <c r="LB19" s="22"/>
      <c r="LC19" s="22"/>
      <c r="LD19" s="22"/>
      <c r="LE19" s="22"/>
      <c r="LF19" s="22"/>
      <c r="LG19" s="22"/>
      <c r="LH19" s="22"/>
      <c r="LI19" s="22"/>
      <c r="LJ19" s="22"/>
      <c r="LK19" s="22"/>
      <c r="LL19" s="22"/>
      <c r="LM19" s="22"/>
      <c r="LN19" s="22"/>
      <c r="LO19" s="22"/>
      <c r="LP19" s="22"/>
      <c r="LQ19" s="22"/>
      <c r="LR19" s="22"/>
      <c r="LS19" s="22"/>
      <c r="LT19" s="22"/>
      <c r="LU19" s="22"/>
      <c r="LV19" s="22"/>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8">
        <f>SUM(Tabela7[[#This Row],[Communication]:[Training of DevOps activities]])</f>
        <v>0</v>
      </c>
    </row>
    <row r="20" spans="1:359" s="24" customFormat="1" ht="14.4" x14ac:dyDescent="0.3">
      <c r="A20" s="35" t="s">
        <v>812</v>
      </c>
      <c r="B20" s="24" t="s">
        <v>813</v>
      </c>
      <c r="C20" s="24">
        <v>1</v>
      </c>
      <c r="D20" s="23" t="s">
        <v>644</v>
      </c>
      <c r="E20" s="24" t="s">
        <v>26753</v>
      </c>
      <c r="F20" s="24" t="s">
        <v>26753</v>
      </c>
      <c r="G20" s="24">
        <v>1</v>
      </c>
      <c r="H20" t="s">
        <v>814</v>
      </c>
      <c r="I20" t="s">
        <v>815</v>
      </c>
      <c r="J20" t="s">
        <v>816</v>
      </c>
      <c r="K20" t="s">
        <v>817</v>
      </c>
      <c r="L20" t="s">
        <v>707</v>
      </c>
      <c r="M20">
        <v>2020</v>
      </c>
      <c r="N20" t="s">
        <v>818</v>
      </c>
      <c r="O20"/>
      <c r="P20" t="s">
        <v>819</v>
      </c>
      <c r="Q20" t="s">
        <v>820</v>
      </c>
      <c r="R20" t="s">
        <v>821</v>
      </c>
      <c r="S20" t="s">
        <v>822</v>
      </c>
      <c r="T20" t="s">
        <v>823</v>
      </c>
      <c r="U20" t="s">
        <v>670</v>
      </c>
      <c r="V20" t="s">
        <v>644</v>
      </c>
      <c r="W20" s="24" t="s">
        <v>26753</v>
      </c>
      <c r="X20" s="24" t="s">
        <v>26753</v>
      </c>
      <c r="Y20" s="37"/>
      <c r="AD20" s="226">
        <v>1</v>
      </c>
      <c r="AE20" s="36">
        <v>1</v>
      </c>
      <c r="AJ20" s="36">
        <v>1</v>
      </c>
      <c r="AN20" s="37"/>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v>1</v>
      </c>
      <c r="CF20" s="35"/>
      <c r="CG20" s="35"/>
      <c r="CH20" s="35"/>
      <c r="CI20" s="35"/>
      <c r="CJ20" s="35"/>
      <c r="CK20" s="35"/>
      <c r="CL20" s="35"/>
      <c r="CM20" s="35"/>
      <c r="CN20" s="35"/>
      <c r="CO20" s="35"/>
      <c r="CP20" s="35"/>
      <c r="CQ20" s="35"/>
      <c r="CR20" s="35"/>
      <c r="CS20" s="35"/>
      <c r="CT20" s="35"/>
      <c r="CU20" s="35"/>
      <c r="CV20" s="35"/>
      <c r="CW20" s="35"/>
      <c r="CX20" s="35"/>
      <c r="CY20" s="35">
        <v>1</v>
      </c>
      <c r="CZ20" s="35"/>
      <c r="DA20" s="35"/>
      <c r="DB20" s="35"/>
      <c r="DC20" s="35"/>
      <c r="DD20" s="35"/>
      <c r="DE20" s="35"/>
      <c r="DF20" s="35"/>
      <c r="DG20" s="35"/>
      <c r="DH20" s="35"/>
      <c r="DI20" s="35">
        <v>1</v>
      </c>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v>1</v>
      </c>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c r="IC20" s="35"/>
      <c r="ID20" s="35"/>
      <c r="IE20" s="35"/>
      <c r="IF20" s="35"/>
      <c r="IG20" s="35"/>
      <c r="IH20" s="35"/>
      <c r="II20" s="35"/>
      <c r="IJ20" s="35"/>
      <c r="IK20" s="35"/>
      <c r="IL20" s="35"/>
      <c r="IM20" s="35"/>
      <c r="IN20" s="35"/>
      <c r="IO20" s="35"/>
      <c r="IP20" s="35"/>
      <c r="IQ20" s="35"/>
      <c r="IR20" s="35"/>
      <c r="IS20" s="35"/>
      <c r="IT20" s="35"/>
      <c r="IU20" s="35"/>
      <c r="IV20" s="35"/>
      <c r="IW20" s="35"/>
      <c r="IX20" s="35"/>
      <c r="IY20" s="35"/>
      <c r="IZ20" s="35"/>
      <c r="JA20" s="35"/>
      <c r="JB20" s="35"/>
      <c r="JC20" s="35"/>
      <c r="JD20" s="35"/>
      <c r="JE20" s="35"/>
      <c r="JF20" s="35"/>
      <c r="JG20" s="35"/>
      <c r="JH20" s="35"/>
      <c r="JI20" s="35"/>
      <c r="JJ20" s="35"/>
      <c r="JK20" s="35"/>
      <c r="JL20" s="35"/>
      <c r="JM20" s="35"/>
      <c r="JN20" s="35"/>
      <c r="JO20" s="35"/>
      <c r="JP20" s="35"/>
      <c r="JQ20" s="35"/>
      <c r="JR20" s="35"/>
      <c r="JS20" s="35"/>
      <c r="JT20" s="35"/>
      <c r="JU20" s="35"/>
      <c r="JV20" s="35"/>
      <c r="JW20" s="35"/>
      <c r="JX20" s="35"/>
      <c r="JY20" s="35"/>
      <c r="JZ20" s="35"/>
      <c r="KA20" s="35"/>
      <c r="KB20" s="35"/>
      <c r="KC20" s="35"/>
      <c r="KD20" s="35"/>
      <c r="KE20" s="35"/>
      <c r="KF20" s="35"/>
      <c r="KG20" s="35"/>
      <c r="KH20" s="35"/>
      <c r="KI20" s="35"/>
      <c r="KJ20" s="35"/>
      <c r="KK20" s="35"/>
      <c r="KL20" s="35"/>
      <c r="KM20" s="35"/>
      <c r="KN20" s="35"/>
      <c r="KO20" s="35"/>
      <c r="KP20" s="35"/>
      <c r="KQ20" s="35"/>
      <c r="KR20" s="35"/>
      <c r="KS20" s="35"/>
      <c r="KT20" s="35"/>
      <c r="KU20" s="35"/>
      <c r="KV20" s="35"/>
      <c r="KW20" s="35"/>
      <c r="KX20" s="35"/>
      <c r="KY20" s="35"/>
      <c r="KZ20" s="35"/>
      <c r="LA20" s="35"/>
      <c r="LB20" s="35"/>
      <c r="LC20" s="35"/>
      <c r="LD20" s="35"/>
      <c r="LE20" s="35"/>
      <c r="LF20" s="35"/>
      <c r="LG20" s="35"/>
      <c r="LH20" s="35"/>
      <c r="LI20" s="35"/>
      <c r="LJ20" s="35"/>
      <c r="LK20" s="35"/>
      <c r="LL20" s="35"/>
      <c r="LM20" s="35"/>
      <c r="LN20" s="35">
        <v>1</v>
      </c>
      <c r="LO20" s="35">
        <v>1</v>
      </c>
      <c r="LP20" s="35">
        <v>1</v>
      </c>
      <c r="LQ20" s="35"/>
      <c r="LR20" s="35"/>
      <c r="LS20" s="35"/>
      <c r="LT20" s="35"/>
      <c r="LU20" s="35"/>
      <c r="LV20" s="35"/>
      <c r="LW20" s="35"/>
      <c r="LX20" s="35"/>
      <c r="LY20" s="35"/>
      <c r="LZ20" s="35"/>
      <c r="MA20" s="35"/>
      <c r="MB20" s="35"/>
      <c r="MC20" s="35"/>
      <c r="MD20" s="35"/>
      <c r="ME20" s="35"/>
      <c r="MF20" s="35"/>
      <c r="MG20" s="35"/>
      <c r="MH20" s="35"/>
      <c r="MI20" s="35"/>
      <c r="MJ20" s="35"/>
      <c r="MK20" s="35"/>
      <c r="ML20" s="35"/>
      <c r="MM20" s="35"/>
      <c r="MN20" s="35"/>
      <c r="MO20" s="35"/>
      <c r="MP20" s="35"/>
      <c r="MQ20" s="35"/>
      <c r="MR20" s="35"/>
      <c r="MS20" s="35"/>
      <c r="MT20" s="35"/>
      <c r="MU20" s="28">
        <f>SUM(Tabela7[[#This Row],[Communication]:[Training of DevOps activities]])</f>
        <v>7</v>
      </c>
    </row>
    <row r="21" spans="1:359" s="23" customFormat="1" hidden="1" x14ac:dyDescent="0.25">
      <c r="A21" s="22" t="s">
        <v>824</v>
      </c>
      <c r="B21" s="23" t="s">
        <v>825</v>
      </c>
      <c r="C21" s="23">
        <v>0</v>
      </c>
      <c r="D21" s="23" t="s">
        <v>644</v>
      </c>
      <c r="E21" s="23" t="s">
        <v>645</v>
      </c>
      <c r="F21" s="23" t="s">
        <v>645</v>
      </c>
      <c r="G21" s="24"/>
      <c r="H21" s="23" t="s">
        <v>646</v>
      </c>
      <c r="I21" s="33" t="s">
        <v>826</v>
      </c>
      <c r="J21" s="33" t="s">
        <v>827</v>
      </c>
      <c r="K21" s="33" t="s">
        <v>828</v>
      </c>
      <c r="L21" s="33"/>
      <c r="M21" s="33">
        <v>2019</v>
      </c>
      <c r="N21" s="33" t="s">
        <v>818</v>
      </c>
      <c r="O21" s="33"/>
      <c r="P21" s="33" t="s">
        <v>829</v>
      </c>
      <c r="Q21" s="33"/>
      <c r="R21" s="33" t="s">
        <v>646</v>
      </c>
      <c r="S21" s="33" t="s">
        <v>646</v>
      </c>
      <c r="T21" s="33" t="s">
        <v>646</v>
      </c>
      <c r="U21" s="33" t="s">
        <v>830</v>
      </c>
      <c r="V21" s="33" t="s">
        <v>644</v>
      </c>
      <c r="Y21" s="27"/>
      <c r="AD21" s="224"/>
      <c r="AE21" s="26"/>
      <c r="AJ21" s="26"/>
      <c r="AN21" s="27"/>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8">
        <f>SUM(Tabela7[[#This Row],[Communication]:[Training of DevOps activities]])</f>
        <v>0</v>
      </c>
    </row>
    <row r="22" spans="1:359" s="23" customFormat="1" hidden="1" x14ac:dyDescent="0.25">
      <c r="A22" s="22" t="s">
        <v>831</v>
      </c>
      <c r="B22" s="23" t="s">
        <v>832</v>
      </c>
      <c r="C22" s="29">
        <v>1</v>
      </c>
      <c r="D22" s="23" t="s">
        <v>644</v>
      </c>
      <c r="E22" s="29" t="s">
        <v>645</v>
      </c>
      <c r="F22" s="29" t="s">
        <v>645</v>
      </c>
      <c r="G22" s="29">
        <v>0</v>
      </c>
      <c r="H22" s="23" t="s">
        <v>833</v>
      </c>
      <c r="I22" s="30" t="s">
        <v>834</v>
      </c>
      <c r="J22" s="30" t="s">
        <v>835</v>
      </c>
      <c r="K22" s="30" t="s">
        <v>836</v>
      </c>
      <c r="L22" s="30"/>
      <c r="M22" s="30">
        <v>2018</v>
      </c>
      <c r="N22" s="30" t="s">
        <v>837</v>
      </c>
      <c r="O22" s="30">
        <v>1</v>
      </c>
      <c r="P22" s="30" t="s">
        <v>838</v>
      </c>
      <c r="Q22" s="30"/>
      <c r="R22" s="30" t="s">
        <v>839</v>
      </c>
      <c r="S22" s="30" t="s">
        <v>840</v>
      </c>
      <c r="T22" s="30" t="s">
        <v>646</v>
      </c>
      <c r="U22" s="30" t="s">
        <v>670</v>
      </c>
      <c r="V22" s="30" t="s">
        <v>644</v>
      </c>
      <c r="W22" s="29"/>
      <c r="X22" s="29"/>
      <c r="Y22" s="32"/>
      <c r="Z22" s="29"/>
      <c r="AA22" s="29"/>
      <c r="AB22" s="29"/>
      <c r="AC22" s="29"/>
      <c r="AD22" s="225"/>
      <c r="AE22" s="31"/>
      <c r="AF22" s="29"/>
      <c r="AG22" s="29"/>
      <c r="AH22" s="29"/>
      <c r="AI22" s="29"/>
      <c r="AJ22" s="31"/>
      <c r="AK22" s="29"/>
      <c r="AL22" s="29"/>
      <c r="AM22" s="29"/>
      <c r="AN22" s="32"/>
      <c r="AO22" s="29"/>
      <c r="AP22" s="29"/>
      <c r="AQ22" s="29"/>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8">
        <f>SUM(Tabela7[[#This Row],[Communication]:[Training of DevOps activities]])</f>
        <v>0</v>
      </c>
    </row>
    <row r="23" spans="1:359" s="23" customFormat="1" hidden="1" x14ac:dyDescent="0.25">
      <c r="A23" s="22" t="s">
        <v>841</v>
      </c>
      <c r="B23" s="23" t="s">
        <v>842</v>
      </c>
      <c r="C23" s="29">
        <v>1</v>
      </c>
      <c r="D23" s="23" t="s">
        <v>644</v>
      </c>
      <c r="E23" s="29" t="s">
        <v>645</v>
      </c>
      <c r="F23" s="29" t="s">
        <v>645</v>
      </c>
      <c r="G23" s="29">
        <v>0</v>
      </c>
      <c r="H23" s="23" t="s">
        <v>843</v>
      </c>
      <c r="I23" s="33" t="s">
        <v>844</v>
      </c>
      <c r="J23" s="33" t="s">
        <v>845</v>
      </c>
      <c r="K23" s="33" t="s">
        <v>846</v>
      </c>
      <c r="L23" s="33"/>
      <c r="M23" s="33">
        <v>2018</v>
      </c>
      <c r="N23" s="33" t="s">
        <v>847</v>
      </c>
      <c r="O23" s="33">
        <v>110</v>
      </c>
      <c r="P23" s="33" t="s">
        <v>848</v>
      </c>
      <c r="Q23" s="33"/>
      <c r="R23" s="33" t="s">
        <v>849</v>
      </c>
      <c r="S23" s="33" t="s">
        <v>850</v>
      </c>
      <c r="T23" s="33" t="s">
        <v>851</v>
      </c>
      <c r="U23" s="33" t="s">
        <v>655</v>
      </c>
      <c r="V23" s="33" t="s">
        <v>644</v>
      </c>
      <c r="W23" s="29"/>
      <c r="X23" s="29"/>
      <c r="Y23" s="32"/>
      <c r="Z23" s="29"/>
      <c r="AA23" s="29"/>
      <c r="AB23" s="29"/>
      <c r="AC23" s="29"/>
      <c r="AD23" s="225"/>
      <c r="AE23" s="31"/>
      <c r="AF23" s="29"/>
      <c r="AG23" s="29"/>
      <c r="AH23" s="29"/>
      <c r="AI23" s="29"/>
      <c r="AJ23" s="31"/>
      <c r="AK23" s="29"/>
      <c r="AL23" s="29"/>
      <c r="AM23" s="29"/>
      <c r="AN23" s="32"/>
      <c r="AO23" s="29"/>
      <c r="AP23" s="29"/>
      <c r="AQ23" s="29"/>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8">
        <f>SUM(Tabela7[[#This Row],[Communication]:[Training of DevOps activities]])</f>
        <v>0</v>
      </c>
    </row>
    <row r="24" spans="1:359" s="23" customFormat="1" hidden="1" x14ac:dyDescent="0.25">
      <c r="A24" s="22" t="s">
        <v>852</v>
      </c>
      <c r="B24" s="23" t="s">
        <v>853</v>
      </c>
      <c r="C24" s="29">
        <v>1</v>
      </c>
      <c r="D24" s="23" t="s">
        <v>644</v>
      </c>
      <c r="E24" s="29" t="s">
        <v>645</v>
      </c>
      <c r="F24" s="29" t="s">
        <v>645</v>
      </c>
      <c r="G24" s="29">
        <v>0</v>
      </c>
      <c r="H24" s="23" t="s">
        <v>854</v>
      </c>
      <c r="I24" s="30" t="s">
        <v>855</v>
      </c>
      <c r="J24" s="30" t="s">
        <v>856</v>
      </c>
      <c r="K24" s="30" t="s">
        <v>857</v>
      </c>
      <c r="L24" s="30"/>
      <c r="M24" s="30">
        <v>2018</v>
      </c>
      <c r="N24" s="30" t="s">
        <v>858</v>
      </c>
      <c r="O24" s="30">
        <v>3</v>
      </c>
      <c r="P24" s="30" t="s">
        <v>859</v>
      </c>
      <c r="Q24" s="30"/>
      <c r="R24" s="30" t="s">
        <v>860</v>
      </c>
      <c r="S24" s="30" t="s">
        <v>861</v>
      </c>
      <c r="T24" s="30" t="s">
        <v>646</v>
      </c>
      <c r="U24" s="30" t="s">
        <v>670</v>
      </c>
      <c r="V24" s="30" t="s">
        <v>644</v>
      </c>
      <c r="W24" s="29"/>
      <c r="X24" s="29"/>
      <c r="Y24" s="32"/>
      <c r="Z24" s="29"/>
      <c r="AA24" s="29"/>
      <c r="AB24" s="29"/>
      <c r="AC24" s="29"/>
      <c r="AD24" s="225"/>
      <c r="AE24" s="31"/>
      <c r="AF24" s="29"/>
      <c r="AG24" s="29"/>
      <c r="AH24" s="29"/>
      <c r="AI24" s="29"/>
      <c r="AJ24" s="31"/>
      <c r="AK24" s="29"/>
      <c r="AL24" s="29"/>
      <c r="AM24" s="29"/>
      <c r="AN24" s="32"/>
      <c r="AO24" s="29"/>
      <c r="AP24" s="29"/>
      <c r="AQ24" s="29"/>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c r="II24" s="22"/>
      <c r="IJ24" s="22"/>
      <c r="IK24" s="22"/>
      <c r="IL24" s="22"/>
      <c r="IM24" s="22"/>
      <c r="IN24" s="22"/>
      <c r="IO24" s="22"/>
      <c r="IP24" s="22"/>
      <c r="IQ24" s="22"/>
      <c r="IR24" s="22"/>
      <c r="IS24" s="22"/>
      <c r="IT24" s="22"/>
      <c r="IU24" s="22"/>
      <c r="IV24" s="22"/>
      <c r="IW24" s="22"/>
      <c r="IX24" s="22"/>
      <c r="IY24" s="22"/>
      <c r="IZ24" s="22"/>
      <c r="JA24" s="22"/>
      <c r="JB24" s="22"/>
      <c r="JC24" s="22"/>
      <c r="JD24" s="22"/>
      <c r="JE24" s="22"/>
      <c r="JF24" s="22"/>
      <c r="JG24" s="22"/>
      <c r="JH24" s="22"/>
      <c r="JI24" s="22"/>
      <c r="JJ24" s="22"/>
      <c r="JK24" s="22"/>
      <c r="JL24" s="22"/>
      <c r="JM24" s="22"/>
      <c r="JN24" s="22"/>
      <c r="JO24" s="22"/>
      <c r="JP24" s="22"/>
      <c r="JQ24" s="22"/>
      <c r="JR24" s="22"/>
      <c r="JS24" s="22"/>
      <c r="JT24" s="22"/>
      <c r="JU24" s="22"/>
      <c r="JV24" s="22"/>
      <c r="JW24" s="22"/>
      <c r="JX24" s="22"/>
      <c r="JY24" s="22"/>
      <c r="JZ24" s="22"/>
      <c r="KA24" s="22"/>
      <c r="KB24" s="22"/>
      <c r="KC24" s="22"/>
      <c r="KD24" s="22"/>
      <c r="KE24" s="22"/>
      <c r="KF24" s="22"/>
      <c r="KG24" s="22"/>
      <c r="KH24" s="22"/>
      <c r="KI24" s="22"/>
      <c r="KJ24" s="22"/>
      <c r="KK24" s="22"/>
      <c r="KL24" s="22"/>
      <c r="KM24" s="22"/>
      <c r="KN24" s="22"/>
      <c r="KO24" s="22"/>
      <c r="KP24" s="22"/>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8">
        <f>SUM(Tabela7[[#This Row],[Communication]:[Training of DevOps activities]])</f>
        <v>0</v>
      </c>
    </row>
    <row r="25" spans="1:359" s="23" customFormat="1" hidden="1" x14ac:dyDescent="0.25">
      <c r="A25" s="22" t="s">
        <v>862</v>
      </c>
      <c r="B25" s="23" t="s">
        <v>863</v>
      </c>
      <c r="C25" s="23">
        <v>0</v>
      </c>
      <c r="D25" s="23" t="s">
        <v>644</v>
      </c>
      <c r="E25" s="23" t="s">
        <v>645</v>
      </c>
      <c r="F25" s="23" t="s">
        <v>645</v>
      </c>
      <c r="G25" s="24"/>
      <c r="H25" s="23" t="s">
        <v>646</v>
      </c>
      <c r="I25" s="33" t="s">
        <v>826</v>
      </c>
      <c r="J25" s="33" t="s">
        <v>827</v>
      </c>
      <c r="K25" s="33" t="s">
        <v>864</v>
      </c>
      <c r="L25" s="33"/>
      <c r="M25" s="33">
        <v>2018</v>
      </c>
      <c r="N25" s="33" t="s">
        <v>818</v>
      </c>
      <c r="O25" s="33"/>
      <c r="P25" s="33" t="s">
        <v>865</v>
      </c>
      <c r="Q25" s="33"/>
      <c r="R25" s="33" t="s">
        <v>646</v>
      </c>
      <c r="S25" s="33" t="s">
        <v>646</v>
      </c>
      <c r="T25" s="33" t="s">
        <v>646</v>
      </c>
      <c r="U25" s="33" t="s">
        <v>830</v>
      </c>
      <c r="V25" s="33" t="s">
        <v>644</v>
      </c>
      <c r="Y25" s="27"/>
      <c r="AD25" s="224"/>
      <c r="AE25" s="26"/>
      <c r="AJ25" s="26"/>
      <c r="AN25" s="27"/>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c r="II25" s="22"/>
      <c r="IJ25" s="22"/>
      <c r="IK25" s="22"/>
      <c r="IL25" s="22"/>
      <c r="IM25" s="22"/>
      <c r="IN25" s="22"/>
      <c r="IO25" s="22"/>
      <c r="IP25" s="22"/>
      <c r="IQ25" s="22"/>
      <c r="IR25" s="22"/>
      <c r="IS25" s="22"/>
      <c r="IT25" s="22"/>
      <c r="IU25" s="22"/>
      <c r="IV25" s="22"/>
      <c r="IW25" s="22"/>
      <c r="IX25" s="22"/>
      <c r="IY25" s="22"/>
      <c r="IZ25" s="22"/>
      <c r="JA25" s="22"/>
      <c r="JB25" s="22"/>
      <c r="JC25" s="22"/>
      <c r="JD25" s="22"/>
      <c r="JE25" s="22"/>
      <c r="JF25" s="22"/>
      <c r="JG25" s="22"/>
      <c r="JH25" s="22"/>
      <c r="JI25" s="22"/>
      <c r="JJ25" s="22"/>
      <c r="JK25" s="22"/>
      <c r="JL25" s="22"/>
      <c r="JM25" s="22"/>
      <c r="JN25" s="22"/>
      <c r="JO25" s="22"/>
      <c r="JP25" s="22"/>
      <c r="JQ25" s="22"/>
      <c r="JR25" s="22"/>
      <c r="JS25" s="22"/>
      <c r="JT25" s="22"/>
      <c r="JU25" s="22"/>
      <c r="JV25" s="22"/>
      <c r="JW25" s="22"/>
      <c r="JX25" s="22"/>
      <c r="JY25" s="22"/>
      <c r="JZ25" s="22"/>
      <c r="KA25" s="22"/>
      <c r="KB25" s="22"/>
      <c r="KC25" s="22"/>
      <c r="KD25" s="22"/>
      <c r="KE25" s="22"/>
      <c r="KF25" s="22"/>
      <c r="KG25" s="22"/>
      <c r="KH25" s="22"/>
      <c r="KI25" s="22"/>
      <c r="KJ25" s="22"/>
      <c r="KK25" s="22"/>
      <c r="KL25" s="22"/>
      <c r="KM25" s="22"/>
      <c r="KN25" s="22"/>
      <c r="KO25" s="22"/>
      <c r="KP25" s="22"/>
      <c r="KQ25" s="22"/>
      <c r="KR25" s="22"/>
      <c r="KS25" s="22"/>
      <c r="KT25" s="22"/>
      <c r="KU25" s="22"/>
      <c r="KV25" s="22"/>
      <c r="KW25" s="22"/>
      <c r="KX25" s="22"/>
      <c r="KY25" s="22"/>
      <c r="KZ25" s="22"/>
      <c r="LA25" s="22"/>
      <c r="LB25" s="22"/>
      <c r="LC25" s="22"/>
      <c r="LD25" s="22"/>
      <c r="LE25" s="22"/>
      <c r="LF25" s="22"/>
      <c r="LG25" s="22"/>
      <c r="LH25" s="22"/>
      <c r="LI25" s="22"/>
      <c r="LJ25" s="22"/>
      <c r="LK25" s="22"/>
      <c r="LL25" s="22"/>
      <c r="LM25" s="22"/>
      <c r="LN25" s="22"/>
      <c r="LO25" s="22"/>
      <c r="LP25" s="22"/>
      <c r="LQ25" s="22"/>
      <c r="LR25" s="22"/>
      <c r="LS25" s="22"/>
      <c r="LT25" s="22"/>
      <c r="LU25" s="22"/>
      <c r="LV25" s="22"/>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8">
        <f>SUM(Tabela7[[#This Row],[Communication]:[Training of DevOps activities]])</f>
        <v>0</v>
      </c>
    </row>
    <row r="26" spans="1:359" ht="14.4" x14ac:dyDescent="0.3">
      <c r="A26" s="22" t="s">
        <v>866</v>
      </c>
      <c r="B26" s="29" t="s">
        <v>867</v>
      </c>
      <c r="C26" s="29">
        <v>1</v>
      </c>
      <c r="D26" s="23" t="s">
        <v>644</v>
      </c>
      <c r="E26" s="29" t="s">
        <v>26753</v>
      </c>
      <c r="F26" s="29" t="s">
        <v>26753</v>
      </c>
      <c r="G26" s="29">
        <v>1</v>
      </c>
      <c r="H26" t="s">
        <v>868</v>
      </c>
      <c r="I26" t="s">
        <v>869</v>
      </c>
      <c r="J26" t="s">
        <v>870</v>
      </c>
      <c r="K26" t="s">
        <v>871</v>
      </c>
      <c r="L26" t="s">
        <v>872</v>
      </c>
      <c r="M26">
        <v>2013</v>
      </c>
      <c r="N26" t="s">
        <v>873</v>
      </c>
      <c r="O26">
        <v>1</v>
      </c>
      <c r="P26" t="s">
        <v>874</v>
      </c>
      <c r="Q26" t="s">
        <v>875</v>
      </c>
      <c r="R26" t="s">
        <v>876</v>
      </c>
      <c r="S26" t="s">
        <v>877</v>
      </c>
      <c r="T26" t="s">
        <v>878</v>
      </c>
      <c r="U26" t="s">
        <v>655</v>
      </c>
      <c r="V26" t="s">
        <v>644</v>
      </c>
      <c r="W26" s="29">
        <v>0</v>
      </c>
      <c r="X26" s="29" t="s">
        <v>26753</v>
      </c>
      <c r="Y26" s="32"/>
      <c r="Z26" s="29">
        <v>1</v>
      </c>
      <c r="AA26" s="29"/>
      <c r="AB26" s="29"/>
      <c r="AC26" s="29"/>
      <c r="AD26" s="225">
        <v>1</v>
      </c>
      <c r="AE26" s="31"/>
      <c r="AF26" s="29"/>
      <c r="AG26" s="29">
        <v>1</v>
      </c>
      <c r="AH26" s="29">
        <v>1</v>
      </c>
      <c r="AI26" s="29"/>
      <c r="AJ26" s="31">
        <v>1</v>
      </c>
      <c r="AK26" s="29"/>
      <c r="AL26" s="29"/>
      <c r="AM26" s="29"/>
      <c r="AN26" s="34"/>
      <c r="AO26" s="28"/>
      <c r="AP26" s="28"/>
      <c r="AQ26" s="28"/>
      <c r="AR26" s="28"/>
      <c r="AS26" s="28"/>
      <c r="AT26" s="28">
        <v>1</v>
      </c>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35"/>
      <c r="DE26" s="35"/>
      <c r="DF26" s="35"/>
      <c r="DG26" s="35"/>
      <c r="DH26" s="35"/>
      <c r="DI26" s="35"/>
      <c r="DJ26" s="35"/>
      <c r="DK26" s="35"/>
      <c r="DL26" s="35"/>
      <c r="DM26" s="35"/>
      <c r="DN26" s="35"/>
      <c r="MU26" s="28">
        <f>SUM(Tabela7[[#This Row],[Communication]:[Training of DevOps activities]])</f>
        <v>1</v>
      </c>
    </row>
    <row r="27" spans="1:359" s="23" customFormat="1" hidden="1" x14ac:dyDescent="0.25">
      <c r="A27" s="22" t="s">
        <v>879</v>
      </c>
      <c r="B27" s="23" t="s">
        <v>880</v>
      </c>
      <c r="C27" s="29">
        <v>1</v>
      </c>
      <c r="D27" s="23" t="s">
        <v>644</v>
      </c>
      <c r="E27" s="29" t="s">
        <v>645</v>
      </c>
      <c r="F27" s="29" t="s">
        <v>645</v>
      </c>
      <c r="G27" s="29">
        <v>0</v>
      </c>
      <c r="H27" s="23" t="s">
        <v>881</v>
      </c>
      <c r="I27" s="33" t="s">
        <v>882</v>
      </c>
      <c r="J27" s="33" t="s">
        <v>883</v>
      </c>
      <c r="K27" s="33" t="s">
        <v>884</v>
      </c>
      <c r="L27" s="33"/>
      <c r="M27" s="33">
        <v>2013</v>
      </c>
      <c r="N27" s="33" t="s">
        <v>885</v>
      </c>
      <c r="O27" s="33">
        <v>2</v>
      </c>
      <c r="P27" s="33" t="s">
        <v>886</v>
      </c>
      <c r="Q27" s="33"/>
      <c r="R27" s="33" t="s">
        <v>887</v>
      </c>
      <c r="S27" s="33" t="s">
        <v>888</v>
      </c>
      <c r="T27" s="33" t="s">
        <v>646</v>
      </c>
      <c r="U27" s="33" t="s">
        <v>670</v>
      </c>
      <c r="V27" s="33" t="s">
        <v>644</v>
      </c>
      <c r="W27" s="29"/>
      <c r="X27" s="29"/>
      <c r="Y27" s="32"/>
      <c r="Z27" s="29"/>
      <c r="AA27" s="29"/>
      <c r="AB27" s="29"/>
      <c r="AC27" s="29"/>
      <c r="AD27" s="225"/>
      <c r="AE27" s="31"/>
      <c r="AF27" s="29"/>
      <c r="AG27" s="29"/>
      <c r="AH27" s="29"/>
      <c r="AI27" s="29"/>
      <c r="AJ27" s="31"/>
      <c r="AK27" s="29"/>
      <c r="AL27" s="29"/>
      <c r="AM27" s="29"/>
      <c r="AN27" s="32"/>
      <c r="AO27" s="29"/>
      <c r="AP27" s="29"/>
      <c r="AQ27" s="29"/>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c r="II27" s="22"/>
      <c r="IJ27" s="22"/>
      <c r="IK27" s="22"/>
      <c r="IL27" s="22"/>
      <c r="IM27" s="22"/>
      <c r="IN27" s="22"/>
      <c r="IO27" s="22"/>
      <c r="IP27" s="22"/>
      <c r="IQ27" s="22"/>
      <c r="IR27" s="22"/>
      <c r="IS27" s="22"/>
      <c r="IT27" s="22"/>
      <c r="IU27" s="22"/>
      <c r="IV27" s="22"/>
      <c r="IW27" s="22"/>
      <c r="IX27" s="22"/>
      <c r="IY27" s="22"/>
      <c r="IZ27" s="22"/>
      <c r="JA27" s="22"/>
      <c r="JB27" s="22"/>
      <c r="JC27" s="22"/>
      <c r="JD27" s="22"/>
      <c r="JE27" s="22"/>
      <c r="JF27" s="22"/>
      <c r="JG27" s="22"/>
      <c r="JH27" s="22"/>
      <c r="JI27" s="22"/>
      <c r="JJ27" s="22"/>
      <c r="JK27" s="22"/>
      <c r="JL27" s="22"/>
      <c r="JM27" s="22"/>
      <c r="JN27" s="22"/>
      <c r="JO27" s="22"/>
      <c r="JP27" s="22"/>
      <c r="JQ27" s="22"/>
      <c r="JR27" s="22"/>
      <c r="JS27" s="22"/>
      <c r="JT27" s="22"/>
      <c r="JU27" s="22"/>
      <c r="JV27" s="22"/>
      <c r="JW27" s="22"/>
      <c r="JX27" s="22"/>
      <c r="JY27" s="22"/>
      <c r="JZ27" s="22"/>
      <c r="KA27" s="22"/>
      <c r="KB27" s="22"/>
      <c r="KC27" s="22"/>
      <c r="KD27" s="22"/>
      <c r="KE27" s="22"/>
      <c r="KF27" s="22"/>
      <c r="KG27" s="22"/>
      <c r="KH27" s="22"/>
      <c r="KI27" s="22"/>
      <c r="KJ27" s="22"/>
      <c r="KK27" s="22"/>
      <c r="KL27" s="22"/>
      <c r="KM27" s="22"/>
      <c r="KN27" s="22"/>
      <c r="KO27" s="22"/>
      <c r="KP27" s="22"/>
      <c r="KQ27" s="22"/>
      <c r="KR27" s="22"/>
      <c r="KS27" s="22"/>
      <c r="KT27" s="22"/>
      <c r="KU27" s="22"/>
      <c r="KV27" s="22"/>
      <c r="KW27" s="22"/>
      <c r="KX27" s="22"/>
      <c r="KY27" s="22"/>
      <c r="KZ27" s="22"/>
      <c r="LA27" s="22"/>
      <c r="LB27" s="22"/>
      <c r="LC27" s="22"/>
      <c r="LD27" s="22"/>
      <c r="LE27" s="22"/>
      <c r="LF27" s="22"/>
      <c r="LG27" s="22"/>
      <c r="LH27" s="22"/>
      <c r="LI27" s="22"/>
      <c r="LJ27" s="22"/>
      <c r="LK27" s="22"/>
      <c r="LL27" s="22"/>
      <c r="LM27" s="22"/>
      <c r="LN27" s="22"/>
      <c r="LO27" s="22"/>
      <c r="LP27" s="22"/>
      <c r="LQ27" s="22"/>
      <c r="LR27" s="22"/>
      <c r="LS27" s="22"/>
      <c r="LT27" s="22"/>
      <c r="LU27" s="22"/>
      <c r="LV27" s="22"/>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8">
        <f>SUM(Tabela7[[#This Row],[Communication]:[Training of DevOps activities]])</f>
        <v>0</v>
      </c>
    </row>
    <row r="28" spans="1:359" s="23" customFormat="1" hidden="1" x14ac:dyDescent="0.25">
      <c r="A28" s="22" t="s">
        <v>889</v>
      </c>
      <c r="B28" s="23" t="s">
        <v>890</v>
      </c>
      <c r="C28" s="29">
        <v>1</v>
      </c>
      <c r="D28" s="23" t="s">
        <v>644</v>
      </c>
      <c r="E28" s="29" t="s">
        <v>645</v>
      </c>
      <c r="F28" s="29" t="s">
        <v>645</v>
      </c>
      <c r="G28" s="29">
        <v>0</v>
      </c>
      <c r="H28" s="23" t="s">
        <v>891</v>
      </c>
      <c r="I28" s="30" t="s">
        <v>892</v>
      </c>
      <c r="J28" s="30" t="s">
        <v>893</v>
      </c>
      <c r="K28" s="30" t="s">
        <v>894</v>
      </c>
      <c r="L28" s="30"/>
      <c r="M28" s="30">
        <v>2012</v>
      </c>
      <c r="N28" s="30" t="s">
        <v>895</v>
      </c>
      <c r="O28" s="30">
        <v>1</v>
      </c>
      <c r="P28" s="30" t="s">
        <v>896</v>
      </c>
      <c r="Q28" s="30"/>
      <c r="R28" s="30" t="s">
        <v>897</v>
      </c>
      <c r="S28" s="30" t="s">
        <v>898</v>
      </c>
      <c r="T28" s="30" t="s">
        <v>899</v>
      </c>
      <c r="U28" s="30" t="s">
        <v>670</v>
      </c>
      <c r="V28" s="30" t="s">
        <v>644</v>
      </c>
      <c r="W28" s="29"/>
      <c r="X28" s="29"/>
      <c r="Y28" s="32"/>
      <c r="Z28" s="29"/>
      <c r="AA28" s="29"/>
      <c r="AB28" s="29"/>
      <c r="AC28" s="29"/>
      <c r="AD28" s="225"/>
      <c r="AE28" s="31"/>
      <c r="AF28" s="29"/>
      <c r="AG28" s="29"/>
      <c r="AH28" s="29"/>
      <c r="AI28" s="29"/>
      <c r="AJ28" s="31"/>
      <c r="AK28" s="29"/>
      <c r="AL28" s="29"/>
      <c r="AM28" s="29"/>
      <c r="AN28" s="32"/>
      <c r="AO28" s="29"/>
      <c r="AP28" s="29"/>
      <c r="AQ28" s="29"/>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
      <c r="HX28" s="22"/>
      <c r="HY28" s="22"/>
      <c r="HZ28" s="22"/>
      <c r="IA28" s="22"/>
      <c r="IB28" s="22"/>
      <c r="IC28" s="22"/>
      <c r="ID28" s="22"/>
      <c r="IE28" s="22"/>
      <c r="IF28" s="22"/>
      <c r="IG28" s="22"/>
      <c r="IH28" s="22"/>
      <c r="II28" s="22"/>
      <c r="IJ28" s="22"/>
      <c r="IK28" s="22"/>
      <c r="IL28" s="22"/>
      <c r="IM28" s="22"/>
      <c r="IN28" s="22"/>
      <c r="IO28" s="22"/>
      <c r="IP28" s="22"/>
      <c r="IQ28" s="22"/>
      <c r="IR28" s="22"/>
      <c r="IS28" s="22"/>
      <c r="IT28" s="22"/>
      <c r="IU28" s="22"/>
      <c r="IV28" s="22"/>
      <c r="IW28" s="22"/>
      <c r="IX28" s="22"/>
      <c r="IY28" s="22"/>
      <c r="IZ28" s="22"/>
      <c r="JA28" s="22"/>
      <c r="JB28" s="22"/>
      <c r="JC28" s="22"/>
      <c r="JD28" s="22"/>
      <c r="JE28" s="22"/>
      <c r="JF28" s="22"/>
      <c r="JG28" s="22"/>
      <c r="JH28" s="22"/>
      <c r="JI28" s="22"/>
      <c r="JJ28" s="22"/>
      <c r="JK28" s="22"/>
      <c r="JL28" s="22"/>
      <c r="JM28" s="22"/>
      <c r="JN28" s="22"/>
      <c r="JO28" s="22"/>
      <c r="JP28" s="22"/>
      <c r="JQ28" s="22"/>
      <c r="JR28" s="22"/>
      <c r="JS28" s="22"/>
      <c r="JT28" s="22"/>
      <c r="JU28" s="22"/>
      <c r="JV28" s="22"/>
      <c r="JW28" s="22"/>
      <c r="JX28" s="22"/>
      <c r="JY28" s="22"/>
      <c r="JZ28" s="22"/>
      <c r="KA28" s="22"/>
      <c r="KB28" s="22"/>
      <c r="KC28" s="22"/>
      <c r="KD28" s="22"/>
      <c r="KE28" s="22"/>
      <c r="KF28" s="22"/>
      <c r="KG28" s="22"/>
      <c r="KH28" s="22"/>
      <c r="KI28" s="22"/>
      <c r="KJ28" s="22"/>
      <c r="KK28" s="22"/>
      <c r="KL28" s="22"/>
      <c r="KM28" s="22"/>
      <c r="KN28" s="22"/>
      <c r="KO28" s="22"/>
      <c r="KP28" s="22"/>
      <c r="KQ28" s="22"/>
      <c r="KR28" s="22"/>
      <c r="KS28" s="22"/>
      <c r="KT28" s="22"/>
      <c r="KU28" s="22"/>
      <c r="KV28" s="22"/>
      <c r="KW28" s="22"/>
      <c r="KX28" s="22"/>
      <c r="KY28" s="22"/>
      <c r="KZ28" s="22"/>
      <c r="LA28" s="22"/>
      <c r="LB28" s="22"/>
      <c r="LC28" s="22"/>
      <c r="LD28" s="22"/>
      <c r="LE28" s="22"/>
      <c r="LF28" s="22"/>
      <c r="LG28" s="22"/>
      <c r="LH28" s="22"/>
      <c r="LI28" s="22"/>
      <c r="LJ28" s="22"/>
      <c r="LK28" s="22"/>
      <c r="LL28" s="22"/>
      <c r="LM28" s="22"/>
      <c r="LN28" s="22"/>
      <c r="LO28" s="22"/>
      <c r="LP28" s="22"/>
      <c r="LQ28" s="22"/>
      <c r="LR28" s="22"/>
      <c r="LS28" s="22"/>
      <c r="LT28" s="22"/>
      <c r="LU28" s="22"/>
      <c r="LV28" s="22"/>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8">
        <f>SUM(Tabela7[[#This Row],[Communication]:[Training of DevOps activities]])</f>
        <v>0</v>
      </c>
    </row>
    <row r="29" spans="1:359" s="23" customFormat="1" hidden="1" x14ac:dyDescent="0.25">
      <c r="A29" s="22" t="s">
        <v>900</v>
      </c>
      <c r="B29" s="23" t="s">
        <v>901</v>
      </c>
      <c r="C29" s="29">
        <v>1</v>
      </c>
      <c r="D29" s="23" t="s">
        <v>644</v>
      </c>
      <c r="E29" s="29" t="s">
        <v>645</v>
      </c>
      <c r="F29" s="29" t="s">
        <v>645</v>
      </c>
      <c r="G29" s="29">
        <v>0</v>
      </c>
      <c r="H29" s="23" t="s">
        <v>902</v>
      </c>
      <c r="I29" s="33" t="s">
        <v>903</v>
      </c>
      <c r="J29" s="33" t="s">
        <v>904</v>
      </c>
      <c r="K29" s="33" t="s">
        <v>905</v>
      </c>
      <c r="L29" s="33"/>
      <c r="M29" s="33">
        <v>2012</v>
      </c>
      <c r="N29" s="33" t="s">
        <v>895</v>
      </c>
      <c r="O29" s="33">
        <v>11</v>
      </c>
      <c r="P29" s="33" t="s">
        <v>906</v>
      </c>
      <c r="Q29" s="33"/>
      <c r="R29" s="33" t="s">
        <v>907</v>
      </c>
      <c r="S29" s="33" t="s">
        <v>908</v>
      </c>
      <c r="T29" s="33" t="s">
        <v>909</v>
      </c>
      <c r="U29" s="33" t="s">
        <v>670</v>
      </c>
      <c r="V29" s="33" t="s">
        <v>644</v>
      </c>
      <c r="W29" s="29"/>
      <c r="X29" s="29"/>
      <c r="Y29" s="32"/>
      <c r="Z29" s="29"/>
      <c r="AA29" s="29"/>
      <c r="AB29" s="29"/>
      <c r="AC29" s="29"/>
      <c r="AD29" s="225"/>
      <c r="AE29" s="31"/>
      <c r="AF29" s="29"/>
      <c r="AG29" s="29"/>
      <c r="AH29" s="29"/>
      <c r="AI29" s="29"/>
      <c r="AJ29" s="31"/>
      <c r="AK29" s="29"/>
      <c r="AL29" s="29"/>
      <c r="AM29" s="29"/>
      <c r="AN29" s="32"/>
      <c r="AO29" s="29"/>
      <c r="AP29" s="29"/>
      <c r="AQ29" s="29"/>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22"/>
      <c r="JL29" s="22"/>
      <c r="JM29" s="22"/>
      <c r="JN29" s="22"/>
      <c r="JO29" s="22"/>
      <c r="JP29" s="22"/>
      <c r="JQ29" s="22"/>
      <c r="JR29" s="22"/>
      <c r="JS29" s="22"/>
      <c r="JT29" s="22"/>
      <c r="JU29" s="22"/>
      <c r="JV29" s="22"/>
      <c r="JW29" s="22"/>
      <c r="JX29" s="22"/>
      <c r="JY29" s="22"/>
      <c r="JZ29" s="22"/>
      <c r="KA29" s="22"/>
      <c r="KB29" s="22"/>
      <c r="KC29" s="22"/>
      <c r="KD29" s="22"/>
      <c r="KE29" s="22"/>
      <c r="KF29" s="22"/>
      <c r="KG29" s="22"/>
      <c r="KH29" s="22"/>
      <c r="KI29" s="22"/>
      <c r="KJ29" s="22"/>
      <c r="KK29" s="22"/>
      <c r="KL29" s="22"/>
      <c r="KM29" s="22"/>
      <c r="KN29" s="22"/>
      <c r="KO29" s="22"/>
      <c r="KP29" s="22"/>
      <c r="KQ29" s="22"/>
      <c r="KR29" s="22"/>
      <c r="KS29" s="22"/>
      <c r="KT29" s="22"/>
      <c r="KU29" s="22"/>
      <c r="KV29" s="22"/>
      <c r="KW29" s="22"/>
      <c r="KX29" s="22"/>
      <c r="KY29" s="22"/>
      <c r="KZ29" s="22"/>
      <c r="LA29" s="22"/>
      <c r="LB29" s="22"/>
      <c r="LC29" s="22"/>
      <c r="LD29" s="22"/>
      <c r="LE29" s="22"/>
      <c r="LF29" s="22"/>
      <c r="LG29" s="22"/>
      <c r="LH29" s="22"/>
      <c r="LI29" s="22"/>
      <c r="LJ29" s="22"/>
      <c r="LK29" s="22"/>
      <c r="LL29" s="22"/>
      <c r="LM29" s="22"/>
      <c r="LN29" s="22"/>
      <c r="LO29" s="22"/>
      <c r="LP29" s="22"/>
      <c r="LQ29" s="22"/>
      <c r="LR29" s="22"/>
      <c r="LS29" s="22"/>
      <c r="LT29" s="22"/>
      <c r="LU29" s="22"/>
      <c r="LV29" s="22"/>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8">
        <f>SUM(Tabela7[[#This Row],[Communication]:[Training of DevOps activities]])</f>
        <v>0</v>
      </c>
    </row>
    <row r="30" spans="1:359" ht="14.4" x14ac:dyDescent="0.3">
      <c r="A30" s="22" t="s">
        <v>910</v>
      </c>
      <c r="B30" s="29" t="s">
        <v>911</v>
      </c>
      <c r="C30" s="29">
        <v>1</v>
      </c>
      <c r="D30" s="23" t="s">
        <v>644</v>
      </c>
      <c r="E30" s="29" t="s">
        <v>26753</v>
      </c>
      <c r="F30" s="29" t="s">
        <v>26753</v>
      </c>
      <c r="G30" s="29">
        <v>1</v>
      </c>
      <c r="H30" t="s">
        <v>912</v>
      </c>
      <c r="I30" t="s">
        <v>913</v>
      </c>
      <c r="J30" t="s">
        <v>914</v>
      </c>
      <c r="K30" t="s">
        <v>915</v>
      </c>
      <c r="L30" t="s">
        <v>707</v>
      </c>
      <c r="M30">
        <v>2012</v>
      </c>
      <c r="N30" t="s">
        <v>708</v>
      </c>
      <c r="O30">
        <v>65</v>
      </c>
      <c r="P30" t="s">
        <v>916</v>
      </c>
      <c r="Q30" t="s">
        <v>917</v>
      </c>
      <c r="R30" t="s">
        <v>918</v>
      </c>
      <c r="S30" t="s">
        <v>919</v>
      </c>
      <c r="T30" t="s">
        <v>920</v>
      </c>
      <c r="U30" t="s">
        <v>655</v>
      </c>
      <c r="V30" t="s">
        <v>644</v>
      </c>
      <c r="W30" s="29" t="s">
        <v>26753</v>
      </c>
      <c r="X30" s="29">
        <v>1</v>
      </c>
      <c r="Y30" s="32"/>
      <c r="Z30" s="29"/>
      <c r="AA30" s="29">
        <v>1</v>
      </c>
      <c r="AB30" s="29">
        <v>1</v>
      </c>
      <c r="AC30" s="29"/>
      <c r="AD30" s="225"/>
      <c r="AE30" s="31"/>
      <c r="AF30" s="29"/>
      <c r="AG30" s="29"/>
      <c r="AH30" s="29"/>
      <c r="AI30" s="29"/>
      <c r="AJ30" s="31">
        <v>1</v>
      </c>
      <c r="AK30" s="29">
        <v>1</v>
      </c>
      <c r="AL30" s="29">
        <v>1</v>
      </c>
      <c r="AM30" s="29">
        <v>1</v>
      </c>
      <c r="AN30" s="34">
        <v>1</v>
      </c>
      <c r="AO30" s="28">
        <v>1</v>
      </c>
      <c r="AP30" s="28">
        <v>1</v>
      </c>
      <c r="AQ30" s="28">
        <v>1</v>
      </c>
      <c r="AR30" s="28">
        <v>1</v>
      </c>
      <c r="AS30" s="28">
        <v>1</v>
      </c>
      <c r="AT30" s="28">
        <v>1</v>
      </c>
      <c r="AU30" s="28">
        <v>1</v>
      </c>
      <c r="AV30" s="28">
        <v>1</v>
      </c>
      <c r="AW30" s="28">
        <v>1</v>
      </c>
      <c r="AX30" s="28">
        <v>1</v>
      </c>
      <c r="AY30" s="28">
        <v>1</v>
      </c>
      <c r="AZ30" s="28">
        <v>1</v>
      </c>
      <c r="BA30" s="28">
        <v>1</v>
      </c>
      <c r="BB30" s="28">
        <v>1</v>
      </c>
      <c r="BC30" s="28">
        <v>1</v>
      </c>
      <c r="BD30" s="28">
        <v>1</v>
      </c>
      <c r="BE30" s="28">
        <v>1</v>
      </c>
      <c r="BF30" s="28">
        <v>1</v>
      </c>
      <c r="BG30" s="28">
        <v>1</v>
      </c>
      <c r="BH30" s="28">
        <v>1</v>
      </c>
      <c r="BI30" s="28">
        <v>1</v>
      </c>
      <c r="BJ30" s="28">
        <v>1</v>
      </c>
      <c r="BK30" s="28">
        <v>1</v>
      </c>
      <c r="BL30" s="28">
        <v>1</v>
      </c>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35"/>
      <c r="DE30" s="35"/>
      <c r="DF30" s="35"/>
      <c r="DG30" s="35"/>
      <c r="DH30" s="35"/>
      <c r="DI30" s="35"/>
      <c r="DJ30" s="35"/>
      <c r="DK30" s="35"/>
      <c r="DL30" s="35"/>
      <c r="DM30" s="35"/>
      <c r="DN30" s="35"/>
      <c r="MU30" s="28">
        <f>SUM(Tabela7[[#This Row],[Communication]:[Training of DevOps activities]])</f>
        <v>25</v>
      </c>
    </row>
    <row r="31" spans="1:359" s="23" customFormat="1" hidden="1" x14ac:dyDescent="0.25">
      <c r="A31" s="22" t="s">
        <v>921</v>
      </c>
      <c r="B31" s="23" t="s">
        <v>922</v>
      </c>
      <c r="C31" s="29">
        <v>1</v>
      </c>
      <c r="D31" s="23" t="s">
        <v>644</v>
      </c>
      <c r="E31" s="29" t="s">
        <v>645</v>
      </c>
      <c r="F31" s="29" t="s">
        <v>645</v>
      </c>
      <c r="G31" s="29">
        <v>0</v>
      </c>
      <c r="H31" s="23" t="s">
        <v>923</v>
      </c>
      <c r="I31" s="33" t="s">
        <v>924</v>
      </c>
      <c r="J31" s="33" t="s">
        <v>925</v>
      </c>
      <c r="K31" s="33" t="s">
        <v>926</v>
      </c>
      <c r="L31" s="33"/>
      <c r="M31" s="33">
        <v>2008</v>
      </c>
      <c r="N31" s="33" t="s">
        <v>927</v>
      </c>
      <c r="O31" s="33">
        <v>87</v>
      </c>
      <c r="P31" s="33" t="s">
        <v>928</v>
      </c>
      <c r="Q31" s="33"/>
      <c r="R31" s="33" t="s">
        <v>929</v>
      </c>
      <c r="S31" s="33" t="s">
        <v>930</v>
      </c>
      <c r="T31" s="33" t="s">
        <v>931</v>
      </c>
      <c r="U31" s="33" t="s">
        <v>655</v>
      </c>
      <c r="V31" s="33" t="s">
        <v>644</v>
      </c>
      <c r="W31" s="29"/>
      <c r="X31" s="29"/>
      <c r="Y31" s="32"/>
      <c r="Z31" s="29"/>
      <c r="AA31" s="29"/>
      <c r="AB31" s="29"/>
      <c r="AC31" s="29"/>
      <c r="AD31" s="225"/>
      <c r="AE31" s="31"/>
      <c r="AF31" s="29"/>
      <c r="AG31" s="29"/>
      <c r="AH31" s="29"/>
      <c r="AI31" s="29"/>
      <c r="AJ31" s="31"/>
      <c r="AK31" s="29"/>
      <c r="AL31" s="29"/>
      <c r="AM31" s="29"/>
      <c r="AN31" s="32"/>
      <c r="AO31" s="29"/>
      <c r="AP31" s="29"/>
      <c r="AQ31" s="29"/>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HU31" s="22"/>
      <c r="HV31" s="22"/>
      <c r="HW31" s="22"/>
      <c r="HX31" s="22"/>
      <c r="HY31" s="22"/>
      <c r="HZ31" s="22"/>
      <c r="IA31" s="22"/>
      <c r="IB31" s="22"/>
      <c r="IC31" s="22"/>
      <c r="ID31" s="22"/>
      <c r="IE31" s="22"/>
      <c r="IF31" s="22"/>
      <c r="IG31" s="22"/>
      <c r="IH31" s="22"/>
      <c r="II31" s="22"/>
      <c r="IJ31" s="22"/>
      <c r="IK31" s="22"/>
      <c r="IL31" s="22"/>
      <c r="IM31" s="22"/>
      <c r="IN31" s="22"/>
      <c r="IO31" s="22"/>
      <c r="IP31" s="22"/>
      <c r="IQ31" s="22"/>
      <c r="IR31" s="22"/>
      <c r="IS31" s="22"/>
      <c r="IT31" s="22"/>
      <c r="IU31" s="22"/>
      <c r="IV31" s="22"/>
      <c r="IW31" s="22"/>
      <c r="IX31" s="22"/>
      <c r="IY31" s="22"/>
      <c r="IZ31" s="22"/>
      <c r="JA31" s="22"/>
      <c r="JB31" s="22"/>
      <c r="JC31" s="22"/>
      <c r="JD31" s="22"/>
      <c r="JE31" s="22"/>
      <c r="JF31" s="22"/>
      <c r="JG31" s="22"/>
      <c r="JH31" s="22"/>
      <c r="JI31" s="22"/>
      <c r="JJ31" s="22"/>
      <c r="JK31" s="22"/>
      <c r="JL31" s="22"/>
      <c r="JM31" s="22"/>
      <c r="JN31" s="22"/>
      <c r="JO31" s="22"/>
      <c r="JP31" s="22"/>
      <c r="JQ31" s="22"/>
      <c r="JR31" s="22"/>
      <c r="JS31" s="22"/>
      <c r="JT31" s="22"/>
      <c r="JU31" s="22"/>
      <c r="JV31" s="22"/>
      <c r="JW31" s="22"/>
      <c r="JX31" s="22"/>
      <c r="JY31" s="22"/>
      <c r="JZ31" s="22"/>
      <c r="KA31" s="22"/>
      <c r="KB31" s="22"/>
      <c r="KC31" s="22"/>
      <c r="KD31" s="22"/>
      <c r="KE31" s="22"/>
      <c r="KF31" s="22"/>
      <c r="KG31" s="22"/>
      <c r="KH31" s="22"/>
      <c r="KI31" s="22"/>
      <c r="KJ31" s="22"/>
      <c r="KK31" s="22"/>
      <c r="KL31" s="22"/>
      <c r="KM31" s="22"/>
      <c r="KN31" s="22"/>
      <c r="KO31" s="22"/>
      <c r="KP31" s="22"/>
      <c r="KQ31" s="22"/>
      <c r="KR31" s="22"/>
      <c r="KS31" s="22"/>
      <c r="KT31" s="22"/>
      <c r="KU31" s="22"/>
      <c r="KV31" s="22"/>
      <c r="KW31" s="22"/>
      <c r="KX31" s="22"/>
      <c r="KY31" s="22"/>
      <c r="KZ31" s="22"/>
      <c r="LA31" s="22"/>
      <c r="LB31" s="22"/>
      <c r="LC31" s="22"/>
      <c r="LD31" s="22"/>
      <c r="LE31" s="22"/>
      <c r="LF31" s="22"/>
      <c r="LG31" s="22"/>
      <c r="LH31" s="22"/>
      <c r="LI31" s="22"/>
      <c r="LJ31" s="22"/>
      <c r="LK31" s="22"/>
      <c r="LL31" s="22"/>
      <c r="LM31" s="22"/>
      <c r="LN31" s="22"/>
      <c r="LO31" s="22"/>
      <c r="LP31" s="22"/>
      <c r="LQ31" s="22"/>
      <c r="LR31" s="22"/>
      <c r="LS31" s="22"/>
      <c r="LT31" s="22"/>
      <c r="LU31" s="22"/>
      <c r="LV31" s="22"/>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8">
        <f>SUM(Tabela7[[#This Row],[Communication]:[Training of DevOps activities]])</f>
        <v>0</v>
      </c>
    </row>
    <row r="32" spans="1:359" s="23" customFormat="1" hidden="1" x14ac:dyDescent="0.25">
      <c r="A32" s="22" t="s">
        <v>932</v>
      </c>
      <c r="B32" s="23" t="s">
        <v>933</v>
      </c>
      <c r="C32" s="29">
        <v>1</v>
      </c>
      <c r="D32" s="23" t="s">
        <v>644</v>
      </c>
      <c r="E32" s="29" t="s">
        <v>645</v>
      </c>
      <c r="F32" s="29" t="s">
        <v>645</v>
      </c>
      <c r="G32" s="29">
        <v>0</v>
      </c>
      <c r="H32" s="23" t="s">
        <v>934</v>
      </c>
      <c r="I32" s="30" t="s">
        <v>935</v>
      </c>
      <c r="J32" s="30" t="s">
        <v>936</v>
      </c>
      <c r="K32" s="30" t="s">
        <v>937</v>
      </c>
      <c r="L32" s="30"/>
      <c r="M32" s="30">
        <v>2007</v>
      </c>
      <c r="N32" s="30" t="s">
        <v>938</v>
      </c>
      <c r="O32" s="30">
        <v>2</v>
      </c>
      <c r="P32" s="30" t="s">
        <v>939</v>
      </c>
      <c r="Q32" s="30"/>
      <c r="R32" s="30" t="s">
        <v>940</v>
      </c>
      <c r="S32" s="30" t="s">
        <v>941</v>
      </c>
      <c r="T32" s="30" t="s">
        <v>942</v>
      </c>
      <c r="U32" s="30" t="s">
        <v>670</v>
      </c>
      <c r="V32" s="30" t="s">
        <v>644</v>
      </c>
      <c r="W32" s="29"/>
      <c r="X32" s="29"/>
      <c r="Y32" s="32"/>
      <c r="Z32" s="29"/>
      <c r="AA32" s="29"/>
      <c r="AB32" s="29"/>
      <c r="AC32" s="29"/>
      <c r="AD32" s="225"/>
      <c r="AE32" s="31"/>
      <c r="AF32" s="29"/>
      <c r="AG32" s="29"/>
      <c r="AH32" s="29"/>
      <c r="AI32" s="29"/>
      <c r="AJ32" s="31"/>
      <c r="AK32" s="29"/>
      <c r="AL32" s="29"/>
      <c r="AM32" s="29"/>
      <c r="AN32" s="32"/>
      <c r="AO32" s="29"/>
      <c r="AP32" s="29"/>
      <c r="AQ32" s="29"/>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2"/>
      <c r="HM32" s="22"/>
      <c r="HN32" s="22"/>
      <c r="HO32" s="22"/>
      <c r="HP32" s="22"/>
      <c r="HQ32" s="22"/>
      <c r="HR32" s="22"/>
      <c r="HS32" s="22"/>
      <c r="HT32" s="22"/>
      <c r="HU32" s="22"/>
      <c r="HV32" s="22"/>
      <c r="HW32" s="22"/>
      <c r="HX32" s="22"/>
      <c r="HY32" s="22"/>
      <c r="HZ32" s="22"/>
      <c r="IA32" s="22"/>
      <c r="IB32" s="22"/>
      <c r="IC32" s="22"/>
      <c r="ID32" s="22"/>
      <c r="IE32" s="22"/>
      <c r="IF32" s="22"/>
      <c r="IG32" s="22"/>
      <c r="IH32" s="22"/>
      <c r="II32" s="22"/>
      <c r="IJ32" s="22"/>
      <c r="IK32" s="22"/>
      <c r="IL32" s="22"/>
      <c r="IM32" s="22"/>
      <c r="IN32" s="22"/>
      <c r="IO32" s="22"/>
      <c r="IP32" s="22"/>
      <c r="IQ32" s="22"/>
      <c r="IR32" s="22"/>
      <c r="IS32" s="22"/>
      <c r="IT32" s="22"/>
      <c r="IU32" s="22"/>
      <c r="IV32" s="22"/>
      <c r="IW32" s="22"/>
      <c r="IX32" s="22"/>
      <c r="IY32" s="22"/>
      <c r="IZ32" s="22"/>
      <c r="JA32" s="22"/>
      <c r="JB32" s="22"/>
      <c r="JC32" s="22"/>
      <c r="JD32" s="22"/>
      <c r="JE32" s="22"/>
      <c r="JF32" s="22"/>
      <c r="JG32" s="22"/>
      <c r="JH32" s="22"/>
      <c r="JI32" s="22"/>
      <c r="JJ32" s="22"/>
      <c r="JK32" s="22"/>
      <c r="JL32" s="22"/>
      <c r="JM32" s="22"/>
      <c r="JN32" s="22"/>
      <c r="JO32" s="22"/>
      <c r="JP32" s="22"/>
      <c r="JQ32" s="22"/>
      <c r="JR32" s="22"/>
      <c r="JS32" s="22"/>
      <c r="JT32" s="22"/>
      <c r="JU32" s="22"/>
      <c r="JV32" s="22"/>
      <c r="JW32" s="22"/>
      <c r="JX32" s="22"/>
      <c r="JY32" s="22"/>
      <c r="JZ32" s="22"/>
      <c r="KA32" s="22"/>
      <c r="KB32" s="22"/>
      <c r="KC32" s="22"/>
      <c r="KD32" s="22"/>
      <c r="KE32" s="22"/>
      <c r="KF32" s="22"/>
      <c r="KG32" s="22"/>
      <c r="KH32" s="22"/>
      <c r="KI32" s="22"/>
      <c r="KJ32" s="22"/>
      <c r="KK32" s="22"/>
      <c r="KL32" s="22"/>
      <c r="KM32" s="22"/>
      <c r="KN32" s="22"/>
      <c r="KO32" s="22"/>
      <c r="KP32" s="22"/>
      <c r="KQ32" s="22"/>
      <c r="KR32" s="22"/>
      <c r="KS32" s="22"/>
      <c r="KT32" s="22"/>
      <c r="KU32" s="22"/>
      <c r="KV32" s="22"/>
      <c r="KW32" s="22"/>
      <c r="KX32" s="22"/>
      <c r="KY32" s="22"/>
      <c r="KZ32" s="22"/>
      <c r="LA32" s="22"/>
      <c r="LB32" s="22"/>
      <c r="LC32" s="22"/>
      <c r="LD32" s="22"/>
      <c r="LE32" s="22"/>
      <c r="LF32" s="22"/>
      <c r="LG32" s="22"/>
      <c r="LH32" s="22"/>
      <c r="LI32" s="22"/>
      <c r="LJ32" s="22"/>
      <c r="LK32" s="22"/>
      <c r="LL32" s="22"/>
      <c r="LM32" s="22"/>
      <c r="LN32" s="22"/>
      <c r="LO32" s="22"/>
      <c r="LP32" s="22"/>
      <c r="LQ32" s="22"/>
      <c r="LR32" s="22"/>
      <c r="LS32" s="22"/>
      <c r="LT32" s="22"/>
      <c r="LU32" s="22"/>
      <c r="LV32" s="22"/>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8">
        <f>SUM(Tabela7[[#This Row],[Communication]:[Training of DevOps activities]])</f>
        <v>0</v>
      </c>
    </row>
    <row r="33" spans="1:359" s="23" customFormat="1" hidden="1" x14ac:dyDescent="0.25">
      <c r="A33" s="22" t="s">
        <v>943</v>
      </c>
      <c r="B33" s="23" t="s">
        <v>944</v>
      </c>
      <c r="C33" s="23">
        <v>0</v>
      </c>
      <c r="D33" s="23" t="s">
        <v>644</v>
      </c>
      <c r="E33" s="23" t="s">
        <v>645</v>
      </c>
      <c r="F33" s="23" t="s">
        <v>645</v>
      </c>
      <c r="G33" s="24"/>
      <c r="H33" s="23" t="s">
        <v>646</v>
      </c>
      <c r="I33" s="33" t="s">
        <v>945</v>
      </c>
      <c r="J33" s="33" t="s">
        <v>946</v>
      </c>
      <c r="K33" s="33" t="s">
        <v>947</v>
      </c>
      <c r="L33" s="33"/>
      <c r="M33" s="33">
        <v>2006</v>
      </c>
      <c r="N33" s="33" t="s">
        <v>948</v>
      </c>
      <c r="O33" s="33">
        <v>1</v>
      </c>
      <c r="P33" s="33" t="s">
        <v>949</v>
      </c>
      <c r="Q33" s="33"/>
      <c r="R33" s="33" t="s">
        <v>950</v>
      </c>
      <c r="S33" s="33" t="s">
        <v>951</v>
      </c>
      <c r="T33" s="33" t="s">
        <v>952</v>
      </c>
      <c r="U33" s="33" t="s">
        <v>655</v>
      </c>
      <c r="V33" s="33" t="s">
        <v>644</v>
      </c>
      <c r="Y33" s="27"/>
      <c r="AD33" s="224"/>
      <c r="AE33" s="26"/>
      <c r="AJ33" s="26"/>
      <c r="AN33" s="27"/>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c r="HH33" s="22"/>
      <c r="HI33" s="22"/>
      <c r="HJ33" s="22"/>
      <c r="HK33" s="22"/>
      <c r="HL33" s="22"/>
      <c r="HM33" s="22"/>
      <c r="HN33" s="22"/>
      <c r="HO33" s="22"/>
      <c r="HP33" s="22"/>
      <c r="HQ33" s="22"/>
      <c r="HR33" s="22"/>
      <c r="HS33" s="22"/>
      <c r="HT33" s="22"/>
      <c r="HU33" s="22"/>
      <c r="HV33" s="22"/>
      <c r="HW33" s="22"/>
      <c r="HX33" s="22"/>
      <c r="HY33" s="22"/>
      <c r="HZ33" s="22"/>
      <c r="IA33" s="22"/>
      <c r="IB33" s="22"/>
      <c r="IC33" s="22"/>
      <c r="ID33" s="22"/>
      <c r="IE33" s="22"/>
      <c r="IF33" s="22"/>
      <c r="IG33" s="22"/>
      <c r="IH33" s="22"/>
      <c r="II33" s="22"/>
      <c r="IJ33" s="22"/>
      <c r="IK33" s="22"/>
      <c r="IL33" s="22"/>
      <c r="IM33" s="22"/>
      <c r="IN33" s="22"/>
      <c r="IO33" s="22"/>
      <c r="IP33" s="22"/>
      <c r="IQ33" s="22"/>
      <c r="IR33" s="22"/>
      <c r="IS33" s="22"/>
      <c r="IT33" s="22"/>
      <c r="IU33" s="22"/>
      <c r="IV33" s="22"/>
      <c r="IW33" s="22"/>
      <c r="IX33" s="22"/>
      <c r="IY33" s="22"/>
      <c r="IZ33" s="22"/>
      <c r="JA33" s="22"/>
      <c r="JB33" s="22"/>
      <c r="JC33" s="22"/>
      <c r="JD33" s="22"/>
      <c r="JE33" s="22"/>
      <c r="JF33" s="22"/>
      <c r="JG33" s="22"/>
      <c r="JH33" s="22"/>
      <c r="JI33" s="22"/>
      <c r="JJ33" s="22"/>
      <c r="JK33" s="22"/>
      <c r="JL33" s="22"/>
      <c r="JM33" s="22"/>
      <c r="JN33" s="22"/>
      <c r="JO33" s="22"/>
      <c r="JP33" s="22"/>
      <c r="JQ33" s="22"/>
      <c r="JR33" s="22"/>
      <c r="JS33" s="22"/>
      <c r="JT33" s="22"/>
      <c r="JU33" s="22"/>
      <c r="JV33" s="22"/>
      <c r="JW33" s="22"/>
      <c r="JX33" s="22"/>
      <c r="JY33" s="22"/>
      <c r="JZ33" s="22"/>
      <c r="KA33" s="22"/>
      <c r="KB33" s="22"/>
      <c r="KC33" s="22"/>
      <c r="KD33" s="22"/>
      <c r="KE33" s="22"/>
      <c r="KF33" s="22"/>
      <c r="KG33" s="22"/>
      <c r="KH33" s="22"/>
      <c r="KI33" s="22"/>
      <c r="KJ33" s="22"/>
      <c r="KK33" s="22"/>
      <c r="KL33" s="22"/>
      <c r="KM33" s="22"/>
      <c r="KN33" s="22"/>
      <c r="KO33" s="22"/>
      <c r="KP33" s="22"/>
      <c r="KQ33" s="22"/>
      <c r="KR33" s="22"/>
      <c r="KS33" s="22"/>
      <c r="KT33" s="22"/>
      <c r="KU33" s="22"/>
      <c r="KV33" s="22"/>
      <c r="KW33" s="22"/>
      <c r="KX33" s="22"/>
      <c r="KY33" s="22"/>
      <c r="KZ33" s="22"/>
      <c r="LA33" s="22"/>
      <c r="LB33" s="22"/>
      <c r="LC33" s="22"/>
      <c r="LD33" s="22"/>
      <c r="LE33" s="22"/>
      <c r="LF33" s="22"/>
      <c r="LG33" s="22"/>
      <c r="LH33" s="22"/>
      <c r="LI33" s="22"/>
      <c r="LJ33" s="22"/>
      <c r="LK33" s="22"/>
      <c r="LL33" s="22"/>
      <c r="LM33" s="22"/>
      <c r="LN33" s="22"/>
      <c r="LO33" s="22"/>
      <c r="LP33" s="22"/>
      <c r="LQ33" s="22"/>
      <c r="LR33" s="22"/>
      <c r="LS33" s="22"/>
      <c r="LT33" s="22"/>
      <c r="LU33" s="22"/>
      <c r="LV33" s="22"/>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8">
        <f>SUM(Tabela7[[#This Row],[Communication]:[Training of DevOps activities]])</f>
        <v>0</v>
      </c>
    </row>
    <row r="34" spans="1:359" s="23" customFormat="1" hidden="1" x14ac:dyDescent="0.25">
      <c r="A34" s="22" t="s">
        <v>953</v>
      </c>
      <c r="B34" s="23" t="s">
        <v>954</v>
      </c>
      <c r="C34" s="29">
        <v>1</v>
      </c>
      <c r="D34" s="23" t="s">
        <v>717</v>
      </c>
      <c r="E34" s="29" t="s">
        <v>645</v>
      </c>
      <c r="F34" s="29" t="s">
        <v>645</v>
      </c>
      <c r="G34" s="29">
        <v>0</v>
      </c>
      <c r="H34" s="23" t="s">
        <v>955</v>
      </c>
      <c r="I34" s="30" t="s">
        <v>956</v>
      </c>
      <c r="J34" s="30" t="s">
        <v>957</v>
      </c>
      <c r="K34" s="30" t="s">
        <v>958</v>
      </c>
      <c r="L34" s="30"/>
      <c r="M34" s="30">
        <v>2018</v>
      </c>
      <c r="N34" s="30" t="s">
        <v>959</v>
      </c>
      <c r="O34" s="30">
        <v>1</v>
      </c>
      <c r="P34" s="30" t="s">
        <v>960</v>
      </c>
      <c r="Q34" s="30"/>
      <c r="R34" s="30" t="s">
        <v>961</v>
      </c>
      <c r="S34" s="30" t="s">
        <v>962</v>
      </c>
      <c r="T34" s="30" t="s">
        <v>646</v>
      </c>
      <c r="U34" s="30" t="s">
        <v>670</v>
      </c>
      <c r="V34" s="30" t="s">
        <v>644</v>
      </c>
      <c r="W34" s="29"/>
      <c r="X34" s="29"/>
      <c r="Y34" s="32"/>
      <c r="Z34" s="29"/>
      <c r="AA34" s="29"/>
      <c r="AB34" s="29"/>
      <c r="AC34" s="29"/>
      <c r="AD34" s="225"/>
      <c r="AE34" s="31"/>
      <c r="AF34" s="29"/>
      <c r="AG34" s="29"/>
      <c r="AH34" s="29"/>
      <c r="AI34" s="29"/>
      <c r="AJ34" s="31"/>
      <c r="AK34" s="29"/>
      <c r="AL34" s="29"/>
      <c r="AM34" s="29"/>
      <c r="AN34" s="32"/>
      <c r="AO34" s="29"/>
      <c r="AP34" s="29"/>
      <c r="AQ34" s="29"/>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c r="HH34" s="22"/>
      <c r="HI34" s="22"/>
      <c r="HJ34" s="22"/>
      <c r="HK34" s="22"/>
      <c r="HL34" s="22"/>
      <c r="HM34" s="22"/>
      <c r="HN34" s="22"/>
      <c r="HO34" s="22"/>
      <c r="HP34" s="22"/>
      <c r="HQ34" s="22"/>
      <c r="HR34" s="22"/>
      <c r="HS34" s="22"/>
      <c r="HT34" s="22"/>
      <c r="HU34" s="22"/>
      <c r="HV34" s="22"/>
      <c r="HW34" s="22"/>
      <c r="HX34" s="22"/>
      <c r="HY34" s="22"/>
      <c r="HZ34" s="22"/>
      <c r="IA34" s="22"/>
      <c r="IB34" s="22"/>
      <c r="IC34" s="22"/>
      <c r="ID34" s="22"/>
      <c r="IE34" s="22"/>
      <c r="IF34" s="22"/>
      <c r="IG34" s="22"/>
      <c r="IH34" s="22"/>
      <c r="II34" s="22"/>
      <c r="IJ34" s="22"/>
      <c r="IK34" s="22"/>
      <c r="IL34" s="22"/>
      <c r="IM34" s="22"/>
      <c r="IN34" s="22"/>
      <c r="IO34" s="22"/>
      <c r="IP34" s="22"/>
      <c r="IQ34" s="22"/>
      <c r="IR34" s="22"/>
      <c r="IS34" s="22"/>
      <c r="IT34" s="22"/>
      <c r="IU34" s="22"/>
      <c r="IV34" s="22"/>
      <c r="IW34" s="22"/>
      <c r="IX34" s="22"/>
      <c r="IY34" s="22"/>
      <c r="IZ34" s="22"/>
      <c r="JA34" s="22"/>
      <c r="JB34" s="22"/>
      <c r="JC34" s="22"/>
      <c r="JD34" s="22"/>
      <c r="JE34" s="22"/>
      <c r="JF34" s="22"/>
      <c r="JG34" s="22"/>
      <c r="JH34" s="22"/>
      <c r="JI34" s="22"/>
      <c r="JJ34" s="22"/>
      <c r="JK34" s="22"/>
      <c r="JL34" s="22"/>
      <c r="JM34" s="22"/>
      <c r="JN34" s="22"/>
      <c r="JO34" s="22"/>
      <c r="JP34" s="22"/>
      <c r="JQ34" s="22"/>
      <c r="JR34" s="22"/>
      <c r="JS34" s="22"/>
      <c r="JT34" s="22"/>
      <c r="JU34" s="22"/>
      <c r="JV34" s="22"/>
      <c r="JW34" s="22"/>
      <c r="JX34" s="22"/>
      <c r="JY34" s="22"/>
      <c r="JZ34" s="22"/>
      <c r="KA34" s="22"/>
      <c r="KB34" s="22"/>
      <c r="KC34" s="22"/>
      <c r="KD34" s="22"/>
      <c r="KE34" s="22"/>
      <c r="KF34" s="22"/>
      <c r="KG34" s="22"/>
      <c r="KH34" s="22"/>
      <c r="KI34" s="22"/>
      <c r="KJ34" s="22"/>
      <c r="KK34" s="22"/>
      <c r="KL34" s="22"/>
      <c r="KM34" s="22"/>
      <c r="KN34" s="22"/>
      <c r="KO34" s="22"/>
      <c r="KP34" s="22"/>
      <c r="KQ34" s="22"/>
      <c r="KR34" s="22"/>
      <c r="KS34" s="22"/>
      <c r="KT34" s="22"/>
      <c r="KU34" s="22"/>
      <c r="KV34" s="22"/>
      <c r="KW34" s="22"/>
      <c r="KX34" s="22"/>
      <c r="KY34" s="22"/>
      <c r="KZ34" s="22"/>
      <c r="LA34" s="22"/>
      <c r="LB34" s="22"/>
      <c r="LC34" s="22"/>
      <c r="LD34" s="22"/>
      <c r="LE34" s="22"/>
      <c r="LF34" s="22"/>
      <c r="LG34" s="22"/>
      <c r="LH34" s="22"/>
      <c r="LI34" s="22"/>
      <c r="LJ34" s="22"/>
      <c r="LK34" s="22"/>
      <c r="LL34" s="22"/>
      <c r="LM34" s="22"/>
      <c r="LN34" s="22"/>
      <c r="LO34" s="22"/>
      <c r="LP34" s="22"/>
      <c r="LQ34" s="22"/>
      <c r="LR34" s="22"/>
      <c r="LS34" s="22"/>
      <c r="LT34" s="22"/>
      <c r="LU34" s="22"/>
      <c r="LV34" s="22"/>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8">
        <f>SUM(Tabela7[[#This Row],[Communication]:[Training of DevOps activities]])</f>
        <v>0</v>
      </c>
    </row>
    <row r="35" spans="1:359" ht="14.4" x14ac:dyDescent="0.3">
      <c r="A35" s="22" t="s">
        <v>963</v>
      </c>
      <c r="B35" s="29" t="s">
        <v>964</v>
      </c>
      <c r="C35" s="29">
        <v>1</v>
      </c>
      <c r="D35" s="23" t="s">
        <v>717</v>
      </c>
      <c r="E35" s="29" t="s">
        <v>26753</v>
      </c>
      <c r="F35" s="29" t="s">
        <v>26753</v>
      </c>
      <c r="G35" s="29">
        <v>1</v>
      </c>
      <c r="H35" t="s">
        <v>965</v>
      </c>
      <c r="I35" t="s">
        <v>966</v>
      </c>
      <c r="J35" t="s">
        <v>967</v>
      </c>
      <c r="K35" t="s">
        <v>968</v>
      </c>
      <c r="L35" t="s">
        <v>969</v>
      </c>
      <c r="M35">
        <v>2018</v>
      </c>
      <c r="N35" t="s">
        <v>708</v>
      </c>
      <c r="O35">
        <v>10</v>
      </c>
      <c r="P35" t="s">
        <v>970</v>
      </c>
      <c r="Q35" t="s">
        <v>971</v>
      </c>
      <c r="R35" t="s">
        <v>972</v>
      </c>
      <c r="S35" t="s">
        <v>973</v>
      </c>
      <c r="T35" t="s">
        <v>974</v>
      </c>
      <c r="U35" t="s">
        <v>655</v>
      </c>
      <c r="V35" t="s">
        <v>644</v>
      </c>
      <c r="W35" s="29">
        <v>0</v>
      </c>
      <c r="X35" s="29">
        <v>0</v>
      </c>
      <c r="Y35" s="32"/>
      <c r="Z35" s="29"/>
      <c r="AA35" s="29">
        <v>1</v>
      </c>
      <c r="AB35" s="29"/>
      <c r="AC35" s="29"/>
      <c r="AD35" s="225"/>
      <c r="AE35" s="31"/>
      <c r="AF35" s="29">
        <v>1</v>
      </c>
      <c r="AG35" s="29"/>
      <c r="AH35" s="29"/>
      <c r="AI35" s="29"/>
      <c r="AJ35" s="31">
        <v>1</v>
      </c>
      <c r="AK35" s="29"/>
      <c r="AL35" s="29"/>
      <c r="AM35" s="29"/>
      <c r="AN35" s="34">
        <v>1</v>
      </c>
      <c r="AO35" s="28"/>
      <c r="AP35" s="28"/>
      <c r="AQ35" s="28"/>
      <c r="AR35" s="28"/>
      <c r="AS35" s="28"/>
      <c r="AT35" s="28"/>
      <c r="AU35" s="28"/>
      <c r="AV35" s="28"/>
      <c r="AW35" s="28"/>
      <c r="AX35" s="28"/>
      <c r="AY35" s="28"/>
      <c r="AZ35" s="28"/>
      <c r="BA35" s="28"/>
      <c r="BB35" s="28"/>
      <c r="BC35" s="28">
        <v>1</v>
      </c>
      <c r="BD35" s="28">
        <v>1</v>
      </c>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35"/>
      <c r="DE35" s="35"/>
      <c r="DF35" s="35"/>
      <c r="DG35" s="35"/>
      <c r="DH35" s="35"/>
      <c r="DI35" s="35"/>
      <c r="DJ35" s="35"/>
      <c r="DK35" s="35"/>
      <c r="DL35" s="35"/>
      <c r="DM35" s="35"/>
      <c r="DN35" s="35"/>
      <c r="MU35" s="28">
        <f>SUM(Tabela7[[#This Row],[Communication]:[Training of DevOps activities]])</f>
        <v>3</v>
      </c>
    </row>
    <row r="36" spans="1:359" ht="14.4" x14ac:dyDescent="0.3">
      <c r="A36" s="22" t="s">
        <v>975</v>
      </c>
      <c r="B36" s="29" t="s">
        <v>976</v>
      </c>
      <c r="C36" s="29">
        <v>1</v>
      </c>
      <c r="D36" s="23" t="s">
        <v>717</v>
      </c>
      <c r="E36" s="29" t="s">
        <v>26753</v>
      </c>
      <c r="F36" s="29" t="s">
        <v>26753</v>
      </c>
      <c r="G36" s="29">
        <v>1</v>
      </c>
      <c r="H36" t="s">
        <v>977</v>
      </c>
      <c r="I36" t="s">
        <v>978</v>
      </c>
      <c r="J36" t="s">
        <v>979</v>
      </c>
      <c r="K36" t="s">
        <v>980</v>
      </c>
      <c r="L36" t="s">
        <v>981</v>
      </c>
      <c r="M36">
        <v>2017</v>
      </c>
      <c r="N36" t="s">
        <v>982</v>
      </c>
      <c r="O36">
        <v>7</v>
      </c>
      <c r="P36" t="s">
        <v>983</v>
      </c>
      <c r="Q36" t="s">
        <v>984</v>
      </c>
      <c r="R36" t="s">
        <v>985</v>
      </c>
      <c r="S36" t="s">
        <v>986</v>
      </c>
      <c r="T36" t="s">
        <v>987</v>
      </c>
      <c r="U36" t="s">
        <v>655</v>
      </c>
      <c r="V36" t="s">
        <v>644</v>
      </c>
      <c r="W36" s="29">
        <v>0</v>
      </c>
      <c r="X36" s="29" t="s">
        <v>26753</v>
      </c>
      <c r="Y36" s="32"/>
      <c r="Z36" s="29"/>
      <c r="AA36" s="29">
        <v>1</v>
      </c>
      <c r="AB36" s="29"/>
      <c r="AC36" s="29"/>
      <c r="AD36" s="225">
        <v>1</v>
      </c>
      <c r="AE36" s="31"/>
      <c r="AF36" s="29">
        <v>1</v>
      </c>
      <c r="AG36" s="29">
        <v>1</v>
      </c>
      <c r="AH36" s="29"/>
      <c r="AI36" s="29"/>
      <c r="AJ36" s="31"/>
      <c r="AK36" s="29">
        <v>1</v>
      </c>
      <c r="AL36" s="29"/>
      <c r="AM36" s="29"/>
      <c r="AN36" s="34">
        <v>1</v>
      </c>
      <c r="AO36" s="28"/>
      <c r="AP36" s="28"/>
      <c r="AQ36" s="28"/>
      <c r="AR36" s="28"/>
      <c r="AS36" s="28"/>
      <c r="AT36" s="28"/>
      <c r="AU36" s="28"/>
      <c r="AV36" s="28"/>
      <c r="AW36" s="28">
        <v>1</v>
      </c>
      <c r="AX36" s="28"/>
      <c r="AY36" s="28"/>
      <c r="AZ36" s="28"/>
      <c r="BA36" s="28"/>
      <c r="BB36" s="28"/>
      <c r="BC36" s="28"/>
      <c r="BD36" s="28"/>
      <c r="BE36" s="28">
        <v>1</v>
      </c>
      <c r="BF36" s="28">
        <v>1</v>
      </c>
      <c r="BG36" s="28"/>
      <c r="BH36" s="28"/>
      <c r="BI36" s="28"/>
      <c r="BJ36" s="28">
        <v>1</v>
      </c>
      <c r="BK36" s="28"/>
      <c r="BL36" s="28">
        <v>1</v>
      </c>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v>1</v>
      </c>
      <c r="CW36" s="28"/>
      <c r="CX36" s="28"/>
      <c r="CY36" s="28"/>
      <c r="CZ36" s="28"/>
      <c r="DA36" s="28"/>
      <c r="DB36" s="28"/>
      <c r="DC36" s="28"/>
      <c r="DD36" s="35">
        <v>1</v>
      </c>
      <c r="DE36" s="35">
        <v>1</v>
      </c>
      <c r="DF36" s="35">
        <v>1</v>
      </c>
      <c r="DG36" s="35">
        <v>1</v>
      </c>
      <c r="DH36" s="35">
        <v>1</v>
      </c>
      <c r="DI36" s="35">
        <v>1</v>
      </c>
      <c r="DJ36" s="35">
        <v>1</v>
      </c>
      <c r="DK36" s="35"/>
      <c r="DL36" s="35"/>
      <c r="DM36" s="35"/>
      <c r="DN36" s="35"/>
      <c r="MU36" s="28">
        <f>SUM(Tabela7[[#This Row],[Communication]:[Training of DevOps activities]])</f>
        <v>14</v>
      </c>
    </row>
    <row r="37" spans="1:359" s="23" customFormat="1" hidden="1" x14ac:dyDescent="0.25">
      <c r="A37" s="22" t="s">
        <v>988</v>
      </c>
      <c r="B37" s="23" t="s">
        <v>989</v>
      </c>
      <c r="C37" s="29">
        <v>1</v>
      </c>
      <c r="D37" s="23" t="s">
        <v>717</v>
      </c>
      <c r="E37" s="29" t="s">
        <v>645</v>
      </c>
      <c r="F37" s="29" t="s">
        <v>645</v>
      </c>
      <c r="G37" s="29">
        <v>0</v>
      </c>
      <c r="H37" s="23" t="s">
        <v>990</v>
      </c>
      <c r="I37" s="33" t="s">
        <v>991</v>
      </c>
      <c r="J37" s="33" t="s">
        <v>992</v>
      </c>
      <c r="K37" s="33" t="s">
        <v>993</v>
      </c>
      <c r="L37" s="33"/>
      <c r="M37" s="33">
        <v>2016</v>
      </c>
      <c r="N37" s="33" t="s">
        <v>994</v>
      </c>
      <c r="O37" s="33">
        <v>1</v>
      </c>
      <c r="P37" s="33" t="s">
        <v>995</v>
      </c>
      <c r="Q37" s="33"/>
      <c r="R37" s="33" t="s">
        <v>996</v>
      </c>
      <c r="S37" s="33" t="s">
        <v>997</v>
      </c>
      <c r="T37" s="33" t="s">
        <v>998</v>
      </c>
      <c r="U37" s="33" t="s">
        <v>655</v>
      </c>
      <c r="V37" s="33" t="s">
        <v>644</v>
      </c>
      <c r="W37" s="29"/>
      <c r="X37" s="29"/>
      <c r="Y37" s="32"/>
      <c r="Z37" s="29"/>
      <c r="AA37" s="29"/>
      <c r="AB37" s="29"/>
      <c r="AC37" s="29"/>
      <c r="AD37" s="225"/>
      <c r="AE37" s="31"/>
      <c r="AF37" s="29"/>
      <c r="AG37" s="29"/>
      <c r="AH37" s="29"/>
      <c r="AI37" s="29"/>
      <c r="AJ37" s="31"/>
      <c r="AK37" s="29"/>
      <c r="AL37" s="29"/>
      <c r="AM37" s="29"/>
      <c r="AN37" s="32"/>
      <c r="AO37" s="29"/>
      <c r="AP37" s="29"/>
      <c r="AQ37" s="29"/>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8">
        <f>SUM(Tabela7[[#This Row],[Communication]:[Training of DevOps activities]])</f>
        <v>0</v>
      </c>
    </row>
    <row r="38" spans="1:359" s="23" customFormat="1" hidden="1" x14ac:dyDescent="0.25">
      <c r="A38" s="22" t="s">
        <v>999</v>
      </c>
      <c r="B38" s="23" t="s">
        <v>1000</v>
      </c>
      <c r="C38" s="29">
        <v>1</v>
      </c>
      <c r="D38" s="23" t="s">
        <v>717</v>
      </c>
      <c r="E38" s="29" t="s">
        <v>645</v>
      </c>
      <c r="F38" s="29" t="s">
        <v>645</v>
      </c>
      <c r="G38" s="29">
        <v>0</v>
      </c>
      <c r="H38" s="23" t="s">
        <v>1001</v>
      </c>
      <c r="I38" s="30" t="s">
        <v>1002</v>
      </c>
      <c r="J38" s="30" t="s">
        <v>1003</v>
      </c>
      <c r="K38" s="30" t="s">
        <v>1004</v>
      </c>
      <c r="L38" s="30"/>
      <c r="M38" s="30">
        <v>2016</v>
      </c>
      <c r="N38" s="30" t="s">
        <v>1005</v>
      </c>
      <c r="O38" s="30">
        <v>16</v>
      </c>
      <c r="P38" s="30" t="s">
        <v>1006</v>
      </c>
      <c r="Q38" s="30"/>
      <c r="R38" s="30" t="s">
        <v>1007</v>
      </c>
      <c r="S38" s="30" t="s">
        <v>1008</v>
      </c>
      <c r="T38" s="30" t="s">
        <v>1009</v>
      </c>
      <c r="U38" s="30" t="s">
        <v>655</v>
      </c>
      <c r="V38" s="30" t="s">
        <v>644</v>
      </c>
      <c r="W38" s="29"/>
      <c r="X38" s="29"/>
      <c r="Y38" s="32"/>
      <c r="Z38" s="29"/>
      <c r="AA38" s="29"/>
      <c r="AB38" s="29"/>
      <c r="AC38" s="29"/>
      <c r="AD38" s="225"/>
      <c r="AE38" s="31"/>
      <c r="AF38" s="29"/>
      <c r="AG38" s="29"/>
      <c r="AH38" s="29"/>
      <c r="AI38" s="29"/>
      <c r="AJ38" s="31"/>
      <c r="AK38" s="29"/>
      <c r="AL38" s="29"/>
      <c r="AM38" s="29"/>
      <c r="AN38" s="32"/>
      <c r="AO38" s="29"/>
      <c r="AP38" s="29"/>
      <c r="AQ38" s="29"/>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8">
        <f>SUM(Tabela7[[#This Row],[Communication]:[Training of DevOps activities]])</f>
        <v>0</v>
      </c>
    </row>
    <row r="39" spans="1:359" s="23" customFormat="1" hidden="1" x14ac:dyDescent="0.25">
      <c r="A39" s="22" t="s">
        <v>1010</v>
      </c>
      <c r="B39" s="23" t="s">
        <v>1011</v>
      </c>
      <c r="C39" s="29">
        <v>1</v>
      </c>
      <c r="D39" s="23" t="s">
        <v>717</v>
      </c>
      <c r="E39" s="29" t="s">
        <v>645</v>
      </c>
      <c r="F39" s="29" t="s">
        <v>645</v>
      </c>
      <c r="G39" s="29">
        <v>0</v>
      </c>
      <c r="H39" s="23" t="s">
        <v>1012</v>
      </c>
      <c r="I39" s="33" t="s">
        <v>1013</v>
      </c>
      <c r="J39" s="33" t="s">
        <v>1014</v>
      </c>
      <c r="K39" s="33" t="s">
        <v>1015</v>
      </c>
      <c r="L39" s="33"/>
      <c r="M39" s="33">
        <v>2015</v>
      </c>
      <c r="N39" s="33" t="s">
        <v>818</v>
      </c>
      <c r="O39" s="33">
        <v>4</v>
      </c>
      <c r="P39" s="33" t="s">
        <v>1016</v>
      </c>
      <c r="Q39" s="33"/>
      <c r="R39" s="33" t="s">
        <v>1017</v>
      </c>
      <c r="S39" s="33" t="s">
        <v>1018</v>
      </c>
      <c r="T39" s="33" t="s">
        <v>1019</v>
      </c>
      <c r="U39" s="33" t="s">
        <v>670</v>
      </c>
      <c r="V39" s="33" t="s">
        <v>644</v>
      </c>
      <c r="W39" s="29"/>
      <c r="X39" s="29"/>
      <c r="Y39" s="32"/>
      <c r="Z39" s="29"/>
      <c r="AA39" s="29"/>
      <c r="AB39" s="29"/>
      <c r="AC39" s="29"/>
      <c r="AD39" s="225"/>
      <c r="AE39" s="31"/>
      <c r="AF39" s="29"/>
      <c r="AG39" s="29"/>
      <c r="AH39" s="29"/>
      <c r="AI39" s="29"/>
      <c r="AJ39" s="31"/>
      <c r="AK39" s="29"/>
      <c r="AL39" s="29"/>
      <c r="AM39" s="29"/>
      <c r="AN39" s="32"/>
      <c r="AO39" s="29"/>
      <c r="AP39" s="29"/>
      <c r="AQ39" s="29"/>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8">
        <f>SUM(Tabela7[[#This Row],[Communication]:[Training of DevOps activities]])</f>
        <v>0</v>
      </c>
    </row>
    <row r="40" spans="1:359" ht="14.4" x14ac:dyDescent="0.3">
      <c r="A40" s="22" t="s">
        <v>1020</v>
      </c>
      <c r="B40" s="29" t="s">
        <v>1021</v>
      </c>
      <c r="C40" s="29">
        <v>1</v>
      </c>
      <c r="D40" s="23" t="s">
        <v>717</v>
      </c>
      <c r="E40" s="29" t="s">
        <v>26753</v>
      </c>
      <c r="F40" s="29" t="s">
        <v>26753</v>
      </c>
      <c r="G40" s="29">
        <v>1</v>
      </c>
      <c r="H40" t="s">
        <v>1022</v>
      </c>
      <c r="I40" t="s">
        <v>1023</v>
      </c>
      <c r="J40" t="s">
        <v>1024</v>
      </c>
      <c r="K40" t="s">
        <v>1025</v>
      </c>
      <c r="L40" t="s">
        <v>1026</v>
      </c>
      <c r="M40">
        <v>2014</v>
      </c>
      <c r="N40" t="s">
        <v>1027</v>
      </c>
      <c r="O40">
        <v>9</v>
      </c>
      <c r="P40" t="s">
        <v>1028</v>
      </c>
      <c r="Q40" t="s">
        <v>1029</v>
      </c>
      <c r="R40" t="s">
        <v>1030</v>
      </c>
      <c r="S40" t="s">
        <v>1031</v>
      </c>
      <c r="T40" t="s">
        <v>646</v>
      </c>
      <c r="U40" t="s">
        <v>670</v>
      </c>
      <c r="V40" t="s">
        <v>644</v>
      </c>
      <c r="W40" s="29" t="s">
        <v>26753</v>
      </c>
      <c r="X40" s="29" t="s">
        <v>26753</v>
      </c>
      <c r="Y40" s="32">
        <v>1</v>
      </c>
      <c r="Z40" s="29"/>
      <c r="AA40" s="29"/>
      <c r="AB40" s="29"/>
      <c r="AC40" s="29">
        <v>1</v>
      </c>
      <c r="AD40" s="225"/>
      <c r="AE40" s="31"/>
      <c r="AF40" s="29"/>
      <c r="AG40" s="29">
        <v>1</v>
      </c>
      <c r="AH40" s="29"/>
      <c r="AI40" s="29"/>
      <c r="AJ40" s="31">
        <v>1</v>
      </c>
      <c r="AK40" s="29"/>
      <c r="AL40" s="29"/>
      <c r="AM40" s="29"/>
      <c r="AN40" s="34">
        <v>1</v>
      </c>
      <c r="AO40" s="28">
        <v>1</v>
      </c>
      <c r="AP40" s="28">
        <v>1</v>
      </c>
      <c r="AQ40" s="28">
        <v>1</v>
      </c>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v>1</v>
      </c>
      <c r="CX40" s="28"/>
      <c r="CY40" s="28"/>
      <c r="CZ40" s="28"/>
      <c r="DA40" s="28"/>
      <c r="DB40" s="28"/>
      <c r="DC40" s="28"/>
      <c r="DD40" s="35"/>
      <c r="DE40" s="35"/>
      <c r="DF40" s="35"/>
      <c r="DG40" s="35"/>
      <c r="DH40" s="35"/>
      <c r="DI40" s="35"/>
      <c r="DJ40" s="35"/>
      <c r="DK40" s="35"/>
      <c r="DL40" s="35"/>
      <c r="DM40" s="35"/>
      <c r="DN40" s="35"/>
      <c r="MU40" s="28">
        <f>SUM(Tabela7[[#This Row],[Communication]:[Training of DevOps activities]])</f>
        <v>5</v>
      </c>
    </row>
    <row r="41" spans="1:359" ht="14.4" x14ac:dyDescent="0.3">
      <c r="A41" s="22" t="s">
        <v>1032</v>
      </c>
      <c r="B41" s="29" t="s">
        <v>1033</v>
      </c>
      <c r="C41" s="29">
        <v>1</v>
      </c>
      <c r="D41" s="23" t="s">
        <v>717</v>
      </c>
      <c r="E41" s="29" t="s">
        <v>26753</v>
      </c>
      <c r="F41" s="29" t="s">
        <v>26753</v>
      </c>
      <c r="G41" s="29">
        <v>1</v>
      </c>
      <c r="H41" t="s">
        <v>1034</v>
      </c>
      <c r="I41" t="s">
        <v>1035</v>
      </c>
      <c r="J41" t="s">
        <v>1036</v>
      </c>
      <c r="K41" t="s">
        <v>1037</v>
      </c>
      <c r="L41" t="s">
        <v>1038</v>
      </c>
      <c r="M41">
        <v>2012</v>
      </c>
      <c r="N41" t="s">
        <v>1039</v>
      </c>
      <c r="O41">
        <v>10</v>
      </c>
      <c r="P41" t="s">
        <v>1040</v>
      </c>
      <c r="Q41" t="s">
        <v>820</v>
      </c>
      <c r="R41" t="s">
        <v>1041</v>
      </c>
      <c r="S41" t="s">
        <v>1042</v>
      </c>
      <c r="T41" t="s">
        <v>1043</v>
      </c>
      <c r="U41" t="s">
        <v>655</v>
      </c>
      <c r="V41" t="s">
        <v>644</v>
      </c>
      <c r="W41" s="29" t="s">
        <v>26753</v>
      </c>
      <c r="X41" s="29" t="s">
        <v>26753</v>
      </c>
      <c r="Y41" s="32"/>
      <c r="Z41" s="29">
        <v>1</v>
      </c>
      <c r="AA41" s="29"/>
      <c r="AB41" s="29">
        <v>1</v>
      </c>
      <c r="AC41" s="29"/>
      <c r="AD41" s="225">
        <v>1</v>
      </c>
      <c r="AE41" s="31"/>
      <c r="AF41" s="29"/>
      <c r="AG41" s="29">
        <v>1</v>
      </c>
      <c r="AH41" s="29"/>
      <c r="AI41" s="29">
        <v>1</v>
      </c>
      <c r="AJ41" s="31"/>
      <c r="AK41" s="29"/>
      <c r="AL41" s="29">
        <v>1</v>
      </c>
      <c r="AM41" s="29"/>
      <c r="AN41" s="34">
        <v>1</v>
      </c>
      <c r="AO41" s="28">
        <v>1</v>
      </c>
      <c r="AP41" s="28">
        <v>1</v>
      </c>
      <c r="AQ41" s="28">
        <v>1</v>
      </c>
      <c r="AR41" s="28"/>
      <c r="AS41" s="28">
        <v>1</v>
      </c>
      <c r="AT41" s="28">
        <v>1</v>
      </c>
      <c r="AU41" s="28"/>
      <c r="AV41" s="28"/>
      <c r="AW41" s="28">
        <v>1</v>
      </c>
      <c r="AX41" s="28"/>
      <c r="AY41" s="28"/>
      <c r="AZ41" s="28"/>
      <c r="BA41" s="28"/>
      <c r="BB41" s="28"/>
      <c r="BC41" s="28"/>
      <c r="BD41" s="28">
        <v>1</v>
      </c>
      <c r="BE41" s="28"/>
      <c r="BF41" s="28"/>
      <c r="BG41" s="28"/>
      <c r="BH41" s="28"/>
      <c r="BI41" s="28"/>
      <c r="BJ41" s="28">
        <v>1</v>
      </c>
      <c r="BK41" s="28"/>
      <c r="BL41" s="28">
        <v>1</v>
      </c>
      <c r="BM41" s="28">
        <v>1</v>
      </c>
      <c r="BN41" s="28">
        <v>1</v>
      </c>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v>1</v>
      </c>
      <c r="CX41" s="28"/>
      <c r="CY41" s="28"/>
      <c r="CZ41" s="28">
        <v>1</v>
      </c>
      <c r="DA41" s="28"/>
      <c r="DB41" s="28"/>
      <c r="DC41" s="28"/>
      <c r="DD41" s="35"/>
      <c r="DE41" s="35"/>
      <c r="DF41" s="35"/>
      <c r="DG41" s="35"/>
      <c r="DH41" s="35"/>
      <c r="DI41" s="35">
        <v>1</v>
      </c>
      <c r="DJ41" s="35"/>
      <c r="DK41" s="35">
        <v>1</v>
      </c>
      <c r="DL41" s="35">
        <v>1</v>
      </c>
      <c r="DM41" s="35">
        <v>1</v>
      </c>
      <c r="DN41" s="35">
        <v>1</v>
      </c>
      <c r="DO41" s="22">
        <v>1</v>
      </c>
      <c r="DP41" s="22">
        <v>1</v>
      </c>
      <c r="DQ41" s="22">
        <v>1</v>
      </c>
      <c r="DR41" s="22">
        <v>1</v>
      </c>
      <c r="DS41" s="22">
        <v>1</v>
      </c>
      <c r="DT41" s="22">
        <v>1</v>
      </c>
      <c r="DU41" s="22">
        <v>1</v>
      </c>
      <c r="MU41" s="28">
        <f>SUM(Tabela7[[#This Row],[Communication]:[Training of DevOps activities]])</f>
        <v>26</v>
      </c>
    </row>
    <row r="42" spans="1:359" ht="14.4" x14ac:dyDescent="0.3">
      <c r="A42" s="22" t="s">
        <v>1044</v>
      </c>
      <c r="B42" s="29" t="s">
        <v>1045</v>
      </c>
      <c r="C42" s="29">
        <v>1</v>
      </c>
      <c r="D42" s="23" t="s">
        <v>717</v>
      </c>
      <c r="E42" s="29" t="s">
        <v>26753</v>
      </c>
      <c r="F42" s="29" t="s">
        <v>26753</v>
      </c>
      <c r="G42" s="29">
        <v>1</v>
      </c>
      <c r="H42" t="s">
        <v>1046</v>
      </c>
      <c r="I42" t="s">
        <v>1047</v>
      </c>
      <c r="J42" t="s">
        <v>1048</v>
      </c>
      <c r="K42" t="s">
        <v>1049</v>
      </c>
      <c r="L42" t="s">
        <v>1050</v>
      </c>
      <c r="M42">
        <v>2011</v>
      </c>
      <c r="N42" t="s">
        <v>1051</v>
      </c>
      <c r="O42">
        <v>13</v>
      </c>
      <c r="P42" t="s">
        <v>1052</v>
      </c>
      <c r="Q42" t="s">
        <v>1053</v>
      </c>
      <c r="R42" t="s">
        <v>1054</v>
      </c>
      <c r="S42" t="s">
        <v>1055</v>
      </c>
      <c r="T42" t="s">
        <v>1056</v>
      </c>
      <c r="U42" t="s">
        <v>670</v>
      </c>
      <c r="V42" t="s">
        <v>644</v>
      </c>
      <c r="W42" s="29">
        <v>0</v>
      </c>
      <c r="X42" s="29">
        <v>0</v>
      </c>
      <c r="Y42" s="32"/>
      <c r="Z42" s="29"/>
      <c r="AA42" s="29"/>
      <c r="AB42" s="29">
        <v>1</v>
      </c>
      <c r="AC42" s="29"/>
      <c r="AD42" s="225">
        <v>1</v>
      </c>
      <c r="AE42" s="31"/>
      <c r="AF42" s="29"/>
      <c r="AG42" s="29"/>
      <c r="AH42" s="29">
        <v>1</v>
      </c>
      <c r="AI42" s="29">
        <v>1</v>
      </c>
      <c r="AJ42" s="31">
        <v>1</v>
      </c>
      <c r="AK42" s="29"/>
      <c r="AL42" s="29"/>
      <c r="AM42" s="29"/>
      <c r="AN42" s="34">
        <v>1</v>
      </c>
      <c r="AO42" s="28"/>
      <c r="AP42" s="28"/>
      <c r="AQ42" s="28"/>
      <c r="AR42" s="28"/>
      <c r="AS42" s="28"/>
      <c r="AT42" s="28"/>
      <c r="AU42" s="28"/>
      <c r="AV42" s="28"/>
      <c r="AW42" s="28">
        <v>1</v>
      </c>
      <c r="AX42" s="28"/>
      <c r="AY42" s="28"/>
      <c r="AZ42" s="28"/>
      <c r="BA42" s="28"/>
      <c r="BB42" s="28"/>
      <c r="BC42" s="28"/>
      <c r="BD42" s="28">
        <v>1</v>
      </c>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35"/>
      <c r="DE42" s="35"/>
      <c r="DF42" s="35"/>
      <c r="DG42" s="35"/>
      <c r="DH42" s="35"/>
      <c r="DI42" s="35"/>
      <c r="DJ42" s="35"/>
      <c r="DK42" s="35"/>
      <c r="DL42" s="35"/>
      <c r="DM42" s="35"/>
      <c r="DN42" s="35"/>
      <c r="MU42" s="28">
        <f>SUM(Tabela7[[#This Row],[Communication]:[Training of DevOps activities]])</f>
        <v>3</v>
      </c>
    </row>
    <row r="43" spans="1:359" ht="14.4" x14ac:dyDescent="0.3">
      <c r="A43" s="22" t="s">
        <v>1057</v>
      </c>
      <c r="B43" s="29" t="s">
        <v>1058</v>
      </c>
      <c r="C43" s="29">
        <v>1</v>
      </c>
      <c r="D43" s="23" t="s">
        <v>717</v>
      </c>
      <c r="E43" s="29" t="s">
        <v>26753</v>
      </c>
      <c r="F43" s="29" t="s">
        <v>26753</v>
      </c>
      <c r="G43" s="29">
        <v>1</v>
      </c>
      <c r="H43" t="s">
        <v>1059</v>
      </c>
      <c r="I43" t="s">
        <v>1060</v>
      </c>
      <c r="J43" t="s">
        <v>1061</v>
      </c>
      <c r="K43" t="s">
        <v>1062</v>
      </c>
      <c r="L43" t="s">
        <v>1063</v>
      </c>
      <c r="M43">
        <v>2007</v>
      </c>
      <c r="N43" t="s">
        <v>1064</v>
      </c>
      <c r="O43">
        <v>75</v>
      </c>
      <c r="P43" t="s">
        <v>1065</v>
      </c>
      <c r="Q43" t="s">
        <v>1066</v>
      </c>
      <c r="R43" t="s">
        <v>1067</v>
      </c>
      <c r="S43" t="s">
        <v>1068</v>
      </c>
      <c r="T43" t="s">
        <v>1069</v>
      </c>
      <c r="U43" t="s">
        <v>655</v>
      </c>
      <c r="V43" t="s">
        <v>644</v>
      </c>
      <c r="W43" s="29">
        <v>0</v>
      </c>
      <c r="X43" s="29" t="s">
        <v>26753</v>
      </c>
      <c r="Y43" s="32">
        <v>1</v>
      </c>
      <c r="Z43" s="29"/>
      <c r="AA43" s="29"/>
      <c r="AB43" s="29"/>
      <c r="AC43" s="29"/>
      <c r="AD43" s="225">
        <v>1</v>
      </c>
      <c r="AE43" s="31">
        <v>1</v>
      </c>
      <c r="AF43" s="29"/>
      <c r="AG43" s="29">
        <v>1</v>
      </c>
      <c r="AH43" s="29"/>
      <c r="AI43" s="29">
        <v>1</v>
      </c>
      <c r="AJ43" s="31">
        <v>1</v>
      </c>
      <c r="AK43" s="29"/>
      <c r="AL43" s="29"/>
      <c r="AM43" s="29"/>
      <c r="AN43" s="34">
        <v>1</v>
      </c>
      <c r="AO43" s="28">
        <v>1</v>
      </c>
      <c r="AP43" s="28">
        <v>1</v>
      </c>
      <c r="AQ43" s="28"/>
      <c r="AR43" s="28"/>
      <c r="AS43" s="28"/>
      <c r="AT43" s="28">
        <v>1</v>
      </c>
      <c r="AU43" s="28">
        <v>1</v>
      </c>
      <c r="AV43" s="28"/>
      <c r="AW43" s="28">
        <v>1</v>
      </c>
      <c r="AX43" s="28"/>
      <c r="AY43" s="28">
        <v>1</v>
      </c>
      <c r="AZ43" s="28"/>
      <c r="BA43" s="28">
        <v>1</v>
      </c>
      <c r="BB43" s="28"/>
      <c r="BC43" s="28"/>
      <c r="BD43" s="28">
        <v>1</v>
      </c>
      <c r="BE43" s="28"/>
      <c r="BF43" s="28">
        <v>1</v>
      </c>
      <c r="BG43" s="28"/>
      <c r="BH43" s="28">
        <v>1</v>
      </c>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v>1</v>
      </c>
      <c r="CS43" s="28"/>
      <c r="CT43" s="28"/>
      <c r="CU43" s="28"/>
      <c r="CV43" s="28"/>
      <c r="CW43" s="28"/>
      <c r="CX43" s="28"/>
      <c r="CY43" s="28"/>
      <c r="CZ43" s="28"/>
      <c r="DA43" s="28"/>
      <c r="DB43" s="28"/>
      <c r="DC43" s="28"/>
      <c r="DD43" s="35"/>
      <c r="DE43" s="35">
        <v>1</v>
      </c>
      <c r="DF43" s="35">
        <v>1</v>
      </c>
      <c r="DG43" s="35"/>
      <c r="DH43" s="35"/>
      <c r="DI43" s="35">
        <v>1</v>
      </c>
      <c r="DJ43" s="35"/>
      <c r="DK43" s="35"/>
      <c r="DL43" s="35"/>
      <c r="DM43" s="35"/>
      <c r="DN43" s="35"/>
      <c r="DT43" s="22">
        <v>1</v>
      </c>
      <c r="DW43" s="22">
        <v>1</v>
      </c>
      <c r="MU43" s="28">
        <f>SUM(Tabela7[[#This Row],[Communication]:[Training of DevOps activities]])</f>
        <v>17</v>
      </c>
    </row>
    <row r="44" spans="1:359" s="23" customFormat="1" hidden="1" x14ac:dyDescent="0.25">
      <c r="A44" s="22" t="s">
        <v>1070</v>
      </c>
      <c r="B44" s="23" t="s">
        <v>1071</v>
      </c>
      <c r="C44" s="23">
        <v>0</v>
      </c>
      <c r="D44" s="23" t="s">
        <v>644</v>
      </c>
      <c r="E44" s="23" t="s">
        <v>645</v>
      </c>
      <c r="F44" s="23" t="s">
        <v>645</v>
      </c>
      <c r="G44" s="24"/>
      <c r="H44" s="23" t="s">
        <v>1072</v>
      </c>
      <c r="I44" s="33" t="s">
        <v>1073</v>
      </c>
      <c r="J44" s="33" t="s">
        <v>1074</v>
      </c>
      <c r="K44" s="33" t="s">
        <v>1075</v>
      </c>
      <c r="L44" s="33"/>
      <c r="M44" s="33">
        <v>2016</v>
      </c>
      <c r="N44" s="33" t="s">
        <v>1076</v>
      </c>
      <c r="O44" s="33">
        <v>2</v>
      </c>
      <c r="P44" s="33" t="s">
        <v>1077</v>
      </c>
      <c r="Q44" s="33"/>
      <c r="R44" s="33" t="s">
        <v>1078</v>
      </c>
      <c r="S44" s="33" t="s">
        <v>1079</v>
      </c>
      <c r="T44" s="33" t="s">
        <v>1080</v>
      </c>
      <c r="U44" s="33" t="s">
        <v>670</v>
      </c>
      <c r="V44" s="33" t="s">
        <v>644</v>
      </c>
      <c r="Y44" s="27"/>
      <c r="AD44" s="224"/>
      <c r="AE44" s="26"/>
      <c r="AJ44" s="26"/>
      <c r="AN44" s="27"/>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c r="HH44" s="22"/>
      <c r="HI44" s="22"/>
      <c r="HJ44" s="22"/>
      <c r="HK44" s="22"/>
      <c r="HL44" s="22"/>
      <c r="HM44" s="22"/>
      <c r="HN44" s="22"/>
      <c r="HO44" s="22"/>
      <c r="HP44" s="22"/>
      <c r="HQ44" s="22"/>
      <c r="HR44" s="22"/>
      <c r="HS44" s="22"/>
      <c r="HT44" s="22"/>
      <c r="HU44" s="22"/>
      <c r="HV44" s="22"/>
      <c r="HW44" s="22"/>
      <c r="HX44" s="22"/>
      <c r="HY44" s="22"/>
      <c r="HZ44" s="22"/>
      <c r="IA44" s="22"/>
      <c r="IB44" s="22"/>
      <c r="IC44" s="22"/>
      <c r="ID44" s="22"/>
      <c r="IE44" s="22"/>
      <c r="IF44" s="22"/>
      <c r="IG44" s="22"/>
      <c r="IH44" s="22"/>
      <c r="II44" s="22"/>
      <c r="IJ44" s="22"/>
      <c r="IK44" s="22"/>
      <c r="IL44" s="22"/>
      <c r="IM44" s="22"/>
      <c r="IN44" s="22"/>
      <c r="IO44" s="22"/>
      <c r="IP44" s="22"/>
      <c r="IQ44" s="22"/>
      <c r="IR44" s="22"/>
      <c r="IS44" s="22"/>
      <c r="IT44" s="22"/>
      <c r="IU44" s="22"/>
      <c r="IV44" s="22"/>
      <c r="IW44" s="22"/>
      <c r="IX44" s="22"/>
      <c r="IY44" s="22"/>
      <c r="IZ44" s="22"/>
      <c r="JA44" s="22"/>
      <c r="JB44" s="22"/>
      <c r="JC44" s="22"/>
      <c r="JD44" s="22"/>
      <c r="JE44" s="22"/>
      <c r="JF44" s="22"/>
      <c r="JG44" s="22"/>
      <c r="JH44" s="22"/>
      <c r="JI44" s="22"/>
      <c r="JJ44" s="22"/>
      <c r="JK44" s="22"/>
      <c r="JL44" s="22"/>
      <c r="JM44" s="22"/>
      <c r="JN44" s="22"/>
      <c r="JO44" s="22"/>
      <c r="JP44" s="22"/>
      <c r="JQ44" s="22"/>
      <c r="JR44" s="22"/>
      <c r="JS44" s="22"/>
      <c r="JT44" s="22"/>
      <c r="JU44" s="22"/>
      <c r="JV44" s="22"/>
      <c r="JW44" s="22"/>
      <c r="JX44" s="22"/>
      <c r="JY44" s="22"/>
      <c r="JZ44" s="22"/>
      <c r="KA44" s="22"/>
      <c r="KB44" s="22"/>
      <c r="KC44" s="22"/>
      <c r="KD44" s="22"/>
      <c r="KE44" s="22"/>
      <c r="KF44" s="22"/>
      <c r="KG44" s="22"/>
      <c r="KH44" s="22"/>
      <c r="KI44" s="22"/>
      <c r="KJ44" s="22"/>
      <c r="KK44" s="22"/>
      <c r="KL44" s="22"/>
      <c r="KM44" s="22"/>
      <c r="KN44" s="22"/>
      <c r="KO44" s="22"/>
      <c r="KP44" s="22"/>
      <c r="KQ44" s="22"/>
      <c r="KR44" s="22"/>
      <c r="KS44" s="22"/>
      <c r="KT44" s="22"/>
      <c r="KU44" s="22"/>
      <c r="KV44" s="22"/>
      <c r="KW44" s="22"/>
      <c r="KX44" s="22"/>
      <c r="KY44" s="22"/>
      <c r="KZ44" s="22"/>
      <c r="LA44" s="22"/>
      <c r="LB44" s="22"/>
      <c r="LC44" s="22"/>
      <c r="LD44" s="22"/>
      <c r="LE44" s="22"/>
      <c r="LF44" s="22"/>
      <c r="LG44" s="22"/>
      <c r="LH44" s="22"/>
      <c r="LI44" s="22"/>
      <c r="LJ44" s="22"/>
      <c r="LK44" s="22"/>
      <c r="LL44" s="22"/>
      <c r="LM44" s="22"/>
      <c r="LN44" s="22"/>
      <c r="LO44" s="22"/>
      <c r="LP44" s="22"/>
      <c r="LQ44" s="22"/>
      <c r="LR44" s="22"/>
      <c r="LS44" s="22"/>
      <c r="LT44" s="22"/>
      <c r="LU44" s="22"/>
      <c r="LV44" s="22"/>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8">
        <f>SUM(Tabela7[[#This Row],[Communication]:[Training of DevOps activities]])</f>
        <v>0</v>
      </c>
    </row>
    <row r="45" spans="1:359" ht="14.4" x14ac:dyDescent="0.3">
      <c r="A45" s="22" t="s">
        <v>1081</v>
      </c>
      <c r="B45" s="29" t="s">
        <v>1082</v>
      </c>
      <c r="C45" s="29">
        <v>1</v>
      </c>
      <c r="D45" s="23" t="s">
        <v>717</v>
      </c>
      <c r="E45" s="29" t="s">
        <v>26753</v>
      </c>
      <c r="F45" s="29" t="s">
        <v>26753</v>
      </c>
      <c r="G45" s="29">
        <v>1</v>
      </c>
      <c r="H45" t="s">
        <v>1083</v>
      </c>
      <c r="I45" t="s">
        <v>1084</v>
      </c>
      <c r="J45" t="s">
        <v>1085</v>
      </c>
      <c r="K45" t="s">
        <v>1086</v>
      </c>
      <c r="L45" t="s">
        <v>1087</v>
      </c>
      <c r="M45">
        <v>2016</v>
      </c>
      <c r="N45" t="s">
        <v>1088</v>
      </c>
      <c r="O45">
        <v>10</v>
      </c>
      <c r="P45" t="s">
        <v>1089</v>
      </c>
      <c r="Q45" t="s">
        <v>1090</v>
      </c>
      <c r="R45" t="s">
        <v>1091</v>
      </c>
      <c r="S45" t="s">
        <v>1092</v>
      </c>
      <c r="T45" t="s">
        <v>1093</v>
      </c>
      <c r="U45" t="s">
        <v>670</v>
      </c>
      <c r="V45" t="s">
        <v>644</v>
      </c>
      <c r="W45" s="29">
        <v>0</v>
      </c>
      <c r="X45" s="29">
        <v>0</v>
      </c>
      <c r="Y45" s="32"/>
      <c r="Z45" s="29"/>
      <c r="AA45" s="29">
        <v>1</v>
      </c>
      <c r="AB45" s="29"/>
      <c r="AC45" s="29"/>
      <c r="AD45" s="225"/>
      <c r="AE45" s="31"/>
      <c r="AF45" s="29">
        <v>1</v>
      </c>
      <c r="AG45" s="29">
        <v>1</v>
      </c>
      <c r="AH45" s="29"/>
      <c r="AI45" s="29"/>
      <c r="AJ45" s="31"/>
      <c r="AK45" s="29">
        <v>1</v>
      </c>
      <c r="AL45" s="29">
        <v>1</v>
      </c>
      <c r="AM45" s="29"/>
      <c r="AN45" s="34"/>
      <c r="AO45" s="28"/>
      <c r="AP45" s="28">
        <v>1</v>
      </c>
      <c r="AQ45" s="28"/>
      <c r="AR45" s="28"/>
      <c r="AS45" s="28"/>
      <c r="AT45" s="28"/>
      <c r="AU45" s="28">
        <v>1</v>
      </c>
      <c r="AV45" s="28"/>
      <c r="AW45" s="28"/>
      <c r="AX45" s="28"/>
      <c r="AY45" s="28">
        <v>1</v>
      </c>
      <c r="AZ45" s="28"/>
      <c r="BA45" s="28"/>
      <c r="BB45" s="28"/>
      <c r="BC45" s="28">
        <v>1</v>
      </c>
      <c r="BD45" s="28"/>
      <c r="BE45" s="28"/>
      <c r="BF45" s="28">
        <v>1</v>
      </c>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v>1</v>
      </c>
      <c r="CW45" s="28"/>
      <c r="CX45" s="28"/>
      <c r="CY45" s="28"/>
      <c r="CZ45" s="28"/>
      <c r="DA45" s="28"/>
      <c r="DB45" s="28"/>
      <c r="DC45" s="28"/>
      <c r="DD45" s="35"/>
      <c r="DE45" s="35"/>
      <c r="DF45" s="35">
        <v>1</v>
      </c>
      <c r="DG45" s="35"/>
      <c r="DH45" s="35"/>
      <c r="DI45" s="35"/>
      <c r="DJ45" s="35"/>
      <c r="DK45" s="35"/>
      <c r="DL45" s="35"/>
      <c r="DM45" s="35"/>
      <c r="DN45" s="35"/>
      <c r="DZ45" s="22">
        <v>1</v>
      </c>
      <c r="MU45" s="28">
        <f>SUM(Tabela7[[#This Row],[Communication]:[Training of DevOps activities]])</f>
        <v>8</v>
      </c>
    </row>
    <row r="46" spans="1:359" s="23" customFormat="1" hidden="1" x14ac:dyDescent="0.25">
      <c r="A46" s="22" t="s">
        <v>1094</v>
      </c>
      <c r="B46" s="23" t="s">
        <v>1095</v>
      </c>
      <c r="C46" s="29">
        <v>1</v>
      </c>
      <c r="D46" s="23" t="s">
        <v>717</v>
      </c>
      <c r="E46" s="29" t="s">
        <v>645</v>
      </c>
      <c r="F46" s="29" t="s">
        <v>645</v>
      </c>
      <c r="G46" s="29">
        <v>0</v>
      </c>
      <c r="H46" s="23" t="s">
        <v>1096</v>
      </c>
      <c r="I46" s="30" t="s">
        <v>1097</v>
      </c>
      <c r="J46" s="30" t="s">
        <v>1098</v>
      </c>
      <c r="K46" s="30" t="s">
        <v>1099</v>
      </c>
      <c r="L46" s="30"/>
      <c r="M46" s="30">
        <v>2016</v>
      </c>
      <c r="N46" s="30" t="s">
        <v>1100</v>
      </c>
      <c r="O46" s="30">
        <v>4</v>
      </c>
      <c r="P46" s="30" t="s">
        <v>1101</v>
      </c>
      <c r="Q46" s="30"/>
      <c r="R46" s="30" t="s">
        <v>1102</v>
      </c>
      <c r="S46" s="30" t="s">
        <v>1103</v>
      </c>
      <c r="T46" s="30" t="s">
        <v>646</v>
      </c>
      <c r="U46" s="30" t="s">
        <v>655</v>
      </c>
      <c r="V46" s="30" t="s">
        <v>644</v>
      </c>
      <c r="W46" s="29"/>
      <c r="X46" s="29"/>
      <c r="Y46" s="32"/>
      <c r="Z46" s="29"/>
      <c r="AA46" s="29"/>
      <c r="AB46" s="29"/>
      <c r="AC46" s="29"/>
      <c r="AD46" s="225"/>
      <c r="AE46" s="31"/>
      <c r="AF46" s="29"/>
      <c r="AG46" s="29"/>
      <c r="AH46" s="29"/>
      <c r="AI46" s="29"/>
      <c r="AJ46" s="31"/>
      <c r="AK46" s="29"/>
      <c r="AL46" s="29"/>
      <c r="AM46" s="29"/>
      <c r="AN46" s="32"/>
      <c r="AO46" s="29"/>
      <c r="AP46" s="29"/>
      <c r="AQ46" s="29"/>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c r="HH46" s="22"/>
      <c r="HI46" s="22"/>
      <c r="HJ46" s="22"/>
      <c r="HK46" s="22"/>
      <c r="HL46" s="22"/>
      <c r="HM46" s="22"/>
      <c r="HN46" s="22"/>
      <c r="HO46" s="22"/>
      <c r="HP46" s="22"/>
      <c r="HQ46" s="22"/>
      <c r="HR46" s="22"/>
      <c r="HS46" s="22"/>
      <c r="HT46" s="22"/>
      <c r="HU46" s="22"/>
      <c r="HV46" s="22"/>
      <c r="HW46" s="22"/>
      <c r="HX46" s="22"/>
      <c r="HY46" s="22"/>
      <c r="HZ46" s="22"/>
      <c r="IA46" s="22"/>
      <c r="IB46" s="22"/>
      <c r="IC46" s="22"/>
      <c r="ID46" s="22"/>
      <c r="IE46" s="22"/>
      <c r="IF46" s="22"/>
      <c r="IG46" s="22"/>
      <c r="IH46" s="22"/>
      <c r="II46" s="22"/>
      <c r="IJ46" s="22"/>
      <c r="IK46" s="22"/>
      <c r="IL46" s="22"/>
      <c r="IM46" s="22"/>
      <c r="IN46" s="22"/>
      <c r="IO46" s="22"/>
      <c r="IP46" s="22"/>
      <c r="IQ46" s="22"/>
      <c r="IR46" s="22"/>
      <c r="IS46" s="22"/>
      <c r="IT46" s="22"/>
      <c r="IU46" s="22"/>
      <c r="IV46" s="22"/>
      <c r="IW46" s="22"/>
      <c r="IX46" s="22"/>
      <c r="IY46" s="22"/>
      <c r="IZ46" s="22"/>
      <c r="JA46" s="22"/>
      <c r="JB46" s="22"/>
      <c r="JC46" s="22"/>
      <c r="JD46" s="22"/>
      <c r="JE46" s="22"/>
      <c r="JF46" s="22"/>
      <c r="JG46" s="22"/>
      <c r="JH46" s="22"/>
      <c r="JI46" s="22"/>
      <c r="JJ46" s="22"/>
      <c r="JK46" s="22"/>
      <c r="JL46" s="22"/>
      <c r="JM46" s="22"/>
      <c r="JN46" s="22"/>
      <c r="JO46" s="22"/>
      <c r="JP46" s="22"/>
      <c r="JQ46" s="22"/>
      <c r="JR46" s="22"/>
      <c r="JS46" s="22"/>
      <c r="JT46" s="22"/>
      <c r="JU46" s="22"/>
      <c r="JV46" s="22"/>
      <c r="JW46" s="22"/>
      <c r="JX46" s="22"/>
      <c r="JY46" s="22"/>
      <c r="JZ46" s="22"/>
      <c r="KA46" s="22"/>
      <c r="KB46" s="22"/>
      <c r="KC46" s="22"/>
      <c r="KD46" s="22"/>
      <c r="KE46" s="22"/>
      <c r="KF46" s="22"/>
      <c r="KG46" s="22"/>
      <c r="KH46" s="22"/>
      <c r="KI46" s="22"/>
      <c r="KJ46" s="22"/>
      <c r="KK46" s="22"/>
      <c r="KL46" s="22"/>
      <c r="KM46" s="22"/>
      <c r="KN46" s="22"/>
      <c r="KO46" s="22"/>
      <c r="KP46" s="22"/>
      <c r="KQ46" s="22"/>
      <c r="KR46" s="22"/>
      <c r="KS46" s="22"/>
      <c r="KT46" s="22"/>
      <c r="KU46" s="22"/>
      <c r="KV46" s="22"/>
      <c r="KW46" s="22"/>
      <c r="KX46" s="22"/>
      <c r="KY46" s="22"/>
      <c r="KZ46" s="22"/>
      <c r="LA46" s="22"/>
      <c r="LB46" s="22"/>
      <c r="LC46" s="22"/>
      <c r="LD46" s="22"/>
      <c r="LE46" s="22"/>
      <c r="LF46" s="22"/>
      <c r="LG46" s="22"/>
      <c r="LH46" s="22"/>
      <c r="LI46" s="22"/>
      <c r="LJ46" s="22"/>
      <c r="LK46" s="22"/>
      <c r="LL46" s="22"/>
      <c r="LM46" s="22"/>
      <c r="LN46" s="22"/>
      <c r="LO46" s="22"/>
      <c r="LP46" s="22"/>
      <c r="LQ46" s="22"/>
      <c r="LR46" s="22"/>
      <c r="LS46" s="22"/>
      <c r="LT46" s="22"/>
      <c r="LU46" s="22"/>
      <c r="LV46" s="22"/>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8">
        <f>SUM(Tabela7[[#This Row],[Communication]:[Training of DevOps activities]])</f>
        <v>0</v>
      </c>
    </row>
    <row r="47" spans="1:359" s="23" customFormat="1" hidden="1" x14ac:dyDescent="0.25">
      <c r="A47" s="22" t="s">
        <v>1104</v>
      </c>
      <c r="B47" s="23" t="s">
        <v>1105</v>
      </c>
      <c r="C47" s="29">
        <v>1</v>
      </c>
      <c r="D47" s="23" t="s">
        <v>717</v>
      </c>
      <c r="E47" s="29" t="s">
        <v>645</v>
      </c>
      <c r="F47" s="29" t="s">
        <v>645</v>
      </c>
      <c r="G47" s="29">
        <v>0</v>
      </c>
      <c r="H47" s="23" t="s">
        <v>1106</v>
      </c>
      <c r="I47" s="33" t="s">
        <v>1107</v>
      </c>
      <c r="J47" s="33" t="s">
        <v>1108</v>
      </c>
      <c r="K47" s="33" t="s">
        <v>1109</v>
      </c>
      <c r="L47" s="33"/>
      <c r="M47" s="33">
        <v>2015</v>
      </c>
      <c r="N47" s="33" t="s">
        <v>1110</v>
      </c>
      <c r="O47" s="33">
        <v>19</v>
      </c>
      <c r="P47" s="33" t="s">
        <v>1111</v>
      </c>
      <c r="Q47" s="33"/>
      <c r="R47" s="33" t="s">
        <v>1112</v>
      </c>
      <c r="S47" s="33" t="s">
        <v>1113</v>
      </c>
      <c r="T47" s="33" t="s">
        <v>1114</v>
      </c>
      <c r="U47" s="33" t="s">
        <v>655</v>
      </c>
      <c r="V47" s="33" t="s">
        <v>644</v>
      </c>
      <c r="W47" s="29"/>
      <c r="X47" s="29"/>
      <c r="Y47" s="32"/>
      <c r="Z47" s="29"/>
      <c r="AA47" s="29"/>
      <c r="AB47" s="29"/>
      <c r="AC47" s="29"/>
      <c r="AD47" s="225"/>
      <c r="AE47" s="31"/>
      <c r="AF47" s="29"/>
      <c r="AG47" s="29"/>
      <c r="AH47" s="29"/>
      <c r="AI47" s="29"/>
      <c r="AJ47" s="31"/>
      <c r="AK47" s="29"/>
      <c r="AL47" s="29"/>
      <c r="AM47" s="29"/>
      <c r="AN47" s="32"/>
      <c r="AO47" s="29"/>
      <c r="AP47" s="29"/>
      <c r="AQ47" s="29"/>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c r="HH47" s="22"/>
      <c r="HI47" s="22"/>
      <c r="HJ47" s="22"/>
      <c r="HK47" s="22"/>
      <c r="HL47" s="22"/>
      <c r="HM47" s="22"/>
      <c r="HN47" s="22"/>
      <c r="HO47" s="22"/>
      <c r="HP47" s="22"/>
      <c r="HQ47" s="22"/>
      <c r="HR47" s="22"/>
      <c r="HS47" s="22"/>
      <c r="HT47" s="22"/>
      <c r="HU47" s="22"/>
      <c r="HV47" s="22"/>
      <c r="HW47" s="22"/>
      <c r="HX47" s="22"/>
      <c r="HY47" s="22"/>
      <c r="HZ47" s="22"/>
      <c r="IA47" s="22"/>
      <c r="IB47" s="22"/>
      <c r="IC47" s="22"/>
      <c r="ID47" s="22"/>
      <c r="IE47" s="22"/>
      <c r="IF47" s="22"/>
      <c r="IG47" s="22"/>
      <c r="IH47" s="22"/>
      <c r="II47" s="22"/>
      <c r="IJ47" s="22"/>
      <c r="IK47" s="22"/>
      <c r="IL47" s="22"/>
      <c r="IM47" s="22"/>
      <c r="IN47" s="22"/>
      <c r="IO47" s="22"/>
      <c r="IP47" s="22"/>
      <c r="IQ47" s="22"/>
      <c r="IR47" s="22"/>
      <c r="IS47" s="22"/>
      <c r="IT47" s="22"/>
      <c r="IU47" s="22"/>
      <c r="IV47" s="22"/>
      <c r="IW47" s="22"/>
      <c r="IX47" s="22"/>
      <c r="IY47" s="22"/>
      <c r="IZ47" s="22"/>
      <c r="JA47" s="22"/>
      <c r="JB47" s="22"/>
      <c r="JC47" s="22"/>
      <c r="JD47" s="22"/>
      <c r="JE47" s="22"/>
      <c r="JF47" s="22"/>
      <c r="JG47" s="22"/>
      <c r="JH47" s="22"/>
      <c r="JI47" s="22"/>
      <c r="JJ47" s="22"/>
      <c r="JK47" s="22"/>
      <c r="JL47" s="22"/>
      <c r="JM47" s="22"/>
      <c r="JN47" s="22"/>
      <c r="JO47" s="22"/>
      <c r="JP47" s="22"/>
      <c r="JQ47" s="22"/>
      <c r="JR47" s="22"/>
      <c r="JS47" s="22"/>
      <c r="JT47" s="22"/>
      <c r="JU47" s="22"/>
      <c r="JV47" s="22"/>
      <c r="JW47" s="22"/>
      <c r="JX47" s="22"/>
      <c r="JY47" s="22"/>
      <c r="JZ47" s="22"/>
      <c r="KA47" s="22"/>
      <c r="KB47" s="22"/>
      <c r="KC47" s="22"/>
      <c r="KD47" s="22"/>
      <c r="KE47" s="22"/>
      <c r="KF47" s="22"/>
      <c r="KG47" s="22"/>
      <c r="KH47" s="22"/>
      <c r="KI47" s="22"/>
      <c r="KJ47" s="22"/>
      <c r="KK47" s="22"/>
      <c r="KL47" s="22"/>
      <c r="KM47" s="22"/>
      <c r="KN47" s="22"/>
      <c r="KO47" s="22"/>
      <c r="KP47" s="22"/>
      <c r="KQ47" s="22"/>
      <c r="KR47" s="22"/>
      <c r="KS47" s="22"/>
      <c r="KT47" s="22"/>
      <c r="KU47" s="22"/>
      <c r="KV47" s="22"/>
      <c r="KW47" s="22"/>
      <c r="KX47" s="22"/>
      <c r="KY47" s="22"/>
      <c r="KZ47" s="22"/>
      <c r="LA47" s="22"/>
      <c r="LB47" s="22"/>
      <c r="LC47" s="22"/>
      <c r="LD47" s="22"/>
      <c r="LE47" s="22"/>
      <c r="LF47" s="22"/>
      <c r="LG47" s="22"/>
      <c r="LH47" s="22"/>
      <c r="LI47" s="22"/>
      <c r="LJ47" s="22"/>
      <c r="LK47" s="22"/>
      <c r="LL47" s="22"/>
      <c r="LM47" s="22"/>
      <c r="LN47" s="22"/>
      <c r="LO47" s="22"/>
      <c r="LP47" s="22"/>
      <c r="LQ47" s="22"/>
      <c r="LR47" s="22"/>
      <c r="LS47" s="22"/>
      <c r="LT47" s="22"/>
      <c r="LU47" s="22"/>
      <c r="LV47" s="22"/>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8">
        <f>SUM(Tabela7[[#This Row],[Communication]:[Training of DevOps activities]])</f>
        <v>0</v>
      </c>
    </row>
    <row r="48" spans="1:359" ht="14.4" x14ac:dyDescent="0.3">
      <c r="A48" s="22" t="s">
        <v>1115</v>
      </c>
      <c r="B48" s="29" t="s">
        <v>1116</v>
      </c>
      <c r="C48" s="29">
        <v>1</v>
      </c>
      <c r="D48" s="23" t="s">
        <v>717</v>
      </c>
      <c r="E48" s="29">
        <v>1</v>
      </c>
      <c r="F48" s="29" t="s">
        <v>26753</v>
      </c>
      <c r="G48" s="29">
        <v>1</v>
      </c>
      <c r="H48" t="s">
        <v>1118</v>
      </c>
      <c r="I48"/>
      <c r="J48"/>
      <c r="K48" t="s">
        <v>27242</v>
      </c>
      <c r="L48" t="s">
        <v>1119</v>
      </c>
      <c r="M48">
        <v>2020</v>
      </c>
      <c r="N48" t="s">
        <v>1494</v>
      </c>
      <c r="O48"/>
      <c r="P48"/>
      <c r="Q48" t="s">
        <v>875</v>
      </c>
      <c r="R48"/>
      <c r="S48"/>
      <c r="T48"/>
      <c r="U48"/>
      <c r="V48"/>
      <c r="W48" s="29" t="s">
        <v>26753</v>
      </c>
      <c r="X48" s="29" t="s">
        <v>26753</v>
      </c>
      <c r="Y48" s="32"/>
      <c r="Z48" s="29"/>
      <c r="AA48" s="29">
        <v>1</v>
      </c>
      <c r="AB48" s="29"/>
      <c r="AC48" s="29"/>
      <c r="AD48" s="225">
        <v>1</v>
      </c>
      <c r="AE48" s="31"/>
      <c r="AF48" s="29">
        <v>1</v>
      </c>
      <c r="AG48" s="29">
        <v>1</v>
      </c>
      <c r="AH48" s="29">
        <v>1</v>
      </c>
      <c r="AI48" s="29">
        <v>1</v>
      </c>
      <c r="AJ48" s="31"/>
      <c r="AK48" s="29">
        <v>1</v>
      </c>
      <c r="AL48" s="29"/>
      <c r="AM48" s="29"/>
      <c r="AN48" s="34"/>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v>1</v>
      </c>
      <c r="CP48" s="28"/>
      <c r="CQ48" s="28"/>
      <c r="CR48" s="28"/>
      <c r="CS48" s="28"/>
      <c r="CT48" s="28"/>
      <c r="CU48" s="28"/>
      <c r="CV48" s="28"/>
      <c r="CW48" s="28"/>
      <c r="CX48" s="28"/>
      <c r="CY48" s="28"/>
      <c r="CZ48" s="28"/>
      <c r="DA48" s="28"/>
      <c r="DB48" s="28"/>
      <c r="DC48" s="28"/>
      <c r="DD48" s="35"/>
      <c r="DE48" s="35">
        <v>1</v>
      </c>
      <c r="DF48" s="35"/>
      <c r="DG48" s="35">
        <v>1</v>
      </c>
      <c r="DH48" s="35"/>
      <c r="DI48" s="35"/>
      <c r="DJ48" s="35"/>
      <c r="DK48" s="35"/>
      <c r="DL48" s="35"/>
      <c r="DM48" s="35"/>
      <c r="DN48" s="35"/>
      <c r="MU48" s="28">
        <f>SUM(Tabela7[[#This Row],[Communication]:[Training of DevOps activities]])</f>
        <v>3</v>
      </c>
    </row>
    <row r="49" spans="1:359" s="23" customFormat="1" hidden="1" x14ac:dyDescent="0.25">
      <c r="A49" s="22" t="s">
        <v>1120</v>
      </c>
      <c r="B49" s="23" t="s">
        <v>1121</v>
      </c>
      <c r="C49" s="29">
        <v>1</v>
      </c>
      <c r="D49" s="23" t="s">
        <v>1117</v>
      </c>
      <c r="E49" s="29" t="s">
        <v>645</v>
      </c>
      <c r="F49" s="29" t="s">
        <v>645</v>
      </c>
      <c r="G49" s="29">
        <v>0</v>
      </c>
      <c r="H49" s="23" t="s">
        <v>1122</v>
      </c>
      <c r="I49" s="33"/>
      <c r="J49" s="33"/>
      <c r="K49" s="33"/>
      <c r="L49" s="33"/>
      <c r="M49" s="33"/>
      <c r="N49" s="33"/>
      <c r="O49" s="33"/>
      <c r="P49" s="33"/>
      <c r="Q49" s="33"/>
      <c r="R49" s="33"/>
      <c r="S49" s="33"/>
      <c r="T49" s="33"/>
      <c r="U49" s="33"/>
      <c r="V49" s="33"/>
      <c r="W49" s="29"/>
      <c r="X49" s="29"/>
      <c r="Y49" s="32"/>
      <c r="Z49" s="29"/>
      <c r="AA49" s="29"/>
      <c r="AB49" s="29"/>
      <c r="AC49" s="29"/>
      <c r="AD49" s="225"/>
      <c r="AE49" s="31"/>
      <c r="AF49" s="29"/>
      <c r="AG49" s="29"/>
      <c r="AH49" s="29"/>
      <c r="AI49" s="29"/>
      <c r="AJ49" s="31"/>
      <c r="AK49" s="29"/>
      <c r="AL49" s="29"/>
      <c r="AM49" s="29"/>
      <c r="AN49" s="32"/>
      <c r="AO49" s="29"/>
      <c r="AP49" s="29"/>
      <c r="AQ49" s="29"/>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c r="HH49" s="22"/>
      <c r="HI49" s="22"/>
      <c r="HJ49" s="22"/>
      <c r="HK49" s="22"/>
      <c r="HL49" s="22"/>
      <c r="HM49" s="22"/>
      <c r="HN49" s="22"/>
      <c r="HO49" s="22"/>
      <c r="HP49" s="22"/>
      <c r="HQ49" s="22"/>
      <c r="HR49" s="22"/>
      <c r="HS49" s="22"/>
      <c r="HT49" s="22"/>
      <c r="HU49" s="22"/>
      <c r="HV49" s="22"/>
      <c r="HW49" s="22"/>
      <c r="HX49" s="22"/>
      <c r="HY49" s="22"/>
      <c r="HZ49" s="22"/>
      <c r="IA49" s="22"/>
      <c r="IB49" s="22"/>
      <c r="IC49" s="22"/>
      <c r="ID49" s="22"/>
      <c r="IE49" s="22"/>
      <c r="IF49" s="22"/>
      <c r="IG49" s="22"/>
      <c r="IH49" s="22"/>
      <c r="II49" s="22"/>
      <c r="IJ49" s="22"/>
      <c r="IK49" s="22"/>
      <c r="IL49" s="22"/>
      <c r="IM49" s="22"/>
      <c r="IN49" s="22"/>
      <c r="IO49" s="22"/>
      <c r="IP49" s="22"/>
      <c r="IQ49" s="22"/>
      <c r="IR49" s="22"/>
      <c r="IS49" s="22"/>
      <c r="IT49" s="22"/>
      <c r="IU49" s="22"/>
      <c r="IV49" s="22"/>
      <c r="IW49" s="22"/>
      <c r="IX49" s="22"/>
      <c r="IY49" s="22"/>
      <c r="IZ49" s="22"/>
      <c r="JA49" s="22"/>
      <c r="JB49" s="22"/>
      <c r="JC49" s="22"/>
      <c r="JD49" s="22"/>
      <c r="JE49" s="22"/>
      <c r="JF49" s="22"/>
      <c r="JG49" s="22"/>
      <c r="JH49" s="22"/>
      <c r="JI49" s="22"/>
      <c r="JJ49" s="22"/>
      <c r="JK49" s="22"/>
      <c r="JL49" s="22"/>
      <c r="JM49" s="22"/>
      <c r="JN49" s="22"/>
      <c r="JO49" s="22"/>
      <c r="JP49" s="22"/>
      <c r="JQ49" s="22"/>
      <c r="JR49" s="22"/>
      <c r="JS49" s="22"/>
      <c r="JT49" s="22"/>
      <c r="JU49" s="22"/>
      <c r="JV49" s="22"/>
      <c r="JW49" s="22"/>
      <c r="JX49" s="22"/>
      <c r="JY49" s="22"/>
      <c r="JZ49" s="22"/>
      <c r="KA49" s="22"/>
      <c r="KB49" s="22"/>
      <c r="KC49" s="22"/>
      <c r="KD49" s="22"/>
      <c r="KE49" s="22"/>
      <c r="KF49" s="22"/>
      <c r="KG49" s="22"/>
      <c r="KH49" s="22"/>
      <c r="KI49" s="22"/>
      <c r="KJ49" s="22"/>
      <c r="KK49" s="22"/>
      <c r="KL49" s="22"/>
      <c r="KM49" s="22"/>
      <c r="KN49" s="22"/>
      <c r="KO49" s="22"/>
      <c r="KP49" s="22"/>
      <c r="KQ49" s="22"/>
      <c r="KR49" s="22"/>
      <c r="KS49" s="22"/>
      <c r="KT49" s="22"/>
      <c r="KU49" s="22"/>
      <c r="KV49" s="22"/>
      <c r="KW49" s="22"/>
      <c r="KX49" s="22"/>
      <c r="KY49" s="22"/>
      <c r="KZ49" s="22"/>
      <c r="LA49" s="22"/>
      <c r="LB49" s="22"/>
      <c r="LC49" s="22"/>
      <c r="LD49" s="22"/>
      <c r="LE49" s="22"/>
      <c r="LF49" s="22"/>
      <c r="LG49" s="22"/>
      <c r="LH49" s="22"/>
      <c r="LI49" s="22"/>
      <c r="LJ49" s="22"/>
      <c r="LK49" s="22"/>
      <c r="LL49" s="22"/>
      <c r="LM49" s="22"/>
      <c r="LN49" s="22"/>
      <c r="LO49" s="22"/>
      <c r="LP49" s="22"/>
      <c r="LQ49" s="22"/>
      <c r="LR49" s="22"/>
      <c r="LS49" s="22"/>
      <c r="LT49" s="22"/>
      <c r="LU49" s="22"/>
      <c r="LV49" s="22"/>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8">
        <f>SUM(Tabela7[[#This Row],[Communication]:[Training of DevOps activities]])</f>
        <v>0</v>
      </c>
    </row>
    <row r="50" spans="1:359" ht="14.4" x14ac:dyDescent="0.3">
      <c r="A50" s="22" t="s">
        <v>1123</v>
      </c>
      <c r="B50" s="29" t="s">
        <v>1124</v>
      </c>
      <c r="C50" s="29">
        <v>1</v>
      </c>
      <c r="D50" s="23" t="s">
        <v>717</v>
      </c>
      <c r="E50" s="29" t="s">
        <v>26753</v>
      </c>
      <c r="F50" s="29" t="s">
        <v>26753</v>
      </c>
      <c r="G50" s="29">
        <v>1</v>
      </c>
      <c r="H50" t="s">
        <v>1122</v>
      </c>
      <c r="I50"/>
      <c r="J50"/>
      <c r="K50" t="s">
        <v>27243</v>
      </c>
      <c r="L50" t="s">
        <v>1026</v>
      </c>
      <c r="M50">
        <v>2012</v>
      </c>
      <c r="N50" t="s">
        <v>27244</v>
      </c>
      <c r="O50"/>
      <c r="P50"/>
      <c r="Q50" t="s">
        <v>984</v>
      </c>
      <c r="R50"/>
      <c r="S50"/>
      <c r="T50"/>
      <c r="U50"/>
      <c r="V50"/>
      <c r="W50" s="29" t="s">
        <v>26753</v>
      </c>
      <c r="X50" s="29">
        <v>0</v>
      </c>
      <c r="Y50" s="32"/>
      <c r="Z50" s="29">
        <v>1</v>
      </c>
      <c r="AA50" s="29">
        <v>1</v>
      </c>
      <c r="AB50" s="29"/>
      <c r="AC50" s="29"/>
      <c r="AD50" s="225"/>
      <c r="AE50" s="31"/>
      <c r="AF50" s="29">
        <v>1</v>
      </c>
      <c r="AG50" s="29">
        <v>1</v>
      </c>
      <c r="AH50" s="29">
        <v>1</v>
      </c>
      <c r="AI50" s="29"/>
      <c r="AJ50" s="31"/>
      <c r="AK50" s="29">
        <v>1</v>
      </c>
      <c r="AL50" s="29"/>
      <c r="AM50" s="29"/>
      <c r="AN50" s="34">
        <v>1</v>
      </c>
      <c r="AO50" s="28">
        <v>1</v>
      </c>
      <c r="AP50" s="28">
        <v>1</v>
      </c>
      <c r="AQ50" s="28">
        <v>1</v>
      </c>
      <c r="AR50" s="28"/>
      <c r="AS50" s="28"/>
      <c r="AT50" s="28"/>
      <c r="AU50" s="28"/>
      <c r="AV50" s="28"/>
      <c r="AW50" s="28"/>
      <c r="AX50" s="28"/>
      <c r="AY50" s="28">
        <v>1</v>
      </c>
      <c r="AZ50" s="28"/>
      <c r="BA50" s="28"/>
      <c r="BB50" s="28"/>
      <c r="BC50" s="28">
        <v>1</v>
      </c>
      <c r="BD50" s="28">
        <v>1</v>
      </c>
      <c r="BE50" s="28">
        <v>1</v>
      </c>
      <c r="BF50" s="28">
        <v>1</v>
      </c>
      <c r="BG50" s="28"/>
      <c r="BH50" s="28">
        <v>1</v>
      </c>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35"/>
      <c r="DE50" s="35"/>
      <c r="DF50" s="35"/>
      <c r="DG50" s="35">
        <v>1</v>
      </c>
      <c r="DH50" s="35"/>
      <c r="DI50" s="35"/>
      <c r="DJ50" s="35"/>
      <c r="DK50" s="35"/>
      <c r="DL50" s="35"/>
      <c r="DM50" s="35"/>
      <c r="DN50" s="35"/>
      <c r="EF50" s="22">
        <v>1</v>
      </c>
      <c r="EK50" s="22">
        <v>1</v>
      </c>
      <c r="EL50" s="22">
        <v>1</v>
      </c>
      <c r="EM50" s="22">
        <v>1</v>
      </c>
      <c r="EO50" s="22">
        <v>1</v>
      </c>
      <c r="EP50" s="22">
        <v>1</v>
      </c>
      <c r="EQ50" s="22">
        <v>1</v>
      </c>
      <c r="LB50" s="22">
        <v>1</v>
      </c>
      <c r="MU50" s="28">
        <f>SUM(Tabela7[[#This Row],[Communication]:[Training of DevOps activities]])</f>
        <v>19</v>
      </c>
    </row>
    <row r="51" spans="1:359" s="23" customFormat="1" hidden="1" x14ac:dyDescent="0.25">
      <c r="A51" s="22" t="s">
        <v>1125</v>
      </c>
      <c r="B51" s="23" t="s">
        <v>1126</v>
      </c>
      <c r="C51" s="23">
        <v>0</v>
      </c>
      <c r="D51" s="23" t="s">
        <v>1117</v>
      </c>
      <c r="E51" s="23" t="s">
        <v>645</v>
      </c>
      <c r="F51" s="23" t="s">
        <v>645</v>
      </c>
      <c r="G51" s="24"/>
      <c r="H51" s="23" t="s">
        <v>1122</v>
      </c>
      <c r="I51" s="33"/>
      <c r="J51" s="33"/>
      <c r="K51" s="33"/>
      <c r="L51" s="33"/>
      <c r="M51" s="33"/>
      <c r="N51" s="33"/>
      <c r="O51" s="33"/>
      <c r="P51" s="33"/>
      <c r="Q51" s="33"/>
      <c r="R51" s="33"/>
      <c r="S51" s="33"/>
      <c r="T51" s="33"/>
      <c r="U51" s="33"/>
      <c r="V51" s="33"/>
      <c r="Y51" s="27"/>
      <c r="AD51" s="224"/>
      <c r="AE51" s="26"/>
      <c r="AJ51" s="26"/>
      <c r="AN51" s="27"/>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c r="HH51" s="22"/>
      <c r="HI51" s="22"/>
      <c r="HJ51" s="22"/>
      <c r="HK51" s="22"/>
      <c r="HL51" s="22"/>
      <c r="HM51" s="22"/>
      <c r="HN51" s="22"/>
      <c r="HO51" s="22"/>
      <c r="HP51" s="22"/>
      <c r="HQ51" s="22"/>
      <c r="HR51" s="22"/>
      <c r="HS51" s="22"/>
      <c r="HT51" s="22"/>
      <c r="HU51" s="22"/>
      <c r="HV51" s="22"/>
      <c r="HW51" s="22"/>
      <c r="HX51" s="22"/>
      <c r="HY51" s="22"/>
      <c r="HZ51" s="22"/>
      <c r="IA51" s="22"/>
      <c r="IB51" s="22"/>
      <c r="IC51" s="22"/>
      <c r="ID51" s="22"/>
      <c r="IE51" s="22"/>
      <c r="IF51" s="22"/>
      <c r="IG51" s="22"/>
      <c r="IH51" s="22"/>
      <c r="II51" s="22"/>
      <c r="IJ51" s="22"/>
      <c r="IK51" s="22"/>
      <c r="IL51" s="22"/>
      <c r="IM51" s="22"/>
      <c r="IN51" s="22"/>
      <c r="IO51" s="22"/>
      <c r="IP51" s="22"/>
      <c r="IQ51" s="22"/>
      <c r="IR51" s="22"/>
      <c r="IS51" s="22"/>
      <c r="IT51" s="22"/>
      <c r="IU51" s="22"/>
      <c r="IV51" s="22"/>
      <c r="IW51" s="22"/>
      <c r="IX51" s="22"/>
      <c r="IY51" s="22"/>
      <c r="IZ51" s="22"/>
      <c r="JA51" s="22"/>
      <c r="JB51" s="22"/>
      <c r="JC51" s="22"/>
      <c r="JD51" s="22"/>
      <c r="JE51" s="22"/>
      <c r="JF51" s="22"/>
      <c r="JG51" s="22"/>
      <c r="JH51" s="22"/>
      <c r="JI51" s="22"/>
      <c r="JJ51" s="22"/>
      <c r="JK51" s="22"/>
      <c r="JL51" s="22"/>
      <c r="JM51" s="22"/>
      <c r="JN51" s="22"/>
      <c r="JO51" s="22"/>
      <c r="JP51" s="22"/>
      <c r="JQ51" s="22"/>
      <c r="JR51" s="22"/>
      <c r="JS51" s="22"/>
      <c r="JT51" s="22"/>
      <c r="JU51" s="22"/>
      <c r="JV51" s="22"/>
      <c r="JW51" s="22"/>
      <c r="JX51" s="22"/>
      <c r="JY51" s="22"/>
      <c r="JZ51" s="22"/>
      <c r="KA51" s="22"/>
      <c r="KB51" s="22"/>
      <c r="KC51" s="22"/>
      <c r="KD51" s="22"/>
      <c r="KE51" s="22"/>
      <c r="KF51" s="22"/>
      <c r="KG51" s="22"/>
      <c r="KH51" s="22"/>
      <c r="KI51" s="22"/>
      <c r="KJ51" s="22"/>
      <c r="KK51" s="22"/>
      <c r="KL51" s="22"/>
      <c r="KM51" s="22"/>
      <c r="KN51" s="22"/>
      <c r="KO51" s="22"/>
      <c r="KP51" s="22"/>
      <c r="KQ51" s="22"/>
      <c r="KR51" s="22"/>
      <c r="KS51" s="22"/>
      <c r="KT51" s="22"/>
      <c r="KU51" s="22"/>
      <c r="KV51" s="22"/>
      <c r="KW51" s="22"/>
      <c r="KX51" s="22"/>
      <c r="KY51" s="22"/>
      <c r="KZ51" s="22"/>
      <c r="LA51" s="22"/>
      <c r="LB51" s="22"/>
      <c r="LC51" s="22"/>
      <c r="LD51" s="22"/>
      <c r="LE51" s="22"/>
      <c r="LF51" s="22"/>
      <c r="LG51" s="22"/>
      <c r="LH51" s="22"/>
      <c r="LI51" s="22"/>
      <c r="LJ51" s="22"/>
      <c r="LK51" s="22"/>
      <c r="LL51" s="22"/>
      <c r="LM51" s="22"/>
      <c r="LN51" s="22"/>
      <c r="LO51" s="22"/>
      <c r="LP51" s="22"/>
      <c r="LQ51" s="22"/>
      <c r="LR51" s="22"/>
      <c r="LS51" s="22"/>
      <c r="LT51" s="22"/>
      <c r="LU51" s="22"/>
      <c r="LV51" s="22"/>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8">
        <f>SUM(Tabela7[[#This Row],[Communication]:[Training of DevOps activities]])</f>
        <v>0</v>
      </c>
    </row>
    <row r="52" spans="1:359" s="23" customFormat="1" hidden="1" x14ac:dyDescent="0.25">
      <c r="A52" s="22" t="s">
        <v>1127</v>
      </c>
      <c r="B52" s="23" t="s">
        <v>1128</v>
      </c>
      <c r="C52" s="29">
        <v>1</v>
      </c>
      <c r="D52" s="23" t="s">
        <v>1117</v>
      </c>
      <c r="E52" s="29" t="s">
        <v>645</v>
      </c>
      <c r="F52" s="29" t="s">
        <v>645</v>
      </c>
      <c r="G52" s="29">
        <v>0</v>
      </c>
      <c r="H52" s="23" t="s">
        <v>1129</v>
      </c>
      <c r="I52" s="30"/>
      <c r="J52" s="30"/>
      <c r="K52" s="30"/>
      <c r="L52" s="30"/>
      <c r="M52" s="30"/>
      <c r="N52" s="30"/>
      <c r="O52" s="30"/>
      <c r="P52" s="30"/>
      <c r="Q52" s="30"/>
      <c r="R52" s="30"/>
      <c r="S52" s="30"/>
      <c r="T52" s="30"/>
      <c r="U52" s="30"/>
      <c r="V52" s="30"/>
      <c r="W52" s="29"/>
      <c r="X52" s="29"/>
      <c r="Y52" s="32"/>
      <c r="Z52" s="29"/>
      <c r="AA52" s="29"/>
      <c r="AB52" s="29"/>
      <c r="AC52" s="29"/>
      <c r="AD52" s="225"/>
      <c r="AE52" s="31"/>
      <c r="AF52" s="29"/>
      <c r="AG52" s="29"/>
      <c r="AH52" s="29"/>
      <c r="AI52" s="29"/>
      <c r="AJ52" s="31"/>
      <c r="AK52" s="29"/>
      <c r="AL52" s="29"/>
      <c r="AM52" s="29"/>
      <c r="AN52" s="32"/>
      <c r="AO52" s="29"/>
      <c r="AP52" s="29"/>
      <c r="AQ52" s="29"/>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c r="HH52" s="22"/>
      <c r="HI52" s="22"/>
      <c r="HJ52" s="22"/>
      <c r="HK52" s="22"/>
      <c r="HL52" s="22"/>
      <c r="HM52" s="22"/>
      <c r="HN52" s="22"/>
      <c r="HO52" s="22"/>
      <c r="HP52" s="22"/>
      <c r="HQ52" s="22"/>
      <c r="HR52" s="22"/>
      <c r="HS52" s="22"/>
      <c r="HT52" s="22"/>
      <c r="HU52" s="22"/>
      <c r="HV52" s="22"/>
      <c r="HW52" s="22"/>
      <c r="HX52" s="22"/>
      <c r="HY52" s="22"/>
      <c r="HZ52" s="22"/>
      <c r="IA52" s="22"/>
      <c r="IB52" s="22"/>
      <c r="IC52" s="22"/>
      <c r="ID52" s="22"/>
      <c r="IE52" s="22"/>
      <c r="IF52" s="22"/>
      <c r="IG52" s="22"/>
      <c r="IH52" s="22"/>
      <c r="II52" s="22"/>
      <c r="IJ52" s="22"/>
      <c r="IK52" s="22"/>
      <c r="IL52" s="22"/>
      <c r="IM52" s="22"/>
      <c r="IN52" s="22"/>
      <c r="IO52" s="22"/>
      <c r="IP52" s="22"/>
      <c r="IQ52" s="22"/>
      <c r="IR52" s="22"/>
      <c r="IS52" s="22"/>
      <c r="IT52" s="22"/>
      <c r="IU52" s="22"/>
      <c r="IV52" s="22"/>
      <c r="IW52" s="22"/>
      <c r="IX52" s="22"/>
      <c r="IY52" s="22"/>
      <c r="IZ52" s="22"/>
      <c r="JA52" s="22"/>
      <c r="JB52" s="22"/>
      <c r="JC52" s="22"/>
      <c r="JD52" s="22"/>
      <c r="JE52" s="22"/>
      <c r="JF52" s="22"/>
      <c r="JG52" s="22"/>
      <c r="JH52" s="22"/>
      <c r="JI52" s="22"/>
      <c r="JJ52" s="22"/>
      <c r="JK52" s="22"/>
      <c r="JL52" s="22"/>
      <c r="JM52" s="22"/>
      <c r="JN52" s="22"/>
      <c r="JO52" s="22"/>
      <c r="JP52" s="22"/>
      <c r="JQ52" s="22"/>
      <c r="JR52" s="22"/>
      <c r="JS52" s="22"/>
      <c r="JT52" s="22"/>
      <c r="JU52" s="22"/>
      <c r="JV52" s="22"/>
      <c r="JW52" s="22"/>
      <c r="JX52" s="22"/>
      <c r="JY52" s="22"/>
      <c r="JZ52" s="22"/>
      <c r="KA52" s="22"/>
      <c r="KB52" s="22"/>
      <c r="KC52" s="22"/>
      <c r="KD52" s="22"/>
      <c r="KE52" s="22"/>
      <c r="KF52" s="22"/>
      <c r="KG52" s="22"/>
      <c r="KH52" s="22"/>
      <c r="KI52" s="22"/>
      <c r="KJ52" s="22"/>
      <c r="KK52" s="22"/>
      <c r="KL52" s="22"/>
      <c r="KM52" s="22"/>
      <c r="KN52" s="22"/>
      <c r="KO52" s="22"/>
      <c r="KP52" s="22"/>
      <c r="KQ52" s="22"/>
      <c r="KR52" s="22"/>
      <c r="KS52" s="22"/>
      <c r="KT52" s="22"/>
      <c r="KU52" s="22"/>
      <c r="KV52" s="22"/>
      <c r="KW52" s="22"/>
      <c r="KX52" s="22"/>
      <c r="KY52" s="22"/>
      <c r="KZ52" s="22"/>
      <c r="LA52" s="22"/>
      <c r="LB52" s="22"/>
      <c r="LC52" s="22"/>
      <c r="LD52" s="22"/>
      <c r="LE52" s="22"/>
      <c r="LF52" s="22"/>
      <c r="LG52" s="22"/>
      <c r="LH52" s="22"/>
      <c r="LI52" s="22"/>
      <c r="LJ52" s="22"/>
      <c r="LK52" s="22"/>
      <c r="LL52" s="22"/>
      <c r="LM52" s="22"/>
      <c r="LN52" s="22"/>
      <c r="LO52" s="22"/>
      <c r="LP52" s="22"/>
      <c r="LQ52" s="22"/>
      <c r="LR52" s="22"/>
      <c r="LS52" s="22"/>
      <c r="LT52" s="22"/>
      <c r="LU52" s="22"/>
      <c r="LV52" s="22"/>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8">
        <f>SUM(Tabela7[[#This Row],[Communication]:[Training of DevOps activities]])</f>
        <v>0</v>
      </c>
    </row>
    <row r="53" spans="1:359" s="23" customFormat="1" hidden="1" x14ac:dyDescent="0.25">
      <c r="A53" s="22" t="s">
        <v>1130</v>
      </c>
      <c r="B53" s="23" t="s">
        <v>1131</v>
      </c>
      <c r="C53" s="29">
        <v>1</v>
      </c>
      <c r="D53" s="23" t="s">
        <v>1117</v>
      </c>
      <c r="E53" s="29" t="s">
        <v>645</v>
      </c>
      <c r="F53" s="29" t="s">
        <v>645</v>
      </c>
      <c r="G53" s="29">
        <v>0</v>
      </c>
      <c r="H53" s="23" t="s">
        <v>1132</v>
      </c>
      <c r="I53" s="33"/>
      <c r="J53" s="33"/>
      <c r="K53" s="33"/>
      <c r="L53" s="33"/>
      <c r="M53" s="33"/>
      <c r="N53" s="33"/>
      <c r="O53" s="33"/>
      <c r="P53" s="33"/>
      <c r="Q53" s="33"/>
      <c r="R53" s="33"/>
      <c r="S53" s="33"/>
      <c r="T53" s="33"/>
      <c r="U53" s="33"/>
      <c r="V53" s="33"/>
      <c r="W53" s="29"/>
      <c r="X53" s="29"/>
      <c r="Y53" s="32"/>
      <c r="Z53" s="29"/>
      <c r="AA53" s="29"/>
      <c r="AB53" s="29"/>
      <c r="AC53" s="29"/>
      <c r="AD53" s="225"/>
      <c r="AE53" s="31"/>
      <c r="AF53" s="29"/>
      <c r="AG53" s="29"/>
      <c r="AH53" s="29"/>
      <c r="AI53" s="29"/>
      <c r="AJ53" s="31"/>
      <c r="AK53" s="29"/>
      <c r="AL53" s="29"/>
      <c r="AM53" s="29"/>
      <c r="AN53" s="32"/>
      <c r="AO53" s="29"/>
      <c r="AP53" s="29"/>
      <c r="AQ53" s="29"/>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c r="HH53" s="22"/>
      <c r="HI53" s="22"/>
      <c r="HJ53" s="22"/>
      <c r="HK53" s="22"/>
      <c r="HL53" s="22"/>
      <c r="HM53" s="22"/>
      <c r="HN53" s="22"/>
      <c r="HO53" s="22"/>
      <c r="HP53" s="22"/>
      <c r="HQ53" s="22"/>
      <c r="HR53" s="22"/>
      <c r="HS53" s="22"/>
      <c r="HT53" s="22"/>
      <c r="HU53" s="22"/>
      <c r="HV53" s="22"/>
      <c r="HW53" s="22"/>
      <c r="HX53" s="22"/>
      <c r="HY53" s="22"/>
      <c r="HZ53" s="22"/>
      <c r="IA53" s="22"/>
      <c r="IB53" s="22"/>
      <c r="IC53" s="22"/>
      <c r="ID53" s="22"/>
      <c r="IE53" s="22"/>
      <c r="IF53" s="22"/>
      <c r="IG53" s="22"/>
      <c r="IH53" s="22"/>
      <c r="II53" s="22"/>
      <c r="IJ53" s="22"/>
      <c r="IK53" s="22"/>
      <c r="IL53" s="22"/>
      <c r="IM53" s="22"/>
      <c r="IN53" s="22"/>
      <c r="IO53" s="22"/>
      <c r="IP53" s="22"/>
      <c r="IQ53" s="22"/>
      <c r="IR53" s="22"/>
      <c r="IS53" s="22"/>
      <c r="IT53" s="22"/>
      <c r="IU53" s="22"/>
      <c r="IV53" s="22"/>
      <c r="IW53" s="22"/>
      <c r="IX53" s="22"/>
      <c r="IY53" s="22"/>
      <c r="IZ53" s="22"/>
      <c r="JA53" s="22"/>
      <c r="JB53" s="22"/>
      <c r="JC53" s="22"/>
      <c r="JD53" s="22"/>
      <c r="JE53" s="22"/>
      <c r="JF53" s="22"/>
      <c r="JG53" s="22"/>
      <c r="JH53" s="22"/>
      <c r="JI53" s="22"/>
      <c r="JJ53" s="22"/>
      <c r="JK53" s="22"/>
      <c r="JL53" s="22"/>
      <c r="JM53" s="22"/>
      <c r="JN53" s="22"/>
      <c r="JO53" s="22"/>
      <c r="JP53" s="22"/>
      <c r="JQ53" s="22"/>
      <c r="JR53" s="22"/>
      <c r="JS53" s="22"/>
      <c r="JT53" s="22"/>
      <c r="JU53" s="22"/>
      <c r="JV53" s="22"/>
      <c r="JW53" s="22"/>
      <c r="JX53" s="22"/>
      <c r="JY53" s="22"/>
      <c r="JZ53" s="22"/>
      <c r="KA53" s="22"/>
      <c r="KB53" s="22"/>
      <c r="KC53" s="22"/>
      <c r="KD53" s="22"/>
      <c r="KE53" s="22"/>
      <c r="KF53" s="22"/>
      <c r="KG53" s="22"/>
      <c r="KH53" s="22"/>
      <c r="KI53" s="22"/>
      <c r="KJ53" s="22"/>
      <c r="KK53" s="22"/>
      <c r="KL53" s="22"/>
      <c r="KM53" s="22"/>
      <c r="KN53" s="22"/>
      <c r="KO53" s="22"/>
      <c r="KP53" s="22"/>
      <c r="KQ53" s="22"/>
      <c r="KR53" s="22"/>
      <c r="KS53" s="22"/>
      <c r="KT53" s="22"/>
      <c r="KU53" s="22"/>
      <c r="KV53" s="22"/>
      <c r="KW53" s="22"/>
      <c r="KX53" s="22"/>
      <c r="KY53" s="22"/>
      <c r="KZ53" s="22"/>
      <c r="LA53" s="22"/>
      <c r="LB53" s="22"/>
      <c r="LC53" s="22"/>
      <c r="LD53" s="22"/>
      <c r="LE53" s="22"/>
      <c r="LF53" s="22"/>
      <c r="LG53" s="22"/>
      <c r="LH53" s="22"/>
      <c r="LI53" s="22"/>
      <c r="LJ53" s="22"/>
      <c r="LK53" s="22"/>
      <c r="LL53" s="22"/>
      <c r="LM53" s="22"/>
      <c r="LN53" s="22"/>
      <c r="LO53" s="22"/>
      <c r="LP53" s="22"/>
      <c r="LQ53" s="22"/>
      <c r="LR53" s="22"/>
      <c r="LS53" s="22"/>
      <c r="LT53" s="22"/>
      <c r="LU53" s="22"/>
      <c r="LV53" s="22"/>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8">
        <f>SUM(Tabela7[[#This Row],[Communication]:[Training of DevOps activities]])</f>
        <v>0</v>
      </c>
    </row>
    <row r="54" spans="1:359" ht="14.4" x14ac:dyDescent="0.3">
      <c r="A54" s="22" t="s">
        <v>1133</v>
      </c>
      <c r="B54" s="29" t="s">
        <v>1134</v>
      </c>
      <c r="C54" s="29">
        <v>1</v>
      </c>
      <c r="D54" s="23" t="s">
        <v>644</v>
      </c>
      <c r="E54" s="29">
        <v>1</v>
      </c>
      <c r="F54" s="29">
        <v>1</v>
      </c>
      <c r="G54" s="29">
        <v>1</v>
      </c>
      <c r="H54" t="s">
        <v>1135</v>
      </c>
      <c r="I54" t="s">
        <v>1136</v>
      </c>
      <c r="J54" t="s">
        <v>1137</v>
      </c>
      <c r="K54" t="s">
        <v>1138</v>
      </c>
      <c r="L54" t="s">
        <v>1139</v>
      </c>
      <c r="M54">
        <v>2020</v>
      </c>
      <c r="N54" t="s">
        <v>1051</v>
      </c>
      <c r="O54"/>
      <c r="P54" t="s">
        <v>1140</v>
      </c>
      <c r="Q54" t="s">
        <v>875</v>
      </c>
      <c r="R54" t="s">
        <v>1141</v>
      </c>
      <c r="S54" t="s">
        <v>1142</v>
      </c>
      <c r="T54" t="s">
        <v>1143</v>
      </c>
      <c r="U54" t="s">
        <v>655</v>
      </c>
      <c r="V54" t="s">
        <v>644</v>
      </c>
      <c r="W54" s="29">
        <v>1</v>
      </c>
      <c r="X54" s="29" t="s">
        <v>26753</v>
      </c>
      <c r="Y54" s="32"/>
      <c r="Z54" s="29"/>
      <c r="AA54" s="29"/>
      <c r="AB54" s="29"/>
      <c r="AC54" s="29"/>
      <c r="AD54" s="225">
        <v>1</v>
      </c>
      <c r="AE54" s="31"/>
      <c r="AF54" s="29">
        <v>1</v>
      </c>
      <c r="AG54" s="29">
        <v>1</v>
      </c>
      <c r="AH54" s="29"/>
      <c r="AI54" s="29"/>
      <c r="AJ54" s="31">
        <v>1</v>
      </c>
      <c r="AK54" s="29"/>
      <c r="AL54" s="29"/>
      <c r="AM54" s="29">
        <v>1</v>
      </c>
      <c r="AN54" s="34">
        <v>1</v>
      </c>
      <c r="AO54" s="28">
        <v>1</v>
      </c>
      <c r="AP54" s="28">
        <v>1</v>
      </c>
      <c r="AQ54" s="28">
        <v>1</v>
      </c>
      <c r="AR54" s="28"/>
      <c r="AS54" s="28"/>
      <c r="AT54" s="28">
        <v>1</v>
      </c>
      <c r="AU54" s="28"/>
      <c r="AV54" s="28"/>
      <c r="AW54" s="28"/>
      <c r="AX54" s="28"/>
      <c r="AY54" s="28">
        <v>1</v>
      </c>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v>1</v>
      </c>
      <c r="CI54" s="28">
        <v>1</v>
      </c>
      <c r="CJ54" s="28">
        <v>1</v>
      </c>
      <c r="CK54" s="28">
        <v>1</v>
      </c>
      <c r="CL54" s="28">
        <v>1</v>
      </c>
      <c r="CM54" s="28">
        <v>1</v>
      </c>
      <c r="CN54" s="28">
        <v>1</v>
      </c>
      <c r="CO54" s="28">
        <v>1</v>
      </c>
      <c r="CP54" s="28">
        <v>1</v>
      </c>
      <c r="CQ54" s="28">
        <v>1</v>
      </c>
      <c r="CR54" s="28">
        <v>1</v>
      </c>
      <c r="CS54" s="28">
        <v>1</v>
      </c>
      <c r="CT54" s="28">
        <v>1</v>
      </c>
      <c r="CU54" s="28">
        <v>1</v>
      </c>
      <c r="CV54" s="28">
        <v>1</v>
      </c>
      <c r="CW54" s="28">
        <v>1</v>
      </c>
      <c r="CX54" s="28"/>
      <c r="CY54" s="28"/>
      <c r="CZ54" s="28"/>
      <c r="DA54" s="28"/>
      <c r="DB54" s="28"/>
      <c r="DC54" s="28"/>
      <c r="DD54" s="35"/>
      <c r="DE54" s="35"/>
      <c r="DF54" s="35"/>
      <c r="DG54" s="35"/>
      <c r="DH54" s="35"/>
      <c r="DI54" s="35"/>
      <c r="DJ54" s="35"/>
      <c r="DK54" s="35"/>
      <c r="DL54" s="35"/>
      <c r="DM54" s="35"/>
      <c r="DN54" s="35"/>
      <c r="JL54" s="22">
        <v>1</v>
      </c>
      <c r="MU54" s="28">
        <f>SUM(Tabela7[[#This Row],[Communication]:[Training of DevOps activities]])</f>
        <v>23</v>
      </c>
    </row>
    <row r="55" spans="1:359" ht="14.4" x14ac:dyDescent="0.3">
      <c r="A55" s="22" t="s">
        <v>1144</v>
      </c>
      <c r="B55" s="29" t="s">
        <v>1145</v>
      </c>
      <c r="C55" s="29">
        <v>1</v>
      </c>
      <c r="D55" s="23" t="s">
        <v>644</v>
      </c>
      <c r="E55" s="29">
        <v>1</v>
      </c>
      <c r="F55" s="29">
        <v>1</v>
      </c>
      <c r="G55" s="29">
        <v>1</v>
      </c>
      <c r="H55" t="s">
        <v>1146</v>
      </c>
      <c r="I55" t="s">
        <v>1147</v>
      </c>
      <c r="J55" t="s">
        <v>1148</v>
      </c>
      <c r="K55" t="s">
        <v>1149</v>
      </c>
      <c r="L55" t="s">
        <v>1150</v>
      </c>
      <c r="M55">
        <v>2020</v>
      </c>
      <c r="N55" t="s">
        <v>687</v>
      </c>
      <c r="O55"/>
      <c r="P55" t="s">
        <v>1151</v>
      </c>
      <c r="Q55" t="s">
        <v>1152</v>
      </c>
      <c r="R55" t="s">
        <v>1153</v>
      </c>
      <c r="S55" t="s">
        <v>1154</v>
      </c>
      <c r="T55" t="s">
        <v>1155</v>
      </c>
      <c r="U55" t="s">
        <v>670</v>
      </c>
      <c r="V55" t="s">
        <v>644</v>
      </c>
      <c r="W55" s="29" t="s">
        <v>26753</v>
      </c>
      <c r="X55" s="29" t="s">
        <v>26753</v>
      </c>
      <c r="Y55" s="32"/>
      <c r="Z55" s="29"/>
      <c r="AA55" s="29"/>
      <c r="AB55" s="29"/>
      <c r="AC55" s="29"/>
      <c r="AD55" s="225">
        <v>1</v>
      </c>
      <c r="AE55" s="31"/>
      <c r="AF55" s="29"/>
      <c r="AG55" s="29"/>
      <c r="AH55" s="29">
        <v>1</v>
      </c>
      <c r="AI55" s="29"/>
      <c r="AJ55" s="31"/>
      <c r="AK55" s="29"/>
      <c r="AL55" s="29"/>
      <c r="AM55" s="29">
        <v>1</v>
      </c>
      <c r="AN55" s="34">
        <v>1</v>
      </c>
      <c r="AO55" s="28"/>
      <c r="AP55" s="28"/>
      <c r="AQ55" s="28"/>
      <c r="AR55" s="28"/>
      <c r="AS55" s="28"/>
      <c r="AT55" s="28"/>
      <c r="AU55" s="28">
        <v>1</v>
      </c>
      <c r="AV55" s="28"/>
      <c r="AW55" s="28">
        <v>1</v>
      </c>
      <c r="AX55" s="28"/>
      <c r="AY55" s="28"/>
      <c r="AZ55" s="28"/>
      <c r="BA55" s="28"/>
      <c r="BB55" s="28"/>
      <c r="BC55" s="28"/>
      <c r="BD55" s="28"/>
      <c r="BE55" s="28"/>
      <c r="BF55" s="28"/>
      <c r="BG55" s="28"/>
      <c r="BH55" s="28">
        <v>1</v>
      </c>
      <c r="BI55" s="28"/>
      <c r="BJ55" s="28"/>
      <c r="BK55" s="28"/>
      <c r="BL55" s="28"/>
      <c r="BM55" s="28">
        <v>1</v>
      </c>
      <c r="BN55" s="28"/>
      <c r="BO55" s="28"/>
      <c r="BP55" s="28"/>
      <c r="BQ55" s="28"/>
      <c r="BR55" s="28"/>
      <c r="BS55" s="28"/>
      <c r="BT55" s="28"/>
      <c r="BU55" s="28"/>
      <c r="BV55" s="28"/>
      <c r="BW55" s="28"/>
      <c r="BX55" s="28"/>
      <c r="BY55" s="28"/>
      <c r="BZ55" s="28"/>
      <c r="CA55" s="28"/>
      <c r="CB55" s="28"/>
      <c r="CC55" s="28"/>
      <c r="CD55" s="28"/>
      <c r="CE55" s="28">
        <v>1</v>
      </c>
      <c r="CF55" s="28"/>
      <c r="CG55" s="28"/>
      <c r="CH55" s="28"/>
      <c r="CI55" s="28"/>
      <c r="CJ55" s="28"/>
      <c r="CK55" s="28"/>
      <c r="CL55" s="28"/>
      <c r="CM55" s="28"/>
      <c r="CN55" s="28"/>
      <c r="CO55" s="28"/>
      <c r="CP55" s="28"/>
      <c r="CQ55" s="28"/>
      <c r="CR55" s="28"/>
      <c r="CS55" s="28"/>
      <c r="CT55" s="28"/>
      <c r="CU55" s="28"/>
      <c r="CV55" s="28">
        <v>1</v>
      </c>
      <c r="CW55" s="28"/>
      <c r="CX55" s="28"/>
      <c r="CY55" s="28"/>
      <c r="CZ55" s="28"/>
      <c r="DA55" s="28"/>
      <c r="DB55" s="28"/>
      <c r="DC55" s="28"/>
      <c r="DD55" s="35"/>
      <c r="DE55" s="35">
        <v>1</v>
      </c>
      <c r="DF55" s="35"/>
      <c r="DG55" s="35"/>
      <c r="DH55" s="35"/>
      <c r="DI55" s="35">
        <v>1</v>
      </c>
      <c r="DJ55" s="35"/>
      <c r="DK55" s="35"/>
      <c r="DL55" s="35"/>
      <c r="DM55" s="35"/>
      <c r="DN55" s="35"/>
      <c r="ED55" s="22">
        <v>1</v>
      </c>
      <c r="ER55" s="22">
        <v>1</v>
      </c>
      <c r="ES55" s="22">
        <v>1</v>
      </c>
      <c r="ET55" s="22">
        <v>1</v>
      </c>
      <c r="EU55" s="22">
        <v>1</v>
      </c>
      <c r="EV55" s="22">
        <v>1</v>
      </c>
      <c r="EW55" s="22">
        <v>1</v>
      </c>
      <c r="EX55" s="22">
        <v>1</v>
      </c>
      <c r="EY55" s="22">
        <v>1</v>
      </c>
      <c r="EZ55" s="22">
        <v>1</v>
      </c>
      <c r="FA55" s="22">
        <v>1</v>
      </c>
      <c r="FB55" s="22">
        <v>1</v>
      </c>
      <c r="FC55" s="22">
        <v>1</v>
      </c>
      <c r="FD55" s="22">
        <v>1</v>
      </c>
      <c r="FE55" s="22">
        <v>1</v>
      </c>
      <c r="FF55" s="22">
        <v>1</v>
      </c>
      <c r="IW55" s="22">
        <v>1</v>
      </c>
      <c r="KO55" s="22">
        <v>1</v>
      </c>
      <c r="KP55" s="22">
        <v>1</v>
      </c>
      <c r="KS55" s="22">
        <v>1</v>
      </c>
      <c r="MU55" s="28">
        <f>SUM(Tabela7[[#This Row],[Communication]:[Training of DevOps activities]])</f>
        <v>29</v>
      </c>
    </row>
    <row r="56" spans="1:359" s="23" customFormat="1" hidden="1" x14ac:dyDescent="0.25">
      <c r="A56" s="22" t="s">
        <v>1156</v>
      </c>
      <c r="B56" s="29" t="s">
        <v>1157</v>
      </c>
      <c r="C56" s="29">
        <v>0</v>
      </c>
      <c r="D56" s="23" t="s">
        <v>644</v>
      </c>
      <c r="E56" s="29">
        <v>1</v>
      </c>
      <c r="F56" s="29">
        <v>1</v>
      </c>
      <c r="G56" s="29">
        <v>0</v>
      </c>
      <c r="H56" s="23" t="s">
        <v>646</v>
      </c>
      <c r="I56" s="33" t="s">
        <v>728</v>
      </c>
      <c r="J56" s="33" t="s">
        <v>729</v>
      </c>
      <c r="K56" s="33" t="s">
        <v>1158</v>
      </c>
      <c r="L56" s="33"/>
      <c r="M56" s="33">
        <v>2017</v>
      </c>
      <c r="N56" s="33" t="s">
        <v>1159</v>
      </c>
      <c r="O56" s="33">
        <v>1</v>
      </c>
      <c r="P56" s="33" t="s">
        <v>1160</v>
      </c>
      <c r="Q56" s="33"/>
      <c r="R56" s="33" t="s">
        <v>1161</v>
      </c>
      <c r="S56" s="33" t="s">
        <v>1162</v>
      </c>
      <c r="T56" s="33" t="s">
        <v>646</v>
      </c>
      <c r="U56" s="33" t="s">
        <v>670</v>
      </c>
      <c r="V56" s="33" t="s">
        <v>644</v>
      </c>
      <c r="W56" s="29">
        <v>0</v>
      </c>
      <c r="X56" s="29">
        <v>0</v>
      </c>
      <c r="Y56" s="32"/>
      <c r="Z56" s="29"/>
      <c r="AA56" s="29"/>
      <c r="AB56" s="29"/>
      <c r="AC56" s="29"/>
      <c r="AD56" s="225"/>
      <c r="AE56" s="31"/>
      <c r="AF56" s="29"/>
      <c r="AG56" s="29"/>
      <c r="AH56" s="29"/>
      <c r="AI56" s="29"/>
      <c r="AJ56" s="31"/>
      <c r="AK56" s="29"/>
      <c r="AL56" s="29"/>
      <c r="AM56" s="29"/>
      <c r="AN56" s="37"/>
      <c r="AO56" s="24"/>
      <c r="AP56" s="24"/>
      <c r="AQ56" s="24"/>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2"/>
      <c r="HM56" s="22"/>
      <c r="HN56" s="22"/>
      <c r="HO56" s="22"/>
      <c r="HP56" s="22"/>
      <c r="HQ56" s="22"/>
      <c r="HR56" s="22"/>
      <c r="HS56" s="22"/>
      <c r="HT56" s="22"/>
      <c r="HU56" s="22"/>
      <c r="HV56" s="22"/>
      <c r="HW56" s="22"/>
      <c r="HX56" s="22"/>
      <c r="HY56" s="22"/>
      <c r="HZ56" s="22"/>
      <c r="IA56" s="22"/>
      <c r="IB56" s="22"/>
      <c r="IC56" s="22"/>
      <c r="ID56" s="22"/>
      <c r="IE56" s="22"/>
      <c r="IF56" s="22"/>
      <c r="IG56" s="22"/>
      <c r="IH56" s="22"/>
      <c r="II56" s="22"/>
      <c r="IJ56" s="22"/>
      <c r="IK56" s="22"/>
      <c r="IL56" s="22"/>
      <c r="IM56" s="22"/>
      <c r="IN56" s="22"/>
      <c r="IO56" s="22"/>
      <c r="IP56" s="22"/>
      <c r="IQ56" s="22"/>
      <c r="IR56" s="22"/>
      <c r="IS56" s="22"/>
      <c r="IT56" s="22"/>
      <c r="IU56" s="22"/>
      <c r="IV56" s="22"/>
      <c r="IW56" s="22"/>
      <c r="IX56" s="22"/>
      <c r="IY56" s="22"/>
      <c r="IZ56" s="22"/>
      <c r="JA56" s="22"/>
      <c r="JB56" s="22"/>
      <c r="JC56" s="22"/>
      <c r="JD56" s="22"/>
      <c r="JE56" s="22"/>
      <c r="JF56" s="22"/>
      <c r="JG56" s="22"/>
      <c r="JH56" s="22"/>
      <c r="JI56" s="22"/>
      <c r="JJ56" s="22"/>
      <c r="JK56" s="22"/>
      <c r="JL56" s="22"/>
      <c r="JM56" s="22"/>
      <c r="JN56" s="22"/>
      <c r="JO56" s="22"/>
      <c r="JP56" s="22"/>
      <c r="JQ56" s="22"/>
      <c r="JR56" s="22"/>
      <c r="JS56" s="22"/>
      <c r="JT56" s="22"/>
      <c r="JU56" s="22"/>
      <c r="JV56" s="22"/>
      <c r="JW56" s="22"/>
      <c r="JX56" s="22"/>
      <c r="JY56" s="22"/>
      <c r="JZ56" s="22"/>
      <c r="KA56" s="22"/>
      <c r="KB56" s="22"/>
      <c r="KC56" s="22"/>
      <c r="KD56" s="22"/>
      <c r="KE56" s="22"/>
      <c r="KF56" s="22"/>
      <c r="KG56" s="22"/>
      <c r="KH56" s="22"/>
      <c r="KI56" s="22"/>
      <c r="KJ56" s="22"/>
      <c r="KK56" s="22"/>
      <c r="KL56" s="22"/>
      <c r="KM56" s="22"/>
      <c r="KN56" s="22"/>
      <c r="KO56" s="22"/>
      <c r="KP56" s="22"/>
      <c r="KQ56" s="22"/>
      <c r="KR56" s="22"/>
      <c r="KS56" s="22"/>
      <c r="KT56" s="22"/>
      <c r="KU56" s="22"/>
      <c r="KV56" s="22"/>
      <c r="KW56" s="22"/>
      <c r="KX56" s="22"/>
      <c r="KY56" s="22"/>
      <c r="KZ56" s="22"/>
      <c r="LA56" s="22"/>
      <c r="LB56" s="22"/>
      <c r="LC56" s="22"/>
      <c r="LD56" s="22"/>
      <c r="LE56" s="22"/>
      <c r="LF56" s="22"/>
      <c r="LG56" s="22"/>
      <c r="LH56" s="22"/>
      <c r="LI56" s="22"/>
      <c r="LJ56" s="22"/>
      <c r="LK56" s="22"/>
      <c r="LL56" s="22"/>
      <c r="LM56" s="22"/>
      <c r="LN56" s="22"/>
      <c r="LO56" s="22"/>
      <c r="LP56" s="22"/>
      <c r="LQ56" s="22"/>
      <c r="LR56" s="22"/>
      <c r="LS56" s="22"/>
      <c r="LT56" s="22"/>
      <c r="LU56" s="22"/>
      <c r="LV56" s="22"/>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8">
        <f>SUM(Tabela7[[#This Row],[Communication]:[Training of DevOps activities]])</f>
        <v>0</v>
      </c>
    </row>
    <row r="57" spans="1:359" hidden="1" x14ac:dyDescent="0.25">
      <c r="A57" s="22" t="s">
        <v>1163</v>
      </c>
      <c r="B57" s="29" t="s">
        <v>1164</v>
      </c>
      <c r="C57" s="29">
        <v>1</v>
      </c>
      <c r="D57" s="23" t="s">
        <v>644</v>
      </c>
      <c r="E57" s="29">
        <v>1</v>
      </c>
      <c r="F57" s="29">
        <v>1</v>
      </c>
      <c r="G57" s="29">
        <v>0</v>
      </c>
      <c r="H57" s="23" t="s">
        <v>1165</v>
      </c>
      <c r="I57" s="33" t="s">
        <v>728</v>
      </c>
      <c r="J57" s="33" t="s">
        <v>729</v>
      </c>
      <c r="K57" s="33" t="s">
        <v>1166</v>
      </c>
      <c r="L57" s="33"/>
      <c r="M57" s="33">
        <v>2020</v>
      </c>
      <c r="N57" s="33" t="s">
        <v>1167</v>
      </c>
      <c r="O57" s="33"/>
      <c r="P57" s="33" t="s">
        <v>1168</v>
      </c>
      <c r="Q57" s="33"/>
      <c r="R57" s="33" t="s">
        <v>1169</v>
      </c>
      <c r="S57" s="33" t="s">
        <v>1170</v>
      </c>
      <c r="T57" s="33" t="s">
        <v>646</v>
      </c>
      <c r="U57" s="33" t="s">
        <v>670</v>
      </c>
      <c r="V57" s="33" t="s">
        <v>644</v>
      </c>
      <c r="W57" s="29" t="s">
        <v>714</v>
      </c>
      <c r="X57" s="29">
        <v>0</v>
      </c>
      <c r="Y57" s="32"/>
      <c r="Z57" s="29"/>
      <c r="AA57" s="29"/>
      <c r="AB57" s="29"/>
      <c r="AC57" s="29">
        <v>1</v>
      </c>
      <c r="AD57" s="225">
        <v>1</v>
      </c>
      <c r="AE57" s="31"/>
      <c r="AF57" s="29"/>
      <c r="AG57" s="29">
        <v>1</v>
      </c>
      <c r="AH57" s="29"/>
      <c r="AI57" s="29"/>
      <c r="AJ57" s="31"/>
      <c r="AK57" s="29"/>
      <c r="AL57" s="29"/>
      <c r="AM57" s="29" t="s">
        <v>1171</v>
      </c>
      <c r="AN57" s="34"/>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35"/>
      <c r="DE57" s="35"/>
      <c r="DF57" s="35"/>
      <c r="DG57" s="35"/>
      <c r="DH57" s="35"/>
      <c r="DI57" s="35"/>
      <c r="DJ57" s="35"/>
      <c r="DK57" s="35"/>
      <c r="DL57" s="35"/>
      <c r="DM57" s="35"/>
      <c r="DN57" s="35"/>
      <c r="MU57" s="28">
        <f>SUM(Tabela7[[#This Row],[Communication]:[Training of DevOps activities]])</f>
        <v>0</v>
      </c>
    </row>
    <row r="58" spans="1:359" ht="14.4" x14ac:dyDescent="0.3">
      <c r="A58" s="22" t="s">
        <v>1172</v>
      </c>
      <c r="B58" s="29" t="s">
        <v>1173</v>
      </c>
      <c r="C58" s="29">
        <v>1</v>
      </c>
      <c r="D58" s="23" t="s">
        <v>644</v>
      </c>
      <c r="E58" s="29">
        <v>1</v>
      </c>
      <c r="F58" s="29">
        <v>1</v>
      </c>
      <c r="G58" s="29">
        <v>1</v>
      </c>
      <c r="H58" t="s">
        <v>1174</v>
      </c>
      <c r="I58" t="s">
        <v>1175</v>
      </c>
      <c r="J58" t="s">
        <v>1176</v>
      </c>
      <c r="K58" t="s">
        <v>1177</v>
      </c>
      <c r="L58" t="s">
        <v>981</v>
      </c>
      <c r="M58">
        <v>2019</v>
      </c>
      <c r="N58" t="s">
        <v>1178</v>
      </c>
      <c r="O58">
        <v>1</v>
      </c>
      <c r="P58" t="s">
        <v>1179</v>
      </c>
      <c r="Q58" t="s">
        <v>984</v>
      </c>
      <c r="R58" t="s">
        <v>1180</v>
      </c>
      <c r="S58" t="s">
        <v>1181</v>
      </c>
      <c r="T58" t="s">
        <v>646</v>
      </c>
      <c r="U58" t="s">
        <v>670</v>
      </c>
      <c r="V58" t="s">
        <v>644</v>
      </c>
      <c r="W58" s="29" t="s">
        <v>26753</v>
      </c>
      <c r="X58" s="29" t="s">
        <v>26753</v>
      </c>
      <c r="Y58" s="32"/>
      <c r="Z58" s="29"/>
      <c r="AA58" s="29">
        <v>1</v>
      </c>
      <c r="AB58" s="29"/>
      <c r="AC58" s="29"/>
      <c r="AD58" s="225">
        <v>1</v>
      </c>
      <c r="AE58" s="31"/>
      <c r="AF58" s="29">
        <v>1</v>
      </c>
      <c r="AG58" s="29">
        <v>1</v>
      </c>
      <c r="AH58" s="29"/>
      <c r="AI58" s="29"/>
      <c r="AJ58" s="31">
        <v>1</v>
      </c>
      <c r="AK58" s="29"/>
      <c r="AL58" s="29"/>
      <c r="AM58" s="29"/>
      <c r="AN58" s="34">
        <v>1</v>
      </c>
      <c r="AO58" s="28">
        <v>1</v>
      </c>
      <c r="AP58" s="28">
        <v>1</v>
      </c>
      <c r="AQ58" s="28">
        <v>1</v>
      </c>
      <c r="AR58" s="28"/>
      <c r="AS58" s="28"/>
      <c r="AT58" s="28">
        <v>1</v>
      </c>
      <c r="AU58" s="28"/>
      <c r="AV58" s="28"/>
      <c r="AW58" s="28">
        <v>1</v>
      </c>
      <c r="AX58" s="28"/>
      <c r="AY58" s="28">
        <v>1</v>
      </c>
      <c r="AZ58" s="28"/>
      <c r="BA58" s="28"/>
      <c r="BB58" s="28"/>
      <c r="BC58" s="28">
        <v>1</v>
      </c>
      <c r="BD58" s="28">
        <v>1</v>
      </c>
      <c r="BE58" s="28"/>
      <c r="BF58" s="28">
        <v>1</v>
      </c>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v>1</v>
      </c>
      <c r="CS58" s="28"/>
      <c r="CT58" s="28"/>
      <c r="CU58" s="28"/>
      <c r="CV58" s="28">
        <v>1</v>
      </c>
      <c r="CW58" s="28"/>
      <c r="CX58" s="28"/>
      <c r="CY58" s="28"/>
      <c r="CZ58" s="28"/>
      <c r="DA58" s="28"/>
      <c r="DB58" s="28"/>
      <c r="DC58" s="28"/>
      <c r="DD58" s="35">
        <v>1</v>
      </c>
      <c r="DE58" s="35">
        <v>1</v>
      </c>
      <c r="DF58" s="35"/>
      <c r="DG58" s="35"/>
      <c r="DH58" s="35"/>
      <c r="DI58" s="35">
        <v>1</v>
      </c>
      <c r="DJ58" s="35"/>
      <c r="DK58" s="35"/>
      <c r="DL58" s="35"/>
      <c r="DM58" s="35"/>
      <c r="DN58" s="35"/>
      <c r="DV58" s="22">
        <v>1</v>
      </c>
      <c r="DX58" s="22">
        <v>1</v>
      </c>
      <c r="FG58" s="22">
        <v>1</v>
      </c>
      <c r="FZ58" s="22">
        <v>1</v>
      </c>
      <c r="MU58" s="28">
        <f>SUM(Tabela7[[#This Row],[Communication]:[Training of DevOps activities]])</f>
        <v>19</v>
      </c>
    </row>
    <row r="59" spans="1:359" ht="14.4" x14ac:dyDescent="0.3">
      <c r="A59" s="22" t="s">
        <v>1182</v>
      </c>
      <c r="B59" s="29" t="s">
        <v>1183</v>
      </c>
      <c r="C59" s="29">
        <v>1</v>
      </c>
      <c r="D59" s="23" t="s">
        <v>644</v>
      </c>
      <c r="E59" s="29">
        <v>1</v>
      </c>
      <c r="F59" s="29">
        <v>1</v>
      </c>
      <c r="G59" s="29">
        <v>1</v>
      </c>
      <c r="H59" t="s">
        <v>1184</v>
      </c>
      <c r="I59" t="s">
        <v>1185</v>
      </c>
      <c r="J59" t="s">
        <v>1186</v>
      </c>
      <c r="K59" t="s">
        <v>1187</v>
      </c>
      <c r="L59" t="s">
        <v>981</v>
      </c>
      <c r="M59">
        <v>2019</v>
      </c>
      <c r="N59" t="s">
        <v>1188</v>
      </c>
      <c r="O59"/>
      <c r="P59" t="s">
        <v>1189</v>
      </c>
      <c r="Q59" t="s">
        <v>1190</v>
      </c>
      <c r="R59" t="s">
        <v>1191</v>
      </c>
      <c r="S59" t="s">
        <v>1192</v>
      </c>
      <c r="T59" t="s">
        <v>646</v>
      </c>
      <c r="U59" t="s">
        <v>670</v>
      </c>
      <c r="V59" t="s">
        <v>644</v>
      </c>
      <c r="W59" s="29" t="s">
        <v>26753</v>
      </c>
      <c r="X59" s="29">
        <v>0</v>
      </c>
      <c r="Y59" s="32"/>
      <c r="Z59" s="29"/>
      <c r="AA59" s="29">
        <v>1</v>
      </c>
      <c r="AB59" s="29"/>
      <c r="AC59" s="29"/>
      <c r="AD59" s="225"/>
      <c r="AE59" s="31">
        <v>1</v>
      </c>
      <c r="AF59" s="29"/>
      <c r="AG59" s="29"/>
      <c r="AH59" s="29"/>
      <c r="AI59" s="29"/>
      <c r="AJ59" s="31">
        <v>1</v>
      </c>
      <c r="AK59" s="29">
        <v>1</v>
      </c>
      <c r="AL59" s="29"/>
      <c r="AM59" s="29"/>
      <c r="AN59" s="34">
        <v>1</v>
      </c>
      <c r="AO59" s="28">
        <v>1</v>
      </c>
      <c r="AP59" s="28">
        <v>1</v>
      </c>
      <c r="AQ59" s="28">
        <v>1</v>
      </c>
      <c r="AR59" s="28"/>
      <c r="AS59" s="28"/>
      <c r="AT59" s="28">
        <v>1</v>
      </c>
      <c r="AU59" s="28">
        <v>1</v>
      </c>
      <c r="AV59" s="28">
        <v>1</v>
      </c>
      <c r="AW59" s="28"/>
      <c r="AX59" s="28"/>
      <c r="AY59" s="28">
        <v>1</v>
      </c>
      <c r="AZ59" s="28"/>
      <c r="BA59" s="28"/>
      <c r="BB59" s="28"/>
      <c r="BC59" s="28">
        <v>1</v>
      </c>
      <c r="BD59" s="28"/>
      <c r="BE59" s="28"/>
      <c r="BF59" s="28"/>
      <c r="BG59" s="28"/>
      <c r="BH59" s="28">
        <v>1</v>
      </c>
      <c r="BI59" s="28">
        <v>1</v>
      </c>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v>1</v>
      </c>
      <c r="CI59" s="28"/>
      <c r="CJ59" s="28"/>
      <c r="CK59" s="28"/>
      <c r="CL59" s="28"/>
      <c r="CM59" s="28"/>
      <c r="CN59" s="28"/>
      <c r="CO59" s="28"/>
      <c r="CP59" s="28"/>
      <c r="CQ59" s="28"/>
      <c r="CR59" s="28"/>
      <c r="CS59" s="28"/>
      <c r="CT59" s="28"/>
      <c r="CU59" s="28"/>
      <c r="CV59" s="28"/>
      <c r="CW59" s="28">
        <v>1</v>
      </c>
      <c r="CX59" s="28"/>
      <c r="CY59" s="28"/>
      <c r="CZ59" s="28"/>
      <c r="DA59" s="28"/>
      <c r="DB59" s="28"/>
      <c r="DC59" s="28"/>
      <c r="DD59" s="35"/>
      <c r="DE59" s="35"/>
      <c r="DF59" s="35"/>
      <c r="DG59" s="35"/>
      <c r="DH59" s="35"/>
      <c r="DI59" s="35">
        <v>1</v>
      </c>
      <c r="DJ59" s="35"/>
      <c r="DK59" s="35"/>
      <c r="DL59" s="35"/>
      <c r="DM59" s="35"/>
      <c r="DN59" s="35"/>
      <c r="MU59" s="28">
        <f>SUM(Tabela7[[#This Row],[Communication]:[Training of DevOps activities]])</f>
        <v>14</v>
      </c>
    </row>
    <row r="60" spans="1:359" s="23" customFormat="1" hidden="1" x14ac:dyDescent="0.25">
      <c r="A60" s="22" t="s">
        <v>1193</v>
      </c>
      <c r="B60" s="23" t="s">
        <v>1194</v>
      </c>
      <c r="C60" s="29">
        <v>1</v>
      </c>
      <c r="D60" s="23" t="s">
        <v>644</v>
      </c>
      <c r="E60" s="29">
        <v>1</v>
      </c>
      <c r="F60" s="29">
        <v>1</v>
      </c>
      <c r="G60" s="29">
        <v>0</v>
      </c>
      <c r="H60" s="23" t="s">
        <v>1195</v>
      </c>
      <c r="I60" s="30" t="s">
        <v>1196</v>
      </c>
      <c r="J60" s="30" t="s">
        <v>1197</v>
      </c>
      <c r="K60" s="30" t="s">
        <v>1198</v>
      </c>
      <c r="L60" s="30"/>
      <c r="M60" s="30">
        <v>2019</v>
      </c>
      <c r="N60" s="30" t="s">
        <v>1199</v>
      </c>
      <c r="O60" s="30">
        <v>2</v>
      </c>
      <c r="P60" s="30" t="s">
        <v>1200</v>
      </c>
      <c r="Q60" s="30"/>
      <c r="R60" s="30" t="s">
        <v>1201</v>
      </c>
      <c r="S60" s="30" t="s">
        <v>1202</v>
      </c>
      <c r="T60" s="30" t="s">
        <v>646</v>
      </c>
      <c r="U60" s="30" t="s">
        <v>655</v>
      </c>
      <c r="V60" s="30" t="s">
        <v>644</v>
      </c>
      <c r="W60" s="29"/>
      <c r="X60" s="29"/>
      <c r="Y60" s="32"/>
      <c r="Z60" s="29"/>
      <c r="AA60" s="29"/>
      <c r="AB60" s="29"/>
      <c r="AC60" s="29"/>
      <c r="AD60" s="225"/>
      <c r="AE60" s="31"/>
      <c r="AF60" s="29"/>
      <c r="AG60" s="29"/>
      <c r="AH60" s="29"/>
      <c r="AI60" s="29"/>
      <c r="AJ60" s="31"/>
      <c r="AK60" s="29"/>
      <c r="AL60" s="29"/>
      <c r="AM60" s="29"/>
      <c r="AN60" s="32"/>
      <c r="AO60" s="29"/>
      <c r="AP60" s="29"/>
      <c r="AQ60" s="29"/>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HU60" s="22"/>
      <c r="HV60" s="22"/>
      <c r="HW60" s="22"/>
      <c r="HX60" s="22"/>
      <c r="HY60" s="22"/>
      <c r="HZ60" s="22"/>
      <c r="IA60" s="22"/>
      <c r="IB60" s="22"/>
      <c r="IC60" s="22"/>
      <c r="ID60" s="22"/>
      <c r="IE60" s="22"/>
      <c r="IF60" s="22"/>
      <c r="IG60" s="22"/>
      <c r="IH60" s="22"/>
      <c r="II60" s="22"/>
      <c r="IJ60" s="22"/>
      <c r="IK60" s="22"/>
      <c r="IL60" s="22"/>
      <c r="IM60" s="22"/>
      <c r="IN60" s="22"/>
      <c r="IO60" s="22"/>
      <c r="IP60" s="22"/>
      <c r="IQ60" s="22"/>
      <c r="IR60" s="22"/>
      <c r="IS60" s="22"/>
      <c r="IT60" s="22"/>
      <c r="IU60" s="22"/>
      <c r="IV60" s="22"/>
      <c r="IW60" s="22"/>
      <c r="IX60" s="22"/>
      <c r="IY60" s="22"/>
      <c r="IZ60" s="22"/>
      <c r="JA60" s="22"/>
      <c r="JB60" s="22"/>
      <c r="JC60" s="22"/>
      <c r="JD60" s="22"/>
      <c r="JE60" s="22"/>
      <c r="JF60" s="22"/>
      <c r="JG60" s="22"/>
      <c r="JH60" s="22"/>
      <c r="JI60" s="22"/>
      <c r="JJ60" s="22"/>
      <c r="JK60" s="22"/>
      <c r="JL60" s="22"/>
      <c r="JM60" s="22"/>
      <c r="JN60" s="22"/>
      <c r="JO60" s="22"/>
      <c r="JP60" s="22"/>
      <c r="JQ60" s="22"/>
      <c r="JR60" s="22"/>
      <c r="JS60" s="22"/>
      <c r="JT60" s="22"/>
      <c r="JU60" s="22"/>
      <c r="JV60" s="22"/>
      <c r="JW60" s="22"/>
      <c r="JX60" s="22"/>
      <c r="JY60" s="22"/>
      <c r="JZ60" s="22"/>
      <c r="KA60" s="22"/>
      <c r="KB60" s="22"/>
      <c r="KC60" s="22"/>
      <c r="KD60" s="22"/>
      <c r="KE60" s="22"/>
      <c r="KF60" s="22"/>
      <c r="KG60" s="22"/>
      <c r="KH60" s="22"/>
      <c r="KI60" s="22"/>
      <c r="KJ60" s="22"/>
      <c r="KK60" s="22"/>
      <c r="KL60" s="22"/>
      <c r="KM60" s="22"/>
      <c r="KN60" s="22"/>
      <c r="KO60" s="22"/>
      <c r="KP60" s="22"/>
      <c r="KQ60" s="22"/>
      <c r="KR60" s="22"/>
      <c r="KS60" s="22"/>
      <c r="KT60" s="22"/>
      <c r="KU60" s="22"/>
      <c r="KV60" s="22"/>
      <c r="KW60" s="22"/>
      <c r="KX60" s="22"/>
      <c r="KY60" s="22"/>
      <c r="KZ60" s="22"/>
      <c r="LA60" s="22"/>
      <c r="LB60" s="22"/>
      <c r="LC60" s="22"/>
      <c r="LD60" s="22"/>
      <c r="LE60" s="22"/>
      <c r="LF60" s="22"/>
      <c r="LG60" s="22"/>
      <c r="LH60" s="22"/>
      <c r="LI60" s="22"/>
      <c r="LJ60" s="22"/>
      <c r="LK60" s="22"/>
      <c r="LL60" s="22"/>
      <c r="LM60" s="22"/>
      <c r="LN60" s="22"/>
      <c r="LO60" s="22"/>
      <c r="LP60" s="22"/>
      <c r="LQ60" s="22"/>
      <c r="LR60" s="22"/>
      <c r="LS60" s="22"/>
      <c r="LT60" s="22"/>
      <c r="LU60" s="22"/>
      <c r="LV60" s="22"/>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8">
        <f>SUM(Tabela7[[#This Row],[Communication]:[Training of DevOps activities]])</f>
        <v>0</v>
      </c>
    </row>
    <row r="61" spans="1:359" s="23" customFormat="1" hidden="1" x14ac:dyDescent="0.25">
      <c r="A61" s="22" t="s">
        <v>1203</v>
      </c>
      <c r="B61" s="23" t="s">
        <v>1204</v>
      </c>
      <c r="C61" s="23">
        <v>0</v>
      </c>
      <c r="D61" s="23" t="s">
        <v>644</v>
      </c>
      <c r="E61" s="23">
        <v>1</v>
      </c>
      <c r="F61" s="23">
        <v>1</v>
      </c>
      <c r="G61" s="24"/>
      <c r="H61" s="23" t="s">
        <v>1205</v>
      </c>
      <c r="I61" s="33" t="s">
        <v>1206</v>
      </c>
      <c r="J61" s="33" t="s">
        <v>1207</v>
      </c>
      <c r="K61" s="33" t="s">
        <v>1208</v>
      </c>
      <c r="L61" s="33"/>
      <c r="M61" s="33">
        <v>2018</v>
      </c>
      <c r="N61" s="33" t="s">
        <v>818</v>
      </c>
      <c r="O61" s="33">
        <v>1</v>
      </c>
      <c r="P61" s="33" t="s">
        <v>1209</v>
      </c>
      <c r="Q61" s="33"/>
      <c r="R61" s="33" t="s">
        <v>1210</v>
      </c>
      <c r="S61" s="33" t="s">
        <v>1211</v>
      </c>
      <c r="T61" s="33" t="s">
        <v>1212</v>
      </c>
      <c r="U61" s="33" t="s">
        <v>670</v>
      </c>
      <c r="V61" s="33" t="s">
        <v>644</v>
      </c>
      <c r="Y61" s="27"/>
      <c r="AD61" s="224"/>
      <c r="AE61" s="26"/>
      <c r="AJ61" s="26"/>
      <c r="AN61" s="27"/>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c r="HH61" s="22"/>
      <c r="HI61" s="22"/>
      <c r="HJ61" s="22"/>
      <c r="HK61" s="22"/>
      <c r="HL61" s="22"/>
      <c r="HM61" s="22"/>
      <c r="HN61" s="22"/>
      <c r="HO61" s="22"/>
      <c r="HP61" s="22"/>
      <c r="HQ61" s="22"/>
      <c r="HR61" s="22"/>
      <c r="HS61" s="22"/>
      <c r="HT61" s="22"/>
      <c r="HU61" s="22"/>
      <c r="HV61" s="22"/>
      <c r="HW61" s="22"/>
      <c r="HX61" s="22"/>
      <c r="HY61" s="22"/>
      <c r="HZ61" s="22"/>
      <c r="IA61" s="22"/>
      <c r="IB61" s="22"/>
      <c r="IC61" s="22"/>
      <c r="ID61" s="22"/>
      <c r="IE61" s="22"/>
      <c r="IF61" s="22"/>
      <c r="IG61" s="22"/>
      <c r="IH61" s="22"/>
      <c r="II61" s="22"/>
      <c r="IJ61" s="22"/>
      <c r="IK61" s="22"/>
      <c r="IL61" s="22"/>
      <c r="IM61" s="22"/>
      <c r="IN61" s="22"/>
      <c r="IO61" s="22"/>
      <c r="IP61" s="22"/>
      <c r="IQ61" s="22"/>
      <c r="IR61" s="22"/>
      <c r="IS61" s="22"/>
      <c r="IT61" s="22"/>
      <c r="IU61" s="22"/>
      <c r="IV61" s="22"/>
      <c r="IW61" s="22"/>
      <c r="IX61" s="22"/>
      <c r="IY61" s="22"/>
      <c r="IZ61" s="22"/>
      <c r="JA61" s="22"/>
      <c r="JB61" s="22"/>
      <c r="JC61" s="22"/>
      <c r="JD61" s="22"/>
      <c r="JE61" s="22"/>
      <c r="JF61" s="22"/>
      <c r="JG61" s="22"/>
      <c r="JH61" s="22"/>
      <c r="JI61" s="22"/>
      <c r="JJ61" s="22"/>
      <c r="JK61" s="22"/>
      <c r="JL61" s="22"/>
      <c r="JM61" s="22"/>
      <c r="JN61" s="22"/>
      <c r="JO61" s="22"/>
      <c r="JP61" s="22"/>
      <c r="JQ61" s="22"/>
      <c r="JR61" s="22"/>
      <c r="JS61" s="22"/>
      <c r="JT61" s="22"/>
      <c r="JU61" s="22"/>
      <c r="JV61" s="22"/>
      <c r="JW61" s="22"/>
      <c r="JX61" s="22"/>
      <c r="JY61" s="22"/>
      <c r="JZ61" s="22"/>
      <c r="KA61" s="22"/>
      <c r="KB61" s="22"/>
      <c r="KC61" s="22"/>
      <c r="KD61" s="22"/>
      <c r="KE61" s="22"/>
      <c r="KF61" s="22"/>
      <c r="KG61" s="22"/>
      <c r="KH61" s="22"/>
      <c r="KI61" s="22"/>
      <c r="KJ61" s="22"/>
      <c r="KK61" s="22"/>
      <c r="KL61" s="22"/>
      <c r="KM61" s="22"/>
      <c r="KN61" s="22"/>
      <c r="KO61" s="22"/>
      <c r="KP61" s="22"/>
      <c r="KQ61" s="22"/>
      <c r="KR61" s="22"/>
      <c r="KS61" s="22"/>
      <c r="KT61" s="22"/>
      <c r="KU61" s="22"/>
      <c r="KV61" s="22"/>
      <c r="KW61" s="22"/>
      <c r="KX61" s="22"/>
      <c r="KY61" s="22"/>
      <c r="KZ61" s="22"/>
      <c r="LA61" s="22"/>
      <c r="LB61" s="22"/>
      <c r="LC61" s="22"/>
      <c r="LD61" s="22"/>
      <c r="LE61" s="22"/>
      <c r="LF61" s="22"/>
      <c r="LG61" s="22"/>
      <c r="LH61" s="22"/>
      <c r="LI61" s="22"/>
      <c r="LJ61" s="22"/>
      <c r="LK61" s="22"/>
      <c r="LL61" s="22"/>
      <c r="LM61" s="22"/>
      <c r="LN61" s="22"/>
      <c r="LO61" s="22"/>
      <c r="LP61" s="22"/>
      <c r="LQ61" s="22"/>
      <c r="LR61" s="22"/>
      <c r="LS61" s="22"/>
      <c r="LT61" s="22"/>
      <c r="LU61" s="22"/>
      <c r="LV61" s="22"/>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8">
        <f>SUM(Tabela7[[#This Row],[Communication]:[Training of DevOps activities]])</f>
        <v>0</v>
      </c>
    </row>
    <row r="62" spans="1:359" ht="14.4" x14ac:dyDescent="0.3">
      <c r="A62" s="22" t="s">
        <v>1213</v>
      </c>
      <c r="B62" s="29" t="s">
        <v>1214</v>
      </c>
      <c r="C62" s="29">
        <v>1</v>
      </c>
      <c r="D62" s="23" t="s">
        <v>717</v>
      </c>
      <c r="E62" s="29">
        <v>1</v>
      </c>
      <c r="F62" s="29">
        <v>1</v>
      </c>
      <c r="G62" s="29">
        <v>1</v>
      </c>
      <c r="H62" t="s">
        <v>1215</v>
      </c>
      <c r="I62" t="s">
        <v>1216</v>
      </c>
      <c r="J62" t="s">
        <v>1217</v>
      </c>
      <c r="K62" t="s">
        <v>1218</v>
      </c>
      <c r="L62" t="s">
        <v>707</v>
      </c>
      <c r="M62">
        <v>2020</v>
      </c>
      <c r="N62" t="s">
        <v>1219</v>
      </c>
      <c r="O62"/>
      <c r="P62" t="s">
        <v>1220</v>
      </c>
      <c r="Q62" t="s">
        <v>1221</v>
      </c>
      <c r="R62" t="s">
        <v>1222</v>
      </c>
      <c r="S62" t="s">
        <v>1223</v>
      </c>
      <c r="T62" t="s">
        <v>646</v>
      </c>
      <c r="U62" t="s">
        <v>655</v>
      </c>
      <c r="V62" t="s">
        <v>644</v>
      </c>
      <c r="W62" s="29">
        <v>1</v>
      </c>
      <c r="X62" s="29">
        <v>0</v>
      </c>
      <c r="Y62" s="32">
        <v>1</v>
      </c>
      <c r="Z62" s="29"/>
      <c r="AA62" s="29">
        <v>1</v>
      </c>
      <c r="AB62" s="29"/>
      <c r="AC62" s="29">
        <v>1</v>
      </c>
      <c r="AD62" s="225"/>
      <c r="AE62" s="31">
        <v>1</v>
      </c>
      <c r="AF62" s="29">
        <v>1</v>
      </c>
      <c r="AG62" s="29">
        <v>1</v>
      </c>
      <c r="AH62" s="29"/>
      <c r="AI62" s="29">
        <v>1</v>
      </c>
      <c r="AJ62" s="31"/>
      <c r="AK62" s="29">
        <v>1</v>
      </c>
      <c r="AL62" s="29"/>
      <c r="AM62" s="29"/>
      <c r="AN62" s="34"/>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v>1</v>
      </c>
      <c r="BN62" s="28">
        <v>1</v>
      </c>
      <c r="BO62" s="28">
        <v>1</v>
      </c>
      <c r="BP62" s="28">
        <v>1</v>
      </c>
      <c r="BQ62" s="28">
        <v>1</v>
      </c>
      <c r="BR62" s="28">
        <v>1</v>
      </c>
      <c r="BS62" s="28">
        <v>1</v>
      </c>
      <c r="BT62" s="28">
        <v>1</v>
      </c>
      <c r="BU62" s="28">
        <v>1</v>
      </c>
      <c r="BV62" s="28">
        <v>1</v>
      </c>
      <c r="BW62" s="28">
        <v>1</v>
      </c>
      <c r="BX62" s="28">
        <v>1</v>
      </c>
      <c r="BY62" s="28">
        <v>1</v>
      </c>
      <c r="BZ62" s="28"/>
      <c r="CA62" s="28">
        <v>1</v>
      </c>
      <c r="CB62" s="28"/>
      <c r="CC62" s="28">
        <v>1</v>
      </c>
      <c r="CD62" s="28">
        <v>1</v>
      </c>
      <c r="CE62" s="28">
        <v>1</v>
      </c>
      <c r="CF62" s="28">
        <v>1</v>
      </c>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35"/>
      <c r="DE62" s="35"/>
      <c r="DF62" s="35"/>
      <c r="DG62" s="35"/>
      <c r="DH62" s="35"/>
      <c r="DI62" s="35"/>
      <c r="DJ62" s="35"/>
      <c r="DK62" s="35"/>
      <c r="DL62" s="35"/>
      <c r="DM62" s="35"/>
      <c r="DN62" s="35"/>
      <c r="MU62" s="28">
        <f>SUM(Tabela7[[#This Row],[Communication]:[Training of DevOps activities]])</f>
        <v>18</v>
      </c>
    </row>
    <row r="63" spans="1:359" ht="14.4" x14ac:dyDescent="0.3">
      <c r="A63" s="22" t="s">
        <v>1224</v>
      </c>
      <c r="B63" s="29" t="s">
        <v>1225</v>
      </c>
      <c r="C63" s="29">
        <v>1</v>
      </c>
      <c r="D63" s="23" t="s">
        <v>717</v>
      </c>
      <c r="E63" s="29">
        <v>1</v>
      </c>
      <c r="F63" s="29">
        <v>1</v>
      </c>
      <c r="G63" s="29">
        <v>1</v>
      </c>
      <c r="H63" t="s">
        <v>1226</v>
      </c>
      <c r="I63" t="s">
        <v>1227</v>
      </c>
      <c r="J63" t="s">
        <v>1228</v>
      </c>
      <c r="K63" t="s">
        <v>1229</v>
      </c>
      <c r="L63" t="s">
        <v>1139</v>
      </c>
      <c r="M63">
        <v>2020</v>
      </c>
      <c r="N63" t="s">
        <v>982</v>
      </c>
      <c r="O63"/>
      <c r="P63" t="s">
        <v>1230</v>
      </c>
      <c r="Q63" t="s">
        <v>875</v>
      </c>
      <c r="R63" t="s">
        <v>1231</v>
      </c>
      <c r="S63" t="s">
        <v>1232</v>
      </c>
      <c r="T63" t="s">
        <v>1233</v>
      </c>
      <c r="U63" t="s">
        <v>655</v>
      </c>
      <c r="V63" t="s">
        <v>644</v>
      </c>
      <c r="W63" s="29" t="s">
        <v>26753</v>
      </c>
      <c r="X63" s="29" t="s">
        <v>26753</v>
      </c>
      <c r="Y63" s="32"/>
      <c r="Z63" s="29"/>
      <c r="AA63" s="29">
        <v>1</v>
      </c>
      <c r="AB63" s="29">
        <v>1</v>
      </c>
      <c r="AC63" s="29"/>
      <c r="AD63" s="225">
        <v>1</v>
      </c>
      <c r="AE63" s="31">
        <v>1</v>
      </c>
      <c r="AF63" s="29"/>
      <c r="AG63" s="29">
        <v>1</v>
      </c>
      <c r="AH63" s="29">
        <v>1</v>
      </c>
      <c r="AI63" s="29"/>
      <c r="AJ63" s="31"/>
      <c r="AK63" s="29"/>
      <c r="AL63" s="29"/>
      <c r="AM63" s="29">
        <v>1</v>
      </c>
      <c r="AN63" s="34"/>
      <c r="AO63" s="28"/>
      <c r="AP63" s="28"/>
      <c r="AQ63" s="28"/>
      <c r="AR63" s="28"/>
      <c r="AS63" s="28"/>
      <c r="AT63" s="28">
        <v>1</v>
      </c>
      <c r="AU63" s="28">
        <v>1</v>
      </c>
      <c r="AV63" s="28">
        <v>1</v>
      </c>
      <c r="AW63" s="28">
        <v>1</v>
      </c>
      <c r="AX63" s="28">
        <v>1</v>
      </c>
      <c r="AY63" s="28">
        <v>1</v>
      </c>
      <c r="AZ63" s="28"/>
      <c r="BA63" s="28"/>
      <c r="BB63" s="28"/>
      <c r="BC63" s="28"/>
      <c r="BD63" s="28">
        <v>1</v>
      </c>
      <c r="BE63" s="28"/>
      <c r="BF63" s="28"/>
      <c r="BG63" s="28"/>
      <c r="BH63" s="28">
        <v>1</v>
      </c>
      <c r="BI63" s="28">
        <v>1</v>
      </c>
      <c r="BJ63" s="28">
        <v>1</v>
      </c>
      <c r="BK63" s="28"/>
      <c r="BL63" s="28"/>
      <c r="BM63" s="28"/>
      <c r="BN63" s="28"/>
      <c r="BO63" s="28"/>
      <c r="BP63" s="28"/>
      <c r="BQ63" s="28"/>
      <c r="BR63" s="28"/>
      <c r="BS63" s="28"/>
      <c r="BT63" s="28"/>
      <c r="BU63" s="28"/>
      <c r="BV63" s="28"/>
      <c r="BW63" s="28"/>
      <c r="BX63" s="28"/>
      <c r="BY63" s="28"/>
      <c r="BZ63" s="28"/>
      <c r="CA63" s="28"/>
      <c r="CB63" s="28"/>
      <c r="CC63" s="28"/>
      <c r="CD63" s="28"/>
      <c r="CE63" s="28">
        <v>1</v>
      </c>
      <c r="CF63" s="28"/>
      <c r="CG63" s="28">
        <v>1</v>
      </c>
      <c r="CH63" s="28"/>
      <c r="CI63" s="28">
        <v>1</v>
      </c>
      <c r="CJ63" s="28"/>
      <c r="CK63" s="28"/>
      <c r="CL63" s="28"/>
      <c r="CM63" s="28"/>
      <c r="CN63" s="28"/>
      <c r="CO63" s="28">
        <v>1</v>
      </c>
      <c r="CP63" s="28">
        <v>1</v>
      </c>
      <c r="CQ63" s="28">
        <v>1</v>
      </c>
      <c r="CR63" s="28">
        <v>1</v>
      </c>
      <c r="CS63" s="28"/>
      <c r="CT63" s="28"/>
      <c r="CU63" s="28"/>
      <c r="CV63" s="28"/>
      <c r="CW63" s="28"/>
      <c r="CX63" s="28"/>
      <c r="CY63" s="28"/>
      <c r="CZ63" s="28"/>
      <c r="DA63" s="28"/>
      <c r="DB63" s="28"/>
      <c r="DC63" s="28"/>
      <c r="DD63" s="35"/>
      <c r="DE63" s="35"/>
      <c r="DF63" s="35"/>
      <c r="DG63" s="35"/>
      <c r="DH63" s="35"/>
      <c r="DI63" s="35"/>
      <c r="DJ63" s="35"/>
      <c r="DK63" s="35"/>
      <c r="DL63" s="35"/>
      <c r="DM63" s="35"/>
      <c r="DN63" s="35"/>
      <c r="EM63" s="22">
        <v>1</v>
      </c>
      <c r="FH63" s="22">
        <v>1</v>
      </c>
      <c r="FI63" s="22">
        <v>1</v>
      </c>
      <c r="FJ63" s="22">
        <v>1</v>
      </c>
      <c r="FK63" s="22">
        <v>1</v>
      </c>
      <c r="FL63" s="22">
        <v>1</v>
      </c>
      <c r="MU63" s="28">
        <f>SUM(Tabela7[[#This Row],[Communication]:[Training of DevOps activities]])</f>
        <v>23</v>
      </c>
    </row>
    <row r="64" spans="1:359" ht="14.4" x14ac:dyDescent="0.3">
      <c r="A64" s="22" t="s">
        <v>1234</v>
      </c>
      <c r="B64" s="29" t="s">
        <v>1235</v>
      </c>
      <c r="C64" s="29">
        <v>1</v>
      </c>
      <c r="D64" s="23" t="s">
        <v>717</v>
      </c>
      <c r="E64" s="29">
        <v>1</v>
      </c>
      <c r="F64" s="29">
        <v>1</v>
      </c>
      <c r="G64" s="29">
        <v>1</v>
      </c>
      <c r="H64" t="s">
        <v>1236</v>
      </c>
      <c r="I64" t="s">
        <v>1237</v>
      </c>
      <c r="J64" t="s">
        <v>1238</v>
      </c>
      <c r="K64" t="s">
        <v>1239</v>
      </c>
      <c r="L64" t="s">
        <v>1087</v>
      </c>
      <c r="M64">
        <v>2019</v>
      </c>
      <c r="N64" t="s">
        <v>1240</v>
      </c>
      <c r="O64">
        <v>19</v>
      </c>
      <c r="P64" t="s">
        <v>1241</v>
      </c>
      <c r="Q64" t="s">
        <v>875</v>
      </c>
      <c r="R64" t="s">
        <v>1242</v>
      </c>
      <c r="S64" t="s">
        <v>1243</v>
      </c>
      <c r="T64" t="s">
        <v>1244</v>
      </c>
      <c r="U64" t="s">
        <v>655</v>
      </c>
      <c r="V64" t="s">
        <v>644</v>
      </c>
      <c r="W64" s="29">
        <v>1</v>
      </c>
      <c r="X64" s="29">
        <v>0</v>
      </c>
      <c r="Y64" s="32"/>
      <c r="Z64" s="29"/>
      <c r="AA64" s="29">
        <v>1</v>
      </c>
      <c r="AB64" s="29"/>
      <c r="AC64" s="29"/>
      <c r="AD64" s="225">
        <v>1</v>
      </c>
      <c r="AE64" s="31">
        <v>1</v>
      </c>
      <c r="AF64" s="29">
        <v>1</v>
      </c>
      <c r="AG64" s="29">
        <v>1</v>
      </c>
      <c r="AH64" s="29">
        <v>1</v>
      </c>
      <c r="AI64" s="29">
        <v>1</v>
      </c>
      <c r="AJ64" s="31"/>
      <c r="AK64" s="29"/>
      <c r="AL64" s="29"/>
      <c r="AM64" s="29">
        <v>1</v>
      </c>
      <c r="AN64" s="34">
        <v>1</v>
      </c>
      <c r="AO64" s="28">
        <v>1</v>
      </c>
      <c r="AP64" s="28"/>
      <c r="AQ64" s="28"/>
      <c r="AR64" s="28"/>
      <c r="AS64" s="28"/>
      <c r="AT64" s="28">
        <v>1</v>
      </c>
      <c r="AU64" s="28"/>
      <c r="AV64" s="28"/>
      <c r="AW64" s="28"/>
      <c r="AX64" s="28"/>
      <c r="AY64" s="28">
        <v>1</v>
      </c>
      <c r="AZ64" s="28"/>
      <c r="BA64" s="28"/>
      <c r="BB64" s="28"/>
      <c r="BC64" s="28">
        <v>1</v>
      </c>
      <c r="BD64" s="28">
        <v>1</v>
      </c>
      <c r="BE64" s="28"/>
      <c r="BF64" s="28"/>
      <c r="BG64" s="28"/>
      <c r="BH64" s="28">
        <v>1</v>
      </c>
      <c r="BI64" s="28"/>
      <c r="BJ64" s="28">
        <v>1</v>
      </c>
      <c r="BK64" s="28"/>
      <c r="BL64" s="28"/>
      <c r="BM64" s="28"/>
      <c r="BN64" s="28"/>
      <c r="BO64" s="28"/>
      <c r="BP64" s="28"/>
      <c r="BQ64" s="28"/>
      <c r="BR64" s="28"/>
      <c r="BS64" s="28"/>
      <c r="BT64" s="28"/>
      <c r="BU64" s="28"/>
      <c r="BV64" s="28"/>
      <c r="BW64" s="28"/>
      <c r="BX64" s="28"/>
      <c r="BY64" s="28"/>
      <c r="BZ64" s="28"/>
      <c r="CA64" s="28"/>
      <c r="CB64" s="28"/>
      <c r="CC64" s="28"/>
      <c r="CD64" s="28"/>
      <c r="CE64" s="28">
        <v>1</v>
      </c>
      <c r="CF64" s="28"/>
      <c r="CG64" s="28"/>
      <c r="CH64" s="28">
        <v>1</v>
      </c>
      <c r="CI64" s="28"/>
      <c r="CJ64" s="28"/>
      <c r="CK64" s="28"/>
      <c r="CL64" s="28">
        <v>1</v>
      </c>
      <c r="CM64" s="28">
        <v>1</v>
      </c>
      <c r="CN64" s="28">
        <v>1</v>
      </c>
      <c r="CO64" s="28"/>
      <c r="CP64" s="28">
        <v>1</v>
      </c>
      <c r="CQ64" s="28"/>
      <c r="CR64" s="28"/>
      <c r="CS64" s="28">
        <v>1</v>
      </c>
      <c r="CT64" s="28"/>
      <c r="CU64" s="28"/>
      <c r="CV64" s="28">
        <v>1</v>
      </c>
      <c r="CW64" s="28"/>
      <c r="CX64" s="28">
        <v>1</v>
      </c>
      <c r="CY64" s="28"/>
      <c r="CZ64" s="28"/>
      <c r="DA64" s="28"/>
      <c r="DB64" s="28"/>
      <c r="DC64" s="28"/>
      <c r="DD64" s="35"/>
      <c r="DE64" s="35"/>
      <c r="DF64" s="35"/>
      <c r="DG64" s="35"/>
      <c r="DH64" s="35"/>
      <c r="DI64" s="35">
        <v>1</v>
      </c>
      <c r="DJ64" s="35"/>
      <c r="DK64" s="35"/>
      <c r="DL64" s="35"/>
      <c r="DM64" s="35"/>
      <c r="DN64" s="35"/>
      <c r="FM64" s="22">
        <v>1</v>
      </c>
      <c r="FN64" s="22">
        <v>1</v>
      </c>
      <c r="FO64" s="22">
        <v>1</v>
      </c>
      <c r="FP64" s="22">
        <v>1</v>
      </c>
      <c r="JL64" s="22">
        <v>1</v>
      </c>
      <c r="MU64" s="28">
        <f>SUM(Tabela7[[#This Row],[Communication]:[Training of DevOps activities]])</f>
        <v>23</v>
      </c>
    </row>
    <row r="65" spans="1:359" ht="14.4" x14ac:dyDescent="0.3">
      <c r="A65" s="22" t="s">
        <v>1245</v>
      </c>
      <c r="B65" s="29" t="s">
        <v>1246</v>
      </c>
      <c r="C65" s="29">
        <v>1</v>
      </c>
      <c r="D65" s="23" t="s">
        <v>717</v>
      </c>
      <c r="E65" s="29">
        <v>1</v>
      </c>
      <c r="F65" s="29">
        <v>1</v>
      </c>
      <c r="G65" s="29">
        <v>1</v>
      </c>
      <c r="H65" t="s">
        <v>1247</v>
      </c>
      <c r="I65" t="s">
        <v>1248</v>
      </c>
      <c r="J65" t="s">
        <v>1249</v>
      </c>
      <c r="K65" t="s">
        <v>1250</v>
      </c>
      <c r="L65" t="s">
        <v>707</v>
      </c>
      <c r="M65">
        <v>2017</v>
      </c>
      <c r="N65" t="s">
        <v>982</v>
      </c>
      <c r="O65">
        <v>8</v>
      </c>
      <c r="P65" t="s">
        <v>1251</v>
      </c>
      <c r="Q65" t="s">
        <v>984</v>
      </c>
      <c r="R65" t="s">
        <v>1252</v>
      </c>
      <c r="S65" t="s">
        <v>1253</v>
      </c>
      <c r="T65" t="s">
        <v>1254</v>
      </c>
      <c r="U65" t="s">
        <v>655</v>
      </c>
      <c r="V65" t="s">
        <v>644</v>
      </c>
      <c r="W65" s="29" t="s">
        <v>26753</v>
      </c>
      <c r="X65" s="29">
        <v>0</v>
      </c>
      <c r="Y65" s="32">
        <v>1</v>
      </c>
      <c r="Z65" s="29"/>
      <c r="AA65" s="29">
        <v>1</v>
      </c>
      <c r="AB65" s="29"/>
      <c r="AC65" s="29"/>
      <c r="AD65" s="225">
        <v>1</v>
      </c>
      <c r="AE65" s="31"/>
      <c r="AF65" s="29">
        <v>1</v>
      </c>
      <c r="AG65" s="29">
        <v>1</v>
      </c>
      <c r="AH65" s="29">
        <v>1</v>
      </c>
      <c r="AI65" s="29"/>
      <c r="AJ65" s="31"/>
      <c r="AK65" s="29"/>
      <c r="AL65" s="29"/>
      <c r="AM65" s="29">
        <v>1</v>
      </c>
      <c r="AN65" s="34">
        <v>1</v>
      </c>
      <c r="AO65" s="28"/>
      <c r="AP65" s="28">
        <v>1</v>
      </c>
      <c r="AQ65" s="28">
        <v>1</v>
      </c>
      <c r="AR65" s="28"/>
      <c r="AS65" s="28"/>
      <c r="AT65" s="28"/>
      <c r="AU65" s="28"/>
      <c r="AV65" s="28">
        <v>1</v>
      </c>
      <c r="AW65" s="28"/>
      <c r="AX65" s="28"/>
      <c r="AY65" s="28"/>
      <c r="AZ65" s="28"/>
      <c r="BA65" s="28"/>
      <c r="BB65" s="28"/>
      <c r="BC65" s="28"/>
      <c r="BD65" s="28">
        <v>1</v>
      </c>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35"/>
      <c r="DE65" s="35"/>
      <c r="DF65" s="35"/>
      <c r="DG65" s="35"/>
      <c r="DH65" s="35"/>
      <c r="DI65" s="35">
        <v>1</v>
      </c>
      <c r="DJ65" s="35"/>
      <c r="DK65" s="35"/>
      <c r="DL65" s="35"/>
      <c r="DM65" s="35"/>
      <c r="DN65" s="35"/>
      <c r="FQ65" s="22">
        <v>1</v>
      </c>
      <c r="FR65" s="22">
        <v>1</v>
      </c>
      <c r="FS65" s="22">
        <v>1</v>
      </c>
      <c r="FT65" s="22">
        <v>1</v>
      </c>
      <c r="FU65" s="22">
        <v>1</v>
      </c>
      <c r="FV65" s="22">
        <v>1</v>
      </c>
      <c r="FW65" s="22">
        <v>1</v>
      </c>
      <c r="MU65" s="28">
        <f>SUM(Tabela7[[#This Row],[Communication]:[Training of DevOps activities]])</f>
        <v>13</v>
      </c>
    </row>
    <row r="66" spans="1:359" ht="14.4" x14ac:dyDescent="0.3">
      <c r="A66" s="22" t="s">
        <v>1255</v>
      </c>
      <c r="B66" s="29" t="s">
        <v>1256</v>
      </c>
      <c r="C66" s="29">
        <v>1</v>
      </c>
      <c r="D66" s="23" t="s">
        <v>717</v>
      </c>
      <c r="E66" s="29">
        <v>1</v>
      </c>
      <c r="F66" s="29">
        <v>1</v>
      </c>
      <c r="G66" s="29">
        <v>1</v>
      </c>
      <c r="H66" t="s">
        <v>1257</v>
      </c>
      <c r="I66" t="s">
        <v>1258</v>
      </c>
      <c r="J66" t="s">
        <v>1259</v>
      </c>
      <c r="K66" t="s">
        <v>1260</v>
      </c>
      <c r="L66" t="s">
        <v>1026</v>
      </c>
      <c r="M66">
        <v>2015</v>
      </c>
      <c r="N66" t="s">
        <v>776</v>
      </c>
      <c r="O66">
        <v>39</v>
      </c>
      <c r="P66" t="s">
        <v>1261</v>
      </c>
      <c r="Q66" t="s">
        <v>1221</v>
      </c>
      <c r="R66" t="s">
        <v>1262</v>
      </c>
      <c r="S66" t="s">
        <v>1263</v>
      </c>
      <c r="T66" t="s">
        <v>1264</v>
      </c>
      <c r="U66" t="s">
        <v>655</v>
      </c>
      <c r="V66" t="s">
        <v>644</v>
      </c>
      <c r="W66" s="29" t="s">
        <v>26753</v>
      </c>
      <c r="X66" s="29">
        <v>0</v>
      </c>
      <c r="Y66" s="32"/>
      <c r="Z66" s="29">
        <v>1</v>
      </c>
      <c r="AA66" s="29"/>
      <c r="AB66" s="29">
        <v>1</v>
      </c>
      <c r="AC66" s="29"/>
      <c r="AD66" s="225">
        <v>1</v>
      </c>
      <c r="AE66" s="31"/>
      <c r="AF66" s="29"/>
      <c r="AG66" s="29">
        <v>1</v>
      </c>
      <c r="AH66" s="29">
        <v>1</v>
      </c>
      <c r="AI66" s="29">
        <v>1</v>
      </c>
      <c r="AJ66" s="31"/>
      <c r="AK66" s="29"/>
      <c r="AL66" s="29"/>
      <c r="AM66" s="29">
        <v>1</v>
      </c>
      <c r="AN66" s="34">
        <v>1</v>
      </c>
      <c r="AO66" s="28"/>
      <c r="AP66" s="28"/>
      <c r="AQ66" s="28"/>
      <c r="AR66" s="28"/>
      <c r="AS66" s="28"/>
      <c r="AT66" s="28">
        <v>1</v>
      </c>
      <c r="AU66" s="28"/>
      <c r="AV66" s="28"/>
      <c r="AW66" s="28"/>
      <c r="AX66" s="28"/>
      <c r="AY66" s="28"/>
      <c r="AZ66" s="28"/>
      <c r="BA66" s="28"/>
      <c r="BB66" s="28"/>
      <c r="BC66" s="28">
        <v>1</v>
      </c>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v>1</v>
      </c>
      <c r="CM66" s="28"/>
      <c r="CN66" s="28"/>
      <c r="CO66" s="28"/>
      <c r="CP66" s="28"/>
      <c r="CQ66" s="28"/>
      <c r="CR66" s="28"/>
      <c r="CS66" s="28"/>
      <c r="CT66" s="28"/>
      <c r="CU66" s="28"/>
      <c r="CV66" s="28"/>
      <c r="CW66" s="28"/>
      <c r="CX66" s="28"/>
      <c r="CY66" s="28"/>
      <c r="CZ66" s="28"/>
      <c r="DA66" s="28"/>
      <c r="DB66" s="28"/>
      <c r="DC66" s="28"/>
      <c r="DD66" s="35"/>
      <c r="DE66" s="35"/>
      <c r="DF66" s="35"/>
      <c r="DG66" s="35"/>
      <c r="DH66" s="35"/>
      <c r="DI66" s="35"/>
      <c r="DJ66" s="35"/>
      <c r="DK66" s="35"/>
      <c r="DL66" s="35"/>
      <c r="DM66" s="35"/>
      <c r="DN66" s="35"/>
      <c r="FX66" s="22">
        <v>1</v>
      </c>
      <c r="FY66" s="22">
        <v>1</v>
      </c>
      <c r="FZ66" s="22">
        <v>1</v>
      </c>
      <c r="GA66" s="22">
        <v>1</v>
      </c>
      <c r="GB66" s="22">
        <v>1</v>
      </c>
      <c r="GC66" s="22">
        <v>1</v>
      </c>
      <c r="GD66" s="22">
        <v>1</v>
      </c>
      <c r="GE66" s="22">
        <v>1</v>
      </c>
      <c r="GF66" s="22">
        <v>1</v>
      </c>
      <c r="GG66" s="22">
        <v>1</v>
      </c>
      <c r="GH66" s="22">
        <v>1</v>
      </c>
      <c r="GI66" s="22">
        <v>1</v>
      </c>
      <c r="GJ66" s="22">
        <v>1</v>
      </c>
      <c r="GK66" s="22">
        <v>1</v>
      </c>
      <c r="MU66" s="28">
        <f>SUM(Tabela7[[#This Row],[Communication]:[Training of DevOps activities]])</f>
        <v>18</v>
      </c>
    </row>
    <row r="67" spans="1:359" s="23" customFormat="1" hidden="1" x14ac:dyDescent="0.25">
      <c r="A67" s="22" t="s">
        <v>1265</v>
      </c>
      <c r="B67" s="23" t="s">
        <v>1266</v>
      </c>
      <c r="C67" s="29">
        <v>1</v>
      </c>
      <c r="D67" s="23" t="s">
        <v>717</v>
      </c>
      <c r="E67" s="29">
        <v>1</v>
      </c>
      <c r="F67" s="29">
        <v>1</v>
      </c>
      <c r="G67" s="29">
        <v>0</v>
      </c>
      <c r="H67" s="23" t="s">
        <v>1267</v>
      </c>
      <c r="I67" s="33" t="s">
        <v>1268</v>
      </c>
      <c r="J67" s="33" t="s">
        <v>1269</v>
      </c>
      <c r="K67" s="33" t="s">
        <v>1270</v>
      </c>
      <c r="L67" s="33"/>
      <c r="M67" s="33">
        <v>2013</v>
      </c>
      <c r="N67" s="33" t="s">
        <v>1271</v>
      </c>
      <c r="O67" s="33">
        <v>1</v>
      </c>
      <c r="P67" s="33" t="s">
        <v>1272</v>
      </c>
      <c r="Q67" s="33"/>
      <c r="R67" s="33" t="s">
        <v>1273</v>
      </c>
      <c r="S67" s="33" t="s">
        <v>1274</v>
      </c>
      <c r="T67" s="33" t="s">
        <v>1275</v>
      </c>
      <c r="U67" s="33" t="s">
        <v>670</v>
      </c>
      <c r="V67" s="33" t="s">
        <v>644</v>
      </c>
      <c r="W67" s="29"/>
      <c r="X67" s="29"/>
      <c r="Y67" s="32"/>
      <c r="Z67" s="29"/>
      <c r="AA67" s="29"/>
      <c r="AB67" s="29"/>
      <c r="AC67" s="29"/>
      <c r="AD67" s="225"/>
      <c r="AE67" s="31"/>
      <c r="AF67" s="29"/>
      <c r="AG67" s="29"/>
      <c r="AH67" s="29"/>
      <c r="AI67" s="29"/>
      <c r="AJ67" s="31"/>
      <c r="AK67" s="29"/>
      <c r="AL67" s="29"/>
      <c r="AM67" s="29"/>
      <c r="AN67" s="32"/>
      <c r="AO67" s="29"/>
      <c r="AP67" s="29"/>
      <c r="AQ67" s="29"/>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2"/>
      <c r="HP67" s="22"/>
      <c r="HQ67" s="22"/>
      <c r="HR67" s="22"/>
      <c r="HS67" s="22"/>
      <c r="HT67" s="22"/>
      <c r="HU67" s="22"/>
      <c r="HV67" s="22"/>
      <c r="HW67" s="22"/>
      <c r="HX67" s="22"/>
      <c r="HY67" s="22"/>
      <c r="HZ67" s="22"/>
      <c r="IA67" s="22"/>
      <c r="IB67" s="22"/>
      <c r="IC67" s="22"/>
      <c r="ID67" s="22"/>
      <c r="IE67" s="22"/>
      <c r="IF67" s="22"/>
      <c r="IG67" s="22"/>
      <c r="IH67" s="22"/>
      <c r="II67" s="22"/>
      <c r="IJ67" s="22"/>
      <c r="IK67" s="22"/>
      <c r="IL67" s="22"/>
      <c r="IM67" s="22"/>
      <c r="IN67" s="22"/>
      <c r="IO67" s="22"/>
      <c r="IP67" s="22"/>
      <c r="IQ67" s="22"/>
      <c r="IR67" s="22"/>
      <c r="IS67" s="22"/>
      <c r="IT67" s="22"/>
      <c r="IU67" s="22"/>
      <c r="IV67" s="22"/>
      <c r="IW67" s="22"/>
      <c r="IX67" s="22"/>
      <c r="IY67" s="22"/>
      <c r="IZ67" s="22"/>
      <c r="JA67" s="22"/>
      <c r="JB67" s="22"/>
      <c r="JC67" s="22"/>
      <c r="JD67" s="22"/>
      <c r="JE67" s="22"/>
      <c r="JF67" s="22"/>
      <c r="JG67" s="22"/>
      <c r="JH67" s="22"/>
      <c r="JI67" s="22"/>
      <c r="JJ67" s="22"/>
      <c r="JK67" s="22"/>
      <c r="JL67" s="22"/>
      <c r="JM67" s="22"/>
      <c r="JN67" s="22"/>
      <c r="JO67" s="22"/>
      <c r="JP67" s="22"/>
      <c r="JQ67" s="22"/>
      <c r="JR67" s="22"/>
      <c r="JS67" s="22"/>
      <c r="JT67" s="22"/>
      <c r="JU67" s="22"/>
      <c r="JV67" s="22"/>
      <c r="JW67" s="22"/>
      <c r="JX67" s="22"/>
      <c r="JY67" s="22"/>
      <c r="JZ67" s="22"/>
      <c r="KA67" s="22"/>
      <c r="KB67" s="22"/>
      <c r="KC67" s="22"/>
      <c r="KD67" s="22"/>
      <c r="KE67" s="22"/>
      <c r="KF67" s="22"/>
      <c r="KG67" s="22"/>
      <c r="KH67" s="22"/>
      <c r="KI67" s="22"/>
      <c r="KJ67" s="22"/>
      <c r="KK67" s="22"/>
      <c r="KL67" s="22"/>
      <c r="KM67" s="22"/>
      <c r="KN67" s="22"/>
      <c r="KO67" s="22"/>
      <c r="KP67" s="22"/>
      <c r="KQ67" s="22"/>
      <c r="KR67" s="22"/>
      <c r="KS67" s="22"/>
      <c r="KT67" s="22"/>
      <c r="KU67" s="22"/>
      <c r="KV67" s="22"/>
      <c r="KW67" s="22"/>
      <c r="KX67" s="22"/>
      <c r="KY67" s="22"/>
      <c r="KZ67" s="22"/>
      <c r="LA67" s="22"/>
      <c r="LB67" s="22"/>
      <c r="LC67" s="22"/>
      <c r="LD67" s="22"/>
      <c r="LE67" s="22"/>
      <c r="LF67" s="22"/>
      <c r="LG67" s="22"/>
      <c r="LH67" s="22"/>
      <c r="LI67" s="22"/>
      <c r="LJ67" s="22"/>
      <c r="LK67" s="22"/>
      <c r="LL67" s="22"/>
      <c r="LM67" s="22"/>
      <c r="LN67" s="22"/>
      <c r="LO67" s="22"/>
      <c r="LP67" s="22"/>
      <c r="LQ67" s="22"/>
      <c r="LR67" s="22"/>
      <c r="LS67" s="22"/>
      <c r="LT67" s="22"/>
      <c r="LU67" s="22"/>
      <c r="LV67" s="22"/>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8">
        <f>SUM(Tabela7[[#This Row],[Communication]:[Training of DevOps activities]])</f>
        <v>0</v>
      </c>
    </row>
    <row r="68" spans="1:359" s="23" customFormat="1" hidden="1" x14ac:dyDescent="0.25">
      <c r="A68" s="22" t="s">
        <v>1276</v>
      </c>
      <c r="B68" s="23" t="s">
        <v>1277</v>
      </c>
      <c r="C68" s="29">
        <v>1</v>
      </c>
      <c r="D68" s="23" t="s">
        <v>644</v>
      </c>
      <c r="E68" s="29">
        <v>1</v>
      </c>
      <c r="F68" s="29">
        <v>1</v>
      </c>
      <c r="G68" s="29">
        <v>0</v>
      </c>
      <c r="H68" s="23" t="s">
        <v>1278</v>
      </c>
      <c r="I68" s="30" t="s">
        <v>1279</v>
      </c>
      <c r="J68" s="30" t="s">
        <v>1280</v>
      </c>
      <c r="K68" s="30" t="s">
        <v>1281</v>
      </c>
      <c r="L68" s="30"/>
      <c r="M68" s="30">
        <v>2019</v>
      </c>
      <c r="N68" s="30" t="s">
        <v>687</v>
      </c>
      <c r="O68" s="30"/>
      <c r="P68" s="30" t="s">
        <v>1282</v>
      </c>
      <c r="Q68" s="30"/>
      <c r="R68" s="30" t="s">
        <v>1283</v>
      </c>
      <c r="S68" s="30" t="s">
        <v>1284</v>
      </c>
      <c r="T68" s="30" t="s">
        <v>646</v>
      </c>
      <c r="U68" s="30" t="s">
        <v>670</v>
      </c>
      <c r="V68" s="30" t="s">
        <v>644</v>
      </c>
      <c r="W68" s="29"/>
      <c r="X68" s="29"/>
      <c r="Y68" s="32"/>
      <c r="Z68" s="29"/>
      <c r="AA68" s="29"/>
      <c r="AB68" s="29"/>
      <c r="AC68" s="29"/>
      <c r="AD68" s="225"/>
      <c r="AE68" s="31"/>
      <c r="AF68" s="29"/>
      <c r="AG68" s="29"/>
      <c r="AH68" s="29"/>
      <c r="AI68" s="29"/>
      <c r="AJ68" s="31"/>
      <c r="AK68" s="29"/>
      <c r="AL68" s="29"/>
      <c r="AM68" s="29"/>
      <c r="AN68" s="32"/>
      <c r="AO68" s="29"/>
      <c r="AP68" s="29"/>
      <c r="AQ68" s="29"/>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2"/>
      <c r="HP68" s="22"/>
      <c r="HQ68" s="22"/>
      <c r="HR68" s="22"/>
      <c r="HS68" s="22"/>
      <c r="HT68" s="22"/>
      <c r="HU68" s="22"/>
      <c r="HV68" s="22"/>
      <c r="HW68" s="22"/>
      <c r="HX68" s="22"/>
      <c r="HY68" s="22"/>
      <c r="HZ68" s="22"/>
      <c r="IA68" s="22"/>
      <c r="IB68" s="22"/>
      <c r="IC68" s="22"/>
      <c r="ID68" s="22"/>
      <c r="IE68" s="22"/>
      <c r="IF68" s="22"/>
      <c r="IG68" s="22"/>
      <c r="IH68" s="22"/>
      <c r="II68" s="22"/>
      <c r="IJ68" s="22"/>
      <c r="IK68" s="22"/>
      <c r="IL68" s="22"/>
      <c r="IM68" s="22"/>
      <c r="IN68" s="22"/>
      <c r="IO68" s="22"/>
      <c r="IP68" s="22"/>
      <c r="IQ68" s="22"/>
      <c r="IR68" s="22"/>
      <c r="IS68" s="22"/>
      <c r="IT68" s="22"/>
      <c r="IU68" s="22"/>
      <c r="IV68" s="22"/>
      <c r="IW68" s="22"/>
      <c r="IX68" s="22"/>
      <c r="IY68" s="22"/>
      <c r="IZ68" s="22"/>
      <c r="JA68" s="22"/>
      <c r="JB68" s="22"/>
      <c r="JC68" s="22"/>
      <c r="JD68" s="22"/>
      <c r="JE68" s="22"/>
      <c r="JF68" s="22"/>
      <c r="JG68" s="22"/>
      <c r="JH68" s="22"/>
      <c r="JI68" s="22"/>
      <c r="JJ68" s="22"/>
      <c r="JK68" s="22"/>
      <c r="JL68" s="22"/>
      <c r="JM68" s="22"/>
      <c r="JN68" s="22"/>
      <c r="JO68" s="22"/>
      <c r="JP68" s="22"/>
      <c r="JQ68" s="22"/>
      <c r="JR68" s="22"/>
      <c r="JS68" s="22"/>
      <c r="JT68" s="22"/>
      <c r="JU68" s="22"/>
      <c r="JV68" s="22"/>
      <c r="JW68" s="22"/>
      <c r="JX68" s="22"/>
      <c r="JY68" s="22"/>
      <c r="JZ68" s="22"/>
      <c r="KA68" s="22"/>
      <c r="KB68" s="22"/>
      <c r="KC68" s="22"/>
      <c r="KD68" s="22"/>
      <c r="KE68" s="22"/>
      <c r="KF68" s="22"/>
      <c r="KG68" s="22"/>
      <c r="KH68" s="22"/>
      <c r="KI68" s="22"/>
      <c r="KJ68" s="22"/>
      <c r="KK68" s="22"/>
      <c r="KL68" s="22"/>
      <c r="KM68" s="22"/>
      <c r="KN68" s="22"/>
      <c r="KO68" s="22"/>
      <c r="KP68" s="22"/>
      <c r="KQ68" s="22"/>
      <c r="KR68" s="22"/>
      <c r="KS68" s="22"/>
      <c r="KT68" s="22"/>
      <c r="KU68" s="22"/>
      <c r="KV68" s="22"/>
      <c r="KW68" s="22"/>
      <c r="KX68" s="22"/>
      <c r="KY68" s="22"/>
      <c r="KZ68" s="22"/>
      <c r="LA68" s="22"/>
      <c r="LB68" s="22"/>
      <c r="LC68" s="22"/>
      <c r="LD68" s="22"/>
      <c r="LE68" s="22"/>
      <c r="LF68" s="22"/>
      <c r="LG68" s="22"/>
      <c r="LH68" s="22"/>
      <c r="LI68" s="22"/>
      <c r="LJ68" s="22"/>
      <c r="LK68" s="22"/>
      <c r="LL68" s="22"/>
      <c r="LM68" s="22"/>
      <c r="LN68" s="22"/>
      <c r="LO68" s="22"/>
      <c r="LP68" s="22"/>
      <c r="LQ68" s="22"/>
      <c r="LR68" s="22"/>
      <c r="LS68" s="22"/>
      <c r="LT68" s="22"/>
      <c r="LU68" s="22"/>
      <c r="LV68" s="22"/>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8">
        <f>SUM(Tabela7[[#This Row],[Communication]:[Training of DevOps activities]])</f>
        <v>0</v>
      </c>
    </row>
    <row r="69" spans="1:359" s="23" customFormat="1" hidden="1" x14ac:dyDescent="0.25">
      <c r="A69" s="22" t="s">
        <v>1285</v>
      </c>
      <c r="B69" s="23" t="s">
        <v>1286</v>
      </c>
      <c r="C69" s="23">
        <v>0</v>
      </c>
      <c r="D69" s="23" t="s">
        <v>644</v>
      </c>
      <c r="E69" s="23">
        <v>1</v>
      </c>
      <c r="F69" s="23">
        <v>1</v>
      </c>
      <c r="G69" s="24"/>
      <c r="H69" s="23" t="s">
        <v>1287</v>
      </c>
      <c r="I69" s="33" t="s">
        <v>1288</v>
      </c>
      <c r="J69" s="33" t="s">
        <v>1289</v>
      </c>
      <c r="K69" s="33" t="s">
        <v>1290</v>
      </c>
      <c r="L69" s="33"/>
      <c r="M69" s="33">
        <v>2019</v>
      </c>
      <c r="N69" s="33" t="s">
        <v>1291</v>
      </c>
      <c r="O69" s="33">
        <v>4</v>
      </c>
      <c r="P69" s="38" t="s">
        <v>1292</v>
      </c>
      <c r="Q69" s="38"/>
      <c r="R69" s="33" t="s">
        <v>1293</v>
      </c>
      <c r="S69" s="33" t="s">
        <v>1294</v>
      </c>
      <c r="T69" s="33" t="s">
        <v>1295</v>
      </c>
      <c r="U69" s="33" t="s">
        <v>655</v>
      </c>
      <c r="V69" s="33" t="s">
        <v>644</v>
      </c>
      <c r="Y69" s="27"/>
      <c r="AD69" s="224"/>
      <c r="AE69" s="26"/>
      <c r="AJ69" s="26"/>
      <c r="AN69" s="27"/>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2"/>
      <c r="HP69" s="22"/>
      <c r="HQ69" s="22"/>
      <c r="HR69" s="22"/>
      <c r="HS69" s="22"/>
      <c r="HT69" s="22"/>
      <c r="HU69" s="22"/>
      <c r="HV69" s="22"/>
      <c r="HW69" s="22"/>
      <c r="HX69" s="22"/>
      <c r="HY69" s="22"/>
      <c r="HZ69" s="22"/>
      <c r="IA69" s="22"/>
      <c r="IB69" s="22"/>
      <c r="IC69" s="22"/>
      <c r="ID69" s="22"/>
      <c r="IE69" s="22"/>
      <c r="IF69" s="22"/>
      <c r="IG69" s="22"/>
      <c r="IH69" s="22"/>
      <c r="II69" s="22"/>
      <c r="IJ69" s="22"/>
      <c r="IK69" s="22"/>
      <c r="IL69" s="22"/>
      <c r="IM69" s="22"/>
      <c r="IN69" s="22"/>
      <c r="IO69" s="22"/>
      <c r="IP69" s="22"/>
      <c r="IQ69" s="22"/>
      <c r="IR69" s="22"/>
      <c r="IS69" s="22"/>
      <c r="IT69" s="22"/>
      <c r="IU69" s="22"/>
      <c r="IV69" s="22"/>
      <c r="IW69" s="22"/>
      <c r="IX69" s="22"/>
      <c r="IY69" s="22"/>
      <c r="IZ69" s="22"/>
      <c r="JA69" s="22"/>
      <c r="JB69" s="22"/>
      <c r="JC69" s="22"/>
      <c r="JD69" s="22"/>
      <c r="JE69" s="22"/>
      <c r="JF69" s="22"/>
      <c r="JG69" s="22"/>
      <c r="JH69" s="22"/>
      <c r="JI69" s="22"/>
      <c r="JJ69" s="22"/>
      <c r="JK69" s="22"/>
      <c r="JL69" s="22"/>
      <c r="JM69" s="22"/>
      <c r="JN69" s="22"/>
      <c r="JO69" s="22"/>
      <c r="JP69" s="22"/>
      <c r="JQ69" s="22"/>
      <c r="JR69" s="22"/>
      <c r="JS69" s="22"/>
      <c r="JT69" s="22"/>
      <c r="JU69" s="22"/>
      <c r="JV69" s="22"/>
      <c r="JW69" s="22"/>
      <c r="JX69" s="22"/>
      <c r="JY69" s="22"/>
      <c r="JZ69" s="22"/>
      <c r="KA69" s="22"/>
      <c r="KB69" s="22"/>
      <c r="KC69" s="22"/>
      <c r="KD69" s="22"/>
      <c r="KE69" s="22"/>
      <c r="KF69" s="22"/>
      <c r="KG69" s="22"/>
      <c r="KH69" s="22"/>
      <c r="KI69" s="22"/>
      <c r="KJ69" s="22"/>
      <c r="KK69" s="22"/>
      <c r="KL69" s="22"/>
      <c r="KM69" s="22"/>
      <c r="KN69" s="22"/>
      <c r="KO69" s="22"/>
      <c r="KP69" s="22"/>
      <c r="KQ69" s="22"/>
      <c r="KR69" s="22"/>
      <c r="KS69" s="22"/>
      <c r="KT69" s="22"/>
      <c r="KU69" s="22"/>
      <c r="KV69" s="22"/>
      <c r="KW69" s="22"/>
      <c r="KX69" s="22"/>
      <c r="KY69" s="22"/>
      <c r="KZ69" s="22"/>
      <c r="LA69" s="22"/>
      <c r="LB69" s="22"/>
      <c r="LC69" s="22"/>
      <c r="LD69" s="22"/>
      <c r="LE69" s="22"/>
      <c r="LF69" s="22"/>
      <c r="LG69" s="22"/>
      <c r="LH69" s="22"/>
      <c r="LI69" s="22"/>
      <c r="LJ69" s="22"/>
      <c r="LK69" s="22"/>
      <c r="LL69" s="22"/>
      <c r="LM69" s="22"/>
      <c r="LN69" s="22"/>
      <c r="LO69" s="22"/>
      <c r="LP69" s="22"/>
      <c r="LQ69" s="22"/>
      <c r="LR69" s="22"/>
      <c r="LS69" s="22"/>
      <c r="LT69" s="22"/>
      <c r="LU69" s="22"/>
      <c r="LV69" s="22"/>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8">
        <f>SUM(Tabela7[[#This Row],[Communication]:[Training of DevOps activities]])</f>
        <v>0</v>
      </c>
    </row>
    <row r="70" spans="1:359" ht="14.4" x14ac:dyDescent="0.3">
      <c r="A70" s="22" t="s">
        <v>1296</v>
      </c>
      <c r="B70" s="29" t="s">
        <v>1297</v>
      </c>
      <c r="C70" s="29">
        <v>1</v>
      </c>
      <c r="D70" s="23" t="s">
        <v>644</v>
      </c>
      <c r="E70" s="29">
        <v>1</v>
      </c>
      <c r="F70" s="29">
        <v>1</v>
      </c>
      <c r="G70" s="29">
        <v>1</v>
      </c>
      <c r="H70" t="s">
        <v>646</v>
      </c>
      <c r="I70" t="s">
        <v>978</v>
      </c>
      <c r="J70" t="s">
        <v>979</v>
      </c>
      <c r="K70" t="s">
        <v>1298</v>
      </c>
      <c r="L70" t="s">
        <v>1299</v>
      </c>
      <c r="M70">
        <v>2016</v>
      </c>
      <c r="N70" t="s">
        <v>1300</v>
      </c>
      <c r="O70"/>
      <c r="P70" t="s">
        <v>1301</v>
      </c>
      <c r="Q70" t="s">
        <v>984</v>
      </c>
      <c r="R70" t="s">
        <v>1302</v>
      </c>
      <c r="S70" t="s">
        <v>1303</v>
      </c>
      <c r="T70" t="s">
        <v>1304</v>
      </c>
      <c r="U70" t="s">
        <v>655</v>
      </c>
      <c r="V70" t="s">
        <v>644</v>
      </c>
      <c r="W70" s="29" t="s">
        <v>26753</v>
      </c>
      <c r="X70" s="29">
        <v>0</v>
      </c>
      <c r="Y70" s="32"/>
      <c r="Z70" s="29"/>
      <c r="AA70" s="29">
        <v>1</v>
      </c>
      <c r="AB70" s="29"/>
      <c r="AC70" s="29"/>
      <c r="AD70" s="225"/>
      <c r="AE70" s="31"/>
      <c r="AF70" s="29"/>
      <c r="AG70" s="29">
        <v>1</v>
      </c>
      <c r="AH70" s="29"/>
      <c r="AI70" s="29"/>
      <c r="AJ70" s="31"/>
      <c r="AK70" s="29"/>
      <c r="AL70" s="29"/>
      <c r="AM70" s="29"/>
      <c r="AN70" s="34"/>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35"/>
      <c r="DE70" s="35"/>
      <c r="DF70" s="35">
        <v>1</v>
      </c>
      <c r="DG70" s="35"/>
      <c r="DH70" s="35"/>
      <c r="DI70" s="35"/>
      <c r="DJ70" s="35"/>
      <c r="DK70" s="35"/>
      <c r="DL70" s="35"/>
      <c r="DM70" s="35"/>
      <c r="DN70" s="35"/>
      <c r="DX70" s="22">
        <v>1</v>
      </c>
      <c r="EM70" s="22">
        <v>1</v>
      </c>
      <c r="EP70" s="22">
        <v>1</v>
      </c>
      <c r="GL70" s="22">
        <v>1</v>
      </c>
      <c r="GM70" s="22">
        <v>1</v>
      </c>
      <c r="GN70" s="22">
        <v>1</v>
      </c>
      <c r="GO70" s="22">
        <v>1</v>
      </c>
      <c r="GP70" s="22">
        <v>1</v>
      </c>
      <c r="GQ70" s="22">
        <v>1</v>
      </c>
      <c r="GR70" s="22">
        <v>1</v>
      </c>
      <c r="GS70" s="22">
        <v>1</v>
      </c>
      <c r="GT70" s="22">
        <v>1</v>
      </c>
      <c r="HT70" s="22">
        <v>1</v>
      </c>
      <c r="HU70" s="22">
        <v>1</v>
      </c>
      <c r="MU70" s="28">
        <f>SUM(Tabela7[[#This Row],[Communication]:[Training of DevOps activities]])</f>
        <v>15</v>
      </c>
    </row>
    <row r="71" spans="1:359" ht="14.4" x14ac:dyDescent="0.3">
      <c r="A71" s="22" t="s">
        <v>1305</v>
      </c>
      <c r="B71" s="29" t="s">
        <v>1306</v>
      </c>
      <c r="C71" s="29">
        <v>1</v>
      </c>
      <c r="D71" s="23" t="s">
        <v>717</v>
      </c>
      <c r="E71" s="29">
        <v>1</v>
      </c>
      <c r="F71" s="29">
        <v>1</v>
      </c>
      <c r="G71" s="29">
        <v>1</v>
      </c>
      <c r="H71" t="s">
        <v>1307</v>
      </c>
      <c r="I71" t="s">
        <v>1308</v>
      </c>
      <c r="J71" t="s">
        <v>1309</v>
      </c>
      <c r="K71" t="s">
        <v>1310</v>
      </c>
      <c r="L71" t="s">
        <v>1299</v>
      </c>
      <c r="M71">
        <v>2018</v>
      </c>
      <c r="N71" t="s">
        <v>1311</v>
      </c>
      <c r="O71">
        <v>2</v>
      </c>
      <c r="P71" t="s">
        <v>1312</v>
      </c>
      <c r="Q71" t="s">
        <v>875</v>
      </c>
      <c r="R71" t="s">
        <v>1313</v>
      </c>
      <c r="S71" t="s">
        <v>1314</v>
      </c>
      <c r="T71" t="s">
        <v>646</v>
      </c>
      <c r="U71" t="s">
        <v>655</v>
      </c>
      <c r="V71" t="s">
        <v>644</v>
      </c>
      <c r="W71" s="29">
        <v>1</v>
      </c>
      <c r="X71" s="29">
        <v>0</v>
      </c>
      <c r="Y71" s="32"/>
      <c r="Z71" s="29">
        <v>1</v>
      </c>
      <c r="AA71" s="29">
        <v>1</v>
      </c>
      <c r="AB71" s="29">
        <v>1</v>
      </c>
      <c r="AC71" s="29"/>
      <c r="AD71" s="225">
        <v>1</v>
      </c>
      <c r="AE71" s="31"/>
      <c r="AF71" s="29"/>
      <c r="AG71" s="29">
        <v>1</v>
      </c>
      <c r="AH71" s="29"/>
      <c r="AI71" s="29"/>
      <c r="AJ71" s="31"/>
      <c r="AK71" s="29"/>
      <c r="AL71" s="29"/>
      <c r="AM71" s="29">
        <v>1</v>
      </c>
      <c r="AN71" s="34"/>
      <c r="AO71" s="28">
        <v>1</v>
      </c>
      <c r="AP71" s="28">
        <v>1</v>
      </c>
      <c r="AQ71" s="28">
        <v>1</v>
      </c>
      <c r="AR71" s="28"/>
      <c r="AS71" s="28"/>
      <c r="AT71" s="28"/>
      <c r="AU71" s="28"/>
      <c r="AV71" s="28"/>
      <c r="AW71" s="28"/>
      <c r="AX71" s="28">
        <v>1</v>
      </c>
      <c r="AY71" s="28"/>
      <c r="AZ71" s="28"/>
      <c r="BA71" s="28"/>
      <c r="BB71" s="28"/>
      <c r="BC71" s="28"/>
      <c r="BD71" s="28"/>
      <c r="BE71" s="28"/>
      <c r="BF71" s="28">
        <v>1</v>
      </c>
      <c r="BG71" s="28"/>
      <c r="BH71" s="28"/>
      <c r="BI71" s="28"/>
      <c r="BJ71" s="28">
        <v>1</v>
      </c>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v>1</v>
      </c>
      <c r="CI71" s="28"/>
      <c r="CJ71" s="28"/>
      <c r="CK71" s="28"/>
      <c r="CL71" s="28"/>
      <c r="CM71" s="28"/>
      <c r="CN71" s="28"/>
      <c r="CO71" s="28"/>
      <c r="CP71" s="28"/>
      <c r="CQ71" s="28"/>
      <c r="CR71" s="28"/>
      <c r="CS71" s="28"/>
      <c r="CT71" s="28"/>
      <c r="CU71" s="28"/>
      <c r="CV71" s="28"/>
      <c r="CW71" s="28">
        <v>1</v>
      </c>
      <c r="CX71" s="28"/>
      <c r="CY71" s="28"/>
      <c r="CZ71" s="28"/>
      <c r="DA71" s="28"/>
      <c r="DB71" s="28"/>
      <c r="DC71" s="28"/>
      <c r="DD71" s="35"/>
      <c r="DE71" s="35"/>
      <c r="DF71" s="35"/>
      <c r="DG71" s="35"/>
      <c r="DH71" s="35"/>
      <c r="DI71" s="35"/>
      <c r="DJ71" s="35"/>
      <c r="DK71" s="35"/>
      <c r="DL71" s="35"/>
      <c r="DM71" s="35"/>
      <c r="DN71" s="35"/>
      <c r="DR71" s="22">
        <v>1</v>
      </c>
      <c r="EL71" s="22">
        <v>1</v>
      </c>
      <c r="GU71" s="22">
        <v>1</v>
      </c>
      <c r="GV71" s="22">
        <v>1</v>
      </c>
      <c r="GW71" s="22">
        <v>1</v>
      </c>
      <c r="GX71" s="22">
        <v>1</v>
      </c>
      <c r="GY71" s="22">
        <v>1</v>
      </c>
      <c r="GZ71" s="22">
        <v>1</v>
      </c>
      <c r="HA71" s="22">
        <v>1</v>
      </c>
      <c r="HB71" s="22">
        <v>1</v>
      </c>
      <c r="HC71" s="22">
        <v>1</v>
      </c>
      <c r="HD71" s="22">
        <v>1</v>
      </c>
      <c r="HE71" s="22">
        <v>1</v>
      </c>
      <c r="HF71" s="22">
        <v>1</v>
      </c>
      <c r="HG71" s="22">
        <v>1</v>
      </c>
      <c r="HH71" s="22">
        <v>1</v>
      </c>
      <c r="HI71" s="22">
        <v>1</v>
      </c>
      <c r="HJ71" s="22">
        <v>1</v>
      </c>
      <c r="HK71" s="22">
        <v>1</v>
      </c>
      <c r="HL71" s="22">
        <v>1</v>
      </c>
      <c r="HM71" s="22">
        <v>1</v>
      </c>
      <c r="HN71" s="22">
        <v>1</v>
      </c>
      <c r="HO71" s="22">
        <v>1</v>
      </c>
      <c r="HP71" s="22">
        <v>1</v>
      </c>
      <c r="HQ71" s="22">
        <v>1</v>
      </c>
      <c r="HR71" s="22">
        <v>1</v>
      </c>
      <c r="HS71" s="22">
        <v>1</v>
      </c>
      <c r="HT71" s="22">
        <v>1</v>
      </c>
      <c r="HU71" s="22">
        <v>1</v>
      </c>
      <c r="HV71" s="22">
        <v>1</v>
      </c>
      <c r="HW71" s="22">
        <v>1</v>
      </c>
      <c r="IO71" s="22">
        <v>1</v>
      </c>
      <c r="MU71" s="28">
        <f>SUM(Tabela7[[#This Row],[Communication]:[Training of DevOps activities]])</f>
        <v>40</v>
      </c>
    </row>
    <row r="72" spans="1:359" ht="14.4" x14ac:dyDescent="0.3">
      <c r="A72" s="22" t="s">
        <v>1315</v>
      </c>
      <c r="B72" s="29" t="s">
        <v>1316</v>
      </c>
      <c r="C72" s="29">
        <v>1</v>
      </c>
      <c r="D72" s="23" t="s">
        <v>717</v>
      </c>
      <c r="E72" s="29">
        <v>1</v>
      </c>
      <c r="F72" s="29">
        <v>1</v>
      </c>
      <c r="G72" s="29">
        <v>1</v>
      </c>
      <c r="H72" t="s">
        <v>1317</v>
      </c>
      <c r="I72" t="s">
        <v>1318</v>
      </c>
      <c r="J72" t="s">
        <v>1319</v>
      </c>
      <c r="K72" t="s">
        <v>1320</v>
      </c>
      <c r="L72" t="s">
        <v>981</v>
      </c>
      <c r="M72">
        <v>2016</v>
      </c>
      <c r="N72" t="s">
        <v>1321</v>
      </c>
      <c r="O72">
        <v>9</v>
      </c>
      <c r="P72" t="s">
        <v>1322</v>
      </c>
      <c r="Q72" t="s">
        <v>984</v>
      </c>
      <c r="R72" t="s">
        <v>1323</v>
      </c>
      <c r="S72" t="s">
        <v>1324</v>
      </c>
      <c r="T72" t="s">
        <v>646</v>
      </c>
      <c r="U72" t="s">
        <v>670</v>
      </c>
      <c r="V72" t="s">
        <v>644</v>
      </c>
      <c r="W72" s="29" t="s">
        <v>26753</v>
      </c>
      <c r="X72" s="29">
        <v>0</v>
      </c>
      <c r="Y72" s="32"/>
      <c r="Z72" s="29"/>
      <c r="AA72" s="29">
        <v>1</v>
      </c>
      <c r="AB72" s="29"/>
      <c r="AC72" s="29"/>
      <c r="AD72" s="225"/>
      <c r="AE72" s="31"/>
      <c r="AF72" s="29">
        <v>1</v>
      </c>
      <c r="AG72" s="29"/>
      <c r="AH72" s="29"/>
      <c r="AI72" s="29"/>
      <c r="AJ72" s="31">
        <v>1</v>
      </c>
      <c r="AK72" s="29">
        <v>1</v>
      </c>
      <c r="AL72" s="29"/>
      <c r="AM72" s="29"/>
      <c r="AN72" s="34">
        <v>1</v>
      </c>
      <c r="AO72" s="28"/>
      <c r="AP72" s="28"/>
      <c r="AQ72" s="28"/>
      <c r="AR72" s="28"/>
      <c r="AS72" s="28"/>
      <c r="AT72" s="28">
        <v>1</v>
      </c>
      <c r="AU72" s="28">
        <v>1</v>
      </c>
      <c r="AV72" s="28"/>
      <c r="AW72" s="28"/>
      <c r="AX72" s="28"/>
      <c r="AY72" s="28"/>
      <c r="AZ72" s="28"/>
      <c r="BA72" s="28"/>
      <c r="BB72" s="28"/>
      <c r="BC72" s="28">
        <v>1</v>
      </c>
      <c r="BD72" s="28">
        <v>1</v>
      </c>
      <c r="BE72" s="28"/>
      <c r="BF72" s="28"/>
      <c r="BG72" s="28"/>
      <c r="BH72" s="28"/>
      <c r="BI72" s="28"/>
      <c r="BJ72" s="28"/>
      <c r="BK72" s="28"/>
      <c r="BL72" s="28">
        <v>1</v>
      </c>
      <c r="BM72" s="28"/>
      <c r="BN72" s="28"/>
      <c r="BO72" s="28"/>
      <c r="BP72" s="28"/>
      <c r="BQ72" s="28"/>
      <c r="BR72" s="28"/>
      <c r="BS72" s="28"/>
      <c r="BT72" s="28"/>
      <c r="BU72" s="28"/>
      <c r="BV72" s="28"/>
      <c r="BW72" s="28"/>
      <c r="BX72" s="28"/>
      <c r="BY72" s="28"/>
      <c r="BZ72" s="28"/>
      <c r="CA72" s="28"/>
      <c r="CB72" s="28"/>
      <c r="CC72" s="28"/>
      <c r="CD72" s="28"/>
      <c r="CE72" s="28"/>
      <c r="CF72" s="28"/>
      <c r="CG72" s="28"/>
      <c r="CH72" s="28"/>
      <c r="CI72" s="28">
        <v>1</v>
      </c>
      <c r="CJ72" s="28"/>
      <c r="CK72" s="28"/>
      <c r="CL72" s="28"/>
      <c r="CM72" s="28"/>
      <c r="CN72" s="28"/>
      <c r="CO72" s="28"/>
      <c r="CP72" s="28"/>
      <c r="CQ72" s="28"/>
      <c r="CR72" s="28"/>
      <c r="CS72" s="28"/>
      <c r="CT72" s="28"/>
      <c r="CU72" s="28"/>
      <c r="CV72" s="28"/>
      <c r="CW72" s="28"/>
      <c r="CX72" s="28">
        <v>1</v>
      </c>
      <c r="CY72" s="28"/>
      <c r="CZ72" s="28"/>
      <c r="DA72" s="28"/>
      <c r="DB72" s="28"/>
      <c r="DC72" s="28"/>
      <c r="DD72" s="35"/>
      <c r="DE72" s="35"/>
      <c r="DF72" s="35"/>
      <c r="DG72" s="35"/>
      <c r="DH72" s="35"/>
      <c r="DI72" s="35">
        <v>1</v>
      </c>
      <c r="DJ72" s="35"/>
      <c r="DK72" s="35"/>
      <c r="DL72" s="35"/>
      <c r="DM72" s="35"/>
      <c r="DN72" s="35"/>
      <c r="DR72" s="22">
        <v>1</v>
      </c>
      <c r="GS72" s="22">
        <v>1</v>
      </c>
      <c r="HX72" s="22">
        <v>1</v>
      </c>
      <c r="HY72" s="22">
        <v>1</v>
      </c>
      <c r="HZ72" s="22">
        <v>1</v>
      </c>
      <c r="IA72" s="22">
        <v>1</v>
      </c>
      <c r="IB72" s="22">
        <v>1</v>
      </c>
      <c r="IC72" s="22">
        <v>1</v>
      </c>
      <c r="ID72" s="22">
        <v>1</v>
      </c>
      <c r="IE72" s="22">
        <v>1</v>
      </c>
      <c r="IF72" s="22">
        <v>1</v>
      </c>
      <c r="IG72" s="22">
        <v>1</v>
      </c>
      <c r="IH72" s="22">
        <v>1</v>
      </c>
      <c r="II72" s="22">
        <v>1</v>
      </c>
      <c r="IJ72" s="22">
        <v>1</v>
      </c>
      <c r="IK72" s="22">
        <v>1</v>
      </c>
      <c r="IL72" s="22">
        <v>1</v>
      </c>
      <c r="IM72" s="22">
        <v>1</v>
      </c>
      <c r="IN72" s="22">
        <v>1</v>
      </c>
      <c r="IO72" s="22">
        <v>1</v>
      </c>
      <c r="JB72" s="22">
        <v>1</v>
      </c>
      <c r="MU72" s="28">
        <f>SUM(Tabela7[[#This Row],[Communication]:[Training of DevOps activities]])</f>
        <v>30</v>
      </c>
    </row>
    <row r="73" spans="1:359" ht="14.4" x14ac:dyDescent="0.3">
      <c r="A73" s="22" t="s">
        <v>1325</v>
      </c>
      <c r="B73" s="29" t="s">
        <v>1326</v>
      </c>
      <c r="C73" s="29">
        <v>1</v>
      </c>
      <c r="D73" s="23" t="s">
        <v>717</v>
      </c>
      <c r="E73" s="29">
        <v>1</v>
      </c>
      <c r="F73" s="29">
        <v>1</v>
      </c>
      <c r="G73" s="29">
        <v>1</v>
      </c>
      <c r="H73" t="s">
        <v>1327</v>
      </c>
      <c r="I73" t="s">
        <v>1328</v>
      </c>
      <c r="J73" t="s">
        <v>1329</v>
      </c>
      <c r="K73" t="s">
        <v>1330</v>
      </c>
      <c r="L73" t="s">
        <v>1139</v>
      </c>
      <c r="M73">
        <v>2020</v>
      </c>
      <c r="N73" t="s">
        <v>982</v>
      </c>
      <c r="O73">
        <v>2</v>
      </c>
      <c r="P73" t="s">
        <v>1331</v>
      </c>
      <c r="Q73" t="s">
        <v>875</v>
      </c>
      <c r="R73" t="s">
        <v>1332</v>
      </c>
      <c r="S73" t="s">
        <v>1333</v>
      </c>
      <c r="T73" t="s">
        <v>1244</v>
      </c>
      <c r="U73" t="s">
        <v>655</v>
      </c>
      <c r="V73" t="s">
        <v>644</v>
      </c>
      <c r="W73" s="29" t="s">
        <v>26753</v>
      </c>
      <c r="X73" s="29">
        <v>0</v>
      </c>
      <c r="Y73" s="32"/>
      <c r="Z73" s="29"/>
      <c r="AA73" s="29">
        <v>1</v>
      </c>
      <c r="AB73" s="29"/>
      <c r="AC73" s="29"/>
      <c r="AD73" s="225">
        <v>1</v>
      </c>
      <c r="AE73" s="31"/>
      <c r="AF73" s="29">
        <v>1</v>
      </c>
      <c r="AG73" s="29">
        <v>1</v>
      </c>
      <c r="AH73" s="29"/>
      <c r="AI73" s="29">
        <v>1</v>
      </c>
      <c r="AJ73" s="31"/>
      <c r="AK73" s="29"/>
      <c r="AL73" s="29"/>
      <c r="AM73" s="29">
        <v>1</v>
      </c>
      <c r="AN73" s="34">
        <v>1</v>
      </c>
      <c r="AO73" s="28"/>
      <c r="AP73" s="28"/>
      <c r="AQ73" s="28">
        <v>1</v>
      </c>
      <c r="AR73" s="28"/>
      <c r="AS73" s="28">
        <v>1</v>
      </c>
      <c r="AT73" s="28"/>
      <c r="AU73" s="28"/>
      <c r="AV73" s="28"/>
      <c r="AW73" s="28"/>
      <c r="AX73" s="28"/>
      <c r="AY73" s="28">
        <v>1</v>
      </c>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v>1</v>
      </c>
      <c r="CF73" s="28"/>
      <c r="CG73" s="28">
        <v>1</v>
      </c>
      <c r="CH73" s="28">
        <v>1</v>
      </c>
      <c r="CI73" s="28">
        <v>1</v>
      </c>
      <c r="CJ73" s="28"/>
      <c r="CK73" s="28"/>
      <c r="CL73" s="28"/>
      <c r="CM73" s="28"/>
      <c r="CN73" s="28"/>
      <c r="CO73" s="28">
        <v>1</v>
      </c>
      <c r="CP73" s="28">
        <v>1</v>
      </c>
      <c r="CQ73" s="28">
        <v>1</v>
      </c>
      <c r="CR73" s="28">
        <v>1</v>
      </c>
      <c r="CS73" s="28"/>
      <c r="CT73" s="28"/>
      <c r="CU73" s="28"/>
      <c r="CV73" s="28"/>
      <c r="CW73" s="28">
        <v>1</v>
      </c>
      <c r="CX73" s="28">
        <v>1</v>
      </c>
      <c r="CY73" s="28"/>
      <c r="CZ73" s="28"/>
      <c r="DA73" s="28"/>
      <c r="DB73" s="28"/>
      <c r="DC73" s="28"/>
      <c r="DD73" s="35"/>
      <c r="DE73" s="35"/>
      <c r="DF73" s="35"/>
      <c r="DG73" s="35"/>
      <c r="DH73" s="35"/>
      <c r="DI73" s="35"/>
      <c r="DJ73" s="35"/>
      <c r="DK73" s="35"/>
      <c r="DL73" s="35"/>
      <c r="DM73" s="35"/>
      <c r="DN73" s="35"/>
      <c r="DQ73" s="22">
        <v>1</v>
      </c>
      <c r="FI73" s="22">
        <v>1</v>
      </c>
      <c r="FL73" s="22">
        <v>1</v>
      </c>
      <c r="FM73" s="22">
        <v>1</v>
      </c>
      <c r="FZ73" s="22">
        <v>1</v>
      </c>
      <c r="HT73" s="22">
        <v>1</v>
      </c>
      <c r="HU73" s="22">
        <v>1</v>
      </c>
      <c r="IP73" s="22">
        <v>1</v>
      </c>
      <c r="IQ73" s="22">
        <v>1</v>
      </c>
      <c r="JI73" s="22">
        <v>1</v>
      </c>
      <c r="JL73" s="22">
        <v>1</v>
      </c>
      <c r="MU73" s="28">
        <f>SUM(Tabela7[[#This Row],[Communication]:[Training of DevOps activities]])</f>
        <v>25</v>
      </c>
    </row>
    <row r="74" spans="1:359" s="23" customFormat="1" hidden="1" x14ac:dyDescent="0.25">
      <c r="A74" s="22" t="s">
        <v>1334</v>
      </c>
      <c r="B74" s="23" t="s">
        <v>1335</v>
      </c>
      <c r="C74" s="29">
        <v>1</v>
      </c>
      <c r="D74" s="23" t="s">
        <v>717</v>
      </c>
      <c r="E74" s="29">
        <v>1</v>
      </c>
      <c r="F74" s="29">
        <v>1</v>
      </c>
      <c r="G74" s="29">
        <v>0</v>
      </c>
      <c r="H74" s="23" t="s">
        <v>1336</v>
      </c>
      <c r="I74" s="30" t="s">
        <v>1337</v>
      </c>
      <c r="J74" s="30" t="s">
        <v>1338</v>
      </c>
      <c r="K74" s="30" t="s">
        <v>1339</v>
      </c>
      <c r="L74" s="30"/>
      <c r="M74" s="30">
        <v>2019</v>
      </c>
      <c r="N74" s="30" t="s">
        <v>1340</v>
      </c>
      <c r="O74" s="30"/>
      <c r="P74" s="30" t="s">
        <v>1341</v>
      </c>
      <c r="Q74" s="30"/>
      <c r="R74" s="30" t="s">
        <v>1342</v>
      </c>
      <c r="S74" s="30" t="s">
        <v>1343</v>
      </c>
      <c r="T74" s="30" t="s">
        <v>646</v>
      </c>
      <c r="U74" s="30" t="s">
        <v>670</v>
      </c>
      <c r="V74" s="30" t="s">
        <v>644</v>
      </c>
      <c r="W74" s="29"/>
      <c r="X74" s="29"/>
      <c r="Y74" s="32"/>
      <c r="Z74" s="29"/>
      <c r="AA74" s="29"/>
      <c r="AB74" s="29"/>
      <c r="AC74" s="29"/>
      <c r="AD74" s="225"/>
      <c r="AE74" s="31"/>
      <c r="AF74" s="29"/>
      <c r="AG74" s="29"/>
      <c r="AH74" s="29"/>
      <c r="AI74" s="29"/>
      <c r="AJ74" s="31"/>
      <c r="AK74" s="29"/>
      <c r="AL74" s="29"/>
      <c r="AM74" s="29"/>
      <c r="AN74" s="32"/>
      <c r="AO74" s="29"/>
      <c r="AP74" s="29"/>
      <c r="AQ74" s="29"/>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c r="HH74" s="22"/>
      <c r="HI74" s="22"/>
      <c r="HJ74" s="22"/>
      <c r="HK74" s="22"/>
      <c r="HL74" s="22"/>
      <c r="HM74" s="22"/>
      <c r="HN74" s="22"/>
      <c r="HO74" s="22"/>
      <c r="HP74" s="22"/>
      <c r="HQ74" s="22"/>
      <c r="HR74" s="22"/>
      <c r="HS74" s="22"/>
      <c r="HT74" s="22"/>
      <c r="HU74" s="22"/>
      <c r="HV74" s="22"/>
      <c r="HW74" s="22"/>
      <c r="HX74" s="22"/>
      <c r="HY74" s="22"/>
      <c r="HZ74" s="22"/>
      <c r="IA74" s="22"/>
      <c r="IB74" s="22"/>
      <c r="IC74" s="22"/>
      <c r="ID74" s="22"/>
      <c r="IE74" s="22"/>
      <c r="IF74" s="22"/>
      <c r="IG74" s="22"/>
      <c r="IH74" s="22"/>
      <c r="II74" s="22"/>
      <c r="IJ74" s="22"/>
      <c r="IK74" s="22"/>
      <c r="IL74" s="22"/>
      <c r="IM74" s="22"/>
      <c r="IN74" s="22"/>
      <c r="IO74" s="22"/>
      <c r="IP74" s="22"/>
      <c r="IQ74" s="22"/>
      <c r="IR74" s="22"/>
      <c r="IS74" s="22"/>
      <c r="IT74" s="22"/>
      <c r="IU74" s="22"/>
      <c r="IV74" s="22"/>
      <c r="IW74" s="22"/>
      <c r="IX74" s="22"/>
      <c r="IY74" s="22"/>
      <c r="IZ74" s="22"/>
      <c r="JA74" s="22"/>
      <c r="JB74" s="22"/>
      <c r="JC74" s="22"/>
      <c r="JD74" s="22"/>
      <c r="JE74" s="22"/>
      <c r="JF74" s="22"/>
      <c r="JG74" s="22"/>
      <c r="JH74" s="22"/>
      <c r="JI74" s="22"/>
      <c r="JJ74" s="22"/>
      <c r="JK74" s="22"/>
      <c r="JL74" s="22"/>
      <c r="JM74" s="22"/>
      <c r="JN74" s="22"/>
      <c r="JO74" s="22"/>
      <c r="JP74" s="22"/>
      <c r="JQ74" s="22"/>
      <c r="JR74" s="22"/>
      <c r="JS74" s="22"/>
      <c r="JT74" s="22"/>
      <c r="JU74" s="22"/>
      <c r="JV74" s="22"/>
      <c r="JW74" s="22"/>
      <c r="JX74" s="22"/>
      <c r="JY74" s="22"/>
      <c r="JZ74" s="22"/>
      <c r="KA74" s="22"/>
      <c r="KB74" s="22"/>
      <c r="KC74" s="22"/>
      <c r="KD74" s="22"/>
      <c r="KE74" s="22"/>
      <c r="KF74" s="22"/>
      <c r="KG74" s="22"/>
      <c r="KH74" s="22"/>
      <c r="KI74" s="22"/>
      <c r="KJ74" s="22"/>
      <c r="KK74" s="22"/>
      <c r="KL74" s="22"/>
      <c r="KM74" s="22"/>
      <c r="KN74" s="22"/>
      <c r="KO74" s="22"/>
      <c r="KP74" s="22"/>
      <c r="KQ74" s="22"/>
      <c r="KR74" s="22"/>
      <c r="KS74" s="22"/>
      <c r="KT74" s="22"/>
      <c r="KU74" s="22"/>
      <c r="KV74" s="22"/>
      <c r="KW74" s="22"/>
      <c r="KX74" s="22"/>
      <c r="KY74" s="22"/>
      <c r="KZ74" s="22"/>
      <c r="LA74" s="22"/>
      <c r="LB74" s="22"/>
      <c r="LC74" s="22"/>
      <c r="LD74" s="22"/>
      <c r="LE74" s="22"/>
      <c r="LF74" s="22"/>
      <c r="LG74" s="22"/>
      <c r="LH74" s="22"/>
      <c r="LI74" s="22"/>
      <c r="LJ74" s="22"/>
      <c r="LK74" s="22"/>
      <c r="LL74" s="22"/>
      <c r="LM74" s="22"/>
      <c r="LN74" s="22"/>
      <c r="LO74" s="22"/>
      <c r="LP74" s="22"/>
      <c r="LQ74" s="22"/>
      <c r="LR74" s="22"/>
      <c r="LS74" s="22"/>
      <c r="LT74" s="22"/>
      <c r="LU74" s="22"/>
      <c r="LV74" s="22"/>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8">
        <f>SUM(Tabela7[[#This Row],[Communication]:[Training of DevOps activities]])</f>
        <v>0</v>
      </c>
    </row>
    <row r="75" spans="1:359" ht="14.4" x14ac:dyDescent="0.3">
      <c r="A75" s="22" t="s">
        <v>1344</v>
      </c>
      <c r="B75" s="29" t="s">
        <v>1345</v>
      </c>
      <c r="C75" s="29">
        <v>1</v>
      </c>
      <c r="D75" s="23" t="s">
        <v>717</v>
      </c>
      <c r="E75" s="29">
        <v>1</v>
      </c>
      <c r="F75" s="29">
        <v>1</v>
      </c>
      <c r="G75" s="29">
        <v>1</v>
      </c>
      <c r="H75" t="s">
        <v>1346</v>
      </c>
      <c r="I75" t="s">
        <v>1347</v>
      </c>
      <c r="J75" t="s">
        <v>1348</v>
      </c>
      <c r="K75" t="s">
        <v>1349</v>
      </c>
      <c r="L75" t="s">
        <v>981</v>
      </c>
      <c r="M75">
        <v>2016</v>
      </c>
      <c r="N75" t="s">
        <v>1350</v>
      </c>
      <c r="O75">
        <v>8</v>
      </c>
      <c r="P75" t="s">
        <v>1351</v>
      </c>
      <c r="Q75" t="s">
        <v>984</v>
      </c>
      <c r="R75" t="s">
        <v>1352</v>
      </c>
      <c r="S75" t="s">
        <v>1353</v>
      </c>
      <c r="T75" t="s">
        <v>1354</v>
      </c>
      <c r="U75" t="s">
        <v>655</v>
      </c>
      <c r="V75" t="s">
        <v>644</v>
      </c>
      <c r="W75" s="29" t="s">
        <v>26753</v>
      </c>
      <c r="X75" s="29">
        <v>0</v>
      </c>
      <c r="Y75" s="32"/>
      <c r="Z75" s="29"/>
      <c r="AA75" s="29">
        <v>1</v>
      </c>
      <c r="AB75" s="29"/>
      <c r="AC75" s="29">
        <v>1</v>
      </c>
      <c r="AD75" s="225">
        <v>1</v>
      </c>
      <c r="AE75" s="31"/>
      <c r="AF75" s="29">
        <v>1</v>
      </c>
      <c r="AG75" s="29">
        <v>1</v>
      </c>
      <c r="AH75" s="29">
        <v>1</v>
      </c>
      <c r="AI75" s="29">
        <v>1</v>
      </c>
      <c r="AJ75" s="31">
        <v>1</v>
      </c>
      <c r="AK75" s="29">
        <v>1</v>
      </c>
      <c r="AL75" s="29"/>
      <c r="AM75" s="29">
        <v>1</v>
      </c>
      <c r="AN75" s="34">
        <v>1</v>
      </c>
      <c r="AO75" s="28">
        <v>1</v>
      </c>
      <c r="AP75" s="28">
        <v>1</v>
      </c>
      <c r="AQ75" s="28">
        <v>1</v>
      </c>
      <c r="AR75" s="28">
        <v>1</v>
      </c>
      <c r="AS75" s="28"/>
      <c r="AT75" s="28">
        <v>1</v>
      </c>
      <c r="AU75" s="28"/>
      <c r="AV75" s="28"/>
      <c r="AW75" s="28">
        <v>1</v>
      </c>
      <c r="AX75" s="28"/>
      <c r="AY75" s="28">
        <v>1</v>
      </c>
      <c r="AZ75" s="28"/>
      <c r="BA75" s="28"/>
      <c r="BB75" s="28"/>
      <c r="BC75" s="28">
        <v>1</v>
      </c>
      <c r="BD75" s="28">
        <v>1</v>
      </c>
      <c r="BE75" s="28"/>
      <c r="BF75" s="28"/>
      <c r="BG75" s="28"/>
      <c r="BH75" s="28">
        <v>1</v>
      </c>
      <c r="BI75" s="28">
        <v>1</v>
      </c>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v>1</v>
      </c>
      <c r="CJ75" s="28"/>
      <c r="CK75" s="28"/>
      <c r="CL75" s="28"/>
      <c r="CM75" s="28"/>
      <c r="CN75" s="28"/>
      <c r="CO75" s="28"/>
      <c r="CP75" s="28"/>
      <c r="CQ75" s="28"/>
      <c r="CR75" s="28"/>
      <c r="CS75" s="28"/>
      <c r="CT75" s="28"/>
      <c r="CU75" s="28">
        <v>1</v>
      </c>
      <c r="CV75" s="28"/>
      <c r="CW75" s="28">
        <v>1</v>
      </c>
      <c r="CX75" s="28"/>
      <c r="CY75" s="28"/>
      <c r="CZ75" s="28">
        <v>1</v>
      </c>
      <c r="DA75" s="28"/>
      <c r="DB75" s="28"/>
      <c r="DC75" s="28"/>
      <c r="DD75" s="35"/>
      <c r="DE75" s="35"/>
      <c r="DF75" s="35">
        <v>1</v>
      </c>
      <c r="DG75" s="35"/>
      <c r="DH75" s="35"/>
      <c r="DI75" s="35"/>
      <c r="DJ75" s="35"/>
      <c r="DK75" s="35"/>
      <c r="DL75" s="35"/>
      <c r="DM75" s="35"/>
      <c r="DN75" s="35"/>
      <c r="EM75" s="22">
        <v>1</v>
      </c>
      <c r="FG75" s="22">
        <v>1</v>
      </c>
      <c r="FZ75" s="22">
        <v>1</v>
      </c>
      <c r="GB75" s="22">
        <v>1</v>
      </c>
      <c r="GC75" s="22">
        <v>1</v>
      </c>
      <c r="GL75" s="22">
        <v>1</v>
      </c>
      <c r="GP75" s="22">
        <v>1</v>
      </c>
      <c r="HO75" s="22">
        <v>1</v>
      </c>
      <c r="IJ75" s="22">
        <v>1</v>
      </c>
      <c r="IO75" s="22">
        <v>1</v>
      </c>
      <c r="IR75" s="22">
        <v>1</v>
      </c>
      <c r="MU75" s="28">
        <f>SUM(Tabela7[[#This Row],[Communication]:[Training of DevOps activities]])</f>
        <v>28</v>
      </c>
    </row>
    <row r="76" spans="1:359" ht="14.4" x14ac:dyDescent="0.3">
      <c r="A76" s="22" t="s">
        <v>1355</v>
      </c>
      <c r="B76" s="29" t="s">
        <v>1356</v>
      </c>
      <c r="C76" s="29">
        <v>1</v>
      </c>
      <c r="D76" s="23" t="s">
        <v>644</v>
      </c>
      <c r="E76" s="29" t="s">
        <v>26753</v>
      </c>
      <c r="F76" s="29">
        <v>1</v>
      </c>
      <c r="G76" s="29">
        <v>1</v>
      </c>
      <c r="H76" t="s">
        <v>1357</v>
      </c>
      <c r="I76" t="s">
        <v>1358</v>
      </c>
      <c r="J76" t="s">
        <v>1359</v>
      </c>
      <c r="K76" t="s">
        <v>1360</v>
      </c>
      <c r="L76" t="s">
        <v>1038</v>
      </c>
      <c r="M76">
        <v>2019</v>
      </c>
      <c r="N76" t="s">
        <v>1361</v>
      </c>
      <c r="O76"/>
      <c r="P76" t="s">
        <v>1362</v>
      </c>
      <c r="Q76" t="s">
        <v>1221</v>
      </c>
      <c r="R76" t="s">
        <v>1363</v>
      </c>
      <c r="S76" t="s">
        <v>1364</v>
      </c>
      <c r="T76" t="s">
        <v>1365</v>
      </c>
      <c r="U76" t="s">
        <v>655</v>
      </c>
      <c r="V76" t="s">
        <v>644</v>
      </c>
      <c r="W76" s="29" t="s">
        <v>26753</v>
      </c>
      <c r="X76" s="29" t="s">
        <v>26753</v>
      </c>
      <c r="Y76" s="32"/>
      <c r="Z76" s="29"/>
      <c r="AA76" s="29">
        <v>1</v>
      </c>
      <c r="AB76" s="29"/>
      <c r="AC76" s="29"/>
      <c r="AD76" s="225">
        <v>1</v>
      </c>
      <c r="AE76" s="31"/>
      <c r="AF76" s="29">
        <v>1</v>
      </c>
      <c r="AG76" s="29"/>
      <c r="AH76" s="29">
        <v>1</v>
      </c>
      <c r="AI76" s="29"/>
      <c r="AJ76" s="31"/>
      <c r="AK76" s="29"/>
      <c r="AL76" s="29">
        <v>1</v>
      </c>
      <c r="AM76" s="29"/>
      <c r="AN76" s="34"/>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v>1</v>
      </c>
      <c r="CJ76" s="28"/>
      <c r="CK76" s="28"/>
      <c r="CL76" s="28"/>
      <c r="CM76" s="28"/>
      <c r="CN76" s="28"/>
      <c r="CO76" s="28">
        <v>1</v>
      </c>
      <c r="CP76" s="28"/>
      <c r="CQ76" s="28"/>
      <c r="CR76" s="28">
        <v>1</v>
      </c>
      <c r="CS76" s="28"/>
      <c r="CT76" s="28"/>
      <c r="CU76" s="28"/>
      <c r="CV76" s="28"/>
      <c r="CW76" s="28"/>
      <c r="CX76" s="28"/>
      <c r="CY76" s="28"/>
      <c r="CZ76" s="28"/>
      <c r="DA76" s="28"/>
      <c r="DB76" s="28"/>
      <c r="DC76" s="28"/>
      <c r="DD76" s="35"/>
      <c r="DE76" s="35"/>
      <c r="DF76" s="35"/>
      <c r="DG76" s="35"/>
      <c r="DH76" s="35"/>
      <c r="DI76" s="35"/>
      <c r="DJ76" s="35"/>
      <c r="DK76" s="35"/>
      <c r="DL76" s="35"/>
      <c r="DM76" s="35"/>
      <c r="DN76" s="35"/>
      <c r="IS76" s="22">
        <v>1</v>
      </c>
      <c r="IT76" s="22">
        <v>1</v>
      </c>
      <c r="IU76" s="22">
        <v>1</v>
      </c>
      <c r="IV76" s="22">
        <v>1</v>
      </c>
      <c r="IW76" s="22">
        <v>1</v>
      </c>
      <c r="JI76" s="22">
        <v>1</v>
      </c>
      <c r="JK76" s="22">
        <v>1</v>
      </c>
      <c r="MU76" s="28">
        <f>SUM(Tabela7[[#This Row],[Communication]:[Training of DevOps activities]])</f>
        <v>10</v>
      </c>
    </row>
    <row r="77" spans="1:359" s="23" customFormat="1" hidden="1" x14ac:dyDescent="0.25">
      <c r="A77" s="22" t="s">
        <v>1366</v>
      </c>
      <c r="B77" s="23" t="s">
        <v>1367</v>
      </c>
      <c r="C77" s="29">
        <v>1</v>
      </c>
      <c r="D77" s="23" t="s">
        <v>644</v>
      </c>
      <c r="E77" s="29" t="s">
        <v>645</v>
      </c>
      <c r="F77" s="29">
        <v>1</v>
      </c>
      <c r="G77" s="29">
        <v>0</v>
      </c>
      <c r="H77" s="23" t="s">
        <v>1368</v>
      </c>
      <c r="I77" s="33" t="s">
        <v>1369</v>
      </c>
      <c r="J77" s="33" t="s">
        <v>1370</v>
      </c>
      <c r="K77" s="33" t="s">
        <v>1371</v>
      </c>
      <c r="L77" s="33"/>
      <c r="M77" s="33">
        <v>2018</v>
      </c>
      <c r="N77" s="33" t="s">
        <v>1372</v>
      </c>
      <c r="O77" s="33"/>
      <c r="P77" s="33" t="s">
        <v>1373</v>
      </c>
      <c r="Q77" s="33"/>
      <c r="R77" s="33" t="s">
        <v>1374</v>
      </c>
      <c r="S77" s="33" t="s">
        <v>1375</v>
      </c>
      <c r="T77" s="33" t="s">
        <v>646</v>
      </c>
      <c r="U77" s="33" t="s">
        <v>670</v>
      </c>
      <c r="V77" s="33" t="s">
        <v>644</v>
      </c>
      <c r="W77" s="29"/>
      <c r="X77" s="29"/>
      <c r="Y77" s="32"/>
      <c r="Z77" s="29"/>
      <c r="AA77" s="29"/>
      <c r="AB77" s="29"/>
      <c r="AC77" s="29"/>
      <c r="AD77" s="225"/>
      <c r="AE77" s="31"/>
      <c r="AF77" s="29"/>
      <c r="AG77" s="29"/>
      <c r="AH77" s="29"/>
      <c r="AI77" s="29"/>
      <c r="AJ77" s="31"/>
      <c r="AK77" s="29"/>
      <c r="AL77" s="29"/>
      <c r="AM77" s="29"/>
      <c r="AN77" s="32"/>
      <c r="AO77" s="29"/>
      <c r="AP77" s="29"/>
      <c r="AQ77" s="29"/>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2"/>
      <c r="HM77" s="22"/>
      <c r="HN77" s="22"/>
      <c r="HO77" s="22"/>
      <c r="HP77" s="22"/>
      <c r="HQ77" s="22"/>
      <c r="HR77" s="22"/>
      <c r="HS77" s="22"/>
      <c r="HT77" s="22"/>
      <c r="HU77" s="22"/>
      <c r="HV77" s="22"/>
      <c r="HW77" s="22"/>
      <c r="HX77" s="22"/>
      <c r="HY77" s="22"/>
      <c r="HZ77" s="22"/>
      <c r="IA77" s="22"/>
      <c r="IB77" s="22"/>
      <c r="IC77" s="22"/>
      <c r="ID77" s="22"/>
      <c r="IE77" s="22"/>
      <c r="IF77" s="22"/>
      <c r="IG77" s="22"/>
      <c r="IH77" s="22"/>
      <c r="II77" s="22"/>
      <c r="IJ77" s="22"/>
      <c r="IK77" s="22"/>
      <c r="IL77" s="22"/>
      <c r="IM77" s="22"/>
      <c r="IN77" s="22"/>
      <c r="IO77" s="22"/>
      <c r="IP77" s="22"/>
      <c r="IQ77" s="22"/>
      <c r="IR77" s="22"/>
      <c r="IS77" s="22"/>
      <c r="IT77" s="22"/>
      <c r="IU77" s="22"/>
      <c r="IV77" s="22"/>
      <c r="IW77" s="22"/>
      <c r="IX77" s="22"/>
      <c r="IY77" s="22"/>
      <c r="IZ77" s="22"/>
      <c r="JA77" s="22"/>
      <c r="JB77" s="22"/>
      <c r="JC77" s="22"/>
      <c r="JD77" s="22"/>
      <c r="JE77" s="22"/>
      <c r="JF77" s="22"/>
      <c r="JG77" s="22"/>
      <c r="JH77" s="22"/>
      <c r="JI77" s="22"/>
      <c r="JJ77" s="22"/>
      <c r="JK77" s="22"/>
      <c r="JL77" s="22"/>
      <c r="JM77" s="22"/>
      <c r="JN77" s="22"/>
      <c r="JO77" s="22"/>
      <c r="JP77" s="22"/>
      <c r="JQ77" s="22"/>
      <c r="JR77" s="22"/>
      <c r="JS77" s="22"/>
      <c r="JT77" s="22"/>
      <c r="JU77" s="22"/>
      <c r="JV77" s="22"/>
      <c r="JW77" s="22"/>
      <c r="JX77" s="22"/>
      <c r="JY77" s="22"/>
      <c r="JZ77" s="22"/>
      <c r="KA77" s="22"/>
      <c r="KB77" s="22"/>
      <c r="KC77" s="22"/>
      <c r="KD77" s="22"/>
      <c r="KE77" s="22"/>
      <c r="KF77" s="22"/>
      <c r="KG77" s="22"/>
      <c r="KH77" s="22"/>
      <c r="KI77" s="22"/>
      <c r="KJ77" s="22"/>
      <c r="KK77" s="22"/>
      <c r="KL77" s="22"/>
      <c r="KM77" s="22"/>
      <c r="KN77" s="22"/>
      <c r="KO77" s="22"/>
      <c r="KP77" s="22"/>
      <c r="KQ77" s="22"/>
      <c r="KR77" s="22"/>
      <c r="KS77" s="22"/>
      <c r="KT77" s="22"/>
      <c r="KU77" s="22"/>
      <c r="KV77" s="22"/>
      <c r="KW77" s="22"/>
      <c r="KX77" s="22"/>
      <c r="KY77" s="22"/>
      <c r="KZ77" s="22"/>
      <c r="LA77" s="22"/>
      <c r="LB77" s="22"/>
      <c r="LC77" s="22"/>
      <c r="LD77" s="22"/>
      <c r="LE77" s="22"/>
      <c r="LF77" s="22"/>
      <c r="LG77" s="22"/>
      <c r="LH77" s="22"/>
      <c r="LI77" s="22"/>
      <c r="LJ77" s="22"/>
      <c r="LK77" s="22"/>
      <c r="LL77" s="22"/>
      <c r="LM77" s="22"/>
      <c r="LN77" s="22"/>
      <c r="LO77" s="22"/>
      <c r="LP77" s="22"/>
      <c r="LQ77" s="22"/>
      <c r="LR77" s="22"/>
      <c r="LS77" s="22"/>
      <c r="LT77" s="22"/>
      <c r="LU77" s="22"/>
      <c r="LV77" s="22"/>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8">
        <f>SUM(Tabela7[[#This Row],[Communication]:[Training of DevOps activities]])</f>
        <v>0</v>
      </c>
    </row>
    <row r="78" spans="1:359" s="23" customFormat="1" hidden="1" x14ac:dyDescent="0.25">
      <c r="A78" s="22" t="s">
        <v>1376</v>
      </c>
      <c r="B78" s="23" t="s">
        <v>1377</v>
      </c>
      <c r="C78" s="29">
        <v>1</v>
      </c>
      <c r="D78" s="23" t="s">
        <v>644</v>
      </c>
      <c r="E78" s="29" t="s">
        <v>645</v>
      </c>
      <c r="F78" s="29">
        <v>1</v>
      </c>
      <c r="G78" s="29">
        <v>0</v>
      </c>
      <c r="H78" s="23" t="s">
        <v>1378</v>
      </c>
      <c r="I78" s="30" t="s">
        <v>1379</v>
      </c>
      <c r="J78" s="30" t="s">
        <v>1380</v>
      </c>
      <c r="K78" s="30" t="s">
        <v>1381</v>
      </c>
      <c r="L78" s="30"/>
      <c r="M78" s="30">
        <v>2017</v>
      </c>
      <c r="N78" s="30" t="s">
        <v>1382</v>
      </c>
      <c r="O78" s="30"/>
      <c r="P78" s="30" t="s">
        <v>1383</v>
      </c>
      <c r="Q78" s="30"/>
      <c r="R78" s="30" t="s">
        <v>1384</v>
      </c>
      <c r="S78" s="30" t="s">
        <v>1385</v>
      </c>
      <c r="T78" s="30" t="s">
        <v>1386</v>
      </c>
      <c r="U78" s="30" t="s">
        <v>670</v>
      </c>
      <c r="V78" s="30" t="s">
        <v>644</v>
      </c>
      <c r="W78" s="29"/>
      <c r="X78" s="29"/>
      <c r="Y78" s="32"/>
      <c r="Z78" s="29"/>
      <c r="AA78" s="29"/>
      <c r="AB78" s="29"/>
      <c r="AC78" s="29"/>
      <c r="AD78" s="225"/>
      <c r="AE78" s="31"/>
      <c r="AF78" s="29"/>
      <c r="AG78" s="29"/>
      <c r="AH78" s="29"/>
      <c r="AI78" s="29"/>
      <c r="AJ78" s="31"/>
      <c r="AK78" s="29"/>
      <c r="AL78" s="29"/>
      <c r="AM78" s="29"/>
      <c r="AN78" s="32"/>
      <c r="AO78" s="29"/>
      <c r="AP78" s="29"/>
      <c r="AQ78" s="29"/>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8">
        <f>SUM(Tabela7[[#This Row],[Communication]:[Training of DevOps activities]])</f>
        <v>0</v>
      </c>
    </row>
    <row r="79" spans="1:359" ht="14.4" x14ac:dyDescent="0.3">
      <c r="A79" s="22" t="s">
        <v>1387</v>
      </c>
      <c r="B79" s="29" t="s">
        <v>1388</v>
      </c>
      <c r="C79" s="29">
        <v>1</v>
      </c>
      <c r="D79" s="23" t="s">
        <v>644</v>
      </c>
      <c r="E79" s="29" t="s">
        <v>26753</v>
      </c>
      <c r="F79" s="29">
        <v>1</v>
      </c>
      <c r="G79" s="29">
        <v>1</v>
      </c>
      <c r="H79" t="s">
        <v>646</v>
      </c>
      <c r="I79" t="s">
        <v>1389</v>
      </c>
      <c r="J79" t="s">
        <v>1390</v>
      </c>
      <c r="K79" t="s">
        <v>1391</v>
      </c>
      <c r="L79" t="s">
        <v>1392</v>
      </c>
      <c r="M79">
        <v>2011</v>
      </c>
      <c r="N79" t="s">
        <v>1393</v>
      </c>
      <c r="O79">
        <v>6</v>
      </c>
      <c r="P79" t="s">
        <v>1394</v>
      </c>
      <c r="Q79" t="s">
        <v>1395</v>
      </c>
      <c r="R79" t="s">
        <v>1396</v>
      </c>
      <c r="S79" t="s">
        <v>1397</v>
      </c>
      <c r="T79" t="s">
        <v>1398</v>
      </c>
      <c r="U79" t="s">
        <v>670</v>
      </c>
      <c r="V79" t="s">
        <v>644</v>
      </c>
      <c r="W79" s="29">
        <v>0</v>
      </c>
      <c r="X79" s="29">
        <v>0</v>
      </c>
      <c r="Y79" s="32"/>
      <c r="Z79" s="29"/>
      <c r="AA79" s="29"/>
      <c r="AB79" s="29">
        <v>1</v>
      </c>
      <c r="AC79" s="29"/>
      <c r="AD79" s="225"/>
      <c r="AE79" s="31">
        <v>1</v>
      </c>
      <c r="AF79" s="29"/>
      <c r="AG79" s="29"/>
      <c r="AH79" s="29"/>
      <c r="AI79" s="29"/>
      <c r="AJ79" s="31">
        <v>1</v>
      </c>
      <c r="AK79" s="29">
        <v>1</v>
      </c>
      <c r="AL79" s="29"/>
      <c r="AM79" s="29"/>
      <c r="AN79" s="34">
        <v>1</v>
      </c>
      <c r="AO79" s="28">
        <v>1</v>
      </c>
      <c r="AP79" s="28">
        <v>1</v>
      </c>
      <c r="AQ79" s="28">
        <v>1</v>
      </c>
      <c r="AR79" s="28"/>
      <c r="AS79" s="28"/>
      <c r="AT79" s="28">
        <v>1</v>
      </c>
      <c r="AU79" s="28"/>
      <c r="AV79" s="28"/>
      <c r="AW79" s="28"/>
      <c r="AX79" s="28"/>
      <c r="AY79" s="28"/>
      <c r="AZ79" s="28"/>
      <c r="BA79" s="28"/>
      <c r="BB79" s="28"/>
      <c r="BC79" s="28"/>
      <c r="BD79" s="28">
        <v>1</v>
      </c>
      <c r="BE79" s="28"/>
      <c r="BF79" s="28"/>
      <c r="BG79" s="28"/>
      <c r="BH79" s="28">
        <v>1</v>
      </c>
      <c r="BI79" s="28">
        <v>1</v>
      </c>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v>1</v>
      </c>
      <c r="CV79" s="28"/>
      <c r="CW79" s="28">
        <v>1</v>
      </c>
      <c r="CX79" s="28"/>
      <c r="CY79" s="28"/>
      <c r="CZ79" s="28"/>
      <c r="DA79" s="28"/>
      <c r="DB79" s="28"/>
      <c r="DC79" s="28"/>
      <c r="DD79" s="35"/>
      <c r="DE79" s="35"/>
      <c r="DF79" s="35"/>
      <c r="DG79" s="35"/>
      <c r="DH79" s="35"/>
      <c r="DI79" s="35"/>
      <c r="DJ79" s="35"/>
      <c r="DK79" s="35"/>
      <c r="DL79" s="35"/>
      <c r="DM79" s="35"/>
      <c r="DN79" s="35"/>
      <c r="FG79" s="22">
        <v>1</v>
      </c>
      <c r="GH79" s="22">
        <v>1</v>
      </c>
      <c r="GX79" s="22">
        <v>1</v>
      </c>
      <c r="HH79" s="22">
        <v>1</v>
      </c>
      <c r="HT79" s="22">
        <v>1</v>
      </c>
      <c r="HU79" s="22">
        <v>1</v>
      </c>
      <c r="HX79" s="22">
        <v>1</v>
      </c>
      <c r="IE79" s="22">
        <v>1</v>
      </c>
      <c r="JK79" s="22">
        <v>1</v>
      </c>
      <c r="MU79" s="28">
        <f>SUM(Tabela7[[#This Row],[Communication]:[Training of DevOps activities]])</f>
        <v>19</v>
      </c>
    </row>
    <row r="80" spans="1:359" ht="14.4" x14ac:dyDescent="0.3">
      <c r="A80" s="22" t="s">
        <v>1399</v>
      </c>
      <c r="B80" s="29" t="s">
        <v>1400</v>
      </c>
      <c r="C80" s="29">
        <v>1</v>
      </c>
      <c r="D80" s="23" t="s">
        <v>717</v>
      </c>
      <c r="E80" s="29" t="s">
        <v>26753</v>
      </c>
      <c r="F80" s="29">
        <v>1</v>
      </c>
      <c r="G80" s="29">
        <v>1</v>
      </c>
      <c r="H80" t="s">
        <v>1401</v>
      </c>
      <c r="I80" t="s">
        <v>1402</v>
      </c>
      <c r="J80" t="s">
        <v>1403</v>
      </c>
      <c r="K80" t="s">
        <v>1404</v>
      </c>
      <c r="L80" t="s">
        <v>1405</v>
      </c>
      <c r="M80">
        <v>2011</v>
      </c>
      <c r="N80" t="s">
        <v>1406</v>
      </c>
      <c r="O80">
        <v>3</v>
      </c>
      <c r="P80" t="s">
        <v>1407</v>
      </c>
      <c r="Q80" t="s">
        <v>1408</v>
      </c>
      <c r="R80" t="s">
        <v>1409</v>
      </c>
      <c r="S80" t="s">
        <v>1410</v>
      </c>
      <c r="T80" t="s">
        <v>1411</v>
      </c>
      <c r="U80" t="s">
        <v>670</v>
      </c>
      <c r="V80" t="s">
        <v>644</v>
      </c>
      <c r="W80" s="29">
        <v>0</v>
      </c>
      <c r="X80" s="29">
        <v>0</v>
      </c>
      <c r="Y80" s="32">
        <v>1</v>
      </c>
      <c r="Z80" s="29"/>
      <c r="AA80" s="29"/>
      <c r="AB80" s="29">
        <v>1</v>
      </c>
      <c r="AC80" s="29"/>
      <c r="AD80" s="225"/>
      <c r="AE80" s="31"/>
      <c r="AF80" s="29"/>
      <c r="AG80" s="29">
        <v>1</v>
      </c>
      <c r="AH80" s="29"/>
      <c r="AI80" s="29"/>
      <c r="AJ80" s="31"/>
      <c r="AK80" s="29"/>
      <c r="AL80" s="29"/>
      <c r="AM80" s="29">
        <v>1</v>
      </c>
      <c r="AN80" s="34"/>
      <c r="AO80" s="28"/>
      <c r="AP80" s="28"/>
      <c r="AQ80" s="28"/>
      <c r="AR80" s="28"/>
      <c r="AS80" s="28"/>
      <c r="AT80" s="28"/>
      <c r="AU80" s="28"/>
      <c r="AV80" s="28">
        <v>1</v>
      </c>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v>1</v>
      </c>
      <c r="CP80" s="28">
        <v>1</v>
      </c>
      <c r="CQ80" s="28"/>
      <c r="CR80" s="28"/>
      <c r="CS80" s="28"/>
      <c r="CT80" s="28"/>
      <c r="CU80" s="28"/>
      <c r="CV80" s="28">
        <v>1</v>
      </c>
      <c r="CW80" s="28"/>
      <c r="CX80" s="28"/>
      <c r="CY80" s="28"/>
      <c r="CZ80" s="28"/>
      <c r="DA80" s="28"/>
      <c r="DB80" s="28"/>
      <c r="DC80" s="28"/>
      <c r="DD80" s="35"/>
      <c r="DE80" s="35">
        <v>1</v>
      </c>
      <c r="DF80" s="35"/>
      <c r="DG80" s="35"/>
      <c r="DH80" s="35"/>
      <c r="DI80" s="35"/>
      <c r="DJ80" s="35"/>
      <c r="DK80" s="35"/>
      <c r="DL80" s="35"/>
      <c r="DM80" s="35"/>
      <c r="DN80" s="35"/>
      <c r="DR80" s="22">
        <v>1</v>
      </c>
      <c r="DV80" s="22">
        <v>1</v>
      </c>
      <c r="DW80" s="22">
        <v>1</v>
      </c>
      <c r="EH80" s="22">
        <v>1</v>
      </c>
      <c r="EI80" s="22">
        <v>1</v>
      </c>
      <c r="FC80" s="22">
        <v>1</v>
      </c>
      <c r="HZ80" s="22">
        <v>1</v>
      </c>
      <c r="IY80" s="22">
        <v>1</v>
      </c>
      <c r="JK80" s="22">
        <v>1</v>
      </c>
      <c r="MU80" s="28">
        <f>SUM(Tabela7[[#This Row],[Communication]:[Training of DevOps activities]])</f>
        <v>14</v>
      </c>
    </row>
    <row r="81" spans="1:359" s="23" customFormat="1" hidden="1" x14ac:dyDescent="0.25">
      <c r="A81" s="22" t="s">
        <v>1412</v>
      </c>
      <c r="B81" s="23" t="s">
        <v>1413</v>
      </c>
      <c r="C81" s="29">
        <v>1</v>
      </c>
      <c r="D81" s="23" t="s">
        <v>717</v>
      </c>
      <c r="E81" s="29" t="s">
        <v>645</v>
      </c>
      <c r="F81" s="29">
        <v>1</v>
      </c>
      <c r="G81" s="29">
        <v>0</v>
      </c>
      <c r="H81" s="23" t="s">
        <v>1414</v>
      </c>
      <c r="I81" s="33" t="s">
        <v>1415</v>
      </c>
      <c r="J81" s="33" t="s">
        <v>1416</v>
      </c>
      <c r="K81" s="33" t="s">
        <v>1417</v>
      </c>
      <c r="L81" s="33"/>
      <c r="M81" s="33">
        <v>2019</v>
      </c>
      <c r="N81" s="33" t="s">
        <v>1418</v>
      </c>
      <c r="O81" s="33"/>
      <c r="P81" s="33" t="s">
        <v>1419</v>
      </c>
      <c r="Q81" s="33"/>
      <c r="R81" s="33" t="s">
        <v>1420</v>
      </c>
      <c r="S81" s="33" t="s">
        <v>1421</v>
      </c>
      <c r="T81" s="33" t="s">
        <v>1422</v>
      </c>
      <c r="U81" s="33" t="s">
        <v>655</v>
      </c>
      <c r="V81" s="33" t="s">
        <v>644</v>
      </c>
      <c r="W81" s="29"/>
      <c r="X81" s="29"/>
      <c r="Y81" s="32"/>
      <c r="Z81" s="29"/>
      <c r="AA81" s="29"/>
      <c r="AB81" s="29"/>
      <c r="AC81" s="29"/>
      <c r="AD81" s="225"/>
      <c r="AE81" s="31"/>
      <c r="AF81" s="29"/>
      <c r="AG81" s="29"/>
      <c r="AH81" s="29"/>
      <c r="AI81" s="29"/>
      <c r="AJ81" s="31"/>
      <c r="AK81" s="29"/>
      <c r="AL81" s="29"/>
      <c r="AM81" s="29"/>
      <c r="AN81" s="32"/>
      <c r="AO81" s="29"/>
      <c r="AP81" s="29"/>
      <c r="AQ81" s="29"/>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2"/>
      <c r="HP81" s="22"/>
      <c r="HQ81" s="22"/>
      <c r="HR81" s="22"/>
      <c r="HS81" s="22"/>
      <c r="HT81" s="22"/>
      <c r="HU81" s="22"/>
      <c r="HV81" s="22"/>
      <c r="HW81" s="22"/>
      <c r="HX81" s="22"/>
      <c r="HY81" s="22"/>
      <c r="HZ81" s="22"/>
      <c r="IA81" s="22"/>
      <c r="IB81" s="22"/>
      <c r="IC81" s="22"/>
      <c r="ID81" s="22"/>
      <c r="IE81" s="22"/>
      <c r="IF81" s="22"/>
      <c r="IG81" s="22"/>
      <c r="IH81" s="22"/>
      <c r="II81" s="22"/>
      <c r="IJ81" s="22"/>
      <c r="IK81" s="22"/>
      <c r="IL81" s="22"/>
      <c r="IM81" s="22"/>
      <c r="IN81" s="22"/>
      <c r="IO81" s="22"/>
      <c r="IP81" s="22"/>
      <c r="IQ81" s="22"/>
      <c r="IR81" s="22"/>
      <c r="IS81" s="22"/>
      <c r="IT81" s="22"/>
      <c r="IU81" s="22"/>
      <c r="IV81" s="22"/>
      <c r="IW81" s="22"/>
      <c r="IX81" s="22"/>
      <c r="IY81" s="22"/>
      <c r="IZ81" s="22"/>
      <c r="JA81" s="22"/>
      <c r="JB81" s="22"/>
      <c r="JC81" s="22"/>
      <c r="JD81" s="22"/>
      <c r="JE81" s="22"/>
      <c r="JF81" s="22"/>
      <c r="JG81" s="22"/>
      <c r="JH81" s="22"/>
      <c r="JI81" s="22"/>
      <c r="JJ81" s="22"/>
      <c r="JK81" s="22"/>
      <c r="JL81" s="22"/>
      <c r="JM81" s="22"/>
      <c r="JN81" s="22"/>
      <c r="JO81" s="22"/>
      <c r="JP81" s="22"/>
      <c r="JQ81" s="22"/>
      <c r="JR81" s="22"/>
      <c r="JS81" s="22"/>
      <c r="JT81" s="22"/>
      <c r="JU81" s="22"/>
      <c r="JV81" s="22"/>
      <c r="JW81" s="22"/>
      <c r="JX81" s="22"/>
      <c r="JY81" s="22"/>
      <c r="JZ81" s="22"/>
      <c r="KA81" s="22"/>
      <c r="KB81" s="22"/>
      <c r="KC81" s="22"/>
      <c r="KD81" s="22"/>
      <c r="KE81" s="22"/>
      <c r="KF81" s="22"/>
      <c r="KG81" s="22"/>
      <c r="KH81" s="22"/>
      <c r="KI81" s="22"/>
      <c r="KJ81" s="22"/>
      <c r="KK81" s="22"/>
      <c r="KL81" s="22"/>
      <c r="KM81" s="22"/>
      <c r="KN81" s="22"/>
      <c r="KO81" s="22"/>
      <c r="KP81" s="22"/>
      <c r="KQ81" s="22"/>
      <c r="KR81" s="22"/>
      <c r="KS81" s="22"/>
      <c r="KT81" s="22"/>
      <c r="KU81" s="22"/>
      <c r="KV81" s="22"/>
      <c r="KW81" s="22"/>
      <c r="KX81" s="22"/>
      <c r="KY81" s="22"/>
      <c r="KZ81" s="22"/>
      <c r="LA81" s="22"/>
      <c r="LB81" s="22"/>
      <c r="LC81" s="22"/>
      <c r="LD81" s="22"/>
      <c r="LE81" s="22"/>
      <c r="LF81" s="22"/>
      <c r="LG81" s="22"/>
      <c r="LH81" s="22"/>
      <c r="LI81" s="22"/>
      <c r="LJ81" s="22"/>
      <c r="LK81" s="22"/>
      <c r="LL81" s="22"/>
      <c r="LM81" s="22"/>
      <c r="LN81" s="22"/>
      <c r="LO81" s="22"/>
      <c r="LP81" s="22"/>
      <c r="LQ81" s="22"/>
      <c r="LR81" s="22"/>
      <c r="LS81" s="22"/>
      <c r="LT81" s="22"/>
      <c r="LU81" s="22"/>
      <c r="LV81" s="22"/>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8">
        <f>SUM(Tabela7[[#This Row],[Communication]:[Training of DevOps activities]])</f>
        <v>0</v>
      </c>
    </row>
    <row r="82" spans="1:359" ht="14.4" x14ac:dyDescent="0.3">
      <c r="A82" s="22" t="s">
        <v>1423</v>
      </c>
      <c r="B82" s="29" t="s">
        <v>1424</v>
      </c>
      <c r="C82" s="29">
        <v>1</v>
      </c>
      <c r="D82" s="23" t="s">
        <v>717</v>
      </c>
      <c r="E82" s="29" t="s">
        <v>26753</v>
      </c>
      <c r="F82" s="29">
        <v>1</v>
      </c>
      <c r="G82" s="29">
        <v>1</v>
      </c>
      <c r="H82" t="s">
        <v>1425</v>
      </c>
      <c r="I82" t="s">
        <v>1426</v>
      </c>
      <c r="J82" t="s">
        <v>1427</v>
      </c>
      <c r="K82" t="s">
        <v>1428</v>
      </c>
      <c r="L82" t="s">
        <v>707</v>
      </c>
      <c r="M82">
        <v>2013</v>
      </c>
      <c r="N82" t="s">
        <v>1429</v>
      </c>
      <c r="O82">
        <v>3</v>
      </c>
      <c r="P82" t="s">
        <v>1430</v>
      </c>
      <c r="Q82" t="s">
        <v>1431</v>
      </c>
      <c r="R82" t="s">
        <v>1432</v>
      </c>
      <c r="S82" t="s">
        <v>1433</v>
      </c>
      <c r="T82" t="s">
        <v>1432</v>
      </c>
      <c r="U82" t="s">
        <v>670</v>
      </c>
      <c r="V82" t="s">
        <v>644</v>
      </c>
      <c r="W82" s="29">
        <v>0</v>
      </c>
      <c r="X82" s="29">
        <v>0</v>
      </c>
      <c r="Y82" s="32">
        <v>1</v>
      </c>
      <c r="Z82" s="29"/>
      <c r="AA82" s="29"/>
      <c r="AB82" s="29"/>
      <c r="AC82" s="29"/>
      <c r="AD82" s="225">
        <v>1</v>
      </c>
      <c r="AE82" s="31">
        <v>1</v>
      </c>
      <c r="AF82" s="29"/>
      <c r="AG82" s="29"/>
      <c r="AH82" s="29"/>
      <c r="AI82" s="29"/>
      <c r="AJ82" s="31">
        <v>1</v>
      </c>
      <c r="AK82" s="29"/>
      <c r="AL82" s="29"/>
      <c r="AM82" s="29"/>
      <c r="AN82" s="34">
        <v>1</v>
      </c>
      <c r="AO82" s="28"/>
      <c r="AP82" s="28"/>
      <c r="AQ82" s="28"/>
      <c r="AR82" s="28"/>
      <c r="AS82" s="28"/>
      <c r="AT82" s="28"/>
      <c r="AU82" s="28"/>
      <c r="AV82" s="28"/>
      <c r="AW82" s="28"/>
      <c r="AX82" s="28"/>
      <c r="AY82" s="28"/>
      <c r="AZ82" s="28"/>
      <c r="BA82" s="28"/>
      <c r="BB82" s="28"/>
      <c r="BC82" s="28"/>
      <c r="BD82" s="28">
        <v>1</v>
      </c>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35"/>
      <c r="DE82" s="35"/>
      <c r="DF82" s="35"/>
      <c r="DG82" s="35"/>
      <c r="DH82" s="35"/>
      <c r="DI82" s="35"/>
      <c r="DJ82" s="35"/>
      <c r="DK82" s="35"/>
      <c r="DL82" s="35"/>
      <c r="DM82" s="35"/>
      <c r="DN82" s="35"/>
      <c r="HT82" s="22">
        <v>1</v>
      </c>
      <c r="MU82" s="28">
        <f>SUM(Tabela7[[#This Row],[Communication]:[Training of DevOps activities]])</f>
        <v>3</v>
      </c>
    </row>
    <row r="83" spans="1:359" s="23" customFormat="1" hidden="1" x14ac:dyDescent="0.25">
      <c r="A83" s="22" t="s">
        <v>1434</v>
      </c>
      <c r="B83" s="23" t="s">
        <v>1435</v>
      </c>
      <c r="C83" s="29">
        <v>1</v>
      </c>
      <c r="D83" s="23" t="s">
        <v>717</v>
      </c>
      <c r="E83" s="29" t="s">
        <v>645</v>
      </c>
      <c r="F83" s="29">
        <v>1</v>
      </c>
      <c r="G83" s="29">
        <v>0</v>
      </c>
      <c r="H83" s="23" t="s">
        <v>1436</v>
      </c>
      <c r="I83" s="33" t="s">
        <v>1437</v>
      </c>
      <c r="J83" s="33" t="s">
        <v>1438</v>
      </c>
      <c r="K83" s="33" t="s">
        <v>1439</v>
      </c>
      <c r="L83" s="33"/>
      <c r="M83" s="33">
        <v>2009</v>
      </c>
      <c r="N83" s="33" t="s">
        <v>818</v>
      </c>
      <c r="O83" s="33">
        <v>9</v>
      </c>
      <c r="P83" s="33" t="s">
        <v>1440</v>
      </c>
      <c r="Q83" s="33"/>
      <c r="R83" s="33" t="s">
        <v>1441</v>
      </c>
      <c r="S83" s="33" t="s">
        <v>1442</v>
      </c>
      <c r="T83" s="33" t="s">
        <v>1443</v>
      </c>
      <c r="U83" s="33" t="s">
        <v>670</v>
      </c>
      <c r="V83" s="33" t="s">
        <v>644</v>
      </c>
      <c r="W83" s="29"/>
      <c r="X83" s="29"/>
      <c r="Y83" s="32"/>
      <c r="Z83" s="29"/>
      <c r="AA83" s="29"/>
      <c r="AB83" s="29"/>
      <c r="AC83" s="29"/>
      <c r="AD83" s="225"/>
      <c r="AE83" s="31"/>
      <c r="AF83" s="29"/>
      <c r="AG83" s="29"/>
      <c r="AH83" s="29"/>
      <c r="AI83" s="29"/>
      <c r="AJ83" s="31"/>
      <c r="AK83" s="29"/>
      <c r="AL83" s="29"/>
      <c r="AM83" s="29"/>
      <c r="AN83" s="32"/>
      <c r="AO83" s="29"/>
      <c r="AP83" s="29"/>
      <c r="AQ83" s="29"/>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2"/>
      <c r="HM83" s="22"/>
      <c r="HN83" s="22"/>
      <c r="HO83" s="22"/>
      <c r="HP83" s="22"/>
      <c r="HQ83" s="22"/>
      <c r="HR83" s="22"/>
      <c r="HS83" s="22"/>
      <c r="HT83" s="22"/>
      <c r="HU83" s="22"/>
      <c r="HV83" s="22"/>
      <c r="HW83" s="22"/>
      <c r="HX83" s="22"/>
      <c r="HY83" s="22"/>
      <c r="HZ83" s="22"/>
      <c r="IA83" s="22"/>
      <c r="IB83" s="22"/>
      <c r="IC83" s="22"/>
      <c r="ID83" s="22"/>
      <c r="IE83" s="22"/>
      <c r="IF83" s="22"/>
      <c r="IG83" s="22"/>
      <c r="IH83" s="22"/>
      <c r="II83" s="22"/>
      <c r="IJ83" s="22"/>
      <c r="IK83" s="22"/>
      <c r="IL83" s="22"/>
      <c r="IM83" s="22"/>
      <c r="IN83" s="22"/>
      <c r="IO83" s="22"/>
      <c r="IP83" s="22"/>
      <c r="IQ83" s="22"/>
      <c r="IR83" s="22"/>
      <c r="IS83" s="22"/>
      <c r="IT83" s="22"/>
      <c r="IU83" s="22"/>
      <c r="IV83" s="22"/>
      <c r="IW83" s="22"/>
      <c r="IX83" s="22"/>
      <c r="IY83" s="22"/>
      <c r="IZ83" s="22"/>
      <c r="JA83" s="22"/>
      <c r="JB83" s="22"/>
      <c r="JC83" s="22"/>
      <c r="JD83" s="22"/>
      <c r="JE83" s="22"/>
      <c r="JF83" s="22"/>
      <c r="JG83" s="22"/>
      <c r="JH83" s="22"/>
      <c r="JI83" s="22"/>
      <c r="JJ83" s="22"/>
      <c r="JK83" s="22"/>
      <c r="JL83" s="22"/>
      <c r="JM83" s="22"/>
      <c r="JN83" s="22"/>
      <c r="JO83" s="22"/>
      <c r="JP83" s="22"/>
      <c r="JQ83" s="22"/>
      <c r="JR83" s="22"/>
      <c r="JS83" s="22"/>
      <c r="JT83" s="22"/>
      <c r="JU83" s="22"/>
      <c r="JV83" s="22"/>
      <c r="JW83" s="22"/>
      <c r="JX83" s="22"/>
      <c r="JY83" s="22"/>
      <c r="JZ83" s="22"/>
      <c r="KA83" s="22"/>
      <c r="KB83" s="22"/>
      <c r="KC83" s="22"/>
      <c r="KD83" s="22"/>
      <c r="KE83" s="22"/>
      <c r="KF83" s="22"/>
      <c r="KG83" s="22"/>
      <c r="KH83" s="22"/>
      <c r="KI83" s="22"/>
      <c r="KJ83" s="22"/>
      <c r="KK83" s="22"/>
      <c r="KL83" s="22"/>
      <c r="KM83" s="22"/>
      <c r="KN83" s="22"/>
      <c r="KO83" s="22"/>
      <c r="KP83" s="22"/>
      <c r="KQ83" s="22"/>
      <c r="KR83" s="22"/>
      <c r="KS83" s="22"/>
      <c r="KT83" s="22"/>
      <c r="KU83" s="22"/>
      <c r="KV83" s="22"/>
      <c r="KW83" s="22"/>
      <c r="KX83" s="22"/>
      <c r="KY83" s="22"/>
      <c r="KZ83" s="22"/>
      <c r="LA83" s="22"/>
      <c r="LB83" s="22"/>
      <c r="LC83" s="22"/>
      <c r="LD83" s="22"/>
      <c r="LE83" s="22"/>
      <c r="LF83" s="22"/>
      <c r="LG83" s="22"/>
      <c r="LH83" s="22"/>
      <c r="LI83" s="22"/>
      <c r="LJ83" s="22"/>
      <c r="LK83" s="22"/>
      <c r="LL83" s="22"/>
      <c r="LM83" s="22"/>
      <c r="LN83" s="22"/>
      <c r="LO83" s="22"/>
      <c r="LP83" s="22"/>
      <c r="LQ83" s="22"/>
      <c r="LR83" s="22"/>
      <c r="LS83" s="22"/>
      <c r="LT83" s="22"/>
      <c r="LU83" s="22"/>
      <c r="LV83" s="22"/>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8">
        <f>SUM(Tabela7[[#This Row],[Communication]:[Training of DevOps activities]])</f>
        <v>0</v>
      </c>
    </row>
    <row r="84" spans="1:359" s="23" customFormat="1" hidden="1" x14ac:dyDescent="0.25">
      <c r="A84" s="22" t="s">
        <v>1444</v>
      </c>
      <c r="B84" s="23" t="s">
        <v>1445</v>
      </c>
      <c r="C84" s="29">
        <v>1</v>
      </c>
      <c r="D84" s="23" t="s">
        <v>717</v>
      </c>
      <c r="E84" s="29" t="s">
        <v>645</v>
      </c>
      <c r="F84" s="29">
        <v>1</v>
      </c>
      <c r="G84" s="29">
        <v>0</v>
      </c>
      <c r="H84" s="23" t="s">
        <v>1446</v>
      </c>
      <c r="I84" s="30" t="s">
        <v>1447</v>
      </c>
      <c r="J84" s="30" t="s">
        <v>1448</v>
      </c>
      <c r="K84" s="30" t="s">
        <v>1449</v>
      </c>
      <c r="L84" s="30"/>
      <c r="M84" s="30">
        <v>2019</v>
      </c>
      <c r="N84" s="30" t="s">
        <v>1450</v>
      </c>
      <c r="O84" s="30">
        <v>8</v>
      </c>
      <c r="P84" s="30" t="s">
        <v>1451</v>
      </c>
      <c r="Q84" s="30"/>
      <c r="R84" s="30" t="s">
        <v>1452</v>
      </c>
      <c r="S84" s="30" t="s">
        <v>1453</v>
      </c>
      <c r="T84" s="30" t="s">
        <v>1454</v>
      </c>
      <c r="U84" s="30" t="s">
        <v>655</v>
      </c>
      <c r="V84" s="30" t="s">
        <v>644</v>
      </c>
      <c r="W84" s="29"/>
      <c r="X84" s="29"/>
      <c r="Y84" s="32"/>
      <c r="Z84" s="29"/>
      <c r="AA84" s="29"/>
      <c r="AB84" s="29"/>
      <c r="AC84" s="29"/>
      <c r="AD84" s="225"/>
      <c r="AE84" s="31"/>
      <c r="AF84" s="29"/>
      <c r="AG84" s="29"/>
      <c r="AH84" s="29"/>
      <c r="AI84" s="29"/>
      <c r="AJ84" s="31"/>
      <c r="AK84" s="29"/>
      <c r="AL84" s="29"/>
      <c r="AM84" s="29"/>
      <c r="AN84" s="32"/>
      <c r="AO84" s="29"/>
      <c r="AP84" s="29"/>
      <c r="AQ84" s="29"/>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2"/>
      <c r="HP84" s="22"/>
      <c r="HQ84" s="22"/>
      <c r="HR84" s="22"/>
      <c r="HS84" s="22"/>
      <c r="HT84" s="22"/>
      <c r="HU84" s="22"/>
      <c r="HV84" s="22"/>
      <c r="HW84" s="22"/>
      <c r="HX84" s="22"/>
      <c r="HY84" s="22"/>
      <c r="HZ84" s="22"/>
      <c r="IA84" s="22"/>
      <c r="IB84" s="22"/>
      <c r="IC84" s="22"/>
      <c r="ID84" s="22"/>
      <c r="IE84" s="22"/>
      <c r="IF84" s="22"/>
      <c r="IG84" s="22"/>
      <c r="IH84" s="22"/>
      <c r="II84" s="22"/>
      <c r="IJ84" s="22"/>
      <c r="IK84" s="22"/>
      <c r="IL84" s="22"/>
      <c r="IM84" s="22"/>
      <c r="IN84" s="22"/>
      <c r="IO84" s="22"/>
      <c r="IP84" s="22"/>
      <c r="IQ84" s="22"/>
      <c r="IR84" s="22"/>
      <c r="IS84" s="22"/>
      <c r="IT84" s="22"/>
      <c r="IU84" s="22"/>
      <c r="IV84" s="22"/>
      <c r="IW84" s="22"/>
      <c r="IX84" s="22"/>
      <c r="IY84" s="22"/>
      <c r="IZ84" s="22"/>
      <c r="JA84" s="22"/>
      <c r="JB84" s="22"/>
      <c r="JC84" s="22"/>
      <c r="JD84" s="22"/>
      <c r="JE84" s="22"/>
      <c r="JF84" s="22"/>
      <c r="JG84" s="22"/>
      <c r="JH84" s="22"/>
      <c r="JI84" s="22"/>
      <c r="JJ84" s="22"/>
      <c r="JK84" s="22"/>
      <c r="JL84" s="22"/>
      <c r="JM84" s="22"/>
      <c r="JN84" s="22"/>
      <c r="JO84" s="22"/>
      <c r="JP84" s="22"/>
      <c r="JQ84" s="22"/>
      <c r="JR84" s="22"/>
      <c r="JS84" s="22"/>
      <c r="JT84" s="22"/>
      <c r="JU84" s="22"/>
      <c r="JV84" s="22"/>
      <c r="JW84" s="22"/>
      <c r="JX84" s="22"/>
      <c r="JY84" s="22"/>
      <c r="JZ84" s="22"/>
      <c r="KA84" s="22"/>
      <c r="KB84" s="22"/>
      <c r="KC84" s="22"/>
      <c r="KD84" s="22"/>
      <c r="KE84" s="22"/>
      <c r="KF84" s="22"/>
      <c r="KG84" s="22"/>
      <c r="KH84" s="22"/>
      <c r="KI84" s="22"/>
      <c r="KJ84" s="22"/>
      <c r="KK84" s="22"/>
      <c r="KL84" s="22"/>
      <c r="KM84" s="22"/>
      <c r="KN84" s="22"/>
      <c r="KO84" s="22"/>
      <c r="KP84" s="22"/>
      <c r="KQ84" s="22"/>
      <c r="KR84" s="22"/>
      <c r="KS84" s="22"/>
      <c r="KT84" s="22"/>
      <c r="KU84" s="22"/>
      <c r="KV84" s="22"/>
      <c r="KW84" s="22"/>
      <c r="KX84" s="22"/>
      <c r="KY84" s="22"/>
      <c r="KZ84" s="22"/>
      <c r="LA84" s="22"/>
      <c r="LB84" s="22"/>
      <c r="LC84" s="22"/>
      <c r="LD84" s="22"/>
      <c r="LE84" s="22"/>
      <c r="LF84" s="22"/>
      <c r="LG84" s="22"/>
      <c r="LH84" s="22"/>
      <c r="LI84" s="22"/>
      <c r="LJ84" s="22"/>
      <c r="LK84" s="22"/>
      <c r="LL84" s="22"/>
      <c r="LM84" s="22"/>
      <c r="LN84" s="22"/>
      <c r="LO84" s="22"/>
      <c r="LP84" s="22"/>
      <c r="LQ84" s="22"/>
      <c r="LR84" s="22"/>
      <c r="LS84" s="22"/>
      <c r="LT84" s="22"/>
      <c r="LU84" s="22"/>
      <c r="LV84" s="22"/>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8">
        <f>SUM(Tabela7[[#This Row],[Communication]:[Training of DevOps activities]])</f>
        <v>0</v>
      </c>
    </row>
    <row r="85" spans="1:359" s="23" customFormat="1" hidden="1" x14ac:dyDescent="0.25">
      <c r="A85" s="22" t="s">
        <v>1455</v>
      </c>
      <c r="B85" s="23" t="s">
        <v>1456</v>
      </c>
      <c r="C85" s="29">
        <v>1</v>
      </c>
      <c r="D85" s="23" t="s">
        <v>717</v>
      </c>
      <c r="E85" s="29" t="s">
        <v>645</v>
      </c>
      <c r="F85" s="29">
        <v>1</v>
      </c>
      <c r="G85" s="29">
        <v>0</v>
      </c>
      <c r="H85" s="23" t="s">
        <v>1457</v>
      </c>
      <c r="I85" s="33" t="s">
        <v>1458</v>
      </c>
      <c r="J85" s="33" t="s">
        <v>1459</v>
      </c>
      <c r="K85" s="33" t="s">
        <v>1460</v>
      </c>
      <c r="L85" s="33"/>
      <c r="M85" s="33">
        <v>2020</v>
      </c>
      <c r="N85" s="33" t="s">
        <v>1461</v>
      </c>
      <c r="O85" s="33"/>
      <c r="P85" s="33" t="s">
        <v>1462</v>
      </c>
      <c r="Q85" s="33"/>
      <c r="R85" s="33" t="s">
        <v>1463</v>
      </c>
      <c r="S85" s="33" t="s">
        <v>1464</v>
      </c>
      <c r="T85" s="33" t="s">
        <v>1465</v>
      </c>
      <c r="U85" s="33" t="s">
        <v>655</v>
      </c>
      <c r="V85" s="33" t="s">
        <v>644</v>
      </c>
      <c r="W85" s="29"/>
      <c r="X85" s="29"/>
      <c r="Y85" s="32"/>
      <c r="Z85" s="29"/>
      <c r="AA85" s="29"/>
      <c r="AB85" s="29"/>
      <c r="AC85" s="29"/>
      <c r="AD85" s="225"/>
      <c r="AE85" s="31"/>
      <c r="AF85" s="29"/>
      <c r="AG85" s="29"/>
      <c r="AH85" s="29"/>
      <c r="AI85" s="29"/>
      <c r="AJ85" s="31"/>
      <c r="AK85" s="29"/>
      <c r="AL85" s="29"/>
      <c r="AM85" s="29"/>
      <c r="AN85" s="32"/>
      <c r="AO85" s="29"/>
      <c r="AP85" s="29"/>
      <c r="AQ85" s="29"/>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2"/>
      <c r="HX85" s="22"/>
      <c r="HY85" s="22"/>
      <c r="HZ85" s="22"/>
      <c r="IA85" s="22"/>
      <c r="IB85" s="22"/>
      <c r="IC85" s="22"/>
      <c r="ID85" s="22"/>
      <c r="IE85" s="22"/>
      <c r="IF85" s="22"/>
      <c r="IG85" s="22"/>
      <c r="IH85" s="22"/>
      <c r="II85" s="22"/>
      <c r="IJ85" s="22"/>
      <c r="IK85" s="22"/>
      <c r="IL85" s="22"/>
      <c r="IM85" s="22"/>
      <c r="IN85" s="22"/>
      <c r="IO85" s="22"/>
      <c r="IP85" s="22"/>
      <c r="IQ85" s="22"/>
      <c r="IR85" s="22"/>
      <c r="IS85" s="22"/>
      <c r="IT85" s="22"/>
      <c r="IU85" s="22"/>
      <c r="IV85" s="22"/>
      <c r="IW85" s="22"/>
      <c r="IX85" s="22"/>
      <c r="IY85" s="22"/>
      <c r="IZ85" s="22"/>
      <c r="JA85" s="22"/>
      <c r="JB85" s="22"/>
      <c r="JC85" s="22"/>
      <c r="JD85" s="22"/>
      <c r="JE85" s="22"/>
      <c r="JF85" s="22"/>
      <c r="JG85" s="22"/>
      <c r="JH85" s="22"/>
      <c r="JI85" s="22"/>
      <c r="JJ85" s="22"/>
      <c r="JK85" s="22"/>
      <c r="JL85" s="22"/>
      <c r="JM85" s="22"/>
      <c r="JN85" s="22"/>
      <c r="JO85" s="22"/>
      <c r="JP85" s="22"/>
      <c r="JQ85" s="22"/>
      <c r="JR85" s="22"/>
      <c r="JS85" s="22"/>
      <c r="JT85" s="22"/>
      <c r="JU85" s="22"/>
      <c r="JV85" s="22"/>
      <c r="JW85" s="22"/>
      <c r="JX85" s="22"/>
      <c r="JY85" s="22"/>
      <c r="JZ85" s="22"/>
      <c r="KA85" s="22"/>
      <c r="KB85" s="22"/>
      <c r="KC85" s="22"/>
      <c r="KD85" s="22"/>
      <c r="KE85" s="22"/>
      <c r="KF85" s="22"/>
      <c r="KG85" s="22"/>
      <c r="KH85" s="22"/>
      <c r="KI85" s="22"/>
      <c r="KJ85" s="22"/>
      <c r="KK85" s="22"/>
      <c r="KL85" s="22"/>
      <c r="KM85" s="22"/>
      <c r="KN85" s="22"/>
      <c r="KO85" s="22"/>
      <c r="KP85" s="22"/>
      <c r="KQ85" s="22"/>
      <c r="KR85" s="22"/>
      <c r="KS85" s="22"/>
      <c r="KT85" s="22"/>
      <c r="KU85" s="22"/>
      <c r="KV85" s="22"/>
      <c r="KW85" s="22"/>
      <c r="KX85" s="22"/>
      <c r="KY85" s="22"/>
      <c r="KZ85" s="22"/>
      <c r="LA85" s="22"/>
      <c r="LB85" s="22"/>
      <c r="LC85" s="22"/>
      <c r="LD85" s="22"/>
      <c r="LE85" s="22"/>
      <c r="LF85" s="22"/>
      <c r="LG85" s="22"/>
      <c r="LH85" s="22"/>
      <c r="LI85" s="22"/>
      <c r="LJ85" s="22"/>
      <c r="LK85" s="22"/>
      <c r="LL85" s="22"/>
      <c r="LM85" s="22"/>
      <c r="LN85" s="22"/>
      <c r="LO85" s="22"/>
      <c r="LP85" s="22"/>
      <c r="LQ85" s="22"/>
      <c r="LR85" s="22"/>
      <c r="LS85" s="22"/>
      <c r="LT85" s="22"/>
      <c r="LU85" s="22"/>
      <c r="LV85" s="22"/>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8">
        <f>SUM(Tabela7[[#This Row],[Communication]:[Training of DevOps activities]])</f>
        <v>0</v>
      </c>
    </row>
    <row r="86" spans="1:359" s="23" customFormat="1" hidden="1" x14ac:dyDescent="0.25">
      <c r="A86" s="22" t="s">
        <v>1466</v>
      </c>
      <c r="B86" s="23" t="s">
        <v>1467</v>
      </c>
      <c r="C86" s="29">
        <v>1</v>
      </c>
      <c r="D86" s="23" t="s">
        <v>717</v>
      </c>
      <c r="E86" s="29" t="s">
        <v>645</v>
      </c>
      <c r="F86" s="29">
        <v>1</v>
      </c>
      <c r="G86" s="29">
        <v>0</v>
      </c>
      <c r="H86" s="23" t="s">
        <v>1468</v>
      </c>
      <c r="I86" s="30" t="s">
        <v>1469</v>
      </c>
      <c r="J86" s="30" t="s">
        <v>1470</v>
      </c>
      <c r="K86" s="30" t="s">
        <v>1471</v>
      </c>
      <c r="L86" s="30"/>
      <c r="M86" s="30">
        <v>2020</v>
      </c>
      <c r="N86" s="30" t="s">
        <v>1472</v>
      </c>
      <c r="O86" s="30">
        <v>1</v>
      </c>
      <c r="P86" s="30" t="s">
        <v>1473</v>
      </c>
      <c r="Q86" s="30"/>
      <c r="R86" s="30" t="s">
        <v>1474</v>
      </c>
      <c r="S86" s="30" t="s">
        <v>1475</v>
      </c>
      <c r="T86" s="30" t="s">
        <v>1476</v>
      </c>
      <c r="U86" s="30" t="s">
        <v>655</v>
      </c>
      <c r="V86" s="30" t="s">
        <v>644</v>
      </c>
      <c r="W86" s="29"/>
      <c r="X86" s="29"/>
      <c r="Y86" s="32"/>
      <c r="Z86" s="29"/>
      <c r="AA86" s="29"/>
      <c r="AB86" s="29"/>
      <c r="AC86" s="29"/>
      <c r="AD86" s="225"/>
      <c r="AE86" s="31"/>
      <c r="AF86" s="29"/>
      <c r="AG86" s="29"/>
      <c r="AH86" s="29"/>
      <c r="AI86" s="29"/>
      <c r="AJ86" s="31"/>
      <c r="AK86" s="29"/>
      <c r="AL86" s="29"/>
      <c r="AM86" s="29"/>
      <c r="AN86" s="32"/>
      <c r="AO86" s="29"/>
      <c r="AP86" s="29"/>
      <c r="AQ86" s="29"/>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c r="HH86" s="22"/>
      <c r="HI86" s="22"/>
      <c r="HJ86" s="22"/>
      <c r="HK86" s="22"/>
      <c r="HL86" s="22"/>
      <c r="HM86" s="22"/>
      <c r="HN86" s="22"/>
      <c r="HO86" s="22"/>
      <c r="HP86" s="22"/>
      <c r="HQ86" s="22"/>
      <c r="HR86" s="22"/>
      <c r="HS86" s="22"/>
      <c r="HT86" s="22"/>
      <c r="HU86" s="22"/>
      <c r="HV86" s="22"/>
      <c r="HW86" s="22"/>
      <c r="HX86" s="22"/>
      <c r="HY86" s="22"/>
      <c r="HZ86" s="22"/>
      <c r="IA86" s="22"/>
      <c r="IB86" s="22"/>
      <c r="IC86" s="22"/>
      <c r="ID86" s="22"/>
      <c r="IE86" s="22"/>
      <c r="IF86" s="22"/>
      <c r="IG86" s="22"/>
      <c r="IH86" s="22"/>
      <c r="II86" s="22"/>
      <c r="IJ86" s="22"/>
      <c r="IK86" s="22"/>
      <c r="IL86" s="22"/>
      <c r="IM86" s="22"/>
      <c r="IN86" s="22"/>
      <c r="IO86" s="22"/>
      <c r="IP86" s="22"/>
      <c r="IQ86" s="22"/>
      <c r="IR86" s="22"/>
      <c r="IS86" s="22"/>
      <c r="IT86" s="22"/>
      <c r="IU86" s="22"/>
      <c r="IV86" s="22"/>
      <c r="IW86" s="22"/>
      <c r="IX86" s="22"/>
      <c r="IY86" s="22"/>
      <c r="IZ86" s="22"/>
      <c r="JA86" s="22"/>
      <c r="JB86" s="22"/>
      <c r="JC86" s="22"/>
      <c r="JD86" s="22"/>
      <c r="JE86" s="22"/>
      <c r="JF86" s="22"/>
      <c r="JG86" s="22"/>
      <c r="JH86" s="22"/>
      <c r="JI86" s="22"/>
      <c r="JJ86" s="22"/>
      <c r="JK86" s="22"/>
      <c r="JL86" s="22"/>
      <c r="JM86" s="22"/>
      <c r="JN86" s="22"/>
      <c r="JO86" s="22"/>
      <c r="JP86" s="22"/>
      <c r="JQ86" s="22"/>
      <c r="JR86" s="22"/>
      <c r="JS86" s="22"/>
      <c r="JT86" s="22"/>
      <c r="JU86" s="22"/>
      <c r="JV86" s="22"/>
      <c r="JW86" s="22"/>
      <c r="JX86" s="22"/>
      <c r="JY86" s="22"/>
      <c r="JZ86" s="22"/>
      <c r="KA86" s="22"/>
      <c r="KB86" s="22"/>
      <c r="KC86" s="22"/>
      <c r="KD86" s="22"/>
      <c r="KE86" s="22"/>
      <c r="KF86" s="22"/>
      <c r="KG86" s="22"/>
      <c r="KH86" s="22"/>
      <c r="KI86" s="22"/>
      <c r="KJ86" s="22"/>
      <c r="KK86" s="22"/>
      <c r="KL86" s="22"/>
      <c r="KM86" s="22"/>
      <c r="KN86" s="22"/>
      <c r="KO86" s="22"/>
      <c r="KP86" s="22"/>
      <c r="KQ86" s="22"/>
      <c r="KR86" s="22"/>
      <c r="KS86" s="22"/>
      <c r="KT86" s="22"/>
      <c r="KU86" s="22"/>
      <c r="KV86" s="22"/>
      <c r="KW86" s="22"/>
      <c r="KX86" s="22"/>
      <c r="KY86" s="22"/>
      <c r="KZ86" s="22"/>
      <c r="LA86" s="22"/>
      <c r="LB86" s="22"/>
      <c r="LC86" s="22"/>
      <c r="LD86" s="22"/>
      <c r="LE86" s="22"/>
      <c r="LF86" s="22"/>
      <c r="LG86" s="22"/>
      <c r="LH86" s="22"/>
      <c r="LI86" s="22"/>
      <c r="LJ86" s="22"/>
      <c r="LK86" s="22"/>
      <c r="LL86" s="22"/>
      <c r="LM86" s="22"/>
      <c r="LN86" s="22"/>
      <c r="LO86" s="22"/>
      <c r="LP86" s="22"/>
      <c r="LQ86" s="22"/>
      <c r="LR86" s="22"/>
      <c r="LS86" s="22"/>
      <c r="LT86" s="22"/>
      <c r="LU86" s="22"/>
      <c r="LV86" s="22"/>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8">
        <f>SUM(Tabela7[[#This Row],[Communication]:[Training of DevOps activities]])</f>
        <v>0</v>
      </c>
    </row>
    <row r="87" spans="1:359" ht="14.4" x14ac:dyDescent="0.3">
      <c r="A87" s="22" t="s">
        <v>1477</v>
      </c>
      <c r="B87" s="29" t="s">
        <v>1478</v>
      </c>
      <c r="C87" s="29">
        <v>1</v>
      </c>
      <c r="D87" s="23" t="s">
        <v>717</v>
      </c>
      <c r="E87" s="29" t="s">
        <v>26753</v>
      </c>
      <c r="F87" s="29">
        <v>1</v>
      </c>
      <c r="G87" s="29">
        <v>1</v>
      </c>
      <c r="H87" t="s">
        <v>1479</v>
      </c>
      <c r="I87" t="s">
        <v>1480</v>
      </c>
      <c r="J87" t="s">
        <v>1481</v>
      </c>
      <c r="K87" t="s">
        <v>1482</v>
      </c>
      <c r="L87" t="s">
        <v>1026</v>
      </c>
      <c r="M87">
        <v>2019</v>
      </c>
      <c r="N87" t="s">
        <v>1483</v>
      </c>
      <c r="O87"/>
      <c r="P87" t="s">
        <v>1484</v>
      </c>
      <c r="Q87" t="s">
        <v>1066</v>
      </c>
      <c r="R87" t="s">
        <v>1485</v>
      </c>
      <c r="S87" t="s">
        <v>1486</v>
      </c>
      <c r="T87" t="s">
        <v>1487</v>
      </c>
      <c r="U87" t="s">
        <v>655</v>
      </c>
      <c r="V87" t="s">
        <v>644</v>
      </c>
      <c r="W87" s="29" t="s">
        <v>26753</v>
      </c>
      <c r="X87" s="29" t="s">
        <v>26753</v>
      </c>
      <c r="Y87" s="32"/>
      <c r="Z87" s="29">
        <v>1</v>
      </c>
      <c r="AA87" s="29"/>
      <c r="AB87" s="29">
        <v>1</v>
      </c>
      <c r="AC87" s="29"/>
      <c r="AD87" s="225">
        <v>1</v>
      </c>
      <c r="AE87" s="31"/>
      <c r="AF87" s="29">
        <v>1</v>
      </c>
      <c r="AG87" s="29">
        <v>1</v>
      </c>
      <c r="AH87" s="29">
        <v>1</v>
      </c>
      <c r="AI87" s="29">
        <v>1</v>
      </c>
      <c r="AJ87" s="31">
        <v>1</v>
      </c>
      <c r="AK87" s="29">
        <v>1</v>
      </c>
      <c r="AL87" s="29"/>
      <c r="AM87" s="29">
        <v>1</v>
      </c>
      <c r="AN87" s="34">
        <v>1</v>
      </c>
      <c r="AO87" s="28"/>
      <c r="AP87" s="28">
        <v>1</v>
      </c>
      <c r="AQ87" s="28">
        <v>1</v>
      </c>
      <c r="AR87" s="28"/>
      <c r="AS87" s="28"/>
      <c r="AT87" s="28"/>
      <c r="AU87" s="28"/>
      <c r="AV87" s="28"/>
      <c r="AW87" s="28"/>
      <c r="AX87" s="28"/>
      <c r="AY87" s="28">
        <v>1</v>
      </c>
      <c r="AZ87" s="28"/>
      <c r="BA87" s="28"/>
      <c r="BB87" s="28"/>
      <c r="BC87" s="28"/>
      <c r="BD87" s="28">
        <v>1</v>
      </c>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v>1</v>
      </c>
      <c r="CX87" s="28"/>
      <c r="CY87" s="28"/>
      <c r="CZ87" s="28"/>
      <c r="DA87" s="28"/>
      <c r="DB87" s="28"/>
      <c r="DC87" s="28"/>
      <c r="DD87" s="35"/>
      <c r="DE87" s="35"/>
      <c r="DF87" s="35"/>
      <c r="DG87" s="35"/>
      <c r="DH87" s="35"/>
      <c r="DI87" s="35"/>
      <c r="DJ87" s="35"/>
      <c r="DK87" s="35"/>
      <c r="DL87" s="35"/>
      <c r="DM87" s="35"/>
      <c r="DN87" s="35"/>
      <c r="FO87" s="22">
        <v>1</v>
      </c>
      <c r="IX87" s="22">
        <v>1</v>
      </c>
      <c r="IY87" s="22">
        <v>1</v>
      </c>
      <c r="IZ87" s="22">
        <v>1</v>
      </c>
      <c r="JA87" s="22">
        <v>1</v>
      </c>
      <c r="JB87" s="22">
        <v>1</v>
      </c>
      <c r="JC87" s="22">
        <v>1</v>
      </c>
      <c r="JD87" s="22">
        <v>1</v>
      </c>
      <c r="JE87" s="22">
        <v>1</v>
      </c>
      <c r="JF87" s="22">
        <v>1</v>
      </c>
      <c r="JG87" s="22">
        <v>1</v>
      </c>
      <c r="JH87" s="22">
        <v>1</v>
      </c>
      <c r="JI87" s="22">
        <v>1</v>
      </c>
      <c r="JJ87" s="22">
        <v>1</v>
      </c>
      <c r="JK87" s="22">
        <v>1</v>
      </c>
      <c r="JL87" s="22">
        <v>1</v>
      </c>
      <c r="JM87" s="22">
        <v>1</v>
      </c>
      <c r="MU87" s="28">
        <f>SUM(Tabela7[[#This Row],[Communication]:[Training of DevOps activities]])</f>
        <v>23</v>
      </c>
    </row>
    <row r="88" spans="1:359" ht="14.4" x14ac:dyDescent="0.3">
      <c r="A88" s="22" t="s">
        <v>1488</v>
      </c>
      <c r="B88" s="29" t="s">
        <v>1489</v>
      </c>
      <c r="C88" s="29">
        <v>1</v>
      </c>
      <c r="D88" s="23" t="s">
        <v>717</v>
      </c>
      <c r="E88" s="29" t="s">
        <v>26753</v>
      </c>
      <c r="F88" s="29">
        <v>1</v>
      </c>
      <c r="G88" s="29">
        <v>1</v>
      </c>
      <c r="H88" t="s">
        <v>1490</v>
      </c>
      <c r="I88" t="s">
        <v>1491</v>
      </c>
      <c r="J88" t="s">
        <v>1492</v>
      </c>
      <c r="K88" t="s">
        <v>1493</v>
      </c>
      <c r="L88" t="s">
        <v>981</v>
      </c>
      <c r="M88">
        <v>2019</v>
      </c>
      <c r="N88" t="s">
        <v>1494</v>
      </c>
      <c r="O88">
        <v>1</v>
      </c>
      <c r="P88" t="s">
        <v>1495</v>
      </c>
      <c r="Q88" t="s">
        <v>984</v>
      </c>
      <c r="R88" t="s">
        <v>1496</v>
      </c>
      <c r="S88" t="s">
        <v>1497</v>
      </c>
      <c r="T88" t="s">
        <v>1498</v>
      </c>
      <c r="U88" t="s">
        <v>655</v>
      </c>
      <c r="V88" t="s">
        <v>644</v>
      </c>
      <c r="W88" s="29" t="s">
        <v>26753</v>
      </c>
      <c r="X88" s="29">
        <v>1</v>
      </c>
      <c r="Y88" s="32"/>
      <c r="Z88" s="29"/>
      <c r="AA88" s="29">
        <v>1</v>
      </c>
      <c r="AB88" s="29"/>
      <c r="AC88" s="29">
        <v>1</v>
      </c>
      <c r="AD88" s="225">
        <v>1</v>
      </c>
      <c r="AE88" s="31"/>
      <c r="AF88" s="29"/>
      <c r="AG88" s="29">
        <v>1</v>
      </c>
      <c r="AH88" s="29">
        <v>1</v>
      </c>
      <c r="AI88" s="29">
        <v>1</v>
      </c>
      <c r="AJ88" s="31">
        <v>1</v>
      </c>
      <c r="AK88" s="29"/>
      <c r="AL88" s="29"/>
      <c r="AM88" s="29"/>
      <c r="AN88" s="34">
        <v>1</v>
      </c>
      <c r="AO88" s="28">
        <v>1</v>
      </c>
      <c r="AP88" s="28">
        <v>1</v>
      </c>
      <c r="AQ88" s="28">
        <v>1</v>
      </c>
      <c r="AR88" s="28"/>
      <c r="AS88" s="28"/>
      <c r="AT88" s="28"/>
      <c r="AU88" s="28"/>
      <c r="AV88" s="28"/>
      <c r="AW88" s="28"/>
      <c r="AX88" s="28"/>
      <c r="AY88" s="28"/>
      <c r="AZ88" s="28"/>
      <c r="BA88" s="28"/>
      <c r="BB88" s="28"/>
      <c r="BC88" s="28">
        <v>1</v>
      </c>
      <c r="BD88" s="28">
        <v>1</v>
      </c>
      <c r="BE88" s="28"/>
      <c r="BF88" s="28"/>
      <c r="BG88" s="28"/>
      <c r="BH88" s="28">
        <v>1</v>
      </c>
      <c r="BI88" s="28"/>
      <c r="BJ88" s="28">
        <v>1</v>
      </c>
      <c r="BK88" s="28">
        <v>1</v>
      </c>
      <c r="BL88" s="28">
        <v>1</v>
      </c>
      <c r="BM88" s="28"/>
      <c r="BN88" s="28">
        <v>1</v>
      </c>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v>1</v>
      </c>
      <c r="CO88" s="28"/>
      <c r="CP88" s="28"/>
      <c r="CQ88" s="28"/>
      <c r="CR88" s="28"/>
      <c r="CS88" s="28"/>
      <c r="CT88" s="28"/>
      <c r="CU88" s="28">
        <v>1</v>
      </c>
      <c r="CV88" s="28"/>
      <c r="CW88" s="28">
        <v>1</v>
      </c>
      <c r="CX88" s="28"/>
      <c r="CY88" s="28"/>
      <c r="CZ88" s="28"/>
      <c r="DA88" s="28"/>
      <c r="DB88" s="28"/>
      <c r="DC88" s="28"/>
      <c r="DD88" s="35"/>
      <c r="DE88" s="35"/>
      <c r="DF88" s="35">
        <v>1</v>
      </c>
      <c r="DG88" s="35"/>
      <c r="DH88" s="35"/>
      <c r="DI88" s="35"/>
      <c r="DJ88" s="35"/>
      <c r="DK88" s="35"/>
      <c r="DL88" s="35"/>
      <c r="DM88" s="35"/>
      <c r="DN88" s="35"/>
      <c r="EF88" s="22">
        <v>1</v>
      </c>
      <c r="FA88" s="22">
        <v>1</v>
      </c>
      <c r="FM88" s="22">
        <v>1</v>
      </c>
      <c r="FV88" s="22">
        <v>1</v>
      </c>
      <c r="HV88" s="22">
        <v>1</v>
      </c>
      <c r="IE88" s="22">
        <v>1</v>
      </c>
      <c r="IF88" s="22">
        <v>1</v>
      </c>
      <c r="IH88" s="22">
        <v>1</v>
      </c>
      <c r="IK88" s="22">
        <v>1</v>
      </c>
      <c r="IO88" s="22">
        <v>1</v>
      </c>
      <c r="IX88" s="22">
        <v>1</v>
      </c>
      <c r="IZ88" s="22">
        <v>1</v>
      </c>
      <c r="JN88" s="22">
        <v>1</v>
      </c>
      <c r="JO88" s="22">
        <v>1</v>
      </c>
      <c r="JP88" s="22">
        <v>1</v>
      </c>
      <c r="JQ88" s="22">
        <v>1</v>
      </c>
      <c r="JR88" s="22">
        <v>1</v>
      </c>
      <c r="JS88" s="22">
        <v>1</v>
      </c>
      <c r="JT88" s="22">
        <v>1</v>
      </c>
      <c r="JU88" s="22">
        <v>1</v>
      </c>
      <c r="JV88" s="22">
        <v>1</v>
      </c>
      <c r="JW88" s="22">
        <v>1</v>
      </c>
      <c r="JX88" s="22">
        <v>1</v>
      </c>
      <c r="JY88" s="22">
        <v>1</v>
      </c>
      <c r="JZ88" s="22">
        <v>1</v>
      </c>
      <c r="KA88" s="22">
        <v>1</v>
      </c>
      <c r="KB88" s="22">
        <v>1</v>
      </c>
      <c r="KC88" s="22">
        <v>1</v>
      </c>
      <c r="KO88" s="22">
        <v>1</v>
      </c>
      <c r="MU88" s="28">
        <f>SUM(Tabela7[[#This Row],[Communication]:[Training of DevOps activities]])</f>
        <v>44</v>
      </c>
    </row>
    <row r="89" spans="1:359" ht="14.4" x14ac:dyDescent="0.3">
      <c r="A89" s="22" t="s">
        <v>1499</v>
      </c>
      <c r="B89" s="29" t="s">
        <v>1500</v>
      </c>
      <c r="C89" s="29">
        <v>1</v>
      </c>
      <c r="D89" s="23" t="s">
        <v>717</v>
      </c>
      <c r="E89" s="29" t="s">
        <v>26753</v>
      </c>
      <c r="F89" s="29">
        <v>1</v>
      </c>
      <c r="G89" s="29">
        <v>1</v>
      </c>
      <c r="H89" t="s">
        <v>1501</v>
      </c>
      <c r="I89" t="s">
        <v>1502</v>
      </c>
      <c r="J89" t="s">
        <v>1503</v>
      </c>
      <c r="K89" t="s">
        <v>1504</v>
      </c>
      <c r="L89" t="s">
        <v>1026</v>
      </c>
      <c r="M89">
        <v>2018</v>
      </c>
      <c r="N89" t="s">
        <v>1505</v>
      </c>
      <c r="O89">
        <v>17</v>
      </c>
      <c r="P89" t="s">
        <v>1506</v>
      </c>
      <c r="Q89" t="s">
        <v>1221</v>
      </c>
      <c r="R89" t="s">
        <v>1507</v>
      </c>
      <c r="S89" t="s">
        <v>1508</v>
      </c>
      <c r="T89" t="s">
        <v>780</v>
      </c>
      <c r="U89" t="s">
        <v>655</v>
      </c>
      <c r="V89" t="s">
        <v>644</v>
      </c>
      <c r="W89" s="29" t="s">
        <v>26753</v>
      </c>
      <c r="X89" s="29" t="s">
        <v>26753</v>
      </c>
      <c r="Y89" s="32">
        <v>1</v>
      </c>
      <c r="Z89" s="29"/>
      <c r="AA89" s="29"/>
      <c r="AB89" s="29">
        <v>1</v>
      </c>
      <c r="AC89" s="29"/>
      <c r="AD89" s="225">
        <v>1</v>
      </c>
      <c r="AE89" s="31">
        <v>1</v>
      </c>
      <c r="AF89" s="29"/>
      <c r="AG89" s="29">
        <v>1</v>
      </c>
      <c r="AH89" s="29"/>
      <c r="AI89" s="29"/>
      <c r="AJ89" s="31">
        <v>1</v>
      </c>
      <c r="AK89" s="29"/>
      <c r="AL89" s="29"/>
      <c r="AM89" s="29">
        <v>1</v>
      </c>
      <c r="AN89" s="34"/>
      <c r="AO89" s="28"/>
      <c r="AP89" s="28"/>
      <c r="AQ89" s="28"/>
      <c r="AR89" s="28"/>
      <c r="AS89" s="28"/>
      <c r="AT89" s="28"/>
      <c r="AU89" s="28"/>
      <c r="AV89" s="28"/>
      <c r="AW89" s="28"/>
      <c r="AX89" s="28"/>
      <c r="AY89" s="28"/>
      <c r="AZ89" s="28"/>
      <c r="BA89" s="28"/>
      <c r="BB89" s="28"/>
      <c r="BC89" s="28">
        <v>1</v>
      </c>
      <c r="BD89" s="28">
        <v>1</v>
      </c>
      <c r="BE89" s="28"/>
      <c r="BF89" s="28"/>
      <c r="BG89" s="28"/>
      <c r="BH89" s="28">
        <v>1</v>
      </c>
      <c r="BI89" s="28"/>
      <c r="BJ89" s="28">
        <v>1</v>
      </c>
      <c r="BK89" s="28"/>
      <c r="BL89" s="28"/>
      <c r="BM89" s="28"/>
      <c r="BN89" s="28"/>
      <c r="BO89" s="28"/>
      <c r="BP89" s="28">
        <v>1</v>
      </c>
      <c r="BQ89" s="28"/>
      <c r="BR89" s="28"/>
      <c r="BS89" s="28"/>
      <c r="BT89" s="28"/>
      <c r="BU89" s="28"/>
      <c r="BV89" s="28"/>
      <c r="BW89" s="28"/>
      <c r="BX89" s="28"/>
      <c r="BY89" s="28"/>
      <c r="BZ89" s="28"/>
      <c r="CA89" s="28"/>
      <c r="CB89" s="28"/>
      <c r="CC89" s="28"/>
      <c r="CD89" s="28"/>
      <c r="CE89" s="28"/>
      <c r="CF89" s="28"/>
      <c r="CG89" s="28"/>
      <c r="CH89" s="28">
        <v>1</v>
      </c>
      <c r="CI89" s="28"/>
      <c r="CJ89" s="28"/>
      <c r="CK89" s="28"/>
      <c r="CL89" s="28"/>
      <c r="CM89" s="28"/>
      <c r="CN89" s="28"/>
      <c r="CO89" s="28"/>
      <c r="CP89" s="28"/>
      <c r="CQ89" s="28"/>
      <c r="CR89" s="28"/>
      <c r="CS89" s="28"/>
      <c r="CT89" s="28"/>
      <c r="CU89" s="28"/>
      <c r="CV89" s="28"/>
      <c r="CW89" s="28"/>
      <c r="CX89" s="28"/>
      <c r="CY89" s="28"/>
      <c r="CZ89" s="28"/>
      <c r="DA89" s="28"/>
      <c r="DB89" s="28"/>
      <c r="DC89" s="28"/>
      <c r="DD89" s="35"/>
      <c r="DE89" s="35"/>
      <c r="DF89" s="35"/>
      <c r="DG89" s="35"/>
      <c r="DH89" s="35"/>
      <c r="DI89" s="35"/>
      <c r="DJ89" s="35"/>
      <c r="DK89" s="35"/>
      <c r="DL89" s="35"/>
      <c r="DM89" s="35"/>
      <c r="DN89" s="35"/>
      <c r="EF89" s="22">
        <v>1</v>
      </c>
      <c r="EM89" s="22">
        <v>1</v>
      </c>
      <c r="EY89" s="22">
        <v>1</v>
      </c>
      <c r="FX89" s="22">
        <v>1</v>
      </c>
      <c r="FY89" s="22">
        <v>1</v>
      </c>
      <c r="GB89" s="22">
        <v>1</v>
      </c>
      <c r="GE89" s="22">
        <v>1</v>
      </c>
      <c r="GF89" s="22">
        <v>1</v>
      </c>
      <c r="GG89" s="22">
        <v>1</v>
      </c>
      <c r="GH89" s="22">
        <v>1</v>
      </c>
      <c r="GK89" s="22">
        <v>1</v>
      </c>
      <c r="IL89" s="22">
        <v>1</v>
      </c>
      <c r="KD89" s="22">
        <v>1</v>
      </c>
      <c r="KE89" s="22">
        <v>1</v>
      </c>
      <c r="KF89" s="22">
        <v>1</v>
      </c>
      <c r="KG89" s="22">
        <v>1</v>
      </c>
      <c r="KH89" s="22">
        <v>1</v>
      </c>
      <c r="KI89" s="22">
        <v>1</v>
      </c>
      <c r="KJ89" s="22">
        <v>1</v>
      </c>
      <c r="MU89" s="28">
        <f>SUM(Tabela7[[#This Row],[Communication]:[Training of DevOps activities]])</f>
        <v>25</v>
      </c>
    </row>
    <row r="90" spans="1:359" ht="14.4" x14ac:dyDescent="0.3">
      <c r="A90" s="22" t="s">
        <v>1509</v>
      </c>
      <c r="B90" s="29" t="s">
        <v>1510</v>
      </c>
      <c r="C90" s="29">
        <v>1</v>
      </c>
      <c r="D90" s="23" t="s">
        <v>717</v>
      </c>
      <c r="E90" s="29" t="s">
        <v>26753</v>
      </c>
      <c r="F90" s="29">
        <v>1</v>
      </c>
      <c r="G90" s="29">
        <v>1</v>
      </c>
      <c r="H90" t="s">
        <v>1511</v>
      </c>
      <c r="I90" t="s">
        <v>1512</v>
      </c>
      <c r="J90" t="s">
        <v>1513</v>
      </c>
      <c r="K90" t="s">
        <v>1514</v>
      </c>
      <c r="L90" t="s">
        <v>872</v>
      </c>
      <c r="M90">
        <v>2018</v>
      </c>
      <c r="N90" t="s">
        <v>1515</v>
      </c>
      <c r="O90"/>
      <c r="P90" t="s">
        <v>1516</v>
      </c>
      <c r="Q90" t="s">
        <v>1517</v>
      </c>
      <c r="R90" t="s">
        <v>1518</v>
      </c>
      <c r="S90" t="s">
        <v>1519</v>
      </c>
      <c r="T90" t="s">
        <v>1520</v>
      </c>
      <c r="U90" t="s">
        <v>655</v>
      </c>
      <c r="V90" t="s">
        <v>644</v>
      </c>
      <c r="W90" s="29" t="s">
        <v>26753</v>
      </c>
      <c r="X90" s="29" t="s">
        <v>26753</v>
      </c>
      <c r="Y90" s="32">
        <v>1</v>
      </c>
      <c r="Z90" s="29"/>
      <c r="AA90" s="29"/>
      <c r="AB90" s="29">
        <v>1</v>
      </c>
      <c r="AC90" s="29"/>
      <c r="AD90" s="225">
        <v>1</v>
      </c>
      <c r="AE90" s="31">
        <v>1</v>
      </c>
      <c r="AF90" s="29"/>
      <c r="AG90" s="29">
        <v>1</v>
      </c>
      <c r="AH90" s="29"/>
      <c r="AI90" s="29"/>
      <c r="AJ90" s="31"/>
      <c r="AK90" s="29">
        <v>1</v>
      </c>
      <c r="AL90" s="29"/>
      <c r="AM90" s="29"/>
      <c r="AN90" s="34"/>
      <c r="AO90" s="28"/>
      <c r="AP90" s="28"/>
      <c r="AQ90" s="28"/>
      <c r="AR90" s="28"/>
      <c r="AS90" s="28"/>
      <c r="AT90" s="28">
        <v>1</v>
      </c>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v>1</v>
      </c>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35"/>
      <c r="DE90" s="35"/>
      <c r="DF90" s="35"/>
      <c r="DG90" s="35"/>
      <c r="DH90" s="35"/>
      <c r="DI90" s="35"/>
      <c r="DJ90" s="35"/>
      <c r="DK90" s="35"/>
      <c r="DL90" s="35"/>
      <c r="DM90" s="35"/>
      <c r="DN90" s="35"/>
      <c r="KK90" s="22">
        <v>1</v>
      </c>
      <c r="KL90" s="22">
        <v>1</v>
      </c>
      <c r="KM90" s="22">
        <v>1</v>
      </c>
      <c r="KN90" s="22">
        <v>1</v>
      </c>
      <c r="MU90" s="28">
        <f>SUM(Tabela7[[#This Row],[Communication]:[Training of DevOps activities]])</f>
        <v>6</v>
      </c>
    </row>
    <row r="91" spans="1:359" s="23" customFormat="1" hidden="1" x14ac:dyDescent="0.25">
      <c r="A91" s="22" t="s">
        <v>1521</v>
      </c>
      <c r="B91" s="23" t="s">
        <v>1522</v>
      </c>
      <c r="C91" s="29">
        <v>1</v>
      </c>
      <c r="D91" s="23" t="s">
        <v>644</v>
      </c>
      <c r="E91" s="29" t="s">
        <v>645</v>
      </c>
      <c r="F91" s="29">
        <v>1</v>
      </c>
      <c r="G91" s="29">
        <v>0</v>
      </c>
      <c r="H91" s="23" t="s">
        <v>1523</v>
      </c>
      <c r="I91" s="33" t="s">
        <v>1524</v>
      </c>
      <c r="J91" s="33" t="s">
        <v>1525</v>
      </c>
      <c r="K91" s="33" t="s">
        <v>1526</v>
      </c>
      <c r="L91" s="33"/>
      <c r="M91" s="33">
        <v>2019</v>
      </c>
      <c r="N91" s="33" t="s">
        <v>1527</v>
      </c>
      <c r="O91" s="33">
        <v>1</v>
      </c>
      <c r="P91" s="33" t="s">
        <v>1528</v>
      </c>
      <c r="Q91" s="33"/>
      <c r="R91" s="33" t="s">
        <v>1529</v>
      </c>
      <c r="S91" s="33" t="s">
        <v>1530</v>
      </c>
      <c r="T91" s="33" t="s">
        <v>1531</v>
      </c>
      <c r="U91" s="33" t="s">
        <v>655</v>
      </c>
      <c r="V91" s="33" t="s">
        <v>644</v>
      </c>
      <c r="W91" s="29"/>
      <c r="X91" s="29"/>
      <c r="Y91" s="32"/>
      <c r="Z91" s="29"/>
      <c r="AA91" s="29"/>
      <c r="AB91" s="29"/>
      <c r="AC91" s="29"/>
      <c r="AD91" s="225"/>
      <c r="AE91" s="31"/>
      <c r="AF91" s="29"/>
      <c r="AG91" s="29"/>
      <c r="AH91" s="29"/>
      <c r="AI91" s="29"/>
      <c r="AJ91" s="31"/>
      <c r="AK91" s="29"/>
      <c r="AL91" s="29"/>
      <c r="AM91" s="29"/>
      <c r="AN91" s="32"/>
      <c r="AO91" s="29"/>
      <c r="AP91" s="29"/>
      <c r="AQ91" s="29"/>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2"/>
      <c r="HX91" s="22"/>
      <c r="HY91" s="22"/>
      <c r="HZ91" s="22"/>
      <c r="IA91" s="22"/>
      <c r="IB91" s="22"/>
      <c r="IC91" s="22"/>
      <c r="ID91" s="22"/>
      <c r="IE91" s="22"/>
      <c r="IF91" s="22"/>
      <c r="IG91" s="22"/>
      <c r="IH91" s="22"/>
      <c r="II91" s="22"/>
      <c r="IJ91" s="22"/>
      <c r="IK91" s="22"/>
      <c r="IL91" s="22"/>
      <c r="IM91" s="22"/>
      <c r="IN91" s="22"/>
      <c r="IO91" s="22"/>
      <c r="IP91" s="22"/>
      <c r="IQ91" s="22"/>
      <c r="IR91" s="22"/>
      <c r="IS91" s="22"/>
      <c r="IT91" s="22"/>
      <c r="IU91" s="22"/>
      <c r="IV91" s="22"/>
      <c r="IW91" s="22"/>
      <c r="IX91" s="22"/>
      <c r="IY91" s="22"/>
      <c r="IZ91" s="22"/>
      <c r="JA91" s="22"/>
      <c r="JB91" s="22"/>
      <c r="JC91" s="22"/>
      <c r="JD91" s="22"/>
      <c r="JE91" s="22"/>
      <c r="JF91" s="22"/>
      <c r="JG91" s="22"/>
      <c r="JH91" s="22"/>
      <c r="JI91" s="22"/>
      <c r="JJ91" s="22"/>
      <c r="JK91" s="22"/>
      <c r="JL91" s="22"/>
      <c r="JM91" s="22"/>
      <c r="JN91" s="22"/>
      <c r="JO91" s="22"/>
      <c r="JP91" s="22"/>
      <c r="JQ91" s="22"/>
      <c r="JR91" s="22"/>
      <c r="JS91" s="22"/>
      <c r="JT91" s="22"/>
      <c r="JU91" s="22"/>
      <c r="JV91" s="22"/>
      <c r="JW91" s="22"/>
      <c r="JX91" s="22"/>
      <c r="JY91" s="22"/>
      <c r="JZ91" s="22"/>
      <c r="KA91" s="22"/>
      <c r="KB91" s="22"/>
      <c r="KC91" s="22"/>
      <c r="KD91" s="22"/>
      <c r="KE91" s="22"/>
      <c r="KF91" s="22"/>
      <c r="KG91" s="22"/>
      <c r="KH91" s="22"/>
      <c r="KI91" s="22"/>
      <c r="KJ91" s="22"/>
      <c r="KK91" s="22"/>
      <c r="KL91" s="22"/>
      <c r="KM91" s="22"/>
      <c r="KN91" s="22"/>
      <c r="KO91" s="22"/>
      <c r="KP91" s="22"/>
      <c r="KQ91" s="22"/>
      <c r="KR91" s="22"/>
      <c r="KS91" s="22"/>
      <c r="KT91" s="22"/>
      <c r="KU91" s="22"/>
      <c r="KV91" s="22"/>
      <c r="KW91" s="22"/>
      <c r="KX91" s="22"/>
      <c r="KY91" s="22"/>
      <c r="KZ91" s="22"/>
      <c r="LA91" s="22"/>
      <c r="LB91" s="22"/>
      <c r="LC91" s="22"/>
      <c r="LD91" s="22"/>
      <c r="LE91" s="22"/>
      <c r="LF91" s="22"/>
      <c r="LG91" s="22"/>
      <c r="LH91" s="22"/>
      <c r="LI91" s="22"/>
      <c r="LJ91" s="22"/>
      <c r="LK91" s="22"/>
      <c r="LL91" s="22"/>
      <c r="LM91" s="22"/>
      <c r="LN91" s="22"/>
      <c r="LO91" s="22"/>
      <c r="LP91" s="22"/>
      <c r="LQ91" s="22"/>
      <c r="LR91" s="22"/>
      <c r="LS91" s="22"/>
      <c r="LT91" s="22"/>
      <c r="LU91" s="22"/>
      <c r="LV91" s="22"/>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8">
        <f>SUM(Tabela7[[#This Row],[Communication]:[Training of DevOps activities]])</f>
        <v>0</v>
      </c>
    </row>
    <row r="92" spans="1:359" s="23" customFormat="1" hidden="1" x14ac:dyDescent="0.25">
      <c r="A92" s="22" t="s">
        <v>1532</v>
      </c>
      <c r="B92" s="23" t="s">
        <v>1533</v>
      </c>
      <c r="C92" s="23">
        <v>0</v>
      </c>
      <c r="D92" s="23" t="s">
        <v>644</v>
      </c>
      <c r="E92" s="23" t="s">
        <v>645</v>
      </c>
      <c r="F92" s="23">
        <v>1</v>
      </c>
      <c r="G92" s="24"/>
      <c r="H92" s="23" t="s">
        <v>1534</v>
      </c>
      <c r="I92" s="33" t="s">
        <v>1535</v>
      </c>
      <c r="J92" s="33" t="s">
        <v>1536</v>
      </c>
      <c r="K92" s="33" t="s">
        <v>1537</v>
      </c>
      <c r="L92" s="33"/>
      <c r="M92" s="33">
        <v>2019</v>
      </c>
      <c r="N92" s="33" t="s">
        <v>818</v>
      </c>
      <c r="O92" s="33">
        <v>1</v>
      </c>
      <c r="P92" s="33" t="s">
        <v>1538</v>
      </c>
      <c r="Q92" s="33"/>
      <c r="R92" s="33" t="s">
        <v>1539</v>
      </c>
      <c r="S92" s="33" t="s">
        <v>1540</v>
      </c>
      <c r="T92" s="33" t="s">
        <v>1541</v>
      </c>
      <c r="U92" s="33" t="s">
        <v>670</v>
      </c>
      <c r="V92" s="33" t="s">
        <v>644</v>
      </c>
      <c r="Y92" s="27"/>
      <c r="AD92" s="224"/>
      <c r="AE92" s="26"/>
      <c r="AJ92" s="26"/>
      <c r="AN92" s="27"/>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2"/>
      <c r="HX92" s="22"/>
      <c r="HY92" s="22"/>
      <c r="HZ92" s="22"/>
      <c r="IA92" s="22"/>
      <c r="IB92" s="22"/>
      <c r="IC92" s="22"/>
      <c r="ID92" s="22"/>
      <c r="IE92" s="22"/>
      <c r="IF92" s="22"/>
      <c r="IG92" s="22"/>
      <c r="IH92" s="22"/>
      <c r="II92" s="22"/>
      <c r="IJ92" s="22"/>
      <c r="IK92" s="22"/>
      <c r="IL92" s="22"/>
      <c r="IM92" s="22"/>
      <c r="IN92" s="22"/>
      <c r="IO92" s="22"/>
      <c r="IP92" s="22"/>
      <c r="IQ92" s="22"/>
      <c r="IR92" s="22"/>
      <c r="IS92" s="22"/>
      <c r="IT92" s="22"/>
      <c r="IU92" s="22"/>
      <c r="IV92" s="22"/>
      <c r="IW92" s="22"/>
      <c r="IX92" s="22"/>
      <c r="IY92" s="22"/>
      <c r="IZ92" s="22"/>
      <c r="JA92" s="22"/>
      <c r="JB92" s="22"/>
      <c r="JC92" s="22"/>
      <c r="JD92" s="22"/>
      <c r="JE92" s="22"/>
      <c r="JF92" s="22"/>
      <c r="JG92" s="22"/>
      <c r="JH92" s="22"/>
      <c r="JI92" s="22"/>
      <c r="JJ92" s="22"/>
      <c r="JK92" s="22"/>
      <c r="JL92" s="22"/>
      <c r="JM92" s="22"/>
      <c r="JN92" s="22"/>
      <c r="JO92" s="22"/>
      <c r="JP92" s="22"/>
      <c r="JQ92" s="22"/>
      <c r="JR92" s="22"/>
      <c r="JS92" s="22"/>
      <c r="JT92" s="22"/>
      <c r="JU92" s="22"/>
      <c r="JV92" s="22"/>
      <c r="JW92" s="22"/>
      <c r="JX92" s="22"/>
      <c r="JY92" s="22"/>
      <c r="JZ92" s="22"/>
      <c r="KA92" s="22"/>
      <c r="KB92" s="22"/>
      <c r="KC92" s="22"/>
      <c r="KD92" s="22"/>
      <c r="KE92" s="22"/>
      <c r="KF92" s="22"/>
      <c r="KG92" s="22"/>
      <c r="KH92" s="22"/>
      <c r="KI92" s="22"/>
      <c r="KJ92" s="22"/>
      <c r="KK92" s="22"/>
      <c r="KL92" s="22"/>
      <c r="KM92" s="22"/>
      <c r="KN92" s="22"/>
      <c r="KO92" s="22"/>
      <c r="KP92" s="22"/>
      <c r="KQ92" s="22"/>
      <c r="KR92" s="22"/>
      <c r="KS92" s="22"/>
      <c r="KT92" s="22"/>
      <c r="KU92" s="22"/>
      <c r="KV92" s="22"/>
      <c r="KW92" s="22"/>
      <c r="KX92" s="22"/>
      <c r="KY92" s="22"/>
      <c r="KZ92" s="22"/>
      <c r="LA92" s="22"/>
      <c r="LB92" s="22"/>
      <c r="LC92" s="22"/>
      <c r="LD92" s="22"/>
      <c r="LE92" s="22"/>
      <c r="LF92" s="22"/>
      <c r="LG92" s="22"/>
      <c r="LH92" s="22"/>
      <c r="LI92" s="22"/>
      <c r="LJ92" s="22"/>
      <c r="LK92" s="22"/>
      <c r="LL92" s="22"/>
      <c r="LM92" s="22"/>
      <c r="LN92" s="22"/>
      <c r="LO92" s="22"/>
      <c r="LP92" s="22"/>
      <c r="LQ92" s="22"/>
      <c r="LR92" s="22"/>
      <c r="LS92" s="22"/>
      <c r="LT92" s="22"/>
      <c r="LU92" s="22"/>
      <c r="LV92" s="22"/>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8">
        <f>SUM(Tabela7[[#This Row],[Communication]:[Training of DevOps activities]])</f>
        <v>0</v>
      </c>
    </row>
    <row r="93" spans="1:359" ht="14.4" x14ac:dyDescent="0.3">
      <c r="A93" s="22" t="s">
        <v>1542</v>
      </c>
      <c r="B93" s="29" t="s">
        <v>1543</v>
      </c>
      <c r="C93" s="29">
        <v>1</v>
      </c>
      <c r="D93" s="23" t="s">
        <v>644</v>
      </c>
      <c r="E93" s="29" t="s">
        <v>26753</v>
      </c>
      <c r="F93" s="29">
        <v>1</v>
      </c>
      <c r="G93" s="29">
        <v>1</v>
      </c>
      <c r="H93" t="s">
        <v>1544</v>
      </c>
      <c r="I93" t="s">
        <v>1545</v>
      </c>
      <c r="J93" t="s">
        <v>1546</v>
      </c>
      <c r="K93" t="s">
        <v>1547</v>
      </c>
      <c r="L93" t="s">
        <v>1392</v>
      </c>
      <c r="M93">
        <v>2016</v>
      </c>
      <c r="N93" t="s">
        <v>687</v>
      </c>
      <c r="O93">
        <v>1</v>
      </c>
      <c r="P93" t="s">
        <v>1548</v>
      </c>
      <c r="Q93" t="s">
        <v>745</v>
      </c>
      <c r="R93" t="s">
        <v>907</v>
      </c>
      <c r="S93" t="s">
        <v>1549</v>
      </c>
      <c r="T93" t="s">
        <v>646</v>
      </c>
      <c r="U93" t="s">
        <v>670</v>
      </c>
      <c r="V93" t="s">
        <v>644</v>
      </c>
      <c r="W93" s="29" t="s">
        <v>26753</v>
      </c>
      <c r="X93" s="29">
        <v>0</v>
      </c>
      <c r="Y93" s="32">
        <v>1</v>
      </c>
      <c r="Z93" s="29"/>
      <c r="AA93" s="29"/>
      <c r="AB93" s="29">
        <v>1</v>
      </c>
      <c r="AC93" s="29"/>
      <c r="AD93" s="225">
        <v>1</v>
      </c>
      <c r="AE93" s="31">
        <v>1</v>
      </c>
      <c r="AF93" s="29"/>
      <c r="AG93" s="29">
        <v>1</v>
      </c>
      <c r="AH93" s="29"/>
      <c r="AI93" s="29"/>
      <c r="AJ93" s="31"/>
      <c r="AK93" s="29">
        <v>1</v>
      </c>
      <c r="AL93" s="29"/>
      <c r="AM93" s="29"/>
      <c r="AN93" s="34"/>
      <c r="AO93" s="28"/>
      <c r="AP93" s="28"/>
      <c r="AQ93" s="28"/>
      <c r="AR93" s="28"/>
      <c r="AS93" s="28"/>
      <c r="AT93" s="28"/>
      <c r="AU93" s="28"/>
      <c r="AV93" s="28"/>
      <c r="AW93" s="28">
        <v>1</v>
      </c>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35"/>
      <c r="DE93" s="35"/>
      <c r="DF93" s="35"/>
      <c r="DG93" s="35"/>
      <c r="DH93" s="35"/>
      <c r="DI93" s="35"/>
      <c r="DJ93" s="35"/>
      <c r="DK93" s="35"/>
      <c r="DL93" s="35"/>
      <c r="DM93" s="35"/>
      <c r="DN93" s="35"/>
      <c r="MU93" s="28">
        <f>SUM(Tabela7[[#This Row],[Communication]:[Training of DevOps activities]])</f>
        <v>1</v>
      </c>
    </row>
    <row r="94" spans="1:359" ht="14.4" x14ac:dyDescent="0.3">
      <c r="A94" s="22" t="s">
        <v>1550</v>
      </c>
      <c r="B94" s="29" t="s">
        <v>1551</v>
      </c>
      <c r="C94" s="29">
        <v>1</v>
      </c>
      <c r="D94" s="23" t="s">
        <v>644</v>
      </c>
      <c r="E94" s="29" t="s">
        <v>26753</v>
      </c>
      <c r="F94" s="29">
        <v>1</v>
      </c>
      <c r="G94" s="29">
        <v>1</v>
      </c>
      <c r="H94" t="s">
        <v>1552</v>
      </c>
      <c r="I94" t="s">
        <v>1553</v>
      </c>
      <c r="J94" t="s">
        <v>1554</v>
      </c>
      <c r="K94" t="s">
        <v>1555</v>
      </c>
      <c r="L94" t="s">
        <v>707</v>
      </c>
      <c r="M94">
        <v>2012</v>
      </c>
      <c r="N94" t="s">
        <v>818</v>
      </c>
      <c r="O94">
        <v>4</v>
      </c>
      <c r="P94" t="s">
        <v>1556</v>
      </c>
      <c r="Q94" t="s">
        <v>1517</v>
      </c>
      <c r="R94" t="s">
        <v>1557</v>
      </c>
      <c r="S94" t="s">
        <v>1558</v>
      </c>
      <c r="T94" t="s">
        <v>1559</v>
      </c>
      <c r="U94" t="s">
        <v>670</v>
      </c>
      <c r="V94" t="s">
        <v>644</v>
      </c>
      <c r="W94" s="29" t="s">
        <v>26753</v>
      </c>
      <c r="X94" s="29" t="s">
        <v>26753</v>
      </c>
      <c r="Y94" s="32"/>
      <c r="Z94" s="29"/>
      <c r="AA94" s="29"/>
      <c r="AB94" s="29">
        <v>1</v>
      </c>
      <c r="AC94" s="29"/>
      <c r="AD94" s="225"/>
      <c r="AE94" s="31"/>
      <c r="AF94" s="29"/>
      <c r="AG94" s="29">
        <v>1</v>
      </c>
      <c r="AH94" s="29"/>
      <c r="AI94" s="29"/>
      <c r="AJ94" s="31"/>
      <c r="AK94" s="29"/>
      <c r="AL94" s="29"/>
      <c r="AM94" s="29">
        <v>1</v>
      </c>
      <c r="AN94" s="34">
        <v>1</v>
      </c>
      <c r="AO94" s="28"/>
      <c r="AP94" s="28">
        <v>1</v>
      </c>
      <c r="AQ94" s="28"/>
      <c r="AR94" s="28"/>
      <c r="AS94" s="28"/>
      <c r="AT94" s="28"/>
      <c r="AU94" s="28">
        <v>1</v>
      </c>
      <c r="AV94" s="28"/>
      <c r="AW94" s="28"/>
      <c r="AX94" s="28"/>
      <c r="AY94" s="28"/>
      <c r="AZ94" s="28"/>
      <c r="BA94" s="28"/>
      <c r="BB94" s="28"/>
      <c r="BC94" s="28"/>
      <c r="BD94" s="28"/>
      <c r="BE94" s="28"/>
      <c r="BF94" s="28"/>
      <c r="BG94" s="28">
        <v>1</v>
      </c>
      <c r="BH94" s="28">
        <v>1</v>
      </c>
      <c r="BI94" s="28"/>
      <c r="BJ94" s="28">
        <v>1</v>
      </c>
      <c r="BK94" s="28"/>
      <c r="BL94" s="28"/>
      <c r="BM94" s="28"/>
      <c r="BN94" s="28"/>
      <c r="BO94" s="28"/>
      <c r="BP94" s="28"/>
      <c r="BQ94" s="28"/>
      <c r="BR94" s="28"/>
      <c r="BS94" s="28"/>
      <c r="BT94" s="28">
        <v>1</v>
      </c>
      <c r="BU94" s="28"/>
      <c r="BV94" s="28"/>
      <c r="BW94" s="28"/>
      <c r="BX94" s="28"/>
      <c r="BY94" s="28"/>
      <c r="BZ94" s="28"/>
      <c r="CA94" s="28"/>
      <c r="CB94" s="28"/>
      <c r="CC94" s="28"/>
      <c r="CD94" s="28"/>
      <c r="CE94" s="28">
        <v>1</v>
      </c>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35"/>
      <c r="DE94" s="35"/>
      <c r="DF94" s="35"/>
      <c r="DG94" s="35"/>
      <c r="DH94" s="35"/>
      <c r="DI94" s="35"/>
      <c r="DJ94" s="35"/>
      <c r="DK94" s="35">
        <v>1</v>
      </c>
      <c r="DL94" s="35">
        <v>1</v>
      </c>
      <c r="DM94" s="35"/>
      <c r="DN94" s="35"/>
      <c r="EW94" s="22">
        <v>1</v>
      </c>
      <c r="EX94" s="22">
        <v>1</v>
      </c>
      <c r="IE94" s="22">
        <v>1</v>
      </c>
      <c r="KO94" s="22">
        <v>1</v>
      </c>
      <c r="KP94" s="22">
        <v>1</v>
      </c>
      <c r="KQ94" s="22">
        <v>1</v>
      </c>
      <c r="KR94" s="22">
        <v>1</v>
      </c>
      <c r="KS94" s="22">
        <v>1</v>
      </c>
      <c r="KT94" s="22">
        <v>1</v>
      </c>
      <c r="KU94" s="22">
        <v>1</v>
      </c>
      <c r="KV94" s="22">
        <v>1</v>
      </c>
      <c r="KW94" s="22">
        <v>1</v>
      </c>
      <c r="KX94" s="22">
        <v>1</v>
      </c>
      <c r="KY94" s="22">
        <v>1</v>
      </c>
      <c r="KZ94" s="22">
        <v>1</v>
      </c>
      <c r="LA94" s="22">
        <v>1</v>
      </c>
      <c r="MU94" s="28">
        <f>SUM(Tabela7[[#This Row],[Communication]:[Training of DevOps activities]])</f>
        <v>26</v>
      </c>
    </row>
    <row r="95" spans="1:359" s="23" customFormat="1" hidden="1" x14ac:dyDescent="0.25">
      <c r="A95" s="22" t="s">
        <v>1560</v>
      </c>
      <c r="B95" s="23" t="s">
        <v>1561</v>
      </c>
      <c r="C95" s="29">
        <v>1</v>
      </c>
      <c r="D95" s="23" t="s">
        <v>644</v>
      </c>
      <c r="E95" s="29" t="s">
        <v>645</v>
      </c>
      <c r="F95" s="29">
        <v>1</v>
      </c>
      <c r="G95" s="29">
        <v>0</v>
      </c>
      <c r="H95" s="23" t="s">
        <v>1562</v>
      </c>
      <c r="I95" s="33" t="s">
        <v>1563</v>
      </c>
      <c r="J95" s="33" t="s">
        <v>1564</v>
      </c>
      <c r="K95" s="33" t="s">
        <v>1565</v>
      </c>
      <c r="L95" s="33"/>
      <c r="M95" s="33">
        <v>2006</v>
      </c>
      <c r="N95" s="33" t="s">
        <v>1566</v>
      </c>
      <c r="O95" s="33">
        <v>22</v>
      </c>
      <c r="P95" s="33" t="s">
        <v>1567</v>
      </c>
      <c r="Q95" s="33"/>
      <c r="R95" s="33" t="s">
        <v>1568</v>
      </c>
      <c r="S95" s="33" t="s">
        <v>1569</v>
      </c>
      <c r="T95" s="33" t="s">
        <v>1570</v>
      </c>
      <c r="U95" s="33" t="s">
        <v>655</v>
      </c>
      <c r="V95" s="33" t="s">
        <v>644</v>
      </c>
      <c r="W95" s="29"/>
      <c r="X95" s="29"/>
      <c r="Y95" s="32"/>
      <c r="Z95" s="29"/>
      <c r="AA95" s="29"/>
      <c r="AB95" s="29"/>
      <c r="AC95" s="29"/>
      <c r="AD95" s="225"/>
      <c r="AE95" s="31"/>
      <c r="AF95" s="29"/>
      <c r="AG95" s="29"/>
      <c r="AH95" s="29"/>
      <c r="AI95" s="29"/>
      <c r="AJ95" s="31"/>
      <c r="AK95" s="29"/>
      <c r="AL95" s="29"/>
      <c r="AM95" s="29"/>
      <c r="AN95" s="32"/>
      <c r="AO95" s="29"/>
      <c r="AP95" s="29"/>
      <c r="AQ95" s="29"/>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2"/>
      <c r="HP95" s="22"/>
      <c r="HQ95" s="22"/>
      <c r="HR95" s="22"/>
      <c r="HS95" s="22"/>
      <c r="HT95" s="22"/>
      <c r="HU95" s="22"/>
      <c r="HV95" s="22"/>
      <c r="HW95" s="22"/>
      <c r="HX95" s="22"/>
      <c r="HY95" s="22"/>
      <c r="HZ95" s="22"/>
      <c r="IA95" s="22"/>
      <c r="IB95" s="22"/>
      <c r="IC95" s="22"/>
      <c r="ID95" s="22"/>
      <c r="IE95" s="22"/>
      <c r="IF95" s="22"/>
      <c r="IG95" s="22"/>
      <c r="IH95" s="22"/>
      <c r="II95" s="22"/>
      <c r="IJ95" s="22"/>
      <c r="IK95" s="22"/>
      <c r="IL95" s="22"/>
      <c r="IM95" s="22"/>
      <c r="IN95" s="22"/>
      <c r="IO95" s="22"/>
      <c r="IP95" s="22"/>
      <c r="IQ95" s="22"/>
      <c r="IR95" s="22"/>
      <c r="IS95" s="22"/>
      <c r="IT95" s="22"/>
      <c r="IU95" s="22"/>
      <c r="IV95" s="22"/>
      <c r="IW95" s="22"/>
      <c r="IX95" s="22"/>
      <c r="IY95" s="22"/>
      <c r="IZ95" s="22"/>
      <c r="JA95" s="22"/>
      <c r="JB95" s="22"/>
      <c r="JC95" s="22"/>
      <c r="JD95" s="22"/>
      <c r="JE95" s="22"/>
      <c r="JF95" s="22"/>
      <c r="JG95" s="22"/>
      <c r="JH95" s="22"/>
      <c r="JI95" s="22"/>
      <c r="JJ95" s="22"/>
      <c r="JK95" s="22"/>
      <c r="JL95" s="22"/>
      <c r="JM95" s="22"/>
      <c r="JN95" s="22"/>
      <c r="JO95" s="22"/>
      <c r="JP95" s="22"/>
      <c r="JQ95" s="22"/>
      <c r="JR95" s="22"/>
      <c r="JS95" s="22"/>
      <c r="JT95" s="22"/>
      <c r="JU95" s="22"/>
      <c r="JV95" s="22"/>
      <c r="JW95" s="22"/>
      <c r="JX95" s="22"/>
      <c r="JY95" s="22"/>
      <c r="JZ95" s="22"/>
      <c r="KA95" s="22"/>
      <c r="KB95" s="22"/>
      <c r="KC95" s="22"/>
      <c r="KD95" s="22"/>
      <c r="KE95" s="22"/>
      <c r="KF95" s="22"/>
      <c r="KG95" s="22"/>
      <c r="KH95" s="22"/>
      <c r="KI95" s="22"/>
      <c r="KJ95" s="22"/>
      <c r="KK95" s="22"/>
      <c r="KL95" s="22"/>
      <c r="KM95" s="22"/>
      <c r="KN95" s="22"/>
      <c r="KO95" s="22"/>
      <c r="KP95" s="22"/>
      <c r="KQ95" s="22"/>
      <c r="KR95" s="22"/>
      <c r="KS95" s="22"/>
      <c r="KT95" s="22"/>
      <c r="KU95" s="22"/>
      <c r="KV95" s="22"/>
      <c r="KW95" s="22"/>
      <c r="KX95" s="22"/>
      <c r="KY95" s="22"/>
      <c r="KZ95" s="22"/>
      <c r="LA95" s="22"/>
      <c r="LB95" s="22"/>
      <c r="LC95" s="22"/>
      <c r="LD95" s="22"/>
      <c r="LE95" s="22"/>
      <c r="LF95" s="22"/>
      <c r="LG95" s="22"/>
      <c r="LH95" s="22"/>
      <c r="LI95" s="22"/>
      <c r="LJ95" s="22"/>
      <c r="LK95" s="22"/>
      <c r="LL95" s="22"/>
      <c r="LM95" s="22"/>
      <c r="LN95" s="22"/>
      <c r="LO95" s="22"/>
      <c r="LP95" s="22"/>
      <c r="LQ95" s="22"/>
      <c r="LR95" s="22"/>
      <c r="LS95" s="22"/>
      <c r="LT95" s="22"/>
      <c r="LU95" s="22"/>
      <c r="LV95" s="22"/>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8">
        <f>SUM(Tabela7[[#This Row],[Communication]:[Training of DevOps activities]])</f>
        <v>0</v>
      </c>
    </row>
    <row r="96" spans="1:359" s="23" customFormat="1" hidden="1" x14ac:dyDescent="0.25">
      <c r="A96" s="22" t="s">
        <v>1571</v>
      </c>
      <c r="B96" s="23" t="s">
        <v>1572</v>
      </c>
      <c r="C96" s="29">
        <v>1</v>
      </c>
      <c r="D96" s="23" t="s">
        <v>717</v>
      </c>
      <c r="E96" s="29" t="s">
        <v>645</v>
      </c>
      <c r="F96" s="29">
        <v>1</v>
      </c>
      <c r="G96" s="29">
        <v>0</v>
      </c>
      <c r="H96" s="23" t="s">
        <v>1573</v>
      </c>
      <c r="I96" s="30" t="s">
        <v>1574</v>
      </c>
      <c r="J96" s="30" t="s">
        <v>1575</v>
      </c>
      <c r="K96" s="30" t="s">
        <v>1576</v>
      </c>
      <c r="L96" s="30"/>
      <c r="M96" s="30">
        <v>2019</v>
      </c>
      <c r="N96" s="30" t="s">
        <v>1577</v>
      </c>
      <c r="O96" s="30">
        <v>1</v>
      </c>
      <c r="P96" s="30" t="s">
        <v>1578</v>
      </c>
      <c r="Q96" s="30"/>
      <c r="R96" s="30" t="s">
        <v>1579</v>
      </c>
      <c r="S96" s="30" t="s">
        <v>1580</v>
      </c>
      <c r="T96" s="30" t="s">
        <v>646</v>
      </c>
      <c r="U96" s="30" t="s">
        <v>670</v>
      </c>
      <c r="V96" s="30" t="s">
        <v>644</v>
      </c>
      <c r="W96" s="29"/>
      <c r="X96" s="29"/>
      <c r="Y96" s="32"/>
      <c r="Z96" s="29"/>
      <c r="AA96" s="29"/>
      <c r="AB96" s="29"/>
      <c r="AC96" s="29"/>
      <c r="AD96" s="225"/>
      <c r="AE96" s="31"/>
      <c r="AF96" s="29"/>
      <c r="AG96" s="29"/>
      <c r="AH96" s="29"/>
      <c r="AI96" s="29"/>
      <c r="AJ96" s="31"/>
      <c r="AK96" s="29"/>
      <c r="AL96" s="29"/>
      <c r="AM96" s="29"/>
      <c r="AN96" s="32"/>
      <c r="AO96" s="29"/>
      <c r="AP96" s="29"/>
      <c r="AQ96" s="29"/>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2"/>
      <c r="HX96" s="22"/>
      <c r="HY96" s="22"/>
      <c r="HZ96" s="22"/>
      <c r="IA96" s="22"/>
      <c r="IB96" s="22"/>
      <c r="IC96" s="22"/>
      <c r="ID96" s="22"/>
      <c r="IE96" s="22"/>
      <c r="IF96" s="22"/>
      <c r="IG96" s="22"/>
      <c r="IH96" s="22"/>
      <c r="II96" s="22"/>
      <c r="IJ96" s="22"/>
      <c r="IK96" s="22"/>
      <c r="IL96" s="22"/>
      <c r="IM96" s="22"/>
      <c r="IN96" s="22"/>
      <c r="IO96" s="22"/>
      <c r="IP96" s="22"/>
      <c r="IQ96" s="22"/>
      <c r="IR96" s="22"/>
      <c r="IS96" s="22"/>
      <c r="IT96" s="22"/>
      <c r="IU96" s="22"/>
      <c r="IV96" s="22"/>
      <c r="IW96" s="22"/>
      <c r="IX96" s="22"/>
      <c r="IY96" s="22"/>
      <c r="IZ96" s="22"/>
      <c r="JA96" s="22"/>
      <c r="JB96" s="22"/>
      <c r="JC96" s="22"/>
      <c r="JD96" s="22"/>
      <c r="JE96" s="22"/>
      <c r="JF96" s="22"/>
      <c r="JG96" s="22"/>
      <c r="JH96" s="22"/>
      <c r="JI96" s="22"/>
      <c r="JJ96" s="22"/>
      <c r="JK96" s="22"/>
      <c r="JL96" s="22"/>
      <c r="JM96" s="22"/>
      <c r="JN96" s="22"/>
      <c r="JO96" s="22"/>
      <c r="JP96" s="22"/>
      <c r="JQ96" s="22"/>
      <c r="JR96" s="22"/>
      <c r="JS96" s="22"/>
      <c r="JT96" s="22"/>
      <c r="JU96" s="22"/>
      <c r="JV96" s="22"/>
      <c r="JW96" s="22"/>
      <c r="JX96" s="22"/>
      <c r="JY96" s="22"/>
      <c r="JZ96" s="22"/>
      <c r="KA96" s="22"/>
      <c r="KB96" s="22"/>
      <c r="KC96" s="22"/>
      <c r="KD96" s="22"/>
      <c r="KE96" s="22"/>
      <c r="KF96" s="22"/>
      <c r="KG96" s="22"/>
      <c r="KH96" s="22"/>
      <c r="KI96" s="22"/>
      <c r="KJ96" s="22"/>
      <c r="KK96" s="22"/>
      <c r="KL96" s="22"/>
      <c r="KM96" s="22"/>
      <c r="KN96" s="22"/>
      <c r="KO96" s="22"/>
      <c r="KP96" s="22"/>
      <c r="KQ96" s="22"/>
      <c r="KR96" s="22"/>
      <c r="KS96" s="22"/>
      <c r="KT96" s="22"/>
      <c r="KU96" s="22"/>
      <c r="KV96" s="22"/>
      <c r="KW96" s="22"/>
      <c r="KX96" s="22"/>
      <c r="KY96" s="22"/>
      <c r="KZ96" s="22"/>
      <c r="LA96" s="22"/>
      <c r="LB96" s="22"/>
      <c r="LC96" s="22"/>
      <c r="LD96" s="22"/>
      <c r="LE96" s="22"/>
      <c r="LF96" s="22"/>
      <c r="LG96" s="22"/>
      <c r="LH96" s="22"/>
      <c r="LI96" s="22"/>
      <c r="LJ96" s="22"/>
      <c r="LK96" s="22"/>
      <c r="LL96" s="22"/>
      <c r="LM96" s="22"/>
      <c r="LN96" s="22"/>
      <c r="LO96" s="22"/>
      <c r="LP96" s="22"/>
      <c r="LQ96" s="22"/>
      <c r="LR96" s="22"/>
      <c r="LS96" s="22"/>
      <c r="LT96" s="22"/>
      <c r="LU96" s="22"/>
      <c r="LV96" s="22"/>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8">
        <f>SUM(Tabela7[[#This Row],[Communication]:[Training of DevOps activities]])</f>
        <v>0</v>
      </c>
    </row>
    <row r="97" spans="1:359" ht="14.4" x14ac:dyDescent="0.3">
      <c r="A97" s="22" t="s">
        <v>1581</v>
      </c>
      <c r="B97" s="29" t="s">
        <v>1582</v>
      </c>
      <c r="C97" s="29">
        <v>1</v>
      </c>
      <c r="D97" s="23" t="s">
        <v>717</v>
      </c>
      <c r="E97" s="29" t="s">
        <v>26753</v>
      </c>
      <c r="F97" s="29">
        <v>1</v>
      </c>
      <c r="G97" s="29">
        <v>1</v>
      </c>
      <c r="H97" t="s">
        <v>1583</v>
      </c>
      <c r="I97" t="s">
        <v>1584</v>
      </c>
      <c r="J97" t="s">
        <v>1585</v>
      </c>
      <c r="K97" t="s">
        <v>1586</v>
      </c>
      <c r="L97" t="s">
        <v>1139</v>
      </c>
      <c r="M97">
        <v>2020</v>
      </c>
      <c r="N97" t="s">
        <v>982</v>
      </c>
      <c r="O97"/>
      <c r="P97" t="s">
        <v>1587</v>
      </c>
      <c r="Q97" t="s">
        <v>875</v>
      </c>
      <c r="R97" t="s">
        <v>1588</v>
      </c>
      <c r="S97" t="s">
        <v>1589</v>
      </c>
      <c r="T97" t="s">
        <v>1590</v>
      </c>
      <c r="U97" t="s">
        <v>791</v>
      </c>
      <c r="V97" t="s">
        <v>644</v>
      </c>
      <c r="W97" s="29" t="s">
        <v>26753</v>
      </c>
      <c r="X97" s="29" t="s">
        <v>26753</v>
      </c>
      <c r="Y97" s="32"/>
      <c r="Z97" s="29"/>
      <c r="AA97" s="29">
        <v>1</v>
      </c>
      <c r="AB97" s="29"/>
      <c r="AC97" s="29"/>
      <c r="AD97" s="225">
        <v>1</v>
      </c>
      <c r="AE97" s="31"/>
      <c r="AF97" s="29">
        <v>1</v>
      </c>
      <c r="AG97" s="29">
        <v>1</v>
      </c>
      <c r="AH97" s="29">
        <v>1</v>
      </c>
      <c r="AI97" s="29">
        <v>1</v>
      </c>
      <c r="AJ97" s="31">
        <v>1</v>
      </c>
      <c r="AK97" s="29"/>
      <c r="AL97" s="29"/>
      <c r="AM97" s="29">
        <v>1</v>
      </c>
      <c r="AN97" s="34"/>
      <c r="AO97" s="28"/>
      <c r="AP97" s="28"/>
      <c r="AQ97" s="28"/>
      <c r="AR97" s="28"/>
      <c r="AS97" s="28">
        <v>1</v>
      </c>
      <c r="AT97" s="28">
        <v>1</v>
      </c>
      <c r="AU97" s="28">
        <v>1</v>
      </c>
      <c r="AV97" s="28"/>
      <c r="AW97" s="28"/>
      <c r="AX97" s="28">
        <v>1</v>
      </c>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v>1</v>
      </c>
      <c r="CH97" s="28">
        <v>1</v>
      </c>
      <c r="CI97" s="28"/>
      <c r="CJ97" s="28"/>
      <c r="CK97" s="28"/>
      <c r="CL97" s="28"/>
      <c r="CM97" s="28"/>
      <c r="CN97" s="28"/>
      <c r="CO97" s="28"/>
      <c r="CP97" s="28">
        <v>1</v>
      </c>
      <c r="CQ97" s="28">
        <v>1</v>
      </c>
      <c r="CR97" s="28">
        <v>1</v>
      </c>
      <c r="CS97" s="28"/>
      <c r="CT97" s="28"/>
      <c r="CU97" s="28"/>
      <c r="CV97" s="28"/>
      <c r="CW97" s="28"/>
      <c r="CX97" s="28"/>
      <c r="CY97" s="28"/>
      <c r="CZ97" s="28"/>
      <c r="DA97" s="28"/>
      <c r="DB97" s="28"/>
      <c r="DC97" s="28"/>
      <c r="DD97" s="35"/>
      <c r="DE97" s="35"/>
      <c r="DF97" s="35"/>
      <c r="DG97" s="35"/>
      <c r="DH97" s="35"/>
      <c r="DI97" s="35"/>
      <c r="DJ97" s="35"/>
      <c r="DK97" s="35"/>
      <c r="DL97" s="35"/>
      <c r="DM97" s="35"/>
      <c r="DN97" s="35"/>
      <c r="FH97" s="22">
        <v>1</v>
      </c>
      <c r="FI97" s="22">
        <v>1</v>
      </c>
      <c r="GH97" s="22">
        <v>1</v>
      </c>
      <c r="GM97" s="22">
        <v>1</v>
      </c>
      <c r="HT97" s="22">
        <v>1</v>
      </c>
      <c r="II97" s="22">
        <v>1</v>
      </c>
      <c r="IP97" s="22">
        <v>1</v>
      </c>
      <c r="JY97" s="22">
        <v>1</v>
      </c>
      <c r="LB97" s="22">
        <v>1</v>
      </c>
      <c r="LC97" s="22">
        <v>1</v>
      </c>
      <c r="LD97" s="22">
        <v>1</v>
      </c>
      <c r="LE97" s="22">
        <v>1</v>
      </c>
      <c r="MU97" s="28">
        <f>SUM(Tabela7[[#This Row],[Communication]:[Training of DevOps activities]])</f>
        <v>21</v>
      </c>
    </row>
    <row r="98" spans="1:359" ht="14.4" x14ac:dyDescent="0.3">
      <c r="A98" s="22" t="s">
        <v>1591</v>
      </c>
      <c r="B98" s="29" t="s">
        <v>1592</v>
      </c>
      <c r="C98" s="29">
        <v>1</v>
      </c>
      <c r="D98" s="23" t="s">
        <v>717</v>
      </c>
      <c r="E98" s="29" t="s">
        <v>26753</v>
      </c>
      <c r="F98" s="29">
        <v>1</v>
      </c>
      <c r="G98" s="29">
        <v>1</v>
      </c>
      <c r="H98" t="s">
        <v>1593</v>
      </c>
      <c r="I98" t="s">
        <v>1594</v>
      </c>
      <c r="J98" t="s">
        <v>1595</v>
      </c>
      <c r="K98" t="s">
        <v>1596</v>
      </c>
      <c r="L98" t="s">
        <v>981</v>
      </c>
      <c r="M98">
        <v>2019</v>
      </c>
      <c r="N98" t="s">
        <v>1597</v>
      </c>
      <c r="O98">
        <v>1</v>
      </c>
      <c r="P98" t="s">
        <v>1598</v>
      </c>
      <c r="Q98" t="s">
        <v>1517</v>
      </c>
      <c r="R98" t="s">
        <v>1599</v>
      </c>
      <c r="S98" t="s">
        <v>1600</v>
      </c>
      <c r="T98" t="s">
        <v>646</v>
      </c>
      <c r="U98" t="s">
        <v>655</v>
      </c>
      <c r="V98" t="s">
        <v>644</v>
      </c>
      <c r="W98" s="29" t="s">
        <v>26753</v>
      </c>
      <c r="X98" s="29" t="s">
        <v>26753</v>
      </c>
      <c r="Y98" s="32"/>
      <c r="Z98" s="29"/>
      <c r="AA98" s="29"/>
      <c r="AB98" s="29">
        <v>1</v>
      </c>
      <c r="AC98" s="29"/>
      <c r="AD98" s="225"/>
      <c r="AE98" s="31">
        <v>1</v>
      </c>
      <c r="AF98" s="29"/>
      <c r="AG98" s="29"/>
      <c r="AH98" s="29"/>
      <c r="AI98" s="29">
        <v>1</v>
      </c>
      <c r="AJ98" s="31"/>
      <c r="AK98" s="29">
        <v>1</v>
      </c>
      <c r="AL98" s="29"/>
      <c r="AM98" s="29"/>
      <c r="AN98" s="34">
        <v>1</v>
      </c>
      <c r="AO98" s="28"/>
      <c r="AP98" s="28">
        <v>1</v>
      </c>
      <c r="AQ98" s="28">
        <v>1</v>
      </c>
      <c r="AR98" s="28"/>
      <c r="AS98" s="28"/>
      <c r="AT98" s="28">
        <v>1</v>
      </c>
      <c r="AU98" s="28"/>
      <c r="AV98" s="28"/>
      <c r="AW98" s="28"/>
      <c r="AX98" s="28"/>
      <c r="AY98" s="28"/>
      <c r="AZ98" s="28"/>
      <c r="BA98" s="28"/>
      <c r="BB98" s="28"/>
      <c r="BC98" s="28"/>
      <c r="BD98" s="28">
        <v>1</v>
      </c>
      <c r="BE98" s="28"/>
      <c r="BF98" s="28"/>
      <c r="BG98" s="28"/>
      <c r="BH98" s="28">
        <v>1</v>
      </c>
      <c r="BI98" s="28"/>
      <c r="BJ98" s="28"/>
      <c r="BK98" s="28"/>
      <c r="BL98" s="28">
        <v>1</v>
      </c>
      <c r="BM98" s="28">
        <v>1</v>
      </c>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35"/>
      <c r="DE98" s="35"/>
      <c r="DF98" s="35"/>
      <c r="DG98" s="35"/>
      <c r="DH98" s="35"/>
      <c r="DI98" s="35"/>
      <c r="DJ98" s="35"/>
      <c r="DK98" s="35"/>
      <c r="DL98" s="35"/>
      <c r="DM98" s="35"/>
      <c r="DN98" s="35"/>
      <c r="IK98" s="22">
        <v>1</v>
      </c>
      <c r="JT98" s="22">
        <v>1</v>
      </c>
      <c r="LF98" s="22">
        <v>1</v>
      </c>
      <c r="LG98" s="22">
        <v>1</v>
      </c>
      <c r="MU98" s="28">
        <f>SUM(Tabela7[[#This Row],[Communication]:[Training of DevOps activities]])</f>
        <v>12</v>
      </c>
    </row>
    <row r="99" spans="1:359" s="23" customFormat="1" hidden="1" x14ac:dyDescent="0.25">
      <c r="A99" s="22" t="s">
        <v>1601</v>
      </c>
      <c r="B99" s="23" t="s">
        <v>1602</v>
      </c>
      <c r="C99" s="23">
        <v>0</v>
      </c>
      <c r="D99" s="23" t="s">
        <v>717</v>
      </c>
      <c r="E99" s="23" t="s">
        <v>645</v>
      </c>
      <c r="F99" s="23">
        <v>1</v>
      </c>
      <c r="G99" s="24"/>
      <c r="H99" s="23" t="s">
        <v>1603</v>
      </c>
      <c r="I99" s="33" t="s">
        <v>1604</v>
      </c>
      <c r="J99" s="33" t="s">
        <v>729</v>
      </c>
      <c r="K99" s="33" t="s">
        <v>1605</v>
      </c>
      <c r="L99" s="33"/>
      <c r="M99" s="33">
        <v>2018</v>
      </c>
      <c r="N99" s="33" t="s">
        <v>731</v>
      </c>
      <c r="O99" s="33">
        <v>1</v>
      </c>
      <c r="P99" s="33" t="s">
        <v>1606</v>
      </c>
      <c r="Q99" s="33"/>
      <c r="R99" s="33" t="s">
        <v>1607</v>
      </c>
      <c r="S99" s="33" t="s">
        <v>1608</v>
      </c>
      <c r="T99" s="33" t="s">
        <v>1609</v>
      </c>
      <c r="U99" s="33" t="s">
        <v>670</v>
      </c>
      <c r="V99" s="33" t="s">
        <v>644</v>
      </c>
      <c r="Y99" s="27"/>
      <c r="AD99" s="224"/>
      <c r="AE99" s="26"/>
      <c r="AJ99" s="26"/>
      <c r="AN99" s="27"/>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2"/>
      <c r="HX99" s="22"/>
      <c r="HY99" s="22"/>
      <c r="HZ99" s="22"/>
      <c r="IA99" s="22"/>
      <c r="IB99" s="22"/>
      <c r="IC99" s="22"/>
      <c r="ID99" s="22"/>
      <c r="IE99" s="22"/>
      <c r="IF99" s="22"/>
      <c r="IG99" s="22"/>
      <c r="IH99" s="22"/>
      <c r="II99" s="22"/>
      <c r="IJ99" s="22"/>
      <c r="IK99" s="22"/>
      <c r="IL99" s="22"/>
      <c r="IM99" s="22"/>
      <c r="IN99" s="22"/>
      <c r="IO99" s="22"/>
      <c r="IP99" s="22"/>
      <c r="IQ99" s="22"/>
      <c r="IR99" s="22"/>
      <c r="IS99" s="22"/>
      <c r="IT99" s="22"/>
      <c r="IU99" s="22"/>
      <c r="IV99" s="22"/>
      <c r="IW99" s="22"/>
      <c r="IX99" s="22"/>
      <c r="IY99" s="22"/>
      <c r="IZ99" s="22"/>
      <c r="JA99" s="22"/>
      <c r="JB99" s="22"/>
      <c r="JC99" s="22"/>
      <c r="JD99" s="22"/>
      <c r="JE99" s="22"/>
      <c r="JF99" s="22"/>
      <c r="JG99" s="22"/>
      <c r="JH99" s="22"/>
      <c r="JI99" s="22"/>
      <c r="JJ99" s="22"/>
      <c r="JK99" s="22"/>
      <c r="JL99" s="22"/>
      <c r="JM99" s="22"/>
      <c r="JN99" s="22"/>
      <c r="JO99" s="22"/>
      <c r="JP99" s="22"/>
      <c r="JQ99" s="22"/>
      <c r="JR99" s="22"/>
      <c r="JS99" s="22"/>
      <c r="JT99" s="22"/>
      <c r="JU99" s="22"/>
      <c r="JV99" s="22"/>
      <c r="JW99" s="22"/>
      <c r="JX99" s="22"/>
      <c r="JY99" s="22"/>
      <c r="JZ99" s="22"/>
      <c r="KA99" s="22"/>
      <c r="KB99" s="22"/>
      <c r="KC99" s="22"/>
      <c r="KD99" s="22"/>
      <c r="KE99" s="22"/>
      <c r="KF99" s="22"/>
      <c r="KG99" s="22"/>
      <c r="KH99" s="22"/>
      <c r="KI99" s="22"/>
      <c r="KJ99" s="22"/>
      <c r="KK99" s="22"/>
      <c r="KL99" s="22"/>
      <c r="KM99" s="22"/>
      <c r="KN99" s="22"/>
      <c r="KO99" s="22"/>
      <c r="KP99" s="22"/>
      <c r="KQ99" s="22"/>
      <c r="KR99" s="22"/>
      <c r="KS99" s="22"/>
      <c r="KT99" s="22"/>
      <c r="KU99" s="22"/>
      <c r="KV99" s="22"/>
      <c r="KW99" s="22"/>
      <c r="KX99" s="22"/>
      <c r="KY99" s="22"/>
      <c r="KZ99" s="22"/>
      <c r="LA99" s="22"/>
      <c r="LB99" s="22"/>
      <c r="LC99" s="22"/>
      <c r="LD99" s="22"/>
      <c r="LE99" s="22"/>
      <c r="LF99" s="22"/>
      <c r="LG99" s="22"/>
      <c r="LH99" s="22"/>
      <c r="LI99" s="22"/>
      <c r="LJ99" s="22"/>
      <c r="LK99" s="22"/>
      <c r="LL99" s="22"/>
      <c r="LM99" s="22"/>
      <c r="LN99" s="22"/>
      <c r="LO99" s="22"/>
      <c r="LP99" s="22"/>
      <c r="LQ99" s="22"/>
      <c r="LR99" s="22"/>
      <c r="LS99" s="22"/>
      <c r="LT99" s="22"/>
      <c r="LU99" s="22"/>
      <c r="LV99" s="22"/>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8">
        <f>SUM(Tabela7[[#This Row],[Communication]:[Training of DevOps activities]])</f>
        <v>0</v>
      </c>
    </row>
    <row r="100" spans="1:359" ht="14.4" x14ac:dyDescent="0.3">
      <c r="A100" s="22" t="s">
        <v>1610</v>
      </c>
      <c r="B100" s="29" t="s">
        <v>1611</v>
      </c>
      <c r="C100" s="29">
        <v>1</v>
      </c>
      <c r="D100" s="23" t="s">
        <v>717</v>
      </c>
      <c r="E100" s="29" t="s">
        <v>26753</v>
      </c>
      <c r="F100" s="29">
        <v>1</v>
      </c>
      <c r="G100" s="29">
        <v>1</v>
      </c>
      <c r="H100" t="s">
        <v>1612</v>
      </c>
      <c r="I100" t="s">
        <v>1613</v>
      </c>
      <c r="J100" t="s">
        <v>1614</v>
      </c>
      <c r="K100" t="s">
        <v>1615</v>
      </c>
      <c r="L100" t="s">
        <v>707</v>
      </c>
      <c r="M100">
        <v>2017</v>
      </c>
      <c r="N100" t="s">
        <v>1616</v>
      </c>
      <c r="O100">
        <v>6</v>
      </c>
      <c r="P100" t="s">
        <v>1617</v>
      </c>
      <c r="Q100" t="s">
        <v>1029</v>
      </c>
      <c r="R100" t="s">
        <v>1618</v>
      </c>
      <c r="S100" t="s">
        <v>1619</v>
      </c>
      <c r="T100" t="s">
        <v>646</v>
      </c>
      <c r="U100" t="s">
        <v>791</v>
      </c>
      <c r="V100" t="s">
        <v>644</v>
      </c>
      <c r="W100" s="29">
        <v>0</v>
      </c>
      <c r="X100" s="29">
        <v>0</v>
      </c>
      <c r="Y100" s="32"/>
      <c r="Z100" s="29"/>
      <c r="AA100" s="29">
        <v>1</v>
      </c>
      <c r="AB100" s="29"/>
      <c r="AC100" s="29"/>
      <c r="AD100" s="225"/>
      <c r="AE100" s="31">
        <v>1</v>
      </c>
      <c r="AF100" s="29"/>
      <c r="AG100" s="29"/>
      <c r="AH100" s="29"/>
      <c r="AI100" s="29"/>
      <c r="AJ100" s="31">
        <v>1</v>
      </c>
      <c r="AK100" s="29"/>
      <c r="AL100" s="29"/>
      <c r="AM100" s="29"/>
      <c r="AN100" s="34">
        <v>1</v>
      </c>
      <c r="AO100" s="28"/>
      <c r="AP100" s="28">
        <v>1</v>
      </c>
      <c r="AQ100" s="28"/>
      <c r="AR100" s="28"/>
      <c r="AS100" s="28"/>
      <c r="AT100" s="28">
        <v>1</v>
      </c>
      <c r="AU100" s="28">
        <v>1</v>
      </c>
      <c r="AV100" s="28"/>
      <c r="AW100" s="28"/>
      <c r="AX100" s="28"/>
      <c r="AY100" s="28"/>
      <c r="AZ100" s="28"/>
      <c r="BA100" s="28"/>
      <c r="BB100" s="28"/>
      <c r="BC100" s="28">
        <v>1</v>
      </c>
      <c r="BD100" s="28">
        <v>1</v>
      </c>
      <c r="BE100" s="28"/>
      <c r="BF100" s="28"/>
      <c r="BG100" s="28"/>
      <c r="BH100" s="28">
        <v>1</v>
      </c>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v>1</v>
      </c>
      <c r="CW100" s="28"/>
      <c r="CX100" s="28"/>
      <c r="CY100" s="28"/>
      <c r="CZ100" s="28"/>
      <c r="DA100" s="28"/>
      <c r="DB100" s="28"/>
      <c r="DC100" s="28"/>
      <c r="DD100" s="35"/>
      <c r="DE100" s="35"/>
      <c r="DF100" s="35"/>
      <c r="DG100" s="35"/>
      <c r="DH100" s="35"/>
      <c r="DI100" s="35"/>
      <c r="DJ100" s="35"/>
      <c r="DK100" s="35"/>
      <c r="DL100" s="35"/>
      <c r="DM100" s="35"/>
      <c r="DN100" s="35"/>
      <c r="EQ100" s="22">
        <v>1</v>
      </c>
      <c r="ES100" s="22">
        <v>1</v>
      </c>
      <c r="GK100" s="22">
        <v>1</v>
      </c>
      <c r="HG100" s="22">
        <v>1</v>
      </c>
      <c r="HT100" s="22">
        <v>1</v>
      </c>
      <c r="HU100" s="22">
        <v>1</v>
      </c>
      <c r="IE100" s="22">
        <v>1</v>
      </c>
      <c r="II100" s="22">
        <v>1</v>
      </c>
      <c r="IO100" s="22">
        <v>1</v>
      </c>
      <c r="LB100" s="22">
        <v>1</v>
      </c>
      <c r="MU100" s="28">
        <f>SUM(Tabela7[[#This Row],[Communication]:[Training of DevOps activities]])</f>
        <v>18</v>
      </c>
    </row>
    <row r="101" spans="1:359" ht="14.4" x14ac:dyDescent="0.3">
      <c r="A101" s="22" t="s">
        <v>1620</v>
      </c>
      <c r="B101" s="29" t="s">
        <v>1621</v>
      </c>
      <c r="C101" s="29">
        <v>1</v>
      </c>
      <c r="D101" s="23" t="s">
        <v>717</v>
      </c>
      <c r="E101" s="29">
        <v>1</v>
      </c>
      <c r="F101" s="29">
        <v>1</v>
      </c>
      <c r="G101" s="29">
        <v>1</v>
      </c>
      <c r="H101" t="s">
        <v>1622</v>
      </c>
      <c r="I101"/>
      <c r="J101"/>
      <c r="K101" t="s">
        <v>27245</v>
      </c>
      <c r="L101" t="s">
        <v>981</v>
      </c>
      <c r="M101">
        <v>2020</v>
      </c>
      <c r="N101" t="s">
        <v>1240</v>
      </c>
      <c r="O101"/>
      <c r="P101"/>
      <c r="Q101" t="s">
        <v>1221</v>
      </c>
      <c r="R101"/>
      <c r="S101"/>
      <c r="T101"/>
      <c r="U101"/>
      <c r="V101"/>
      <c r="W101" s="29">
        <v>1</v>
      </c>
      <c r="X101" s="29" t="s">
        <v>26753</v>
      </c>
      <c r="Y101" s="32"/>
      <c r="Z101" s="29"/>
      <c r="AA101" s="29">
        <v>1</v>
      </c>
      <c r="AB101" s="29"/>
      <c r="AC101" s="29"/>
      <c r="AD101" s="225">
        <v>1</v>
      </c>
      <c r="AE101" s="31"/>
      <c r="AF101" s="29"/>
      <c r="AG101" s="29">
        <v>1</v>
      </c>
      <c r="AH101" s="29">
        <v>1</v>
      </c>
      <c r="AI101" s="29">
        <v>1</v>
      </c>
      <c r="AJ101" s="31"/>
      <c r="AK101" s="29">
        <v>1</v>
      </c>
      <c r="AL101" s="29"/>
      <c r="AM101" s="29"/>
      <c r="AN101" s="34"/>
      <c r="AO101" s="28"/>
      <c r="AP101" s="28">
        <v>1</v>
      </c>
      <c r="AQ101" s="28">
        <v>1</v>
      </c>
      <c r="AR101" s="28"/>
      <c r="AS101" s="28">
        <v>1</v>
      </c>
      <c r="AT101" s="28">
        <v>1</v>
      </c>
      <c r="AU101" s="28"/>
      <c r="AV101" s="28"/>
      <c r="AW101" s="28"/>
      <c r="AX101" s="28"/>
      <c r="AY101" s="28">
        <v>1</v>
      </c>
      <c r="AZ101" s="28"/>
      <c r="BA101" s="28"/>
      <c r="BB101" s="28"/>
      <c r="BC101" s="28">
        <v>1</v>
      </c>
      <c r="BD101" s="28"/>
      <c r="BE101" s="28">
        <v>1</v>
      </c>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v>1</v>
      </c>
      <c r="DA101" s="28"/>
      <c r="DB101" s="28"/>
      <c r="DC101" s="28"/>
      <c r="DD101" s="35">
        <v>1</v>
      </c>
      <c r="DE101" s="35"/>
      <c r="DF101" s="35"/>
      <c r="DG101" s="35"/>
      <c r="DH101" s="35"/>
      <c r="DI101" s="35"/>
      <c r="DJ101" s="35"/>
      <c r="DK101" s="35"/>
      <c r="DL101" s="35"/>
      <c r="DM101" s="35"/>
      <c r="DN101" s="35"/>
      <c r="FV101" s="22">
        <v>1</v>
      </c>
      <c r="IE101" s="22">
        <v>1</v>
      </c>
      <c r="IS101" s="22">
        <v>1</v>
      </c>
      <c r="JP101" s="22">
        <v>1</v>
      </c>
      <c r="JT101" s="22">
        <v>1</v>
      </c>
      <c r="JY101" s="22">
        <v>1</v>
      </c>
      <c r="LH101" s="22">
        <v>1</v>
      </c>
      <c r="LI101" s="22">
        <v>1</v>
      </c>
      <c r="LJ101" s="22">
        <v>1</v>
      </c>
      <c r="LK101" s="22">
        <v>1</v>
      </c>
      <c r="LL101" s="22">
        <v>1</v>
      </c>
      <c r="LM101" s="22">
        <v>1</v>
      </c>
      <c r="MU101" s="28">
        <f>SUM(Tabela7[[#This Row],[Communication]:[Training of DevOps activities]])</f>
        <v>21</v>
      </c>
    </row>
    <row r="102" spans="1:359" ht="14.4" x14ac:dyDescent="0.3">
      <c r="A102" s="22" t="s">
        <v>1623</v>
      </c>
      <c r="B102" s="29" t="s">
        <v>1624</v>
      </c>
      <c r="C102" s="29">
        <v>1</v>
      </c>
      <c r="D102" s="23" t="s">
        <v>717</v>
      </c>
      <c r="E102" s="29">
        <v>1</v>
      </c>
      <c r="F102" s="29">
        <v>1</v>
      </c>
      <c r="G102" s="29">
        <v>1</v>
      </c>
      <c r="H102" t="s">
        <v>1625</v>
      </c>
      <c r="I102"/>
      <c r="J102"/>
      <c r="K102" t="s">
        <v>27246</v>
      </c>
      <c r="L102" t="s">
        <v>981</v>
      </c>
      <c r="M102">
        <v>2019</v>
      </c>
      <c r="N102" t="s">
        <v>1494</v>
      </c>
      <c r="O102"/>
      <c r="P102"/>
      <c r="Q102" t="s">
        <v>984</v>
      </c>
      <c r="R102"/>
      <c r="S102"/>
      <c r="T102"/>
      <c r="U102"/>
      <c r="V102"/>
      <c r="W102" s="29">
        <v>1</v>
      </c>
      <c r="X102" s="29">
        <v>0</v>
      </c>
      <c r="Y102" s="32"/>
      <c r="Z102" s="29">
        <v>1</v>
      </c>
      <c r="AA102" s="29">
        <v>1</v>
      </c>
      <c r="AB102" s="29"/>
      <c r="AC102" s="29"/>
      <c r="AD102" s="225">
        <v>1</v>
      </c>
      <c r="AE102" s="31"/>
      <c r="AF102" s="29"/>
      <c r="AG102" s="29"/>
      <c r="AH102" s="29">
        <v>1</v>
      </c>
      <c r="AI102" s="29"/>
      <c r="AJ102" s="31"/>
      <c r="AK102" s="29">
        <v>1</v>
      </c>
      <c r="AL102" s="29"/>
      <c r="AM102" s="29"/>
      <c r="AN102" s="34"/>
      <c r="AO102" s="28">
        <v>1</v>
      </c>
      <c r="AP102" s="28">
        <v>1</v>
      </c>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v>1</v>
      </c>
      <c r="CX102" s="28"/>
      <c r="CY102" s="28"/>
      <c r="CZ102" s="28"/>
      <c r="DA102" s="28"/>
      <c r="DB102" s="28"/>
      <c r="DC102" s="28"/>
      <c r="DD102" s="35"/>
      <c r="DE102" s="35"/>
      <c r="DF102" s="35"/>
      <c r="DG102" s="35"/>
      <c r="DH102" s="35"/>
      <c r="DI102" s="35"/>
      <c r="DJ102" s="35"/>
      <c r="DK102" s="35"/>
      <c r="DL102" s="35"/>
      <c r="DM102" s="35"/>
      <c r="DN102" s="35"/>
      <c r="ID102" s="22">
        <v>1</v>
      </c>
      <c r="IK102" s="22">
        <v>1</v>
      </c>
      <c r="KA102" s="22">
        <v>1</v>
      </c>
      <c r="LG102" s="22">
        <v>1</v>
      </c>
      <c r="MU102" s="28">
        <f>SUM(Tabela7[[#This Row],[Communication]:[Training of DevOps activities]])</f>
        <v>7</v>
      </c>
    </row>
    <row r="103" spans="1:359" s="23" customFormat="1" ht="14.4" hidden="1" x14ac:dyDescent="0.3">
      <c r="A103" s="22" t="s">
        <v>1626</v>
      </c>
      <c r="B103" s="29" t="s">
        <v>1627</v>
      </c>
      <c r="C103" s="23">
        <v>0</v>
      </c>
      <c r="E103" s="23">
        <v>1</v>
      </c>
      <c r="F103" s="23">
        <v>1</v>
      </c>
      <c r="G103" s="24"/>
      <c r="H103" s="23" t="s">
        <v>1122</v>
      </c>
      <c r="I103" s="39"/>
      <c r="J103" s="39"/>
      <c r="K103"/>
      <c r="L103" s="39"/>
      <c r="M103" s="39"/>
      <c r="N103" s="39"/>
      <c r="O103" s="39"/>
      <c r="P103" s="39"/>
      <c r="Q103" s="39"/>
      <c r="R103" s="39"/>
      <c r="S103" s="39"/>
      <c r="T103" s="39"/>
      <c r="U103" s="39"/>
      <c r="V103" s="39"/>
      <c r="Y103" s="27"/>
      <c r="AD103" s="224"/>
      <c r="AE103" s="26"/>
      <c r="AJ103" s="26"/>
      <c r="AN103" s="27"/>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2"/>
      <c r="HM103" s="22"/>
      <c r="HN103" s="22"/>
      <c r="HO103" s="22"/>
      <c r="HP103" s="22"/>
      <c r="HQ103" s="22"/>
      <c r="HR103" s="22"/>
      <c r="HS103" s="22"/>
      <c r="HT103" s="22"/>
      <c r="HU103" s="22"/>
      <c r="HV103" s="22"/>
      <c r="HW103" s="22"/>
      <c r="HX103" s="22"/>
      <c r="HY103" s="22"/>
      <c r="HZ103" s="22"/>
      <c r="IA103" s="22"/>
      <c r="IB103" s="22"/>
      <c r="IC103" s="22"/>
      <c r="ID103" s="22"/>
      <c r="IE103" s="22"/>
      <c r="IF103" s="22"/>
      <c r="IG103" s="22"/>
      <c r="IH103" s="22"/>
      <c r="II103" s="22"/>
      <c r="IJ103" s="22"/>
      <c r="IK103" s="22"/>
      <c r="IL103" s="22"/>
      <c r="IM103" s="22"/>
      <c r="IN103" s="22"/>
      <c r="IO103" s="22"/>
      <c r="IP103" s="22"/>
      <c r="IQ103" s="22"/>
      <c r="IR103" s="22"/>
      <c r="IS103" s="22"/>
      <c r="IT103" s="22"/>
      <c r="IU103" s="22"/>
      <c r="IV103" s="22"/>
      <c r="IW103" s="22"/>
      <c r="IX103" s="22"/>
      <c r="IY103" s="22"/>
      <c r="IZ103" s="22"/>
      <c r="JA103" s="22"/>
      <c r="JB103" s="22"/>
      <c r="JC103" s="22"/>
      <c r="JD103" s="22"/>
      <c r="JE103" s="22"/>
      <c r="JF103" s="22"/>
      <c r="JG103" s="22"/>
      <c r="JH103" s="22"/>
      <c r="JI103" s="22"/>
      <c r="JJ103" s="22"/>
      <c r="JK103" s="22"/>
      <c r="JL103" s="22"/>
      <c r="JM103" s="22"/>
      <c r="JN103" s="22"/>
      <c r="JO103" s="22"/>
      <c r="JP103" s="22"/>
      <c r="JQ103" s="22"/>
      <c r="JR103" s="22"/>
      <c r="JS103" s="22"/>
      <c r="JT103" s="22"/>
      <c r="JU103" s="22"/>
      <c r="JV103" s="22"/>
      <c r="JW103" s="22"/>
      <c r="JX103" s="22"/>
      <c r="JY103" s="22"/>
      <c r="JZ103" s="22"/>
      <c r="KA103" s="22"/>
      <c r="KB103" s="22"/>
      <c r="KC103" s="22"/>
      <c r="KD103" s="22"/>
      <c r="KE103" s="22"/>
      <c r="KF103" s="22"/>
      <c r="KG103" s="22"/>
      <c r="KH103" s="22"/>
      <c r="KI103" s="22"/>
      <c r="KJ103" s="22"/>
      <c r="KK103" s="22"/>
      <c r="KL103" s="22"/>
      <c r="KM103" s="22"/>
      <c r="KN103" s="22"/>
      <c r="KO103" s="22"/>
      <c r="KP103" s="22"/>
      <c r="KQ103" s="22"/>
      <c r="KR103" s="22"/>
      <c r="KS103" s="22"/>
      <c r="KT103" s="22"/>
      <c r="KU103" s="22"/>
      <c r="KV103" s="22"/>
      <c r="KW103" s="22"/>
      <c r="KX103" s="22"/>
      <c r="KY103" s="22"/>
      <c r="KZ103" s="22"/>
      <c r="LA103" s="22"/>
      <c r="LB103" s="22"/>
      <c r="LC103" s="22"/>
      <c r="LD103" s="22"/>
      <c r="LE103" s="22"/>
      <c r="LF103" s="22"/>
      <c r="LG103" s="22"/>
      <c r="LH103" s="22"/>
      <c r="LI103" s="22"/>
      <c r="LJ103" s="22"/>
      <c r="LK103" s="22"/>
      <c r="LL103" s="22"/>
      <c r="LM103" s="22"/>
      <c r="LN103" s="22"/>
      <c r="LO103" s="22"/>
      <c r="LP103" s="22"/>
      <c r="LQ103" s="22"/>
      <c r="LR103" s="22"/>
      <c r="LS103" s="22"/>
      <c r="LT103" s="22"/>
      <c r="LU103" s="22"/>
      <c r="LV103" s="22"/>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8">
        <f>SUM(Tabela7[[#This Row],[Communication]:[Training of DevOps activities]])</f>
        <v>0</v>
      </c>
    </row>
    <row r="104" spans="1:359" ht="14.4" hidden="1" x14ac:dyDescent="0.3">
      <c r="A104" s="22" t="s">
        <v>1628</v>
      </c>
      <c r="B104" s="29" t="s">
        <v>1629</v>
      </c>
      <c r="C104" s="29">
        <v>1</v>
      </c>
      <c r="E104" s="29"/>
      <c r="G104" s="29">
        <v>0</v>
      </c>
      <c r="H104" s="23" t="s">
        <v>1630</v>
      </c>
      <c r="I104" s="40"/>
      <c r="J104" s="33"/>
      <c r="K104"/>
      <c r="L104" s="33"/>
      <c r="M104" s="33">
        <v>2020</v>
      </c>
      <c r="N104" s="33"/>
      <c r="O104" s="33"/>
      <c r="P104" s="33"/>
      <c r="Q104" s="33"/>
      <c r="R104" s="33"/>
      <c r="S104" s="33"/>
      <c r="T104" s="33"/>
      <c r="U104" s="33"/>
      <c r="V104" s="33"/>
      <c r="W104" s="28"/>
      <c r="X104" s="28"/>
      <c r="Y104" s="34"/>
      <c r="Z104" s="28"/>
      <c r="AA104" s="28"/>
      <c r="AB104" s="28"/>
      <c r="AC104" s="28"/>
      <c r="AD104" s="227"/>
      <c r="AE104" s="41"/>
      <c r="AF104" s="28"/>
      <c r="AG104" s="41"/>
      <c r="AH104" s="28"/>
      <c r="AI104" s="28"/>
      <c r="AJ104" s="41"/>
      <c r="AK104" s="28"/>
      <c r="AL104" s="28"/>
      <c r="AM104" s="28"/>
      <c r="AN104" s="34"/>
      <c r="AO104" s="28"/>
      <c r="AP104" s="28"/>
      <c r="AQ104" s="28"/>
      <c r="AR104" s="28"/>
      <c r="AS104" s="41"/>
      <c r="AT104" s="28"/>
      <c r="AU104" s="28"/>
      <c r="AV104" s="28"/>
      <c r="AW104" s="28"/>
      <c r="AX104" s="28"/>
      <c r="AY104" s="28"/>
      <c r="AZ104" s="28"/>
      <c r="BA104" s="28"/>
      <c r="BB104" s="28"/>
      <c r="BC104" s="28"/>
      <c r="BD104" s="28"/>
      <c r="BE104" s="34"/>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35"/>
      <c r="DE104" s="35"/>
      <c r="DF104" s="35"/>
      <c r="DG104" s="35"/>
      <c r="DH104" s="35"/>
      <c r="DI104" s="35"/>
      <c r="DJ104" s="35"/>
      <c r="DK104" s="35"/>
      <c r="DL104" s="35"/>
      <c r="DM104" s="35"/>
      <c r="DN104" s="35"/>
      <c r="DS104" s="28"/>
      <c r="MU104" s="28">
        <f>SUM(Tabela7[[#This Row],[Communication]:[Training of DevOps activities]])</f>
        <v>0</v>
      </c>
    </row>
    <row r="105" spans="1:359" ht="14.4" x14ac:dyDescent="0.3">
      <c r="A105" s="22" t="s">
        <v>1631</v>
      </c>
      <c r="B105" s="29" t="s">
        <v>1632</v>
      </c>
      <c r="C105" s="29">
        <v>1</v>
      </c>
      <c r="D105" s="23" t="s">
        <v>717</v>
      </c>
      <c r="E105" s="29">
        <v>1</v>
      </c>
      <c r="F105" s="29">
        <v>1</v>
      </c>
      <c r="G105" s="29">
        <v>1</v>
      </c>
      <c r="H105" t="s">
        <v>1633</v>
      </c>
      <c r="I105"/>
      <c r="J105"/>
      <c r="K105" t="s">
        <v>27248</v>
      </c>
      <c r="L105" t="s">
        <v>707</v>
      </c>
      <c r="M105">
        <v>2020</v>
      </c>
      <c r="N105" t="s">
        <v>27247</v>
      </c>
      <c r="O105"/>
      <c r="P105"/>
      <c r="Q105" t="s">
        <v>1634</v>
      </c>
      <c r="R105"/>
      <c r="S105"/>
      <c r="T105"/>
      <c r="U105"/>
      <c r="V105"/>
      <c r="W105" s="28">
        <v>1</v>
      </c>
      <c r="X105" s="29" t="s">
        <v>26753</v>
      </c>
      <c r="Y105" s="32"/>
      <c r="Z105" s="28"/>
      <c r="AA105" s="28"/>
      <c r="AB105" s="28">
        <v>1</v>
      </c>
      <c r="AC105" s="28"/>
      <c r="AD105" s="227"/>
      <c r="AE105" s="31">
        <v>1</v>
      </c>
      <c r="AF105" s="29"/>
      <c r="AG105" s="29"/>
      <c r="AH105" s="29"/>
      <c r="AI105" s="29"/>
      <c r="AJ105" s="31">
        <v>1</v>
      </c>
      <c r="AK105" s="29"/>
      <c r="AL105" s="29"/>
      <c r="AM105" s="29"/>
      <c r="AN105" s="34"/>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35"/>
      <c r="DE105" s="35"/>
      <c r="DF105" s="35"/>
      <c r="DG105" s="35"/>
      <c r="DH105" s="35"/>
      <c r="DI105" s="35"/>
      <c r="DJ105" s="35"/>
      <c r="DK105" s="35"/>
      <c r="DL105" s="35"/>
      <c r="DM105" s="35"/>
      <c r="DN105" s="35"/>
      <c r="DS105" s="28"/>
      <c r="EJ105" s="22">
        <v>1</v>
      </c>
      <c r="JJ105" s="22">
        <v>1</v>
      </c>
      <c r="MU105" s="28">
        <f>SUM(Tabela7[[#This Row],[Communication]:[Training of DevOps activities]])</f>
        <v>2</v>
      </c>
    </row>
    <row r="106" spans="1:359" ht="14.4" x14ac:dyDescent="0.3">
      <c r="A106" s="22" t="s">
        <v>1635</v>
      </c>
      <c r="B106" s="29" t="s">
        <v>1636</v>
      </c>
      <c r="C106" s="29">
        <v>1</v>
      </c>
      <c r="D106" s="114" t="s">
        <v>1117</v>
      </c>
      <c r="E106" s="29">
        <v>1</v>
      </c>
      <c r="F106" s="29">
        <v>1</v>
      </c>
      <c r="G106" s="29">
        <v>1</v>
      </c>
      <c r="H106" t="s">
        <v>1637</v>
      </c>
      <c r="I106"/>
      <c r="J106"/>
      <c r="K106" t="s">
        <v>27249</v>
      </c>
      <c r="L106" t="s">
        <v>1299</v>
      </c>
      <c r="M106">
        <v>2020</v>
      </c>
      <c r="N106" t="s">
        <v>1494</v>
      </c>
      <c r="O106"/>
      <c r="P106"/>
      <c r="Q106" t="s">
        <v>875</v>
      </c>
      <c r="R106"/>
      <c r="S106"/>
      <c r="T106"/>
      <c r="U106"/>
      <c r="V106"/>
      <c r="W106" s="28">
        <v>1</v>
      </c>
      <c r="X106" s="28">
        <v>0</v>
      </c>
      <c r="Y106" s="32"/>
      <c r="Z106" s="28"/>
      <c r="AA106" s="28">
        <v>1</v>
      </c>
      <c r="AB106" s="28"/>
      <c r="AC106" s="28">
        <v>1</v>
      </c>
      <c r="AD106" s="227"/>
      <c r="AE106" s="31"/>
      <c r="AF106" s="29"/>
      <c r="AG106" s="29"/>
      <c r="AH106" s="29"/>
      <c r="AI106" s="29">
        <v>1</v>
      </c>
      <c r="AJ106" s="31"/>
      <c r="AK106" s="29">
        <v>1</v>
      </c>
      <c r="AL106" s="29"/>
      <c r="AM106" s="29"/>
      <c r="AN106" s="34"/>
      <c r="AO106" s="28"/>
      <c r="AP106" s="28"/>
      <c r="AQ106" s="28"/>
      <c r="AR106" s="28"/>
      <c r="AS106" s="28"/>
      <c r="AT106" s="28">
        <v>1</v>
      </c>
      <c r="AU106" s="28"/>
      <c r="AV106" s="28">
        <v>1</v>
      </c>
      <c r="AW106" s="28"/>
      <c r="AX106" s="28"/>
      <c r="AY106" s="28"/>
      <c r="AZ106" s="28"/>
      <c r="BA106" s="28"/>
      <c r="BB106" s="28"/>
      <c r="BC106" s="28">
        <v>1</v>
      </c>
      <c r="BD106" s="28"/>
      <c r="BE106" s="28"/>
      <c r="BF106" s="28"/>
      <c r="BG106" s="28"/>
      <c r="BH106" s="28"/>
      <c r="BI106" s="28"/>
      <c r="BJ106" s="28">
        <v>1</v>
      </c>
      <c r="BK106" s="28">
        <v>1</v>
      </c>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v>1</v>
      </c>
      <c r="CM106" s="28"/>
      <c r="CN106" s="28"/>
      <c r="CO106" s="28"/>
      <c r="CP106" s="28"/>
      <c r="CQ106" s="28"/>
      <c r="CR106" s="28"/>
      <c r="CS106" s="28"/>
      <c r="CT106" s="28"/>
      <c r="CU106" s="28">
        <v>1</v>
      </c>
      <c r="CV106" s="28"/>
      <c r="CW106" s="28"/>
      <c r="CX106" s="28"/>
      <c r="CY106" s="28"/>
      <c r="CZ106" s="28"/>
      <c r="DA106" s="28"/>
      <c r="DB106" s="28"/>
      <c r="DC106" s="28"/>
      <c r="DD106" s="35"/>
      <c r="DE106" s="35"/>
      <c r="DF106" s="35"/>
      <c r="DG106" s="35"/>
      <c r="DH106" s="35"/>
      <c r="DI106" s="35"/>
      <c r="DJ106" s="35"/>
      <c r="DK106" s="35"/>
      <c r="DL106" s="35"/>
      <c r="DM106" s="35"/>
      <c r="DN106" s="35"/>
      <c r="DS106" s="28"/>
      <c r="DT106" s="22">
        <v>1</v>
      </c>
      <c r="DX106" s="22">
        <v>1</v>
      </c>
      <c r="EI106" s="22">
        <v>1</v>
      </c>
      <c r="EL106" s="22">
        <v>1</v>
      </c>
      <c r="EP106" s="22">
        <v>1</v>
      </c>
      <c r="FC106" s="22">
        <v>1</v>
      </c>
      <c r="FK106" s="22">
        <v>1</v>
      </c>
      <c r="FN106" s="22">
        <v>1</v>
      </c>
      <c r="FP106" s="22">
        <v>1</v>
      </c>
      <c r="GH106" s="22">
        <v>1</v>
      </c>
      <c r="GM106" s="22">
        <v>1</v>
      </c>
      <c r="GR106" s="22">
        <v>1</v>
      </c>
      <c r="IP106" s="22">
        <v>1</v>
      </c>
      <c r="JK106" s="22">
        <v>1</v>
      </c>
      <c r="JY106" s="22">
        <v>1</v>
      </c>
      <c r="KA106" s="22">
        <v>1</v>
      </c>
      <c r="LB106" s="22">
        <v>1</v>
      </c>
      <c r="LD106" s="22">
        <v>1</v>
      </c>
      <c r="LE106" s="22">
        <v>1</v>
      </c>
      <c r="LI106" s="22">
        <v>1</v>
      </c>
      <c r="LJ106" s="22">
        <v>1</v>
      </c>
      <c r="LQ106" s="22">
        <v>1</v>
      </c>
      <c r="LR106" s="22">
        <v>1</v>
      </c>
      <c r="MU106" s="28">
        <f>SUM(Tabela7[[#This Row],[Communication]:[Training of DevOps activities]])</f>
        <v>30</v>
      </c>
    </row>
    <row r="107" spans="1:359" ht="14.4" x14ac:dyDescent="0.3">
      <c r="A107" s="22" t="s">
        <v>1638</v>
      </c>
      <c r="B107" s="29" t="s">
        <v>1639</v>
      </c>
      <c r="C107" s="29">
        <v>1</v>
      </c>
      <c r="D107" s="23" t="s">
        <v>717</v>
      </c>
      <c r="E107" s="29">
        <v>1</v>
      </c>
      <c r="F107" s="29">
        <v>1</v>
      </c>
      <c r="G107" s="24">
        <v>1</v>
      </c>
      <c r="H107" t="s">
        <v>1640</v>
      </c>
      <c r="I107" t="s">
        <v>1641</v>
      </c>
      <c r="J107" t="s">
        <v>1642</v>
      </c>
      <c r="K107" t="s">
        <v>1643</v>
      </c>
      <c r="L107" t="s">
        <v>1139</v>
      </c>
      <c r="M107">
        <v>2020</v>
      </c>
      <c r="N107" t="s">
        <v>959</v>
      </c>
      <c r="O107">
        <v>1</v>
      </c>
      <c r="P107" t="s">
        <v>1644</v>
      </c>
      <c r="Q107" t="s">
        <v>1634</v>
      </c>
      <c r="R107" t="s">
        <v>1645</v>
      </c>
      <c r="S107" t="s">
        <v>1646</v>
      </c>
      <c r="T107" t="s">
        <v>646</v>
      </c>
      <c r="U107" t="s">
        <v>670</v>
      </c>
      <c r="V107" t="s">
        <v>644</v>
      </c>
      <c r="W107" s="35">
        <v>1</v>
      </c>
      <c r="X107" s="35" t="s">
        <v>26753</v>
      </c>
      <c r="Y107" s="32"/>
      <c r="Z107" s="35"/>
      <c r="AA107" s="28">
        <v>1</v>
      </c>
      <c r="AB107" s="28">
        <v>1</v>
      </c>
      <c r="AC107" s="35"/>
      <c r="AD107" s="228"/>
      <c r="AE107" s="31">
        <v>1</v>
      </c>
      <c r="AF107" s="29"/>
      <c r="AG107" s="29"/>
      <c r="AH107" s="29"/>
      <c r="AI107" s="29"/>
      <c r="AJ107" s="31">
        <v>1</v>
      </c>
      <c r="AK107" s="29"/>
      <c r="AL107" s="29"/>
      <c r="AM107" s="29"/>
      <c r="AN107" s="34">
        <v>1</v>
      </c>
      <c r="AO107" s="28">
        <v>1</v>
      </c>
      <c r="AP107" s="28">
        <v>1</v>
      </c>
      <c r="AQ107" s="28"/>
      <c r="AR107" s="28"/>
      <c r="AS107" s="28"/>
      <c r="AT107" s="28">
        <v>1</v>
      </c>
      <c r="AU107" s="28"/>
      <c r="AV107" s="28"/>
      <c r="AW107" s="28">
        <v>1</v>
      </c>
      <c r="AX107" s="28"/>
      <c r="AY107" s="28"/>
      <c r="AZ107" s="28"/>
      <c r="BA107" s="28"/>
      <c r="BB107" s="28"/>
      <c r="BC107" s="28"/>
      <c r="BD107" s="28"/>
      <c r="BE107" s="28"/>
      <c r="BF107" s="35"/>
      <c r="BG107" s="35"/>
      <c r="BH107" s="35">
        <v>1</v>
      </c>
      <c r="BI107" s="35"/>
      <c r="BJ107" s="35"/>
      <c r="BK107" s="35"/>
      <c r="BL107" s="35"/>
      <c r="BM107" s="35"/>
      <c r="BN107" s="35"/>
      <c r="BO107" s="35"/>
      <c r="BP107" s="35"/>
      <c r="BQ107" s="35">
        <v>1</v>
      </c>
      <c r="BR107" s="35"/>
      <c r="BS107" s="35"/>
      <c r="BT107" s="35"/>
      <c r="BU107" s="35"/>
      <c r="BV107" s="35"/>
      <c r="BW107" s="35"/>
      <c r="BX107" s="35"/>
      <c r="BY107" s="35"/>
      <c r="BZ107" s="35"/>
      <c r="CA107" s="35"/>
      <c r="CB107" s="35"/>
      <c r="CC107" s="35"/>
      <c r="CD107" s="35"/>
      <c r="CE107" s="35"/>
      <c r="CF107" s="35"/>
      <c r="CG107" s="35"/>
      <c r="CH107" s="35"/>
      <c r="CI107" s="35"/>
      <c r="CJ107" s="35"/>
      <c r="CK107" s="35"/>
      <c r="CL107" s="35">
        <v>1</v>
      </c>
      <c r="CM107" s="35"/>
      <c r="CN107" s="35"/>
      <c r="CO107" s="35"/>
      <c r="CP107" s="35"/>
      <c r="CQ107" s="28"/>
      <c r="CR107" s="35"/>
      <c r="CS107" s="28"/>
      <c r="CT107" s="35"/>
      <c r="CU107" s="35"/>
      <c r="CV107" s="35"/>
      <c r="CW107" s="35"/>
      <c r="CX107" s="35"/>
      <c r="CY107" s="35"/>
      <c r="CZ107" s="35"/>
      <c r="DA107" s="35"/>
      <c r="DB107" s="35"/>
      <c r="DC107" s="35"/>
      <c r="DD107" s="35"/>
      <c r="DE107" s="35"/>
      <c r="DF107" s="35"/>
      <c r="DG107" s="35"/>
      <c r="DH107" s="35"/>
      <c r="DI107" s="35"/>
      <c r="DJ107" s="35"/>
      <c r="DK107" s="35"/>
      <c r="DL107" s="35"/>
      <c r="DM107" s="35"/>
      <c r="DN107" s="35"/>
      <c r="DS107" s="28"/>
      <c r="EX107" s="22">
        <v>1</v>
      </c>
      <c r="GB107" s="22">
        <v>1</v>
      </c>
      <c r="HC107" s="22">
        <v>1</v>
      </c>
      <c r="IS107" s="22">
        <v>1</v>
      </c>
      <c r="LV107" s="22">
        <v>1</v>
      </c>
      <c r="MU107" s="28">
        <f>SUM(Tabela7[[#This Row],[Communication]:[Training of DevOps activities]])</f>
        <v>13</v>
      </c>
    </row>
    <row r="108" spans="1:359" hidden="1" x14ac:dyDescent="0.25">
      <c r="A108" s="22" t="s">
        <v>1647</v>
      </c>
      <c r="B108" s="29" t="s">
        <v>1648</v>
      </c>
      <c r="C108" s="29">
        <v>1</v>
      </c>
      <c r="D108" s="23" t="s">
        <v>644</v>
      </c>
      <c r="E108" s="29"/>
      <c r="G108" s="24">
        <v>0</v>
      </c>
      <c r="H108" s="23" t="s">
        <v>1649</v>
      </c>
      <c r="I108" s="42" t="s">
        <v>1650</v>
      </c>
      <c r="J108" s="43" t="s">
        <v>1651</v>
      </c>
      <c r="K108" s="43" t="s">
        <v>1652</v>
      </c>
      <c r="L108" s="43"/>
      <c r="M108" s="43">
        <v>2020</v>
      </c>
      <c r="N108" s="43" t="s">
        <v>1653</v>
      </c>
      <c r="O108" s="43"/>
      <c r="P108" s="43" t="s">
        <v>1654</v>
      </c>
      <c r="Q108" s="43"/>
      <c r="R108" s="43" t="s">
        <v>1655</v>
      </c>
      <c r="S108" s="43" t="s">
        <v>1656</v>
      </c>
      <c r="T108" s="43" t="s">
        <v>1657</v>
      </c>
      <c r="U108" s="43" t="s">
        <v>655</v>
      </c>
      <c r="V108" s="43" t="s">
        <v>644</v>
      </c>
      <c r="W108" s="35"/>
      <c r="Y108" s="32"/>
      <c r="AA108" s="28"/>
      <c r="AB108" s="28"/>
      <c r="AD108" s="229"/>
      <c r="AE108" s="31"/>
      <c r="AF108" s="29"/>
      <c r="AG108" s="29"/>
      <c r="AH108" s="29"/>
      <c r="AI108" s="29"/>
      <c r="AJ108" s="31"/>
      <c r="AK108" s="29"/>
      <c r="AL108" s="29"/>
      <c r="AM108" s="29"/>
      <c r="AN108" s="34"/>
      <c r="AO108" s="28"/>
      <c r="AP108" s="28"/>
      <c r="AQ108" s="28"/>
      <c r="AR108" s="28"/>
      <c r="AS108" s="28"/>
      <c r="AT108" s="28"/>
      <c r="AU108" s="28"/>
      <c r="AV108" s="28"/>
      <c r="AW108" s="28"/>
      <c r="AX108" s="28"/>
      <c r="AY108" s="28"/>
      <c r="AZ108" s="28"/>
      <c r="BA108" s="28"/>
      <c r="BB108" s="28"/>
      <c r="BC108" s="28"/>
      <c r="BD108" s="28"/>
      <c r="BE108" s="28"/>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28"/>
      <c r="CR108" s="35"/>
      <c r="CS108" s="28"/>
      <c r="CT108" s="35"/>
      <c r="CU108" s="35"/>
      <c r="CV108" s="35"/>
      <c r="CW108" s="35"/>
      <c r="CX108" s="35"/>
      <c r="CY108" s="35"/>
      <c r="CZ108" s="35"/>
      <c r="DA108" s="35"/>
      <c r="DB108" s="35"/>
      <c r="DC108" s="35"/>
      <c r="DD108" s="35"/>
      <c r="DE108" s="35"/>
      <c r="DF108" s="35"/>
      <c r="DG108" s="35"/>
      <c r="DH108" s="35"/>
      <c r="DI108" s="35"/>
      <c r="DJ108" s="35"/>
      <c r="DK108" s="35"/>
      <c r="DL108" s="35"/>
      <c r="DM108" s="35"/>
      <c r="DN108" s="35"/>
      <c r="DS108" s="28"/>
      <c r="MU108" s="28">
        <f>SUM(Tabela7[[#This Row],[Communication]:[Training of DevOps activities]])</f>
        <v>0</v>
      </c>
    </row>
    <row r="109" spans="1:359" hidden="1" x14ac:dyDescent="0.25">
      <c r="A109" s="22" t="s">
        <v>1658</v>
      </c>
      <c r="B109" s="29" t="s">
        <v>1659</v>
      </c>
      <c r="C109" s="29">
        <v>1</v>
      </c>
      <c r="D109" s="23" t="s">
        <v>644</v>
      </c>
      <c r="E109" s="29"/>
      <c r="G109" s="24">
        <v>0</v>
      </c>
      <c r="H109" s="23" t="s">
        <v>1660</v>
      </c>
      <c r="I109" s="42" t="s">
        <v>1661</v>
      </c>
      <c r="J109" s="43" t="s">
        <v>1662</v>
      </c>
      <c r="K109" s="43" t="s">
        <v>1663</v>
      </c>
      <c r="L109" s="43"/>
      <c r="M109" s="43">
        <v>1995</v>
      </c>
      <c r="N109" s="43" t="s">
        <v>1664</v>
      </c>
      <c r="O109" s="43">
        <v>5</v>
      </c>
      <c r="P109" s="43" t="s">
        <v>1665</v>
      </c>
      <c r="Q109" s="43"/>
      <c r="R109" s="43" t="s">
        <v>1666</v>
      </c>
      <c r="S109" s="43" t="s">
        <v>1667</v>
      </c>
      <c r="T109" s="43" t="s">
        <v>1668</v>
      </c>
      <c r="U109" s="43" t="s">
        <v>655</v>
      </c>
      <c r="V109" s="43" t="s">
        <v>644</v>
      </c>
      <c r="W109" s="35">
        <v>1</v>
      </c>
      <c r="Y109" s="32"/>
      <c r="AA109" s="28"/>
      <c r="AB109" s="28"/>
      <c r="AD109" s="229"/>
      <c r="AE109" s="31"/>
      <c r="AF109" s="29"/>
      <c r="AG109" s="29"/>
      <c r="AH109" s="29"/>
      <c r="AI109" s="29"/>
      <c r="AJ109" s="31"/>
      <c r="AK109" s="29"/>
      <c r="AL109" s="29"/>
      <c r="AM109" s="29"/>
      <c r="AN109" s="34"/>
      <c r="AO109" s="28"/>
      <c r="AP109" s="28"/>
      <c r="AQ109" s="28"/>
      <c r="AR109" s="28"/>
      <c r="AS109" s="28"/>
      <c r="AT109" s="28"/>
      <c r="AU109" s="28"/>
      <c r="AV109" s="28"/>
      <c r="AW109" s="28"/>
      <c r="AX109" s="28"/>
      <c r="AY109" s="28"/>
      <c r="AZ109" s="28"/>
      <c r="BA109" s="28"/>
      <c r="BB109" s="28"/>
      <c r="BC109" s="28"/>
      <c r="BD109" s="28"/>
      <c r="BE109" s="28"/>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28"/>
      <c r="CR109" s="35"/>
      <c r="CS109" s="28"/>
      <c r="CT109" s="35"/>
      <c r="CU109" s="35"/>
      <c r="CV109" s="35"/>
      <c r="CW109" s="35"/>
      <c r="CX109" s="35"/>
      <c r="CY109" s="35"/>
      <c r="CZ109" s="35"/>
      <c r="DA109" s="35"/>
      <c r="DB109" s="35"/>
      <c r="DC109" s="35"/>
      <c r="DD109" s="35"/>
      <c r="DE109" s="35"/>
      <c r="DF109" s="35"/>
      <c r="DG109" s="35"/>
      <c r="DH109" s="35"/>
      <c r="DI109" s="35"/>
      <c r="DJ109" s="35"/>
      <c r="DK109" s="35"/>
      <c r="DL109" s="35"/>
      <c r="DM109" s="35"/>
      <c r="DN109" s="35"/>
      <c r="DS109" s="28"/>
      <c r="MU109" s="28">
        <f>SUM(Tabela7[[#This Row],[Communication]:[Training of DevOps activities]])</f>
        <v>0</v>
      </c>
    </row>
    <row r="110" spans="1:359" hidden="1" x14ac:dyDescent="0.25">
      <c r="A110" s="22" t="s">
        <v>1669</v>
      </c>
      <c r="B110" s="29" t="s">
        <v>1670</v>
      </c>
      <c r="C110" s="29">
        <v>1</v>
      </c>
      <c r="D110" s="23" t="s">
        <v>644</v>
      </c>
      <c r="E110" s="29"/>
      <c r="G110" s="24">
        <v>0</v>
      </c>
      <c r="H110" s="23" t="s">
        <v>1671</v>
      </c>
      <c r="I110" s="42" t="s">
        <v>1672</v>
      </c>
      <c r="J110" s="43" t="s">
        <v>1673</v>
      </c>
      <c r="K110" s="43" t="s">
        <v>1674</v>
      </c>
      <c r="L110" s="43"/>
      <c r="M110" s="43">
        <v>2020</v>
      </c>
      <c r="N110" s="43" t="s">
        <v>1675</v>
      </c>
      <c r="O110" s="43"/>
      <c r="P110" s="43" t="s">
        <v>1676</v>
      </c>
      <c r="Q110" s="43"/>
      <c r="R110" s="43" t="s">
        <v>1677</v>
      </c>
      <c r="S110" s="43" t="s">
        <v>1678</v>
      </c>
      <c r="T110" s="43" t="s">
        <v>1679</v>
      </c>
      <c r="U110" s="43" t="s">
        <v>655</v>
      </c>
      <c r="V110" s="43" t="s">
        <v>644</v>
      </c>
      <c r="W110" s="35"/>
      <c r="Y110" s="32"/>
      <c r="AA110" s="28"/>
      <c r="AB110" s="28"/>
      <c r="AD110" s="229"/>
      <c r="AE110" s="31"/>
      <c r="AF110" s="29"/>
      <c r="AG110" s="29"/>
      <c r="AH110" s="29"/>
      <c r="AI110" s="29"/>
      <c r="AJ110" s="31"/>
      <c r="AK110" s="29"/>
      <c r="AL110" s="29"/>
      <c r="AM110" s="29"/>
      <c r="AN110" s="34"/>
      <c r="AO110" s="28"/>
      <c r="AP110" s="28"/>
      <c r="AQ110" s="28"/>
      <c r="AR110" s="28"/>
      <c r="AS110" s="28"/>
      <c r="AT110" s="28"/>
      <c r="AU110" s="28"/>
      <c r="AV110" s="28"/>
      <c r="AW110" s="28"/>
      <c r="AX110" s="28"/>
      <c r="AY110" s="28"/>
      <c r="AZ110" s="28"/>
      <c r="BA110" s="28"/>
      <c r="BB110" s="28"/>
      <c r="BC110" s="28"/>
      <c r="BD110" s="28"/>
      <c r="BE110" s="28"/>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28"/>
      <c r="CR110" s="35"/>
      <c r="CS110" s="28"/>
      <c r="CT110" s="35"/>
      <c r="CU110" s="35"/>
      <c r="CV110" s="35"/>
      <c r="CW110" s="35"/>
      <c r="CX110" s="35"/>
      <c r="CY110" s="35"/>
      <c r="CZ110" s="35"/>
      <c r="DA110" s="35"/>
      <c r="DB110" s="35"/>
      <c r="DC110" s="35"/>
      <c r="DD110" s="35"/>
      <c r="DE110" s="35"/>
      <c r="DF110" s="35"/>
      <c r="DG110" s="35"/>
      <c r="DH110" s="35"/>
      <c r="DI110" s="35"/>
      <c r="DJ110" s="35"/>
      <c r="DK110" s="35"/>
      <c r="DL110" s="35"/>
      <c r="DM110" s="35"/>
      <c r="DN110" s="35"/>
      <c r="DS110" s="28"/>
      <c r="MU110" s="28">
        <f>SUM(Tabela7[[#This Row],[Communication]:[Training of DevOps activities]])</f>
        <v>0</v>
      </c>
    </row>
    <row r="111" spans="1:359" hidden="1" x14ac:dyDescent="0.25">
      <c r="A111" s="22" t="s">
        <v>1680</v>
      </c>
      <c r="B111" s="29" t="s">
        <v>1681</v>
      </c>
      <c r="C111" s="29">
        <v>0</v>
      </c>
      <c r="E111" s="29"/>
      <c r="G111" s="24"/>
      <c r="H111" s="23" t="s">
        <v>1682</v>
      </c>
      <c r="I111" s="42" t="s">
        <v>1683</v>
      </c>
      <c r="J111" s="43" t="s">
        <v>1684</v>
      </c>
      <c r="K111" s="43" t="s">
        <v>1685</v>
      </c>
      <c r="L111" s="43"/>
      <c r="M111" s="43">
        <v>2020</v>
      </c>
      <c r="N111" s="43" t="s">
        <v>818</v>
      </c>
      <c r="O111" s="43"/>
      <c r="P111" s="43" t="s">
        <v>1686</v>
      </c>
      <c r="Q111" s="43"/>
      <c r="R111" s="43" t="s">
        <v>1687</v>
      </c>
      <c r="S111" s="43" t="s">
        <v>1688</v>
      </c>
      <c r="T111" s="43" t="s">
        <v>1689</v>
      </c>
      <c r="U111" s="43" t="s">
        <v>670</v>
      </c>
      <c r="V111" s="43" t="s">
        <v>644</v>
      </c>
      <c r="W111" s="35"/>
      <c r="Y111" s="32"/>
      <c r="AA111" s="28"/>
      <c r="AB111" s="28"/>
      <c r="AD111" s="229"/>
      <c r="AE111" s="31"/>
      <c r="AF111" s="29"/>
      <c r="AG111" s="29"/>
      <c r="AH111" s="29"/>
      <c r="AI111" s="29"/>
      <c r="AJ111" s="31"/>
      <c r="AK111" s="29"/>
      <c r="AL111" s="29"/>
      <c r="AM111" s="29"/>
      <c r="AN111" s="34"/>
      <c r="AO111" s="28"/>
      <c r="AP111" s="28"/>
      <c r="AQ111" s="28"/>
      <c r="AR111" s="28"/>
      <c r="AS111" s="28"/>
      <c r="AT111" s="28"/>
      <c r="AU111" s="28"/>
      <c r="AV111" s="28"/>
      <c r="AW111" s="28"/>
      <c r="AX111" s="28"/>
      <c r="AY111" s="28"/>
      <c r="AZ111" s="28"/>
      <c r="BA111" s="28"/>
      <c r="BB111" s="28"/>
      <c r="BC111" s="28"/>
      <c r="BD111" s="28"/>
      <c r="BE111" s="28"/>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28"/>
      <c r="CR111" s="35"/>
      <c r="CS111" s="28"/>
      <c r="CT111" s="35"/>
      <c r="CU111" s="35"/>
      <c r="CV111" s="35"/>
      <c r="CW111" s="35"/>
      <c r="CX111" s="35"/>
      <c r="CY111" s="35"/>
      <c r="CZ111" s="35"/>
      <c r="DA111" s="35"/>
      <c r="DB111" s="35"/>
      <c r="DC111" s="35"/>
      <c r="DD111" s="35"/>
      <c r="DE111" s="35"/>
      <c r="DF111" s="35"/>
      <c r="DG111" s="35"/>
      <c r="DH111" s="35"/>
      <c r="DI111" s="35"/>
      <c r="DJ111" s="35"/>
      <c r="DK111" s="35"/>
      <c r="DL111" s="35"/>
      <c r="DM111" s="35"/>
      <c r="DN111" s="35"/>
      <c r="DS111" s="28"/>
      <c r="MU111" s="28">
        <f>SUM(Tabela7[[#This Row],[Communication]:[Training of DevOps activities]])</f>
        <v>0</v>
      </c>
    </row>
    <row r="112" spans="1:359" ht="14.4" x14ac:dyDescent="0.3">
      <c r="A112" s="22" t="s">
        <v>1690</v>
      </c>
      <c r="B112" s="29" t="s">
        <v>1691</v>
      </c>
      <c r="C112" s="29">
        <v>1</v>
      </c>
      <c r="D112" s="23" t="s">
        <v>644</v>
      </c>
      <c r="E112" s="29">
        <v>1</v>
      </c>
      <c r="F112" s="29">
        <v>1</v>
      </c>
      <c r="G112" s="24">
        <v>1</v>
      </c>
      <c r="H112" t="s">
        <v>1692</v>
      </c>
      <c r="I112" t="s">
        <v>1693</v>
      </c>
      <c r="J112" t="s">
        <v>1694</v>
      </c>
      <c r="K112" t="s">
        <v>1695</v>
      </c>
      <c r="L112" t="s">
        <v>1392</v>
      </c>
      <c r="M112">
        <v>2020</v>
      </c>
      <c r="N112" t="s">
        <v>1696</v>
      </c>
      <c r="O112"/>
      <c r="P112" t="s">
        <v>1697</v>
      </c>
      <c r="Q112" t="s">
        <v>875</v>
      </c>
      <c r="R112" t="s">
        <v>1698</v>
      </c>
      <c r="S112" t="s">
        <v>1699</v>
      </c>
      <c r="T112" t="s">
        <v>1700</v>
      </c>
      <c r="U112" t="s">
        <v>655</v>
      </c>
      <c r="V112" t="s">
        <v>644</v>
      </c>
      <c r="W112" s="35">
        <v>1</v>
      </c>
      <c r="X112" s="35">
        <v>0</v>
      </c>
      <c r="Y112" s="32"/>
      <c r="Z112" s="35"/>
      <c r="AA112" s="28">
        <v>1</v>
      </c>
      <c r="AB112" s="28"/>
      <c r="AC112" s="35"/>
      <c r="AD112" s="228">
        <v>1</v>
      </c>
      <c r="AE112" s="31"/>
      <c r="AF112" s="29">
        <v>1</v>
      </c>
      <c r="AG112" s="29"/>
      <c r="AH112" s="29">
        <v>1</v>
      </c>
      <c r="AI112" s="29">
        <v>1</v>
      </c>
      <c r="AJ112" s="31"/>
      <c r="AK112" s="29"/>
      <c r="AL112" s="29"/>
      <c r="AM112" s="29">
        <v>1</v>
      </c>
      <c r="AN112" s="34">
        <v>1</v>
      </c>
      <c r="AO112" s="28"/>
      <c r="AP112" s="28"/>
      <c r="AQ112" s="28"/>
      <c r="AR112" s="28"/>
      <c r="AS112" s="28"/>
      <c r="AT112" s="28">
        <v>1</v>
      </c>
      <c r="AU112" s="28"/>
      <c r="AV112" s="28"/>
      <c r="AW112" s="28"/>
      <c r="AX112" s="28"/>
      <c r="AY112" s="28"/>
      <c r="AZ112" s="28"/>
      <c r="BA112" s="28"/>
      <c r="BB112" s="28"/>
      <c r="BC112" s="28"/>
      <c r="BD112" s="28">
        <v>1</v>
      </c>
      <c r="BE112" s="28"/>
      <c r="BF112" s="35">
        <v>1</v>
      </c>
      <c r="BG112" s="35"/>
      <c r="BH112" s="35">
        <v>1</v>
      </c>
      <c r="BI112" s="35"/>
      <c r="BJ112" s="35"/>
      <c r="BK112" s="35"/>
      <c r="BL112" s="35"/>
      <c r="BM112" s="35"/>
      <c r="BN112" s="35"/>
      <c r="BO112" s="35"/>
      <c r="BP112" s="35"/>
      <c r="BQ112" s="35"/>
      <c r="BR112" s="35">
        <v>1</v>
      </c>
      <c r="BS112" s="35"/>
      <c r="BT112" s="35"/>
      <c r="BU112" s="35"/>
      <c r="BV112" s="35"/>
      <c r="BW112" s="35"/>
      <c r="BX112" s="35"/>
      <c r="BY112" s="35"/>
      <c r="BZ112" s="35"/>
      <c r="CA112" s="35"/>
      <c r="CB112" s="35"/>
      <c r="CC112" s="35"/>
      <c r="CD112" s="35"/>
      <c r="CE112" s="35"/>
      <c r="CF112" s="35"/>
      <c r="CG112" s="35"/>
      <c r="CH112" s="35"/>
      <c r="CI112" s="35"/>
      <c r="CJ112" s="35"/>
      <c r="CK112" s="35"/>
      <c r="CL112" s="35">
        <v>1</v>
      </c>
      <c r="CM112" s="35"/>
      <c r="CN112" s="35">
        <v>1</v>
      </c>
      <c r="CO112" s="35"/>
      <c r="CP112" s="35"/>
      <c r="CQ112" s="28"/>
      <c r="CR112" s="35">
        <v>1</v>
      </c>
      <c r="CS112" s="28">
        <v>1</v>
      </c>
      <c r="CT112" s="35"/>
      <c r="CU112" s="35">
        <v>1</v>
      </c>
      <c r="CV112" s="35">
        <v>1</v>
      </c>
      <c r="CW112" s="35"/>
      <c r="CX112" s="35"/>
      <c r="CY112" s="35"/>
      <c r="CZ112" s="35"/>
      <c r="DA112" s="35"/>
      <c r="DB112" s="35"/>
      <c r="DC112" s="35"/>
      <c r="DD112" s="35"/>
      <c r="DE112" s="35"/>
      <c r="DF112" s="35"/>
      <c r="DG112" s="35"/>
      <c r="DH112" s="35"/>
      <c r="DI112" s="35"/>
      <c r="DJ112" s="35"/>
      <c r="DK112" s="35"/>
      <c r="DL112" s="35"/>
      <c r="DM112" s="35"/>
      <c r="DN112" s="35"/>
      <c r="DS112" s="28"/>
      <c r="DX112" s="22">
        <v>1</v>
      </c>
      <c r="EN112" s="22">
        <v>1</v>
      </c>
      <c r="EO112" s="22">
        <v>1</v>
      </c>
      <c r="ER112" s="22">
        <v>1</v>
      </c>
      <c r="EW112" s="22">
        <v>1</v>
      </c>
      <c r="FH112" s="22">
        <v>1</v>
      </c>
      <c r="FJ112" s="22">
        <v>1</v>
      </c>
      <c r="FM112" s="22">
        <v>1</v>
      </c>
      <c r="FR112" s="22">
        <v>1</v>
      </c>
      <c r="FZ112" s="22">
        <v>1</v>
      </c>
      <c r="GR112" s="22">
        <v>1</v>
      </c>
      <c r="GX112" s="22">
        <v>1</v>
      </c>
      <c r="IB112" s="22">
        <v>1</v>
      </c>
      <c r="IE112" s="22">
        <v>1</v>
      </c>
      <c r="IZ112" s="22">
        <v>1</v>
      </c>
      <c r="JP112" s="22">
        <v>1</v>
      </c>
      <c r="JY112" s="22">
        <v>1</v>
      </c>
      <c r="LG112" s="22">
        <v>1</v>
      </c>
      <c r="LK112" s="22">
        <v>1</v>
      </c>
      <c r="LS112" s="22">
        <v>1</v>
      </c>
      <c r="MU112" s="28">
        <f>SUM(Tabela7[[#This Row],[Communication]:[Training of DevOps activities]])</f>
        <v>32</v>
      </c>
    </row>
    <row r="113" spans="1:359" ht="14.4" x14ac:dyDescent="0.3">
      <c r="A113" s="22" t="s">
        <v>1701</v>
      </c>
      <c r="B113" s="29" t="s">
        <v>1702</v>
      </c>
      <c r="C113" s="29">
        <v>1</v>
      </c>
      <c r="D113" s="23" t="s">
        <v>644</v>
      </c>
      <c r="E113" s="29">
        <v>1</v>
      </c>
      <c r="F113" s="29">
        <v>1</v>
      </c>
      <c r="G113" s="24">
        <v>1</v>
      </c>
      <c r="H113" t="s">
        <v>1703</v>
      </c>
      <c r="I113" t="s">
        <v>1704</v>
      </c>
      <c r="J113" t="s">
        <v>1705</v>
      </c>
      <c r="K113" t="s">
        <v>1706</v>
      </c>
      <c r="L113" t="s">
        <v>1063</v>
      </c>
      <c r="M113">
        <v>2021</v>
      </c>
      <c r="N113" t="s">
        <v>1494</v>
      </c>
      <c r="O113"/>
      <c r="P113" t="s">
        <v>1707</v>
      </c>
      <c r="Q113" t="s">
        <v>984</v>
      </c>
      <c r="R113" t="s">
        <v>1708</v>
      </c>
      <c r="S113" t="s">
        <v>1709</v>
      </c>
      <c r="T113" t="s">
        <v>1710</v>
      </c>
      <c r="U113" t="s">
        <v>655</v>
      </c>
      <c r="V113" t="s">
        <v>644</v>
      </c>
      <c r="W113" s="35">
        <v>1</v>
      </c>
      <c r="X113" s="35">
        <v>0</v>
      </c>
      <c r="Y113" s="32"/>
      <c r="Z113" s="35"/>
      <c r="AA113" s="28">
        <v>1</v>
      </c>
      <c r="AB113" s="28"/>
      <c r="AC113" s="35"/>
      <c r="AD113" s="228">
        <v>1</v>
      </c>
      <c r="AE113" s="31"/>
      <c r="AF113" s="29">
        <v>1</v>
      </c>
      <c r="AG113" s="29"/>
      <c r="AH113" s="29">
        <v>1</v>
      </c>
      <c r="AI113" s="29">
        <v>1</v>
      </c>
      <c r="AJ113" s="31">
        <v>1</v>
      </c>
      <c r="AK113" s="29"/>
      <c r="AL113" s="29"/>
      <c r="AM113" s="29"/>
      <c r="AN113" s="34">
        <v>1</v>
      </c>
      <c r="AO113" s="28"/>
      <c r="AP113" s="28"/>
      <c r="AQ113" s="28"/>
      <c r="AR113" s="28"/>
      <c r="AS113" s="28"/>
      <c r="AT113" s="28"/>
      <c r="AU113" s="28">
        <v>1</v>
      </c>
      <c r="AV113" s="28"/>
      <c r="AW113" s="28"/>
      <c r="AX113" s="28"/>
      <c r="AY113" s="28"/>
      <c r="AZ113" s="28">
        <v>1</v>
      </c>
      <c r="BA113" s="28"/>
      <c r="BB113" s="28"/>
      <c r="BC113" s="28"/>
      <c r="BD113" s="28">
        <v>1</v>
      </c>
      <c r="BE113" s="28"/>
      <c r="BF113" s="35"/>
      <c r="BG113" s="35"/>
      <c r="BH113" s="35">
        <v>1</v>
      </c>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28"/>
      <c r="CR113" s="35"/>
      <c r="CS113" s="28"/>
      <c r="CT113" s="35"/>
      <c r="CU113" s="35"/>
      <c r="CV113" s="35"/>
      <c r="CW113" s="35">
        <v>1</v>
      </c>
      <c r="CX113" s="35"/>
      <c r="CY113" s="35"/>
      <c r="CZ113" s="35"/>
      <c r="DA113" s="35"/>
      <c r="DB113" s="35"/>
      <c r="DC113" s="35"/>
      <c r="DD113" s="35"/>
      <c r="DE113" s="35"/>
      <c r="DF113" s="35"/>
      <c r="DG113" s="35"/>
      <c r="DH113" s="35"/>
      <c r="DI113" s="35"/>
      <c r="DJ113" s="35"/>
      <c r="DK113" s="35">
        <v>1</v>
      </c>
      <c r="DL113" s="35"/>
      <c r="DM113" s="35"/>
      <c r="DN113" s="35"/>
      <c r="DS113" s="28"/>
      <c r="FX113" s="22">
        <v>1</v>
      </c>
      <c r="HT113" s="22">
        <v>1</v>
      </c>
      <c r="HU113" s="22">
        <v>1</v>
      </c>
      <c r="IH113" s="22">
        <v>1</v>
      </c>
      <c r="IW113" s="22">
        <v>1</v>
      </c>
      <c r="LT113" s="22">
        <v>1</v>
      </c>
      <c r="LU113" s="22">
        <v>1</v>
      </c>
      <c r="MU113" s="28">
        <f>SUM(Tabela7[[#This Row],[Communication]:[Training of DevOps activities]])</f>
        <v>14</v>
      </c>
    </row>
    <row r="114" spans="1:359" hidden="1" x14ac:dyDescent="0.25">
      <c r="A114" s="22" t="s">
        <v>1711</v>
      </c>
      <c r="B114" s="29" t="s">
        <v>1712</v>
      </c>
      <c r="C114" s="29">
        <v>0</v>
      </c>
      <c r="E114" s="29"/>
      <c r="G114" s="24"/>
      <c r="H114" s="23" t="s">
        <v>1713</v>
      </c>
      <c r="I114" s="42" t="s">
        <v>1714</v>
      </c>
      <c r="J114" s="43" t="s">
        <v>1715</v>
      </c>
      <c r="K114" s="43" t="s">
        <v>1716</v>
      </c>
      <c r="L114" s="43"/>
      <c r="M114" s="43">
        <v>2020</v>
      </c>
      <c r="N114" s="43" t="s">
        <v>1717</v>
      </c>
      <c r="O114" s="43"/>
      <c r="P114" s="43" t="s">
        <v>1718</v>
      </c>
      <c r="Q114" s="43"/>
      <c r="R114" s="43" t="s">
        <v>1719</v>
      </c>
      <c r="S114" s="43" t="s">
        <v>1720</v>
      </c>
      <c r="T114" s="43" t="s">
        <v>1721</v>
      </c>
      <c r="U114" s="43" t="s">
        <v>655</v>
      </c>
      <c r="V114" s="43" t="s">
        <v>644</v>
      </c>
      <c r="W114" s="35"/>
      <c r="Y114" s="230"/>
      <c r="AA114" s="28"/>
      <c r="AB114" s="28"/>
      <c r="AD114" s="229"/>
      <c r="AE114" s="44"/>
      <c r="AF114" s="35"/>
      <c r="AG114" s="44"/>
      <c r="AH114" s="35"/>
      <c r="AI114" s="35"/>
      <c r="AJ114" s="44"/>
      <c r="AK114" s="35"/>
      <c r="AL114" s="35"/>
      <c r="AM114" s="35"/>
      <c r="AN114" s="45"/>
      <c r="AO114" s="35"/>
      <c r="AP114" s="35"/>
      <c r="AQ114" s="35"/>
      <c r="AR114" s="35"/>
      <c r="AS114" s="44"/>
      <c r="AT114" s="35"/>
      <c r="AU114" s="35"/>
      <c r="AV114" s="35"/>
      <c r="AW114" s="35"/>
      <c r="AX114" s="35"/>
      <c r="AY114" s="35"/>
      <c r="AZ114" s="35"/>
      <c r="BA114" s="35"/>
      <c r="BB114" s="35"/>
      <c r="BC114" s="35"/>
      <c r="BD114" s="35"/>
      <c r="BE114" s="4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28"/>
      <c r="CR114" s="35"/>
      <c r="CS114" s="28"/>
      <c r="CT114" s="35"/>
      <c r="CU114" s="35"/>
      <c r="CV114" s="35"/>
      <c r="CW114" s="35"/>
      <c r="CX114" s="35"/>
      <c r="CY114" s="35"/>
      <c r="CZ114" s="35"/>
      <c r="DA114" s="35"/>
      <c r="DB114" s="35"/>
      <c r="DC114" s="35"/>
      <c r="DD114" s="35"/>
      <c r="DE114" s="35"/>
      <c r="DF114" s="35"/>
      <c r="DG114" s="35"/>
      <c r="DH114" s="35"/>
      <c r="DI114" s="35"/>
      <c r="DJ114" s="35"/>
      <c r="DK114" s="35"/>
      <c r="DL114" s="35"/>
      <c r="DM114" s="35"/>
      <c r="DN114" s="35"/>
      <c r="DS114" s="28"/>
      <c r="MU114" s="28">
        <f>SUM(Tabela7[[#This Row],[Communication]:[Training of DevOps activities]])</f>
        <v>0</v>
      </c>
    </row>
    <row r="115" spans="1:359" ht="14.4" x14ac:dyDescent="0.3">
      <c r="A115" s="22" t="s">
        <v>1772</v>
      </c>
      <c r="B115" s="29" t="s">
        <v>1771</v>
      </c>
      <c r="C115" s="29">
        <v>1</v>
      </c>
      <c r="D115" s="23" t="s">
        <v>1773</v>
      </c>
      <c r="E115" s="29">
        <v>1</v>
      </c>
      <c r="F115" s="29">
        <v>1</v>
      </c>
      <c r="G115" s="24">
        <v>1</v>
      </c>
      <c r="H115" t="s">
        <v>1774</v>
      </c>
      <c r="I115" t="s">
        <v>1778</v>
      </c>
      <c r="J115" t="s">
        <v>1775</v>
      </c>
      <c r="K115" t="s">
        <v>1776</v>
      </c>
      <c r="L115">
        <v>0</v>
      </c>
      <c r="M115">
        <v>2015</v>
      </c>
      <c r="N115" t="s">
        <v>1779</v>
      </c>
      <c r="O115">
        <v>24</v>
      </c>
      <c r="P115" t="s">
        <v>1780</v>
      </c>
      <c r="Q115" t="s">
        <v>1221</v>
      </c>
      <c r="R115" t="s">
        <v>1781</v>
      </c>
      <c r="S115" t="s">
        <v>1782</v>
      </c>
      <c r="T115" t="s">
        <v>1783</v>
      </c>
      <c r="U115" t="s">
        <v>655</v>
      </c>
      <c r="V115"/>
      <c r="W115" s="35">
        <v>1</v>
      </c>
      <c r="X115" s="35" t="s">
        <v>26753</v>
      </c>
      <c r="Y115" s="45"/>
      <c r="Z115" s="35"/>
      <c r="AA115" s="28"/>
      <c r="AB115" s="28"/>
      <c r="AC115" s="35"/>
      <c r="AD115" s="228">
        <v>1</v>
      </c>
      <c r="AE115" s="44"/>
      <c r="AF115" s="35"/>
      <c r="AG115" s="35">
        <v>1</v>
      </c>
      <c r="AH115" s="35"/>
      <c r="AI115" s="35"/>
      <c r="AJ115" s="44"/>
      <c r="AK115" s="35"/>
      <c r="AL115" s="35"/>
      <c r="AM115" s="84">
        <v>1</v>
      </c>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v>1</v>
      </c>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28"/>
      <c r="CR115" s="35"/>
      <c r="CS115" s="28"/>
      <c r="CT115" s="35"/>
      <c r="CU115" s="35"/>
      <c r="CV115" s="35"/>
      <c r="CW115" s="35"/>
      <c r="CX115" s="35"/>
      <c r="CY115" s="35"/>
      <c r="CZ115" s="35"/>
      <c r="DA115" s="35"/>
      <c r="DB115" s="35"/>
      <c r="DC115" s="35"/>
      <c r="DD115" s="35"/>
      <c r="DE115" s="35"/>
      <c r="DF115" s="35"/>
      <c r="DG115" s="35"/>
      <c r="DH115" s="35"/>
      <c r="DI115" s="35"/>
      <c r="DJ115" s="35"/>
      <c r="DK115" s="35"/>
      <c r="DL115" s="35"/>
      <c r="DM115" s="35"/>
      <c r="DN115" s="35"/>
      <c r="DS115" s="28"/>
      <c r="FX115" s="22">
        <v>1</v>
      </c>
      <c r="GC115" s="22">
        <v>1</v>
      </c>
      <c r="GE115" s="22">
        <v>1</v>
      </c>
      <c r="GK115" s="22">
        <v>1</v>
      </c>
      <c r="IH115" s="22">
        <v>1</v>
      </c>
      <c r="KD115" s="22">
        <v>1</v>
      </c>
      <c r="KG115" s="22">
        <v>1</v>
      </c>
      <c r="KS115" s="22">
        <v>1</v>
      </c>
      <c r="LB115" s="22">
        <v>1</v>
      </c>
      <c r="MU115" s="28">
        <f>SUM(Tabela7[[#This Row],[Communication]:[Training of DevOps activities]])</f>
        <v>10</v>
      </c>
    </row>
    <row r="116" spans="1:359" ht="14.4" x14ac:dyDescent="0.3">
      <c r="A116" s="22" t="s">
        <v>1974</v>
      </c>
      <c r="B116" s="29" t="s">
        <v>1973</v>
      </c>
      <c r="C116" s="29">
        <v>1</v>
      </c>
      <c r="D116" s="23" t="s">
        <v>1773</v>
      </c>
      <c r="E116" s="29">
        <v>1</v>
      </c>
      <c r="F116" s="29">
        <v>1</v>
      </c>
      <c r="G116" s="24">
        <v>1</v>
      </c>
      <c r="H116" t="s">
        <v>1975</v>
      </c>
      <c r="I116" t="s">
        <v>1978</v>
      </c>
      <c r="J116" t="s">
        <v>1976</v>
      </c>
      <c r="K116" t="s">
        <v>1977</v>
      </c>
      <c r="L116">
        <v>0</v>
      </c>
      <c r="M116">
        <v>2022</v>
      </c>
      <c r="N116" t="s">
        <v>959</v>
      </c>
      <c r="O116"/>
      <c r="P116" t="s">
        <v>1979</v>
      </c>
      <c r="Q116" t="s">
        <v>1029</v>
      </c>
      <c r="R116" t="s">
        <v>1980</v>
      </c>
      <c r="S116" t="s">
        <v>1981</v>
      </c>
      <c r="T116" t="s">
        <v>646</v>
      </c>
      <c r="U116" t="s">
        <v>670</v>
      </c>
      <c r="V116"/>
      <c r="W116" s="35">
        <v>1</v>
      </c>
      <c r="X116" s="35">
        <v>1</v>
      </c>
      <c r="Y116" s="45">
        <v>1</v>
      </c>
      <c r="Z116" s="35"/>
      <c r="AA116" s="28"/>
      <c r="AB116" s="28"/>
      <c r="AC116" s="35"/>
      <c r="AD116" s="228">
        <v>1</v>
      </c>
      <c r="AE116" s="44"/>
      <c r="AF116" s="35"/>
      <c r="AG116" s="35"/>
      <c r="AH116" s="35">
        <v>1</v>
      </c>
      <c r="AI116" s="35"/>
      <c r="AJ116" s="44"/>
      <c r="AK116" s="35">
        <v>1</v>
      </c>
      <c r="AL116" s="35"/>
      <c r="AM116" s="84"/>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28"/>
      <c r="CR116" s="35"/>
      <c r="CS116" s="28"/>
      <c r="CT116" s="35"/>
      <c r="CU116" s="35"/>
      <c r="CV116" s="35"/>
      <c r="CW116" s="35"/>
      <c r="CX116" s="35"/>
      <c r="CY116" s="35"/>
      <c r="CZ116" s="35"/>
      <c r="DA116" s="35"/>
      <c r="DB116" s="35"/>
      <c r="DC116" s="35"/>
      <c r="DD116" s="35"/>
      <c r="DE116" s="35"/>
      <c r="DF116" s="35"/>
      <c r="DG116" s="35"/>
      <c r="DH116" s="35"/>
      <c r="DI116" s="35"/>
      <c r="DJ116" s="35"/>
      <c r="DK116" s="35"/>
      <c r="DL116" s="35"/>
      <c r="DM116" s="35"/>
      <c r="DN116" s="35"/>
      <c r="DS116" s="28"/>
      <c r="LW116" s="22">
        <v>1</v>
      </c>
      <c r="LX116" s="22">
        <v>1</v>
      </c>
      <c r="LY116" s="22">
        <v>1</v>
      </c>
      <c r="LZ116" s="22">
        <v>1</v>
      </c>
      <c r="MA116" s="22">
        <v>1</v>
      </c>
      <c r="MB116" s="22">
        <v>1</v>
      </c>
      <c r="MC116" s="22">
        <v>1</v>
      </c>
      <c r="MD116" s="22">
        <v>1</v>
      </c>
      <c r="MU116" s="28">
        <f>SUM(Tabela7[[#This Row],[Communication]:[Training of DevOps activities]])</f>
        <v>8</v>
      </c>
    </row>
    <row r="117" spans="1:359" ht="14.4" x14ac:dyDescent="0.3">
      <c r="A117" s="22" t="s">
        <v>2244</v>
      </c>
      <c r="B117" s="29" t="s">
        <v>2243</v>
      </c>
      <c r="C117" s="29">
        <v>1</v>
      </c>
      <c r="D117" s="23" t="s">
        <v>1773</v>
      </c>
      <c r="E117" s="29" t="s">
        <v>26753</v>
      </c>
      <c r="F117" s="29">
        <v>1</v>
      </c>
      <c r="G117" s="24">
        <v>1</v>
      </c>
      <c r="H117" t="s">
        <v>2245</v>
      </c>
      <c r="I117" t="s">
        <v>728</v>
      </c>
      <c r="J117" t="s">
        <v>729</v>
      </c>
      <c r="K117" t="s">
        <v>2246</v>
      </c>
      <c r="L117">
        <v>0</v>
      </c>
      <c r="M117">
        <v>2021</v>
      </c>
      <c r="N117" t="s">
        <v>1167</v>
      </c>
      <c r="O117"/>
      <c r="P117" t="s">
        <v>2247</v>
      </c>
      <c r="Q117" t="s">
        <v>26200</v>
      </c>
      <c r="R117" t="s">
        <v>2248</v>
      </c>
      <c r="S117" t="s">
        <v>2249</v>
      </c>
      <c r="T117" t="s">
        <v>646</v>
      </c>
      <c r="U117" t="s">
        <v>670</v>
      </c>
      <c r="V117"/>
      <c r="W117" s="35">
        <v>1</v>
      </c>
      <c r="X117" s="35">
        <v>0</v>
      </c>
      <c r="Y117" s="45"/>
      <c r="Z117" s="35"/>
      <c r="AA117" s="28"/>
      <c r="AB117" s="28"/>
      <c r="AC117" s="35"/>
      <c r="AD117" s="228">
        <v>1</v>
      </c>
      <c r="AE117" s="44"/>
      <c r="AF117" s="35"/>
      <c r="AG117" s="35">
        <v>1</v>
      </c>
      <c r="AH117" s="35"/>
      <c r="AI117" s="35"/>
      <c r="AJ117" s="44"/>
      <c r="AK117" s="35"/>
      <c r="AL117" s="35"/>
      <c r="AM117" s="84">
        <v>1</v>
      </c>
      <c r="AN117" s="35"/>
      <c r="AO117" s="35"/>
      <c r="AP117" s="35"/>
      <c r="AQ117" s="35"/>
      <c r="AR117" s="35"/>
      <c r="AS117" s="35"/>
      <c r="AT117" s="35">
        <v>1</v>
      </c>
      <c r="AU117" s="35"/>
      <c r="AV117" s="35"/>
      <c r="AW117" s="35"/>
      <c r="AX117" s="35"/>
      <c r="AY117" s="35"/>
      <c r="AZ117" s="35"/>
      <c r="BA117" s="35"/>
      <c r="BB117" s="35"/>
      <c r="BC117" s="35"/>
      <c r="BD117" s="35"/>
      <c r="BE117" s="35"/>
      <c r="BF117" s="35"/>
      <c r="BG117" s="35"/>
      <c r="BH117" s="35"/>
      <c r="BI117" s="35"/>
      <c r="BJ117" s="35"/>
      <c r="BK117" s="35"/>
      <c r="BL117" s="35"/>
      <c r="BM117" s="35">
        <v>1</v>
      </c>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v>1</v>
      </c>
      <c r="CN117" s="35"/>
      <c r="CO117" s="35"/>
      <c r="CP117" s="35"/>
      <c r="CQ117" s="28"/>
      <c r="CR117" s="35"/>
      <c r="CS117" s="28"/>
      <c r="CT117" s="35"/>
      <c r="CU117" s="35"/>
      <c r="CV117" s="35"/>
      <c r="CW117" s="35"/>
      <c r="CX117" s="35"/>
      <c r="CY117" s="35"/>
      <c r="CZ117" s="35"/>
      <c r="DA117" s="35"/>
      <c r="DB117" s="35"/>
      <c r="DC117" s="35"/>
      <c r="DD117" s="35"/>
      <c r="DE117" s="35"/>
      <c r="DF117" s="35"/>
      <c r="DG117" s="35"/>
      <c r="DH117" s="35"/>
      <c r="DI117" s="35"/>
      <c r="DJ117" s="35"/>
      <c r="DK117" s="35"/>
      <c r="DL117" s="35"/>
      <c r="DM117" s="35"/>
      <c r="DN117" s="35"/>
      <c r="DS117" s="28">
        <v>1</v>
      </c>
      <c r="EQ117" s="22">
        <v>1</v>
      </c>
      <c r="FG117" s="22">
        <v>1</v>
      </c>
      <c r="IM117" s="22">
        <v>1</v>
      </c>
      <c r="KD117" s="22">
        <v>1</v>
      </c>
      <c r="KF117" s="22">
        <v>1</v>
      </c>
      <c r="LV117" s="22">
        <v>1</v>
      </c>
      <c r="ME117" s="22">
        <v>1</v>
      </c>
      <c r="MU117" s="28">
        <f>SUM(Tabela7[[#This Row],[Communication]:[Training of DevOps activities]])</f>
        <v>11</v>
      </c>
    </row>
    <row r="118" spans="1:359" ht="14.4" x14ac:dyDescent="0.3">
      <c r="A118" s="22" t="s">
        <v>3089</v>
      </c>
      <c r="B118" s="29" t="s">
        <v>3088</v>
      </c>
      <c r="C118" s="29">
        <v>1</v>
      </c>
      <c r="D118" s="23" t="s">
        <v>1773</v>
      </c>
      <c r="E118" s="29">
        <v>1</v>
      </c>
      <c r="F118" s="29">
        <v>1</v>
      </c>
      <c r="G118" s="24">
        <v>1</v>
      </c>
      <c r="H118" t="s">
        <v>3090</v>
      </c>
      <c r="I118" t="s">
        <v>3093</v>
      </c>
      <c r="J118" t="s">
        <v>3091</v>
      </c>
      <c r="K118" t="s">
        <v>3092</v>
      </c>
      <c r="L118">
        <v>0</v>
      </c>
      <c r="M118">
        <v>2021</v>
      </c>
      <c r="N118" t="s">
        <v>687</v>
      </c>
      <c r="O118"/>
      <c r="P118" t="s">
        <v>3094</v>
      </c>
      <c r="Q118" t="s">
        <v>1152</v>
      </c>
      <c r="R118" t="s">
        <v>3095</v>
      </c>
      <c r="S118" t="s">
        <v>3096</v>
      </c>
      <c r="T118" t="s">
        <v>646</v>
      </c>
      <c r="U118" t="s">
        <v>670</v>
      </c>
      <c r="V118"/>
      <c r="W118" s="35">
        <v>1</v>
      </c>
      <c r="X118" s="35" t="s">
        <v>26753</v>
      </c>
      <c r="Y118" s="45"/>
      <c r="Z118" s="35"/>
      <c r="AA118" s="28"/>
      <c r="AB118" s="28"/>
      <c r="AC118" s="35"/>
      <c r="AD118" s="228">
        <v>1</v>
      </c>
      <c r="AE118" s="44"/>
      <c r="AF118" s="35">
        <v>1</v>
      </c>
      <c r="AG118" s="35"/>
      <c r="AH118" s="35"/>
      <c r="AI118" s="35"/>
      <c r="AJ118" s="44">
        <v>1</v>
      </c>
      <c r="AK118" s="35"/>
      <c r="AL118" s="35"/>
      <c r="AM118" s="84"/>
      <c r="AN118" s="35"/>
      <c r="AO118" s="35"/>
      <c r="AP118" s="35"/>
      <c r="AQ118" s="35"/>
      <c r="AR118" s="35"/>
      <c r="AS118" s="35"/>
      <c r="AT118" s="35"/>
      <c r="AU118" s="35"/>
      <c r="AV118" s="35">
        <v>1</v>
      </c>
      <c r="AW118" s="35"/>
      <c r="AX118" s="35"/>
      <c r="AY118" s="35"/>
      <c r="AZ118" s="35"/>
      <c r="BA118" s="35"/>
      <c r="BB118" s="35"/>
      <c r="BC118" s="35"/>
      <c r="BD118" s="35"/>
      <c r="BE118" s="35"/>
      <c r="BF118" s="35">
        <v>1</v>
      </c>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28"/>
      <c r="CR118" s="35"/>
      <c r="CS118" s="28"/>
      <c r="CT118" s="35"/>
      <c r="CU118" s="35"/>
      <c r="CV118" s="35"/>
      <c r="CW118" s="35"/>
      <c r="CX118" s="35"/>
      <c r="CY118" s="35"/>
      <c r="CZ118" s="35">
        <v>1</v>
      </c>
      <c r="DA118" s="35"/>
      <c r="DB118" s="35"/>
      <c r="DC118" s="35"/>
      <c r="DD118" s="35"/>
      <c r="DE118" s="35"/>
      <c r="DF118" s="35"/>
      <c r="DG118" s="35"/>
      <c r="DH118" s="35"/>
      <c r="DI118" s="35">
        <v>1</v>
      </c>
      <c r="DJ118" s="35"/>
      <c r="DK118" s="35"/>
      <c r="DL118" s="35"/>
      <c r="DM118" s="35"/>
      <c r="DN118" s="35"/>
      <c r="DS118" s="28">
        <v>1</v>
      </c>
      <c r="DT118" s="22">
        <v>1</v>
      </c>
      <c r="DV118" s="22">
        <v>1</v>
      </c>
      <c r="IE118" s="22">
        <v>1</v>
      </c>
      <c r="MU118" s="28">
        <f>SUM(Tabela7[[#This Row],[Communication]:[Training of DevOps activities]])</f>
        <v>8</v>
      </c>
    </row>
    <row r="119" spans="1:359" ht="14.4" x14ac:dyDescent="0.3">
      <c r="A119" s="22" t="s">
        <v>1669</v>
      </c>
      <c r="B119" s="29" t="s">
        <v>3752</v>
      </c>
      <c r="C119" s="29">
        <v>1</v>
      </c>
      <c r="D119" s="23" t="s">
        <v>1773</v>
      </c>
      <c r="E119" s="29" t="s">
        <v>26753</v>
      </c>
      <c r="F119" s="29">
        <v>1</v>
      </c>
      <c r="G119" s="24">
        <v>1</v>
      </c>
      <c r="H119" t="s">
        <v>1671</v>
      </c>
      <c r="I119" t="s">
        <v>1672</v>
      </c>
      <c r="J119" t="s">
        <v>1673</v>
      </c>
      <c r="K119" t="s">
        <v>1674</v>
      </c>
      <c r="L119">
        <v>0</v>
      </c>
      <c r="M119">
        <v>2020</v>
      </c>
      <c r="N119" t="s">
        <v>1675</v>
      </c>
      <c r="O119"/>
      <c r="P119" t="s">
        <v>1676</v>
      </c>
      <c r="Q119" t="s">
        <v>1221</v>
      </c>
      <c r="R119" t="s">
        <v>1677</v>
      </c>
      <c r="S119" t="s">
        <v>1678</v>
      </c>
      <c r="T119" t="s">
        <v>1679</v>
      </c>
      <c r="U119" t="s">
        <v>655</v>
      </c>
      <c r="V119"/>
      <c r="W119" s="35">
        <v>1</v>
      </c>
      <c r="X119" s="35">
        <v>0</v>
      </c>
      <c r="Y119" s="45">
        <v>1</v>
      </c>
      <c r="Z119" s="35"/>
      <c r="AA119" s="28"/>
      <c r="AB119" s="28"/>
      <c r="AC119" s="35"/>
      <c r="AD119" s="228"/>
      <c r="AE119" s="44"/>
      <c r="AF119" s="35"/>
      <c r="AG119" s="35"/>
      <c r="AH119" s="35"/>
      <c r="AI119" s="35">
        <v>1</v>
      </c>
      <c r="AJ119" s="44">
        <v>1</v>
      </c>
      <c r="AK119" s="35"/>
      <c r="AL119" s="35"/>
      <c r="AM119" s="84"/>
      <c r="AN119" s="35"/>
      <c r="AO119" s="35"/>
      <c r="AP119" s="35"/>
      <c r="AQ119" s="35"/>
      <c r="AR119" s="35"/>
      <c r="AS119" s="35"/>
      <c r="AT119" s="35"/>
      <c r="AU119" s="35"/>
      <c r="AV119" s="35"/>
      <c r="AW119" s="35"/>
      <c r="AX119" s="35"/>
      <c r="AY119" s="35"/>
      <c r="AZ119" s="35"/>
      <c r="BA119" s="35"/>
      <c r="BB119" s="35"/>
      <c r="BC119" s="35">
        <v>1</v>
      </c>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28"/>
      <c r="CR119" s="35"/>
      <c r="CS119" s="28"/>
      <c r="CT119" s="35"/>
      <c r="CU119" s="35"/>
      <c r="CV119" s="35"/>
      <c r="CW119" s="35"/>
      <c r="CX119" s="35"/>
      <c r="CY119" s="35"/>
      <c r="CZ119" s="35"/>
      <c r="DA119" s="35"/>
      <c r="DB119" s="35"/>
      <c r="DC119" s="35"/>
      <c r="DD119" s="35"/>
      <c r="DE119" s="35"/>
      <c r="DF119" s="35"/>
      <c r="DG119" s="35"/>
      <c r="DH119" s="35"/>
      <c r="DI119" s="35"/>
      <c r="DJ119" s="35"/>
      <c r="DK119" s="35"/>
      <c r="DL119" s="35"/>
      <c r="DM119" s="35"/>
      <c r="DN119" s="35"/>
      <c r="DS119" s="28"/>
      <c r="EK119" s="22">
        <v>1</v>
      </c>
      <c r="IJ119" s="22">
        <v>1</v>
      </c>
      <c r="MU119" s="28">
        <f>SUM(Tabela7[[#This Row],[Communication]:[Training of DevOps activities]])</f>
        <v>3</v>
      </c>
    </row>
    <row r="120" spans="1:359" ht="14.4" x14ac:dyDescent="0.3">
      <c r="A120" s="22" t="s">
        <v>9237</v>
      </c>
      <c r="B120" s="29" t="s">
        <v>9236</v>
      </c>
      <c r="C120" s="29">
        <v>1</v>
      </c>
      <c r="D120" s="23" t="s">
        <v>717</v>
      </c>
      <c r="E120" s="29">
        <v>1</v>
      </c>
      <c r="F120" s="29">
        <v>1</v>
      </c>
      <c r="G120" s="24">
        <v>1</v>
      </c>
      <c r="H120" t="s">
        <v>9238</v>
      </c>
      <c r="I120" t="s">
        <v>9241</v>
      </c>
      <c r="J120" t="s">
        <v>9239</v>
      </c>
      <c r="K120" t="s">
        <v>9240</v>
      </c>
      <c r="L120">
        <v>0</v>
      </c>
      <c r="M120">
        <v>2022</v>
      </c>
      <c r="N120" t="s">
        <v>9242</v>
      </c>
      <c r="O120">
        <v>2</v>
      </c>
      <c r="P120" t="s">
        <v>9243</v>
      </c>
      <c r="Q120" t="s">
        <v>1634</v>
      </c>
      <c r="R120" t="s">
        <v>646</v>
      </c>
      <c r="S120" t="s">
        <v>9244</v>
      </c>
      <c r="T120" t="s">
        <v>9245</v>
      </c>
      <c r="U120" t="s">
        <v>655</v>
      </c>
      <c r="V120"/>
      <c r="W120" s="35" t="s">
        <v>26753</v>
      </c>
      <c r="X120" s="35">
        <v>1</v>
      </c>
      <c r="Y120" s="45"/>
      <c r="Z120" s="35"/>
      <c r="AA120" s="28"/>
      <c r="AB120" s="28">
        <v>1</v>
      </c>
      <c r="AC120" s="35"/>
      <c r="AD120" s="228"/>
      <c r="AE120" s="44">
        <v>1</v>
      </c>
      <c r="AF120" s="35"/>
      <c r="AG120" s="35"/>
      <c r="AH120" s="35"/>
      <c r="AI120" s="35"/>
      <c r="AJ120" s="44">
        <v>1</v>
      </c>
      <c r="AK120" s="35"/>
      <c r="AL120" s="35"/>
      <c r="AM120" s="84"/>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28"/>
      <c r="CR120" s="35"/>
      <c r="CS120" s="28"/>
      <c r="CT120" s="35"/>
      <c r="CU120" s="35"/>
      <c r="CV120" s="35"/>
      <c r="CW120" s="35"/>
      <c r="CX120" s="35"/>
      <c r="CY120" s="35"/>
      <c r="CZ120" s="35"/>
      <c r="DA120" s="35"/>
      <c r="DB120" s="35"/>
      <c r="DC120" s="35"/>
      <c r="DD120" s="35"/>
      <c r="DE120" s="35"/>
      <c r="DF120" s="35"/>
      <c r="DG120" s="35"/>
      <c r="DH120" s="35"/>
      <c r="DI120" s="35"/>
      <c r="DJ120" s="35"/>
      <c r="DK120" s="35"/>
      <c r="DL120" s="35"/>
      <c r="DM120" s="35"/>
      <c r="DN120" s="35"/>
      <c r="DS120" s="28"/>
      <c r="MF120" s="22">
        <v>1</v>
      </c>
      <c r="MG120" s="22">
        <v>1</v>
      </c>
      <c r="MH120" s="22">
        <v>1</v>
      </c>
      <c r="MI120" s="22">
        <v>1</v>
      </c>
      <c r="MU120" s="28">
        <f>SUM(Tabela7[[#This Row],[Communication]:[Training of DevOps activities]])</f>
        <v>4</v>
      </c>
    </row>
    <row r="121" spans="1:359" ht="14.4" x14ac:dyDescent="0.3">
      <c r="A121" s="22" t="s">
        <v>9512</v>
      </c>
      <c r="B121" s="29" t="s">
        <v>9511</v>
      </c>
      <c r="C121" s="29">
        <v>1</v>
      </c>
      <c r="D121" s="23" t="s">
        <v>717</v>
      </c>
      <c r="E121" s="29" t="s">
        <v>26753</v>
      </c>
      <c r="F121" s="29">
        <v>1</v>
      </c>
      <c r="G121" s="24">
        <v>1</v>
      </c>
      <c r="H121" t="s">
        <v>9513</v>
      </c>
      <c r="I121" t="s">
        <v>9516</v>
      </c>
      <c r="J121" t="s">
        <v>9514</v>
      </c>
      <c r="K121" t="s">
        <v>9515</v>
      </c>
      <c r="L121">
        <v>0</v>
      </c>
      <c r="M121">
        <v>2021</v>
      </c>
      <c r="N121" t="s">
        <v>1494</v>
      </c>
      <c r="O121">
        <v>5</v>
      </c>
      <c r="P121" t="s">
        <v>9517</v>
      </c>
      <c r="Q121" t="s">
        <v>984</v>
      </c>
      <c r="R121" t="s">
        <v>9518</v>
      </c>
      <c r="S121" t="s">
        <v>9519</v>
      </c>
      <c r="T121" t="s">
        <v>9520</v>
      </c>
      <c r="U121" t="s">
        <v>655</v>
      </c>
      <c r="V121"/>
      <c r="W121" s="35">
        <v>1</v>
      </c>
      <c r="X121" s="35">
        <v>0</v>
      </c>
      <c r="Y121" s="45"/>
      <c r="Z121" s="35"/>
      <c r="AA121" s="28">
        <v>1</v>
      </c>
      <c r="AB121" s="28"/>
      <c r="AC121" s="35"/>
      <c r="AD121" s="228">
        <v>1</v>
      </c>
      <c r="AE121" s="44"/>
      <c r="AF121" s="35"/>
      <c r="AG121" s="35">
        <v>1</v>
      </c>
      <c r="AH121" s="35"/>
      <c r="AI121" s="35"/>
      <c r="AJ121" s="44"/>
      <c r="AK121" s="35"/>
      <c r="AL121" s="35"/>
      <c r="AM121" s="84">
        <v>1</v>
      </c>
      <c r="AN121" s="35">
        <v>1</v>
      </c>
      <c r="AO121" s="35">
        <v>1</v>
      </c>
      <c r="AP121" s="35">
        <v>1</v>
      </c>
      <c r="AQ121" s="35">
        <v>1</v>
      </c>
      <c r="AR121" s="35"/>
      <c r="AS121" s="35"/>
      <c r="AT121" s="35"/>
      <c r="AU121" s="35"/>
      <c r="AV121" s="35">
        <v>1</v>
      </c>
      <c r="AW121" s="35">
        <v>1</v>
      </c>
      <c r="AX121" s="35"/>
      <c r="AY121" s="35"/>
      <c r="AZ121" s="35"/>
      <c r="BA121" s="35"/>
      <c r="BB121" s="35"/>
      <c r="BC121" s="35">
        <v>1</v>
      </c>
      <c r="BD121" s="35"/>
      <c r="BE121" s="35"/>
      <c r="BF121" s="35"/>
      <c r="BG121" s="35"/>
      <c r="BH121" s="35"/>
      <c r="BI121" s="35"/>
      <c r="BJ121" s="35"/>
      <c r="BK121" s="35"/>
      <c r="BL121" s="35"/>
      <c r="BM121" s="35">
        <v>1</v>
      </c>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v>1</v>
      </c>
      <c r="CN121" s="35"/>
      <c r="CO121" s="35"/>
      <c r="CP121" s="35"/>
      <c r="CQ121" s="28"/>
      <c r="CR121" s="35"/>
      <c r="CS121" s="28"/>
      <c r="CT121" s="35"/>
      <c r="CU121" s="35"/>
      <c r="CV121" s="35"/>
      <c r="CW121" s="35"/>
      <c r="CX121" s="35"/>
      <c r="CY121" s="35"/>
      <c r="CZ121" s="35"/>
      <c r="DA121" s="35"/>
      <c r="DB121" s="35"/>
      <c r="DC121" s="35"/>
      <c r="DD121" s="35"/>
      <c r="DE121" s="35"/>
      <c r="DF121" s="35"/>
      <c r="DG121" s="35"/>
      <c r="DH121" s="35"/>
      <c r="DI121" s="35"/>
      <c r="DJ121" s="35"/>
      <c r="DK121" s="35"/>
      <c r="DL121" s="35"/>
      <c r="DM121" s="35"/>
      <c r="DN121" s="35"/>
      <c r="DR121" s="22">
        <v>1</v>
      </c>
      <c r="DS121" s="28"/>
      <c r="DT121" s="22">
        <v>1</v>
      </c>
      <c r="FA121" s="22">
        <v>1</v>
      </c>
      <c r="FH121" s="22">
        <v>1</v>
      </c>
      <c r="GH121" s="22">
        <v>1</v>
      </c>
      <c r="JY121" s="22">
        <v>1</v>
      </c>
      <c r="MU121" s="28">
        <f>SUM(Tabela7[[#This Row],[Communication]:[Training of DevOps activities]])</f>
        <v>15</v>
      </c>
    </row>
    <row r="122" spans="1:359" ht="14.4" x14ac:dyDescent="0.3">
      <c r="A122" s="22" t="s">
        <v>9702</v>
      </c>
      <c r="B122" s="29" t="s">
        <v>9701</v>
      </c>
      <c r="C122" s="29">
        <v>1</v>
      </c>
      <c r="D122" s="23" t="s">
        <v>717</v>
      </c>
      <c r="E122" s="29">
        <v>1</v>
      </c>
      <c r="F122" s="29">
        <v>1</v>
      </c>
      <c r="G122" s="24">
        <v>1</v>
      </c>
      <c r="H122" t="s">
        <v>9703</v>
      </c>
      <c r="I122" t="s">
        <v>9706</v>
      </c>
      <c r="J122" t="s">
        <v>9704</v>
      </c>
      <c r="K122" t="s">
        <v>9705</v>
      </c>
      <c r="L122">
        <v>0</v>
      </c>
      <c r="M122">
        <v>2021</v>
      </c>
      <c r="N122" t="s">
        <v>1494</v>
      </c>
      <c r="O122">
        <v>2</v>
      </c>
      <c r="P122" t="s">
        <v>9707</v>
      </c>
      <c r="Q122" t="s">
        <v>984</v>
      </c>
      <c r="R122" t="s">
        <v>9708</v>
      </c>
      <c r="S122" t="s">
        <v>9709</v>
      </c>
      <c r="T122" t="s">
        <v>1710</v>
      </c>
      <c r="U122" t="s">
        <v>655</v>
      </c>
      <c r="V122"/>
      <c r="W122" s="35">
        <v>1</v>
      </c>
      <c r="X122" s="35">
        <v>0</v>
      </c>
      <c r="Y122" s="45"/>
      <c r="Z122" s="35">
        <v>1</v>
      </c>
      <c r="AA122" s="28">
        <v>1</v>
      </c>
      <c r="AB122" s="28"/>
      <c r="AC122" s="35"/>
      <c r="AD122" s="228">
        <v>1</v>
      </c>
      <c r="AE122" s="44"/>
      <c r="AF122" s="35"/>
      <c r="AG122" s="35">
        <v>1</v>
      </c>
      <c r="AH122" s="35"/>
      <c r="AI122" s="35"/>
      <c r="AJ122" s="44"/>
      <c r="AK122" s="35"/>
      <c r="AL122" s="35">
        <v>1</v>
      </c>
      <c r="AM122" s="84">
        <v>1</v>
      </c>
      <c r="AN122" s="35">
        <v>1</v>
      </c>
      <c r="AO122" s="35"/>
      <c r="AP122" s="35"/>
      <c r="AQ122" s="35"/>
      <c r="AR122" s="35"/>
      <c r="AS122" s="35"/>
      <c r="AT122" s="35"/>
      <c r="AU122" s="35"/>
      <c r="AV122" s="35">
        <v>1</v>
      </c>
      <c r="AW122" s="35"/>
      <c r="AX122" s="35">
        <v>1</v>
      </c>
      <c r="AY122" s="35"/>
      <c r="AZ122" s="35"/>
      <c r="BA122" s="35"/>
      <c r="BB122" s="35"/>
      <c r="BC122" s="35"/>
      <c r="BD122" s="35"/>
      <c r="BE122" s="35"/>
      <c r="BF122" s="35"/>
      <c r="BG122" s="35"/>
      <c r="BH122" s="35"/>
      <c r="BI122" s="35">
        <v>1</v>
      </c>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v>1</v>
      </c>
      <c r="CM122" s="35"/>
      <c r="CN122" s="35"/>
      <c r="CO122" s="35"/>
      <c r="CP122" s="35"/>
      <c r="CQ122" s="28"/>
      <c r="CR122" s="35">
        <v>1</v>
      </c>
      <c r="CS122" s="28">
        <v>1</v>
      </c>
      <c r="CT122" s="35"/>
      <c r="CU122" s="35"/>
      <c r="CV122" s="35"/>
      <c r="CW122" s="35"/>
      <c r="CX122" s="35"/>
      <c r="CY122" s="35"/>
      <c r="CZ122" s="35"/>
      <c r="DA122" s="35"/>
      <c r="DB122" s="35"/>
      <c r="DC122" s="35"/>
      <c r="DD122" s="35">
        <v>1</v>
      </c>
      <c r="DE122" s="35"/>
      <c r="DF122" s="35"/>
      <c r="DG122" s="35"/>
      <c r="DH122" s="35"/>
      <c r="DI122" s="35"/>
      <c r="DJ122" s="35"/>
      <c r="DK122" s="35"/>
      <c r="DL122" s="35"/>
      <c r="DM122" s="35"/>
      <c r="DN122" s="35"/>
      <c r="DS122" s="28"/>
      <c r="EM122" s="22">
        <v>1</v>
      </c>
      <c r="EN122" s="22">
        <v>1</v>
      </c>
      <c r="EO122" s="22">
        <v>1</v>
      </c>
      <c r="EY122" s="22">
        <v>1</v>
      </c>
      <c r="FD122" s="22">
        <v>1</v>
      </c>
      <c r="GM122" s="22">
        <v>1</v>
      </c>
      <c r="HJ122" s="22">
        <v>1</v>
      </c>
      <c r="JP122" s="22">
        <v>1</v>
      </c>
      <c r="MJ122" s="22">
        <v>1</v>
      </c>
      <c r="MK122" s="22">
        <v>1</v>
      </c>
      <c r="ML122" s="22">
        <v>1</v>
      </c>
      <c r="MM122" s="22">
        <v>1</v>
      </c>
      <c r="MN122" s="22">
        <v>1</v>
      </c>
      <c r="MO122" s="22">
        <v>1</v>
      </c>
      <c r="MP122" s="22">
        <v>1</v>
      </c>
      <c r="MU122" s="28">
        <f>SUM(Tabela7[[#This Row],[Communication]:[Training of DevOps activities]])</f>
        <v>23</v>
      </c>
    </row>
    <row r="123" spans="1:359" ht="14.4" x14ac:dyDescent="0.3">
      <c r="A123" s="22" t="s">
        <v>9920</v>
      </c>
      <c r="B123" s="29" t="s">
        <v>9919</v>
      </c>
      <c r="C123" s="29">
        <v>1</v>
      </c>
      <c r="D123" s="23" t="s">
        <v>717</v>
      </c>
      <c r="E123" s="29">
        <v>1</v>
      </c>
      <c r="F123" s="29" t="s">
        <v>26753</v>
      </c>
      <c r="G123" s="24">
        <v>1</v>
      </c>
      <c r="H123" t="s">
        <v>9921</v>
      </c>
      <c r="I123" t="s">
        <v>9924</v>
      </c>
      <c r="J123" t="s">
        <v>9922</v>
      </c>
      <c r="K123" t="s">
        <v>9923</v>
      </c>
      <c r="L123">
        <v>0</v>
      </c>
      <c r="M123">
        <v>2022</v>
      </c>
      <c r="N123" t="s">
        <v>1494</v>
      </c>
      <c r="O123"/>
      <c r="P123" t="s">
        <v>9925</v>
      </c>
      <c r="Q123" t="s">
        <v>984</v>
      </c>
      <c r="R123" t="s">
        <v>9926</v>
      </c>
      <c r="S123" t="s">
        <v>9927</v>
      </c>
      <c r="T123" t="s">
        <v>9928</v>
      </c>
      <c r="U123" t="s">
        <v>646</v>
      </c>
      <c r="V123"/>
      <c r="W123" s="35">
        <v>1</v>
      </c>
      <c r="X123" s="35">
        <v>1</v>
      </c>
      <c r="Y123" s="45"/>
      <c r="Z123" s="35"/>
      <c r="AA123" s="28"/>
      <c r="AB123" s="28"/>
      <c r="AC123" s="35">
        <v>1</v>
      </c>
      <c r="AD123" s="228"/>
      <c r="AE123" s="44"/>
      <c r="AF123" s="35"/>
      <c r="AG123" s="35"/>
      <c r="AH123" s="35">
        <v>1</v>
      </c>
      <c r="AI123" s="35"/>
      <c r="AJ123" s="44"/>
      <c r="AK123" s="35"/>
      <c r="AL123" s="35"/>
      <c r="AM123" s="84">
        <v>1</v>
      </c>
      <c r="AN123" s="35"/>
      <c r="AO123" s="35">
        <v>1</v>
      </c>
      <c r="AP123" s="35">
        <v>1</v>
      </c>
      <c r="AQ123" s="35">
        <v>1</v>
      </c>
      <c r="AR123" s="35"/>
      <c r="AS123" s="35"/>
      <c r="AT123" s="35">
        <v>1</v>
      </c>
      <c r="AU123" s="35"/>
      <c r="AV123" s="35"/>
      <c r="AW123" s="35"/>
      <c r="AX123" s="35"/>
      <c r="AY123" s="35">
        <v>1</v>
      </c>
      <c r="AZ123" s="35"/>
      <c r="BA123" s="35"/>
      <c r="BB123" s="35"/>
      <c r="BC123" s="35"/>
      <c r="BD123" s="35">
        <v>1</v>
      </c>
      <c r="BE123" s="35"/>
      <c r="BF123" s="35"/>
      <c r="BG123" s="35">
        <v>1</v>
      </c>
      <c r="BH123" s="35"/>
      <c r="BI123" s="35"/>
      <c r="BJ123" s="35">
        <v>1</v>
      </c>
      <c r="BK123" s="35"/>
      <c r="BL123" s="35"/>
      <c r="BM123" s="35"/>
      <c r="BN123" s="35"/>
      <c r="BO123" s="35"/>
      <c r="BP123" s="35"/>
      <c r="BQ123" s="35"/>
      <c r="BR123" s="35"/>
      <c r="BS123" s="35"/>
      <c r="BT123" s="35"/>
      <c r="BU123" s="35"/>
      <c r="BV123" s="35"/>
      <c r="BW123" s="35"/>
      <c r="BX123" s="35"/>
      <c r="BY123" s="35"/>
      <c r="BZ123" s="35"/>
      <c r="CA123" s="35"/>
      <c r="CB123" s="35"/>
      <c r="CC123" s="35"/>
      <c r="CD123" s="35"/>
      <c r="CE123" s="35">
        <v>1</v>
      </c>
      <c r="CF123" s="35"/>
      <c r="CG123" s="35"/>
      <c r="CH123" s="35"/>
      <c r="CI123" s="35"/>
      <c r="CJ123" s="35">
        <v>1</v>
      </c>
      <c r="CK123" s="35"/>
      <c r="CL123" s="35"/>
      <c r="CM123" s="35"/>
      <c r="CN123" s="35"/>
      <c r="CO123" s="35">
        <v>1</v>
      </c>
      <c r="CP123" s="35"/>
      <c r="CQ123" s="28"/>
      <c r="CR123" s="35"/>
      <c r="CS123" s="28"/>
      <c r="CT123" s="35">
        <v>1</v>
      </c>
      <c r="CU123" s="35"/>
      <c r="CV123" s="35"/>
      <c r="CW123" s="35">
        <v>1</v>
      </c>
      <c r="CX123" s="35">
        <v>1</v>
      </c>
      <c r="CY123" s="35"/>
      <c r="CZ123" s="35"/>
      <c r="DA123" s="35"/>
      <c r="DB123" s="35"/>
      <c r="DC123" s="35"/>
      <c r="DD123" s="35">
        <v>1</v>
      </c>
      <c r="DE123" s="35"/>
      <c r="DF123" s="35"/>
      <c r="DG123" s="35"/>
      <c r="DH123" s="35"/>
      <c r="DI123" s="35"/>
      <c r="DJ123" s="35"/>
      <c r="DK123" s="35"/>
      <c r="DL123" s="35"/>
      <c r="DM123" s="35"/>
      <c r="DN123" s="35"/>
      <c r="DS123" s="28"/>
      <c r="EK123" s="22">
        <v>1</v>
      </c>
      <c r="EX123" s="22">
        <v>1</v>
      </c>
      <c r="FH123" s="22">
        <v>1</v>
      </c>
      <c r="GJ123" s="22">
        <v>1</v>
      </c>
      <c r="HI123" s="22">
        <v>1</v>
      </c>
      <c r="HJ123" s="22">
        <v>1</v>
      </c>
      <c r="HK123" s="22">
        <v>1</v>
      </c>
      <c r="HM123" s="22">
        <v>1</v>
      </c>
      <c r="HT123" s="22">
        <v>1</v>
      </c>
      <c r="HV123" s="22">
        <v>1</v>
      </c>
      <c r="IB123" s="22">
        <v>1</v>
      </c>
      <c r="IH123" s="22">
        <v>1</v>
      </c>
      <c r="II123" s="22">
        <v>1</v>
      </c>
      <c r="IK123" s="22">
        <v>1</v>
      </c>
      <c r="IO123" s="22">
        <v>1</v>
      </c>
      <c r="JB123" s="22">
        <v>1</v>
      </c>
      <c r="JD123" s="22">
        <v>1</v>
      </c>
      <c r="JN123" s="22">
        <v>1</v>
      </c>
      <c r="JP123" s="22">
        <v>1</v>
      </c>
      <c r="JS123" s="22">
        <v>1</v>
      </c>
      <c r="JT123" s="22">
        <v>1</v>
      </c>
      <c r="JU123" s="22">
        <v>1</v>
      </c>
      <c r="KB123" s="22">
        <v>1</v>
      </c>
      <c r="KJ123" s="22">
        <v>1</v>
      </c>
      <c r="KR123" s="22">
        <v>1</v>
      </c>
      <c r="LG123" s="22">
        <v>1</v>
      </c>
      <c r="MH123" s="22">
        <v>1</v>
      </c>
      <c r="MU123" s="28">
        <f>SUM(Tabela7[[#This Row],[Communication]:[Training of DevOps activities]])</f>
        <v>42</v>
      </c>
    </row>
    <row r="124" spans="1:359" ht="14.4" x14ac:dyDescent="0.3">
      <c r="A124" s="22" t="s">
        <v>10662</v>
      </c>
      <c r="B124" s="29" t="s">
        <v>10661</v>
      </c>
      <c r="C124" s="29">
        <v>1</v>
      </c>
      <c r="D124" s="23" t="s">
        <v>717</v>
      </c>
      <c r="E124" s="29">
        <v>1</v>
      </c>
      <c r="F124" s="29">
        <v>1</v>
      </c>
      <c r="G124" s="24">
        <v>1</v>
      </c>
      <c r="H124" t="s">
        <v>10663</v>
      </c>
      <c r="I124" t="s">
        <v>10666</v>
      </c>
      <c r="J124" t="s">
        <v>10664</v>
      </c>
      <c r="K124" t="s">
        <v>10665</v>
      </c>
      <c r="L124">
        <v>0</v>
      </c>
      <c r="M124">
        <v>2021</v>
      </c>
      <c r="N124" t="s">
        <v>10667</v>
      </c>
      <c r="O124"/>
      <c r="P124" t="s">
        <v>10668</v>
      </c>
      <c r="Q124" t="s">
        <v>875</v>
      </c>
      <c r="R124" t="s">
        <v>10669</v>
      </c>
      <c r="S124" t="s">
        <v>10670</v>
      </c>
      <c r="T124" t="s">
        <v>10671</v>
      </c>
      <c r="U124" t="s">
        <v>646</v>
      </c>
      <c r="V124"/>
      <c r="W124" s="35">
        <v>1</v>
      </c>
      <c r="X124" s="35">
        <v>0</v>
      </c>
      <c r="Y124" s="45"/>
      <c r="Z124" s="35"/>
      <c r="AA124" s="28"/>
      <c r="AB124" s="28">
        <v>1</v>
      </c>
      <c r="AC124" s="35"/>
      <c r="AD124" s="228"/>
      <c r="AE124" s="44">
        <v>1</v>
      </c>
      <c r="AF124" s="35"/>
      <c r="AG124" s="35"/>
      <c r="AH124" s="35"/>
      <c r="AI124" s="35"/>
      <c r="AJ124" s="44">
        <v>1</v>
      </c>
      <c r="AK124" s="35"/>
      <c r="AL124" s="35"/>
      <c r="AM124" s="35"/>
      <c r="AN124" s="45"/>
      <c r="AO124" s="35"/>
      <c r="AP124" s="35"/>
      <c r="AQ124" s="35"/>
      <c r="AR124" s="35"/>
      <c r="AS124" s="35"/>
      <c r="AT124" s="35">
        <v>1</v>
      </c>
      <c r="AU124" s="35">
        <v>1</v>
      </c>
      <c r="AV124" s="35"/>
      <c r="AW124" s="35"/>
      <c r="AX124" s="35"/>
      <c r="AY124" s="35"/>
      <c r="AZ124" s="35"/>
      <c r="BA124" s="35"/>
      <c r="BB124" s="35"/>
      <c r="BC124" s="35">
        <v>1</v>
      </c>
      <c r="BD124" s="35">
        <v>1</v>
      </c>
      <c r="BE124" s="35">
        <v>1</v>
      </c>
      <c r="BF124" s="35"/>
      <c r="BG124" s="35"/>
      <c r="BH124" s="35"/>
      <c r="BI124" s="35"/>
      <c r="BJ124" s="35"/>
      <c r="BK124" s="35"/>
      <c r="BL124" s="35"/>
      <c r="BM124" s="35"/>
      <c r="BN124" s="35">
        <v>1</v>
      </c>
      <c r="BO124" s="35"/>
      <c r="BP124" s="35"/>
      <c r="BQ124" s="35"/>
      <c r="BR124" s="35"/>
      <c r="BS124" s="35"/>
      <c r="BT124" s="35"/>
      <c r="BU124" s="35"/>
      <c r="BV124" s="35"/>
      <c r="BW124" s="35"/>
      <c r="BX124" s="35"/>
      <c r="BY124" s="35"/>
      <c r="BZ124" s="35"/>
      <c r="CA124" s="35"/>
      <c r="CB124" s="35"/>
      <c r="CC124" s="35"/>
      <c r="CD124" s="35">
        <v>1</v>
      </c>
      <c r="CE124" s="35"/>
      <c r="CF124" s="35"/>
      <c r="CG124" s="35"/>
      <c r="CH124" s="35"/>
      <c r="CI124" s="35"/>
      <c r="CJ124" s="35"/>
      <c r="CK124" s="35"/>
      <c r="CL124" s="35"/>
      <c r="CM124" s="35"/>
      <c r="CN124" s="35"/>
      <c r="CO124" s="35"/>
      <c r="CP124" s="35"/>
      <c r="CQ124" s="28"/>
      <c r="CR124" s="35"/>
      <c r="CS124" s="28"/>
      <c r="CT124" s="35"/>
      <c r="CU124" s="35"/>
      <c r="CV124" s="35"/>
      <c r="CW124" s="35"/>
      <c r="CX124" s="35"/>
      <c r="CY124" s="35"/>
      <c r="CZ124" s="35"/>
      <c r="DA124" s="35"/>
      <c r="DB124" s="35"/>
      <c r="DC124" s="35"/>
      <c r="DD124" s="35"/>
      <c r="DE124" s="35"/>
      <c r="DF124" s="35"/>
      <c r="DG124" s="35"/>
      <c r="DH124" s="35"/>
      <c r="DI124" s="35">
        <v>1</v>
      </c>
      <c r="DJ124" s="35"/>
      <c r="DK124" s="35"/>
      <c r="DL124" s="35"/>
      <c r="DM124" s="35"/>
      <c r="DN124" s="35"/>
      <c r="DS124" s="28"/>
      <c r="JF124" s="22">
        <v>1</v>
      </c>
      <c r="LT124" s="22">
        <v>1</v>
      </c>
      <c r="MU124" s="28">
        <f>SUM(Tabela7[[#This Row],[Communication]:[Training of DevOps activities]])</f>
        <v>10</v>
      </c>
    </row>
    <row r="125" spans="1:359" ht="14.4" x14ac:dyDescent="0.3">
      <c r="A125" s="22" t="s">
        <v>10673</v>
      </c>
      <c r="B125" s="29" t="s">
        <v>10672</v>
      </c>
      <c r="C125" s="29">
        <v>1</v>
      </c>
      <c r="D125" s="23" t="s">
        <v>717</v>
      </c>
      <c r="E125" s="29">
        <v>1</v>
      </c>
      <c r="F125" s="29">
        <v>1</v>
      </c>
      <c r="G125" s="24">
        <v>1</v>
      </c>
      <c r="H125" t="s">
        <v>10674</v>
      </c>
      <c r="I125" t="s">
        <v>10677</v>
      </c>
      <c r="J125" t="s">
        <v>10675</v>
      </c>
      <c r="K125" t="s">
        <v>10676</v>
      </c>
      <c r="L125">
        <v>0</v>
      </c>
      <c r="M125">
        <v>2021</v>
      </c>
      <c r="N125" t="s">
        <v>3142</v>
      </c>
      <c r="O125">
        <v>27</v>
      </c>
      <c r="P125" t="s">
        <v>10678</v>
      </c>
      <c r="Q125" t="s">
        <v>26201</v>
      </c>
      <c r="R125" t="s">
        <v>10679</v>
      </c>
      <c r="S125" t="s">
        <v>10680</v>
      </c>
      <c r="T125" t="s">
        <v>10681</v>
      </c>
      <c r="U125" t="s">
        <v>655</v>
      </c>
      <c r="V125"/>
      <c r="W125" s="35">
        <v>1</v>
      </c>
      <c r="X125" s="35">
        <v>1</v>
      </c>
      <c r="Y125" s="45"/>
      <c r="Z125" s="35"/>
      <c r="AA125" s="35"/>
      <c r="AB125" s="35"/>
      <c r="AC125" s="35"/>
      <c r="AD125" s="228">
        <v>1</v>
      </c>
      <c r="AE125" s="44"/>
      <c r="AF125" s="35"/>
      <c r="AG125" s="35"/>
      <c r="AH125" s="35">
        <v>1</v>
      </c>
      <c r="AI125" s="35"/>
      <c r="AJ125" s="44">
        <v>1</v>
      </c>
      <c r="AK125" s="35"/>
      <c r="AL125" s="35"/>
      <c r="AM125" s="35"/>
      <c r="AN125" s="45"/>
      <c r="AO125" s="35"/>
      <c r="AP125" s="35"/>
      <c r="AQ125" s="35"/>
      <c r="AR125" s="35"/>
      <c r="AS125" s="35"/>
      <c r="AT125" s="35">
        <v>1</v>
      </c>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v>1</v>
      </c>
      <c r="CF125" s="35"/>
      <c r="CG125" s="35"/>
      <c r="CH125" s="35"/>
      <c r="CI125" s="35"/>
      <c r="CJ125" s="35"/>
      <c r="CK125" s="35"/>
      <c r="CL125" s="35"/>
      <c r="CM125" s="35"/>
      <c r="CN125" s="35"/>
      <c r="CO125" s="35"/>
      <c r="CP125" s="35"/>
      <c r="CQ125" s="28"/>
      <c r="CR125" s="35"/>
      <c r="CS125" s="28"/>
      <c r="CT125" s="35"/>
      <c r="CU125" s="35"/>
      <c r="CV125" s="35"/>
      <c r="CW125" s="35"/>
      <c r="CX125" s="35"/>
      <c r="CY125" s="35"/>
      <c r="CZ125" s="35"/>
      <c r="DA125" s="35"/>
      <c r="DB125" s="35"/>
      <c r="DC125" s="35"/>
      <c r="DD125" s="35"/>
      <c r="DE125" s="35"/>
      <c r="DF125" s="35"/>
      <c r="DG125" s="35"/>
      <c r="DH125" s="35"/>
      <c r="DI125" s="35"/>
      <c r="DJ125" s="35"/>
      <c r="DK125" s="35"/>
      <c r="DL125" s="35"/>
      <c r="DM125" s="35"/>
      <c r="DN125" s="35"/>
      <c r="DS125" s="28"/>
      <c r="HT125" s="22">
        <v>1</v>
      </c>
      <c r="HW125" s="22">
        <v>1</v>
      </c>
      <c r="IF125" s="22">
        <v>1</v>
      </c>
      <c r="MF125" s="22">
        <v>1</v>
      </c>
      <c r="MQ125" s="22">
        <v>1</v>
      </c>
      <c r="MU125" s="28">
        <f>SUM(Tabela7[[#This Row],[Communication]:[Training of DevOps activities]])</f>
        <v>7</v>
      </c>
    </row>
    <row r="126" spans="1:359" ht="14.4" x14ac:dyDescent="0.3">
      <c r="A126" s="22" t="s">
        <v>17459</v>
      </c>
      <c r="B126" s="29" t="s">
        <v>1712</v>
      </c>
      <c r="C126" s="29">
        <v>1</v>
      </c>
      <c r="D126" s="114" t="s">
        <v>17460</v>
      </c>
      <c r="E126" s="29">
        <v>1</v>
      </c>
      <c r="F126" s="29">
        <v>1</v>
      </c>
      <c r="G126" s="24">
        <v>1</v>
      </c>
      <c r="H126" t="s">
        <v>17461</v>
      </c>
      <c r="I126" t="s">
        <v>17463</v>
      </c>
      <c r="J126" t="s">
        <v>17466</v>
      </c>
      <c r="K126" t="s">
        <v>17465</v>
      </c>
      <c r="L126">
        <v>0</v>
      </c>
      <c r="M126">
        <v>2021</v>
      </c>
      <c r="N126" t="s">
        <v>17464</v>
      </c>
      <c r="O126" t="s">
        <v>646</v>
      </c>
      <c r="P126" t="s">
        <v>25511</v>
      </c>
      <c r="Q126" t="s">
        <v>26202</v>
      </c>
      <c r="R126"/>
      <c r="S126" t="s">
        <v>646</v>
      </c>
      <c r="T126"/>
      <c r="U126" t="s">
        <v>17462</v>
      </c>
      <c r="V126"/>
      <c r="W126" s="35">
        <v>1</v>
      </c>
      <c r="X126" s="35">
        <v>1</v>
      </c>
      <c r="Y126" s="45"/>
      <c r="Z126" s="35"/>
      <c r="AA126" s="35"/>
      <c r="AB126" s="35">
        <v>1</v>
      </c>
      <c r="AC126" s="35"/>
      <c r="AD126" s="228"/>
      <c r="AE126" s="44"/>
      <c r="AF126" s="35">
        <v>1</v>
      </c>
      <c r="AG126" s="35"/>
      <c r="AH126" s="35"/>
      <c r="AI126" s="35"/>
      <c r="AJ126" s="44"/>
      <c r="AK126" s="35"/>
      <c r="AL126" s="35">
        <v>1</v>
      </c>
      <c r="AM126" s="35"/>
      <c r="AN126" s="4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v>1</v>
      </c>
      <c r="CP126" s="35"/>
      <c r="CQ126" s="28"/>
      <c r="CR126" s="35">
        <v>1</v>
      </c>
      <c r="CS126" s="28"/>
      <c r="CT126" s="35"/>
      <c r="CU126" s="35"/>
      <c r="CV126" s="35"/>
      <c r="CW126" s="35"/>
      <c r="CX126" s="35"/>
      <c r="CY126" s="35"/>
      <c r="CZ126" s="35"/>
      <c r="DA126" s="35"/>
      <c r="DB126" s="35"/>
      <c r="DC126" s="35"/>
      <c r="DD126" s="35"/>
      <c r="DE126" s="35"/>
      <c r="DF126" s="35"/>
      <c r="DG126" s="35"/>
      <c r="DH126" s="35"/>
      <c r="DI126" s="35"/>
      <c r="DJ126" s="35"/>
      <c r="DK126" s="35"/>
      <c r="DL126" s="35"/>
      <c r="DM126" s="35"/>
      <c r="DN126" s="35"/>
      <c r="DS126" s="28"/>
      <c r="DT126" s="22">
        <v>1</v>
      </c>
      <c r="EM126" s="22">
        <v>1</v>
      </c>
      <c r="FH126" s="22">
        <v>1</v>
      </c>
      <c r="FL126" s="22">
        <v>1</v>
      </c>
      <c r="GB126" s="22">
        <v>1</v>
      </c>
      <c r="GS126" s="22">
        <v>1</v>
      </c>
      <c r="JA126" s="22">
        <v>1</v>
      </c>
      <c r="KC126" s="22">
        <v>1</v>
      </c>
      <c r="MR126" s="22">
        <v>1</v>
      </c>
      <c r="MS126" s="22">
        <v>1</v>
      </c>
      <c r="MU126" s="28">
        <f>SUM(Tabela7[[#This Row],[Communication]:[Training of DevOps activities]])</f>
        <v>12</v>
      </c>
    </row>
    <row r="127" spans="1:359" ht="14.4" x14ac:dyDescent="0.3">
      <c r="A127" s="22" t="s">
        <v>17559</v>
      </c>
      <c r="B127" s="29" t="s">
        <v>17558</v>
      </c>
      <c r="C127" s="29">
        <v>1</v>
      </c>
      <c r="D127" s="23" t="s">
        <v>717</v>
      </c>
      <c r="E127" s="29">
        <v>1</v>
      </c>
      <c r="F127" s="29">
        <v>1</v>
      </c>
      <c r="G127" s="24">
        <v>1</v>
      </c>
      <c r="H127" t="s">
        <v>17560</v>
      </c>
      <c r="I127" t="s">
        <v>17561</v>
      </c>
      <c r="J127" t="s">
        <v>646</v>
      </c>
      <c r="K127" t="s">
        <v>17563</v>
      </c>
      <c r="L127"/>
      <c r="M127">
        <v>2022</v>
      </c>
      <c r="N127" t="s">
        <v>17562</v>
      </c>
      <c r="O127" t="s">
        <v>646</v>
      </c>
      <c r="P127" t="s">
        <v>25528</v>
      </c>
      <c r="Q127" t="s">
        <v>26203</v>
      </c>
      <c r="R127"/>
      <c r="S127" t="s">
        <v>646</v>
      </c>
      <c r="T127"/>
      <c r="U127" t="s">
        <v>17462</v>
      </c>
      <c r="V127"/>
      <c r="W127" s="35">
        <v>1</v>
      </c>
      <c r="X127" s="35">
        <v>0</v>
      </c>
      <c r="Y127" s="45"/>
      <c r="Z127" s="35"/>
      <c r="AA127" s="35">
        <v>1</v>
      </c>
      <c r="AB127" s="35"/>
      <c r="AC127" s="35"/>
      <c r="AD127" s="228">
        <v>1</v>
      </c>
      <c r="AE127" s="44">
        <v>0</v>
      </c>
      <c r="AF127" s="35"/>
      <c r="AG127" s="35">
        <v>1</v>
      </c>
      <c r="AH127" s="35"/>
      <c r="AI127" s="35"/>
      <c r="AJ127" s="44"/>
      <c r="AK127" s="35"/>
      <c r="AL127" s="35"/>
      <c r="AM127" s="35">
        <v>1</v>
      </c>
      <c r="AN127" s="45">
        <v>1</v>
      </c>
      <c r="AO127" s="35"/>
      <c r="AP127" s="35"/>
      <c r="AQ127" s="35"/>
      <c r="AR127" s="35"/>
      <c r="AS127" s="35"/>
      <c r="AT127" s="35"/>
      <c r="AU127" s="35"/>
      <c r="AV127" s="35"/>
      <c r="AW127" s="35">
        <v>1</v>
      </c>
      <c r="AX127" s="35"/>
      <c r="AY127" s="35"/>
      <c r="AZ127" s="35"/>
      <c r="BA127" s="35"/>
      <c r="BB127" s="35"/>
      <c r="BC127" s="35"/>
      <c r="BD127" s="35"/>
      <c r="BE127" s="35"/>
      <c r="BF127" s="35"/>
      <c r="BG127" s="35"/>
      <c r="BH127" s="35">
        <v>1</v>
      </c>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v>1</v>
      </c>
      <c r="CI127" s="35"/>
      <c r="CJ127" s="35"/>
      <c r="CK127" s="35"/>
      <c r="CL127" s="35"/>
      <c r="CM127" s="35"/>
      <c r="CN127" s="35"/>
      <c r="CO127" s="35">
        <v>1</v>
      </c>
      <c r="CP127" s="35"/>
      <c r="CQ127" s="28"/>
      <c r="CR127" s="35"/>
      <c r="CS127" s="28"/>
      <c r="CT127" s="35"/>
      <c r="CU127" s="35"/>
      <c r="CV127" s="35"/>
      <c r="CW127" s="35"/>
      <c r="CX127" s="35"/>
      <c r="CY127" s="35"/>
      <c r="CZ127" s="35"/>
      <c r="DA127" s="35"/>
      <c r="DB127" s="35"/>
      <c r="DC127" s="35"/>
      <c r="DD127" s="35"/>
      <c r="DE127" s="35"/>
      <c r="DF127" s="35"/>
      <c r="DG127" s="35"/>
      <c r="DH127" s="35"/>
      <c r="DI127" s="35"/>
      <c r="DJ127" s="35"/>
      <c r="DK127" s="35"/>
      <c r="DL127" s="35"/>
      <c r="DM127" s="35"/>
      <c r="DN127" s="35"/>
      <c r="DS127" s="28"/>
      <c r="ED127" s="22">
        <v>1</v>
      </c>
      <c r="EI127" s="22">
        <v>1</v>
      </c>
      <c r="EO127" s="22">
        <v>1</v>
      </c>
      <c r="FL127" s="22">
        <v>1</v>
      </c>
      <c r="GM127" s="22">
        <v>1</v>
      </c>
      <c r="GN127" s="22">
        <v>1</v>
      </c>
      <c r="GP127" s="22">
        <v>1</v>
      </c>
      <c r="GS127" s="22">
        <v>1</v>
      </c>
      <c r="HI127" s="22">
        <v>1</v>
      </c>
      <c r="IK127" s="22">
        <v>1</v>
      </c>
      <c r="MT127" s="22">
        <v>1</v>
      </c>
      <c r="MU127" s="28">
        <f>SUM(Tabela7[[#This Row],[Communication]:[Training of DevOps activities]])</f>
        <v>16</v>
      </c>
    </row>
    <row r="128" spans="1:359" ht="14.4" x14ac:dyDescent="0.3">
      <c r="A128" s="22" t="s">
        <v>17619</v>
      </c>
      <c r="B128" s="29" t="s">
        <v>17618</v>
      </c>
      <c r="C128" s="29">
        <v>1</v>
      </c>
      <c r="D128" s="23" t="s">
        <v>717</v>
      </c>
      <c r="E128" s="29">
        <v>1</v>
      </c>
      <c r="F128" s="29">
        <v>1</v>
      </c>
      <c r="G128" s="24">
        <v>1</v>
      </c>
      <c r="H128" t="s">
        <v>17620</v>
      </c>
      <c r="I128" t="s">
        <v>17621</v>
      </c>
      <c r="J128" t="s">
        <v>646</v>
      </c>
      <c r="K128" t="s">
        <v>17623</v>
      </c>
      <c r="L128"/>
      <c r="M128">
        <v>2022</v>
      </c>
      <c r="N128" t="s">
        <v>17622</v>
      </c>
      <c r="O128" t="s">
        <v>646</v>
      </c>
      <c r="P128" t="s">
        <v>25534</v>
      </c>
      <c r="Q128" t="s">
        <v>1029</v>
      </c>
      <c r="R128"/>
      <c r="S128" t="s">
        <v>646</v>
      </c>
      <c r="T128"/>
      <c r="U128" t="s">
        <v>17462</v>
      </c>
      <c r="V128"/>
      <c r="W128" s="35">
        <v>1</v>
      </c>
      <c r="X128" s="35">
        <v>0</v>
      </c>
      <c r="Y128" s="45"/>
      <c r="Z128" s="35"/>
      <c r="AA128" s="35"/>
      <c r="AB128" s="35"/>
      <c r="AC128" s="35"/>
      <c r="AD128" s="228">
        <v>1</v>
      </c>
      <c r="AE128" s="44">
        <v>1</v>
      </c>
      <c r="AF128" s="35"/>
      <c r="AG128" s="35"/>
      <c r="AH128" s="35"/>
      <c r="AI128" s="35"/>
      <c r="AJ128" s="44">
        <v>1</v>
      </c>
      <c r="AK128" s="35"/>
      <c r="AL128" s="35"/>
      <c r="AM128" s="35"/>
      <c r="AN128" s="45"/>
      <c r="AO128" s="35"/>
      <c r="AP128" s="35">
        <v>1</v>
      </c>
      <c r="AQ128" s="35">
        <v>1</v>
      </c>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28"/>
      <c r="CR128" s="35"/>
      <c r="CS128" s="28"/>
      <c r="CT128" s="35"/>
      <c r="CU128" s="35"/>
      <c r="CV128" s="35"/>
      <c r="CW128" s="35"/>
      <c r="CX128" s="35"/>
      <c r="CY128" s="35"/>
      <c r="CZ128" s="35"/>
      <c r="DA128" s="35"/>
      <c r="DB128" s="35"/>
      <c r="DC128" s="35"/>
      <c r="DD128" s="35"/>
      <c r="DE128" s="35"/>
      <c r="DF128" s="35"/>
      <c r="DG128" s="35"/>
      <c r="DH128" s="35"/>
      <c r="DI128" s="35"/>
      <c r="DJ128" s="35"/>
      <c r="DK128" s="35"/>
      <c r="DL128" s="35"/>
      <c r="DM128" s="35"/>
      <c r="DN128" s="35"/>
      <c r="DS128" s="28"/>
      <c r="IF128" s="22">
        <v>1</v>
      </c>
      <c r="MU128" s="28">
        <f>SUM(Tabela7[[#This Row],[Communication]:[Training of DevOps activities]])</f>
        <v>3</v>
      </c>
    </row>
    <row r="129" spans="1:359" ht="14.4" x14ac:dyDescent="0.3">
      <c r="A129" s="22" t="s">
        <v>17679</v>
      </c>
      <c r="B129" s="29" t="s">
        <v>17678</v>
      </c>
      <c r="C129" s="29">
        <v>1</v>
      </c>
      <c r="D129" s="114" t="s">
        <v>17460</v>
      </c>
      <c r="E129" s="29" t="s">
        <v>26753</v>
      </c>
      <c r="F129" s="29" t="s">
        <v>26753</v>
      </c>
      <c r="G129" s="24">
        <v>1</v>
      </c>
      <c r="H129" t="s">
        <v>17680</v>
      </c>
      <c r="I129" t="s">
        <v>17681</v>
      </c>
      <c r="J129" t="s">
        <v>646</v>
      </c>
      <c r="K129" t="s">
        <v>17683</v>
      </c>
      <c r="L129"/>
      <c r="M129">
        <v>2021</v>
      </c>
      <c r="N129" t="s">
        <v>17682</v>
      </c>
      <c r="O129" t="s">
        <v>646</v>
      </c>
      <c r="P129" t="s">
        <v>25535</v>
      </c>
      <c r="Q129" t="s">
        <v>26204</v>
      </c>
      <c r="R129"/>
      <c r="S129" t="s">
        <v>646</v>
      </c>
      <c r="T129"/>
      <c r="U129" t="s">
        <v>17462</v>
      </c>
      <c r="V129"/>
      <c r="W129" s="35" t="s">
        <v>26753</v>
      </c>
      <c r="X129" s="35" t="s">
        <v>26753</v>
      </c>
      <c r="Y129" s="45">
        <v>1</v>
      </c>
      <c r="Z129" s="35"/>
      <c r="AA129" s="35"/>
      <c r="AB129" s="35"/>
      <c r="AC129" s="35"/>
      <c r="AD129" s="228"/>
      <c r="AE129" s="44">
        <v>1</v>
      </c>
      <c r="AF129" s="35"/>
      <c r="AG129" s="35"/>
      <c r="AH129" s="35"/>
      <c r="AI129" s="35"/>
      <c r="AJ129" s="44"/>
      <c r="AK129" s="35"/>
      <c r="AL129" s="35">
        <v>1</v>
      </c>
      <c r="AM129" s="35"/>
      <c r="AN129" s="4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28"/>
      <c r="CR129" s="35"/>
      <c r="CS129" s="28"/>
      <c r="CT129" s="35"/>
      <c r="CU129" s="35"/>
      <c r="CV129" s="35"/>
      <c r="CW129" s="35"/>
      <c r="CX129" s="35"/>
      <c r="CY129" s="35"/>
      <c r="CZ129" s="35"/>
      <c r="DA129" s="35"/>
      <c r="DB129" s="35"/>
      <c r="DC129" s="35"/>
      <c r="DD129" s="35"/>
      <c r="DE129" s="35"/>
      <c r="DF129" s="35"/>
      <c r="DG129" s="35"/>
      <c r="DH129" s="35"/>
      <c r="DI129" s="35"/>
      <c r="DJ129" s="35"/>
      <c r="DK129" s="35"/>
      <c r="DL129" s="35"/>
      <c r="DM129" s="35"/>
      <c r="DN129" s="35"/>
      <c r="DS129" s="28"/>
      <c r="FT129" s="22">
        <v>1</v>
      </c>
      <c r="GX129" s="22">
        <v>1</v>
      </c>
      <c r="JK129" s="22">
        <v>1</v>
      </c>
      <c r="JX129" s="22">
        <v>1</v>
      </c>
      <c r="KA129" s="22">
        <v>1</v>
      </c>
      <c r="MU129" s="28">
        <f>SUM(Tabela7[[#This Row],[Communication]:[Training of DevOps activities]])</f>
        <v>5</v>
      </c>
    </row>
    <row r="130" spans="1:359" ht="14.4" x14ac:dyDescent="0.3">
      <c r="A130" s="22" t="s">
        <v>26004</v>
      </c>
      <c r="B130" s="29" t="s">
        <v>17707</v>
      </c>
      <c r="C130" s="29">
        <v>1</v>
      </c>
      <c r="D130" s="23" t="s">
        <v>717</v>
      </c>
      <c r="E130" s="29">
        <v>1</v>
      </c>
      <c r="F130" s="29">
        <v>1</v>
      </c>
      <c r="G130" s="24">
        <v>1</v>
      </c>
      <c r="H130" t="s">
        <v>17709</v>
      </c>
      <c r="I130" t="s">
        <v>17710</v>
      </c>
      <c r="J130" t="s">
        <v>646</v>
      </c>
      <c r="K130" t="s">
        <v>17712</v>
      </c>
      <c r="L130"/>
      <c r="M130">
        <v>2021</v>
      </c>
      <c r="N130" t="s">
        <v>17711</v>
      </c>
      <c r="O130" t="s">
        <v>646</v>
      </c>
      <c r="P130" t="s">
        <v>25538</v>
      </c>
      <c r="Q130" t="s">
        <v>1634</v>
      </c>
      <c r="R130"/>
      <c r="S130" t="s">
        <v>646</v>
      </c>
      <c r="T130"/>
      <c r="U130" t="s">
        <v>17462</v>
      </c>
      <c r="V130"/>
      <c r="W130" s="35">
        <v>1</v>
      </c>
      <c r="X130" s="35">
        <v>0</v>
      </c>
      <c r="Y130" s="45"/>
      <c r="Z130" s="35"/>
      <c r="AA130" s="35">
        <v>1</v>
      </c>
      <c r="AB130" s="35"/>
      <c r="AC130" s="35"/>
      <c r="AD130" s="228"/>
      <c r="AE130" s="44"/>
      <c r="AF130" s="35">
        <v>1</v>
      </c>
      <c r="AG130" s="35"/>
      <c r="AH130" s="35"/>
      <c r="AI130" s="35"/>
      <c r="AJ130" s="44">
        <v>1</v>
      </c>
      <c r="AK130" s="35"/>
      <c r="AL130" s="35"/>
      <c r="AM130" s="35"/>
      <c r="AN130" s="45"/>
      <c r="AO130" s="35">
        <v>1</v>
      </c>
      <c r="AP130" s="35">
        <v>1</v>
      </c>
      <c r="AQ130" s="35">
        <v>1</v>
      </c>
      <c r="AR130" s="35"/>
      <c r="AS130" s="35"/>
      <c r="AT130" s="35">
        <v>1</v>
      </c>
      <c r="AU130" s="35"/>
      <c r="AV130" s="35"/>
      <c r="AW130" s="35"/>
      <c r="AX130" s="35"/>
      <c r="AY130" s="35">
        <v>1</v>
      </c>
      <c r="AZ130" s="35"/>
      <c r="BA130" s="35"/>
      <c r="BB130" s="35"/>
      <c r="BC130" s="35">
        <v>1</v>
      </c>
      <c r="BD130" s="35">
        <v>1</v>
      </c>
      <c r="BE130" s="35"/>
      <c r="BF130" s="35"/>
      <c r="BG130" s="35">
        <v>1</v>
      </c>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v>1</v>
      </c>
      <c r="CJ130" s="35"/>
      <c r="CK130" s="35"/>
      <c r="CL130" s="35"/>
      <c r="CM130" s="35"/>
      <c r="CN130" s="35"/>
      <c r="CO130" s="35"/>
      <c r="CP130" s="35"/>
      <c r="CQ130" s="28"/>
      <c r="CR130" s="35"/>
      <c r="CS130" s="28"/>
      <c r="CT130" s="35"/>
      <c r="CU130" s="35"/>
      <c r="CV130" s="35"/>
      <c r="CW130" s="35">
        <v>1</v>
      </c>
      <c r="CX130" s="35">
        <v>1</v>
      </c>
      <c r="CY130" s="35"/>
      <c r="CZ130" s="35"/>
      <c r="DA130" s="35"/>
      <c r="DB130" s="35"/>
      <c r="DC130" s="35"/>
      <c r="DD130" s="35">
        <v>1</v>
      </c>
      <c r="DE130" s="35"/>
      <c r="DF130" s="35"/>
      <c r="DG130" s="35"/>
      <c r="DH130" s="35"/>
      <c r="DI130" s="35">
        <v>1</v>
      </c>
      <c r="DJ130" s="35"/>
      <c r="DK130" s="35">
        <v>1</v>
      </c>
      <c r="DL130" s="35"/>
      <c r="DM130" s="35"/>
      <c r="DN130" s="35"/>
      <c r="DS130" s="28"/>
      <c r="DT130" s="22">
        <v>1</v>
      </c>
      <c r="DV130" s="22">
        <v>1</v>
      </c>
      <c r="EL130" s="22">
        <v>1</v>
      </c>
      <c r="EX130" s="22">
        <v>1</v>
      </c>
      <c r="FG130" s="22">
        <v>1</v>
      </c>
      <c r="FJ130" s="22">
        <v>1</v>
      </c>
      <c r="FT130" s="22">
        <v>1</v>
      </c>
      <c r="FV130" s="22">
        <v>1</v>
      </c>
      <c r="GN130" s="22">
        <v>1</v>
      </c>
      <c r="GX130" s="22">
        <v>1</v>
      </c>
      <c r="HU130" s="22">
        <v>1</v>
      </c>
      <c r="II130" s="22">
        <v>1</v>
      </c>
      <c r="IJ130" s="22">
        <v>1</v>
      </c>
      <c r="JI130" s="22">
        <v>1</v>
      </c>
      <c r="JT130" s="22">
        <v>1</v>
      </c>
      <c r="KR130" s="22">
        <v>1</v>
      </c>
      <c r="KV130" s="22">
        <v>1</v>
      </c>
      <c r="LH130" s="22">
        <v>1</v>
      </c>
      <c r="LV130" s="22">
        <v>1</v>
      </c>
      <c r="MU130" s="28">
        <f>SUM(Tabela7[[#This Row],[Communication]:[Training of DevOps activities]])</f>
        <v>33</v>
      </c>
    </row>
    <row r="131" spans="1:359" ht="14.4" x14ac:dyDescent="0.3">
      <c r="A131" s="22" t="s">
        <v>17816</v>
      </c>
      <c r="B131" s="29" t="s">
        <v>17815</v>
      </c>
      <c r="C131" s="29">
        <v>1</v>
      </c>
      <c r="D131" s="114" t="s">
        <v>17460</v>
      </c>
      <c r="E131" s="29">
        <v>1</v>
      </c>
      <c r="F131" s="29">
        <v>1</v>
      </c>
      <c r="G131" s="24">
        <v>1</v>
      </c>
      <c r="H131" t="s">
        <v>17817</v>
      </c>
      <c r="I131" t="s">
        <v>17818</v>
      </c>
      <c r="J131" t="s">
        <v>646</v>
      </c>
      <c r="K131" t="s">
        <v>17820</v>
      </c>
      <c r="L131"/>
      <c r="M131">
        <v>2022</v>
      </c>
      <c r="N131" t="s">
        <v>17819</v>
      </c>
      <c r="O131" t="s">
        <v>646</v>
      </c>
      <c r="P131" t="s">
        <v>25541</v>
      </c>
      <c r="Q131" t="s">
        <v>26200</v>
      </c>
      <c r="R131"/>
      <c r="S131" t="s">
        <v>646</v>
      </c>
      <c r="T131"/>
      <c r="U131" t="s">
        <v>17462</v>
      </c>
      <c r="V131"/>
      <c r="W131" s="35">
        <v>1</v>
      </c>
      <c r="X131" s="35">
        <v>0</v>
      </c>
      <c r="Y131" s="45"/>
      <c r="Z131" s="35"/>
      <c r="AA131" s="35"/>
      <c r="AB131" s="35"/>
      <c r="AC131" s="35"/>
      <c r="AD131" s="228">
        <v>1</v>
      </c>
      <c r="AE131" s="44"/>
      <c r="AF131" s="35">
        <v>1</v>
      </c>
      <c r="AG131" s="35"/>
      <c r="AH131" s="35"/>
      <c r="AI131" s="35"/>
      <c r="AJ131" s="44">
        <v>1</v>
      </c>
      <c r="AK131" s="35"/>
      <c r="AL131" s="35"/>
      <c r="AM131" s="35"/>
      <c r="AN131" s="45">
        <v>1</v>
      </c>
      <c r="AO131" s="35"/>
      <c r="AP131" s="35"/>
      <c r="AQ131" s="35"/>
      <c r="AR131" s="35"/>
      <c r="AS131" s="35"/>
      <c r="AT131" s="35"/>
      <c r="AU131" s="35">
        <v>1</v>
      </c>
      <c r="AV131" s="35"/>
      <c r="AW131" s="35">
        <v>1</v>
      </c>
      <c r="AX131" s="35"/>
      <c r="AY131" s="35"/>
      <c r="AZ131" s="35"/>
      <c r="BA131" s="35"/>
      <c r="BB131" s="35"/>
      <c r="BC131" s="35"/>
      <c r="BD131" s="35">
        <v>1</v>
      </c>
      <c r="BE131" s="35">
        <v>1</v>
      </c>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28"/>
      <c r="CR131" s="35"/>
      <c r="CS131" s="28"/>
      <c r="CT131" s="35"/>
      <c r="CU131" s="35"/>
      <c r="CV131" s="35"/>
      <c r="CW131" s="35"/>
      <c r="CX131" s="35"/>
      <c r="CY131" s="35"/>
      <c r="CZ131" s="35">
        <v>1</v>
      </c>
      <c r="DA131" s="35"/>
      <c r="DB131" s="35"/>
      <c r="DC131" s="35"/>
      <c r="DD131" s="35"/>
      <c r="DE131" s="35"/>
      <c r="DF131" s="35"/>
      <c r="DG131" s="35"/>
      <c r="DH131" s="35"/>
      <c r="DI131" s="35">
        <v>1</v>
      </c>
      <c r="DJ131" s="35"/>
      <c r="DK131" s="35"/>
      <c r="DL131" s="35"/>
      <c r="DM131" s="35"/>
      <c r="DN131" s="35"/>
      <c r="DS131" s="28"/>
      <c r="IE131" s="22">
        <v>1</v>
      </c>
      <c r="IS131" s="22">
        <v>1</v>
      </c>
      <c r="MU131" s="28">
        <f>SUM(Tabela7[[#This Row],[Communication]:[Training of DevOps activities]])</f>
        <v>9</v>
      </c>
    </row>
    <row r="132" spans="1:359" s="28" customFormat="1" ht="14.4" x14ac:dyDescent="0.3">
      <c r="A132" s="80"/>
      <c r="B132" s="80"/>
      <c r="C132" s="81"/>
      <c r="D132" s="81"/>
      <c r="E132" s="81"/>
      <c r="F132" s="81"/>
      <c r="G132" s="81"/>
      <c r="H132"/>
      <c r="I132"/>
      <c r="J132"/>
      <c r="K132"/>
      <c r="L132" t="s">
        <v>1722</v>
      </c>
      <c r="M132"/>
      <c r="N132"/>
      <c r="O132"/>
      <c r="P132"/>
      <c r="Q132"/>
      <c r="R132"/>
      <c r="S132"/>
      <c r="T132"/>
      <c r="U132"/>
      <c r="V132"/>
      <c r="W132" s="81"/>
      <c r="X132" s="80"/>
      <c r="Y132" s="82">
        <f>SUBTOTAL(109,Tabela7[Single 
case-study])</f>
        <v>12</v>
      </c>
      <c r="Z132" s="80">
        <f t="shared" ref="Z132:CK132" si="0">SUBTOTAL(109,Z5:Z131)</f>
        <v>9</v>
      </c>
      <c r="AA132" s="80">
        <f t="shared" si="0"/>
        <v>33</v>
      </c>
      <c r="AB132" s="80">
        <f t="shared" si="0"/>
        <v>19</v>
      </c>
      <c r="AC132" s="80">
        <f t="shared" si="0"/>
        <v>6</v>
      </c>
      <c r="AD132" s="80">
        <f t="shared" si="0"/>
        <v>40</v>
      </c>
      <c r="AE132" s="80">
        <f t="shared" si="0"/>
        <v>19</v>
      </c>
      <c r="AF132" s="80">
        <f t="shared" si="0"/>
        <v>24</v>
      </c>
      <c r="AG132" s="80">
        <f t="shared" si="0"/>
        <v>35</v>
      </c>
      <c r="AH132" s="80">
        <f t="shared" si="0"/>
        <v>22</v>
      </c>
      <c r="AI132" s="80">
        <f t="shared" si="0"/>
        <v>19</v>
      </c>
      <c r="AJ132" s="80">
        <f>SUBTOTAL(109,AJ5:AJ131)</f>
        <v>30</v>
      </c>
      <c r="AK132" s="80">
        <f t="shared" si="0"/>
        <v>20</v>
      </c>
      <c r="AL132" s="80">
        <f t="shared" si="0"/>
        <v>7</v>
      </c>
      <c r="AM132" s="80">
        <f t="shared" si="0"/>
        <v>22</v>
      </c>
      <c r="AN132" s="80">
        <f t="shared" si="0"/>
        <v>33</v>
      </c>
      <c r="AO132" s="80">
        <f t="shared" si="0"/>
        <v>19</v>
      </c>
      <c r="AP132" s="80">
        <f t="shared" si="0"/>
        <v>27</v>
      </c>
      <c r="AQ132" s="80">
        <f t="shared" si="0"/>
        <v>22</v>
      </c>
      <c r="AR132" s="80">
        <f t="shared" si="0"/>
        <v>2</v>
      </c>
      <c r="AS132" s="80">
        <f t="shared" si="0"/>
        <v>5</v>
      </c>
      <c r="AT132" s="80">
        <f t="shared" si="0"/>
        <v>28</v>
      </c>
      <c r="AU132" s="80">
        <f t="shared" si="0"/>
        <v>14</v>
      </c>
      <c r="AV132" s="80">
        <f t="shared" si="0"/>
        <v>10</v>
      </c>
      <c r="AW132" s="80">
        <f t="shared" si="0"/>
        <v>14</v>
      </c>
      <c r="AX132" s="80">
        <f t="shared" si="0"/>
        <v>5</v>
      </c>
      <c r="AY132" s="80">
        <f t="shared" si="0"/>
        <v>16</v>
      </c>
      <c r="AZ132" s="80">
        <f t="shared" si="0"/>
        <v>2</v>
      </c>
      <c r="BA132" s="80">
        <f t="shared" si="0"/>
        <v>2</v>
      </c>
      <c r="BB132" s="80">
        <f t="shared" si="0"/>
        <v>1</v>
      </c>
      <c r="BC132" s="80">
        <f t="shared" si="0"/>
        <v>20</v>
      </c>
      <c r="BD132" s="80">
        <f t="shared" si="0"/>
        <v>26</v>
      </c>
      <c r="BE132" s="80">
        <f t="shared" si="0"/>
        <v>6</v>
      </c>
      <c r="BF132" s="80">
        <f t="shared" si="0"/>
        <v>10</v>
      </c>
      <c r="BG132" s="80">
        <f t="shared" si="0"/>
        <v>4</v>
      </c>
      <c r="BH132" s="80">
        <f t="shared" si="0"/>
        <v>19</v>
      </c>
      <c r="BI132" s="80">
        <f t="shared" si="0"/>
        <v>6</v>
      </c>
      <c r="BJ132" s="80">
        <f t="shared" si="0"/>
        <v>12</v>
      </c>
      <c r="BK132" s="80">
        <f t="shared" si="0"/>
        <v>3</v>
      </c>
      <c r="BL132" s="80">
        <f t="shared" si="0"/>
        <v>6</v>
      </c>
      <c r="BM132" s="80">
        <f t="shared" si="0"/>
        <v>6</v>
      </c>
      <c r="BN132" s="80">
        <f t="shared" si="0"/>
        <v>4</v>
      </c>
      <c r="BO132" s="80">
        <f t="shared" si="0"/>
        <v>1</v>
      </c>
      <c r="BP132" s="80">
        <f t="shared" si="0"/>
        <v>3</v>
      </c>
      <c r="BQ132" s="80">
        <f t="shared" si="0"/>
        <v>2</v>
      </c>
      <c r="BR132" s="80">
        <f t="shared" si="0"/>
        <v>2</v>
      </c>
      <c r="BS132" s="80">
        <f t="shared" si="0"/>
        <v>1</v>
      </c>
      <c r="BT132" s="80">
        <f t="shared" si="0"/>
        <v>2</v>
      </c>
      <c r="BU132" s="80">
        <f t="shared" si="0"/>
        <v>1</v>
      </c>
      <c r="BV132" s="80">
        <f t="shared" si="0"/>
        <v>1</v>
      </c>
      <c r="BW132" s="80">
        <f t="shared" si="0"/>
        <v>1</v>
      </c>
      <c r="BX132" s="80">
        <f t="shared" si="0"/>
        <v>1</v>
      </c>
      <c r="BY132" s="80">
        <f t="shared" si="0"/>
        <v>1</v>
      </c>
      <c r="BZ132" s="80">
        <f t="shared" si="0"/>
        <v>0</v>
      </c>
      <c r="CA132" s="80">
        <f t="shared" si="0"/>
        <v>1</v>
      </c>
      <c r="CB132" s="80">
        <f t="shared" si="0"/>
        <v>0</v>
      </c>
      <c r="CC132" s="80">
        <f t="shared" si="0"/>
        <v>1</v>
      </c>
      <c r="CD132" s="80">
        <f t="shared" si="0"/>
        <v>2</v>
      </c>
      <c r="CE132" s="80">
        <f t="shared" si="0"/>
        <v>9</v>
      </c>
      <c r="CF132" s="80">
        <f t="shared" si="0"/>
        <v>2</v>
      </c>
      <c r="CG132" s="80">
        <f t="shared" si="0"/>
        <v>3</v>
      </c>
      <c r="CH132" s="80">
        <f t="shared" si="0"/>
        <v>8</v>
      </c>
      <c r="CI132" s="80">
        <f t="shared" si="0"/>
        <v>7</v>
      </c>
      <c r="CJ132" s="80">
        <f t="shared" si="0"/>
        <v>2</v>
      </c>
      <c r="CK132" s="80">
        <f t="shared" si="0"/>
        <v>1</v>
      </c>
      <c r="CL132" s="80">
        <f t="shared" ref="CL132:EW132" si="1">SUBTOTAL(109,CL5:CL131)</f>
        <v>7</v>
      </c>
      <c r="CM132" s="80">
        <f t="shared" si="1"/>
        <v>5</v>
      </c>
      <c r="CN132" s="80">
        <f t="shared" si="1"/>
        <v>4</v>
      </c>
      <c r="CO132" s="80">
        <f t="shared" si="1"/>
        <v>9</v>
      </c>
      <c r="CP132" s="80">
        <f t="shared" si="1"/>
        <v>6</v>
      </c>
      <c r="CQ132" s="80">
        <f t="shared" si="1"/>
        <v>4</v>
      </c>
      <c r="CR132" s="80">
        <f t="shared" si="1"/>
        <v>10</v>
      </c>
      <c r="CS132" s="80">
        <f t="shared" si="1"/>
        <v>4</v>
      </c>
      <c r="CT132" s="80">
        <f t="shared" si="1"/>
        <v>2</v>
      </c>
      <c r="CU132" s="80">
        <f t="shared" si="1"/>
        <v>6</v>
      </c>
      <c r="CV132" s="80">
        <f t="shared" si="1"/>
        <v>9</v>
      </c>
      <c r="CW132" s="80">
        <f t="shared" si="1"/>
        <v>16</v>
      </c>
      <c r="CX132" s="80">
        <f t="shared" si="1"/>
        <v>7</v>
      </c>
      <c r="CY132" s="80">
        <f t="shared" si="1"/>
        <v>2</v>
      </c>
      <c r="CZ132" s="80">
        <f t="shared" si="1"/>
        <v>6</v>
      </c>
      <c r="DA132" s="80">
        <f t="shared" si="1"/>
        <v>1</v>
      </c>
      <c r="DB132" s="80">
        <f t="shared" si="1"/>
        <v>0</v>
      </c>
      <c r="DC132" s="80">
        <f t="shared" si="1"/>
        <v>1</v>
      </c>
      <c r="DD132" s="80">
        <f t="shared" si="1"/>
        <v>6</v>
      </c>
      <c r="DE132" s="80">
        <f t="shared" si="1"/>
        <v>6</v>
      </c>
      <c r="DF132" s="80">
        <f t="shared" si="1"/>
        <v>6</v>
      </c>
      <c r="DG132" s="80">
        <f t="shared" si="1"/>
        <v>3</v>
      </c>
      <c r="DH132" s="80">
        <f t="shared" si="1"/>
        <v>1</v>
      </c>
      <c r="DI132" s="80">
        <f t="shared" si="1"/>
        <v>14</v>
      </c>
      <c r="DJ132" s="80">
        <f t="shared" si="1"/>
        <v>1</v>
      </c>
      <c r="DK132" s="80">
        <f t="shared" si="1"/>
        <v>4</v>
      </c>
      <c r="DL132" s="80">
        <f t="shared" si="1"/>
        <v>2</v>
      </c>
      <c r="DM132" s="80">
        <f t="shared" si="1"/>
        <v>1</v>
      </c>
      <c r="DN132" s="80">
        <f t="shared" si="1"/>
        <v>1</v>
      </c>
      <c r="DO132" s="80">
        <f t="shared" si="1"/>
        <v>1</v>
      </c>
      <c r="DP132" s="80">
        <f t="shared" si="1"/>
        <v>1</v>
      </c>
      <c r="DQ132" s="80">
        <f t="shared" si="1"/>
        <v>2</v>
      </c>
      <c r="DR132" s="80">
        <f t="shared" si="1"/>
        <v>5</v>
      </c>
      <c r="DS132" s="80">
        <f t="shared" si="1"/>
        <v>3</v>
      </c>
      <c r="DT132" s="80">
        <f t="shared" si="1"/>
        <v>7</v>
      </c>
      <c r="DU132" s="80">
        <f t="shared" si="1"/>
        <v>1</v>
      </c>
      <c r="DV132" s="80">
        <f t="shared" si="1"/>
        <v>4</v>
      </c>
      <c r="DW132" s="80">
        <f t="shared" si="1"/>
        <v>2</v>
      </c>
      <c r="DX132" s="80">
        <f t="shared" si="1"/>
        <v>4</v>
      </c>
      <c r="DY132" s="80">
        <f t="shared" si="1"/>
        <v>0</v>
      </c>
      <c r="DZ132" s="80">
        <f t="shared" si="1"/>
        <v>1</v>
      </c>
      <c r="EA132" s="80">
        <f t="shared" si="1"/>
        <v>0</v>
      </c>
      <c r="EB132" s="80">
        <f t="shared" si="1"/>
        <v>0</v>
      </c>
      <c r="EC132" s="80">
        <f t="shared" si="1"/>
        <v>0</v>
      </c>
      <c r="ED132" s="80">
        <f t="shared" si="1"/>
        <v>2</v>
      </c>
      <c r="EE132" s="80">
        <f t="shared" si="1"/>
        <v>0</v>
      </c>
      <c r="EF132" s="80">
        <f t="shared" si="1"/>
        <v>3</v>
      </c>
      <c r="EG132" s="80">
        <f t="shared" si="1"/>
        <v>0</v>
      </c>
      <c r="EH132" s="80">
        <f t="shared" si="1"/>
        <v>1</v>
      </c>
      <c r="EI132" s="80">
        <f t="shared" si="1"/>
        <v>3</v>
      </c>
      <c r="EJ132" s="80">
        <f t="shared" si="1"/>
        <v>1</v>
      </c>
      <c r="EK132" s="80">
        <f t="shared" si="1"/>
        <v>3</v>
      </c>
      <c r="EL132" s="80">
        <f t="shared" si="1"/>
        <v>4</v>
      </c>
      <c r="EM132" s="80">
        <f t="shared" si="1"/>
        <v>7</v>
      </c>
      <c r="EN132" s="80">
        <f t="shared" si="1"/>
        <v>2</v>
      </c>
      <c r="EO132" s="80">
        <f t="shared" si="1"/>
        <v>4</v>
      </c>
      <c r="EP132" s="80">
        <f t="shared" si="1"/>
        <v>3</v>
      </c>
      <c r="EQ132" s="80">
        <f t="shared" si="1"/>
        <v>3</v>
      </c>
      <c r="ER132" s="80">
        <f t="shared" si="1"/>
        <v>2</v>
      </c>
      <c r="ES132" s="80">
        <f t="shared" si="1"/>
        <v>2</v>
      </c>
      <c r="ET132" s="80">
        <f t="shared" si="1"/>
        <v>1</v>
      </c>
      <c r="EU132" s="80">
        <f t="shared" si="1"/>
        <v>1</v>
      </c>
      <c r="EV132" s="80">
        <f t="shared" si="1"/>
        <v>1</v>
      </c>
      <c r="EW132" s="80">
        <f t="shared" si="1"/>
        <v>3</v>
      </c>
      <c r="EX132" s="80">
        <f t="shared" ref="EX132:HI132" si="2">SUBTOTAL(109,EX5:EX131)</f>
        <v>5</v>
      </c>
      <c r="EY132" s="80">
        <f t="shared" si="2"/>
        <v>3</v>
      </c>
      <c r="EZ132" s="80">
        <f t="shared" si="2"/>
        <v>1</v>
      </c>
      <c r="FA132" s="80">
        <f t="shared" si="2"/>
        <v>3</v>
      </c>
      <c r="FB132" s="80">
        <f t="shared" si="2"/>
        <v>1</v>
      </c>
      <c r="FC132" s="80">
        <f t="shared" si="2"/>
        <v>3</v>
      </c>
      <c r="FD132" s="80">
        <f t="shared" si="2"/>
        <v>2</v>
      </c>
      <c r="FE132" s="80">
        <f t="shared" si="2"/>
        <v>1</v>
      </c>
      <c r="FF132" s="80">
        <f t="shared" si="2"/>
        <v>1</v>
      </c>
      <c r="FG132" s="80">
        <f t="shared" si="2"/>
        <v>5</v>
      </c>
      <c r="FH132" s="80">
        <f t="shared" si="2"/>
        <v>6</v>
      </c>
      <c r="FI132" s="80">
        <f t="shared" si="2"/>
        <v>3</v>
      </c>
      <c r="FJ132" s="80">
        <f t="shared" si="2"/>
        <v>3</v>
      </c>
      <c r="FK132" s="80">
        <f t="shared" si="2"/>
        <v>2</v>
      </c>
      <c r="FL132" s="80">
        <f t="shared" si="2"/>
        <v>4</v>
      </c>
      <c r="FM132" s="80">
        <f t="shared" si="2"/>
        <v>4</v>
      </c>
      <c r="FN132" s="80">
        <f t="shared" si="2"/>
        <v>2</v>
      </c>
      <c r="FO132" s="80">
        <f t="shared" si="2"/>
        <v>2</v>
      </c>
      <c r="FP132" s="80">
        <f t="shared" si="2"/>
        <v>2</v>
      </c>
      <c r="FQ132" s="80">
        <f t="shared" si="2"/>
        <v>1</v>
      </c>
      <c r="FR132" s="80">
        <f t="shared" si="2"/>
        <v>2</v>
      </c>
      <c r="FS132" s="80">
        <f t="shared" si="2"/>
        <v>1</v>
      </c>
      <c r="FT132" s="80">
        <f t="shared" si="2"/>
        <v>3</v>
      </c>
      <c r="FU132" s="80">
        <f t="shared" si="2"/>
        <v>1</v>
      </c>
      <c r="FV132" s="80">
        <f t="shared" si="2"/>
        <v>4</v>
      </c>
      <c r="FW132" s="80">
        <f t="shared" si="2"/>
        <v>1</v>
      </c>
      <c r="FX132" s="80">
        <f t="shared" si="2"/>
        <v>5</v>
      </c>
      <c r="FY132" s="80">
        <f t="shared" si="2"/>
        <v>2</v>
      </c>
      <c r="FZ132" s="80">
        <f t="shared" si="2"/>
        <v>5</v>
      </c>
      <c r="GA132" s="80">
        <f t="shared" si="2"/>
        <v>1</v>
      </c>
      <c r="GB132" s="80">
        <f t="shared" si="2"/>
        <v>5</v>
      </c>
      <c r="GC132" s="80">
        <f t="shared" si="2"/>
        <v>3</v>
      </c>
      <c r="GD132" s="80">
        <f t="shared" si="2"/>
        <v>1</v>
      </c>
      <c r="GE132" s="80">
        <f t="shared" si="2"/>
        <v>3</v>
      </c>
      <c r="GF132" s="80">
        <f t="shared" si="2"/>
        <v>2</v>
      </c>
      <c r="GG132" s="80">
        <f t="shared" si="2"/>
        <v>2</v>
      </c>
      <c r="GH132" s="80">
        <f t="shared" si="2"/>
        <v>6</v>
      </c>
      <c r="GI132" s="80">
        <f t="shared" si="2"/>
        <v>1</v>
      </c>
      <c r="GJ132" s="80">
        <f t="shared" si="2"/>
        <v>2</v>
      </c>
      <c r="GK132" s="80">
        <f t="shared" si="2"/>
        <v>4</v>
      </c>
      <c r="GL132" s="80">
        <f t="shared" si="2"/>
        <v>2</v>
      </c>
      <c r="GM132" s="80">
        <f t="shared" si="2"/>
        <v>5</v>
      </c>
      <c r="GN132" s="80">
        <f t="shared" si="2"/>
        <v>3</v>
      </c>
      <c r="GO132" s="80">
        <f t="shared" si="2"/>
        <v>1</v>
      </c>
      <c r="GP132" s="80">
        <f t="shared" si="2"/>
        <v>3</v>
      </c>
      <c r="GQ132" s="80">
        <f t="shared" si="2"/>
        <v>1</v>
      </c>
      <c r="GR132" s="80">
        <f t="shared" si="2"/>
        <v>3</v>
      </c>
      <c r="GS132" s="80">
        <f t="shared" si="2"/>
        <v>4</v>
      </c>
      <c r="GT132" s="80">
        <f t="shared" si="2"/>
        <v>1</v>
      </c>
      <c r="GU132" s="80">
        <f t="shared" si="2"/>
        <v>1</v>
      </c>
      <c r="GV132" s="80">
        <f t="shared" si="2"/>
        <v>1</v>
      </c>
      <c r="GW132" s="80">
        <f t="shared" si="2"/>
        <v>1</v>
      </c>
      <c r="GX132" s="80">
        <f t="shared" si="2"/>
        <v>5</v>
      </c>
      <c r="GY132" s="80">
        <f t="shared" si="2"/>
        <v>1</v>
      </c>
      <c r="GZ132" s="80">
        <f t="shared" si="2"/>
        <v>1</v>
      </c>
      <c r="HA132" s="80">
        <f t="shared" si="2"/>
        <v>1</v>
      </c>
      <c r="HB132" s="80">
        <f t="shared" si="2"/>
        <v>1</v>
      </c>
      <c r="HC132" s="80">
        <f t="shared" si="2"/>
        <v>2</v>
      </c>
      <c r="HD132" s="80">
        <f t="shared" si="2"/>
        <v>1</v>
      </c>
      <c r="HE132" s="80">
        <f t="shared" si="2"/>
        <v>1</v>
      </c>
      <c r="HF132" s="80">
        <f t="shared" si="2"/>
        <v>1</v>
      </c>
      <c r="HG132" s="80">
        <f t="shared" si="2"/>
        <v>2</v>
      </c>
      <c r="HH132" s="80">
        <f t="shared" si="2"/>
        <v>2</v>
      </c>
      <c r="HI132" s="80">
        <f t="shared" si="2"/>
        <v>3</v>
      </c>
      <c r="HJ132" s="80">
        <f t="shared" ref="HJ132:JU132" si="3">SUBTOTAL(109,HJ5:HJ131)</f>
        <v>3</v>
      </c>
      <c r="HK132" s="80">
        <f t="shared" si="3"/>
        <v>2</v>
      </c>
      <c r="HL132" s="80">
        <f t="shared" si="3"/>
        <v>1</v>
      </c>
      <c r="HM132" s="80">
        <f t="shared" si="3"/>
        <v>2</v>
      </c>
      <c r="HN132" s="80">
        <f t="shared" si="3"/>
        <v>1</v>
      </c>
      <c r="HO132" s="80">
        <f t="shared" si="3"/>
        <v>2</v>
      </c>
      <c r="HP132" s="80">
        <f t="shared" si="3"/>
        <v>1</v>
      </c>
      <c r="HQ132" s="80">
        <f t="shared" si="3"/>
        <v>1</v>
      </c>
      <c r="HR132" s="80">
        <f t="shared" si="3"/>
        <v>1</v>
      </c>
      <c r="HS132" s="80">
        <f t="shared" si="3"/>
        <v>1</v>
      </c>
      <c r="HT132" s="80">
        <f t="shared" si="3"/>
        <v>10</v>
      </c>
      <c r="HU132" s="80">
        <f t="shared" si="3"/>
        <v>7</v>
      </c>
      <c r="HV132" s="80">
        <f t="shared" si="3"/>
        <v>3</v>
      </c>
      <c r="HW132" s="80">
        <f t="shared" si="3"/>
        <v>2</v>
      </c>
      <c r="HX132" s="80">
        <f t="shared" si="3"/>
        <v>2</v>
      </c>
      <c r="HY132" s="80">
        <f t="shared" si="3"/>
        <v>1</v>
      </c>
      <c r="HZ132" s="80">
        <f t="shared" si="3"/>
        <v>2</v>
      </c>
      <c r="IA132" s="80">
        <f t="shared" si="3"/>
        <v>1</v>
      </c>
      <c r="IB132" s="80">
        <f t="shared" si="3"/>
        <v>3</v>
      </c>
      <c r="IC132" s="80">
        <f t="shared" si="3"/>
        <v>1</v>
      </c>
      <c r="ID132" s="80">
        <f t="shared" si="3"/>
        <v>2</v>
      </c>
      <c r="IE132" s="80">
        <f t="shared" si="3"/>
        <v>9</v>
      </c>
      <c r="IF132" s="80">
        <f t="shared" si="3"/>
        <v>4</v>
      </c>
      <c r="IG132" s="80">
        <f t="shared" si="3"/>
        <v>1</v>
      </c>
      <c r="IH132" s="80">
        <f t="shared" si="3"/>
        <v>5</v>
      </c>
      <c r="II132" s="80">
        <f t="shared" si="3"/>
        <v>5</v>
      </c>
      <c r="IJ132" s="80">
        <f t="shared" si="3"/>
        <v>4</v>
      </c>
      <c r="IK132" s="80">
        <f t="shared" si="3"/>
        <v>6</v>
      </c>
      <c r="IL132" s="80">
        <f t="shared" si="3"/>
        <v>2</v>
      </c>
      <c r="IM132" s="80">
        <f t="shared" si="3"/>
        <v>2</v>
      </c>
      <c r="IN132" s="80">
        <f t="shared" si="3"/>
        <v>1</v>
      </c>
      <c r="IO132" s="80">
        <f t="shared" si="3"/>
        <v>6</v>
      </c>
      <c r="IP132" s="80">
        <f t="shared" si="3"/>
        <v>3</v>
      </c>
      <c r="IQ132" s="80">
        <f t="shared" si="3"/>
        <v>1</v>
      </c>
      <c r="IR132" s="80">
        <f t="shared" si="3"/>
        <v>1</v>
      </c>
      <c r="IS132" s="80">
        <f t="shared" si="3"/>
        <v>4</v>
      </c>
      <c r="IT132" s="80">
        <f t="shared" si="3"/>
        <v>1</v>
      </c>
      <c r="IU132" s="80">
        <f t="shared" si="3"/>
        <v>1</v>
      </c>
      <c r="IV132" s="80">
        <f t="shared" si="3"/>
        <v>1</v>
      </c>
      <c r="IW132" s="80">
        <f t="shared" si="3"/>
        <v>3</v>
      </c>
      <c r="IX132" s="80">
        <f t="shared" si="3"/>
        <v>2</v>
      </c>
      <c r="IY132" s="80">
        <f t="shared" si="3"/>
        <v>2</v>
      </c>
      <c r="IZ132" s="80">
        <f t="shared" si="3"/>
        <v>3</v>
      </c>
      <c r="JA132" s="80">
        <f t="shared" si="3"/>
        <v>2</v>
      </c>
      <c r="JB132" s="80">
        <f t="shared" si="3"/>
        <v>3</v>
      </c>
      <c r="JC132" s="80">
        <f t="shared" si="3"/>
        <v>1</v>
      </c>
      <c r="JD132" s="80">
        <f t="shared" si="3"/>
        <v>2</v>
      </c>
      <c r="JE132" s="80">
        <f t="shared" si="3"/>
        <v>1</v>
      </c>
      <c r="JF132" s="80">
        <f t="shared" si="3"/>
        <v>2</v>
      </c>
      <c r="JG132" s="80">
        <f t="shared" si="3"/>
        <v>1</v>
      </c>
      <c r="JH132" s="80">
        <f t="shared" si="3"/>
        <v>1</v>
      </c>
      <c r="JI132" s="80">
        <f t="shared" si="3"/>
        <v>4</v>
      </c>
      <c r="JJ132" s="80">
        <f t="shared" si="3"/>
        <v>2</v>
      </c>
      <c r="JK132" s="80">
        <f t="shared" si="3"/>
        <v>6</v>
      </c>
      <c r="JL132" s="80">
        <f t="shared" si="3"/>
        <v>4</v>
      </c>
      <c r="JM132" s="80">
        <f t="shared" si="3"/>
        <v>1</v>
      </c>
      <c r="JN132" s="80">
        <f t="shared" si="3"/>
        <v>2</v>
      </c>
      <c r="JO132" s="80">
        <f t="shared" si="3"/>
        <v>1</v>
      </c>
      <c r="JP132" s="80">
        <f t="shared" si="3"/>
        <v>5</v>
      </c>
      <c r="JQ132" s="80">
        <f t="shared" si="3"/>
        <v>1</v>
      </c>
      <c r="JR132" s="80">
        <f t="shared" si="3"/>
        <v>1</v>
      </c>
      <c r="JS132" s="80">
        <f t="shared" si="3"/>
        <v>2</v>
      </c>
      <c r="JT132" s="80">
        <f t="shared" si="3"/>
        <v>5</v>
      </c>
      <c r="JU132" s="80">
        <f t="shared" si="3"/>
        <v>2</v>
      </c>
      <c r="JV132" s="80">
        <f t="shared" ref="JV132:MG132" si="4">SUBTOTAL(109,JV5:JV131)</f>
        <v>1</v>
      </c>
      <c r="JW132" s="80">
        <f t="shared" si="4"/>
        <v>1</v>
      </c>
      <c r="JX132" s="80">
        <f t="shared" si="4"/>
        <v>2</v>
      </c>
      <c r="JY132" s="80">
        <f t="shared" si="4"/>
        <v>6</v>
      </c>
      <c r="JZ132" s="80">
        <f t="shared" si="4"/>
        <v>1</v>
      </c>
      <c r="KA132" s="80">
        <f t="shared" si="4"/>
        <v>4</v>
      </c>
      <c r="KB132" s="80">
        <f t="shared" si="4"/>
        <v>2</v>
      </c>
      <c r="KC132" s="80">
        <f t="shared" si="4"/>
        <v>2</v>
      </c>
      <c r="KD132" s="80">
        <f t="shared" si="4"/>
        <v>3</v>
      </c>
      <c r="KE132" s="80">
        <f t="shared" si="4"/>
        <v>1</v>
      </c>
      <c r="KF132" s="80">
        <f t="shared" si="4"/>
        <v>2</v>
      </c>
      <c r="KG132" s="80">
        <f t="shared" si="4"/>
        <v>2</v>
      </c>
      <c r="KH132" s="80">
        <f t="shared" si="4"/>
        <v>1</v>
      </c>
      <c r="KI132" s="80">
        <f t="shared" si="4"/>
        <v>1</v>
      </c>
      <c r="KJ132" s="80">
        <f t="shared" si="4"/>
        <v>2</v>
      </c>
      <c r="KK132" s="80">
        <f t="shared" si="4"/>
        <v>1</v>
      </c>
      <c r="KL132" s="80">
        <f t="shared" si="4"/>
        <v>1</v>
      </c>
      <c r="KM132" s="80">
        <f t="shared" si="4"/>
        <v>1</v>
      </c>
      <c r="KN132" s="80">
        <f t="shared" si="4"/>
        <v>1</v>
      </c>
      <c r="KO132" s="80">
        <f t="shared" si="4"/>
        <v>3</v>
      </c>
      <c r="KP132" s="80">
        <f t="shared" si="4"/>
        <v>2</v>
      </c>
      <c r="KQ132" s="80">
        <f t="shared" si="4"/>
        <v>1</v>
      </c>
      <c r="KR132" s="80">
        <f t="shared" si="4"/>
        <v>3</v>
      </c>
      <c r="KS132" s="80">
        <f t="shared" si="4"/>
        <v>3</v>
      </c>
      <c r="KT132" s="80">
        <f t="shared" si="4"/>
        <v>1</v>
      </c>
      <c r="KU132" s="80">
        <f t="shared" si="4"/>
        <v>1</v>
      </c>
      <c r="KV132" s="80">
        <f t="shared" si="4"/>
        <v>2</v>
      </c>
      <c r="KW132" s="80">
        <f t="shared" si="4"/>
        <v>1</v>
      </c>
      <c r="KX132" s="80">
        <f t="shared" si="4"/>
        <v>1</v>
      </c>
      <c r="KY132" s="80">
        <f t="shared" si="4"/>
        <v>1</v>
      </c>
      <c r="KZ132" s="80">
        <f t="shared" si="4"/>
        <v>1</v>
      </c>
      <c r="LA132" s="80">
        <f t="shared" si="4"/>
        <v>1</v>
      </c>
      <c r="LB132" s="80">
        <f t="shared" si="4"/>
        <v>5</v>
      </c>
      <c r="LC132" s="80">
        <f t="shared" si="4"/>
        <v>1</v>
      </c>
      <c r="LD132" s="80">
        <f t="shared" si="4"/>
        <v>2</v>
      </c>
      <c r="LE132" s="80">
        <f t="shared" si="4"/>
        <v>2</v>
      </c>
      <c r="LF132" s="80">
        <f t="shared" si="4"/>
        <v>1</v>
      </c>
      <c r="LG132" s="80">
        <f t="shared" si="4"/>
        <v>4</v>
      </c>
      <c r="LH132" s="80">
        <f t="shared" si="4"/>
        <v>2</v>
      </c>
      <c r="LI132" s="80">
        <f t="shared" si="4"/>
        <v>2</v>
      </c>
      <c r="LJ132" s="80">
        <f t="shared" si="4"/>
        <v>2</v>
      </c>
      <c r="LK132" s="80">
        <f t="shared" si="4"/>
        <v>2</v>
      </c>
      <c r="LL132" s="80">
        <f t="shared" si="4"/>
        <v>1</v>
      </c>
      <c r="LM132" s="80">
        <f t="shared" si="4"/>
        <v>1</v>
      </c>
      <c r="LN132" s="80">
        <f t="shared" si="4"/>
        <v>1</v>
      </c>
      <c r="LO132" s="80">
        <f t="shared" si="4"/>
        <v>1</v>
      </c>
      <c r="LP132" s="80">
        <f t="shared" si="4"/>
        <v>1</v>
      </c>
      <c r="LQ132" s="80">
        <f t="shared" si="4"/>
        <v>1</v>
      </c>
      <c r="LR132" s="80">
        <f t="shared" si="4"/>
        <v>1</v>
      </c>
      <c r="LS132" s="80">
        <f t="shared" si="4"/>
        <v>1</v>
      </c>
      <c r="LT132" s="80">
        <f t="shared" si="4"/>
        <v>2</v>
      </c>
      <c r="LU132" s="80">
        <f t="shared" si="4"/>
        <v>1</v>
      </c>
      <c r="LV132" s="80">
        <f t="shared" si="4"/>
        <v>3</v>
      </c>
      <c r="LW132" s="80">
        <f t="shared" si="4"/>
        <v>1</v>
      </c>
      <c r="LX132" s="80">
        <f t="shared" si="4"/>
        <v>1</v>
      </c>
      <c r="LY132" s="80">
        <f t="shared" si="4"/>
        <v>1</v>
      </c>
      <c r="LZ132" s="80">
        <f t="shared" si="4"/>
        <v>1</v>
      </c>
      <c r="MA132" s="80">
        <f t="shared" si="4"/>
        <v>1</v>
      </c>
      <c r="MB132" s="80">
        <f t="shared" si="4"/>
        <v>1</v>
      </c>
      <c r="MC132" s="80">
        <f t="shared" si="4"/>
        <v>1</v>
      </c>
      <c r="MD132" s="80">
        <f t="shared" si="4"/>
        <v>1</v>
      </c>
      <c r="ME132" s="80">
        <f t="shared" si="4"/>
        <v>1</v>
      </c>
      <c r="MF132" s="80">
        <f t="shared" si="4"/>
        <v>2</v>
      </c>
      <c r="MG132" s="80">
        <f t="shared" si="4"/>
        <v>1</v>
      </c>
      <c r="MH132" s="80">
        <f t="shared" ref="MH132:MU132" si="5">SUBTOTAL(109,MH5:MH131)</f>
        <v>2</v>
      </c>
      <c r="MI132" s="80">
        <f t="shared" si="5"/>
        <v>1</v>
      </c>
      <c r="MJ132" s="80">
        <f t="shared" si="5"/>
        <v>1</v>
      </c>
      <c r="MK132" s="80">
        <f t="shared" si="5"/>
        <v>1</v>
      </c>
      <c r="ML132" s="80">
        <f t="shared" si="5"/>
        <v>1</v>
      </c>
      <c r="MM132" s="80">
        <f t="shared" si="5"/>
        <v>1</v>
      </c>
      <c r="MN132" s="80">
        <f t="shared" si="5"/>
        <v>1</v>
      </c>
      <c r="MO132" s="80">
        <f t="shared" si="5"/>
        <v>1</v>
      </c>
      <c r="MP132" s="80">
        <f t="shared" si="5"/>
        <v>1</v>
      </c>
      <c r="MQ132" s="80">
        <f t="shared" si="5"/>
        <v>1</v>
      </c>
      <c r="MR132" s="80">
        <f t="shared" si="5"/>
        <v>1</v>
      </c>
      <c r="MS132" s="80">
        <f t="shared" si="5"/>
        <v>1</v>
      </c>
      <c r="MT132" s="80">
        <f t="shared" si="5"/>
        <v>1</v>
      </c>
      <c r="MU132" s="80">
        <f t="shared" si="5"/>
        <v>1034</v>
      </c>
    </row>
    <row r="133" spans="1:359" s="46" customFormat="1" x14ac:dyDescent="0.3">
      <c r="C133" s="47"/>
      <c r="D133" s="47"/>
      <c r="E133" s="47"/>
      <c r="F133" s="47"/>
      <c r="G133" s="47"/>
      <c r="H133" s="47"/>
      <c r="I133" s="47"/>
      <c r="J133" s="47"/>
      <c r="K133" s="47"/>
      <c r="L133" s="47"/>
      <c r="M133" s="47" t="s">
        <v>1723</v>
      </c>
      <c r="N133" s="47"/>
      <c r="O133" s="47"/>
      <c r="P133" s="47"/>
      <c r="Q133" s="47"/>
      <c r="R133" s="47"/>
      <c r="S133" s="47"/>
      <c r="T133" s="47"/>
      <c r="U133" s="47"/>
      <c r="V133" s="47"/>
      <c r="W133" s="83">
        <v>65</v>
      </c>
      <c r="Y133" s="48">
        <f>+Tabela7[[#Totals],[Single 
case-study]]/$W$133</f>
        <v>0.18461538461538463</v>
      </c>
      <c r="Z133" s="48">
        <f>+Tabela7[[#Totals],[Multi-case/  
Long study]]/$W$133</f>
        <v>0.13846153846153847</v>
      </c>
      <c r="AA133" s="48">
        <f>+Tabela7[[#Totals],[Literature review]]/$W$133</f>
        <v>0.50769230769230766</v>
      </c>
      <c r="AB133" s="48">
        <f>+Tabela7[[#Totals],[Conceptual model proposal]]/$W$133</f>
        <v>0.29230769230769232</v>
      </c>
      <c r="AC133" s="48">
        <f>+Tabela7[[#Totals],[Model proposal and testing]]/$W$133</f>
        <v>9.2307692307692313E-2</v>
      </c>
      <c r="AD133" s="48">
        <f>+Tabela7[[#Totals],[Survey/interview]]/$W$133</f>
        <v>0.61538461538461542</v>
      </c>
      <c r="AE133" s="48">
        <f>+Tabela7[[#Totals],[0 - context analysis]]/$W$133</f>
        <v>0.29230769230769232</v>
      </c>
      <c r="AF133" s="48">
        <f>+Tabela7[[#Totals],[1 - identification]]/$W$133</f>
        <v>0.36923076923076925</v>
      </c>
      <c r="AG133" s="48">
        <f>+Tabela7[[#Totals],[2 - evaluation]]/$W$133</f>
        <v>0.53846153846153844</v>
      </c>
      <c r="AH133" s="48">
        <f>+Tabela7[[#Totals],[3 - treatment]]/$W$133</f>
        <v>0.33846153846153848</v>
      </c>
      <c r="AI133" s="48">
        <f>+Tabela7[[#Totals],[4 - monitor and report]]/$W$133</f>
        <v>0.29230769230769232</v>
      </c>
      <c r="AJ133" s="48">
        <f>+Tabela7[[#Totals],[Problems/ issues/ gaps (Fact)]]/$W$133</f>
        <v>0.46153846153846156</v>
      </c>
      <c r="AK133" s="48">
        <f>+Tabela7[[#Totals],[Challenges/ Barriers]]/$W$133</f>
        <v>0.30769230769230771</v>
      </c>
      <c r="AL133" s="48">
        <f>+Tabela7[[#Totals],[Risks and threats]]/$W$133</f>
        <v>0.1076923076923077</v>
      </c>
      <c r="AM133" s="48">
        <f>+Tabela7[[#Totals],[Best Practices/ Success factors]]/$W$133</f>
        <v>0.33846153846153848</v>
      </c>
      <c r="AN133" s="48">
        <f>+Tabela7[[#Totals],[Communication]]/$W$133</f>
        <v>0.50769230769230766</v>
      </c>
      <c r="AO133" s="48">
        <f>+Tabela7[[#Totals],[English domain]]/$W$133</f>
        <v>0.29230769230769232</v>
      </c>
      <c r="AP133" s="48">
        <f>+Tabela7[[#Totals],[Cultural differences among teams]]/$W$133</f>
        <v>0.41538461538461541</v>
      </c>
      <c r="AQ133" s="48">
        <f>+Tabela7[[#Totals],[Temporal distances]]/$W$133</f>
        <v>0.33846153846153848</v>
      </c>
      <c r="AR133" s="48">
        <f>+Tabela7[[#Totals],[Fear impact]]/$W$133</f>
        <v>3.0769230769230771E-2</v>
      </c>
      <c r="AS133" s="48">
        <f>+Tabela7[[#Totals],[Employee Satisfaction]]/$W$133</f>
        <v>7.6923076923076927E-2</v>
      </c>
      <c r="AT133" s="48">
        <f>+Tabela7[[#Totals],[Trust building]]/$W$133</f>
        <v>0.43076923076923079</v>
      </c>
      <c r="AU133" s="48">
        <f>+Tabela7[[#Totals],[Degree of cooperation]]/$W$133</f>
        <v>0.2153846153846154</v>
      </c>
      <c r="AV133" s="48">
        <f>+Tabela7[[#Totals],[Precise cost stimation]]/$W$133</f>
        <v>0.15384615384615385</v>
      </c>
      <c r="AW133" s="48">
        <f>+Tabela7[[#Totals],[Effective leadership]]/$W$133</f>
        <v>0.2153846153846154</v>
      </c>
      <c r="AX133" s="48">
        <f>+Tabela7[[#Totals],[Project failure risk]]/$W$133</f>
        <v>7.6923076923076927E-2</v>
      </c>
      <c r="AY133" s="48">
        <f>+Tabela7[[#Totals],[Defined of roles and responsibilities]]/$W$133</f>
        <v>0.24615384615384617</v>
      </c>
      <c r="AZ133" s="48">
        <f>+Tabela7[[#Totals],[Technical requirements]]/$W$133</f>
        <v>3.0769230769230771E-2</v>
      </c>
      <c r="BA133" s="48">
        <f>+Tabela7[[#Totals],[Effective Partitioning]]/$W$133</f>
        <v>3.0769230769230771E-2</v>
      </c>
      <c r="BB133" s="48">
        <f>+Tabela7[[#Totals],[Team Skills Database]]/$W$133</f>
        <v>1.5384615384615385E-2</v>
      </c>
      <c r="BC133" s="48">
        <f>+Tabela7[[#Totals],[Knowledge interchange rate]]/$W$133</f>
        <v>0.30769230769230771</v>
      </c>
      <c r="BD133" s="48">
        <f>+Tabela7[[#Totals],[Coordination challenges level]]/$W$133</f>
        <v>0.4</v>
      </c>
      <c r="BE133" s="48">
        <f>+Tabela7[[#Totals],[Transparency of roles and responsibilities]]/$W$133</f>
        <v>9.2307692307692313E-2</v>
      </c>
      <c r="BF133" s="48">
        <f>+Tabela7[[#Totals],[Reporting requirement]]/$W$133</f>
        <v>0.15384615384615385</v>
      </c>
      <c r="BG133" s="48">
        <f>+Tabela7[[#Totals],[Relevant information disclosure]]/$W$133</f>
        <v>6.1538461538461542E-2</v>
      </c>
      <c r="BH133" s="48">
        <f>+Tabela7[[#Totals],[Team issues]]/$W$133</f>
        <v>0.29230769230769232</v>
      </c>
      <c r="BI133" s="48">
        <f>+Tabela7[[#Totals],[Process Management]]/$W$133</f>
        <v>9.2307692307692313E-2</v>
      </c>
      <c r="BJ133" s="48">
        <f>+Tabela7[[#Totals],[Software support tools]]/$W$133</f>
        <v>0.18461538461538463</v>
      </c>
      <c r="BK133" s="48">
        <f>+Tabela7[[#Totals],[Technical support]]/$W$133</f>
        <v>4.6153846153846156E-2</v>
      </c>
      <c r="BL133" s="48">
        <f>+Tabela7[[#Totals],[Communication Tools]]/$W$133</f>
        <v>9.2307692307692313E-2</v>
      </c>
      <c r="BM133" s="48">
        <f>+Tabela7[[#Totals],[Proficiency in a programming language]]/$W$133</f>
        <v>9.2307692307692313E-2</v>
      </c>
      <c r="BN133" s="48">
        <f>+Tabela7[[#Totals],[Experience in similar projects]]/$W$133</f>
        <v>6.1538461538461542E-2</v>
      </c>
      <c r="BO133" s="48">
        <f>+Tabela7[[#Totals],[Use of software tools]]/$W$133</f>
        <v>1.5384615384615385E-2</v>
      </c>
      <c r="BP133" s="48">
        <f>+Tabela7[[#Totals],[Contribution to team effort]]/$W$133</f>
        <v>4.6153846153846156E-2</v>
      </c>
      <c r="BQ133" s="48">
        <f>+Tabela7[[#Totals],[Accomplishment of assigned responsibilities]]/$W$133</f>
        <v>3.0769230769230771E-2</v>
      </c>
      <c r="BR133" s="48">
        <f>+Tabela7[[#Totals],[Task efficiency]]/$W$133</f>
        <v>3.0769230769230771E-2</v>
      </c>
      <c r="BS133" s="48">
        <f>+Tabela7[[#Totals],[Tasks effectiveness]]/$W$133</f>
        <v>1.5384615384615385E-2</v>
      </c>
      <c r="BT133" s="48">
        <f>+Tabela7[[#Totals],[Independence of thought and action]]/$W$133</f>
        <v>3.0769230769230771E-2</v>
      </c>
      <c r="BU133" s="48">
        <f>+Tabela7[[#Totals],[Creativity in approach to problem solving]]/$W$133</f>
        <v>1.5384615384615385E-2</v>
      </c>
      <c r="BV133" s="48">
        <f>+Tabela7[[#Totals],[Scientific attitude]]/$W$133</f>
        <v>1.5384615384615385E-2</v>
      </c>
      <c r="BW133" s="48">
        <f>+Tabela7[[#Totals],[Determination and effort]]/$W$133</f>
        <v>1.5384615384615385E-2</v>
      </c>
      <c r="BX133" s="48">
        <f>+Tabela7[[#Totals],[Contributing to discussions]]/$W$133</f>
        <v>1.5384615384615385E-2</v>
      </c>
      <c r="BY133" s="48">
        <f>+Tabela7[[#Totals],[Accepting criticism gracefully]]/$W$133</f>
        <v>1.5384615384615385E-2</v>
      </c>
      <c r="BZ133" s="48">
        <f>+Tabela7[[#Totals],[Communicate clearly with team]]/$W$133</f>
        <v>0</v>
      </c>
      <c r="CA133" s="48">
        <f>+Tabela7[[#Totals],[Communicate civility with team]]/$W$133</f>
        <v>1.5384615384615385E-2</v>
      </c>
      <c r="CB133" s="48">
        <f>+Tabela7[[#Totals],[Communicate clearly with stakeholders]]/$W$133</f>
        <v>0</v>
      </c>
      <c r="CC133" s="48">
        <f>+Tabela7[[#Totals],[Communicate civility with stakeholders]]/$W$133</f>
        <v>1.5384615384615385E-2</v>
      </c>
      <c r="CD133" s="48">
        <f>+Tabela7[[#Totals],[Collaborative work friendly]]/$W$133</f>
        <v>3.0769230769230771E-2</v>
      </c>
      <c r="CE133" s="48">
        <f>+Tabela7[[#Totals],[Culture of leadership]]/$W$133</f>
        <v>0.13846153846153847</v>
      </c>
      <c r="CF133" s="48">
        <f>+Tabela7[[#Totals],[Comprehension ability]]/$W$133</f>
        <v>3.0769230769230771E-2</v>
      </c>
      <c r="CG133" s="48">
        <f>+Tabela7[[#Totals],[Assignment of roles and responsibilities]]/$W$133</f>
        <v>4.6153846153846156E-2</v>
      </c>
      <c r="CH133" s="48">
        <f>+Tabela7[[#Totals],[Transparency of Vision and goal]]/$W$133</f>
        <v>0.12307692307692308</v>
      </c>
      <c r="CI133" s="48">
        <f>+Tabela7[[#Totals],[Team training and monitoring]]/$W$133</f>
        <v>0.1076923076923077</v>
      </c>
      <c r="CJ133" s="48">
        <f>+Tabela7[[#Totals],[Geographically distributed CCB (change control block)]]/$W$133</f>
        <v>3.0769230769230771E-2</v>
      </c>
      <c r="CK133" s="48">
        <f>+Tabela7[[#Totals],[Resistance management of changing]]/$W$133</f>
        <v>1.5384615384615385E-2</v>
      </c>
      <c r="CL133" s="48">
        <f>+Tabela7[[#Totals],[Strong team relationship]]/$W$133</f>
        <v>0.1076923076923077</v>
      </c>
      <c r="CM133" s="48">
        <f>+Tabela7[[#Totals],[Skilled human resources (type of skill or expertise of practitioners)]]/$W$133</f>
        <v>7.6923076923076927E-2</v>
      </c>
      <c r="CN133" s="48">
        <f>+Tabela7[[#Totals],[Response/ feedback online]]/$W$133</f>
        <v>6.1538461538461542E-2</v>
      </c>
      <c r="CO133" s="48">
        <f>+Tabela7[[#Totals],[Requirement and data traceability]]/$W$133</f>
        <v>0.13846153846153847</v>
      </c>
      <c r="CP133" s="48">
        <f>+Tabela7[[#Totals],[Process awareness]]/$W$133</f>
        <v>9.2307692307692313E-2</v>
      </c>
      <c r="CQ133" s="48">
        <f>+Tabela7[[#Totals],[Formal standard and procedures]]/$W$133</f>
        <v>6.1538461538461542E-2</v>
      </c>
      <c r="CR133" s="48">
        <f>+Tabela7[[#Totals],[Change acceptability]]/$W$133</f>
        <v>0.15384615384615385</v>
      </c>
      <c r="CS133" s="48">
        <f>+Tabela7[[#Totals],[Continuous organisational support]]/$W$133</f>
        <v>6.1538461538461542E-2</v>
      </c>
      <c r="CT133" s="48">
        <f>+Tabela7[[#Totals],[Frequency of social events]]/$W$133</f>
        <v>3.0769230769230771E-2</v>
      </c>
      <c r="CU133" s="48">
        <f>+Tabela7[[#Totals],[Task synchronization]]/$W$133</f>
        <v>9.2307692307692313E-2</v>
      </c>
      <c r="CV133" s="48">
        <f>+Tabela7[[#Totals],[Software testing methods]]/$W$133</f>
        <v>0.13846153846153847</v>
      </c>
      <c r="CW133" s="48">
        <f>+Tabela7[[#Totals],[Geographical dimension]]/$W$133</f>
        <v>0.24615384615384617</v>
      </c>
      <c r="CX133" s="48">
        <f>+Tabela7[[#Totals],[Organizational dispersion]]/$W$133</f>
        <v>0.1076923076923077</v>
      </c>
      <c r="CY133" s="48">
        <f>+Tabela7[[#Totals],[Turnover (team/staff)]]/$W$133</f>
        <v>3.0769230769230771E-2</v>
      </c>
      <c r="CZ133" s="48">
        <f>+Tabela7[[#Totals],[Degree of novelty]]/$W$133</f>
        <v>9.2307692307692313E-2</v>
      </c>
      <c r="DA133" s="48">
        <f>+Tabela7[[#Totals],[New vendor relantionship]]/$W$133</f>
        <v>1.5384615384615385E-2</v>
      </c>
      <c r="DB133" s="48">
        <f>+Tabela7[[#Totals],[Updated Knowledge transfer documents]]/$W$133</f>
        <v>0</v>
      </c>
      <c r="DC133" s="48">
        <f>+Tabela7[[#Totals],[Knowledge Codifiability]]/$W$133</f>
        <v>1.5384615384615385E-2</v>
      </c>
      <c r="DD133" s="48">
        <f>+Tabela7[[#Totals],[Proper documentation]]/$W$133</f>
        <v>9.2307692307692313E-2</v>
      </c>
      <c r="DE133" s="48">
        <f>+Tabela7[[#Totals],[Compatibility of data]]/$W$133</f>
        <v>9.2307692307692313E-2</v>
      </c>
      <c r="DF133" s="48">
        <f>+Tabela7[[#Totals],[Appropriate architecture]]/$W$133</f>
        <v>9.2307692307692313E-2</v>
      </c>
      <c r="DG133" s="48">
        <f>+Tabela7[[#Totals],[Similar programming languages]]/$W$133</f>
        <v>4.6153846153846156E-2</v>
      </c>
      <c r="DH133" s="48">
        <f>+Tabela7[[#Totals],[Product selection and customization (off the shelf)]]/$W$133</f>
        <v>1.5384615384615385E-2</v>
      </c>
      <c r="DI133" s="48">
        <f>+Tabela7[[#Totals],[Availability of human resource]]/$W$133</f>
        <v>0.2153846153846154</v>
      </c>
      <c r="DJ133" s="48">
        <f>+Tabela7[[#Totals],[Proper component interfaces]]/$W$133</f>
        <v>1.5384615384615385E-2</v>
      </c>
      <c r="DK133" s="48">
        <f>+Tabela7[[#Totals],[Relationship between person at different sites]]/$W$133</f>
        <v>6.1538461538461542E-2</v>
      </c>
      <c r="DL133" s="48">
        <f>+Tabela7[[#Totals],[Common working experience]]/$W$133</f>
        <v>3.0769230769230771E-2</v>
      </c>
      <c r="DM133" s="48">
        <f>+Tabela7[[#Totals],[Criticality of the task]]/$W$133</f>
        <v>1.5384615384615385E-2</v>
      </c>
      <c r="DN133" s="48">
        <f>+Tabela7[[#Totals],[Complexity of the task]]/$W$133</f>
        <v>1.5384615384615385E-2</v>
      </c>
      <c r="DO133" s="48">
        <f>+Tabela7[[#Totals],[Degree of Task formality description]]/$W$133</f>
        <v>1.5384615384615385E-2</v>
      </c>
      <c r="DP133" s="48">
        <f>+Tabela7[[#Totals],[Process phase (lifecycle)]]/$W$133</f>
        <v>1.5384615384615385E-2</v>
      </c>
      <c r="DQ133" s="48">
        <f>+Tabela7[[#Totals],[Degree of collaborative task coupling]]/$W$133</f>
        <v>3.0769230769230771E-2</v>
      </c>
      <c r="DR133" s="48">
        <f>+Tabela7[[#Totals],[Degree of Business Process maturity]]/$W$133</f>
        <v>7.6923076923076927E-2</v>
      </c>
      <c r="DS133" s="48">
        <f>+Tabela7[[#Totals],[Product size]]/$W$133</f>
        <v>4.6153846153846156E-2</v>
      </c>
      <c r="DT133" s="48">
        <f>+Tabela7[[#Totals],[Stable requirements]]/$W$133</f>
        <v>0.1076923076923077</v>
      </c>
      <c r="DU133" s="48">
        <f>+Tabela7[[#Totals],[Number of involved sites]]/$W$133</f>
        <v>1.5384615384615385E-2</v>
      </c>
      <c r="DV133" s="48">
        <f>+Tabela7[[#Totals],[Time pressure]]/$W$133</f>
        <v>6.1538461538461542E-2</v>
      </c>
      <c r="DW133" s="48">
        <f>+Tabela7[[#Totals],[Learning curve]]/$W$133</f>
        <v>3.0769230769230771E-2</v>
      </c>
      <c r="DX133" s="48">
        <f>+Tabela7[[#Totals],[Integration plan]]/$W$133</f>
        <v>6.1538461538461542E-2</v>
      </c>
      <c r="DY133" s="48">
        <f>+Tabela7[[#Totals],[Vision for the end product]]/$W$133</f>
        <v>0</v>
      </c>
      <c r="DZ133" s="48">
        <f>+Tabela7[[#Totals],[Overloading of key personnel]]/$W$133</f>
        <v>1.5384615384615385E-2</v>
      </c>
      <c r="EA133" s="48">
        <f>+Tabela7[[#Totals],[Consistent data]]/$W$133</f>
        <v>0</v>
      </c>
      <c r="EB133" s="48">
        <f>+Tabela7[[#Totals],[Spelling in data entry]]/$W$133</f>
        <v>0</v>
      </c>
      <c r="EC133" s="48">
        <f>+Tabela7[[#Totals],[Missing information]]/$W$133</f>
        <v>0</v>
      </c>
      <c r="ED133" s="48">
        <f>+Tabela7[[#Totals],[Data Harmonization]]/$W$133</f>
        <v>3.0769230769230771E-2</v>
      </c>
      <c r="EE133" s="48">
        <f>+Tabela7[[#Totals],[Data visualization tools]]/$W$133</f>
        <v>0</v>
      </c>
      <c r="EF133" s="48">
        <f>+Tabela7[[#Totals],[Sharing project details]]/$W$133</f>
        <v>4.6153846153846156E-2</v>
      </c>
      <c r="EG133" s="48">
        <f>+Tabela7[[#Totals],[Measuring provenance of data]]/$W$133</f>
        <v>0</v>
      </c>
      <c r="EH133" s="48">
        <f>+Tabela7[[#Totals],[Storage of transition logs]]/$W$133</f>
        <v>1.5384615384615385E-2</v>
      </c>
      <c r="EI133" s="48">
        <f>+Tabela7[[#Totals],[Analyze Data in Real Time]]/$W$133</f>
        <v>4.6153846153846156E-2</v>
      </c>
      <c r="EJ133" s="48">
        <f>+Tabela7[[#Totals],[Integration of new visualization techniques]]/$W$133</f>
        <v>1.5384615384615385E-2</v>
      </c>
      <c r="EK133" s="48">
        <f>+Tabela7[[#Totals],[Contract management]]/$W$133</f>
        <v>4.6153846153846156E-2</v>
      </c>
      <c r="EL133" s="48">
        <f>+Tabela7[[#Totals],[Task updating]]/$W$133</f>
        <v>6.1538461538461542E-2</v>
      </c>
      <c r="EM133" s="48">
        <f>+Tabela7[[#Totals],[Quality assurance procedure]]/$W$133</f>
        <v>0.1076923076923077</v>
      </c>
      <c r="EN133" s="48">
        <f>+Tabela7[[#Totals],[Incremental integration]]/$W$133</f>
        <v>3.0769230769230771E-2</v>
      </c>
      <c r="EO133" s="48">
        <f>+Tabela7[[#Totals],[Regular deliveries]]/$W$133</f>
        <v>6.1538461538461542E-2</v>
      </c>
      <c r="EP133" s="48">
        <f>+Tabela7[[#Totals],[Use of modular approach]]/$W$133</f>
        <v>4.6153846153846156E-2</v>
      </c>
      <c r="EQ133" s="48">
        <f>+Tabela7[[#Totals],[Cross-functional teams]]/$W$133</f>
        <v>4.6153846153846156E-2</v>
      </c>
      <c r="ER133" s="48">
        <f>+Tabela7[[#Totals],[Expert area (prior experience)]]/$W$133</f>
        <v>3.0769230769230771E-2</v>
      </c>
      <c r="ES133" s="48">
        <f>+Tabela7[[#Totals],[Scrum expertise]]/$W$133</f>
        <v>3.0769230769230771E-2</v>
      </c>
      <c r="ET133" s="48">
        <f>+Tabela7[[#Totals],[Scrum hours]]/$W$133</f>
        <v>1.5384615384615385E-2</v>
      </c>
      <c r="EU133" s="48">
        <f>+Tabela7[[#Totals],[Number os sprints]]/$W$133</f>
        <v>1.5384615384615385E-2</v>
      </c>
      <c r="EV133" s="48">
        <f>+Tabela7[[#Totals],[Analytical thinking]]/$W$133</f>
        <v>1.5384615384615385E-2</v>
      </c>
      <c r="EW133" s="48">
        <f>+Tabela7[[#Totals],[Time management]]/$W$133</f>
        <v>4.6153846153846156E-2</v>
      </c>
      <c r="EX133" s="48">
        <f>+Tabela7[[#Totals],[Conflict management]]/$W$133</f>
        <v>7.6923076923076927E-2</v>
      </c>
      <c r="EY133" s="48">
        <f>+Tabela7[[#Totals],[Flexibilility]]/$W$133</f>
        <v>4.6153846153846156E-2</v>
      </c>
      <c r="EZ133" s="48">
        <f>+Tabela7[[#Totals],[Handling stress]]/$W$133</f>
        <v>1.5384615384615385E-2</v>
      </c>
      <c r="FA133" s="48">
        <f>+Tabela7[[#Totals],[Problem solving]]/$W$133</f>
        <v>4.6153846153846156E-2</v>
      </c>
      <c r="FB133" s="48">
        <f>+Tabela7[[#Totals],[Diplomacy]]/$W$133</f>
        <v>1.5384615384615385E-2</v>
      </c>
      <c r="FC133" s="48">
        <f>+Tabela7[[#Totals],[Interfacing with different layers of development framework]]/$W$133</f>
        <v>4.6153846153846156E-2</v>
      </c>
      <c r="FD133" s="48">
        <f>+Tabela7[[#Totals],[Code coverage concepts and tools]]/$W$133</f>
        <v>3.0769230769230771E-2</v>
      </c>
      <c r="FE133" s="48">
        <f>+Tabela7[[#Totals],[Refactoring concepts]]/$W$133</f>
        <v>1.5384615384615385E-2</v>
      </c>
      <c r="FF133" s="48">
        <f>+Tabela7[[#Totals],[Code-smell concepts]]/$W$133</f>
        <v>1.5384615384615385E-2</v>
      </c>
      <c r="FG133" s="48">
        <f>+Tabela7[[#Totals],[Religion and political attitudes]]/$W$133</f>
        <v>7.6923076923076927E-2</v>
      </c>
      <c r="FH133" s="48">
        <f>+Tabela7[[#Totals],[Updated requirements]]/$W$133</f>
        <v>9.2307692307692313E-2</v>
      </c>
      <c r="FI133" s="48">
        <f>+Tabela7[[#Totals],[Change impact analysis in all sites]]/$W$133</f>
        <v>4.6153846153846156E-2</v>
      </c>
      <c r="FJ133" s="48">
        <f>+Tabela7[[#Totals],[Management support]]/$W$133</f>
        <v>4.6153846153846156E-2</v>
      </c>
      <c r="FK133" s="48">
        <f>+Tabela7[[#Totals],[Globally compete to market]]/$W$133</f>
        <v>3.0769230769230771E-2</v>
      </c>
      <c r="FL133" s="48">
        <f>+Tabela7[[#Totals],[Progress measure in distributed sites]]/$W$133</f>
        <v>6.1538461538461542E-2</v>
      </c>
      <c r="FM133" s="48">
        <f>+Tabela7[[#Totals],[Management commitment]]/$W$133</f>
        <v>6.1538461538461542E-2</v>
      </c>
      <c r="FN133" s="48">
        <f>+Tabela7[[#Totals],[Software Process improvement - Consultancy]]/$W$133</f>
        <v>3.0769230769230771E-2</v>
      </c>
      <c r="FO133" s="48">
        <f>+Tabela7[[#Totals],[Process improvement evaluation]]/$W$133</f>
        <v>3.0769230769230771E-2</v>
      </c>
      <c r="FP133" s="48">
        <f>+Tabela7[[#Totals],[Process improvement standards and procedures]]/$W$133</f>
        <v>3.0769230769230771E-2</v>
      </c>
      <c r="FQ133" s="48">
        <f>+Tabela7[[#Totals],[Site characteristics]]/$W$133</f>
        <v>1.5384615384615385E-2</v>
      </c>
      <c r="FR133" s="48">
        <f>+Tabela7[[#Totals],[Task site dependency]]/$W$133</f>
        <v>3.0769230769230771E-2</v>
      </c>
      <c r="FS133" s="48">
        <f>+Tabela7[[#Totals],[Personal availability]]/$W$133</f>
        <v>1.5384615384615385E-2</v>
      </c>
      <c r="FT133" s="48">
        <f>+Tabela7[[#Totals],[Process ownership]]/$W$133</f>
        <v>4.6153846153846156E-2</v>
      </c>
      <c r="FU133" s="48">
        <f>+Tabela7[[#Totals],[Component dependency]]/$W$133</f>
        <v>1.5384615384615385E-2</v>
      </c>
      <c r="FV133" s="48">
        <f>+Tabela7[[#Totals],[Workload]]/$W$133</f>
        <v>6.1538461538461542E-2</v>
      </c>
      <c r="FW133" s="48">
        <f>+Tabela7[[#Totals],[Task Size]]/$W$133</f>
        <v>1.5384615384615385E-2</v>
      </c>
      <c r="FX133" s="48">
        <f>+Tabela7[[#Totals],[Participation and support to solve issues]]/$W$133</f>
        <v>7.6923076923076927E-2</v>
      </c>
      <c r="FY133" s="48">
        <f>+Tabela7[[#Totals],[Persistent, conscientious responsiveness information of teams]]/$W$133</f>
        <v>3.0769230769230771E-2</v>
      </c>
      <c r="FZ133" s="48">
        <f>+Tabela7[[#Totals],[Project requirements]]/$W$133</f>
        <v>7.6923076923076927E-2</v>
      </c>
      <c r="GA133" s="48">
        <f>+Tabela7[[#Totals],[Capacity to absorb technical and business knowledge]]/$W$133</f>
        <v>1.5384615384615385E-2</v>
      </c>
      <c r="GB133" s="48">
        <f>+Tabela7[[#Totals],[Understanding the process]]/$W$133</f>
        <v>7.6923076923076927E-2</v>
      </c>
      <c r="GC133" s="48">
        <f>+Tabela7[[#Totals],[Mutual coordination among team members (managerial practices)]]/$W$133</f>
        <v>4.6153846153846156E-2</v>
      </c>
      <c r="GD133" s="48">
        <f>+Tabela7[[#Totals],[Clear objective]]/$W$133</f>
        <v>1.5384615384615385E-2</v>
      </c>
      <c r="GE133" s="48">
        <f>+Tabela7[[#Totals],[Knowledge incentive toward client business process]]/$W$133</f>
        <v>4.6153846153846156E-2</v>
      </c>
      <c r="GF133" s="48">
        <f>+Tabela7[[#Totals],[Pilot knowledge between teams]]/$W$133</f>
        <v>3.0769230769230771E-2</v>
      </c>
      <c r="GG133" s="48">
        <f>+Tabela7[[#Totals],[Project functionality toward client’s business process]]/$W$133</f>
        <v>3.0769230769230771E-2</v>
      </c>
      <c r="GH133" s="48">
        <f>+Tabela7[[#Totals],[Understanding over the client’s business process environment]]/$W$133</f>
        <v>9.2307692307692313E-2</v>
      </c>
      <c r="GI133" s="48">
        <f>+Tabela7[[#Totals],[Brainstorming actions for organizations]]/$W$133</f>
        <v>1.5384615384615385E-2</v>
      </c>
      <c r="GJ133" s="48">
        <f>+Tabela7[[#Totals],[Flexibility among teams]]/$W$133</f>
        <v>3.0769230769230771E-2</v>
      </c>
      <c r="GK133" s="48">
        <f>+Tabela7[[#Totals],[Learning of innovative technology]]/$W$133</f>
        <v>6.1538461538461542E-2</v>
      </c>
      <c r="GL133" s="48">
        <f>+Tabela7[[#Totals],[Component/Unit Testing prior to integration]]/$W$133</f>
        <v>3.0769230769230771E-2</v>
      </c>
      <c r="GM133" s="48">
        <f>+Tabela7[[#Totals],[Development Environment and Training]]/$W$133</f>
        <v>7.6923076923076927E-2</v>
      </c>
      <c r="GN133" s="48">
        <f>+Tabela7[[#Totals],[Efficient Incremental/Continuous integration]]/$W$133</f>
        <v>4.6153846153846156E-2</v>
      </c>
      <c r="GO133" s="48">
        <f>+Tabela7[[#Totals],[Interface Compatibility]]/$W$133</f>
        <v>1.5384615384615385E-2</v>
      </c>
      <c r="GP133" s="48">
        <f>+Tabela7[[#Totals],[Configuration management]]/$W$133</f>
        <v>4.6153846153846156E-2</v>
      </c>
      <c r="GQ133" s="48">
        <f>+Tabela7[[#Totals],[Components evaluation (off the shelf)]]/$W$133</f>
        <v>1.5384615384615385E-2</v>
      </c>
      <c r="GR133" s="48">
        <f>+Tabela7[[#Totals],[Process, Data and Product’s Components]]/$W$133</f>
        <v>4.6153846153846156E-2</v>
      </c>
      <c r="GS133" s="48">
        <f>+Tabela7[[#Totals],[Metrics]]/$W$133</f>
        <v>6.1538461538461542E-2</v>
      </c>
      <c r="GT133" s="48">
        <f>+Tabela7[[#Totals],[Specific Integration Timing]]/$W$133</f>
        <v>1.5384615384615385E-2</v>
      </c>
      <c r="GU133" s="48">
        <f>+Tabela7[[#Totals],[Organization: resource]]/$W$133</f>
        <v>1.5384615384615385E-2</v>
      </c>
      <c r="GV133" s="48">
        <f>+Tabela7[[#Totals],[Organization: strategies]]/$W$133</f>
        <v>1.5384615384615385E-2</v>
      </c>
      <c r="GW133" s="48">
        <f>+Tabela7[[#Totals],[Organization: standard]]/$W$133</f>
        <v>1.5384615384615385E-2</v>
      </c>
      <c r="GX133" s="48">
        <f>+Tabela7[[#Totals],[Organization: culture]]/$W$133</f>
        <v>7.6923076923076927E-2</v>
      </c>
      <c r="GY133" s="48">
        <f>+Tabela7[[#Totals],[Organization: politics]]/$W$133</f>
        <v>1.5384615384615385E-2</v>
      </c>
      <c r="GZ133" s="48">
        <f>+Tabela7[[#Totals],[Organization: practices]]/$W$133</f>
        <v>1.5384615384615385E-2</v>
      </c>
      <c r="HA133" s="48">
        <f>+Tabela7[[#Totals],[Organization: regulations]]/$W$133</f>
        <v>1.5384615384615385E-2</v>
      </c>
      <c r="HB133" s="48">
        <f>+Tabela7[[#Totals],[Organization: environment]]/$W$133</f>
        <v>1.5384615384615385E-2</v>
      </c>
      <c r="HC133" s="48">
        <f>+Tabela7[[#Totals],[Organization: structure]]/$W$133</f>
        <v>3.0769230769230771E-2</v>
      </c>
      <c r="HD133" s="48">
        <f>+Tabela7[[#Totals],[Organization: size]]/$W$133</f>
        <v>1.5384615384615385E-2</v>
      </c>
      <c r="HE133" s="48">
        <f>+Tabela7[[#Totals],[Inter-team culture (NCASN)]]/$W$133</f>
        <v>1.5384615384615385E-2</v>
      </c>
      <c r="HF133" s="48">
        <f>+Tabela7[[#Totals],[Social facilities]]/$W$133</f>
        <v>1.5384615384615385E-2</v>
      </c>
      <c r="HG133" s="48">
        <f>+Tabela7[[#Totals],[Social interaction]]/$W$133</f>
        <v>3.0769230769230771E-2</v>
      </c>
      <c r="HH133" s="48">
        <f>+Tabela7[[#Totals],[Stakeholder: Client]]/$W$133</f>
        <v>3.0769230769230771E-2</v>
      </c>
      <c r="HI133" s="48">
        <f>+Tabela7[[#Totals],[Stakeholder: Relationship]]/$W$133</f>
        <v>4.6153846153846156E-2</v>
      </c>
      <c r="HJ133" s="48">
        <f>+Tabela7[[#Totals],[Stakeholder engagement]]/$W$133</f>
        <v>4.6153846153846156E-2</v>
      </c>
      <c r="HK133" s="48">
        <f>+Tabela7[[#Totals],[Stakeholder: requirements realization]]/$W$133</f>
        <v>3.0769230769230771E-2</v>
      </c>
      <c r="HL133" s="48">
        <f>+Tabela7[[#Totals],[Stakeholder Performance Domain]]/$W$133</f>
        <v>1.5384615384615385E-2</v>
      </c>
      <c r="HM133" s="48">
        <f>+Tabela7[[#Totals],[Stakeholder: problem domain]]/$W$133</f>
        <v>3.0769230769230771E-2</v>
      </c>
      <c r="HN133" s="48">
        <f>+Tabela7[[#Totals],[Stakeholder Attitude]]/$W$133</f>
        <v>1.5384615384615385E-2</v>
      </c>
      <c r="HO133" s="48">
        <f>+Tabela7[[#Totals],[Climatic condition]]/$W$133</f>
        <v>3.0769230769230771E-2</v>
      </c>
      <c r="HP133" s="48">
        <f>+Tabela7[[#Totals],[Geological condition]]/$W$133</f>
        <v>1.5384615384615385E-2</v>
      </c>
      <c r="HQ133" s="48">
        <f>+Tabela7[[#Totals],[Working and workplace atmosphere]]/$W$133</f>
        <v>1.5384615384615385E-2</v>
      </c>
      <c r="HR133" s="48">
        <f>+Tabela7[[#Totals],[Project: Characteristics]]/$W$133</f>
        <v>1.5384615384615385E-2</v>
      </c>
      <c r="HS133" s="48">
        <f>+Tabela7[[#Totals],[Requirement estimation]]/$W$133</f>
        <v>1.5384615384615385E-2</v>
      </c>
      <c r="HT133" s="48">
        <f>+Tabela7[[#Totals],[Collaboration, communication and coordination: inter-team, inter-site]]/$W$133</f>
        <v>0.15384615384615385</v>
      </c>
      <c r="HU133" s="48">
        <f>+Tabela7[[#Totals],[Collaboration, communication and coordination: cross-boundary]]/$W$133</f>
        <v>0.1076923076923077</v>
      </c>
      <c r="HV133" s="48">
        <f>+Tabela7[[#Totals],[Tools and technology: process selection]]/$W$133</f>
        <v>4.6153846153846156E-2</v>
      </c>
      <c r="HW133" s="48">
        <f>+Tabela7[[#Totals],[Project management performance]]/$W$133</f>
        <v>3.0769230769230771E-2</v>
      </c>
      <c r="HX133" s="48">
        <f>+Tabela7[[#Totals],[Tools and technology: management decision]]/$W$133</f>
        <v>3.0769230769230771E-2</v>
      </c>
      <c r="HY133" s="48">
        <f>+Tabela7[[#Totals],[Tools and technology: defect occurrence]]/$W$133</f>
        <v>1.5384615384615385E-2</v>
      </c>
      <c r="HZ133" s="48">
        <f>+Tabela7[[#Totals],[Tools and technology: testing accuracy]]/$W$133</f>
        <v>3.0769230769230771E-2</v>
      </c>
      <c r="IA133" s="48">
        <f>+Tabela7[[#Totals],[Knowledge assets]]/$W$133</f>
        <v>1.5384615384615385E-2</v>
      </c>
      <c r="IB133" s="48">
        <f>+Tabela7[[#Totals],[Trust: among team members]]/$W$133</f>
        <v>4.6153846153846156E-2</v>
      </c>
      <c r="IC133" s="48">
        <f>+Tabela7[[#Totals],[Trust: cross-boundary]]/$W$133</f>
        <v>1.5384615384615385E-2</v>
      </c>
      <c r="ID133" s="48">
        <f>+Tabela7[[#Totals],[Trust: "confidence" in the company and leadership and other stakeholders]]/$W$133</f>
        <v>3.0769230769230771E-2</v>
      </c>
      <c r="IE133" s="48">
        <f>+Tabela7[[#Totals],[Team size/ structure]]/$W$133</f>
        <v>0.13846153846153847</v>
      </c>
      <c r="IF133" s="48">
        <f>+Tabela7[[#Totals],[Team cohesion]]/$W$133</f>
        <v>6.1538461538461542E-2</v>
      </c>
      <c r="IG133" s="48">
        <f>+Tabela7[[#Totals],[Capability to adopt team members]]/$W$133</f>
        <v>1.5384615384615385E-2</v>
      </c>
      <c r="IH133" s="48">
        <f>+Tabela7[[#Totals],[Team experience]]/$W$133</f>
        <v>7.6923076923076927E-2</v>
      </c>
      <c r="II133" s="48">
        <f>+Tabela7[[#Totals],[Requirement management]]/$W$133</f>
        <v>7.6923076923076927E-2</v>
      </c>
      <c r="IJ133" s="48">
        <f>+Tabela7[[#Totals],[Global project management issues]]/$W$133</f>
        <v>6.1538461538461542E-2</v>
      </c>
      <c r="IK133" s="48">
        <f>+Tabela7[[#Totals],[Face to face meeting]]/$W$133</f>
        <v>9.2307692307692313E-2</v>
      </c>
      <c r="IL133" s="48">
        <f>+Tabela7[[#Totals],[User involvement]]/$W$133</f>
        <v>3.0769230769230771E-2</v>
      </c>
      <c r="IM133" s="48">
        <f>+Tabela7[[#Totals],[Labor cost]]/$W$133</f>
        <v>3.0769230769230771E-2</v>
      </c>
      <c r="IN133" s="48">
        <f>+Tabela7[[#Totals],[Human related problems]]/$W$133</f>
        <v>1.5384615384615385E-2</v>
      </c>
      <c r="IO133" s="48">
        <f>+Tabela7[[#Totals],[Technical Infrastructure]]/$W$133</f>
        <v>9.2307692307692313E-2</v>
      </c>
      <c r="IP133" s="48">
        <f>+Tabela7[[#Totals],[Infrastructure]]/$W$133</f>
        <v>4.6153846153846156E-2</v>
      </c>
      <c r="IQ133" s="48">
        <f>+Tabela7[[#Totals],[Effort and cost estimation for change]]/$W$133</f>
        <v>1.5384615384615385E-2</v>
      </c>
      <c r="IR133" s="48">
        <f>+Tabela7[[#Totals],[Productivity]]/$W$133</f>
        <v>1.5384615384615385E-2</v>
      </c>
      <c r="IS133" s="48">
        <f>+Tabela7[[#Totals],[Project methodology (approach, mentoring)]]/$W$133</f>
        <v>6.1538461538461542E-2</v>
      </c>
      <c r="IT133" s="48">
        <f>+Tabela7[[#Totals],[Quality of build]]/$W$133</f>
        <v>1.5384615384615385E-2</v>
      </c>
      <c r="IU133" s="48">
        <f>+Tabela7[[#Totals],[Quality of test]]/$W$133</f>
        <v>1.5384615384615385E-2</v>
      </c>
      <c r="IV133" s="48">
        <f>+Tabela7[[#Totals],[Team rewards and recognitions]]/$W$133</f>
        <v>1.5384615384615385E-2</v>
      </c>
      <c r="IW133" s="48">
        <f>+Tabela7[[#Totals],[Employee facilitation]]/$W$133</f>
        <v>4.6153846153846156E-2</v>
      </c>
      <c r="IX133" s="48">
        <f>+Tabela7[[#Totals],[Alignment between architectural decisions to organization structure]]/$W$133</f>
        <v>3.0769230769230771E-2</v>
      </c>
      <c r="IY133" s="48">
        <f>+Tabela7[[#Totals],[Project instability]]/$W$133</f>
        <v>3.0769230769230771E-2</v>
      </c>
      <c r="IZ133" s="48">
        <f>+Tabela7[[#Totals],[Software quality control]]/$W$133</f>
        <v>4.6153846153846156E-2</v>
      </c>
      <c r="JA133" s="48">
        <f>+Tabela7[[#Totals],[Align architecture with organization arrangement]]/$W$133</f>
        <v>3.0769230769230771E-2</v>
      </c>
      <c r="JB133" s="48">
        <f>+Tabela7[[#Totals],[knowledge management practices]]/$W$133</f>
        <v>4.6153846153846156E-2</v>
      </c>
      <c r="JC133" s="48">
        <f>+Tabela7[[#Totals],[Communicate architectural decisions to all stakeholders]]/$W$133</f>
        <v>1.5384615384615385E-2</v>
      </c>
      <c r="JD133" s="48">
        <f>+Tabela7[[#Totals],[Conformance to share practices]]/$W$133</f>
        <v>3.0769230769230771E-2</v>
      </c>
      <c r="JE133" s="48">
        <f>+Tabela7[[#Totals],[Standardize architectural practices]]/$W$133</f>
        <v>1.5384615384615385E-2</v>
      </c>
      <c r="JF133" s="48">
        <f>+Tabela7[[#Totals],[Identifyind dependencies on architectural desing decision]]/$W$133</f>
        <v>3.0769230769230771E-2</v>
      </c>
      <c r="JG133" s="48">
        <f>+Tabela7[[#Totals],[Architectural design practices]]/$W$133</f>
        <v>1.5384615384615385E-2</v>
      </c>
      <c r="JH133" s="48">
        <f>+Tabela7[[#Totals],[Architecting modeling techniques]]/$W$133</f>
        <v>1.5384615384615385E-2</v>
      </c>
      <c r="JI133" s="48">
        <f>+Tabela7[[#Totals],[Task allocation]]/$W$133</f>
        <v>6.1538461538461542E-2</v>
      </c>
      <c r="JJ133" s="48">
        <f>+Tabela7[[#Totals],[Architecturebased task allocation]]/$W$133</f>
        <v>3.0769230769230771E-2</v>
      </c>
      <c r="JK133" s="48">
        <f>+Tabela7[[#Totals],[Compliance to processes]]/$W$133</f>
        <v>9.2307692307692313E-2</v>
      </c>
      <c r="JL133" s="48">
        <f>+Tabela7[[#Totals],[Governance implemented]]/$W$133</f>
        <v>6.1538461538461542E-2</v>
      </c>
      <c r="JM133" s="48">
        <f>+Tabela7[[#Totals],[Handling soft issues]]/$W$133</f>
        <v>1.5384615384615385E-2</v>
      </c>
      <c r="JN133" s="48">
        <f>+Tabela7[[#Totals],[Socio-culture distance]]/$W$133</f>
        <v>3.0769230769230771E-2</v>
      </c>
      <c r="JO133" s="48">
        <f>+Tabela7[[#Totals],[Team member''s attitude]]/$W$133</f>
        <v>1.5384615384615385E-2</v>
      </c>
      <c r="JP133" s="48">
        <f>+Tabela7[[#Totals],[Customer relationship]]/$W$133</f>
        <v>7.6923076923076927E-2</v>
      </c>
      <c r="JQ133" s="48">
        <f>+Tabela7[[#Totals],[Cost and logistics of meetings]]/$W$133</f>
        <v>1.5384615384615385E-2</v>
      </c>
      <c r="JR133" s="48">
        <f>+Tabela7[[#Totals],[Effort to initiate contact]]/$W$133</f>
        <v>1.5384615384615385E-2</v>
      </c>
      <c r="JS133" s="48">
        <f>+Tabela7[[#Totals],[Time overlapping]]/$W$133</f>
        <v>3.0769230769230771E-2</v>
      </c>
      <c r="JT133" s="48">
        <f>+Tabela7[[#Totals],[Communication frequency]]/$W$133</f>
        <v>7.6923076923076927E-2</v>
      </c>
      <c r="JU133" s="48">
        <f>+Tabela7[[#Totals],[Detailed level of communication]]/$W$133</f>
        <v>3.0769230769230771E-2</v>
      </c>
      <c r="JV133" s="48">
        <f>+Tabela7[[#Totals],[Mutual undestanding]]/$W$133</f>
        <v>1.5384615384615385E-2</v>
      </c>
      <c r="JW133" s="48">
        <f>+Tabela7[[#Totals],[Domain of manager''s opinion]]/$W$133</f>
        <v>1.5384615384615385E-2</v>
      </c>
      <c r="JX133" s="48">
        <f>+Tabela7[[#Totals],[Connectivity issues]]/$W$133</f>
        <v>3.0769230769230771E-2</v>
      </c>
      <c r="JY133" s="48">
        <f>+Tabela7[[#Totals],[Degree of infrastructure]]/$W$133</f>
        <v>9.2307692307692313E-2</v>
      </c>
      <c r="JZ133" s="48">
        <f>+Tabela7[[#Totals],[Quality of telecommunication bandwidth]]/$W$133</f>
        <v>1.5384615384615385E-2</v>
      </c>
      <c r="KA133" s="48">
        <f>+Tabela7[[#Totals],[Lack of ICT and technological cohesion]]/$W$133</f>
        <v>6.1538461538461542E-2</v>
      </c>
      <c r="KB133" s="48">
        <f>+Tabela7[[#Totals],[Uniform processes]]/$W$133</f>
        <v>3.0769230769230771E-2</v>
      </c>
      <c r="KC133" s="48">
        <f>+Tabela7[[#Totals],[Communication of customer requirements]]/$W$133</f>
        <v>3.0769230769230771E-2</v>
      </c>
      <c r="KD133" s="48">
        <f>+Tabela7[[#Totals],[knowledge creation ability among the teams]]/$W$133</f>
        <v>4.6153846153846156E-2</v>
      </c>
      <c r="KE133" s="48">
        <f>+Tabela7[[#Totals],[Ability to solve their professional problems]]/$W$133</f>
        <v>1.5384615384615385E-2</v>
      </c>
      <c r="KF133" s="48">
        <f>+Tabela7[[#Totals],[Cooperation and competition within the teams’ to fulfill the goals]]/$W$133</f>
        <v>3.0769230769230771E-2</v>
      </c>
      <c r="KG133" s="48">
        <f>+Tabela7[[#Totals],[Explicit and standard communication pattern for knowledge transfer effectiveness]]/$W$133</f>
        <v>3.0769230769230771E-2</v>
      </c>
      <c r="KH133" s="48">
        <f>+Tabela7[[#Totals],[Specialty ability of the teams]]/$W$133</f>
        <v>1.5384615384615385E-2</v>
      </c>
      <c r="KI133" s="48">
        <f>+Tabela7[[#Totals],[Mediating role knowledge transfer]]/$W$133</f>
        <v>1.5384615384615385E-2</v>
      </c>
      <c r="KJ133" s="48">
        <f>+Tabela7[[#Totals],[Assessment of teams knowledge transfer effectiveness]]/$W$133</f>
        <v>3.0769230769230771E-2</v>
      </c>
      <c r="KK133" s="48">
        <f>+Tabela7[[#Totals],[Communality]]/$W$133</f>
        <v>1.5384615384615385E-2</v>
      </c>
      <c r="KL133" s="48">
        <f>+Tabela7[[#Totals],[Benevolence]]/$W$133</f>
        <v>1.5384615384615385E-2</v>
      </c>
      <c r="KM133" s="48">
        <f>+Tabela7[[#Totals],[Internalised norms]]/$W$133</f>
        <v>1.5384615384615385E-2</v>
      </c>
      <c r="KN133" s="48">
        <f>+Tabela7[[#Totals],[Accountability]]/$W$133</f>
        <v>1.5384615384615385E-2</v>
      </c>
      <c r="KO133" s="48">
        <f>+Tabela7[[#Totals],[Interpersonal relationships skills]]/$W$133</f>
        <v>4.6153846153846156E-2</v>
      </c>
      <c r="KP133" s="48">
        <f>+Tabela7[[#Totals],[Reasoning skills]]/$W$133</f>
        <v>3.0769230769230771E-2</v>
      </c>
      <c r="KQ133" s="48">
        <f>+Tabela7[[#Totals],[Communication protocols and customs]]/$W$133</f>
        <v>1.5384615384615385E-2</v>
      </c>
      <c r="KR133" s="48">
        <f>+Tabela7[[#Totals],[Communication skills in a second language]]/$W$133</f>
        <v>4.6153846153846156E-2</v>
      </c>
      <c r="KS133" s="48">
        <f>+Tabela7[[#Totals],[Ability to motivate others and create trust]]/$W$133</f>
        <v>4.6153846153846156E-2</v>
      </c>
      <c r="KT133" s="48">
        <f>+Tabela7[[#Totals],[Extroversion (personality dimensions)]]/$W$133</f>
        <v>1.5384615384615385E-2</v>
      </c>
      <c r="KU133" s="48">
        <f>+Tabela7[[#Totals],[Computer anxiety]]/$W$133</f>
        <v>1.5384615384615385E-2</v>
      </c>
      <c r="KV133" s="48">
        <f>+Tabela7[[#Totals],[Self-control (personality dimensions)]]/$W$133</f>
        <v>3.0769230769230771E-2</v>
      </c>
      <c r="KW133" s="48">
        <f>+Tabela7[[#Totals],[Sensitivity (personality dimensions)]]/$W$133</f>
        <v>1.5384615384615385E-2</v>
      </c>
      <c r="KX133" s="48">
        <f>+Tabela7[[#Totals],[Emotional stability (personality dimensions)]]/$W$133</f>
        <v>1.5384615384615385E-2</v>
      </c>
      <c r="KY133" s="48">
        <f>+Tabela7[[#Totals],[Conscientiousness (personality dimensions)]]/$W$133</f>
        <v>1.5384615384615385E-2</v>
      </c>
      <c r="KZ133" s="48">
        <f>+Tabela7[[#Totals],[Charismatic leadership]]/$W$133</f>
        <v>1.5384615384615385E-2</v>
      </c>
      <c r="LA133" s="48">
        <f>+Tabela7[[#Totals],[Age]]/$W$133</f>
        <v>1.5384615384615385E-2</v>
      </c>
      <c r="LB133" s="48">
        <f>+Tabela7[[#Totals],[Frequent information sharing]]/$W$133</f>
        <v>7.6923076923076927E-2</v>
      </c>
      <c r="LC133" s="48">
        <f>+Tabela7[[#Totals],[Requeriments elicitation techniques]]/$W$133</f>
        <v>1.5384615384615385E-2</v>
      </c>
      <c r="LD133" s="48">
        <f>+Tabela7[[#Totals],[Client and vendor organizational management commitment]]/$W$133</f>
        <v>3.0769230769230771E-2</v>
      </c>
      <c r="LE133" s="48">
        <f>+Tabela7[[#Totals],[Financial maturity]]/$W$133</f>
        <v>3.0769230769230771E-2</v>
      </c>
      <c r="LF133" s="48">
        <f>+Tabela7[[#Totals],[Use of English for communication]]/$W$133</f>
        <v>1.5384615384615385E-2</v>
      </c>
      <c r="LG133" s="48">
        <f>+Tabela7[[#Totals],[Informal communication]]/$W$133</f>
        <v>6.1538461538461542E-2</v>
      </c>
      <c r="LH133" s="48">
        <f>+Tabela7[[#Totals],[Experienced staff]]/$W$133</f>
        <v>3.0769230769230771E-2</v>
      </c>
      <c r="LI133" s="48">
        <f>+Tabela7[[#Totals],[Agile training]]/$W$133</f>
        <v>3.0769230769230771E-2</v>
      </c>
      <c r="LJ133" s="48">
        <f>+Tabela7[[#Totals],[Budget constraints]]/$W$133</f>
        <v>3.0769230769230771E-2</v>
      </c>
      <c r="LK133" s="48">
        <f>+Tabela7[[#Totals],[Project scope]]/$W$133</f>
        <v>3.0769230769230771E-2</v>
      </c>
      <c r="LL133" s="48">
        <f>+Tabela7[[#Totals],[Organizational commitments]]/$W$133</f>
        <v>1.5384615384615385E-2</v>
      </c>
      <c r="LM133" s="48">
        <f>+Tabela7[[#Totals],[Scaling tools and standards]]/$W$133</f>
        <v>1.5384615384615385E-2</v>
      </c>
      <c r="LN133" s="48">
        <f>+Tabela7[[#Totals],[Error management culture]]/$W$133</f>
        <v>1.5384615384615385E-2</v>
      </c>
      <c r="LO133" s="48">
        <f>+Tabela7[[#Totals],[Handling of data]]/$W$133</f>
        <v>1.5384615384615385E-2</v>
      </c>
      <c r="LP133" s="48">
        <f>+Tabela7[[#Totals],[Lifelong learning]]/$W$133</f>
        <v>1.5384615384615385E-2</v>
      </c>
      <c r="LQ133" s="48">
        <f>+Tabela7[[#Totals],[Legislation and regulation with cloud provider]]/$W$133</f>
        <v>1.5384615384615385E-2</v>
      </c>
      <c r="LR133" s="48">
        <f>+Tabela7[[#Totals],[Choose the right cloud service provider]]/$W$133</f>
        <v>1.5384615384615385E-2</v>
      </c>
      <c r="LS133" s="48">
        <f>+Tabela7[[#Totals],[Reuse ability]]/$W$133</f>
        <v>1.5384615384615385E-2</v>
      </c>
      <c r="LT133" s="48">
        <f>+Tabela7[[#Totals],[Eminence Education ]]/$W$133</f>
        <v>3.0769230769230771E-2</v>
      </c>
      <c r="LU133" s="48">
        <f>+Tabela7[[#Totals],[Lack of conviction issues]]/$W$133</f>
        <v>1.5384615384615385E-2</v>
      </c>
      <c r="LV133" s="48">
        <f>+Tabela7[[#Totals],[Gender preference and segregation]]/$W$133</f>
        <v>4.6153846153846156E-2</v>
      </c>
      <c r="LW133" s="48">
        <f>+Tabela7[[#Totals],[Work-Life Balance Issues (Women)]]/$W$133</f>
        <v>1.5384615384615385E-2</v>
      </c>
      <c r="LX133" s="48">
        <f>+Tabela7[[#Totals],[Benevolent Sexism (Women)]]/$W$133</f>
        <v>1.5384615384615385E-2</v>
      </c>
      <c r="LY133" s="48">
        <f>+Tabela7[[#Totals],[Lack of Recognition (Women)]]/$W$133</f>
        <v>1.5384615384615385E-2</v>
      </c>
      <c r="LZ133" s="48">
        <f>+Tabela7[[#Totals],[Lack of Peer Parity (Women)]]/$W$133</f>
        <v>1.5384615384615385E-2</v>
      </c>
      <c r="MA133" s="48">
        <f>+Tabela7[[#Totals],[Impostor phenomenon (Women)]]/$W$133</f>
        <v>1.5384615384615385E-2</v>
      </c>
      <c r="MB133" s="48">
        <f>+Tabela7[[#Totals],[Pay inequality between genders (Women)]]/$W$133</f>
        <v>1.5384615384615385E-2</v>
      </c>
      <c r="MC133" s="48">
        <f>+Tabela7[[#Totals],[Prove-it Again (Women)]]/$W$133</f>
        <v>1.5384615384615385E-2</v>
      </c>
      <c r="MD133" s="48">
        <f>+Tabela7[[#Totals],[Maternal Wall (Women)]]/$W$133</f>
        <v>1.5384615384615385E-2</v>
      </c>
      <c r="ME133" s="48">
        <f>+Tabela7[[#Totals],[Total number of technical skills (one employee)]]/$W$133</f>
        <v>1.5384615384615385E-2</v>
      </c>
      <c r="MF133" s="48">
        <f>+Tabela7[[#Totals],[Degree of task information]]/$W$133</f>
        <v>3.0769230769230771E-2</v>
      </c>
      <c r="MG133" s="48">
        <f>+Tabela7[[#Totals],[Degree of personal information]]/$W$133</f>
        <v>1.5384615384615385E-2</v>
      </c>
      <c r="MH133" s="48">
        <f>+Tabela7[[#Totals],[Degree of communication concreteness]]/$W$133</f>
        <v>3.0769230769230771E-2</v>
      </c>
      <c r="MI133" s="48">
        <f>+Tabela7[[#Totals],[Degree of affective intensity]]/$W$133</f>
        <v>1.5384615384615385E-2</v>
      </c>
      <c r="MJ133" s="48">
        <f>+Tabela7[[#Totals],[Limited support for reusability]]/$W$133</f>
        <v>1.5384615384615385E-2</v>
      </c>
      <c r="MK133" s="48">
        <f>+Tabela7[[#Totals],[Lack of long-term planning]]/$W$133</f>
        <v>1.5384615384615385E-2</v>
      </c>
      <c r="ML133" s="48">
        <f>+Tabela7[[#Totals],[Efficient utilization of time and computing resources]]/$W$133</f>
        <v>1.5384615384615385E-2</v>
      </c>
      <c r="MM133" s="48">
        <f>+Tabela7[[#Totals],[E-waste minimization]]/$W$133</f>
        <v>1.5384615384615385E-2</v>
      </c>
      <c r="MN133" s="48">
        <f>+Tabela7[[#Totals],[Green and sustainable management of product lige cycle]]/$W$133</f>
        <v>1.5384615384615385E-2</v>
      </c>
      <c r="MO133" s="48">
        <f>+Tabela7[[#Totals],[Minimal reengineering]]/$W$133</f>
        <v>1.5384615384615385E-2</v>
      </c>
      <c r="MP133" s="48">
        <f>+Tabela7[[#Totals],[Polymorphic design]]/$W$133</f>
        <v>1.5384615384615385E-2</v>
      </c>
      <c r="MQ133" s="48">
        <f>+Tabela7[[#Totals],[Team Empowerment]]/$W$133</f>
        <v>1.5384615384615385E-2</v>
      </c>
      <c r="MR133" s="48">
        <f>+Tabela7[[#Totals],[Metrics to assess risk-based testing]]/$W$133</f>
        <v>1.5384615384615385E-2</v>
      </c>
      <c r="MS133" s="48">
        <f>+Tabela7[[#Totals],[Metrics  to assess risk-based testing activities]]/$W$133</f>
        <v>1.5384615384615385E-2</v>
      </c>
      <c r="MT133" s="48">
        <f>+Tabela7[[#Totals],[Training of DevOps activities]]/$W$133</f>
        <v>1.5384615384615385E-2</v>
      </c>
      <c r="MU133" s="28"/>
    </row>
    <row r="134" spans="1:359" x14ac:dyDescent="0.25">
      <c r="Z134" s="35"/>
    </row>
    <row r="152" spans="1:359" s="23" customFormat="1" x14ac:dyDescent="0.25">
      <c r="A152" s="22"/>
      <c r="B152" s="22"/>
      <c r="C152" s="29"/>
      <c r="F152" s="29"/>
      <c r="G152" s="29"/>
      <c r="J152" s="29"/>
      <c r="X152" s="35"/>
      <c r="Y152" s="35"/>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2"/>
      <c r="HX152" s="22"/>
      <c r="HY152" s="22"/>
      <c r="HZ152" s="22"/>
      <c r="IA152" s="22"/>
      <c r="IB152" s="22"/>
      <c r="IC152" s="22"/>
      <c r="ID152" s="22"/>
      <c r="IE152" s="22"/>
      <c r="IF152" s="22"/>
      <c r="IG152" s="22"/>
      <c r="IH152" s="22"/>
      <c r="II152" s="22"/>
      <c r="IJ152" s="22"/>
      <c r="IK152" s="22"/>
      <c r="IL152" s="22"/>
      <c r="IM152" s="22"/>
      <c r="IN152" s="22"/>
      <c r="IO152" s="22"/>
      <c r="IP152" s="22"/>
      <c r="IQ152" s="22"/>
      <c r="IR152" s="22"/>
      <c r="IS152" s="22"/>
      <c r="IT152" s="22"/>
      <c r="IU152" s="22"/>
      <c r="IV152" s="22"/>
      <c r="IW152" s="22"/>
      <c r="IX152" s="22"/>
      <c r="IY152" s="22"/>
      <c r="IZ152" s="22"/>
      <c r="JA152" s="22"/>
      <c r="JB152" s="22"/>
      <c r="JC152" s="22"/>
      <c r="JD152" s="22"/>
      <c r="JE152" s="22"/>
      <c r="JF152" s="22"/>
      <c r="JG152" s="22"/>
      <c r="JH152" s="22"/>
      <c r="JI152" s="22"/>
      <c r="JJ152" s="22"/>
      <c r="JK152" s="22"/>
      <c r="JL152" s="22"/>
      <c r="JM152" s="22"/>
      <c r="JN152" s="22"/>
      <c r="JO152" s="22"/>
      <c r="JP152" s="22"/>
      <c r="JQ152" s="22"/>
      <c r="JR152" s="22"/>
      <c r="JS152" s="22"/>
      <c r="JT152" s="22"/>
      <c r="JU152" s="22"/>
      <c r="JV152" s="22"/>
      <c r="JW152" s="22"/>
      <c r="JX152" s="22"/>
      <c r="JY152" s="22"/>
      <c r="JZ152" s="22"/>
      <c r="KA152" s="22"/>
      <c r="KB152" s="22"/>
      <c r="KC152" s="22"/>
      <c r="KD152" s="22"/>
      <c r="KE152" s="22"/>
      <c r="KF152" s="22"/>
      <c r="KG152" s="22"/>
      <c r="KH152" s="22"/>
      <c r="KI152" s="22"/>
      <c r="KJ152" s="22"/>
      <c r="KK152" s="22"/>
      <c r="KL152" s="22"/>
      <c r="KM152" s="22"/>
      <c r="KN152" s="22"/>
      <c r="KO152" s="22"/>
      <c r="KP152" s="22"/>
      <c r="KQ152" s="22"/>
      <c r="KR152" s="22"/>
      <c r="KS152" s="22"/>
      <c r="KT152" s="22"/>
      <c r="KU152" s="22"/>
      <c r="KV152" s="22"/>
      <c r="KW152" s="22"/>
      <c r="KX152" s="22"/>
      <c r="KY152" s="22"/>
      <c r="KZ152" s="22"/>
      <c r="LA152" s="22"/>
      <c r="LB152" s="22"/>
      <c r="LC152" s="22"/>
      <c r="LD152" s="22"/>
      <c r="LE152" s="22"/>
      <c r="LF152" s="22"/>
      <c r="LG152" s="22"/>
      <c r="LH152" s="22"/>
      <c r="LI152" s="22"/>
      <c r="LJ152" s="22"/>
      <c r="LK152" s="22"/>
      <c r="LL152" s="22"/>
      <c r="LM152" s="22"/>
      <c r="LN152" s="22"/>
      <c r="LO152" s="22"/>
      <c r="LP152" s="22"/>
      <c r="LQ152" s="22"/>
      <c r="LR152" s="22"/>
      <c r="LS152" s="22"/>
      <c r="LT152" s="22"/>
      <c r="LU152" s="22"/>
      <c r="LV152" s="22"/>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8"/>
    </row>
    <row r="153" spans="1:359" s="23" customFormat="1" x14ac:dyDescent="0.25">
      <c r="A153" s="22"/>
      <c r="B153" s="22"/>
      <c r="C153" s="29"/>
      <c r="F153" s="29"/>
      <c r="G153" s="29"/>
      <c r="J153" s="29"/>
      <c r="X153" s="35"/>
      <c r="Y153" s="35"/>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8"/>
    </row>
  </sheetData>
  <sheetProtection algorithmName="SHA-512" hashValue="RzA2Mqe2lLEcy9rY+0QXfUN4x+IqKSN66ntHfpruOPqdXtdhHoZbwJXNlTJmPmJX4hRmuuSghjlM3IhhACgkrw==" saltValue="3VzgRaqy3yEbE9tbvCPYBQ==" spinCount="100000" sheet="1" objects="1" scenarios="1"/>
  <mergeCells count="7">
    <mergeCell ref="AN1:AQ1"/>
    <mergeCell ref="AR1:AU1"/>
    <mergeCell ref="AV1:BH1"/>
    <mergeCell ref="AJ2:AM2"/>
    <mergeCell ref="Y3:AD3"/>
    <mergeCell ref="AE3:AI3"/>
    <mergeCell ref="AJ3:AM3"/>
  </mergeCells>
  <phoneticPr fontId="18" type="noConversion"/>
  <hyperlinks>
    <hyperlink ref="P69" r:id="rId1" xr:uid="{9ED37A4C-BE99-42EF-A522-A74C451ECD77}"/>
  </hyperlinks>
  <pageMargins left="0.511811024" right="0.511811024" top="0.78740157499999996" bottom="0.78740157499999996" header="0.31496062000000002" footer="0.31496062000000002"/>
  <pageSetup paperSize="9" orientation="portrait"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899D-5E62-401A-9B68-B041CA91A061}">
  <sheetPr>
    <tabColor rgb="FF7030A0"/>
    <outlinePr summaryBelow="0" summaryRight="0"/>
  </sheetPr>
  <dimension ref="A1:BM754"/>
  <sheetViews>
    <sheetView showGridLines="0" zoomScale="85" zoomScaleNormal="85" workbookViewId="0">
      <pane ySplit="2" topLeftCell="A3" activePane="bottomLeft" state="frozen"/>
      <selection activeCell="G196" sqref="G196"/>
      <selection pane="bottomLeft" activeCell="T1" sqref="T1"/>
    </sheetView>
  </sheetViews>
  <sheetFormatPr defaultColWidth="14.44140625" defaultRowHeight="15" customHeight="1" x14ac:dyDescent="0.25"/>
  <cols>
    <col min="1" max="1" width="14.44140625" style="237"/>
    <col min="2" max="2" width="42.88671875" style="237" customWidth="1"/>
    <col min="3" max="3" width="38.44140625" style="237" customWidth="1"/>
    <col min="4" max="5" width="14.44140625" style="237" hidden="1" customWidth="1"/>
    <col min="6" max="6" width="16.6640625" style="237" customWidth="1"/>
    <col min="7" max="8" width="14.44140625" style="237" hidden="1" customWidth="1"/>
    <col min="9" max="9" width="16.6640625" style="237" customWidth="1"/>
    <col min="10" max="12" width="14.44140625" style="237" hidden="1" customWidth="1"/>
    <col min="13" max="13" width="16.6640625" style="237" customWidth="1"/>
    <col min="14" max="16" width="14.44140625" style="237" hidden="1" customWidth="1"/>
    <col min="17" max="17" width="16.6640625" style="237" customWidth="1"/>
    <col min="18" max="18" width="28.44140625" style="237" hidden="1" customWidth="1"/>
    <col min="19" max="19" width="54.21875" style="237" hidden="1" customWidth="1"/>
    <col min="20" max="20" width="54.21875" style="237" customWidth="1"/>
    <col min="21" max="21" width="54.21875" style="237" hidden="1" customWidth="1"/>
    <col min="22" max="22" width="39.77734375" style="237" customWidth="1"/>
    <col min="23" max="25" width="16.6640625" style="237" customWidth="1"/>
    <col min="26" max="26" width="16.6640625" style="237" hidden="1" customWidth="1"/>
    <col min="27" max="28" width="16.6640625" style="237" customWidth="1"/>
    <col min="29" max="29" width="16.6640625" style="237" hidden="1" customWidth="1"/>
    <col min="30" max="64" width="16.6640625" style="237" customWidth="1"/>
    <col min="65" max="16384" width="14.44140625" style="237"/>
  </cols>
  <sheetData>
    <row r="1" spans="1:64" s="236" customFormat="1" ht="36" x14ac:dyDescent="0.3">
      <c r="A1" s="231"/>
      <c r="B1" s="232"/>
      <c r="C1" s="233"/>
      <c r="D1" s="234"/>
      <c r="E1" s="234"/>
      <c r="F1" s="267" t="s">
        <v>27077</v>
      </c>
      <c r="G1" s="235"/>
      <c r="H1" s="235"/>
      <c r="I1" s="261" t="s">
        <v>27078</v>
      </c>
      <c r="J1" s="262"/>
      <c r="K1" s="262"/>
      <c r="L1" s="262"/>
      <c r="M1" s="262"/>
      <c r="N1" s="262"/>
      <c r="O1" s="262"/>
      <c r="P1" s="262"/>
      <c r="Q1" s="263"/>
      <c r="R1" s="264"/>
      <c r="S1" s="265" t="s">
        <v>27075</v>
      </c>
      <c r="T1" s="265" t="s">
        <v>27241</v>
      </c>
      <c r="U1" s="265"/>
      <c r="V1" s="266"/>
      <c r="W1" s="232"/>
      <c r="X1" s="232" t="s">
        <v>26715</v>
      </c>
      <c r="Y1" s="232" t="s">
        <v>26716</v>
      </c>
      <c r="Z1" s="232" t="s">
        <v>26717</v>
      </c>
      <c r="AA1" s="232" t="s">
        <v>26718</v>
      </c>
      <c r="AB1" s="232" t="s">
        <v>26719</v>
      </c>
      <c r="AC1" s="232" t="s">
        <v>26720</v>
      </c>
      <c r="AD1" s="232" t="s">
        <v>26721</v>
      </c>
      <c r="AE1" s="232" t="s">
        <v>26722</v>
      </c>
      <c r="AF1" s="232" t="s">
        <v>26713</v>
      </c>
      <c r="AG1" s="232" t="s">
        <v>26714</v>
      </c>
      <c r="AH1" s="232" t="s">
        <v>27146</v>
      </c>
      <c r="AI1" s="232" t="s">
        <v>26751</v>
      </c>
      <c r="AJ1" s="232" t="s">
        <v>26724</v>
      </c>
      <c r="AK1" s="232" t="s">
        <v>26725</v>
      </c>
      <c r="AL1" s="232" t="s">
        <v>26726</v>
      </c>
      <c r="AM1" s="232" t="s">
        <v>26727</v>
      </c>
      <c r="AN1" s="232" t="s">
        <v>26728</v>
      </c>
      <c r="AO1" s="232" t="s">
        <v>26729</v>
      </c>
      <c r="AP1" s="232" t="s">
        <v>26730</v>
      </c>
      <c r="AQ1" s="232" t="s">
        <v>26731</v>
      </c>
      <c r="AR1" s="232" t="s">
        <v>26732</v>
      </c>
      <c r="AS1" s="232" t="s">
        <v>26733</v>
      </c>
      <c r="AT1" s="232" t="s">
        <v>26734</v>
      </c>
      <c r="AU1" s="232" t="s">
        <v>26735</v>
      </c>
      <c r="AV1" s="232" t="s">
        <v>26722</v>
      </c>
      <c r="AW1" s="232" t="s">
        <v>26736</v>
      </c>
      <c r="AX1" s="232" t="s">
        <v>26737</v>
      </c>
      <c r="AY1" s="232" t="s">
        <v>26738</v>
      </c>
      <c r="AZ1" s="232" t="s">
        <v>26739</v>
      </c>
      <c r="BA1" s="232" t="s">
        <v>26740</v>
      </c>
      <c r="BB1" s="232" t="s">
        <v>26741</v>
      </c>
      <c r="BC1" s="232" t="s">
        <v>26742</v>
      </c>
      <c r="BD1" s="232" t="s">
        <v>26743</v>
      </c>
      <c r="BE1" s="232" t="s">
        <v>26744</v>
      </c>
      <c r="BF1" s="232" t="s">
        <v>26745</v>
      </c>
      <c r="BG1" s="232" t="s">
        <v>26746</v>
      </c>
      <c r="BH1" s="232" t="s">
        <v>26750</v>
      </c>
      <c r="BI1" s="232" t="s">
        <v>26747</v>
      </c>
      <c r="BJ1" s="232" t="s">
        <v>26723</v>
      </c>
      <c r="BK1" s="232" t="s">
        <v>26748</v>
      </c>
      <c r="BL1" s="232" t="s">
        <v>26749</v>
      </c>
    </row>
    <row r="2" spans="1:64" s="307" customFormat="1" ht="27.6" x14ac:dyDescent="0.3">
      <c r="A2" s="268" t="s">
        <v>16735</v>
      </c>
      <c r="B2" s="269" t="s">
        <v>16736</v>
      </c>
      <c r="C2" s="270" t="s">
        <v>16737</v>
      </c>
      <c r="D2" s="271" t="s">
        <v>16738</v>
      </c>
      <c r="E2" s="272" t="s">
        <v>16739</v>
      </c>
      <c r="F2" s="303" t="s">
        <v>16740</v>
      </c>
      <c r="G2" s="304" t="s">
        <v>16741</v>
      </c>
      <c r="H2" s="304" t="s">
        <v>16742</v>
      </c>
      <c r="I2" s="305" t="s">
        <v>16744</v>
      </c>
      <c r="J2" s="304" t="s">
        <v>16745</v>
      </c>
      <c r="K2" s="304" t="s">
        <v>16746</v>
      </c>
      <c r="L2" s="304" t="s">
        <v>16747</v>
      </c>
      <c r="M2" s="305" t="s">
        <v>16743</v>
      </c>
      <c r="N2" s="304" t="s">
        <v>16748</v>
      </c>
      <c r="O2" s="304" t="s">
        <v>16749</v>
      </c>
      <c r="P2" s="304" t="s">
        <v>16750</v>
      </c>
      <c r="Q2" s="306" t="s">
        <v>16751</v>
      </c>
      <c r="R2" s="273" t="s">
        <v>16752</v>
      </c>
      <c r="S2" s="270" t="s">
        <v>27079</v>
      </c>
      <c r="T2" s="270" t="s">
        <v>27079</v>
      </c>
      <c r="U2" s="270" t="s">
        <v>27081</v>
      </c>
      <c r="V2" s="298" t="s">
        <v>27080</v>
      </c>
      <c r="W2" s="287" t="s">
        <v>27076</v>
      </c>
      <c r="X2" s="288" t="s">
        <v>10672</v>
      </c>
      <c r="Y2" s="288" t="s">
        <v>9919</v>
      </c>
      <c r="Z2" s="288" t="s">
        <v>9701</v>
      </c>
      <c r="AA2" s="288" t="s">
        <v>9236</v>
      </c>
      <c r="AB2" s="288" t="s">
        <v>3088</v>
      </c>
      <c r="AC2" s="288" t="s">
        <v>2243</v>
      </c>
      <c r="AD2" s="288" t="s">
        <v>1973</v>
      </c>
      <c r="AE2" s="288" t="s">
        <v>1771</v>
      </c>
      <c r="AF2" s="288" t="s">
        <v>17678</v>
      </c>
      <c r="AG2" s="288" t="s">
        <v>1712</v>
      </c>
      <c r="AH2" s="288" t="s">
        <v>1639</v>
      </c>
      <c r="AI2" s="288" t="s">
        <v>1632</v>
      </c>
      <c r="AJ2" s="288" t="s">
        <v>1621</v>
      </c>
      <c r="AK2" s="288" t="s">
        <v>1592</v>
      </c>
      <c r="AL2" s="288" t="s">
        <v>1582</v>
      </c>
      <c r="AM2" s="288" t="s">
        <v>1551</v>
      </c>
      <c r="AN2" s="288" t="s">
        <v>1510</v>
      </c>
      <c r="AO2" s="288" t="s">
        <v>1500</v>
      </c>
      <c r="AP2" s="288" t="s">
        <v>1489</v>
      </c>
      <c r="AQ2" s="288" t="s">
        <v>1478</v>
      </c>
      <c r="AR2" s="288" t="s">
        <v>1356</v>
      </c>
      <c r="AS2" s="288" t="s">
        <v>1326</v>
      </c>
      <c r="AT2" s="288" t="s">
        <v>1316</v>
      </c>
      <c r="AU2" s="288" t="s">
        <v>1306</v>
      </c>
      <c r="AV2" s="288" t="s">
        <v>1256</v>
      </c>
      <c r="AW2" s="288" t="s">
        <v>1246</v>
      </c>
      <c r="AX2" s="288" t="s">
        <v>1235</v>
      </c>
      <c r="AY2" s="288" t="s">
        <v>1225</v>
      </c>
      <c r="AZ2" s="288" t="s">
        <v>1173</v>
      </c>
      <c r="BA2" s="288" t="s">
        <v>1145</v>
      </c>
      <c r="BB2" s="288" t="s">
        <v>1134</v>
      </c>
      <c r="BC2" s="288" t="s">
        <v>1116</v>
      </c>
      <c r="BD2" s="288" t="s">
        <v>1058</v>
      </c>
      <c r="BE2" s="288" t="s">
        <v>1033</v>
      </c>
      <c r="BF2" s="288" t="s">
        <v>1021</v>
      </c>
      <c r="BG2" s="288" t="s">
        <v>976</v>
      </c>
      <c r="BH2" s="288" t="s">
        <v>911</v>
      </c>
      <c r="BI2" s="288" t="s">
        <v>867</v>
      </c>
      <c r="BJ2" s="288" t="s">
        <v>813</v>
      </c>
      <c r="BK2" s="288" t="s">
        <v>737</v>
      </c>
      <c r="BL2" s="288" t="s">
        <v>702</v>
      </c>
    </row>
    <row r="3" spans="1:64" ht="27" customHeight="1" x14ac:dyDescent="0.25">
      <c r="A3" s="308" t="s">
        <v>14</v>
      </c>
      <c r="B3" s="309" t="s">
        <v>347</v>
      </c>
      <c r="C3" s="238" t="s">
        <v>347</v>
      </c>
      <c r="D3" s="239">
        <v>0</v>
      </c>
      <c r="E3" s="254">
        <v>1</v>
      </c>
      <c r="F3" s="258" t="s">
        <v>16753</v>
      </c>
      <c r="G3" s="241">
        <v>0</v>
      </c>
      <c r="H3" s="241">
        <v>1</v>
      </c>
      <c r="I3" s="240" t="s">
        <v>16755</v>
      </c>
      <c r="J3" s="241">
        <v>1</v>
      </c>
      <c r="K3" s="241">
        <v>0</v>
      </c>
      <c r="L3" s="241">
        <v>0</v>
      </c>
      <c r="M3" s="240" t="s">
        <v>16754</v>
      </c>
      <c r="N3" s="241">
        <v>1</v>
      </c>
      <c r="O3" s="241">
        <v>0</v>
      </c>
      <c r="P3" s="241">
        <v>0</v>
      </c>
      <c r="Q3" s="259" t="s">
        <v>717</v>
      </c>
      <c r="R3" s="242" t="s">
        <v>16756</v>
      </c>
      <c r="S3" s="243" t="s">
        <v>16757</v>
      </c>
      <c r="T3" s="274" t="s">
        <v>27156</v>
      </c>
      <c r="U3" s="274" t="str">
        <f t="shared" ref="U3:U66" si="0">_xlfn.TEXTJOIN("|| Next refer.:",,X3:BL3)</f>
        <v>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 Next refer.:Communication.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 Next refer.:sf14|| Next refer.:Lack of effective and proper way of communication|| Next refer.:Explicit and standard communication pattern in GSD environment|| Next refer.:Khan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v>
      </c>
      <c r="V3" s="299" t="s">
        <v>26756</v>
      </c>
      <c r="W3" s="295"/>
      <c r="X3" s="289"/>
      <c r="Y3" s="289"/>
      <c r="Z3" s="289"/>
      <c r="AA3" s="289"/>
      <c r="AB3" s="289"/>
      <c r="AC3" s="289"/>
      <c r="AD3" s="289"/>
      <c r="AE3" s="289"/>
      <c r="AF3" s="289"/>
      <c r="AG3" s="289"/>
      <c r="AH3" s="289" t="s">
        <v>27148</v>
      </c>
      <c r="AI3" s="289"/>
      <c r="AJ3" s="289"/>
      <c r="AK3" s="289" t="s">
        <v>16758</v>
      </c>
      <c r="AL3" s="289"/>
      <c r="AM3" s="289"/>
      <c r="AN3" s="289"/>
      <c r="AO3" s="289"/>
      <c r="AP3" s="290"/>
      <c r="AQ3" s="289"/>
      <c r="AR3" s="289"/>
      <c r="AS3" s="289" t="s">
        <v>16759</v>
      </c>
      <c r="AT3" s="289" t="s">
        <v>16760</v>
      </c>
      <c r="AU3" s="289"/>
      <c r="AV3" s="289" t="s">
        <v>16761</v>
      </c>
      <c r="AW3" s="289"/>
      <c r="AX3" s="289"/>
      <c r="AY3" s="289"/>
      <c r="AZ3" s="291"/>
      <c r="BA3" s="291"/>
      <c r="BB3" s="289" t="s">
        <v>16762</v>
      </c>
      <c r="BC3" s="289"/>
      <c r="BD3" s="291"/>
      <c r="BE3" s="291"/>
      <c r="BF3" s="291"/>
      <c r="BG3" s="291"/>
      <c r="BH3" s="290"/>
      <c r="BI3" s="291"/>
      <c r="BJ3" s="289"/>
      <c r="BK3" s="289"/>
      <c r="BL3" s="289"/>
    </row>
    <row r="4" spans="1:64" ht="27" customHeight="1" x14ac:dyDescent="0.25">
      <c r="A4" s="310" t="s">
        <v>15</v>
      </c>
      <c r="B4" s="311" t="s">
        <v>16763</v>
      </c>
      <c r="C4" s="238" t="s">
        <v>348</v>
      </c>
      <c r="D4" s="239">
        <v>1</v>
      </c>
      <c r="E4" s="254">
        <v>0</v>
      </c>
      <c r="F4" s="258" t="s">
        <v>16764</v>
      </c>
      <c r="G4" s="241">
        <v>1</v>
      </c>
      <c r="H4" s="241">
        <v>0</v>
      </c>
      <c r="I4" s="240" t="s">
        <v>16765</v>
      </c>
      <c r="J4" s="241">
        <v>1</v>
      </c>
      <c r="K4" s="241">
        <v>0</v>
      </c>
      <c r="L4" s="241">
        <v>0</v>
      </c>
      <c r="M4" s="240" t="s">
        <v>16754</v>
      </c>
      <c r="N4" s="241">
        <v>0</v>
      </c>
      <c r="O4" s="241">
        <v>0</v>
      </c>
      <c r="P4" s="241">
        <v>1</v>
      </c>
      <c r="Q4" s="259" t="s">
        <v>16766</v>
      </c>
      <c r="R4" s="242" t="s">
        <v>16767</v>
      </c>
      <c r="S4" s="244" t="s">
        <v>16768</v>
      </c>
      <c r="T4" s="275" t="s">
        <v>27157</v>
      </c>
      <c r="U4" s="275" t="str">
        <f t="shared" si="0"/>
        <v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 Next refer.:LANGUAGE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 Next refer.:Language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 Next refer.:English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 Next refer.:Knowledge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v>
      </c>
      <c r="V4" s="300" t="s">
        <v>26757</v>
      </c>
      <c r="W4" s="295"/>
      <c r="X4" s="289"/>
      <c r="Y4" s="289"/>
      <c r="Z4" s="289"/>
      <c r="AA4" s="289"/>
      <c r="AB4" s="289"/>
      <c r="AC4" s="289"/>
      <c r="AD4" s="289"/>
      <c r="AE4" s="289"/>
      <c r="AF4" s="289"/>
      <c r="AG4" s="289"/>
      <c r="AH4" s="289" t="s">
        <v>27149</v>
      </c>
      <c r="AI4" s="289"/>
      <c r="AJ4" s="289"/>
      <c r="AK4" s="289"/>
      <c r="AL4" s="289"/>
      <c r="AM4" s="289"/>
      <c r="AN4" s="289"/>
      <c r="AO4" s="289"/>
      <c r="AP4" s="289" t="s">
        <v>16769</v>
      </c>
      <c r="AQ4" s="289"/>
      <c r="AR4" s="289"/>
      <c r="AS4" s="289"/>
      <c r="AT4" s="289"/>
      <c r="AU4" s="289"/>
      <c r="AV4" s="289"/>
      <c r="AW4" s="289"/>
      <c r="AX4" s="289"/>
      <c r="AY4" s="289"/>
      <c r="AZ4" s="291"/>
      <c r="BA4" s="291"/>
      <c r="BB4" s="289"/>
      <c r="BC4" s="289"/>
      <c r="BD4" s="291"/>
      <c r="BE4" s="291"/>
      <c r="BF4" s="289" t="s">
        <v>16770</v>
      </c>
      <c r="BG4" s="291"/>
      <c r="BH4" s="289" t="s">
        <v>16772</v>
      </c>
      <c r="BI4" s="291"/>
      <c r="BJ4" s="289"/>
      <c r="BK4" s="289" t="s">
        <v>16771</v>
      </c>
      <c r="BL4" s="289"/>
    </row>
    <row r="5" spans="1:64" ht="27" customHeight="1" x14ac:dyDescent="0.25">
      <c r="A5" s="310" t="s">
        <v>16</v>
      </c>
      <c r="B5" s="311" t="s">
        <v>16773</v>
      </c>
      <c r="C5" s="238" t="s">
        <v>349</v>
      </c>
      <c r="D5" s="239">
        <v>1</v>
      </c>
      <c r="E5" s="254">
        <v>0</v>
      </c>
      <c r="F5" s="258" t="s">
        <v>16764</v>
      </c>
      <c r="G5" s="241">
        <v>1</v>
      </c>
      <c r="H5" s="241">
        <v>0</v>
      </c>
      <c r="I5" s="240" t="s">
        <v>16765</v>
      </c>
      <c r="J5" s="241">
        <v>0</v>
      </c>
      <c r="K5" s="241">
        <v>1</v>
      </c>
      <c r="L5" s="241">
        <v>0</v>
      </c>
      <c r="M5" s="240" t="s">
        <v>16774</v>
      </c>
      <c r="N5" s="241">
        <v>0</v>
      </c>
      <c r="O5" s="241">
        <v>0</v>
      </c>
      <c r="P5" s="241">
        <v>1</v>
      </c>
      <c r="Q5" s="259" t="s">
        <v>16766</v>
      </c>
      <c r="R5" s="242" t="s">
        <v>16775</v>
      </c>
      <c r="S5" s="244" t="s">
        <v>16776</v>
      </c>
      <c r="T5" s="275" t="s">
        <v>27158</v>
      </c>
      <c r="U5" s="275" t="str">
        <f t="shared" si="0"/>
        <v>Appoiting cultural liaisons or proxies (individuals who are familiar with the culture of client and vendor)|| Next refer.:Face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 Next refer.:Cultural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 Next refer.:Hofstede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 Next refer.:CULTURAL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 Next refer.:Inter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 Next refer.:Culture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 Next refer.:An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 Next refer.:National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 Next refer.:Cultural dispersion is the difference in a team member’s language, cultural background and national context Difference in national and cultural background and customs, religion, politics, language</v>
      </c>
      <c r="V5" s="300" t="s">
        <v>26758</v>
      </c>
      <c r="W5" s="295"/>
      <c r="X5" s="289"/>
      <c r="Y5" s="289" t="s">
        <v>17384</v>
      </c>
      <c r="Z5" s="289"/>
      <c r="AA5" s="289"/>
      <c r="AB5" s="289"/>
      <c r="AC5" s="289"/>
      <c r="AD5" s="289"/>
      <c r="AE5" s="289"/>
      <c r="AF5" s="289"/>
      <c r="AG5" s="289"/>
      <c r="AH5" s="289" t="s">
        <v>27150</v>
      </c>
      <c r="AI5" s="289"/>
      <c r="AJ5" s="289"/>
      <c r="AK5" s="289" t="s">
        <v>27083</v>
      </c>
      <c r="AL5" s="289"/>
      <c r="AM5" s="289" t="s">
        <v>27082</v>
      </c>
      <c r="AN5" s="289"/>
      <c r="AO5" s="289"/>
      <c r="AP5" s="289" t="s">
        <v>16777</v>
      </c>
      <c r="AQ5" s="289"/>
      <c r="AR5" s="289"/>
      <c r="AS5" s="289"/>
      <c r="AT5" s="289"/>
      <c r="AU5" s="289"/>
      <c r="AV5" s="289"/>
      <c r="AW5" s="289"/>
      <c r="AX5" s="289"/>
      <c r="AY5" s="289"/>
      <c r="AZ5" s="289" t="s">
        <v>16778</v>
      </c>
      <c r="BA5" s="291"/>
      <c r="BB5" s="289"/>
      <c r="BC5" s="289"/>
      <c r="BD5" s="291"/>
      <c r="BE5" s="291"/>
      <c r="BF5" s="289" t="s">
        <v>16779</v>
      </c>
      <c r="BG5" s="291"/>
      <c r="BH5" s="289" t="s">
        <v>16782</v>
      </c>
      <c r="BI5" s="291"/>
      <c r="BJ5" s="289"/>
      <c r="BK5" s="289" t="s">
        <v>16780</v>
      </c>
      <c r="BL5" s="289" t="s">
        <v>16781</v>
      </c>
    </row>
    <row r="6" spans="1:64" ht="27" customHeight="1" x14ac:dyDescent="0.25">
      <c r="A6" s="310" t="s">
        <v>17</v>
      </c>
      <c r="B6" s="311" t="s">
        <v>16783</v>
      </c>
      <c r="C6" s="238" t="s">
        <v>350</v>
      </c>
      <c r="D6" s="239">
        <v>1</v>
      </c>
      <c r="E6" s="254">
        <v>0</v>
      </c>
      <c r="F6" s="258" t="s">
        <v>16764</v>
      </c>
      <c r="G6" s="241">
        <v>1</v>
      </c>
      <c r="H6" s="241">
        <v>0</v>
      </c>
      <c r="I6" s="240" t="s">
        <v>16765</v>
      </c>
      <c r="J6" s="241">
        <v>0</v>
      </c>
      <c r="K6" s="241">
        <v>1</v>
      </c>
      <c r="L6" s="241">
        <v>0</v>
      </c>
      <c r="M6" s="240" t="s">
        <v>16774</v>
      </c>
      <c r="N6" s="241">
        <v>0</v>
      </c>
      <c r="O6" s="241">
        <v>0</v>
      </c>
      <c r="P6" s="241">
        <v>1</v>
      </c>
      <c r="Q6" s="259" t="s">
        <v>16766</v>
      </c>
      <c r="R6" s="242" t="s">
        <v>16775</v>
      </c>
      <c r="S6" s="244" t="s">
        <v>16784</v>
      </c>
      <c r="T6" s="275" t="s">
        <v>27159</v>
      </c>
      <c r="U6" s="275" t="str">
        <f t="shared" si="0"/>
        <v>Establising proximity development center in the region having no or a little time zone difference from the region of client.|| Next refer.:Time-zone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 Next refer.:It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 Next refer.:SF2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 Next refer.:The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 Next refer.:Temporal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 Next refer.:Temporal dispersion occurs when there is a difference in working times among distributed teams members There are difference in working time among distributed team members</v>
      </c>
      <c r="V6" s="300" t="s">
        <v>26759</v>
      </c>
      <c r="W6" s="295"/>
      <c r="X6" s="289"/>
      <c r="Y6" s="289" t="s">
        <v>17385</v>
      </c>
      <c r="Z6" s="289"/>
      <c r="AA6" s="289"/>
      <c r="AB6" s="289"/>
      <c r="AC6" s="289"/>
      <c r="AD6" s="289"/>
      <c r="AE6" s="289"/>
      <c r="AF6" s="289"/>
      <c r="AG6" s="289"/>
      <c r="AH6" s="289"/>
      <c r="AI6" s="289"/>
      <c r="AJ6" s="289"/>
      <c r="AK6" s="289" t="s">
        <v>16785</v>
      </c>
      <c r="AL6" s="289"/>
      <c r="AM6" s="289"/>
      <c r="AN6" s="289"/>
      <c r="AO6" s="289"/>
      <c r="AP6" s="289" t="s">
        <v>16786</v>
      </c>
      <c r="AQ6" s="289"/>
      <c r="AR6" s="289"/>
      <c r="AS6" s="289" t="s">
        <v>16787</v>
      </c>
      <c r="AT6" s="289"/>
      <c r="AU6" s="289"/>
      <c r="AV6" s="289"/>
      <c r="AW6" s="289"/>
      <c r="AX6" s="289"/>
      <c r="AY6" s="289"/>
      <c r="AZ6" s="291"/>
      <c r="BA6" s="291"/>
      <c r="BB6" s="289"/>
      <c r="BC6" s="289"/>
      <c r="BD6" s="291"/>
      <c r="BE6" s="291"/>
      <c r="BF6" s="289" t="s">
        <v>16788</v>
      </c>
      <c r="BG6" s="291"/>
      <c r="BH6" s="289" t="s">
        <v>16791</v>
      </c>
      <c r="BI6" s="291"/>
      <c r="BJ6" s="289"/>
      <c r="BK6" s="289" t="s">
        <v>16789</v>
      </c>
      <c r="BL6" s="289" t="s">
        <v>16790</v>
      </c>
    </row>
    <row r="7" spans="1:64" ht="27" customHeight="1" x14ac:dyDescent="0.25">
      <c r="A7" s="310" t="s">
        <v>18</v>
      </c>
      <c r="B7" s="311" t="s">
        <v>16792</v>
      </c>
      <c r="C7" s="238" t="s">
        <v>351</v>
      </c>
      <c r="D7" s="239">
        <v>0</v>
      </c>
      <c r="E7" s="254">
        <v>1</v>
      </c>
      <c r="F7" s="258" t="s">
        <v>16753</v>
      </c>
      <c r="G7" s="241">
        <v>0</v>
      </c>
      <c r="H7" s="241">
        <v>1</v>
      </c>
      <c r="I7" s="240" t="s">
        <v>16755</v>
      </c>
      <c r="J7" s="241">
        <v>1</v>
      </c>
      <c r="K7" s="241">
        <v>0</v>
      </c>
      <c r="L7" s="241">
        <v>0</v>
      </c>
      <c r="M7" s="240" t="s">
        <v>16754</v>
      </c>
      <c r="N7" s="241">
        <v>0</v>
      </c>
      <c r="O7" s="241">
        <v>0</v>
      </c>
      <c r="P7" s="241">
        <v>1</v>
      </c>
      <c r="Q7" s="259" t="s">
        <v>16766</v>
      </c>
      <c r="R7" s="242" t="s">
        <v>16756</v>
      </c>
      <c r="S7" s="244" t="s">
        <v>16793</v>
      </c>
      <c r="T7" s="275" t="s">
        <v>16794</v>
      </c>
      <c r="U7" s="275" t="str">
        <f t="shared" si="0"/>
        <v>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v>
      </c>
      <c r="V7" s="300" t="s">
        <v>26760</v>
      </c>
      <c r="W7" s="295"/>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91"/>
      <c r="BA7" s="291"/>
      <c r="BB7" s="289"/>
      <c r="BC7" s="289"/>
      <c r="BD7" s="291"/>
      <c r="BE7" s="291"/>
      <c r="BF7" s="291"/>
      <c r="BG7" s="291"/>
      <c r="BH7" s="289" t="s">
        <v>16794</v>
      </c>
      <c r="BI7" s="291"/>
      <c r="BJ7" s="289"/>
      <c r="BK7" s="289"/>
      <c r="BL7" s="289"/>
    </row>
    <row r="8" spans="1:64" ht="27" customHeight="1" x14ac:dyDescent="0.25">
      <c r="A8" s="310" t="s">
        <v>19</v>
      </c>
      <c r="B8" s="311" t="s">
        <v>16795</v>
      </c>
      <c r="C8" s="238" t="s">
        <v>352</v>
      </c>
      <c r="D8" s="239">
        <v>0</v>
      </c>
      <c r="E8" s="254">
        <v>1</v>
      </c>
      <c r="F8" s="258" t="s">
        <v>16753</v>
      </c>
      <c r="G8" s="241">
        <v>0</v>
      </c>
      <c r="H8" s="241">
        <v>1</v>
      </c>
      <c r="I8" s="240" t="s">
        <v>16755</v>
      </c>
      <c r="J8" s="241">
        <v>1</v>
      </c>
      <c r="K8" s="241">
        <v>0</v>
      </c>
      <c r="L8" s="241">
        <v>0</v>
      </c>
      <c r="M8" s="240" t="s">
        <v>16754</v>
      </c>
      <c r="N8" s="241">
        <v>1</v>
      </c>
      <c r="O8" s="241">
        <v>0</v>
      </c>
      <c r="P8" s="241">
        <v>0</v>
      </c>
      <c r="Q8" s="259" t="s">
        <v>717</v>
      </c>
      <c r="R8" s="242" t="s">
        <v>16756</v>
      </c>
      <c r="S8" s="244" t="s">
        <v>16796</v>
      </c>
      <c r="T8" s="275" t="s">
        <v>27160</v>
      </c>
      <c r="U8" s="275" t="str">
        <f t="shared" si="0"/>
        <v>Motivating the practitioners|| Next refer.:sf25|| Next refer.:A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v>
      </c>
      <c r="V8" s="300" t="s">
        <v>26761</v>
      </c>
      <c r="W8" s="295"/>
      <c r="X8" s="289"/>
      <c r="Y8" s="289"/>
      <c r="Z8" s="289"/>
      <c r="AA8" s="289"/>
      <c r="AB8" s="289"/>
      <c r="AC8" s="289"/>
      <c r="AD8" s="289"/>
      <c r="AE8" s="289"/>
      <c r="AF8" s="289"/>
      <c r="AG8" s="289"/>
      <c r="AH8" s="289"/>
      <c r="AI8" s="289"/>
      <c r="AJ8" s="289"/>
      <c r="AK8" s="289"/>
      <c r="AL8" s="289" t="s">
        <v>16797</v>
      </c>
      <c r="AM8" s="289"/>
      <c r="AN8" s="289"/>
      <c r="AO8" s="289"/>
      <c r="AP8" s="289"/>
      <c r="AQ8" s="289"/>
      <c r="AR8" s="289"/>
      <c r="AS8" s="289" t="s">
        <v>16798</v>
      </c>
      <c r="AT8" s="289"/>
      <c r="AU8" s="289"/>
      <c r="AV8" s="289"/>
      <c r="AW8" s="289"/>
      <c r="AX8" s="289"/>
      <c r="AY8" s="289"/>
      <c r="AZ8" s="291"/>
      <c r="BA8" s="291"/>
      <c r="BB8" s="289"/>
      <c r="BC8" s="289"/>
      <c r="BD8" s="291"/>
      <c r="BE8" s="291"/>
      <c r="BF8" s="291"/>
      <c r="BG8" s="291"/>
      <c r="BH8" s="289" t="s">
        <v>16799</v>
      </c>
      <c r="BI8" s="291"/>
      <c r="BJ8" s="289"/>
      <c r="BK8" s="289"/>
      <c r="BL8" s="289"/>
    </row>
    <row r="9" spans="1:64" ht="27" customHeight="1" x14ac:dyDescent="0.25">
      <c r="A9" s="310" t="s">
        <v>20</v>
      </c>
      <c r="B9" s="311" t="s">
        <v>16800</v>
      </c>
      <c r="C9" s="238" t="s">
        <v>353</v>
      </c>
      <c r="D9" s="239">
        <v>0</v>
      </c>
      <c r="E9" s="254">
        <v>1</v>
      </c>
      <c r="F9" s="258" t="s">
        <v>16753</v>
      </c>
      <c r="G9" s="241">
        <v>0</v>
      </c>
      <c r="H9" s="241">
        <v>1</v>
      </c>
      <c r="I9" s="240" t="s">
        <v>16755</v>
      </c>
      <c r="J9" s="241">
        <v>1</v>
      </c>
      <c r="K9" s="241">
        <v>0</v>
      </c>
      <c r="L9" s="241">
        <v>0</v>
      </c>
      <c r="M9" s="240" t="s">
        <v>16754</v>
      </c>
      <c r="N9" s="241">
        <v>1</v>
      </c>
      <c r="O9" s="241">
        <v>0</v>
      </c>
      <c r="P9" s="241">
        <v>0</v>
      </c>
      <c r="Q9" s="259" t="s">
        <v>717</v>
      </c>
      <c r="R9" s="242" t="s">
        <v>16756</v>
      </c>
      <c r="S9" s="244" t="s">
        <v>16801</v>
      </c>
      <c r="T9" s="275" t="s">
        <v>27161</v>
      </c>
      <c r="U9" s="275" t="str">
        <f t="shared" si="0"/>
        <v>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 Next refer.:Trust.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 Next refer.:Trust building|| Next refer.:Personal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 Next refer.:Trust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 Next refer.:Trust relationship among teams|| Next refer.:Damian89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 Next refer.:Similarly,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 Next refer.:A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 Next refer.:Trust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 Next refer.:Trust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v>
      </c>
      <c r="V9" s="300" t="s">
        <v>26762</v>
      </c>
      <c r="W9" s="295"/>
      <c r="X9" s="289"/>
      <c r="Y9" s="289"/>
      <c r="Z9" s="289"/>
      <c r="AA9" s="289"/>
      <c r="AB9" s="289"/>
      <c r="AC9" s="289"/>
      <c r="AD9" s="289"/>
      <c r="AE9" s="289"/>
      <c r="AF9" s="289"/>
      <c r="AG9" s="289"/>
      <c r="AH9" s="289" t="s">
        <v>27151</v>
      </c>
      <c r="AI9" s="289"/>
      <c r="AJ9" s="289"/>
      <c r="AK9" s="289" t="s">
        <v>16802</v>
      </c>
      <c r="AL9" s="289" t="s">
        <v>353</v>
      </c>
      <c r="AM9" s="289"/>
      <c r="AN9" s="289"/>
      <c r="AO9" s="289" t="s">
        <v>16803</v>
      </c>
      <c r="AP9" s="289" t="s">
        <v>16804</v>
      </c>
      <c r="AQ9" s="289"/>
      <c r="AR9" s="289"/>
      <c r="AS9" s="289"/>
      <c r="AT9" s="289"/>
      <c r="AU9" s="289"/>
      <c r="AV9" s="289" t="s">
        <v>16805</v>
      </c>
      <c r="AW9" s="289"/>
      <c r="AX9" s="289"/>
      <c r="AY9" s="289" t="s">
        <v>16806</v>
      </c>
      <c r="AZ9" s="291"/>
      <c r="BA9" s="291"/>
      <c r="BB9" s="289" t="s">
        <v>16807</v>
      </c>
      <c r="BC9" s="289"/>
      <c r="BD9" s="291"/>
      <c r="BE9" s="291"/>
      <c r="BF9" s="291"/>
      <c r="BG9" s="291"/>
      <c r="BH9" s="289" t="s">
        <v>16810</v>
      </c>
      <c r="BI9" s="289" t="s">
        <v>16808</v>
      </c>
      <c r="BJ9" s="289"/>
      <c r="BK9" s="289" t="s">
        <v>16809</v>
      </c>
      <c r="BL9" s="289"/>
    </row>
    <row r="10" spans="1:64" ht="27" customHeight="1" x14ac:dyDescent="0.25">
      <c r="A10" s="310" t="s">
        <v>21</v>
      </c>
      <c r="B10" s="311" t="s">
        <v>16811</v>
      </c>
      <c r="C10" s="238" t="s">
        <v>354</v>
      </c>
      <c r="D10" s="239">
        <v>0</v>
      </c>
      <c r="E10" s="254">
        <v>1</v>
      </c>
      <c r="F10" s="258" t="s">
        <v>16753</v>
      </c>
      <c r="G10" s="241">
        <v>0</v>
      </c>
      <c r="H10" s="241">
        <v>1</v>
      </c>
      <c r="I10" s="240" t="s">
        <v>16755</v>
      </c>
      <c r="J10" s="241">
        <v>1</v>
      </c>
      <c r="K10" s="241">
        <v>0</v>
      </c>
      <c r="L10" s="241">
        <v>0</v>
      </c>
      <c r="M10" s="240" t="s">
        <v>16754</v>
      </c>
      <c r="N10" s="241">
        <v>1</v>
      </c>
      <c r="O10" s="241">
        <v>0</v>
      </c>
      <c r="P10" s="241">
        <v>0</v>
      </c>
      <c r="Q10" s="259" t="s">
        <v>717</v>
      </c>
      <c r="R10" s="242" t="s">
        <v>16775</v>
      </c>
      <c r="S10" s="244" t="s">
        <v>16812</v>
      </c>
      <c r="T10" s="275" t="s">
        <v>27162</v>
      </c>
      <c r="U10" s="275" t="str">
        <f t="shared" si="0"/>
        <v>Collaboration among distributed teams|| Next refer.:Teamwork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 Next refer.:Client reluctant to share information</v>
      </c>
      <c r="V10" s="300" t="s">
        <v>26763</v>
      </c>
      <c r="W10" s="295"/>
      <c r="X10" s="289"/>
      <c r="Y10" s="289"/>
      <c r="Z10" s="289"/>
      <c r="AA10" s="289"/>
      <c r="AB10" s="289"/>
      <c r="AC10" s="289"/>
      <c r="AD10" s="289"/>
      <c r="AE10" s="289"/>
      <c r="AF10" s="289"/>
      <c r="AG10" s="289"/>
      <c r="AH10" s="289"/>
      <c r="AI10" s="289"/>
      <c r="AJ10" s="289"/>
      <c r="AK10" s="289"/>
      <c r="AL10" s="289" t="s">
        <v>16813</v>
      </c>
      <c r="AM10" s="289"/>
      <c r="AN10" s="289"/>
      <c r="AO10" s="289"/>
      <c r="AP10" s="289"/>
      <c r="AQ10" s="289"/>
      <c r="AR10" s="289"/>
      <c r="AS10" s="289"/>
      <c r="AT10" s="289"/>
      <c r="AU10" s="289"/>
      <c r="AV10" s="289"/>
      <c r="AW10" s="289"/>
      <c r="AX10" s="289"/>
      <c r="AY10" s="290"/>
      <c r="AZ10" s="291"/>
      <c r="BA10" s="291"/>
      <c r="BB10" s="289"/>
      <c r="BC10" s="289"/>
      <c r="BD10" s="291"/>
      <c r="BE10" s="291"/>
      <c r="BF10" s="291"/>
      <c r="BG10" s="291"/>
      <c r="BH10" s="289" t="s">
        <v>16815</v>
      </c>
      <c r="BI10" s="291"/>
      <c r="BJ10" s="289"/>
      <c r="BK10" s="289" t="s">
        <v>16814</v>
      </c>
      <c r="BL10" s="289"/>
    </row>
    <row r="11" spans="1:64" ht="27" customHeight="1" x14ac:dyDescent="0.25">
      <c r="A11" s="310" t="s">
        <v>22</v>
      </c>
      <c r="B11" s="311" t="s">
        <v>16816</v>
      </c>
      <c r="C11" s="238" t="s">
        <v>355</v>
      </c>
      <c r="D11" s="239">
        <v>1</v>
      </c>
      <c r="E11" s="254">
        <v>0</v>
      </c>
      <c r="F11" s="258" t="s">
        <v>16764</v>
      </c>
      <c r="G11" s="241">
        <v>1</v>
      </c>
      <c r="H11" s="241">
        <v>0</v>
      </c>
      <c r="I11" s="240" t="s">
        <v>16765</v>
      </c>
      <c r="J11" s="241">
        <v>0</v>
      </c>
      <c r="K11" s="241">
        <v>1</v>
      </c>
      <c r="L11" s="241">
        <v>0</v>
      </c>
      <c r="M11" s="240" t="s">
        <v>16774</v>
      </c>
      <c r="N11" s="241">
        <v>1</v>
      </c>
      <c r="O11" s="241">
        <v>0</v>
      </c>
      <c r="P11" s="241">
        <v>0</v>
      </c>
      <c r="Q11" s="259" t="s">
        <v>717</v>
      </c>
      <c r="R11" s="242" t="s">
        <v>16756</v>
      </c>
      <c r="S11" s="244" t="s">
        <v>16817</v>
      </c>
      <c r="T11" s="275" t="s">
        <v>27163</v>
      </c>
      <c r="U11" s="275" t="str">
        <f t="shared" si="0"/>
        <v>“Effort,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 Next refer.:It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 Next refer.:In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v>
      </c>
      <c r="V11" s="300" t="s">
        <v>26764</v>
      </c>
      <c r="W11" s="295"/>
      <c r="X11" s="289"/>
      <c r="Y11" s="289"/>
      <c r="Z11" s="289"/>
      <c r="AA11" s="289"/>
      <c r="AB11" s="289"/>
      <c r="AC11" s="289"/>
      <c r="AD11" s="289"/>
      <c r="AE11" s="289"/>
      <c r="AF11" s="289"/>
      <c r="AG11" s="289"/>
      <c r="AH11" s="289"/>
      <c r="AI11" s="289"/>
      <c r="AJ11" s="289"/>
      <c r="AK11" s="289"/>
      <c r="AL11" s="289"/>
      <c r="AM11" s="289"/>
      <c r="AN11" s="289"/>
      <c r="AO11" s="289"/>
      <c r="AP11" s="289"/>
      <c r="AQ11" s="289"/>
      <c r="AR11" s="289"/>
      <c r="AS11" s="289"/>
      <c r="AT11" s="289"/>
      <c r="AU11" s="289"/>
      <c r="AV11" s="289"/>
      <c r="AW11" s="289"/>
      <c r="AX11" s="289"/>
      <c r="AY11" s="289" t="s">
        <v>16818</v>
      </c>
      <c r="AZ11" s="291"/>
      <c r="BA11" s="291"/>
      <c r="BB11" s="289"/>
      <c r="BC11" s="289"/>
      <c r="BD11" s="291"/>
      <c r="BE11" s="291"/>
      <c r="BF11" s="291"/>
      <c r="BG11" s="291"/>
      <c r="BH11" s="289" t="s">
        <v>16820</v>
      </c>
      <c r="BI11" s="291"/>
      <c r="BJ11" s="289"/>
      <c r="BK11" s="289" t="s">
        <v>16819</v>
      </c>
      <c r="BL11" s="289"/>
    </row>
    <row r="12" spans="1:64" ht="27" customHeight="1" x14ac:dyDescent="0.25">
      <c r="A12" s="310" t="s">
        <v>23</v>
      </c>
      <c r="B12" s="311" t="s">
        <v>16821</v>
      </c>
      <c r="C12" s="238" t="s">
        <v>356</v>
      </c>
      <c r="D12" s="239">
        <v>0</v>
      </c>
      <c r="E12" s="254">
        <v>1</v>
      </c>
      <c r="F12" s="258" t="s">
        <v>16753</v>
      </c>
      <c r="G12" s="241">
        <v>0</v>
      </c>
      <c r="H12" s="241">
        <v>1</v>
      </c>
      <c r="I12" s="240" t="s">
        <v>16755</v>
      </c>
      <c r="J12" s="241">
        <v>1</v>
      </c>
      <c r="K12" s="241">
        <v>0</v>
      </c>
      <c r="L12" s="241">
        <v>0</v>
      </c>
      <c r="M12" s="240" t="s">
        <v>16754</v>
      </c>
      <c r="N12" s="241">
        <v>1</v>
      </c>
      <c r="O12" s="241">
        <v>0</v>
      </c>
      <c r="P12" s="241">
        <v>0</v>
      </c>
      <c r="Q12" s="259" t="s">
        <v>717</v>
      </c>
      <c r="R12" s="242" t="s">
        <v>16756</v>
      </c>
      <c r="S12" s="244" t="s">
        <v>16822</v>
      </c>
      <c r="T12" s="275" t="s">
        <v>27164</v>
      </c>
      <c r="U12" s="275" t="str">
        <f t="shared" si="0"/>
        <v>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 Next refer.:The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 Next refer.:As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 Next refer.:To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v>
      </c>
      <c r="V12" s="300" t="s">
        <v>26765</v>
      </c>
      <c r="W12" s="295"/>
      <c r="X12" s="289"/>
      <c r="Y12" s="289"/>
      <c r="Z12" s="289"/>
      <c r="AA12" s="289"/>
      <c r="AB12" s="289"/>
      <c r="AC12" s="289"/>
      <c r="AD12" s="289"/>
      <c r="AE12" s="289"/>
      <c r="AF12" s="289"/>
      <c r="AG12" s="289"/>
      <c r="AH12" s="289" t="s">
        <v>27152</v>
      </c>
      <c r="AI12" s="289"/>
      <c r="AJ12" s="289"/>
      <c r="AK12" s="289"/>
      <c r="AL12" s="289"/>
      <c r="AM12" s="289"/>
      <c r="AN12" s="289"/>
      <c r="AO12" s="289"/>
      <c r="AP12" s="289"/>
      <c r="AQ12" s="289"/>
      <c r="AR12" s="289"/>
      <c r="AS12" s="289"/>
      <c r="AT12" s="289"/>
      <c r="AU12" s="289"/>
      <c r="AV12" s="289"/>
      <c r="AW12" s="289"/>
      <c r="AX12" s="289"/>
      <c r="AY12" s="289" t="s">
        <v>16823</v>
      </c>
      <c r="AZ12" s="291"/>
      <c r="BA12" s="291"/>
      <c r="BB12" s="289"/>
      <c r="BC12" s="289"/>
      <c r="BD12" s="291"/>
      <c r="BE12" s="291"/>
      <c r="BF12" s="291"/>
      <c r="BG12" s="289" t="s">
        <v>16824</v>
      </c>
      <c r="BH12" s="289" t="s">
        <v>16825</v>
      </c>
      <c r="BI12" s="291"/>
      <c r="BJ12" s="289"/>
      <c r="BK12" s="289"/>
      <c r="BL12" s="289"/>
    </row>
    <row r="13" spans="1:64" ht="27" customHeight="1" x14ac:dyDescent="0.25">
      <c r="A13" s="310" t="s">
        <v>24</v>
      </c>
      <c r="B13" s="311" t="s">
        <v>16826</v>
      </c>
      <c r="C13" s="238" t="s">
        <v>357</v>
      </c>
      <c r="D13" s="239">
        <v>0</v>
      </c>
      <c r="E13" s="254">
        <v>1</v>
      </c>
      <c r="F13" s="258" t="s">
        <v>16753</v>
      </c>
      <c r="G13" s="241">
        <v>0</v>
      </c>
      <c r="H13" s="241">
        <v>1</v>
      </c>
      <c r="I13" s="240" t="s">
        <v>16755</v>
      </c>
      <c r="J13" s="241">
        <v>1</v>
      </c>
      <c r="K13" s="241">
        <v>0</v>
      </c>
      <c r="L13" s="241">
        <v>0</v>
      </c>
      <c r="M13" s="240" t="s">
        <v>16754</v>
      </c>
      <c r="N13" s="241">
        <v>0</v>
      </c>
      <c r="O13" s="241">
        <v>1</v>
      </c>
      <c r="P13" s="241">
        <v>0</v>
      </c>
      <c r="Q13" s="259" t="s">
        <v>16827</v>
      </c>
      <c r="R13" s="242" t="s">
        <v>16775</v>
      </c>
      <c r="S13" s="244" t="s">
        <v>16828</v>
      </c>
      <c r="T13" s="275" t="s">
        <v>27165</v>
      </c>
      <c r="U13" s="275" t="str">
        <f t="shared" si="0"/>
        <v>Management overhead|| Next refer.:Similarly,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 Next refer.:The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v>
      </c>
      <c r="V13" s="300" t="s">
        <v>26766</v>
      </c>
      <c r="W13" s="295"/>
      <c r="X13" s="289"/>
      <c r="Y13" s="289"/>
      <c r="Z13" s="289" t="s">
        <v>27084</v>
      </c>
      <c r="AA13" s="289"/>
      <c r="AB13" s="289"/>
      <c r="AC13" s="289"/>
      <c r="AD13" s="289"/>
      <c r="AE13" s="289"/>
      <c r="AF13" s="289"/>
      <c r="AG13" s="289"/>
      <c r="AH13" s="289"/>
      <c r="AI13" s="289"/>
      <c r="AJ13" s="289"/>
      <c r="AK13" s="289"/>
      <c r="AL13" s="289"/>
      <c r="AM13" s="289"/>
      <c r="AN13" s="289"/>
      <c r="AO13" s="289"/>
      <c r="AP13" s="289"/>
      <c r="AQ13" s="289"/>
      <c r="AR13" s="289"/>
      <c r="AS13" s="289"/>
      <c r="AT13" s="289"/>
      <c r="AU13" s="289"/>
      <c r="AV13" s="289"/>
      <c r="AW13" s="289"/>
      <c r="AX13" s="289"/>
      <c r="AY13" s="289" t="s">
        <v>16829</v>
      </c>
      <c r="AZ13" s="291"/>
      <c r="BA13" s="291"/>
      <c r="BB13" s="289"/>
      <c r="BC13" s="289"/>
      <c r="BD13" s="291"/>
      <c r="BE13" s="291"/>
      <c r="BF13" s="291"/>
      <c r="BG13" s="291"/>
      <c r="BH13" s="289" t="s">
        <v>16830</v>
      </c>
      <c r="BI13" s="291"/>
      <c r="BJ13" s="289"/>
      <c r="BK13" s="289"/>
      <c r="BL13" s="289"/>
    </row>
    <row r="14" spans="1:64" ht="27" customHeight="1" x14ac:dyDescent="0.25">
      <c r="A14" s="310" t="s">
        <v>25</v>
      </c>
      <c r="B14" s="311" t="s">
        <v>16831</v>
      </c>
      <c r="C14" s="238" t="s">
        <v>358</v>
      </c>
      <c r="D14" s="239">
        <v>1</v>
      </c>
      <c r="E14" s="254">
        <v>0</v>
      </c>
      <c r="F14" s="258" t="s">
        <v>16764</v>
      </c>
      <c r="G14" s="241">
        <v>1</v>
      </c>
      <c r="H14" s="241">
        <v>0</v>
      </c>
      <c r="I14" s="240" t="s">
        <v>16765</v>
      </c>
      <c r="J14" s="241">
        <v>0</v>
      </c>
      <c r="K14" s="241">
        <v>0</v>
      </c>
      <c r="L14" s="241">
        <v>1</v>
      </c>
      <c r="M14" s="240" t="s">
        <v>16832</v>
      </c>
      <c r="N14" s="241">
        <v>1</v>
      </c>
      <c r="O14" s="241">
        <v>0</v>
      </c>
      <c r="P14" s="241">
        <v>0</v>
      </c>
      <c r="Q14" s="259" t="s">
        <v>717</v>
      </c>
      <c r="R14" s="242" t="s">
        <v>16756</v>
      </c>
      <c r="S14" s="244" t="s">
        <v>16833</v>
      </c>
      <c r="T14" s="275" t="s">
        <v>27166</v>
      </c>
      <c r="U14" s="275" t="str">
        <f t="shared" si="0"/>
        <v>sf7|| Next refer.:We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 Next refer.:It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 Next refer.:Work dispersion refers to a variety of work environment, such as engineering process, management policy and control
 Difference in task and expertise distribution
 Difference in tool adoption and practices</v>
      </c>
      <c r="V14" s="300" t="s">
        <v>26767</v>
      </c>
      <c r="W14" s="295"/>
      <c r="X14" s="289"/>
      <c r="Y14" s="289"/>
      <c r="Z14" s="289"/>
      <c r="AA14" s="289"/>
      <c r="AB14" s="289"/>
      <c r="AC14" s="289"/>
      <c r="AD14" s="289"/>
      <c r="AE14" s="289"/>
      <c r="AF14" s="289"/>
      <c r="AG14" s="289"/>
      <c r="AH14" s="289"/>
      <c r="AI14" s="289"/>
      <c r="AJ14" s="289"/>
      <c r="AK14" s="289"/>
      <c r="AL14" s="289"/>
      <c r="AM14" s="289"/>
      <c r="AN14" s="289"/>
      <c r="AO14" s="289"/>
      <c r="AP14" s="289"/>
      <c r="AQ14" s="289"/>
      <c r="AR14" s="289"/>
      <c r="AS14" s="289" t="s">
        <v>16834</v>
      </c>
      <c r="AT14" s="289"/>
      <c r="AU14" s="289"/>
      <c r="AV14" s="289"/>
      <c r="AW14" s="289"/>
      <c r="AX14" s="289"/>
      <c r="AY14" s="289" t="s">
        <v>16835</v>
      </c>
      <c r="AZ14" s="291"/>
      <c r="BA14" s="291"/>
      <c r="BB14" s="289"/>
      <c r="BC14" s="289"/>
      <c r="BD14" s="291"/>
      <c r="BE14" s="291"/>
      <c r="BF14" s="291"/>
      <c r="BG14" s="291"/>
      <c r="BH14" s="289" t="s">
        <v>16837</v>
      </c>
      <c r="BI14" s="291"/>
      <c r="BJ14" s="289"/>
      <c r="BK14" s="289"/>
      <c r="BL14" s="292" t="s">
        <v>16836</v>
      </c>
    </row>
    <row r="15" spans="1:64" ht="27" customHeight="1" x14ac:dyDescent="0.25">
      <c r="A15" s="310" t="s">
        <v>26</v>
      </c>
      <c r="B15" s="311" t="s">
        <v>16838</v>
      </c>
      <c r="C15" s="238" t="s">
        <v>26320</v>
      </c>
      <c r="D15" s="239">
        <v>1</v>
      </c>
      <c r="E15" s="254">
        <v>0</v>
      </c>
      <c r="F15" s="258" t="s">
        <v>16764</v>
      </c>
      <c r="G15" s="241">
        <v>1</v>
      </c>
      <c r="H15" s="241">
        <v>0</v>
      </c>
      <c r="I15" s="240" t="s">
        <v>16765</v>
      </c>
      <c r="J15" s="241">
        <v>0</v>
      </c>
      <c r="K15" s="241">
        <v>0</v>
      </c>
      <c r="L15" s="241">
        <v>1</v>
      </c>
      <c r="M15" s="240" t="s">
        <v>16832</v>
      </c>
      <c r="N15" s="241">
        <v>1</v>
      </c>
      <c r="O15" s="241">
        <v>0</v>
      </c>
      <c r="P15" s="241">
        <v>0</v>
      </c>
      <c r="Q15" s="259" t="s">
        <v>717</v>
      </c>
      <c r="R15" s="242" t="s">
        <v>16756</v>
      </c>
      <c r="S15" s="244" t="s">
        <v>16840</v>
      </c>
      <c r="T15" s="275" t="s">
        <v>16841</v>
      </c>
      <c r="U15" s="275" t="str">
        <f t="shared" si="0"/>
        <v>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v>
      </c>
      <c r="V15" s="300" t="s">
        <v>26768</v>
      </c>
      <c r="W15" s="295"/>
      <c r="X15" s="289"/>
      <c r="Y15" s="289"/>
      <c r="Z15" s="289"/>
      <c r="AA15" s="289"/>
      <c r="AB15" s="289"/>
      <c r="AC15" s="289"/>
      <c r="AD15" s="289"/>
      <c r="AE15" s="289"/>
      <c r="AF15" s="289"/>
      <c r="AG15" s="289"/>
      <c r="AH15" s="289"/>
      <c r="AI15" s="289"/>
      <c r="AJ15" s="289"/>
      <c r="AK15" s="289"/>
      <c r="AL15" s="289"/>
      <c r="AM15" s="289"/>
      <c r="AN15" s="289"/>
      <c r="AO15" s="289"/>
      <c r="AP15" s="289"/>
      <c r="AQ15" s="289"/>
      <c r="AR15" s="289"/>
      <c r="AS15" s="289"/>
      <c r="AT15" s="289"/>
      <c r="AU15" s="289"/>
      <c r="AV15" s="289"/>
      <c r="AW15" s="289"/>
      <c r="AX15" s="289"/>
      <c r="AY15" s="289"/>
      <c r="AZ15" s="291"/>
      <c r="BA15" s="291"/>
      <c r="BB15" s="289"/>
      <c r="BC15" s="289"/>
      <c r="BD15" s="291"/>
      <c r="BE15" s="291"/>
      <c r="BF15" s="291"/>
      <c r="BG15" s="291"/>
      <c r="BH15" s="289" t="s">
        <v>16841</v>
      </c>
      <c r="BI15" s="291"/>
      <c r="BJ15" s="289"/>
      <c r="BK15" s="289"/>
      <c r="BL15" s="289"/>
    </row>
    <row r="16" spans="1:64" ht="27" customHeight="1" x14ac:dyDescent="0.25">
      <c r="A16" s="310" t="s">
        <v>27</v>
      </c>
      <c r="B16" s="311" t="s">
        <v>360</v>
      </c>
      <c r="C16" s="238" t="s">
        <v>360</v>
      </c>
      <c r="D16" s="239">
        <v>1</v>
      </c>
      <c r="E16" s="254">
        <v>0</v>
      </c>
      <c r="F16" s="258" t="s">
        <v>16764</v>
      </c>
      <c r="G16" s="241">
        <v>1</v>
      </c>
      <c r="H16" s="241">
        <v>0</v>
      </c>
      <c r="I16" s="240" t="s">
        <v>16765</v>
      </c>
      <c r="J16" s="241">
        <v>1</v>
      </c>
      <c r="K16" s="241">
        <v>0</v>
      </c>
      <c r="L16" s="241">
        <v>0</v>
      </c>
      <c r="M16" s="240" t="s">
        <v>16754</v>
      </c>
      <c r="N16" s="241">
        <v>1</v>
      </c>
      <c r="O16" s="241">
        <v>0</v>
      </c>
      <c r="P16" s="241">
        <v>0</v>
      </c>
      <c r="Q16" s="259" t="s">
        <v>717</v>
      </c>
      <c r="R16" s="242" t="s">
        <v>16756</v>
      </c>
      <c r="S16" s="244" t="s">
        <v>16842</v>
      </c>
      <c r="T16" s="275" t="s">
        <v>16843</v>
      </c>
      <c r="U16" s="275" t="str">
        <f t="shared" si="0"/>
        <v>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v>
      </c>
      <c r="V16" s="300" t="s">
        <v>26769</v>
      </c>
      <c r="W16" s="295"/>
      <c r="X16" s="289"/>
      <c r="Y16" s="289"/>
      <c r="Z16" s="289"/>
      <c r="AA16" s="289"/>
      <c r="AB16" s="289"/>
      <c r="AC16" s="289"/>
      <c r="AD16" s="289"/>
      <c r="AE16" s="289"/>
      <c r="AF16" s="289"/>
      <c r="AG16" s="289"/>
      <c r="AH16" s="289"/>
      <c r="AI16" s="289"/>
      <c r="AJ16" s="289"/>
      <c r="AK16" s="289"/>
      <c r="AL16" s="289"/>
      <c r="AM16" s="289"/>
      <c r="AN16" s="289"/>
      <c r="AO16" s="289"/>
      <c r="AP16" s="289"/>
      <c r="AQ16" s="289"/>
      <c r="AR16" s="289"/>
      <c r="AS16" s="289"/>
      <c r="AT16" s="289"/>
      <c r="AU16" s="289"/>
      <c r="AV16" s="289"/>
      <c r="AW16" s="289"/>
      <c r="AX16" s="289"/>
      <c r="AY16" s="289"/>
      <c r="AZ16" s="291"/>
      <c r="BA16" s="291"/>
      <c r="BB16" s="289"/>
      <c r="BC16" s="289"/>
      <c r="BD16" s="291"/>
      <c r="BE16" s="291"/>
      <c r="BF16" s="291"/>
      <c r="BG16" s="291"/>
      <c r="BH16" s="289" t="s">
        <v>16843</v>
      </c>
      <c r="BI16" s="291"/>
      <c r="BJ16" s="289"/>
      <c r="BK16" s="289"/>
      <c r="BL16" s="289"/>
    </row>
    <row r="17" spans="1:64" ht="27" customHeight="1" x14ac:dyDescent="0.25">
      <c r="A17" s="310" t="s">
        <v>28</v>
      </c>
      <c r="B17" s="311" t="s">
        <v>16844</v>
      </c>
      <c r="C17" s="238" t="s">
        <v>361</v>
      </c>
      <c r="D17" s="239">
        <v>1</v>
      </c>
      <c r="E17" s="254">
        <v>0</v>
      </c>
      <c r="F17" s="258" t="s">
        <v>16764</v>
      </c>
      <c r="G17" s="241">
        <v>1</v>
      </c>
      <c r="H17" s="241">
        <v>0</v>
      </c>
      <c r="I17" s="240" t="s">
        <v>16765</v>
      </c>
      <c r="J17" s="241">
        <v>1</v>
      </c>
      <c r="K17" s="241">
        <v>0</v>
      </c>
      <c r="L17" s="241">
        <v>0</v>
      </c>
      <c r="M17" s="240" t="s">
        <v>16754</v>
      </c>
      <c r="N17" s="241">
        <v>0</v>
      </c>
      <c r="O17" s="241">
        <v>1</v>
      </c>
      <c r="P17" s="241">
        <v>0</v>
      </c>
      <c r="Q17" s="259" t="s">
        <v>16827</v>
      </c>
      <c r="R17" s="242" t="s">
        <v>16756</v>
      </c>
      <c r="S17" s="244" t="s">
        <v>16845</v>
      </c>
      <c r="T17" s="275" t="s">
        <v>16846</v>
      </c>
      <c r="U17" s="275" t="str">
        <f t="shared" si="0"/>
        <v>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v>
      </c>
      <c r="V17" s="300" t="s">
        <v>26770</v>
      </c>
      <c r="W17" s="295"/>
      <c r="X17" s="289"/>
      <c r="Y17" s="289"/>
      <c r="Z17" s="289"/>
      <c r="AA17" s="289"/>
      <c r="AB17" s="289"/>
      <c r="AC17" s="289"/>
      <c r="AD17" s="289"/>
      <c r="AE17" s="289"/>
      <c r="AF17" s="289"/>
      <c r="AG17" s="289"/>
      <c r="AH17" s="289"/>
      <c r="AI17" s="289"/>
      <c r="AJ17" s="289"/>
      <c r="AK17" s="289"/>
      <c r="AL17" s="289"/>
      <c r="AM17" s="289"/>
      <c r="AN17" s="289"/>
      <c r="AO17" s="289"/>
      <c r="AP17" s="289"/>
      <c r="AQ17" s="289"/>
      <c r="AR17" s="289"/>
      <c r="AS17" s="289"/>
      <c r="AT17" s="289"/>
      <c r="AU17" s="289"/>
      <c r="AV17" s="289"/>
      <c r="AW17" s="289"/>
      <c r="AX17" s="289"/>
      <c r="AY17" s="289"/>
      <c r="AZ17" s="291"/>
      <c r="BA17" s="291"/>
      <c r="BB17" s="289"/>
      <c r="BC17" s="289"/>
      <c r="BD17" s="291"/>
      <c r="BE17" s="291"/>
      <c r="BF17" s="291"/>
      <c r="BG17" s="291"/>
      <c r="BH17" s="289" t="s">
        <v>16846</v>
      </c>
      <c r="BI17" s="291"/>
      <c r="BJ17" s="289"/>
      <c r="BK17" s="289"/>
      <c r="BL17" s="289"/>
    </row>
    <row r="18" spans="1:64" ht="27" customHeight="1" x14ac:dyDescent="0.25">
      <c r="A18" s="310" t="s">
        <v>29</v>
      </c>
      <c r="B18" s="311" t="s">
        <v>16847</v>
      </c>
      <c r="C18" s="238" t="s">
        <v>362</v>
      </c>
      <c r="D18" s="239">
        <v>0</v>
      </c>
      <c r="E18" s="254">
        <v>1</v>
      </c>
      <c r="F18" s="258" t="s">
        <v>16753</v>
      </c>
      <c r="G18" s="241">
        <v>0</v>
      </c>
      <c r="H18" s="241">
        <v>1</v>
      </c>
      <c r="I18" s="240" t="s">
        <v>16755</v>
      </c>
      <c r="J18" s="241">
        <v>1</v>
      </c>
      <c r="K18" s="241">
        <v>0</v>
      </c>
      <c r="L18" s="241">
        <v>0</v>
      </c>
      <c r="M18" s="240" t="s">
        <v>16754</v>
      </c>
      <c r="N18" s="241">
        <v>1</v>
      </c>
      <c r="O18" s="241">
        <v>0</v>
      </c>
      <c r="P18" s="241">
        <v>0</v>
      </c>
      <c r="Q18" s="259" t="s">
        <v>717</v>
      </c>
      <c r="R18" s="242" t="s">
        <v>16775</v>
      </c>
      <c r="S18" s="244" t="s">
        <v>16848</v>
      </c>
      <c r="T18" s="275" t="s">
        <v>27167</v>
      </c>
      <c r="U18" s="275" t="str">
        <f t="shared" si="0"/>
        <v>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 Next refer.:Previous research has defined knowledge transfer as: ‘‘a process of exchange of explicit or tacit knowledge between two agents, during which one agent purposefully receives and uses the knowledge provided by another’’ [7]. IInvigorate sharing knowledge and new values with teams|| Next refer.:INSUFFICIENT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 Next refer.:Learning and sharing the work materials of employees|| Next refer.:Information sharing|| Next refer.:Effective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v>
      </c>
      <c r="V18" s="300" t="s">
        <v>26771</v>
      </c>
      <c r="W18" s="295"/>
      <c r="X18" s="289"/>
      <c r="Y18" s="289"/>
      <c r="Z18" s="289"/>
      <c r="AA18" s="289"/>
      <c r="AB18" s="289" t="s">
        <v>27153</v>
      </c>
      <c r="AC18" s="289"/>
      <c r="AD18" s="289"/>
      <c r="AE18" s="289"/>
      <c r="AF18" s="289"/>
      <c r="AG18" s="289"/>
      <c r="AH18" s="289"/>
      <c r="AI18" s="289"/>
      <c r="AJ18" s="289"/>
      <c r="AK18" s="289"/>
      <c r="AL18" s="289"/>
      <c r="AM18" s="289"/>
      <c r="AN18" s="289"/>
      <c r="AO18" s="289" t="s">
        <v>16849</v>
      </c>
      <c r="AP18" s="289" t="s">
        <v>16850</v>
      </c>
      <c r="AQ18" s="289"/>
      <c r="AR18" s="289"/>
      <c r="AS18" s="289"/>
      <c r="AT18" s="289"/>
      <c r="AU18" s="289"/>
      <c r="AV18" s="289" t="s">
        <v>16851</v>
      </c>
      <c r="AW18" s="289"/>
      <c r="AX18" s="289" t="s">
        <v>27085</v>
      </c>
      <c r="AY18" s="289"/>
      <c r="AZ18" s="291"/>
      <c r="BA18" s="291"/>
      <c r="BB18" s="289"/>
      <c r="BC18" s="289"/>
      <c r="BD18" s="291"/>
      <c r="BE18" s="291"/>
      <c r="BF18" s="291"/>
      <c r="BG18" s="291"/>
      <c r="BH18" s="289" t="s">
        <v>16852</v>
      </c>
      <c r="BI18" s="291"/>
      <c r="BJ18" s="289"/>
      <c r="BK18" s="289"/>
      <c r="BL18" s="289"/>
    </row>
    <row r="19" spans="1:64" ht="27" customHeight="1" x14ac:dyDescent="0.25">
      <c r="A19" s="310" t="s">
        <v>30</v>
      </c>
      <c r="B19" s="311" t="s">
        <v>16853</v>
      </c>
      <c r="C19" s="238" t="s">
        <v>363</v>
      </c>
      <c r="D19" s="239">
        <v>1</v>
      </c>
      <c r="E19" s="254">
        <v>0</v>
      </c>
      <c r="F19" s="258" t="s">
        <v>16764</v>
      </c>
      <c r="G19" s="241">
        <v>1</v>
      </c>
      <c r="H19" s="241">
        <v>0</v>
      </c>
      <c r="I19" s="240" t="s">
        <v>16765</v>
      </c>
      <c r="J19" s="241">
        <v>0</v>
      </c>
      <c r="K19" s="241">
        <v>0</v>
      </c>
      <c r="L19" s="241">
        <v>1</v>
      </c>
      <c r="M19" s="240" t="s">
        <v>16832</v>
      </c>
      <c r="N19" s="241">
        <v>0</v>
      </c>
      <c r="O19" s="241">
        <v>1</v>
      </c>
      <c r="P19" s="241">
        <v>0</v>
      </c>
      <c r="Q19" s="259" t="s">
        <v>16827</v>
      </c>
      <c r="R19" s="242" t="s">
        <v>16775</v>
      </c>
      <c r="S19" s="244" t="s">
        <v>16854</v>
      </c>
      <c r="T19" s="275" t="s">
        <v>27168</v>
      </c>
      <c r="U19" s="275" t="str">
        <f t="shared" si="0"/>
        <v>Coordination. The student faces situations where s/he should distribute work between team members, with due consideration given to some features such as time-overlap, members’ profiles, or previous experience working together.|| Next refer.:Co-ordination of teams to achieve the project goals|| Next refer.:LACK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 Next refer.:Distance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 Next refer.:Team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v>
      </c>
      <c r="V19" s="300" t="s">
        <v>26772</v>
      </c>
      <c r="W19" s="295"/>
      <c r="X19" s="289"/>
      <c r="Y19" s="289"/>
      <c r="Z19" s="289"/>
      <c r="AA19" s="289"/>
      <c r="AB19" s="289"/>
      <c r="AC19" s="289"/>
      <c r="AD19" s="289"/>
      <c r="AE19" s="289"/>
      <c r="AF19" s="289"/>
      <c r="AG19" s="289"/>
      <c r="AH19" s="289"/>
      <c r="AI19" s="289"/>
      <c r="AJ19" s="289"/>
      <c r="AK19" s="289" t="s">
        <v>16855</v>
      </c>
      <c r="AL19" s="289"/>
      <c r="AM19" s="289"/>
      <c r="AN19" s="289"/>
      <c r="AO19" s="289" t="s">
        <v>16856</v>
      </c>
      <c r="AP19" s="289" t="s">
        <v>16857</v>
      </c>
      <c r="AQ19" s="289"/>
      <c r="AR19" s="289"/>
      <c r="AS19" s="289"/>
      <c r="AT19" s="289"/>
      <c r="AU19" s="289"/>
      <c r="AV19" s="289"/>
      <c r="AW19" s="289"/>
      <c r="AX19" s="289"/>
      <c r="AY19" s="289"/>
      <c r="AZ19" s="291"/>
      <c r="BA19" s="291"/>
      <c r="BB19" s="289"/>
      <c r="BC19" s="289"/>
      <c r="BD19" s="291"/>
      <c r="BE19" s="291"/>
      <c r="BF19" s="291"/>
      <c r="BG19" s="291"/>
      <c r="BH19" s="289" t="s">
        <v>16859</v>
      </c>
      <c r="BI19" s="291"/>
      <c r="BJ19" s="289"/>
      <c r="BK19" s="289"/>
      <c r="BL19" s="292" t="s">
        <v>16858</v>
      </c>
    </row>
    <row r="20" spans="1:64" ht="27" customHeight="1" x14ac:dyDescent="0.25">
      <c r="A20" s="310" t="s">
        <v>31</v>
      </c>
      <c r="B20" s="311" t="s">
        <v>26023</v>
      </c>
      <c r="C20" s="238" t="s">
        <v>364</v>
      </c>
      <c r="D20" s="239">
        <v>1</v>
      </c>
      <c r="E20" s="254">
        <v>0</v>
      </c>
      <c r="F20" s="258" t="s">
        <v>16764</v>
      </c>
      <c r="G20" s="241">
        <v>1</v>
      </c>
      <c r="H20" s="241">
        <v>0</v>
      </c>
      <c r="I20" s="240" t="s">
        <v>16765</v>
      </c>
      <c r="J20" s="241">
        <v>0</v>
      </c>
      <c r="K20" s="241">
        <v>0</v>
      </c>
      <c r="L20" s="241">
        <v>1</v>
      </c>
      <c r="M20" s="240" t="s">
        <v>16832</v>
      </c>
      <c r="N20" s="241">
        <v>1</v>
      </c>
      <c r="O20" s="241">
        <v>0</v>
      </c>
      <c r="P20" s="241">
        <v>0</v>
      </c>
      <c r="Q20" s="259" t="s">
        <v>717</v>
      </c>
      <c r="R20" s="242" t="s">
        <v>16756</v>
      </c>
      <c r="S20" s="244" t="s">
        <v>16860</v>
      </c>
      <c r="T20" s="275" t="s">
        <v>27169</v>
      </c>
      <c r="U20" s="275" t="str">
        <f t="shared" si="0"/>
        <v>Lack of project transparency (coordination)|| Next refer.:SF12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 Next refer.:Due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v>
      </c>
      <c r="V20" s="300" t="s">
        <v>26773</v>
      </c>
      <c r="W20" s="295"/>
      <c r="X20" s="289"/>
      <c r="Y20" s="289"/>
      <c r="Z20" s="289"/>
      <c r="AA20" s="289"/>
      <c r="AB20" s="289"/>
      <c r="AC20" s="289"/>
      <c r="AD20" s="289"/>
      <c r="AE20" s="289"/>
      <c r="AF20" s="289"/>
      <c r="AG20" s="289"/>
      <c r="AH20" s="289"/>
      <c r="AI20" s="289"/>
      <c r="AJ20" s="289" t="s">
        <v>16861</v>
      </c>
      <c r="AK20" s="289"/>
      <c r="AL20" s="289"/>
      <c r="AM20" s="289"/>
      <c r="AN20" s="289"/>
      <c r="AO20" s="289"/>
      <c r="AP20" s="289"/>
      <c r="AQ20" s="289"/>
      <c r="AR20" s="289"/>
      <c r="AS20" s="289"/>
      <c r="AT20" s="289"/>
      <c r="AU20" s="289"/>
      <c r="AV20" s="289"/>
      <c r="AW20" s="289"/>
      <c r="AX20" s="289"/>
      <c r="AY20" s="289" t="s">
        <v>16862</v>
      </c>
      <c r="AZ20" s="291"/>
      <c r="BA20" s="291"/>
      <c r="BB20" s="289"/>
      <c r="BC20" s="289"/>
      <c r="BD20" s="291"/>
      <c r="BE20" s="291"/>
      <c r="BF20" s="291"/>
      <c r="BG20" s="291"/>
      <c r="BH20" s="289" t="s">
        <v>16863</v>
      </c>
      <c r="BI20" s="291"/>
      <c r="BJ20" s="289"/>
      <c r="BK20" s="289"/>
      <c r="BL20" s="289"/>
    </row>
    <row r="21" spans="1:64" ht="27" customHeight="1" x14ac:dyDescent="0.25">
      <c r="A21" s="310" t="s">
        <v>32</v>
      </c>
      <c r="B21" s="311" t="s">
        <v>16864</v>
      </c>
      <c r="C21" s="238" t="s">
        <v>365</v>
      </c>
      <c r="D21" s="239">
        <v>0</v>
      </c>
      <c r="E21" s="254">
        <v>1</v>
      </c>
      <c r="F21" s="258" t="s">
        <v>16753</v>
      </c>
      <c r="G21" s="241">
        <v>0</v>
      </c>
      <c r="H21" s="241">
        <v>1</v>
      </c>
      <c r="I21" s="240" t="s">
        <v>16755</v>
      </c>
      <c r="J21" s="241">
        <v>1</v>
      </c>
      <c r="K21" s="241">
        <v>0</v>
      </c>
      <c r="L21" s="241">
        <v>0</v>
      </c>
      <c r="M21" s="240" t="s">
        <v>16754</v>
      </c>
      <c r="N21" s="241">
        <v>1</v>
      </c>
      <c r="O21" s="241">
        <v>0</v>
      </c>
      <c r="P21" s="241">
        <v>0</v>
      </c>
      <c r="Q21" s="259" t="s">
        <v>717</v>
      </c>
      <c r="R21" s="242" t="s">
        <v>16756</v>
      </c>
      <c r="S21" s="244" t="s">
        <v>16865</v>
      </c>
      <c r="T21" s="275" t="s">
        <v>27170</v>
      </c>
      <c r="U21" s="275" t="str">
        <f t="shared" si="0"/>
        <v>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 Next refer.:Given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v>
      </c>
      <c r="V21" s="300" t="s">
        <v>26774</v>
      </c>
      <c r="W21" s="295"/>
      <c r="X21" s="289"/>
      <c r="Y21" s="289"/>
      <c r="Z21" s="289"/>
      <c r="AA21" s="289"/>
      <c r="AB21" s="289"/>
      <c r="AC21" s="289"/>
      <c r="AD21" s="289"/>
      <c r="AE21" s="289"/>
      <c r="AF21" s="289"/>
      <c r="AG21" s="289"/>
      <c r="AH21" s="289"/>
      <c r="AI21" s="289"/>
      <c r="AJ21" s="289"/>
      <c r="AK21" s="289"/>
      <c r="AL21" s="289"/>
      <c r="AM21" s="289"/>
      <c r="AN21" s="289"/>
      <c r="AO21" s="289"/>
      <c r="AP21" s="289"/>
      <c r="AQ21" s="289"/>
      <c r="AR21" s="289"/>
      <c r="AS21" s="289"/>
      <c r="AT21" s="289"/>
      <c r="AU21" s="289"/>
      <c r="AV21" s="289"/>
      <c r="AW21" s="289"/>
      <c r="AX21" s="289"/>
      <c r="AY21" s="289"/>
      <c r="AZ21" s="289" t="s">
        <v>16866</v>
      </c>
      <c r="BA21" s="291"/>
      <c r="BB21" s="289"/>
      <c r="BC21" s="289"/>
      <c r="BD21" s="289" t="s">
        <v>16867</v>
      </c>
      <c r="BE21" s="291"/>
      <c r="BF21" s="291"/>
      <c r="BG21" s="291"/>
      <c r="BH21" s="289" t="s">
        <v>16869</v>
      </c>
      <c r="BI21" s="291"/>
      <c r="BJ21" s="289"/>
      <c r="BK21" s="289" t="s">
        <v>16868</v>
      </c>
      <c r="BL21" s="289"/>
    </row>
    <row r="22" spans="1:64" ht="27" customHeight="1" x14ac:dyDescent="0.25">
      <c r="A22" s="310" t="s">
        <v>33</v>
      </c>
      <c r="B22" s="311" t="s">
        <v>16870</v>
      </c>
      <c r="C22" s="238" t="s">
        <v>16870</v>
      </c>
      <c r="D22" s="239">
        <v>0</v>
      </c>
      <c r="E22" s="254">
        <v>1</v>
      </c>
      <c r="F22" s="258" t="s">
        <v>16753</v>
      </c>
      <c r="G22" s="241">
        <v>1</v>
      </c>
      <c r="H22" s="241">
        <v>0</v>
      </c>
      <c r="I22" s="240" t="s">
        <v>16765</v>
      </c>
      <c r="J22" s="241">
        <v>0</v>
      </c>
      <c r="K22" s="241">
        <v>0</v>
      </c>
      <c r="L22" s="241">
        <v>1</v>
      </c>
      <c r="M22" s="240" t="s">
        <v>16832</v>
      </c>
      <c r="N22" s="241">
        <v>1</v>
      </c>
      <c r="O22" s="241">
        <v>0</v>
      </c>
      <c r="P22" s="241">
        <v>0</v>
      </c>
      <c r="Q22" s="259" t="s">
        <v>717</v>
      </c>
      <c r="R22" s="242" t="s">
        <v>16775</v>
      </c>
      <c r="S22" s="244" t="s">
        <v>16871</v>
      </c>
      <c r="T22" s="275" t="s">
        <v>27171</v>
      </c>
      <c r="U22" s="275" t="str">
        <f t="shared" si="0"/>
        <v>Reluctance to share information or propensity for non-reporting of the problems because of the fear of negative consequences.|| Next refer.:A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v>
      </c>
      <c r="V22" s="300" t="s">
        <v>26775</v>
      </c>
      <c r="W22" s="295"/>
      <c r="X22" s="289"/>
      <c r="Y22" s="289" t="s">
        <v>27086</v>
      </c>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91"/>
      <c r="BA22" s="291"/>
      <c r="BB22" s="289"/>
      <c r="BC22" s="289"/>
      <c r="BD22" s="291"/>
      <c r="BE22" s="291"/>
      <c r="BF22" s="291"/>
      <c r="BG22" s="291"/>
      <c r="BH22" s="289" t="s">
        <v>16872</v>
      </c>
      <c r="BI22" s="291"/>
      <c r="BJ22" s="289"/>
      <c r="BK22" s="289"/>
      <c r="BL22" s="289"/>
    </row>
    <row r="23" spans="1:64" ht="27" customHeight="1" x14ac:dyDescent="0.25">
      <c r="A23" s="310" t="s">
        <v>34</v>
      </c>
      <c r="B23" s="311" t="s">
        <v>16873</v>
      </c>
      <c r="C23" s="238" t="s">
        <v>16874</v>
      </c>
      <c r="D23" s="239">
        <v>0</v>
      </c>
      <c r="E23" s="254">
        <v>1</v>
      </c>
      <c r="F23" s="258" t="s">
        <v>16753</v>
      </c>
      <c r="G23" s="241">
        <v>0</v>
      </c>
      <c r="H23" s="241">
        <v>1</v>
      </c>
      <c r="I23" s="240" t="s">
        <v>16755</v>
      </c>
      <c r="J23" s="241">
        <v>1</v>
      </c>
      <c r="K23" s="241">
        <v>0</v>
      </c>
      <c r="L23" s="241">
        <v>0</v>
      </c>
      <c r="M23" s="240" t="s">
        <v>16754</v>
      </c>
      <c r="N23" s="241">
        <v>1</v>
      </c>
      <c r="O23" s="241">
        <v>0</v>
      </c>
      <c r="P23" s="241">
        <v>0</v>
      </c>
      <c r="Q23" s="259" t="s">
        <v>717</v>
      </c>
      <c r="R23" s="242" t="s">
        <v>16775</v>
      </c>
      <c r="S23" s="244" t="s">
        <v>16875</v>
      </c>
      <c r="T23" s="275" t="s">
        <v>27172</v>
      </c>
      <c r="U23" s="275" t="str">
        <f t="shared" si="0"/>
        <v>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 Next refer.:Lack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Next refer.:Team participation and communication relationship|| Next refer.:Team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 Next refer.:Staff involvement||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v>
      </c>
      <c r="V23" s="300" t="s">
        <v>26776</v>
      </c>
      <c r="W23" s="295"/>
      <c r="X23" s="289"/>
      <c r="Y23" s="289"/>
      <c r="Z23" s="289"/>
      <c r="AA23" s="289"/>
      <c r="AB23" s="289"/>
      <c r="AC23" s="289"/>
      <c r="AD23" s="289"/>
      <c r="AE23" s="289"/>
      <c r="AF23" s="289"/>
      <c r="AG23" s="289"/>
      <c r="AH23" s="289" t="s">
        <v>27154</v>
      </c>
      <c r="AI23" s="289"/>
      <c r="AJ23" s="289"/>
      <c r="AK23" s="289" t="s">
        <v>16876</v>
      </c>
      <c r="AL23" s="289"/>
      <c r="AM23" s="289"/>
      <c r="AN23" s="289"/>
      <c r="AO23" s="289" t="s">
        <v>16877</v>
      </c>
      <c r="AP23" s="289" t="s">
        <v>16878</v>
      </c>
      <c r="AQ23" s="289"/>
      <c r="AR23" s="289"/>
      <c r="AS23" s="289"/>
      <c r="AT23" s="289"/>
      <c r="AU23" s="289"/>
      <c r="AV23" s="289"/>
      <c r="AW23" s="289"/>
      <c r="AX23" s="289" t="s">
        <v>27087</v>
      </c>
      <c r="AY23" s="289" t="s">
        <v>16879</v>
      </c>
      <c r="AZ23" s="291"/>
      <c r="BA23" s="291"/>
      <c r="BB23" s="289"/>
      <c r="BC23" s="289"/>
      <c r="BD23" s="291"/>
      <c r="BE23" s="291"/>
      <c r="BF23" s="291"/>
      <c r="BG23" s="291"/>
      <c r="BH23" s="289" t="s">
        <v>16880</v>
      </c>
      <c r="BI23" s="291"/>
      <c r="BJ23" s="289"/>
      <c r="BK23" s="289"/>
      <c r="BL23" s="289"/>
    </row>
    <row r="24" spans="1:64" ht="27" customHeight="1" x14ac:dyDescent="0.25">
      <c r="A24" s="310" t="s">
        <v>35</v>
      </c>
      <c r="B24" s="311" t="s">
        <v>368</v>
      </c>
      <c r="C24" s="238" t="s">
        <v>368</v>
      </c>
      <c r="D24" s="239">
        <v>0</v>
      </c>
      <c r="E24" s="254">
        <v>1</v>
      </c>
      <c r="F24" s="258" t="s">
        <v>16753</v>
      </c>
      <c r="G24" s="241">
        <v>0</v>
      </c>
      <c r="H24" s="241">
        <v>1</v>
      </c>
      <c r="I24" s="240" t="s">
        <v>16755</v>
      </c>
      <c r="J24" s="241">
        <v>0</v>
      </c>
      <c r="K24" s="241">
        <v>1</v>
      </c>
      <c r="L24" s="241">
        <v>0</v>
      </c>
      <c r="M24" s="240" t="s">
        <v>16774</v>
      </c>
      <c r="N24" s="241">
        <v>1</v>
      </c>
      <c r="O24" s="241">
        <v>0</v>
      </c>
      <c r="P24" s="241">
        <v>0</v>
      </c>
      <c r="Q24" s="259" t="s">
        <v>717</v>
      </c>
      <c r="R24" s="242" t="s">
        <v>16756</v>
      </c>
      <c r="S24" s="244" t="s">
        <v>16881</v>
      </c>
      <c r="T24" s="275" t="s">
        <v>27173</v>
      </c>
      <c r="U24" s="275" t="str">
        <f t="shared" si="0"/>
        <v>Process owership|| Next refer.:Process owership|| Next refer.:RCM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 Next refer.:A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v>
      </c>
      <c r="V24" s="300" t="s">
        <v>26777</v>
      </c>
      <c r="W24" s="295"/>
      <c r="X24" s="289"/>
      <c r="Y24" s="289"/>
      <c r="Z24" s="289"/>
      <c r="AA24" s="289"/>
      <c r="AB24" s="289"/>
      <c r="AC24" s="289"/>
      <c r="AD24" s="289"/>
      <c r="AE24" s="289"/>
      <c r="AF24" s="289"/>
      <c r="AG24" s="289"/>
      <c r="AH24" s="289"/>
      <c r="AI24" s="289"/>
      <c r="AJ24" s="289"/>
      <c r="AK24" s="289"/>
      <c r="AL24" s="289"/>
      <c r="AM24" s="289"/>
      <c r="AN24" s="289"/>
      <c r="AO24" s="289"/>
      <c r="AP24" s="289"/>
      <c r="AQ24" s="289"/>
      <c r="AR24" s="289"/>
      <c r="AS24" s="289"/>
      <c r="AT24" s="289"/>
      <c r="AU24" s="289"/>
      <c r="AV24" s="289" t="s">
        <v>27088</v>
      </c>
      <c r="AW24" s="289" t="s">
        <v>27088</v>
      </c>
      <c r="AX24" s="289"/>
      <c r="AY24" s="289" t="s">
        <v>16882</v>
      </c>
      <c r="AZ24" s="291"/>
      <c r="BA24" s="291"/>
      <c r="BB24" s="289"/>
      <c r="BC24" s="289"/>
      <c r="BD24" s="291"/>
      <c r="BE24" s="291"/>
      <c r="BF24" s="291"/>
      <c r="BG24" s="291"/>
      <c r="BH24" s="289" t="s">
        <v>16883</v>
      </c>
      <c r="BI24" s="291"/>
      <c r="BJ24" s="289"/>
      <c r="BK24" s="289"/>
      <c r="BL24" s="289"/>
    </row>
    <row r="25" spans="1:64" ht="27" customHeight="1" x14ac:dyDescent="0.25">
      <c r="A25" s="310" t="s">
        <v>36</v>
      </c>
      <c r="B25" s="311" t="s">
        <v>16884</v>
      </c>
      <c r="C25" s="238" t="s">
        <v>369</v>
      </c>
      <c r="D25" s="239">
        <v>1</v>
      </c>
      <c r="E25" s="254">
        <v>0</v>
      </c>
      <c r="F25" s="258" t="s">
        <v>16764</v>
      </c>
      <c r="G25" s="241">
        <v>1</v>
      </c>
      <c r="H25" s="241">
        <v>0</v>
      </c>
      <c r="I25" s="240" t="s">
        <v>16765</v>
      </c>
      <c r="J25" s="241">
        <v>0</v>
      </c>
      <c r="K25" s="241">
        <v>0</v>
      </c>
      <c r="L25" s="241">
        <v>1</v>
      </c>
      <c r="M25" s="240" t="s">
        <v>16832</v>
      </c>
      <c r="N25" s="241">
        <v>1</v>
      </c>
      <c r="O25" s="241">
        <v>0</v>
      </c>
      <c r="P25" s="241">
        <v>0</v>
      </c>
      <c r="Q25" s="259" t="s">
        <v>717</v>
      </c>
      <c r="R25" s="242" t="s">
        <v>16756</v>
      </c>
      <c r="S25" s="244" t="s">
        <v>16885</v>
      </c>
      <c r="T25" s="275" t="s">
        <v>27174</v>
      </c>
      <c r="U25" s="275" t="str">
        <f t="shared" si="0"/>
        <v>Tools and technology to facilitate knowledge transfer within the teams|| Next refer.:Tools and technology: tools|| Next refer.:Organization infrastruture|| Next refer.:Where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 Next refer.:During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v>
      </c>
      <c r="V25" s="300" t="s">
        <v>26778</v>
      </c>
      <c r="W25" s="295"/>
      <c r="X25" s="289"/>
      <c r="Y25" s="289"/>
      <c r="Z25" s="289"/>
      <c r="AA25" s="289"/>
      <c r="AB25" s="289"/>
      <c r="AC25" s="289"/>
      <c r="AD25" s="289"/>
      <c r="AE25" s="289"/>
      <c r="AF25" s="289"/>
      <c r="AG25" s="289"/>
      <c r="AH25" s="289"/>
      <c r="AI25" s="289"/>
      <c r="AJ25" s="289"/>
      <c r="AK25" s="289"/>
      <c r="AL25" s="289"/>
      <c r="AM25" s="289"/>
      <c r="AN25" s="289"/>
      <c r="AO25" s="289" t="s">
        <v>27089</v>
      </c>
      <c r="AP25" s="289"/>
      <c r="AQ25" s="289"/>
      <c r="AR25" s="289"/>
      <c r="AS25" s="289"/>
      <c r="AT25" s="289"/>
      <c r="AU25" s="289" t="s">
        <v>16886</v>
      </c>
      <c r="AV25" s="289"/>
      <c r="AW25" s="289"/>
      <c r="AX25" s="289" t="s">
        <v>27090</v>
      </c>
      <c r="AY25" s="289"/>
      <c r="AZ25" s="291"/>
      <c r="BA25" s="291"/>
      <c r="BB25" s="289"/>
      <c r="BC25" s="289"/>
      <c r="BD25" s="291"/>
      <c r="BE25" s="291"/>
      <c r="BF25" s="291"/>
      <c r="BG25" s="291"/>
      <c r="BH25" s="289" t="s">
        <v>16888</v>
      </c>
      <c r="BI25" s="291"/>
      <c r="BJ25" s="289"/>
      <c r="BK25" s="289" t="s">
        <v>16887</v>
      </c>
      <c r="BL25" s="289"/>
    </row>
    <row r="26" spans="1:64" ht="27" customHeight="1" x14ac:dyDescent="0.25">
      <c r="A26" s="310" t="s">
        <v>37</v>
      </c>
      <c r="B26" s="311" t="s">
        <v>16889</v>
      </c>
      <c r="C26" s="238" t="s">
        <v>370</v>
      </c>
      <c r="D26" s="239">
        <v>1</v>
      </c>
      <c r="E26" s="254">
        <v>0</v>
      </c>
      <c r="F26" s="258" t="s">
        <v>16764</v>
      </c>
      <c r="G26" s="241">
        <v>1</v>
      </c>
      <c r="H26" s="241">
        <v>0</v>
      </c>
      <c r="I26" s="240" t="s">
        <v>16765</v>
      </c>
      <c r="J26" s="241">
        <v>0</v>
      </c>
      <c r="K26" s="241">
        <v>0</v>
      </c>
      <c r="L26" s="241">
        <v>1</v>
      </c>
      <c r="M26" s="240" t="s">
        <v>16832</v>
      </c>
      <c r="N26" s="241">
        <v>1</v>
      </c>
      <c r="O26" s="241">
        <v>0</v>
      </c>
      <c r="P26" s="241">
        <v>0</v>
      </c>
      <c r="Q26" s="259" t="s">
        <v>717</v>
      </c>
      <c r="R26" s="242" t="s">
        <v>16756</v>
      </c>
      <c r="S26" s="244" t="s">
        <v>16890</v>
      </c>
      <c r="T26" s="275" t="s">
        <v>27175</v>
      </c>
      <c r="U26" s="275" t="str">
        <f t="shared" si="0"/>
        <v>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 Next refer.:The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v>
      </c>
      <c r="V26" s="300" t="s">
        <v>26779</v>
      </c>
      <c r="W26" s="295"/>
      <c r="X26" s="289"/>
      <c r="Y26" s="289"/>
      <c r="Z26" s="289"/>
      <c r="AA26" s="289"/>
      <c r="AB26" s="289"/>
      <c r="AC26" s="289"/>
      <c r="AD26" s="289"/>
      <c r="AE26" s="289"/>
      <c r="AF26" s="289"/>
      <c r="AG26" s="289"/>
      <c r="AH26" s="289"/>
      <c r="AI26" s="289"/>
      <c r="AJ26" s="289"/>
      <c r="AK26" s="289"/>
      <c r="AL26" s="289"/>
      <c r="AM26" s="289"/>
      <c r="AN26" s="289"/>
      <c r="AO26" s="289"/>
      <c r="AP26" s="289" t="s">
        <v>16891</v>
      </c>
      <c r="AQ26" s="289"/>
      <c r="AR26" s="289"/>
      <c r="AS26" s="289"/>
      <c r="AT26" s="289"/>
      <c r="AU26" s="289"/>
      <c r="AV26" s="289"/>
      <c r="AW26" s="289"/>
      <c r="AX26" s="289"/>
      <c r="AY26" s="289"/>
      <c r="AZ26" s="291"/>
      <c r="BA26" s="291"/>
      <c r="BB26" s="289"/>
      <c r="BC26" s="289"/>
      <c r="BD26" s="291"/>
      <c r="BE26" s="291"/>
      <c r="BF26" s="291"/>
      <c r="BG26" s="291"/>
      <c r="BH26" s="289" t="s">
        <v>16892</v>
      </c>
      <c r="BI26" s="291"/>
      <c r="BJ26" s="289"/>
      <c r="BK26" s="289"/>
      <c r="BL26" s="289"/>
    </row>
    <row r="27" spans="1:64" ht="27" customHeight="1" x14ac:dyDescent="0.25">
      <c r="A27" s="310" t="s">
        <v>38</v>
      </c>
      <c r="B27" s="311" t="s">
        <v>371</v>
      </c>
      <c r="C27" s="238" t="s">
        <v>371</v>
      </c>
      <c r="D27" s="239">
        <v>1</v>
      </c>
      <c r="E27" s="254">
        <v>0</v>
      </c>
      <c r="F27" s="258" t="s">
        <v>16764</v>
      </c>
      <c r="G27" s="241">
        <v>1</v>
      </c>
      <c r="H27" s="241">
        <v>0</v>
      </c>
      <c r="I27" s="240" t="s">
        <v>16765</v>
      </c>
      <c r="J27" s="241">
        <v>0</v>
      </c>
      <c r="K27" s="241">
        <v>0</v>
      </c>
      <c r="L27" s="241">
        <v>1</v>
      </c>
      <c r="M27" s="240" t="s">
        <v>16832</v>
      </c>
      <c r="N27" s="241">
        <v>1</v>
      </c>
      <c r="O27" s="241">
        <v>0</v>
      </c>
      <c r="P27" s="241">
        <v>0</v>
      </c>
      <c r="Q27" s="259" t="s">
        <v>717</v>
      </c>
      <c r="R27" s="242" t="s">
        <v>16756</v>
      </c>
      <c r="S27" s="244" t="s">
        <v>16893</v>
      </c>
      <c r="T27" s="275" t="s">
        <v>27176</v>
      </c>
      <c r="U27" s="275" t="str">
        <f t="shared" si="0"/>
        <v>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Next refer.:Lack of collaborative tools|| Next refer.:Quality of communication tools and network speed between sites|| Next refer.:An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v>
      </c>
      <c r="V27" s="300" t="s">
        <v>26780</v>
      </c>
      <c r="W27" s="295"/>
      <c r="X27" s="289"/>
      <c r="Y27" s="289"/>
      <c r="Z27" s="289"/>
      <c r="AA27" s="289"/>
      <c r="AB27" s="289"/>
      <c r="AC27" s="289"/>
      <c r="AD27" s="289"/>
      <c r="AE27" s="289"/>
      <c r="AF27" s="289"/>
      <c r="AG27" s="289"/>
      <c r="AH27" s="289"/>
      <c r="AI27" s="289"/>
      <c r="AJ27" s="289"/>
      <c r="AK27" s="289" t="s">
        <v>16894</v>
      </c>
      <c r="AL27" s="289"/>
      <c r="AM27" s="289"/>
      <c r="AN27" s="289"/>
      <c r="AO27" s="289"/>
      <c r="AP27" s="289"/>
      <c r="AQ27" s="289"/>
      <c r="AR27" s="289"/>
      <c r="AS27" s="289"/>
      <c r="AT27" s="289" t="s">
        <v>16895</v>
      </c>
      <c r="AU27" s="289"/>
      <c r="AV27" s="289"/>
      <c r="AW27" s="289"/>
      <c r="AX27" s="289"/>
      <c r="AY27" s="289"/>
      <c r="AZ27" s="291"/>
      <c r="BA27" s="291"/>
      <c r="BB27" s="289"/>
      <c r="BC27" s="289"/>
      <c r="BD27" s="291"/>
      <c r="BE27" s="289" t="s">
        <v>27091</v>
      </c>
      <c r="BF27" s="289"/>
      <c r="BG27" s="291"/>
      <c r="BH27" s="289" t="s">
        <v>16896</v>
      </c>
      <c r="BI27" s="291"/>
      <c r="BJ27" s="289"/>
      <c r="BK27" s="289"/>
      <c r="BL27" s="289"/>
    </row>
    <row r="28" spans="1:64" ht="27" customHeight="1" x14ac:dyDescent="0.25">
      <c r="A28" s="310" t="s">
        <v>39</v>
      </c>
      <c r="B28" s="311" t="s">
        <v>16897</v>
      </c>
      <c r="C28" s="238" t="s">
        <v>372</v>
      </c>
      <c r="D28" s="239">
        <v>0</v>
      </c>
      <c r="E28" s="254">
        <v>1</v>
      </c>
      <c r="F28" s="258" t="s">
        <v>16753</v>
      </c>
      <c r="G28" s="241">
        <v>0</v>
      </c>
      <c r="H28" s="241">
        <v>1</v>
      </c>
      <c r="I28" s="240" t="s">
        <v>16755</v>
      </c>
      <c r="J28" s="241">
        <v>1</v>
      </c>
      <c r="K28" s="241">
        <v>0</v>
      </c>
      <c r="L28" s="241">
        <v>0</v>
      </c>
      <c r="M28" s="240" t="s">
        <v>16754</v>
      </c>
      <c r="N28" s="241">
        <v>1</v>
      </c>
      <c r="O28" s="241">
        <v>0</v>
      </c>
      <c r="P28" s="241">
        <v>0</v>
      </c>
      <c r="Q28" s="259" t="s">
        <v>717</v>
      </c>
      <c r="R28" s="242" t="s">
        <v>16756</v>
      </c>
      <c r="S28" s="244" t="s">
        <v>25855</v>
      </c>
      <c r="T28" s="275" t="s">
        <v>27177</v>
      </c>
      <c r="U28" s="275" t="str">
        <f t="shared" si="0"/>
        <v>High proficiency in a programming language to build codes with complex instructions|| Next refer.:Expertise and knowledge in the application domain</v>
      </c>
      <c r="V28" s="300" t="s">
        <v>26781</v>
      </c>
      <c r="W28" s="295"/>
      <c r="X28" s="289"/>
      <c r="Y28" s="289"/>
      <c r="Z28" s="289"/>
      <c r="AA28" s="289"/>
      <c r="AB28" s="289"/>
      <c r="AC28" s="289"/>
      <c r="AD28" s="289"/>
      <c r="AE28" s="289"/>
      <c r="AF28" s="289"/>
      <c r="AG28" s="289"/>
      <c r="AH28" s="289"/>
      <c r="AI28" s="289"/>
      <c r="AJ28" s="289"/>
      <c r="AK28" s="289"/>
      <c r="AL28" s="289"/>
      <c r="AM28" s="289"/>
      <c r="AN28" s="289"/>
      <c r="AO28" s="289"/>
      <c r="AP28" s="289"/>
      <c r="AQ28" s="289"/>
      <c r="AR28" s="289"/>
      <c r="AS28" s="289"/>
      <c r="AT28" s="289"/>
      <c r="AU28" s="289"/>
      <c r="AV28" s="289"/>
      <c r="AW28" s="289"/>
      <c r="AX28" s="289"/>
      <c r="AY28" s="289"/>
      <c r="AZ28" s="289"/>
      <c r="BA28" s="289" t="s">
        <v>27092</v>
      </c>
      <c r="BB28" s="289"/>
      <c r="BC28" s="289"/>
      <c r="BD28" s="291"/>
      <c r="BE28" s="289" t="s">
        <v>27093</v>
      </c>
      <c r="BF28" s="289"/>
      <c r="BG28" s="291"/>
      <c r="BH28" s="289"/>
      <c r="BI28" s="291"/>
      <c r="BJ28" s="289"/>
      <c r="BK28" s="289"/>
      <c r="BL28" s="289"/>
    </row>
    <row r="29" spans="1:64" ht="27" customHeight="1" x14ac:dyDescent="0.25">
      <c r="A29" s="310" t="s">
        <v>40</v>
      </c>
      <c r="B29" s="311" t="s">
        <v>16898</v>
      </c>
      <c r="C29" s="238" t="s">
        <v>373</v>
      </c>
      <c r="D29" s="239">
        <v>1</v>
      </c>
      <c r="E29" s="254">
        <v>0</v>
      </c>
      <c r="F29" s="258" t="s">
        <v>16764</v>
      </c>
      <c r="G29" s="241">
        <v>1</v>
      </c>
      <c r="H29" s="241">
        <v>0</v>
      </c>
      <c r="I29" s="240" t="s">
        <v>16765</v>
      </c>
      <c r="J29" s="241">
        <v>0</v>
      </c>
      <c r="K29" s="241">
        <v>1</v>
      </c>
      <c r="L29" s="241">
        <v>0</v>
      </c>
      <c r="M29" s="240" t="s">
        <v>16774</v>
      </c>
      <c r="N29" s="241">
        <v>1</v>
      </c>
      <c r="O29" s="241">
        <v>0</v>
      </c>
      <c r="P29" s="241">
        <v>0</v>
      </c>
      <c r="Q29" s="259" t="s">
        <v>717</v>
      </c>
      <c r="R29" s="242" t="s">
        <v>16756</v>
      </c>
      <c r="S29" s="244" t="s">
        <v>16899</v>
      </c>
      <c r="T29" s="275" t="s">
        <v>16900</v>
      </c>
      <c r="U29" s="275" t="str">
        <f t="shared" si="0"/>
        <v>Experience of the personnel in similar projects</v>
      </c>
      <c r="V29" s="300" t="s">
        <v>26782</v>
      </c>
      <c r="W29" s="295"/>
      <c r="X29" s="289"/>
      <c r="Y29" s="289"/>
      <c r="Z29" s="289"/>
      <c r="AA29" s="289"/>
      <c r="AB29" s="289"/>
      <c r="AC29" s="289"/>
      <c r="AD29" s="289"/>
      <c r="AE29" s="289"/>
      <c r="AF29" s="289"/>
      <c r="AG29" s="289"/>
      <c r="AH29" s="289"/>
      <c r="AI29" s="289"/>
      <c r="AJ29" s="289"/>
      <c r="AK29" s="289"/>
      <c r="AL29" s="289"/>
      <c r="AM29" s="289"/>
      <c r="AN29" s="289"/>
      <c r="AO29" s="289"/>
      <c r="AP29" s="289"/>
      <c r="AQ29" s="289"/>
      <c r="AR29" s="289"/>
      <c r="AS29" s="289"/>
      <c r="AT29" s="289"/>
      <c r="AU29" s="289"/>
      <c r="AV29" s="289"/>
      <c r="AW29" s="289"/>
      <c r="AX29" s="289"/>
      <c r="AY29" s="289"/>
      <c r="AZ29" s="291"/>
      <c r="BA29" s="291"/>
      <c r="BB29" s="289"/>
      <c r="BC29" s="289"/>
      <c r="BD29" s="291"/>
      <c r="BE29" s="289" t="s">
        <v>16900</v>
      </c>
      <c r="BF29" s="289"/>
      <c r="BG29" s="291"/>
      <c r="BH29" s="289"/>
      <c r="BI29" s="291"/>
      <c r="BJ29" s="289"/>
      <c r="BK29" s="289"/>
      <c r="BL29" s="289"/>
    </row>
    <row r="30" spans="1:64" ht="27" customHeight="1" x14ac:dyDescent="0.25">
      <c r="A30" s="310" t="s">
        <v>41</v>
      </c>
      <c r="B30" s="311" t="s">
        <v>374</v>
      </c>
      <c r="C30" s="238" t="s">
        <v>374</v>
      </c>
      <c r="D30" s="239">
        <v>1</v>
      </c>
      <c r="E30" s="254">
        <v>0</v>
      </c>
      <c r="F30" s="258" t="s">
        <v>16764</v>
      </c>
      <c r="G30" s="241">
        <v>1</v>
      </c>
      <c r="H30" s="241">
        <v>0</v>
      </c>
      <c r="I30" s="240" t="s">
        <v>16765</v>
      </c>
      <c r="J30" s="241">
        <v>0</v>
      </c>
      <c r="K30" s="241">
        <v>1</v>
      </c>
      <c r="L30" s="241">
        <v>0</v>
      </c>
      <c r="M30" s="240" t="s">
        <v>16774</v>
      </c>
      <c r="N30" s="241">
        <v>1</v>
      </c>
      <c r="O30" s="241">
        <v>0</v>
      </c>
      <c r="P30" s="241">
        <v>0</v>
      </c>
      <c r="Q30" s="259" t="s">
        <v>717</v>
      </c>
      <c r="R30" s="242" t="s">
        <v>16901</v>
      </c>
      <c r="S30" s="244" t="s">
        <v>25548</v>
      </c>
      <c r="T30" s="275" t="s">
        <v>646</v>
      </c>
      <c r="U30" s="275" t="str">
        <f t="shared" si="0"/>
        <v/>
      </c>
      <c r="V30" s="300" t="s">
        <v>26783</v>
      </c>
      <c r="W30" s="295" t="s">
        <v>26327</v>
      </c>
      <c r="X30" s="289"/>
      <c r="Y30" s="289"/>
      <c r="Z30" s="289"/>
      <c r="AA30" s="289"/>
      <c r="AB30" s="289"/>
      <c r="AC30" s="289"/>
      <c r="AD30" s="289"/>
      <c r="AE30" s="289"/>
      <c r="AF30" s="289"/>
      <c r="AG30" s="289"/>
      <c r="AH30" s="289"/>
      <c r="AI30" s="289"/>
      <c r="AJ30" s="289"/>
      <c r="AK30" s="289"/>
      <c r="AL30" s="289"/>
      <c r="AM30" s="289"/>
      <c r="AN30" s="289"/>
      <c r="AO30" s="289"/>
      <c r="AP30" s="289"/>
      <c r="AQ30" s="289"/>
      <c r="AR30" s="289"/>
      <c r="AS30" s="289"/>
      <c r="AT30" s="289"/>
      <c r="AU30" s="289"/>
      <c r="AV30" s="289"/>
      <c r="AW30" s="289"/>
      <c r="AX30" s="289"/>
      <c r="AY30" s="289"/>
      <c r="AZ30" s="291"/>
      <c r="BA30" s="291"/>
      <c r="BB30" s="289"/>
      <c r="BC30" s="289"/>
      <c r="BD30" s="291"/>
      <c r="BE30" s="291"/>
      <c r="BF30" s="291"/>
      <c r="BG30" s="291"/>
      <c r="BH30" s="289"/>
      <c r="BI30" s="291"/>
      <c r="BJ30" s="289"/>
      <c r="BK30" s="289"/>
      <c r="BL30" s="289"/>
    </row>
    <row r="31" spans="1:64" ht="27" customHeight="1" x14ac:dyDescent="0.25">
      <c r="A31" s="310" t="s">
        <v>42</v>
      </c>
      <c r="B31" s="311" t="s">
        <v>26329</v>
      </c>
      <c r="C31" s="238" t="s">
        <v>26330</v>
      </c>
      <c r="D31" s="239">
        <v>0</v>
      </c>
      <c r="E31" s="254">
        <v>1</v>
      </c>
      <c r="F31" s="258" t="s">
        <v>16753</v>
      </c>
      <c r="G31" s="241">
        <v>0</v>
      </c>
      <c r="H31" s="241">
        <v>1</v>
      </c>
      <c r="I31" s="240" t="s">
        <v>16755</v>
      </c>
      <c r="J31" s="241">
        <v>0</v>
      </c>
      <c r="K31" s="241">
        <v>0</v>
      </c>
      <c r="L31" s="241">
        <v>1</v>
      </c>
      <c r="M31" s="240" t="s">
        <v>16832</v>
      </c>
      <c r="N31" s="241">
        <v>1</v>
      </c>
      <c r="O31" s="241">
        <v>0</v>
      </c>
      <c r="P31" s="241">
        <v>0</v>
      </c>
      <c r="Q31" s="259" t="s">
        <v>717</v>
      </c>
      <c r="R31" s="242" t="s">
        <v>16756</v>
      </c>
      <c r="S31" s="244" t="s">
        <v>16902</v>
      </c>
      <c r="T31" s="275" t="s">
        <v>27178</v>
      </c>
      <c r="U31" s="275" t="str">
        <f t="shared" si="0"/>
        <v>Sharing the knowledge and experiences among team members|| Next refer.:Participation in helping each other, Mutual support of team members, Suggestions and contribution of teams on project outcomes</v>
      </c>
      <c r="V31" s="300" t="s">
        <v>26784</v>
      </c>
      <c r="W31" s="295"/>
      <c r="X31" s="289"/>
      <c r="Y31" s="289"/>
      <c r="Z31" s="289"/>
      <c r="AA31" s="289"/>
      <c r="AB31" s="289"/>
      <c r="AC31" s="289"/>
      <c r="AD31" s="289"/>
      <c r="AE31" s="289" t="s">
        <v>17310</v>
      </c>
      <c r="AF31" s="289"/>
      <c r="AG31" s="289"/>
      <c r="AH31" s="289"/>
      <c r="AI31" s="289"/>
      <c r="AJ31" s="289"/>
      <c r="AK31" s="289"/>
      <c r="AL31" s="289"/>
      <c r="AM31" s="289"/>
      <c r="AN31" s="289"/>
      <c r="AO31" s="289" t="s">
        <v>16903</v>
      </c>
      <c r="AP31" s="289"/>
      <c r="AQ31" s="289"/>
      <c r="AR31" s="289"/>
      <c r="AS31" s="289"/>
      <c r="AT31" s="289"/>
      <c r="AU31" s="289"/>
      <c r="AV31" s="289"/>
      <c r="AW31" s="289"/>
      <c r="AX31" s="289"/>
      <c r="AY31" s="289"/>
      <c r="AZ31" s="291"/>
      <c r="BA31" s="291"/>
      <c r="BB31" s="289"/>
      <c r="BC31" s="289"/>
      <c r="BD31" s="291"/>
      <c r="BE31" s="291"/>
      <c r="BF31" s="291"/>
      <c r="BG31" s="291"/>
      <c r="BH31" s="289"/>
      <c r="BI31" s="291"/>
      <c r="BJ31" s="289"/>
      <c r="BK31" s="289"/>
      <c r="BL31" s="289"/>
    </row>
    <row r="32" spans="1:64" ht="27" customHeight="1" x14ac:dyDescent="0.25">
      <c r="A32" s="310" t="s">
        <v>43</v>
      </c>
      <c r="B32" s="311" t="s">
        <v>16904</v>
      </c>
      <c r="C32" s="238" t="s">
        <v>376</v>
      </c>
      <c r="D32" s="239">
        <v>0</v>
      </c>
      <c r="E32" s="254">
        <v>1</v>
      </c>
      <c r="F32" s="258" t="s">
        <v>16753</v>
      </c>
      <c r="G32" s="241">
        <v>1</v>
      </c>
      <c r="H32" s="241">
        <v>0</v>
      </c>
      <c r="I32" s="240" t="s">
        <v>16765</v>
      </c>
      <c r="J32" s="241">
        <v>0</v>
      </c>
      <c r="K32" s="241">
        <v>0</v>
      </c>
      <c r="L32" s="241">
        <v>1</v>
      </c>
      <c r="M32" s="240" t="s">
        <v>16832</v>
      </c>
      <c r="N32" s="241">
        <v>1</v>
      </c>
      <c r="O32" s="241">
        <v>0</v>
      </c>
      <c r="P32" s="241">
        <v>0</v>
      </c>
      <c r="Q32" s="259" t="s">
        <v>717</v>
      </c>
      <c r="R32" s="242" t="s">
        <v>16901</v>
      </c>
      <c r="S32" s="244" t="s">
        <v>25547</v>
      </c>
      <c r="T32" s="275" t="s">
        <v>27155</v>
      </c>
      <c r="U32" s="275" t="str">
        <f t="shared" si="0"/>
        <v>Avoid taking responsibility This cultural aspect refers to the avoidance of  end-users to take responsibility. The authors stated that, in Saudi Arabia and Thailand (high UAI cultures), subordinates avoided taking responsibility because they were afraid of making a bad decision and taking respon_x0002_sibility for the consequences of that decision [4, 72]. More_x0002_over, Liu et al. [54] urther argued that the UAI cultural 
dimension should be studied from the client’s perspective 
because the client, not the software developer, attempted 
to avoid uncertainty. Presumably, clients typically wanted 
to avoid uncertainty because they did not have expertise in 
software engineering and feared to become involved in the 
RE process.</v>
      </c>
      <c r="V32" s="300" t="s">
        <v>26785</v>
      </c>
      <c r="W32" s="295" t="s">
        <v>25546</v>
      </c>
      <c r="X32" s="289"/>
      <c r="Y32" s="289"/>
      <c r="Z32" s="289"/>
      <c r="AA32" s="289"/>
      <c r="AB32" s="289"/>
      <c r="AC32" s="289"/>
      <c r="AD32" s="289"/>
      <c r="AE32" s="289"/>
      <c r="AF32" s="289"/>
      <c r="AG32" s="289"/>
      <c r="AH32" s="289" t="s">
        <v>27155</v>
      </c>
      <c r="AI32" s="289"/>
      <c r="AJ32" s="289"/>
      <c r="AK32" s="289"/>
      <c r="AL32" s="289"/>
      <c r="AM32" s="289"/>
      <c r="AN32" s="289"/>
      <c r="AO32" s="291"/>
      <c r="AP32" s="289"/>
      <c r="AQ32" s="289"/>
      <c r="AR32" s="289"/>
      <c r="AS32" s="289"/>
      <c r="AT32" s="289"/>
      <c r="AU32" s="289"/>
      <c r="AV32" s="289"/>
      <c r="AW32" s="289"/>
      <c r="AX32" s="289"/>
      <c r="AY32" s="289"/>
      <c r="AZ32" s="291"/>
      <c r="BA32" s="291"/>
      <c r="BB32" s="289"/>
      <c r="BC32" s="289"/>
      <c r="BD32" s="291"/>
      <c r="BE32" s="291"/>
      <c r="BF32" s="291"/>
      <c r="BG32" s="291"/>
      <c r="BH32" s="289"/>
      <c r="BI32" s="291"/>
      <c r="BJ32" s="289"/>
      <c r="BK32" s="289"/>
      <c r="BL32" s="289"/>
    </row>
    <row r="33" spans="1:64" ht="27" customHeight="1" x14ac:dyDescent="0.25">
      <c r="A33" s="310" t="s">
        <v>44</v>
      </c>
      <c r="B33" s="311" t="s">
        <v>16905</v>
      </c>
      <c r="C33" s="238" t="s">
        <v>377</v>
      </c>
      <c r="D33" s="239">
        <v>1</v>
      </c>
      <c r="E33" s="254">
        <v>0</v>
      </c>
      <c r="F33" s="258" t="s">
        <v>16764</v>
      </c>
      <c r="G33" s="241">
        <v>0</v>
      </c>
      <c r="H33" s="241">
        <v>1</v>
      </c>
      <c r="I33" s="240" t="s">
        <v>16755</v>
      </c>
      <c r="J33" s="241">
        <v>0</v>
      </c>
      <c r="K33" s="241">
        <v>0</v>
      </c>
      <c r="L33" s="241">
        <v>1</v>
      </c>
      <c r="M33" s="240" t="s">
        <v>16832</v>
      </c>
      <c r="N33" s="241">
        <v>1</v>
      </c>
      <c r="O33" s="241">
        <v>0</v>
      </c>
      <c r="P33" s="241">
        <v>0</v>
      </c>
      <c r="Q33" s="259" t="s">
        <v>717</v>
      </c>
      <c r="R33" s="242" t="s">
        <v>16901</v>
      </c>
      <c r="S33" s="244" t="s">
        <v>25545</v>
      </c>
      <c r="T33" s="275" t="s">
        <v>646</v>
      </c>
      <c r="U33" s="275" t="str">
        <f t="shared" si="0"/>
        <v/>
      </c>
      <c r="V33" s="300" t="s">
        <v>26786</v>
      </c>
      <c r="W33" s="295" t="s">
        <v>25546</v>
      </c>
      <c r="X33" s="289"/>
      <c r="Y33" s="289"/>
      <c r="Z33" s="289"/>
      <c r="AA33" s="289"/>
      <c r="AB33" s="289"/>
      <c r="AC33" s="289"/>
      <c r="AD33" s="289"/>
      <c r="AE33" s="289"/>
      <c r="AF33" s="289"/>
      <c r="AG33" s="289"/>
      <c r="AH33" s="289"/>
      <c r="AI33" s="289"/>
      <c r="AJ33" s="289"/>
      <c r="AK33" s="289"/>
      <c r="AL33" s="289"/>
      <c r="AM33" s="289"/>
      <c r="AN33" s="289"/>
      <c r="AO33" s="289"/>
      <c r="AP33" s="289"/>
      <c r="AQ33" s="289"/>
      <c r="AR33" s="289"/>
      <c r="AS33" s="289"/>
      <c r="AT33" s="289"/>
      <c r="AU33" s="289"/>
      <c r="AV33" s="289"/>
      <c r="AW33" s="289"/>
      <c r="AX33" s="289"/>
      <c r="AY33" s="289"/>
      <c r="AZ33" s="291"/>
      <c r="BA33" s="291"/>
      <c r="BB33" s="289"/>
      <c r="BC33" s="289"/>
      <c r="BD33" s="291"/>
      <c r="BE33" s="291"/>
      <c r="BF33" s="291"/>
      <c r="BG33" s="291"/>
      <c r="BH33" s="289"/>
      <c r="BI33" s="291"/>
      <c r="BJ33" s="289"/>
      <c r="BK33" s="289"/>
      <c r="BL33" s="289"/>
    </row>
    <row r="34" spans="1:64" ht="27" customHeight="1" x14ac:dyDescent="0.25">
      <c r="A34" s="310" t="s">
        <v>45</v>
      </c>
      <c r="B34" s="311" t="s">
        <v>16906</v>
      </c>
      <c r="C34" s="238" t="s">
        <v>378</v>
      </c>
      <c r="D34" s="239">
        <v>1</v>
      </c>
      <c r="E34" s="254">
        <v>0</v>
      </c>
      <c r="F34" s="258" t="s">
        <v>16764</v>
      </c>
      <c r="G34" s="241">
        <v>0</v>
      </c>
      <c r="H34" s="241">
        <v>1</v>
      </c>
      <c r="I34" s="240" t="s">
        <v>16755</v>
      </c>
      <c r="J34" s="241">
        <v>0</v>
      </c>
      <c r="K34" s="241">
        <v>0</v>
      </c>
      <c r="L34" s="241">
        <v>1</v>
      </c>
      <c r="M34" s="240" t="s">
        <v>16832</v>
      </c>
      <c r="N34" s="241">
        <v>1</v>
      </c>
      <c r="O34" s="241">
        <v>0</v>
      </c>
      <c r="P34" s="241">
        <v>0</v>
      </c>
      <c r="Q34" s="259" t="s">
        <v>717</v>
      </c>
      <c r="R34" s="242" t="s">
        <v>16901</v>
      </c>
      <c r="S34" s="244" t="s">
        <v>25543</v>
      </c>
      <c r="T34" s="275" t="s">
        <v>27094</v>
      </c>
      <c r="U34" s="275" t="str">
        <f t="shared" si="0"/>
        <v>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v>
      </c>
      <c r="V34" s="300" t="s">
        <v>26787</v>
      </c>
      <c r="W34" s="295" t="s">
        <v>25544</v>
      </c>
      <c r="X34" s="289"/>
      <c r="Y34" s="289"/>
      <c r="Z34" s="289"/>
      <c r="AA34" s="289"/>
      <c r="AB34" s="289"/>
      <c r="AC34" s="289"/>
      <c r="AD34" s="289"/>
      <c r="AE34" s="289"/>
      <c r="AF34" s="289"/>
      <c r="AG34" s="289"/>
      <c r="AH34" s="289"/>
      <c r="AI34" s="289" t="s">
        <v>27094</v>
      </c>
      <c r="AJ34" s="289"/>
      <c r="AK34" s="289"/>
      <c r="AL34" s="289"/>
      <c r="AM34" s="289"/>
      <c r="AN34" s="289"/>
      <c r="AO34" s="289"/>
      <c r="AP34" s="289"/>
      <c r="AQ34" s="289"/>
      <c r="AR34" s="289"/>
      <c r="AS34" s="289"/>
      <c r="AT34" s="289"/>
      <c r="AU34" s="289"/>
      <c r="AV34" s="289"/>
      <c r="AW34" s="289"/>
      <c r="AX34" s="289"/>
      <c r="AY34" s="289"/>
      <c r="AZ34" s="291"/>
      <c r="BA34" s="291"/>
      <c r="BB34" s="289"/>
      <c r="BC34" s="289"/>
      <c r="BD34" s="291"/>
      <c r="BE34" s="291"/>
      <c r="BF34" s="291"/>
      <c r="BG34" s="291"/>
      <c r="BH34" s="289"/>
      <c r="BI34" s="291"/>
      <c r="BJ34" s="289"/>
      <c r="BK34" s="289"/>
      <c r="BL34" s="289"/>
    </row>
    <row r="35" spans="1:64" ht="27" customHeight="1" x14ac:dyDescent="0.25">
      <c r="A35" s="310" t="s">
        <v>46</v>
      </c>
      <c r="B35" s="311" t="s">
        <v>16907</v>
      </c>
      <c r="C35" s="238" t="s">
        <v>16907</v>
      </c>
      <c r="D35" s="239">
        <v>0</v>
      </c>
      <c r="E35" s="254">
        <v>1</v>
      </c>
      <c r="F35" s="258" t="s">
        <v>16753</v>
      </c>
      <c r="G35" s="241">
        <v>0</v>
      </c>
      <c r="H35" s="241">
        <v>1</v>
      </c>
      <c r="I35" s="240" t="s">
        <v>16755</v>
      </c>
      <c r="J35" s="241">
        <v>1</v>
      </c>
      <c r="K35" s="241">
        <v>0</v>
      </c>
      <c r="L35" s="241">
        <v>0</v>
      </c>
      <c r="M35" s="240" t="s">
        <v>16754</v>
      </c>
      <c r="N35" s="241">
        <v>1</v>
      </c>
      <c r="O35" s="241">
        <v>0</v>
      </c>
      <c r="P35" s="241">
        <v>0</v>
      </c>
      <c r="Q35" s="259" t="s">
        <v>717</v>
      </c>
      <c r="R35" s="242" t="s">
        <v>16901</v>
      </c>
      <c r="S35" s="244" t="s">
        <v>25550</v>
      </c>
      <c r="T35" s="275" t="s">
        <v>646</v>
      </c>
      <c r="U35" s="275" t="str">
        <f t="shared" si="0"/>
        <v/>
      </c>
      <c r="V35" s="300" t="s">
        <v>26788</v>
      </c>
      <c r="W35" s="295" t="s">
        <v>25549</v>
      </c>
      <c r="X35" s="289"/>
      <c r="Y35" s="289"/>
      <c r="Z35" s="289"/>
      <c r="AA35" s="289"/>
      <c r="AB35" s="289"/>
      <c r="AC35" s="289"/>
      <c r="AD35" s="289"/>
      <c r="AE35" s="289"/>
      <c r="AF35" s="289"/>
      <c r="AG35" s="289"/>
      <c r="AH35" s="289"/>
      <c r="AI35" s="289"/>
      <c r="AJ35" s="289"/>
      <c r="AK35" s="289"/>
      <c r="AL35" s="289"/>
      <c r="AM35" s="289"/>
      <c r="AN35" s="289"/>
      <c r="AO35" s="289"/>
      <c r="AP35" s="289"/>
      <c r="AQ35" s="289"/>
      <c r="AR35" s="289"/>
      <c r="AS35" s="289"/>
      <c r="AT35" s="289"/>
      <c r="AU35" s="289"/>
      <c r="AV35" s="289"/>
      <c r="AW35" s="289"/>
      <c r="AX35" s="289"/>
      <c r="AY35" s="289"/>
      <c r="AZ35" s="291"/>
      <c r="BA35" s="291"/>
      <c r="BB35" s="289"/>
      <c r="BC35" s="289"/>
      <c r="BD35" s="291"/>
      <c r="BE35" s="291"/>
      <c r="BF35" s="291"/>
      <c r="BG35" s="291"/>
      <c r="BH35" s="289"/>
      <c r="BI35" s="291"/>
      <c r="BJ35" s="289"/>
      <c r="BK35" s="289"/>
      <c r="BL35" s="289"/>
    </row>
    <row r="36" spans="1:64" ht="27" customHeight="1" x14ac:dyDescent="0.25">
      <c r="A36" s="310" t="s">
        <v>47</v>
      </c>
      <c r="B36" s="311" t="s">
        <v>380</v>
      </c>
      <c r="C36" s="238" t="s">
        <v>26336</v>
      </c>
      <c r="D36" s="239">
        <v>0</v>
      </c>
      <c r="E36" s="254">
        <v>1</v>
      </c>
      <c r="F36" s="258" t="s">
        <v>16753</v>
      </c>
      <c r="G36" s="241">
        <v>0</v>
      </c>
      <c r="H36" s="241">
        <v>1</v>
      </c>
      <c r="I36" s="240" t="s">
        <v>16755</v>
      </c>
      <c r="J36" s="241">
        <v>1</v>
      </c>
      <c r="K36" s="241">
        <v>0</v>
      </c>
      <c r="L36" s="241">
        <v>0</v>
      </c>
      <c r="M36" s="240" t="s">
        <v>16754</v>
      </c>
      <c r="N36" s="241">
        <v>1</v>
      </c>
      <c r="O36" s="241">
        <v>0</v>
      </c>
      <c r="P36" s="241">
        <v>0</v>
      </c>
      <c r="Q36" s="259" t="s">
        <v>717</v>
      </c>
      <c r="R36" s="242" t="s">
        <v>16901</v>
      </c>
      <c r="S36" s="244" t="s">
        <v>25552</v>
      </c>
      <c r="T36" s="275" t="s">
        <v>646</v>
      </c>
      <c r="U36" s="275" t="str">
        <f t="shared" si="0"/>
        <v/>
      </c>
      <c r="V36" s="300" t="s">
        <v>26789</v>
      </c>
      <c r="W36" s="295" t="s">
        <v>25553</v>
      </c>
      <c r="X36" s="289"/>
      <c r="Y36" s="289"/>
      <c r="Z36" s="289"/>
      <c r="AA36" s="289"/>
      <c r="AB36" s="289"/>
      <c r="AC36" s="289"/>
      <c r="AD36" s="289"/>
      <c r="AE36" s="289"/>
      <c r="AF36" s="289"/>
      <c r="AG36" s="289"/>
      <c r="AH36" s="289"/>
      <c r="AI36" s="289"/>
      <c r="AJ36" s="289"/>
      <c r="AK36" s="289"/>
      <c r="AL36" s="289"/>
      <c r="AM36" s="289"/>
      <c r="AN36" s="289"/>
      <c r="AO36" s="289"/>
      <c r="AP36" s="289"/>
      <c r="AQ36" s="289"/>
      <c r="AR36" s="289"/>
      <c r="AS36" s="289"/>
      <c r="AT36" s="289"/>
      <c r="AU36" s="289"/>
      <c r="AV36" s="289"/>
      <c r="AW36" s="289"/>
      <c r="AX36" s="289"/>
      <c r="AY36" s="289"/>
      <c r="AZ36" s="291"/>
      <c r="BA36" s="291"/>
      <c r="BB36" s="289"/>
      <c r="BC36" s="289"/>
      <c r="BD36" s="291"/>
      <c r="BE36" s="291"/>
      <c r="BF36" s="291"/>
      <c r="BG36" s="291"/>
      <c r="BH36" s="289"/>
      <c r="BI36" s="291"/>
      <c r="BJ36" s="289"/>
      <c r="BK36" s="289"/>
      <c r="BL36" s="289"/>
    </row>
    <row r="37" spans="1:64" ht="27" customHeight="1" x14ac:dyDescent="0.25">
      <c r="A37" s="310" t="s">
        <v>48</v>
      </c>
      <c r="B37" s="311" t="s">
        <v>381</v>
      </c>
      <c r="C37" s="238" t="s">
        <v>381</v>
      </c>
      <c r="D37" s="239">
        <v>0</v>
      </c>
      <c r="E37" s="254">
        <v>1</v>
      </c>
      <c r="F37" s="258" t="s">
        <v>16753</v>
      </c>
      <c r="G37" s="241">
        <v>0</v>
      </c>
      <c r="H37" s="241">
        <v>1</v>
      </c>
      <c r="I37" s="240" t="s">
        <v>16755</v>
      </c>
      <c r="J37" s="241">
        <v>1</v>
      </c>
      <c r="K37" s="241">
        <v>0</v>
      </c>
      <c r="L37" s="241">
        <v>0</v>
      </c>
      <c r="M37" s="240" t="s">
        <v>16754</v>
      </c>
      <c r="N37" s="241">
        <v>1</v>
      </c>
      <c r="O37" s="241">
        <v>0</v>
      </c>
      <c r="P37" s="241">
        <v>0</v>
      </c>
      <c r="Q37" s="259" t="s">
        <v>717</v>
      </c>
      <c r="R37" s="242" t="s">
        <v>16901</v>
      </c>
      <c r="S37" s="244" t="s">
        <v>25554</v>
      </c>
      <c r="T37" s="275" t="s">
        <v>646</v>
      </c>
      <c r="U37" s="275" t="str">
        <f t="shared" si="0"/>
        <v/>
      </c>
      <c r="V37" s="300" t="s">
        <v>26790</v>
      </c>
      <c r="W37" s="295" t="s">
        <v>25555</v>
      </c>
      <c r="X37" s="289"/>
      <c r="Y37" s="289"/>
      <c r="Z37" s="289"/>
      <c r="AA37" s="289"/>
      <c r="AB37" s="289"/>
      <c r="AC37" s="289"/>
      <c r="AD37" s="289"/>
      <c r="AE37" s="289"/>
      <c r="AF37" s="289"/>
      <c r="AG37" s="289"/>
      <c r="AH37" s="289"/>
      <c r="AI37" s="289"/>
      <c r="AJ37" s="289"/>
      <c r="AK37" s="289"/>
      <c r="AL37" s="289"/>
      <c r="AM37" s="289"/>
      <c r="AN37" s="289"/>
      <c r="AO37" s="289"/>
      <c r="AP37" s="289"/>
      <c r="AQ37" s="289"/>
      <c r="AR37" s="289"/>
      <c r="AS37" s="289"/>
      <c r="AT37" s="289"/>
      <c r="AU37" s="289"/>
      <c r="AV37" s="289"/>
      <c r="AW37" s="289"/>
      <c r="AX37" s="289"/>
      <c r="AY37" s="289"/>
      <c r="AZ37" s="291"/>
      <c r="BA37" s="291"/>
      <c r="BB37" s="289"/>
      <c r="BC37" s="289"/>
      <c r="BD37" s="291"/>
      <c r="BE37" s="291"/>
      <c r="BF37" s="291"/>
      <c r="BG37" s="291"/>
      <c r="BH37" s="289"/>
      <c r="BI37" s="291"/>
      <c r="BJ37" s="289"/>
      <c r="BK37" s="289"/>
      <c r="BL37" s="289"/>
    </row>
    <row r="38" spans="1:64" ht="27" customHeight="1" x14ac:dyDescent="0.25">
      <c r="A38" s="310" t="s">
        <v>49</v>
      </c>
      <c r="B38" s="311" t="s">
        <v>382</v>
      </c>
      <c r="C38" s="238" t="s">
        <v>382</v>
      </c>
      <c r="D38" s="239">
        <v>1</v>
      </c>
      <c r="E38" s="254">
        <v>0</v>
      </c>
      <c r="F38" s="258" t="s">
        <v>16764</v>
      </c>
      <c r="G38" s="241">
        <v>0</v>
      </c>
      <c r="H38" s="241">
        <v>1</v>
      </c>
      <c r="I38" s="240" t="s">
        <v>16755</v>
      </c>
      <c r="J38" s="241">
        <v>1</v>
      </c>
      <c r="K38" s="241">
        <v>0</v>
      </c>
      <c r="L38" s="241">
        <v>0</v>
      </c>
      <c r="M38" s="240" t="s">
        <v>16754</v>
      </c>
      <c r="N38" s="241">
        <v>1</v>
      </c>
      <c r="O38" s="241">
        <v>0</v>
      </c>
      <c r="P38" s="241">
        <v>0</v>
      </c>
      <c r="Q38" s="259" t="s">
        <v>717</v>
      </c>
      <c r="R38" s="242" t="s">
        <v>16901</v>
      </c>
      <c r="S38" s="244" t="s">
        <v>25557</v>
      </c>
      <c r="T38" s="275" t="s">
        <v>646</v>
      </c>
      <c r="U38" s="275" t="str">
        <f t="shared" si="0"/>
        <v/>
      </c>
      <c r="V38" s="300" t="s">
        <v>26791</v>
      </c>
      <c r="W38" s="295" t="s">
        <v>25556</v>
      </c>
      <c r="X38" s="289"/>
      <c r="Y38" s="289"/>
      <c r="Z38" s="289"/>
      <c r="AA38" s="289"/>
      <c r="AB38" s="289"/>
      <c r="AC38" s="289"/>
      <c r="AD38" s="289"/>
      <c r="AE38" s="289"/>
      <c r="AF38" s="289"/>
      <c r="AG38" s="289"/>
      <c r="AH38" s="289"/>
      <c r="AI38" s="289"/>
      <c r="AJ38" s="289"/>
      <c r="AK38" s="289"/>
      <c r="AL38" s="289"/>
      <c r="AM38" s="289"/>
      <c r="AN38" s="289"/>
      <c r="AO38" s="289"/>
      <c r="AP38" s="289"/>
      <c r="AQ38" s="289"/>
      <c r="AR38" s="289"/>
      <c r="AS38" s="289"/>
      <c r="AT38" s="289"/>
      <c r="AU38" s="289"/>
      <c r="AV38" s="289"/>
      <c r="AW38" s="289"/>
      <c r="AX38" s="289"/>
      <c r="AY38" s="289"/>
      <c r="AZ38" s="291"/>
      <c r="BA38" s="291"/>
      <c r="BB38" s="289"/>
      <c r="BC38" s="289"/>
      <c r="BD38" s="291"/>
      <c r="BE38" s="291"/>
      <c r="BF38" s="291"/>
      <c r="BG38" s="291"/>
      <c r="BH38" s="289"/>
      <c r="BI38" s="291"/>
      <c r="BJ38" s="289"/>
      <c r="BK38" s="289"/>
      <c r="BL38" s="289"/>
    </row>
    <row r="39" spans="1:64" ht="27" customHeight="1" x14ac:dyDescent="0.25">
      <c r="A39" s="310" t="s">
        <v>50</v>
      </c>
      <c r="B39" s="311" t="s">
        <v>383</v>
      </c>
      <c r="C39" s="238" t="s">
        <v>383</v>
      </c>
      <c r="D39" s="239">
        <v>1</v>
      </c>
      <c r="E39" s="254">
        <v>0</v>
      </c>
      <c r="F39" s="258" t="s">
        <v>16764</v>
      </c>
      <c r="G39" s="241">
        <v>0</v>
      </c>
      <c r="H39" s="241">
        <v>1</v>
      </c>
      <c r="I39" s="240" t="s">
        <v>16755</v>
      </c>
      <c r="J39" s="241">
        <v>1</v>
      </c>
      <c r="K39" s="241">
        <v>0</v>
      </c>
      <c r="L39" s="241">
        <v>0</v>
      </c>
      <c r="M39" s="240" t="s">
        <v>16754</v>
      </c>
      <c r="N39" s="241">
        <v>1</v>
      </c>
      <c r="O39" s="241">
        <v>0</v>
      </c>
      <c r="P39" s="241">
        <v>0</v>
      </c>
      <c r="Q39" s="259" t="s">
        <v>717</v>
      </c>
      <c r="R39" s="242" t="s">
        <v>16901</v>
      </c>
      <c r="S39" s="244" t="s">
        <v>25558</v>
      </c>
      <c r="T39" s="275" t="s">
        <v>646</v>
      </c>
      <c r="U39" s="275" t="str">
        <f t="shared" si="0"/>
        <v/>
      </c>
      <c r="V39" s="300" t="s">
        <v>26792</v>
      </c>
      <c r="W39" s="295" t="s">
        <v>25559</v>
      </c>
      <c r="X39" s="289"/>
      <c r="Y39" s="289"/>
      <c r="Z39" s="289"/>
      <c r="AA39" s="289"/>
      <c r="AB39" s="289"/>
      <c r="AC39" s="289"/>
      <c r="AD39" s="289"/>
      <c r="AE39" s="289"/>
      <c r="AF39" s="289"/>
      <c r="AG39" s="289"/>
      <c r="AH39" s="289"/>
      <c r="AI39" s="289"/>
      <c r="AJ39" s="289"/>
      <c r="AK39" s="289"/>
      <c r="AL39" s="289"/>
      <c r="AM39" s="289"/>
      <c r="AN39" s="289"/>
      <c r="AO39" s="289"/>
      <c r="AP39" s="289"/>
      <c r="AQ39" s="289"/>
      <c r="AR39" s="289"/>
      <c r="AS39" s="289"/>
      <c r="AT39" s="289"/>
      <c r="AU39" s="289"/>
      <c r="AV39" s="289"/>
      <c r="AW39" s="289"/>
      <c r="AX39" s="289"/>
      <c r="AY39" s="289"/>
      <c r="AZ39" s="291"/>
      <c r="BA39" s="291"/>
      <c r="BB39" s="289"/>
      <c r="BC39" s="289"/>
      <c r="BD39" s="291"/>
      <c r="BE39" s="291"/>
      <c r="BF39" s="291"/>
      <c r="BG39" s="291"/>
      <c r="BH39" s="289"/>
      <c r="BI39" s="291"/>
      <c r="BJ39" s="289"/>
      <c r="BK39" s="289"/>
      <c r="BL39" s="289"/>
    </row>
    <row r="40" spans="1:64" ht="27" customHeight="1" x14ac:dyDescent="0.25">
      <c r="A40" s="310" t="s">
        <v>51</v>
      </c>
      <c r="B40" s="311" t="s">
        <v>384</v>
      </c>
      <c r="C40" s="238" t="s">
        <v>384</v>
      </c>
      <c r="D40" s="239">
        <v>0</v>
      </c>
      <c r="E40" s="254">
        <v>1</v>
      </c>
      <c r="F40" s="258" t="s">
        <v>16753</v>
      </c>
      <c r="G40" s="241">
        <v>0</v>
      </c>
      <c r="H40" s="241">
        <v>1</v>
      </c>
      <c r="I40" s="240" t="s">
        <v>16755</v>
      </c>
      <c r="J40" s="241">
        <v>1</v>
      </c>
      <c r="K40" s="241">
        <v>0</v>
      </c>
      <c r="L40" s="241">
        <v>0</v>
      </c>
      <c r="M40" s="240" t="s">
        <v>16754</v>
      </c>
      <c r="N40" s="241">
        <v>1</v>
      </c>
      <c r="O40" s="241">
        <v>0</v>
      </c>
      <c r="P40" s="241">
        <v>0</v>
      </c>
      <c r="Q40" s="259" t="s">
        <v>717</v>
      </c>
      <c r="R40" s="242" t="s">
        <v>16901</v>
      </c>
      <c r="S40" s="244" t="s">
        <v>25560</v>
      </c>
      <c r="T40" s="275" t="s">
        <v>646</v>
      </c>
      <c r="U40" s="275" t="str">
        <f t="shared" si="0"/>
        <v/>
      </c>
      <c r="V40" s="300" t="s">
        <v>26793</v>
      </c>
      <c r="W40" s="295" t="s">
        <v>25561</v>
      </c>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91"/>
      <c r="BA40" s="291"/>
      <c r="BB40" s="289"/>
      <c r="BC40" s="289"/>
      <c r="BD40" s="291"/>
      <c r="BE40" s="291"/>
      <c r="BF40" s="291"/>
      <c r="BG40" s="291"/>
      <c r="BH40" s="289"/>
      <c r="BI40" s="291"/>
      <c r="BJ40" s="289"/>
      <c r="BK40" s="289"/>
      <c r="BL40" s="289"/>
    </row>
    <row r="41" spans="1:64" ht="27" customHeight="1" x14ac:dyDescent="0.25">
      <c r="A41" s="310" t="s">
        <v>52</v>
      </c>
      <c r="B41" s="311" t="s">
        <v>16908</v>
      </c>
      <c r="C41" s="238" t="s">
        <v>385</v>
      </c>
      <c r="D41" s="239">
        <v>0</v>
      </c>
      <c r="E41" s="254">
        <v>1</v>
      </c>
      <c r="F41" s="258" t="s">
        <v>16753</v>
      </c>
      <c r="G41" s="241">
        <v>0</v>
      </c>
      <c r="H41" s="241">
        <v>1</v>
      </c>
      <c r="I41" s="240" t="s">
        <v>16755</v>
      </c>
      <c r="J41" s="241">
        <v>1</v>
      </c>
      <c r="K41" s="241">
        <v>0</v>
      </c>
      <c r="L41" s="241">
        <v>0</v>
      </c>
      <c r="M41" s="240" t="s">
        <v>16754</v>
      </c>
      <c r="N41" s="241">
        <v>1</v>
      </c>
      <c r="O41" s="241">
        <v>0</v>
      </c>
      <c r="P41" s="241">
        <v>0</v>
      </c>
      <c r="Q41" s="259" t="s">
        <v>717</v>
      </c>
      <c r="R41" s="242" t="s">
        <v>16909</v>
      </c>
      <c r="S41" s="244" t="s">
        <v>25565</v>
      </c>
      <c r="T41" s="275" t="s">
        <v>646</v>
      </c>
      <c r="U41" s="275" t="str">
        <f t="shared" si="0"/>
        <v/>
      </c>
      <c r="V41" s="300" t="s">
        <v>26794</v>
      </c>
      <c r="W41" s="295" t="s">
        <v>25562</v>
      </c>
      <c r="X41" s="289"/>
      <c r="Y41" s="289"/>
      <c r="Z41" s="289"/>
      <c r="AA41" s="289"/>
      <c r="AB41" s="289"/>
      <c r="AC41" s="289"/>
      <c r="AD41" s="289"/>
      <c r="AE41" s="289"/>
      <c r="AF41" s="289"/>
      <c r="AG41" s="289"/>
      <c r="AH41" s="289"/>
      <c r="AI41" s="289"/>
      <c r="AJ41" s="289"/>
      <c r="AK41" s="289"/>
      <c r="AL41" s="289"/>
      <c r="AM41" s="289"/>
      <c r="AN41" s="289"/>
      <c r="AO41" s="289"/>
      <c r="AP41" s="289"/>
      <c r="AQ41" s="289"/>
      <c r="AR41" s="289"/>
      <c r="AS41" s="289"/>
      <c r="AT41" s="289"/>
      <c r="AU41" s="289"/>
      <c r="AV41" s="289"/>
      <c r="AW41" s="289"/>
      <c r="AX41" s="289"/>
      <c r="AY41" s="289"/>
      <c r="AZ41" s="291"/>
      <c r="BA41" s="291"/>
      <c r="BB41" s="289"/>
      <c r="BC41" s="289"/>
      <c r="BD41" s="291"/>
      <c r="BE41" s="291"/>
      <c r="BF41" s="291"/>
      <c r="BG41" s="291"/>
      <c r="BH41" s="289"/>
      <c r="BI41" s="291"/>
      <c r="BJ41" s="289"/>
      <c r="BK41" s="289"/>
      <c r="BL41" s="289"/>
    </row>
    <row r="42" spans="1:64" ht="27" customHeight="1" x14ac:dyDescent="0.25">
      <c r="A42" s="310" t="s">
        <v>53</v>
      </c>
      <c r="B42" s="311" t="s">
        <v>16908</v>
      </c>
      <c r="C42" s="238" t="s">
        <v>386</v>
      </c>
      <c r="D42" s="239">
        <v>0</v>
      </c>
      <c r="E42" s="254">
        <v>1</v>
      </c>
      <c r="F42" s="258" t="s">
        <v>16753</v>
      </c>
      <c r="G42" s="241">
        <v>0</v>
      </c>
      <c r="H42" s="241">
        <v>1</v>
      </c>
      <c r="I42" s="240" t="s">
        <v>16755</v>
      </c>
      <c r="J42" s="241">
        <v>1</v>
      </c>
      <c r="K42" s="241">
        <v>0</v>
      </c>
      <c r="L42" s="241">
        <v>0</v>
      </c>
      <c r="M42" s="240" t="s">
        <v>16754</v>
      </c>
      <c r="N42" s="241">
        <v>1</v>
      </c>
      <c r="O42" s="241">
        <v>0</v>
      </c>
      <c r="P42" s="241">
        <v>0</v>
      </c>
      <c r="Q42" s="259" t="s">
        <v>717</v>
      </c>
      <c r="R42" s="242" t="s">
        <v>16909</v>
      </c>
      <c r="S42" s="244" t="s">
        <v>26344</v>
      </c>
      <c r="T42" s="275" t="s">
        <v>646</v>
      </c>
      <c r="U42" s="275" t="str">
        <f t="shared" si="0"/>
        <v/>
      </c>
      <c r="V42" s="300" t="s">
        <v>26795</v>
      </c>
      <c r="W42" s="295" t="s">
        <v>25563</v>
      </c>
      <c r="X42" s="289"/>
      <c r="Y42" s="289"/>
      <c r="Z42" s="289"/>
      <c r="AA42" s="289"/>
      <c r="AB42" s="289"/>
      <c r="AC42" s="289"/>
      <c r="AD42" s="289"/>
      <c r="AE42" s="289"/>
      <c r="AF42" s="289"/>
      <c r="AG42" s="289"/>
      <c r="AH42" s="289"/>
      <c r="AI42" s="289"/>
      <c r="AJ42" s="289"/>
      <c r="AK42" s="289"/>
      <c r="AL42" s="289"/>
      <c r="AM42" s="289"/>
      <c r="AN42" s="289"/>
      <c r="AO42" s="289"/>
      <c r="AP42" s="289"/>
      <c r="AQ42" s="289"/>
      <c r="AR42" s="289"/>
      <c r="AS42" s="289"/>
      <c r="AT42" s="289"/>
      <c r="AU42" s="289"/>
      <c r="AV42" s="289"/>
      <c r="AW42" s="289"/>
      <c r="AX42" s="289"/>
      <c r="AY42" s="289"/>
      <c r="AZ42" s="291"/>
      <c r="BA42" s="291"/>
      <c r="BB42" s="289"/>
      <c r="BC42" s="289"/>
      <c r="BD42" s="291"/>
      <c r="BE42" s="291"/>
      <c r="BF42" s="291"/>
      <c r="BG42" s="291"/>
      <c r="BH42" s="289"/>
      <c r="BI42" s="291"/>
      <c r="BJ42" s="289"/>
      <c r="BK42" s="289"/>
      <c r="BL42" s="289"/>
    </row>
    <row r="43" spans="1:64" ht="27" customHeight="1" x14ac:dyDescent="0.25">
      <c r="A43" s="310" t="s">
        <v>54</v>
      </c>
      <c r="B43" s="311" t="s">
        <v>16910</v>
      </c>
      <c r="C43" s="238" t="s">
        <v>387</v>
      </c>
      <c r="D43" s="239">
        <v>0</v>
      </c>
      <c r="E43" s="254">
        <v>1</v>
      </c>
      <c r="F43" s="258" t="s">
        <v>16753</v>
      </c>
      <c r="G43" s="241">
        <v>0</v>
      </c>
      <c r="H43" s="241">
        <v>1</v>
      </c>
      <c r="I43" s="240" t="s">
        <v>16755</v>
      </c>
      <c r="J43" s="241">
        <v>1</v>
      </c>
      <c r="K43" s="241">
        <v>0</v>
      </c>
      <c r="L43" s="241">
        <v>0</v>
      </c>
      <c r="M43" s="240" t="s">
        <v>16754</v>
      </c>
      <c r="N43" s="241">
        <v>1</v>
      </c>
      <c r="O43" s="241">
        <v>0</v>
      </c>
      <c r="P43" s="241">
        <v>0</v>
      </c>
      <c r="Q43" s="259" t="s">
        <v>717</v>
      </c>
      <c r="R43" s="242" t="s">
        <v>16909</v>
      </c>
      <c r="S43" s="244" t="s">
        <v>25566</v>
      </c>
      <c r="T43" s="275" t="s">
        <v>646</v>
      </c>
      <c r="U43" s="275" t="str">
        <f t="shared" si="0"/>
        <v/>
      </c>
      <c r="V43" s="300" t="s">
        <v>26796</v>
      </c>
      <c r="W43" s="295" t="s">
        <v>25562</v>
      </c>
      <c r="X43" s="289"/>
      <c r="Y43" s="289"/>
      <c r="Z43" s="289"/>
      <c r="AA43" s="289"/>
      <c r="AB43" s="289"/>
      <c r="AC43" s="289"/>
      <c r="AD43" s="289"/>
      <c r="AE43" s="289"/>
      <c r="AF43" s="289"/>
      <c r="AG43" s="289"/>
      <c r="AH43" s="289"/>
      <c r="AI43" s="289"/>
      <c r="AJ43" s="289"/>
      <c r="AK43" s="289"/>
      <c r="AL43" s="289"/>
      <c r="AM43" s="289"/>
      <c r="AN43" s="289"/>
      <c r="AO43" s="289"/>
      <c r="AP43" s="289"/>
      <c r="AQ43" s="289"/>
      <c r="AR43" s="289"/>
      <c r="AS43" s="289"/>
      <c r="AT43" s="289"/>
      <c r="AU43" s="289"/>
      <c r="AV43" s="289"/>
      <c r="AW43" s="289"/>
      <c r="AX43" s="289"/>
      <c r="AY43" s="289"/>
      <c r="AZ43" s="291"/>
      <c r="BA43" s="291"/>
      <c r="BB43" s="289"/>
      <c r="BC43" s="289"/>
      <c r="BD43" s="291"/>
      <c r="BE43" s="291"/>
      <c r="BF43" s="291"/>
      <c r="BG43" s="291"/>
      <c r="BH43" s="289"/>
      <c r="BI43" s="291"/>
      <c r="BJ43" s="289"/>
      <c r="BK43" s="289"/>
      <c r="BL43" s="289"/>
    </row>
    <row r="44" spans="1:64" ht="27" customHeight="1" x14ac:dyDescent="0.25">
      <c r="A44" s="310" t="s">
        <v>55</v>
      </c>
      <c r="B44" s="311" t="s">
        <v>16910</v>
      </c>
      <c r="C44" s="238" t="s">
        <v>388</v>
      </c>
      <c r="D44" s="239">
        <v>0</v>
      </c>
      <c r="E44" s="254">
        <v>1</v>
      </c>
      <c r="F44" s="258" t="s">
        <v>16753</v>
      </c>
      <c r="G44" s="241">
        <v>0</v>
      </c>
      <c r="H44" s="241">
        <v>1</v>
      </c>
      <c r="I44" s="240" t="s">
        <v>16755</v>
      </c>
      <c r="J44" s="241">
        <v>1</v>
      </c>
      <c r="K44" s="241">
        <v>0</v>
      </c>
      <c r="L44" s="241">
        <v>0</v>
      </c>
      <c r="M44" s="240" t="s">
        <v>16754</v>
      </c>
      <c r="N44" s="241">
        <v>1</v>
      </c>
      <c r="O44" s="241">
        <v>0</v>
      </c>
      <c r="P44" s="241">
        <v>0</v>
      </c>
      <c r="Q44" s="259" t="s">
        <v>717</v>
      </c>
      <c r="R44" s="242" t="s">
        <v>16909</v>
      </c>
      <c r="S44" s="244" t="s">
        <v>25564</v>
      </c>
      <c r="T44" s="275" t="s">
        <v>646</v>
      </c>
      <c r="U44" s="275" t="str">
        <f t="shared" si="0"/>
        <v/>
      </c>
      <c r="V44" s="300" t="s">
        <v>26797</v>
      </c>
      <c r="W44" s="295" t="s">
        <v>25563</v>
      </c>
      <c r="X44" s="289"/>
      <c r="Y44" s="289"/>
      <c r="Z44" s="289"/>
      <c r="AA44" s="289"/>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c r="AX44" s="289"/>
      <c r="AY44" s="289"/>
      <c r="AZ44" s="291"/>
      <c r="BA44" s="291"/>
      <c r="BB44" s="289"/>
      <c r="BC44" s="289"/>
      <c r="BD44" s="291"/>
      <c r="BE44" s="291"/>
      <c r="BF44" s="291"/>
      <c r="BG44" s="291"/>
      <c r="BH44" s="289"/>
      <c r="BI44" s="291"/>
      <c r="BJ44" s="289"/>
      <c r="BK44" s="289"/>
      <c r="BL44" s="289"/>
    </row>
    <row r="45" spans="1:64" ht="27" customHeight="1" x14ac:dyDescent="0.25">
      <c r="A45" s="310" t="s">
        <v>56</v>
      </c>
      <c r="B45" s="311" t="s">
        <v>389</v>
      </c>
      <c r="C45" s="238" t="s">
        <v>389</v>
      </c>
      <c r="D45" s="239">
        <v>0</v>
      </c>
      <c r="E45" s="254">
        <v>1</v>
      </c>
      <c r="F45" s="258" t="s">
        <v>16753</v>
      </c>
      <c r="G45" s="241">
        <v>0</v>
      </c>
      <c r="H45" s="241">
        <v>1</v>
      </c>
      <c r="I45" s="240" t="s">
        <v>16755</v>
      </c>
      <c r="J45" s="241">
        <v>1</v>
      </c>
      <c r="K45" s="241">
        <v>0</v>
      </c>
      <c r="L45" s="241">
        <v>0</v>
      </c>
      <c r="M45" s="240" t="s">
        <v>16754</v>
      </c>
      <c r="N45" s="241">
        <v>1</v>
      </c>
      <c r="O45" s="241">
        <v>0</v>
      </c>
      <c r="P45" s="241">
        <v>0</v>
      </c>
      <c r="Q45" s="259" t="s">
        <v>717</v>
      </c>
      <c r="R45" s="242" t="s">
        <v>16909</v>
      </c>
      <c r="S45" s="244" t="s">
        <v>25567</v>
      </c>
      <c r="T45" s="275" t="s">
        <v>646</v>
      </c>
      <c r="U45" s="275" t="str">
        <f t="shared" si="0"/>
        <v/>
      </c>
      <c r="V45" s="300" t="s">
        <v>26798</v>
      </c>
      <c r="W45" s="295" t="s">
        <v>25562</v>
      </c>
      <c r="X45" s="289"/>
      <c r="Y45" s="289"/>
      <c r="Z45" s="289"/>
      <c r="AA45" s="289"/>
      <c r="AB45" s="289"/>
      <c r="AC45" s="289"/>
      <c r="AD45" s="289"/>
      <c r="AE45" s="289"/>
      <c r="AF45" s="289"/>
      <c r="AG45" s="289"/>
      <c r="AH45" s="289"/>
      <c r="AI45" s="289"/>
      <c r="AJ45" s="289"/>
      <c r="AK45" s="289"/>
      <c r="AL45" s="289"/>
      <c r="AM45" s="289"/>
      <c r="AN45" s="289"/>
      <c r="AO45" s="289"/>
      <c r="AP45" s="289"/>
      <c r="AQ45" s="289"/>
      <c r="AR45" s="289"/>
      <c r="AS45" s="289"/>
      <c r="AT45" s="289"/>
      <c r="AU45" s="289"/>
      <c r="AV45" s="289"/>
      <c r="AW45" s="289"/>
      <c r="AX45" s="289"/>
      <c r="AY45" s="289"/>
      <c r="AZ45" s="291"/>
      <c r="BA45" s="291"/>
      <c r="BB45" s="289"/>
      <c r="BC45" s="289"/>
      <c r="BD45" s="291"/>
      <c r="BE45" s="291"/>
      <c r="BF45" s="291"/>
      <c r="BG45" s="291"/>
      <c r="BH45" s="289"/>
      <c r="BI45" s="291"/>
      <c r="BJ45" s="289"/>
      <c r="BK45" s="289"/>
      <c r="BL45" s="289"/>
    </row>
    <row r="46" spans="1:64" ht="27" customHeight="1" x14ac:dyDescent="0.25">
      <c r="A46" s="310" t="s">
        <v>57</v>
      </c>
      <c r="B46" s="311" t="s">
        <v>16911</v>
      </c>
      <c r="C46" s="238" t="s">
        <v>390</v>
      </c>
      <c r="D46" s="239">
        <v>0</v>
      </c>
      <c r="E46" s="254">
        <v>1</v>
      </c>
      <c r="F46" s="258" t="s">
        <v>16753</v>
      </c>
      <c r="G46" s="241">
        <v>0</v>
      </c>
      <c r="H46" s="241">
        <v>1</v>
      </c>
      <c r="I46" s="240" t="s">
        <v>16755</v>
      </c>
      <c r="J46" s="241">
        <v>1</v>
      </c>
      <c r="K46" s="241">
        <v>0</v>
      </c>
      <c r="L46" s="241">
        <v>0</v>
      </c>
      <c r="M46" s="240" t="s">
        <v>16754</v>
      </c>
      <c r="N46" s="241">
        <v>1</v>
      </c>
      <c r="O46" s="241">
        <v>0</v>
      </c>
      <c r="P46" s="241">
        <v>0</v>
      </c>
      <c r="Q46" s="259" t="s">
        <v>717</v>
      </c>
      <c r="R46" s="242" t="s">
        <v>16756</v>
      </c>
      <c r="S46" s="244" t="s">
        <v>16912</v>
      </c>
      <c r="T46" s="275" t="s">
        <v>27179</v>
      </c>
      <c r="U46" s="275" t="str">
        <f t="shared" si="0"/>
        <v>Process improvement leadership|| Next refer.:In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v>
      </c>
      <c r="V46" s="300" t="s">
        <v>26799</v>
      </c>
      <c r="W46" s="295"/>
      <c r="X46" s="289"/>
      <c r="Y46" s="289"/>
      <c r="Z46" s="289"/>
      <c r="AA46" s="289"/>
      <c r="AB46" s="289"/>
      <c r="AC46" s="289"/>
      <c r="AD46" s="289"/>
      <c r="AE46" s="289"/>
      <c r="AF46" s="289"/>
      <c r="AG46" s="289"/>
      <c r="AH46" s="289"/>
      <c r="AI46" s="289"/>
      <c r="AJ46" s="289"/>
      <c r="AK46" s="289"/>
      <c r="AL46" s="289"/>
      <c r="AM46" s="289"/>
      <c r="AN46" s="289"/>
      <c r="AO46" s="289"/>
      <c r="AP46" s="289"/>
      <c r="AQ46" s="289"/>
      <c r="AR46" s="289"/>
      <c r="AS46" s="289"/>
      <c r="AT46" s="289"/>
      <c r="AU46" s="289"/>
      <c r="AV46" s="289"/>
      <c r="AW46" s="289"/>
      <c r="AX46" s="289" t="s">
        <v>27095</v>
      </c>
      <c r="AY46" s="289"/>
      <c r="AZ46" s="289"/>
      <c r="BA46" s="289"/>
      <c r="BB46" s="290"/>
      <c r="BC46" s="289"/>
      <c r="BD46" s="291"/>
      <c r="BE46" s="291"/>
      <c r="BF46" s="291"/>
      <c r="BG46" s="291"/>
      <c r="BH46" s="289"/>
      <c r="BI46" s="291"/>
      <c r="BJ46" s="289" t="s">
        <v>16913</v>
      </c>
      <c r="BK46" s="289"/>
      <c r="BL46" s="289"/>
    </row>
    <row r="47" spans="1:64" ht="27" customHeight="1" x14ac:dyDescent="0.25">
      <c r="A47" s="310" t="s">
        <v>58</v>
      </c>
      <c r="B47" s="311" t="s">
        <v>16914</v>
      </c>
      <c r="C47" s="238" t="s">
        <v>391</v>
      </c>
      <c r="D47" s="239">
        <v>0</v>
      </c>
      <c r="E47" s="254">
        <v>1</v>
      </c>
      <c r="F47" s="258" t="s">
        <v>16753</v>
      </c>
      <c r="G47" s="241">
        <v>0</v>
      </c>
      <c r="H47" s="241">
        <v>1</v>
      </c>
      <c r="I47" s="240" t="s">
        <v>16755</v>
      </c>
      <c r="J47" s="241">
        <v>1</v>
      </c>
      <c r="K47" s="241">
        <v>0</v>
      </c>
      <c r="L47" s="241">
        <v>0</v>
      </c>
      <c r="M47" s="240" t="s">
        <v>16754</v>
      </c>
      <c r="N47" s="241">
        <v>1</v>
      </c>
      <c r="O47" s="241">
        <v>0</v>
      </c>
      <c r="P47" s="241">
        <v>0</v>
      </c>
      <c r="Q47" s="259" t="s">
        <v>717</v>
      </c>
      <c r="R47" s="242" t="s">
        <v>16756</v>
      </c>
      <c r="S47" s="244" t="s">
        <v>16915</v>
      </c>
      <c r="T47" s="275" t="s">
        <v>16916</v>
      </c>
      <c r="U47" s="275" t="str">
        <f t="shared" si="0"/>
        <v>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v>
      </c>
      <c r="V47" s="300" t="s">
        <v>26800</v>
      </c>
      <c r="W47" s="295"/>
      <c r="X47" s="289"/>
      <c r="Y47" s="289"/>
      <c r="Z47" s="289"/>
      <c r="AA47" s="289"/>
      <c r="AB47" s="289"/>
      <c r="AC47" s="289"/>
      <c r="AD47" s="289"/>
      <c r="AE47" s="289"/>
      <c r="AF47" s="289"/>
      <c r="AG47" s="289"/>
      <c r="AH47" s="289"/>
      <c r="AI47" s="289"/>
      <c r="AJ47" s="289"/>
      <c r="AK47" s="289"/>
      <c r="AL47" s="289"/>
      <c r="AM47" s="289"/>
      <c r="AN47" s="289" t="s">
        <v>16916</v>
      </c>
      <c r="AO47" s="289"/>
      <c r="AP47" s="289"/>
      <c r="AQ47" s="289"/>
      <c r="AR47" s="289"/>
      <c r="AS47" s="289"/>
      <c r="AT47" s="289"/>
      <c r="AU47" s="289"/>
      <c r="AV47" s="289"/>
      <c r="AW47" s="289"/>
      <c r="AX47" s="289"/>
      <c r="AY47" s="289"/>
      <c r="AZ47" s="291"/>
      <c r="BA47" s="291"/>
      <c r="BB47" s="289"/>
      <c r="BC47" s="289"/>
      <c r="BD47" s="291"/>
      <c r="BE47" s="291"/>
      <c r="BF47" s="291"/>
      <c r="BG47" s="291"/>
      <c r="BH47" s="289"/>
      <c r="BI47" s="291"/>
      <c r="BJ47" s="289"/>
      <c r="BK47" s="289"/>
      <c r="BL47" s="289"/>
    </row>
    <row r="48" spans="1:64" ht="27" customHeight="1" x14ac:dyDescent="0.25">
      <c r="A48" s="310" t="s">
        <v>59</v>
      </c>
      <c r="B48" s="311" t="s">
        <v>16917</v>
      </c>
      <c r="C48" s="238" t="s">
        <v>392</v>
      </c>
      <c r="D48" s="239">
        <v>0</v>
      </c>
      <c r="E48" s="254">
        <v>1</v>
      </c>
      <c r="F48" s="258" t="s">
        <v>16753</v>
      </c>
      <c r="G48" s="241">
        <v>0</v>
      </c>
      <c r="H48" s="241">
        <v>1</v>
      </c>
      <c r="I48" s="240" t="s">
        <v>16755</v>
      </c>
      <c r="J48" s="241">
        <v>0</v>
      </c>
      <c r="K48" s="241">
        <v>0</v>
      </c>
      <c r="L48" s="241">
        <v>1</v>
      </c>
      <c r="M48" s="240" t="s">
        <v>16832</v>
      </c>
      <c r="N48" s="241">
        <v>1</v>
      </c>
      <c r="O48" s="241">
        <v>0</v>
      </c>
      <c r="P48" s="241">
        <v>0</v>
      </c>
      <c r="Q48" s="259" t="s">
        <v>717</v>
      </c>
      <c r="R48" s="242" t="s">
        <v>16756</v>
      </c>
      <c r="S48" s="244" t="s">
        <v>16918</v>
      </c>
      <c r="T48" s="275" t="s">
        <v>27180</v>
      </c>
      <c r="U48" s="275" t="str">
        <f t="shared" si="0"/>
        <v>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 Next refer.:SF4 Accountability|| Next refer.:Moreover,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v>
      </c>
      <c r="V48" s="300" t="s">
        <v>26801</v>
      </c>
      <c r="W48" s="295"/>
      <c r="X48" s="289"/>
      <c r="Y48" s="289"/>
      <c r="Z48" s="289"/>
      <c r="AA48" s="289"/>
      <c r="AB48" s="289"/>
      <c r="AC48" s="289"/>
      <c r="AD48" s="289"/>
      <c r="AE48" s="289"/>
      <c r="AF48" s="289"/>
      <c r="AG48" s="289"/>
      <c r="AH48" s="289"/>
      <c r="AI48" s="289"/>
      <c r="AJ48" s="289"/>
      <c r="AK48" s="289"/>
      <c r="AL48" s="289" t="s">
        <v>27096</v>
      </c>
      <c r="AM48" s="289"/>
      <c r="AN48" s="289"/>
      <c r="AO48" s="289"/>
      <c r="AP48" s="289"/>
      <c r="AQ48" s="289"/>
      <c r="AR48" s="289"/>
      <c r="AS48" s="289" t="s">
        <v>16919</v>
      </c>
      <c r="AT48" s="289"/>
      <c r="AU48" s="289"/>
      <c r="AV48" s="289"/>
      <c r="AW48" s="289"/>
      <c r="AX48" s="289"/>
      <c r="AY48" s="289"/>
      <c r="AZ48" s="291"/>
      <c r="BA48" s="291"/>
      <c r="BB48" s="289" t="s">
        <v>16920</v>
      </c>
      <c r="BC48" s="289"/>
      <c r="BD48" s="291"/>
      <c r="BE48" s="291"/>
      <c r="BF48" s="291"/>
      <c r="BG48" s="291"/>
      <c r="BH48" s="289"/>
      <c r="BI48" s="291"/>
      <c r="BJ48" s="289"/>
      <c r="BK48" s="289"/>
      <c r="BL48" s="289"/>
    </row>
    <row r="49" spans="1:64" ht="27" customHeight="1" x14ac:dyDescent="0.25">
      <c r="A49" s="310" t="s">
        <v>60</v>
      </c>
      <c r="B49" s="311" t="s">
        <v>16921</v>
      </c>
      <c r="C49" s="238" t="s">
        <v>16922</v>
      </c>
      <c r="D49" s="239">
        <v>1</v>
      </c>
      <c r="E49" s="254">
        <v>0</v>
      </c>
      <c r="F49" s="258" t="s">
        <v>16764</v>
      </c>
      <c r="G49" s="241">
        <v>1</v>
      </c>
      <c r="H49" s="241">
        <v>0</v>
      </c>
      <c r="I49" s="240" t="s">
        <v>16765</v>
      </c>
      <c r="J49" s="241">
        <v>0</v>
      </c>
      <c r="K49" s="241">
        <v>0</v>
      </c>
      <c r="L49" s="241">
        <v>1</v>
      </c>
      <c r="M49" s="240" t="s">
        <v>16832</v>
      </c>
      <c r="N49" s="241">
        <v>1</v>
      </c>
      <c r="O49" s="241">
        <v>0</v>
      </c>
      <c r="P49" s="241">
        <v>0</v>
      </c>
      <c r="Q49" s="259" t="s">
        <v>717</v>
      </c>
      <c r="R49" s="242" t="s">
        <v>16756</v>
      </c>
      <c r="S49" s="244" t="s">
        <v>16923</v>
      </c>
      <c r="T49" s="275" t="s">
        <v>27181</v>
      </c>
      <c r="U49" s="275" t="str">
        <f t="shared" si="0"/>
        <v>Vision and mission of demanded changes|| Next refer.:Goals and responsibilities of teams on business process|| Next refer.:Paasivaara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v>
      </c>
      <c r="V49" s="300" t="s">
        <v>26802</v>
      </c>
      <c r="W49" s="295"/>
      <c r="X49" s="289"/>
      <c r="Y49" s="289"/>
      <c r="Z49" s="289"/>
      <c r="AA49" s="289"/>
      <c r="AB49" s="289"/>
      <c r="AC49" s="289"/>
      <c r="AD49" s="289"/>
      <c r="AE49" s="289"/>
      <c r="AF49" s="289"/>
      <c r="AG49" s="289"/>
      <c r="AH49" s="289"/>
      <c r="AI49" s="289"/>
      <c r="AJ49" s="289"/>
      <c r="AK49" s="289"/>
      <c r="AL49" s="289" t="s">
        <v>16924</v>
      </c>
      <c r="AM49" s="289"/>
      <c r="AN49" s="289"/>
      <c r="AO49" s="289" t="s">
        <v>16925</v>
      </c>
      <c r="AP49" s="289"/>
      <c r="AQ49" s="289"/>
      <c r="AR49" s="289"/>
      <c r="AS49" s="289"/>
      <c r="AT49" s="289"/>
      <c r="AU49" s="289"/>
      <c r="AV49" s="289"/>
      <c r="AW49" s="289"/>
      <c r="AX49" s="289"/>
      <c r="AY49" s="289"/>
      <c r="AZ49" s="291"/>
      <c r="BA49" s="291"/>
      <c r="BB49" s="289" t="s">
        <v>16926</v>
      </c>
      <c r="BC49" s="289"/>
      <c r="BD49" s="291"/>
      <c r="BE49" s="291"/>
      <c r="BF49" s="291"/>
      <c r="BG49" s="291"/>
      <c r="BH49" s="289"/>
      <c r="BI49" s="291"/>
      <c r="BJ49" s="289"/>
      <c r="BK49" s="289"/>
      <c r="BL49" s="289"/>
    </row>
    <row r="50" spans="1:64" ht="27" customHeight="1" x14ac:dyDescent="0.25">
      <c r="A50" s="310" t="s">
        <v>61</v>
      </c>
      <c r="B50" s="311" t="s">
        <v>25540</v>
      </c>
      <c r="C50" s="238" t="s">
        <v>394</v>
      </c>
      <c r="D50" s="239">
        <v>1</v>
      </c>
      <c r="E50" s="254">
        <v>0</v>
      </c>
      <c r="F50" s="258" t="s">
        <v>16764</v>
      </c>
      <c r="G50" s="241">
        <v>1</v>
      </c>
      <c r="H50" s="241">
        <v>0</v>
      </c>
      <c r="I50" s="240" t="s">
        <v>16765</v>
      </c>
      <c r="J50" s="241">
        <v>0</v>
      </c>
      <c r="K50" s="241">
        <v>0</v>
      </c>
      <c r="L50" s="241">
        <v>1</v>
      </c>
      <c r="M50" s="240" t="s">
        <v>16832</v>
      </c>
      <c r="N50" s="241">
        <v>1</v>
      </c>
      <c r="O50" s="241">
        <v>0</v>
      </c>
      <c r="P50" s="241">
        <v>0</v>
      </c>
      <c r="Q50" s="259" t="s">
        <v>717</v>
      </c>
      <c r="R50" s="242" t="s">
        <v>16775</v>
      </c>
      <c r="S50" s="244" t="s">
        <v>16927</v>
      </c>
      <c r="T50" s="275" t="s">
        <v>27182</v>
      </c>
      <c r="U50" s="275" t="str">
        <f t="shared" si="0"/>
        <v>Induction Program, Training on Application Functionality, On the job Training, Trainee ramp up|| Next refer.:The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refer.:To perform ARCM activities in a GSD environment, an F5 (Training and monitoring) environment should be developed. Thus, training sessions with senior members and independent external experts should be established. While implementing the requested requirement changes,</v>
      </c>
      <c r="V50" s="300" t="s">
        <v>26803</v>
      </c>
      <c r="W50" s="295"/>
      <c r="X50" s="289"/>
      <c r="Y50" s="289"/>
      <c r="Z50" s="289"/>
      <c r="AA50" s="289"/>
      <c r="AB50" s="289"/>
      <c r="AC50" s="289"/>
      <c r="AD50" s="289"/>
      <c r="AE50" s="289"/>
      <c r="AF50" s="289"/>
      <c r="AG50" s="289"/>
      <c r="AH50" s="289"/>
      <c r="AI50" s="289"/>
      <c r="AJ50" s="289"/>
      <c r="AK50" s="289"/>
      <c r="AL50" s="289"/>
      <c r="AM50" s="289"/>
      <c r="AN50" s="289"/>
      <c r="AO50" s="289"/>
      <c r="AP50" s="289"/>
      <c r="AQ50" s="289"/>
      <c r="AR50" s="289" t="s">
        <v>16928</v>
      </c>
      <c r="AS50" s="289"/>
      <c r="AT50" s="289"/>
      <c r="AU50" s="289"/>
      <c r="AV50" s="289"/>
      <c r="AW50" s="289"/>
      <c r="AX50" s="289"/>
      <c r="AY50" s="289" t="s">
        <v>16929</v>
      </c>
      <c r="AZ50" s="291"/>
      <c r="BA50" s="291"/>
      <c r="BB50" s="289" t="s">
        <v>16930</v>
      </c>
      <c r="BC50" s="289"/>
      <c r="BD50" s="291"/>
      <c r="BE50" s="291"/>
      <c r="BF50" s="291"/>
      <c r="BG50" s="291"/>
      <c r="BH50" s="289"/>
      <c r="BI50" s="291"/>
      <c r="BJ50" s="289"/>
      <c r="BK50" s="289"/>
      <c r="BL50" s="289"/>
    </row>
    <row r="51" spans="1:64" ht="27" customHeight="1" x14ac:dyDescent="0.25">
      <c r="A51" s="310" t="s">
        <v>62</v>
      </c>
      <c r="B51" s="311" t="s">
        <v>16931</v>
      </c>
      <c r="C51" s="238" t="s">
        <v>395</v>
      </c>
      <c r="D51" s="239">
        <v>0</v>
      </c>
      <c r="E51" s="254">
        <v>1</v>
      </c>
      <c r="F51" s="258" t="s">
        <v>16753</v>
      </c>
      <c r="G51" s="241">
        <v>0</v>
      </c>
      <c r="H51" s="241">
        <v>1</v>
      </c>
      <c r="I51" s="240" t="s">
        <v>16755</v>
      </c>
      <c r="J51" s="241">
        <v>1</v>
      </c>
      <c r="K51" s="241">
        <v>0</v>
      </c>
      <c r="L51" s="241">
        <v>0</v>
      </c>
      <c r="M51" s="240" t="s">
        <v>16754</v>
      </c>
      <c r="N51" s="241">
        <v>1</v>
      </c>
      <c r="O51" s="241">
        <v>0</v>
      </c>
      <c r="P51" s="241">
        <v>0</v>
      </c>
      <c r="Q51" s="259" t="s">
        <v>717</v>
      </c>
      <c r="R51" s="242" t="s">
        <v>16756</v>
      </c>
      <c r="S51" s="244" t="s">
        <v>16932</v>
      </c>
      <c r="T51" s="275" t="s">
        <v>27183</v>
      </c>
      <c r="U51" s="275" t="str">
        <f t="shared" si="0"/>
        <v>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 Next refer.:While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v>
      </c>
      <c r="V51" s="300" t="s">
        <v>26804</v>
      </c>
      <c r="W51" s="295"/>
      <c r="X51" s="289"/>
      <c r="Y51" s="289"/>
      <c r="Z51" s="289"/>
      <c r="AA51" s="289"/>
      <c r="AB51" s="289"/>
      <c r="AC51" s="289"/>
      <c r="AD51" s="289"/>
      <c r="AE51" s="289"/>
      <c r="AF51" s="289"/>
      <c r="AG51" s="289"/>
      <c r="AH51" s="289"/>
      <c r="AI51" s="289"/>
      <c r="AJ51" s="289"/>
      <c r="AK51" s="289"/>
      <c r="AL51" s="289"/>
      <c r="AM51" s="289"/>
      <c r="AN51" s="289"/>
      <c r="AO51" s="289"/>
      <c r="AP51" s="289"/>
      <c r="AQ51" s="289"/>
      <c r="AR51" s="289"/>
      <c r="AS51" s="289"/>
      <c r="AT51" s="289"/>
      <c r="AU51" s="289"/>
      <c r="AV51" s="289"/>
      <c r="AW51" s="289"/>
      <c r="AX51" s="289"/>
      <c r="AY51" s="289" t="s">
        <v>16933</v>
      </c>
      <c r="AZ51" s="291"/>
      <c r="BA51" s="291"/>
      <c r="BB51" s="289" t="s">
        <v>16934</v>
      </c>
      <c r="BC51" s="289"/>
      <c r="BD51" s="291"/>
      <c r="BE51" s="291"/>
      <c r="BF51" s="291"/>
      <c r="BG51" s="291"/>
      <c r="BH51" s="289"/>
      <c r="BI51" s="291"/>
      <c r="BJ51" s="289"/>
      <c r="BK51" s="289"/>
      <c r="BL51" s="289"/>
    </row>
    <row r="52" spans="1:64" ht="27" customHeight="1" x14ac:dyDescent="0.25">
      <c r="A52" s="310" t="s">
        <v>63</v>
      </c>
      <c r="B52" s="311" t="s">
        <v>26349</v>
      </c>
      <c r="C52" s="238" t="s">
        <v>396</v>
      </c>
      <c r="D52" s="239">
        <v>0</v>
      </c>
      <c r="E52" s="254">
        <v>1</v>
      </c>
      <c r="F52" s="258" t="s">
        <v>16753</v>
      </c>
      <c r="G52" s="241">
        <v>0</v>
      </c>
      <c r="H52" s="241">
        <v>1</v>
      </c>
      <c r="I52" s="240" t="s">
        <v>16755</v>
      </c>
      <c r="J52" s="241">
        <v>1</v>
      </c>
      <c r="K52" s="241">
        <v>0</v>
      </c>
      <c r="L52" s="241">
        <v>0</v>
      </c>
      <c r="M52" s="240" t="s">
        <v>16754</v>
      </c>
      <c r="N52" s="241">
        <v>1</v>
      </c>
      <c r="O52" s="241">
        <v>0</v>
      </c>
      <c r="P52" s="241">
        <v>0</v>
      </c>
      <c r="Q52" s="259" t="s">
        <v>717</v>
      </c>
      <c r="R52" s="242" t="s">
        <v>16756</v>
      </c>
      <c r="S52" s="244" t="s">
        <v>16936</v>
      </c>
      <c r="T52" s="275" t="s">
        <v>16937</v>
      </c>
      <c r="U52" s="275" t="str">
        <f t="shared" si="0"/>
        <v>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v>
      </c>
      <c r="V52" s="300" t="s">
        <v>26805</v>
      </c>
      <c r="W52" s="295"/>
      <c r="X52" s="289"/>
      <c r="Y52" s="289"/>
      <c r="Z52" s="289"/>
      <c r="AA52" s="289"/>
      <c r="AB52" s="289"/>
      <c r="AC52" s="289"/>
      <c r="AD52" s="289"/>
      <c r="AE52" s="289"/>
      <c r="AF52" s="289"/>
      <c r="AG52" s="289"/>
      <c r="AH52" s="289"/>
      <c r="AI52" s="289"/>
      <c r="AJ52" s="289"/>
      <c r="AK52" s="289"/>
      <c r="AL52" s="289"/>
      <c r="AM52" s="289"/>
      <c r="AN52" s="289"/>
      <c r="AO52" s="289"/>
      <c r="AP52" s="289"/>
      <c r="AQ52" s="289"/>
      <c r="AR52" s="289"/>
      <c r="AS52" s="289"/>
      <c r="AT52" s="289"/>
      <c r="AU52" s="289"/>
      <c r="AV52" s="289"/>
      <c r="AW52" s="289"/>
      <c r="AX52" s="289"/>
      <c r="AY52" s="289"/>
      <c r="AZ52" s="291"/>
      <c r="BA52" s="291"/>
      <c r="BB52" s="289" t="s">
        <v>16937</v>
      </c>
      <c r="BC52" s="289"/>
      <c r="BD52" s="291"/>
      <c r="BE52" s="291"/>
      <c r="BF52" s="291"/>
      <c r="BG52" s="291"/>
      <c r="BH52" s="289"/>
      <c r="BI52" s="291"/>
      <c r="BJ52" s="289"/>
      <c r="BK52" s="289"/>
      <c r="BL52" s="289"/>
    </row>
    <row r="53" spans="1:64" ht="27" customHeight="1" x14ac:dyDescent="0.25">
      <c r="A53" s="310" t="s">
        <v>64</v>
      </c>
      <c r="B53" s="311" t="s">
        <v>17364</v>
      </c>
      <c r="C53" s="238" t="s">
        <v>397</v>
      </c>
      <c r="D53" s="239">
        <v>0</v>
      </c>
      <c r="E53" s="254">
        <v>1</v>
      </c>
      <c r="F53" s="258" t="s">
        <v>16753</v>
      </c>
      <c r="G53" s="241">
        <v>0</v>
      </c>
      <c r="H53" s="241">
        <v>1</v>
      </c>
      <c r="I53" s="240" t="s">
        <v>16755</v>
      </c>
      <c r="J53" s="241">
        <v>1</v>
      </c>
      <c r="K53" s="241">
        <v>0</v>
      </c>
      <c r="L53" s="241">
        <v>0</v>
      </c>
      <c r="M53" s="240" t="s">
        <v>16754</v>
      </c>
      <c r="N53" s="241">
        <v>1</v>
      </c>
      <c r="O53" s="241">
        <v>0</v>
      </c>
      <c r="P53" s="241">
        <v>0</v>
      </c>
      <c r="Q53" s="259" t="s">
        <v>717</v>
      </c>
      <c r="R53" s="242" t="s">
        <v>16756</v>
      </c>
      <c r="S53" s="244" t="s">
        <v>16938</v>
      </c>
      <c r="T53" s="275" t="s">
        <v>27184</v>
      </c>
      <c r="U53" s="275" t="str">
        <f t="shared" si="0"/>
        <v>Lack of formal communication|| Next refer.:Building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 Next refer.:Arduous relationship among team members (global service climate)|| Next refer.:Noll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v>
      </c>
      <c r="V53" s="300" t="s">
        <v>26806</v>
      </c>
      <c r="W53" s="295"/>
      <c r="X53" s="289"/>
      <c r="Y53" s="289"/>
      <c r="Z53" s="289" t="s">
        <v>17365</v>
      </c>
      <c r="AA53" s="289"/>
      <c r="AB53" s="289"/>
      <c r="AC53" s="289"/>
      <c r="AD53" s="289"/>
      <c r="AE53" s="289"/>
      <c r="AF53" s="289"/>
      <c r="AG53" s="289"/>
      <c r="AH53" s="289" t="s">
        <v>27140</v>
      </c>
      <c r="AI53" s="289"/>
      <c r="AJ53" s="289"/>
      <c r="AK53" s="289"/>
      <c r="AL53" s="289"/>
      <c r="AM53" s="289"/>
      <c r="AN53" s="289"/>
      <c r="AO53" s="289"/>
      <c r="AP53" s="289"/>
      <c r="AQ53" s="289"/>
      <c r="AR53" s="289"/>
      <c r="AS53" s="289"/>
      <c r="AT53" s="289"/>
      <c r="AU53" s="289"/>
      <c r="AV53" s="289"/>
      <c r="AW53" s="289"/>
      <c r="AX53" s="289" t="s">
        <v>16939</v>
      </c>
      <c r="AY53" s="289"/>
      <c r="AZ53" s="291"/>
      <c r="BA53" s="291"/>
      <c r="BB53" s="289" t="s">
        <v>16940</v>
      </c>
      <c r="BC53" s="289"/>
      <c r="BD53" s="291"/>
      <c r="BE53" s="291"/>
      <c r="BF53" s="291"/>
      <c r="BG53" s="291"/>
      <c r="BH53" s="289"/>
      <c r="BI53" s="291"/>
      <c r="BJ53" s="289"/>
      <c r="BK53" s="289"/>
      <c r="BL53" s="289"/>
    </row>
    <row r="54" spans="1:64" ht="27" customHeight="1" x14ac:dyDescent="0.25">
      <c r="A54" s="310" t="s">
        <v>65</v>
      </c>
      <c r="B54" s="311" t="s">
        <v>398</v>
      </c>
      <c r="C54" s="238" t="s">
        <v>17361</v>
      </c>
      <c r="D54" s="239">
        <v>0</v>
      </c>
      <c r="E54" s="254">
        <v>1</v>
      </c>
      <c r="F54" s="258" t="s">
        <v>16753</v>
      </c>
      <c r="G54" s="241">
        <v>0</v>
      </c>
      <c r="H54" s="241">
        <v>1</v>
      </c>
      <c r="I54" s="240" t="s">
        <v>16755</v>
      </c>
      <c r="J54" s="241">
        <v>1</v>
      </c>
      <c r="K54" s="241">
        <v>0</v>
      </c>
      <c r="L54" s="241">
        <v>0</v>
      </c>
      <c r="M54" s="240" t="s">
        <v>16754</v>
      </c>
      <c r="N54" s="241">
        <v>0</v>
      </c>
      <c r="O54" s="241">
        <v>1</v>
      </c>
      <c r="P54" s="241">
        <v>0</v>
      </c>
      <c r="Q54" s="259" t="s">
        <v>16827</v>
      </c>
      <c r="R54" s="242" t="s">
        <v>16756</v>
      </c>
      <c r="S54" s="244" t="s">
        <v>16941</v>
      </c>
      <c r="T54" s="275" t="s">
        <v>27185</v>
      </c>
      <c r="U54" s="275" t="str">
        <f t="shared" si="0"/>
        <v>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 Next refer.:Effects of IT human capability</v>
      </c>
      <c r="V54" s="300" t="s">
        <v>26807</v>
      </c>
      <c r="W54" s="295"/>
      <c r="X54" s="289"/>
      <c r="Y54" s="289"/>
      <c r="Z54" s="289"/>
      <c r="AA54" s="289"/>
      <c r="AB54" s="289"/>
      <c r="AC54" s="289"/>
      <c r="AD54" s="289"/>
      <c r="AE54" s="289"/>
      <c r="AF54" s="289"/>
      <c r="AG54" s="289"/>
      <c r="AH54" s="289"/>
      <c r="AI54" s="289"/>
      <c r="AJ54" s="289"/>
      <c r="AK54" s="289"/>
      <c r="AL54" s="289"/>
      <c r="AM54" s="289"/>
      <c r="AN54" s="289"/>
      <c r="AO54" s="289"/>
      <c r="AP54" s="289"/>
      <c r="AQ54" s="289"/>
      <c r="AR54" s="289"/>
      <c r="AS54" s="289"/>
      <c r="AT54" s="289"/>
      <c r="AU54" s="289"/>
      <c r="AV54" s="289"/>
      <c r="AW54" s="289"/>
      <c r="AX54" s="289"/>
      <c r="AY54" s="289"/>
      <c r="AZ54" s="291"/>
      <c r="BA54" s="291"/>
      <c r="BB54" s="289" t="s">
        <v>16942</v>
      </c>
      <c r="BC54" s="289"/>
      <c r="BD54" s="291"/>
      <c r="BE54" s="291"/>
      <c r="BF54" s="291"/>
      <c r="BG54" s="291"/>
      <c r="BH54" s="289"/>
      <c r="BI54" s="291"/>
      <c r="BJ54" s="289"/>
      <c r="BK54" s="289" t="s">
        <v>16943</v>
      </c>
      <c r="BL54" s="289"/>
    </row>
    <row r="55" spans="1:64" ht="27" customHeight="1" x14ac:dyDescent="0.25">
      <c r="A55" s="310" t="s">
        <v>66</v>
      </c>
      <c r="B55" s="311" t="s">
        <v>26024</v>
      </c>
      <c r="C55" s="238" t="s">
        <v>399</v>
      </c>
      <c r="D55" s="239">
        <v>1</v>
      </c>
      <c r="E55" s="254">
        <v>0</v>
      </c>
      <c r="F55" s="258" t="s">
        <v>16764</v>
      </c>
      <c r="G55" s="241">
        <v>1</v>
      </c>
      <c r="H55" s="241">
        <v>0</v>
      </c>
      <c r="I55" s="240" t="s">
        <v>16765</v>
      </c>
      <c r="J55" s="241">
        <v>0</v>
      </c>
      <c r="K55" s="241">
        <v>0</v>
      </c>
      <c r="L55" s="241">
        <v>1</v>
      </c>
      <c r="M55" s="240" t="s">
        <v>16832</v>
      </c>
      <c r="N55" s="241">
        <v>1</v>
      </c>
      <c r="O55" s="241">
        <v>0</v>
      </c>
      <c r="P55" s="241">
        <v>0</v>
      </c>
      <c r="Q55" s="259" t="s">
        <v>717</v>
      </c>
      <c r="R55" s="242" t="s">
        <v>16756</v>
      </c>
      <c r="S55" s="244" t="s">
        <v>16944</v>
      </c>
      <c r="T55" s="275" t="s">
        <v>16945</v>
      </c>
      <c r="U55" s="275" t="str">
        <f t="shared" si="0"/>
        <v>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v>
      </c>
      <c r="V55" s="300" t="s">
        <v>26808</v>
      </c>
      <c r="W55" s="295"/>
      <c r="X55" s="289"/>
      <c r="Y55" s="289"/>
      <c r="Z55" s="289"/>
      <c r="AA55" s="289"/>
      <c r="AB55" s="289"/>
      <c r="AC55" s="289"/>
      <c r="AD55" s="289"/>
      <c r="AE55" s="289"/>
      <c r="AF55" s="289"/>
      <c r="AG55" s="289"/>
      <c r="AH55" s="289"/>
      <c r="AI55" s="289"/>
      <c r="AJ55" s="289"/>
      <c r="AK55" s="289"/>
      <c r="AL55" s="289"/>
      <c r="AM55" s="289"/>
      <c r="AN55" s="289"/>
      <c r="AO55" s="289"/>
      <c r="AP55" s="289" t="s">
        <v>16945</v>
      </c>
      <c r="AQ55" s="289"/>
      <c r="AR55" s="289"/>
      <c r="AS55" s="289"/>
      <c r="AT55" s="289"/>
      <c r="AU55" s="289"/>
      <c r="AV55" s="289"/>
      <c r="AW55" s="289"/>
      <c r="AX55" s="289"/>
      <c r="AY55" s="289"/>
      <c r="AZ55" s="291"/>
      <c r="BA55" s="291"/>
      <c r="BB55" s="289"/>
      <c r="BC55" s="289"/>
      <c r="BD55" s="291"/>
      <c r="BE55" s="291"/>
      <c r="BF55" s="291"/>
      <c r="BG55" s="291"/>
      <c r="BH55" s="289"/>
      <c r="BI55" s="291"/>
      <c r="BJ55" s="289"/>
      <c r="BK55" s="289"/>
      <c r="BL55" s="289"/>
    </row>
    <row r="56" spans="1:64" ht="27" customHeight="1" x14ac:dyDescent="0.25">
      <c r="A56" s="310" t="s">
        <v>67</v>
      </c>
      <c r="B56" s="311" t="s">
        <v>26025</v>
      </c>
      <c r="C56" s="238" t="s">
        <v>400</v>
      </c>
      <c r="D56" s="239">
        <v>1</v>
      </c>
      <c r="E56" s="254">
        <v>0</v>
      </c>
      <c r="F56" s="258" t="s">
        <v>16764</v>
      </c>
      <c r="G56" s="241">
        <v>1</v>
      </c>
      <c r="H56" s="241">
        <v>0</v>
      </c>
      <c r="I56" s="240" t="s">
        <v>16765</v>
      </c>
      <c r="J56" s="241">
        <v>0</v>
      </c>
      <c r="K56" s="241">
        <v>0</v>
      </c>
      <c r="L56" s="241">
        <v>1</v>
      </c>
      <c r="M56" s="240" t="s">
        <v>16832</v>
      </c>
      <c r="N56" s="241">
        <v>1</v>
      </c>
      <c r="O56" s="241">
        <v>0</v>
      </c>
      <c r="P56" s="241">
        <v>0</v>
      </c>
      <c r="Q56" s="259" t="s">
        <v>717</v>
      </c>
      <c r="R56" s="242" t="s">
        <v>16756</v>
      </c>
      <c r="S56" s="244" t="s">
        <v>16946</v>
      </c>
      <c r="T56" s="275" t="s">
        <v>27186</v>
      </c>
      <c r="U56" s="275" t="str">
        <f t="shared" si="0"/>
        <v>It allows to see the general modification status of each requirement. RMS represents the degree of modification of a requirement by comparing the same requirement with the previous version.|| Next refer.:Requirement traceability, change impact analysis|| Next refer.:CCH6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v>
      </c>
      <c r="V56" s="300" t="s">
        <v>26809</v>
      </c>
      <c r="W56" s="295"/>
      <c r="X56" s="289"/>
      <c r="Y56" s="289"/>
      <c r="Z56" s="289"/>
      <c r="AA56" s="289"/>
      <c r="AB56" s="289"/>
      <c r="AC56" s="289"/>
      <c r="AD56" s="289"/>
      <c r="AE56" s="289"/>
      <c r="AF56" s="289"/>
      <c r="AG56" s="289" t="s">
        <v>25517</v>
      </c>
      <c r="AH56" s="289"/>
      <c r="AI56" s="289"/>
      <c r="AJ56" s="289"/>
      <c r="AK56" s="289"/>
      <c r="AL56" s="289"/>
      <c r="AM56" s="289"/>
      <c r="AN56" s="289"/>
      <c r="AO56" s="289"/>
      <c r="AP56" s="289"/>
      <c r="AQ56" s="289"/>
      <c r="AR56" s="289" t="s">
        <v>27097</v>
      </c>
      <c r="AS56" s="289"/>
      <c r="AT56" s="289"/>
      <c r="AU56" s="289"/>
      <c r="AV56" s="289"/>
      <c r="AW56" s="289"/>
      <c r="AX56" s="289"/>
      <c r="AY56" s="289"/>
      <c r="AZ56" s="291"/>
      <c r="BA56" s="291"/>
      <c r="BB56" s="289"/>
      <c r="BC56" s="289" t="s">
        <v>16947</v>
      </c>
      <c r="BD56" s="291"/>
      <c r="BE56" s="291"/>
      <c r="BF56" s="291"/>
      <c r="BG56" s="291"/>
      <c r="BH56" s="289"/>
      <c r="BI56" s="291"/>
      <c r="BJ56" s="289"/>
      <c r="BK56" s="289"/>
      <c r="BL56" s="289"/>
    </row>
    <row r="57" spans="1:64" ht="27" customHeight="1" x14ac:dyDescent="0.25">
      <c r="A57" s="310" t="s">
        <v>68</v>
      </c>
      <c r="B57" s="311" t="s">
        <v>26026</v>
      </c>
      <c r="C57" s="238" t="s">
        <v>401</v>
      </c>
      <c r="D57" s="239">
        <v>0</v>
      </c>
      <c r="E57" s="254">
        <v>1</v>
      </c>
      <c r="F57" s="258" t="s">
        <v>16753</v>
      </c>
      <c r="G57" s="241">
        <v>0</v>
      </c>
      <c r="H57" s="241">
        <v>1</v>
      </c>
      <c r="I57" s="240" t="s">
        <v>16755</v>
      </c>
      <c r="J57" s="241">
        <v>1</v>
      </c>
      <c r="K57" s="241">
        <v>0</v>
      </c>
      <c r="L57" s="241">
        <v>0</v>
      </c>
      <c r="M57" s="240" t="s">
        <v>16754</v>
      </c>
      <c r="N57" s="241">
        <v>1</v>
      </c>
      <c r="O57" s="241">
        <v>0</v>
      </c>
      <c r="P57" s="241">
        <v>0</v>
      </c>
      <c r="Q57" s="259" t="s">
        <v>717</v>
      </c>
      <c r="R57" s="242" t="s">
        <v>16756</v>
      </c>
      <c r="S57" s="244" t="s">
        <v>16948</v>
      </c>
      <c r="T57" s="275" t="s">
        <v>27187</v>
      </c>
      <c r="U57" s="275" t="str">
        <f t="shared" si="0"/>
        <v>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 Next refer.:Process improvement awareness||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v>
      </c>
      <c r="V57" s="300" t="s">
        <v>26810</v>
      </c>
      <c r="W57" s="295"/>
      <c r="X57" s="289"/>
      <c r="Y57" s="289"/>
      <c r="Z57" s="289"/>
      <c r="AA57" s="289"/>
      <c r="AB57" s="289"/>
      <c r="AC57" s="289"/>
      <c r="AD57" s="289"/>
      <c r="AE57" s="289"/>
      <c r="AF57" s="289"/>
      <c r="AG57" s="289"/>
      <c r="AH57" s="289"/>
      <c r="AI57" s="289"/>
      <c r="AJ57" s="289"/>
      <c r="AK57" s="289"/>
      <c r="AL57" s="289" t="s">
        <v>16949</v>
      </c>
      <c r="AM57" s="289"/>
      <c r="AN57" s="289"/>
      <c r="AO57" s="289"/>
      <c r="AP57" s="289"/>
      <c r="AQ57" s="289"/>
      <c r="AR57" s="289"/>
      <c r="AS57" s="289"/>
      <c r="AT57" s="289"/>
      <c r="AU57" s="289"/>
      <c r="AV57" s="289"/>
      <c r="AW57" s="289"/>
      <c r="AX57" s="289" t="s">
        <v>27098</v>
      </c>
      <c r="AY57" s="289" t="s">
        <v>16879</v>
      </c>
      <c r="AZ57" s="291"/>
      <c r="BA57" s="291"/>
      <c r="BB57" s="289"/>
      <c r="BC57" s="289"/>
      <c r="BD57" s="291"/>
      <c r="BE57" s="291"/>
      <c r="BF57" s="291"/>
      <c r="BG57" s="291"/>
      <c r="BH57" s="289"/>
      <c r="BI57" s="291"/>
      <c r="BJ57" s="289"/>
      <c r="BK57" s="289"/>
      <c r="BL57" s="289"/>
    </row>
    <row r="58" spans="1:64" ht="27" customHeight="1" x14ac:dyDescent="0.25">
      <c r="A58" s="310" t="s">
        <v>69</v>
      </c>
      <c r="B58" s="311" t="s">
        <v>26027</v>
      </c>
      <c r="C58" s="238" t="s">
        <v>402</v>
      </c>
      <c r="D58" s="239">
        <v>1</v>
      </c>
      <c r="E58" s="254">
        <v>0</v>
      </c>
      <c r="F58" s="258" t="s">
        <v>16764</v>
      </c>
      <c r="G58" s="241">
        <v>1</v>
      </c>
      <c r="H58" s="241">
        <v>0</v>
      </c>
      <c r="I58" s="240" t="s">
        <v>16765</v>
      </c>
      <c r="J58" s="241">
        <v>0</v>
      </c>
      <c r="K58" s="241">
        <v>0</v>
      </c>
      <c r="L58" s="241">
        <v>1</v>
      </c>
      <c r="M58" s="240" t="s">
        <v>16832</v>
      </c>
      <c r="N58" s="241">
        <v>1</v>
      </c>
      <c r="O58" s="241">
        <v>0</v>
      </c>
      <c r="P58" s="241">
        <v>0</v>
      </c>
      <c r="Q58" s="259" t="s">
        <v>717</v>
      </c>
      <c r="R58" s="242" t="s">
        <v>16756</v>
      </c>
      <c r="S58" s="244" t="s">
        <v>16950</v>
      </c>
      <c r="T58" s="275" t="s">
        <v>27188</v>
      </c>
      <c r="U58" s="275" t="str">
        <f t="shared" si="0"/>
        <v>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 Next refer.:The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v>
      </c>
      <c r="V58" s="300" t="s">
        <v>26811</v>
      </c>
      <c r="W58" s="295"/>
      <c r="X58" s="289"/>
      <c r="Y58" s="289"/>
      <c r="Z58" s="289"/>
      <c r="AA58" s="289"/>
      <c r="AB58" s="289"/>
      <c r="AC58" s="289"/>
      <c r="AD58" s="289"/>
      <c r="AE58" s="289"/>
      <c r="AF58" s="289"/>
      <c r="AG58" s="289"/>
      <c r="AH58" s="289"/>
      <c r="AI58" s="289"/>
      <c r="AJ58" s="289"/>
      <c r="AK58" s="289"/>
      <c r="AL58" s="289" t="s">
        <v>16951</v>
      </c>
      <c r="AM58" s="289"/>
      <c r="AN58" s="289"/>
      <c r="AO58" s="289"/>
      <c r="AP58" s="289"/>
      <c r="AQ58" s="289"/>
      <c r="AR58" s="289"/>
      <c r="AS58" s="289"/>
      <c r="AT58" s="289"/>
      <c r="AU58" s="289"/>
      <c r="AV58" s="289"/>
      <c r="AW58" s="289"/>
      <c r="AX58" s="289"/>
      <c r="AY58" s="289" t="s">
        <v>16952</v>
      </c>
      <c r="AZ58" s="291"/>
      <c r="BA58" s="291"/>
      <c r="BB58" s="289"/>
      <c r="BC58" s="289"/>
      <c r="BD58" s="291"/>
      <c r="BE58" s="291"/>
      <c r="BF58" s="291"/>
      <c r="BG58" s="291"/>
      <c r="BH58" s="289"/>
      <c r="BI58" s="291"/>
      <c r="BJ58" s="289"/>
      <c r="BK58" s="289"/>
      <c r="BL58" s="289"/>
    </row>
    <row r="59" spans="1:64" ht="27" customHeight="1" x14ac:dyDescent="0.25">
      <c r="A59" s="310" t="s">
        <v>70</v>
      </c>
      <c r="B59" s="311" t="s">
        <v>25520</v>
      </c>
      <c r="C59" s="238" t="s">
        <v>403</v>
      </c>
      <c r="D59" s="239">
        <v>0</v>
      </c>
      <c r="E59" s="254">
        <v>1</v>
      </c>
      <c r="F59" s="258" t="s">
        <v>16753</v>
      </c>
      <c r="G59" s="241">
        <v>0</v>
      </c>
      <c r="H59" s="241">
        <v>1</v>
      </c>
      <c r="I59" s="240" t="s">
        <v>16755</v>
      </c>
      <c r="J59" s="241">
        <v>1</v>
      </c>
      <c r="K59" s="241">
        <v>0</v>
      </c>
      <c r="L59" s="241">
        <v>0</v>
      </c>
      <c r="M59" s="240" t="s">
        <v>16754</v>
      </c>
      <c r="N59" s="241">
        <v>1</v>
      </c>
      <c r="O59" s="241">
        <v>0</v>
      </c>
      <c r="P59" s="241">
        <v>0</v>
      </c>
      <c r="Q59" s="259" t="s">
        <v>717</v>
      </c>
      <c r="R59" s="242" t="s">
        <v>16756</v>
      </c>
      <c r="S59" s="244" t="s">
        <v>16953</v>
      </c>
      <c r="T59" s="275" t="s">
        <v>27189</v>
      </c>
      <c r="U59" s="275" t="str">
        <f t="shared" si="0"/>
        <v>Continuos validation|| Next refer.:It allows to identify the change in functionality since the previous launch, the size of the function (that is, lines of code number), the complexity (this could be functional complexity or structural complexity), and the quality of the design documentation.|| Next refer.:In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 Next refer.:It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 Next refer.:Change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v>
      </c>
      <c r="V59" s="300" t="s">
        <v>26812</v>
      </c>
      <c r="W59" s="295"/>
      <c r="X59" s="289"/>
      <c r="Y59" s="289"/>
      <c r="Z59" s="289" t="s">
        <v>27100</v>
      </c>
      <c r="AA59" s="289"/>
      <c r="AB59" s="289"/>
      <c r="AC59" s="289"/>
      <c r="AD59" s="289"/>
      <c r="AE59" s="289"/>
      <c r="AF59" s="289"/>
      <c r="AG59" s="289" t="s">
        <v>25521</v>
      </c>
      <c r="AH59" s="289"/>
      <c r="AI59" s="291"/>
      <c r="AJ59" s="289"/>
      <c r="AK59" s="289"/>
      <c r="AL59" s="289" t="s">
        <v>16954</v>
      </c>
      <c r="AM59" s="289"/>
      <c r="AN59" s="289"/>
      <c r="AO59" s="289"/>
      <c r="AP59" s="289"/>
      <c r="AQ59" s="289"/>
      <c r="AR59" s="289"/>
      <c r="AS59" s="289"/>
      <c r="AT59" s="289"/>
      <c r="AU59" s="289"/>
      <c r="AV59" s="289"/>
      <c r="AW59" s="289"/>
      <c r="AX59" s="289"/>
      <c r="AY59" s="289" t="s">
        <v>27099</v>
      </c>
      <c r="AZ59" s="291"/>
      <c r="BA59" s="291"/>
      <c r="BB59" s="289"/>
      <c r="BC59" s="289"/>
      <c r="BD59" s="289" t="s">
        <v>16955</v>
      </c>
      <c r="BE59" s="291"/>
      <c r="BF59" s="291"/>
      <c r="BG59" s="291"/>
      <c r="BH59" s="289"/>
      <c r="BI59" s="291"/>
      <c r="BJ59" s="291"/>
      <c r="BK59" s="289"/>
      <c r="BL59" s="289"/>
    </row>
    <row r="60" spans="1:64" ht="27" customHeight="1" x14ac:dyDescent="0.25">
      <c r="A60" s="310" t="s">
        <v>71</v>
      </c>
      <c r="B60" s="311" t="s">
        <v>404</v>
      </c>
      <c r="C60" s="238" t="s">
        <v>404</v>
      </c>
      <c r="D60" s="239">
        <v>1</v>
      </c>
      <c r="E60" s="254">
        <v>0</v>
      </c>
      <c r="F60" s="258" t="s">
        <v>16764</v>
      </c>
      <c r="G60" s="241">
        <v>1</v>
      </c>
      <c r="H60" s="241">
        <v>0</v>
      </c>
      <c r="I60" s="240" t="s">
        <v>16765</v>
      </c>
      <c r="J60" s="241">
        <v>0</v>
      </c>
      <c r="K60" s="241">
        <v>0</v>
      </c>
      <c r="L60" s="241">
        <v>1</v>
      </c>
      <c r="M60" s="240" t="s">
        <v>16832</v>
      </c>
      <c r="N60" s="241">
        <v>1</v>
      </c>
      <c r="O60" s="241">
        <v>0</v>
      </c>
      <c r="P60" s="241">
        <v>0</v>
      </c>
      <c r="Q60" s="259" t="s">
        <v>717</v>
      </c>
      <c r="R60" s="242" t="s">
        <v>16901</v>
      </c>
      <c r="S60" s="244" t="s">
        <v>25569</v>
      </c>
      <c r="T60" s="275" t="s">
        <v>17363</v>
      </c>
      <c r="U60" s="275" t="str">
        <f t="shared" si="0"/>
        <v>Limited support for real-time systems and large systems</v>
      </c>
      <c r="V60" s="300" t="s">
        <v>26813</v>
      </c>
      <c r="W60" s="295" t="s">
        <v>25568</v>
      </c>
      <c r="X60" s="289"/>
      <c r="Y60" s="289"/>
      <c r="Z60" s="289" t="s">
        <v>17363</v>
      </c>
      <c r="AA60" s="289"/>
      <c r="AB60" s="289"/>
      <c r="AC60" s="289"/>
      <c r="AD60" s="289"/>
      <c r="AE60" s="289"/>
      <c r="AF60" s="289"/>
      <c r="AG60" s="289"/>
      <c r="AH60" s="289"/>
      <c r="AI60" s="289"/>
      <c r="AJ60" s="289"/>
      <c r="AK60" s="289"/>
      <c r="AL60" s="289"/>
      <c r="AM60" s="289"/>
      <c r="AN60" s="289"/>
      <c r="AO60" s="289"/>
      <c r="AP60" s="289"/>
      <c r="AQ60" s="289"/>
      <c r="AR60" s="289"/>
      <c r="AS60" s="289"/>
      <c r="AT60" s="289"/>
      <c r="AU60" s="289"/>
      <c r="AV60" s="289"/>
      <c r="AW60" s="289"/>
      <c r="AX60" s="289"/>
      <c r="AY60" s="289"/>
      <c r="AZ60" s="291"/>
      <c r="BA60" s="291"/>
      <c r="BB60" s="289"/>
      <c r="BC60" s="289"/>
      <c r="BD60" s="291"/>
      <c r="BE60" s="291"/>
      <c r="BF60" s="291"/>
      <c r="BG60" s="291"/>
      <c r="BH60" s="289"/>
      <c r="BI60" s="291"/>
      <c r="BJ60" s="289"/>
      <c r="BK60" s="289"/>
      <c r="BL60" s="289"/>
    </row>
    <row r="61" spans="1:64" ht="27" customHeight="1" x14ac:dyDescent="0.25">
      <c r="A61" s="310" t="s">
        <v>72</v>
      </c>
      <c r="B61" s="311" t="s">
        <v>17388</v>
      </c>
      <c r="C61" s="238" t="s">
        <v>405</v>
      </c>
      <c r="D61" s="239">
        <v>1</v>
      </c>
      <c r="E61" s="254">
        <v>0</v>
      </c>
      <c r="F61" s="258" t="s">
        <v>16764</v>
      </c>
      <c r="G61" s="241">
        <v>1</v>
      </c>
      <c r="H61" s="241">
        <v>0</v>
      </c>
      <c r="I61" s="240" t="s">
        <v>16765</v>
      </c>
      <c r="J61" s="241">
        <v>0</v>
      </c>
      <c r="K61" s="241">
        <v>0</v>
      </c>
      <c r="L61" s="241">
        <v>1</v>
      </c>
      <c r="M61" s="240" t="s">
        <v>16832</v>
      </c>
      <c r="N61" s="241">
        <v>1</v>
      </c>
      <c r="O61" s="241">
        <v>0</v>
      </c>
      <c r="P61" s="241">
        <v>0</v>
      </c>
      <c r="Q61" s="259" t="s">
        <v>717</v>
      </c>
      <c r="R61" s="242" t="s">
        <v>16901</v>
      </c>
      <c r="S61" s="244" t="s">
        <v>25571</v>
      </c>
      <c r="T61" s="275" t="s">
        <v>17389</v>
      </c>
      <c r="U61" s="275" t="str">
        <f t="shared" si="0"/>
        <v>Facilitating socialization among the practitioners from the beginning of the project, like arranging face-to-face start-off meetings to establish personal relationships.</v>
      </c>
      <c r="V61" s="300" t="s">
        <v>26814</v>
      </c>
      <c r="W61" s="295" t="s">
        <v>25570</v>
      </c>
      <c r="X61" s="289"/>
      <c r="Y61" s="289" t="s">
        <v>17389</v>
      </c>
      <c r="Z61" s="289"/>
      <c r="AA61" s="289"/>
      <c r="AB61" s="289"/>
      <c r="AC61" s="289"/>
      <c r="AD61" s="289"/>
      <c r="AE61" s="289"/>
      <c r="AF61" s="289"/>
      <c r="AG61" s="289"/>
      <c r="AH61" s="289"/>
      <c r="AI61" s="289"/>
      <c r="AJ61" s="289"/>
      <c r="AK61" s="289"/>
      <c r="AL61" s="289"/>
      <c r="AM61" s="289"/>
      <c r="AN61" s="289"/>
      <c r="AO61" s="289"/>
      <c r="AP61" s="289"/>
      <c r="AQ61" s="289"/>
      <c r="AR61" s="289"/>
      <c r="AS61" s="289"/>
      <c r="AT61" s="289"/>
      <c r="AU61" s="289"/>
      <c r="AV61" s="289"/>
      <c r="AW61" s="289"/>
      <c r="AX61" s="289"/>
      <c r="AY61" s="289"/>
      <c r="AZ61" s="291"/>
      <c r="BA61" s="291"/>
      <c r="BB61" s="289"/>
      <c r="BC61" s="289"/>
      <c r="BD61" s="291"/>
      <c r="BE61" s="291"/>
      <c r="BF61" s="291"/>
      <c r="BG61" s="291"/>
      <c r="BH61" s="289"/>
      <c r="BI61" s="291"/>
      <c r="BJ61" s="289"/>
      <c r="BK61" s="289"/>
      <c r="BL61" s="289"/>
    </row>
    <row r="62" spans="1:64" ht="27" customHeight="1" x14ac:dyDescent="0.25">
      <c r="A62" s="310" t="s">
        <v>73</v>
      </c>
      <c r="B62" s="311" t="s">
        <v>26028</v>
      </c>
      <c r="C62" s="238" t="s">
        <v>406</v>
      </c>
      <c r="D62" s="239">
        <v>1</v>
      </c>
      <c r="E62" s="254">
        <v>0</v>
      </c>
      <c r="F62" s="258" t="s">
        <v>16764</v>
      </c>
      <c r="G62" s="241">
        <v>1</v>
      </c>
      <c r="H62" s="241">
        <v>0</v>
      </c>
      <c r="I62" s="240" t="s">
        <v>16765</v>
      </c>
      <c r="J62" s="241">
        <v>0</v>
      </c>
      <c r="K62" s="241">
        <v>0</v>
      </c>
      <c r="L62" s="241">
        <v>1</v>
      </c>
      <c r="M62" s="240" t="s">
        <v>16832</v>
      </c>
      <c r="N62" s="241">
        <v>1</v>
      </c>
      <c r="O62" s="241">
        <v>0</v>
      </c>
      <c r="P62" s="241">
        <v>0</v>
      </c>
      <c r="Q62" s="259" t="s">
        <v>717</v>
      </c>
      <c r="R62" s="242" t="s">
        <v>16756</v>
      </c>
      <c r="S62" s="244" t="s">
        <v>16956</v>
      </c>
      <c r="T62" s="275" t="s">
        <v>27102</v>
      </c>
      <c r="U62" s="275" t="str">
        <f t="shared" si="0"/>
        <v>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v>
      </c>
      <c r="V62" s="300" t="s">
        <v>26815</v>
      </c>
      <c r="W62" s="295"/>
      <c r="X62" s="289"/>
      <c r="Y62" s="289"/>
      <c r="Z62" s="289"/>
      <c r="AA62" s="289"/>
      <c r="AB62" s="289"/>
      <c r="AC62" s="289"/>
      <c r="AD62" s="289"/>
      <c r="AE62" s="289"/>
      <c r="AF62" s="289"/>
      <c r="AG62" s="289"/>
      <c r="AH62" s="289"/>
      <c r="AI62" s="289"/>
      <c r="AJ62" s="291"/>
      <c r="AK62" s="289"/>
      <c r="AL62" s="289"/>
      <c r="AM62" s="289"/>
      <c r="AN62" s="289"/>
      <c r="AO62" s="289"/>
      <c r="AP62" s="289" t="s">
        <v>27102</v>
      </c>
      <c r="AQ62" s="289"/>
      <c r="AR62" s="289"/>
      <c r="AS62" s="289"/>
      <c r="AT62" s="289"/>
      <c r="AU62" s="289"/>
      <c r="AV62" s="289"/>
      <c r="AW62" s="289"/>
      <c r="AX62" s="289"/>
      <c r="AY62" s="289"/>
      <c r="AZ62" s="291"/>
      <c r="BA62" s="291"/>
      <c r="BB62" s="289"/>
      <c r="BC62" s="289"/>
      <c r="BD62" s="291"/>
      <c r="BE62" s="291"/>
      <c r="BF62" s="291"/>
      <c r="BG62" s="291"/>
      <c r="BH62" s="289"/>
      <c r="BI62" s="291"/>
      <c r="BJ62" s="289"/>
      <c r="BK62" s="289"/>
      <c r="BL62" s="289"/>
    </row>
    <row r="63" spans="1:64" ht="27" customHeight="1" x14ac:dyDescent="0.25">
      <c r="A63" s="310" t="s">
        <v>74</v>
      </c>
      <c r="B63" s="311" t="s">
        <v>26029</v>
      </c>
      <c r="C63" s="238" t="s">
        <v>407</v>
      </c>
      <c r="D63" s="239">
        <v>1</v>
      </c>
      <c r="E63" s="254">
        <v>0</v>
      </c>
      <c r="F63" s="258" t="s">
        <v>16764</v>
      </c>
      <c r="G63" s="241">
        <v>1</v>
      </c>
      <c r="H63" s="241">
        <v>0</v>
      </c>
      <c r="I63" s="240" t="s">
        <v>16765</v>
      </c>
      <c r="J63" s="241">
        <v>0</v>
      </c>
      <c r="K63" s="241">
        <v>0</v>
      </c>
      <c r="L63" s="241">
        <v>1</v>
      </c>
      <c r="M63" s="240" t="s">
        <v>16832</v>
      </c>
      <c r="N63" s="241">
        <v>1</v>
      </c>
      <c r="O63" s="241">
        <v>0</v>
      </c>
      <c r="P63" s="241">
        <v>0</v>
      </c>
      <c r="Q63" s="259" t="s">
        <v>717</v>
      </c>
      <c r="R63" s="242" t="s">
        <v>16756</v>
      </c>
      <c r="S63" s="244" t="s">
        <v>16957</v>
      </c>
      <c r="T63" s="275" t="s">
        <v>27190</v>
      </c>
      <c r="U63" s="275" t="str">
        <f t="shared" si="0"/>
        <v>Project pilot implementation|| Next refer.:In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 Next refer.:We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v>
      </c>
      <c r="V63" s="300" t="s">
        <v>26816</v>
      </c>
      <c r="W63" s="295"/>
      <c r="X63" s="289"/>
      <c r="Y63" s="289"/>
      <c r="Z63" s="289"/>
      <c r="AA63" s="289"/>
      <c r="AB63" s="289"/>
      <c r="AC63" s="289"/>
      <c r="AD63" s="289"/>
      <c r="AE63" s="289"/>
      <c r="AF63" s="289"/>
      <c r="AG63" s="289"/>
      <c r="AH63" s="289"/>
      <c r="AI63" s="289"/>
      <c r="AJ63" s="289"/>
      <c r="AK63" s="289"/>
      <c r="AL63" s="289"/>
      <c r="AM63" s="289"/>
      <c r="AN63" s="289"/>
      <c r="AO63" s="289"/>
      <c r="AP63" s="289"/>
      <c r="AQ63" s="289"/>
      <c r="AR63" s="289"/>
      <c r="AS63" s="289"/>
      <c r="AT63" s="289"/>
      <c r="AU63" s="289"/>
      <c r="AV63" s="289"/>
      <c r="AW63" s="289"/>
      <c r="AX63" s="289" t="s">
        <v>27101</v>
      </c>
      <c r="AY63" s="289"/>
      <c r="AZ63" s="289" t="s">
        <v>16958</v>
      </c>
      <c r="BA63" s="291"/>
      <c r="BB63" s="289"/>
      <c r="BC63" s="289"/>
      <c r="BD63" s="291"/>
      <c r="BE63" s="291"/>
      <c r="BF63" s="291"/>
      <c r="BG63" s="289" t="s">
        <v>16959</v>
      </c>
      <c r="BH63" s="289"/>
      <c r="BI63" s="291"/>
      <c r="BJ63" s="289"/>
      <c r="BK63" s="289"/>
      <c r="BL63" s="289"/>
    </row>
    <row r="64" spans="1:64" ht="27" customHeight="1" x14ac:dyDescent="0.25">
      <c r="A64" s="310" t="s">
        <v>75</v>
      </c>
      <c r="B64" s="311" t="s">
        <v>408</v>
      </c>
      <c r="C64" s="238" t="s">
        <v>408</v>
      </c>
      <c r="D64" s="239">
        <v>1</v>
      </c>
      <c r="E64" s="254">
        <v>0</v>
      </c>
      <c r="F64" s="258" t="s">
        <v>16764</v>
      </c>
      <c r="G64" s="241">
        <v>1</v>
      </c>
      <c r="H64" s="241">
        <v>0</v>
      </c>
      <c r="I64" s="240" t="s">
        <v>16765</v>
      </c>
      <c r="J64" s="241">
        <v>0</v>
      </c>
      <c r="K64" s="241">
        <v>1</v>
      </c>
      <c r="L64" s="241">
        <v>0</v>
      </c>
      <c r="M64" s="240" t="s">
        <v>16774</v>
      </c>
      <c r="N64" s="241">
        <v>0</v>
      </c>
      <c r="O64" s="241">
        <v>0</v>
      </c>
      <c r="P64" s="241">
        <v>1</v>
      </c>
      <c r="Q64" s="259" t="s">
        <v>16766</v>
      </c>
      <c r="R64" s="242" t="s">
        <v>16775</v>
      </c>
      <c r="S64" s="244" t="s">
        <v>16960</v>
      </c>
      <c r="T64" s="275" t="s">
        <v>27191</v>
      </c>
      <c r="U64" s="275" t="str">
        <f t="shared" si="0"/>
        <v>Trying to find natural overlapping of working hours. Assessing the around-the-clock capability of working|| Next refer.:Geographical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 Next refer.:Geographic distance, which determines how difficult it is to meet face to face|| Next refer.:Geographical dimension occurs when project members locate in different physical places, from where it is not possible for them to perform direct communication as they do not work in the same room Team including members locate in different physical places</v>
      </c>
      <c r="V64" s="300" t="s">
        <v>26817</v>
      </c>
      <c r="W64" s="295"/>
      <c r="X64" s="289"/>
      <c r="Y64" s="289" t="s">
        <v>17386</v>
      </c>
      <c r="Z64" s="289"/>
      <c r="AA64" s="289"/>
      <c r="AB64" s="289"/>
      <c r="AC64" s="289"/>
      <c r="AD64" s="289"/>
      <c r="AE64" s="289"/>
      <c r="AF64" s="289"/>
      <c r="AG64" s="289"/>
      <c r="AH64" s="289"/>
      <c r="AI64" s="289"/>
      <c r="AJ64" s="289"/>
      <c r="AK64" s="289"/>
      <c r="AL64" s="289"/>
      <c r="AM64" s="289"/>
      <c r="AN64" s="289"/>
      <c r="AO64" s="289"/>
      <c r="AP64" s="289" t="s">
        <v>16961</v>
      </c>
      <c r="AQ64" s="289"/>
      <c r="AR64" s="289"/>
      <c r="AS64" s="289"/>
      <c r="AT64" s="289"/>
      <c r="AU64" s="289"/>
      <c r="AV64" s="289"/>
      <c r="AW64" s="289"/>
      <c r="AX64" s="289"/>
      <c r="AY64" s="289"/>
      <c r="AZ64" s="291"/>
      <c r="BA64" s="291"/>
      <c r="BB64" s="289"/>
      <c r="BC64" s="289"/>
      <c r="BD64" s="291"/>
      <c r="BE64" s="289" t="s">
        <v>27103</v>
      </c>
      <c r="BF64" s="289"/>
      <c r="BG64" s="291"/>
      <c r="BH64" s="289"/>
      <c r="BI64" s="291"/>
      <c r="BJ64" s="289"/>
      <c r="BK64" s="289"/>
      <c r="BL64" s="289" t="s">
        <v>16962</v>
      </c>
    </row>
    <row r="65" spans="1:64" ht="27" customHeight="1" x14ac:dyDescent="0.25">
      <c r="A65" s="310" t="s">
        <v>76</v>
      </c>
      <c r="B65" s="311" t="s">
        <v>409</v>
      </c>
      <c r="C65" s="238" t="s">
        <v>409</v>
      </c>
      <c r="D65" s="239">
        <v>1</v>
      </c>
      <c r="E65" s="254">
        <v>0</v>
      </c>
      <c r="F65" s="258" t="s">
        <v>16764</v>
      </c>
      <c r="G65" s="241">
        <v>0</v>
      </c>
      <c r="H65" s="241">
        <v>1</v>
      </c>
      <c r="I65" s="240" t="s">
        <v>16755</v>
      </c>
      <c r="J65" s="241">
        <v>1</v>
      </c>
      <c r="K65" s="241">
        <v>0</v>
      </c>
      <c r="L65" s="241">
        <v>0</v>
      </c>
      <c r="M65" s="240" t="s">
        <v>16754</v>
      </c>
      <c r="N65" s="241">
        <v>1</v>
      </c>
      <c r="O65" s="241">
        <v>0</v>
      </c>
      <c r="P65" s="241">
        <v>0</v>
      </c>
      <c r="Q65" s="259" t="s">
        <v>717</v>
      </c>
      <c r="R65" s="242" t="s">
        <v>16775</v>
      </c>
      <c r="S65" s="244" t="s">
        <v>16963</v>
      </c>
      <c r="T65" s="275" t="s">
        <v>27192</v>
      </c>
      <c r="U65" s="275" t="str">
        <f t="shared" si="0"/>
        <v>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refer.:Organizational changes|| Next refer.:Organization culture|| Next refer.:Information misinterpretation due to repeatedly readjust to variety of methods
 Frequently readjusting to alternative methods of their business units
 Loss of tacit knowledge due to replace of onshore with offshore staff 
 Delay due to changes in staff|| Next refer.:Organizational dispersion occurs when a team consists of members from different organizations or independent organizational units. Difference in team identity. Difference in organizational objective and strategy.</v>
      </c>
      <c r="V65" s="300" t="s">
        <v>26818</v>
      </c>
      <c r="W65" s="295"/>
      <c r="X65" s="289"/>
      <c r="Y65" s="289"/>
      <c r="Z65" s="289"/>
      <c r="AA65" s="289"/>
      <c r="AB65" s="289"/>
      <c r="AC65" s="289"/>
      <c r="AD65" s="289"/>
      <c r="AE65" s="289"/>
      <c r="AF65" s="289"/>
      <c r="AG65" s="289"/>
      <c r="AH65" s="289"/>
      <c r="AI65" s="289"/>
      <c r="AJ65" s="289"/>
      <c r="AK65" s="289"/>
      <c r="AL65" s="289"/>
      <c r="AM65" s="289"/>
      <c r="AN65" s="289"/>
      <c r="AO65" s="289"/>
      <c r="AP65" s="289"/>
      <c r="AQ65" s="289"/>
      <c r="AR65" s="289"/>
      <c r="AS65" s="289" t="s">
        <v>27104</v>
      </c>
      <c r="AT65" s="289" t="s">
        <v>16964</v>
      </c>
      <c r="AU65" s="289"/>
      <c r="AV65" s="289"/>
      <c r="AW65" s="289"/>
      <c r="AX65" s="289" t="s">
        <v>27105</v>
      </c>
      <c r="AY65" s="289"/>
      <c r="AZ65" s="291"/>
      <c r="BA65" s="291"/>
      <c r="BB65" s="289"/>
      <c r="BC65" s="289"/>
      <c r="BD65" s="291"/>
      <c r="BE65" s="291"/>
      <c r="BF65" s="291"/>
      <c r="BG65" s="291"/>
      <c r="BH65" s="289"/>
      <c r="BI65" s="291"/>
      <c r="BJ65" s="289"/>
      <c r="BK65" s="289" t="s">
        <v>16965</v>
      </c>
      <c r="BL65" s="289" t="s">
        <v>16966</v>
      </c>
    </row>
    <row r="66" spans="1:64" ht="27" customHeight="1" x14ac:dyDescent="0.25">
      <c r="A66" s="310" t="s">
        <v>77</v>
      </c>
      <c r="B66" s="311" t="s">
        <v>16967</v>
      </c>
      <c r="C66" s="238" t="s">
        <v>410</v>
      </c>
      <c r="D66" s="239">
        <v>1</v>
      </c>
      <c r="E66" s="254">
        <v>0</v>
      </c>
      <c r="F66" s="258" t="s">
        <v>16764</v>
      </c>
      <c r="G66" s="241">
        <v>1</v>
      </c>
      <c r="H66" s="241">
        <v>0</v>
      </c>
      <c r="I66" s="240" t="s">
        <v>16765</v>
      </c>
      <c r="J66" s="241">
        <v>0</v>
      </c>
      <c r="K66" s="241">
        <v>1</v>
      </c>
      <c r="L66" s="241">
        <v>0</v>
      </c>
      <c r="M66" s="240" t="s">
        <v>16774</v>
      </c>
      <c r="N66" s="241">
        <v>1</v>
      </c>
      <c r="O66" s="241">
        <v>0</v>
      </c>
      <c r="P66" s="241">
        <v>0</v>
      </c>
      <c r="Q66" s="259" t="s">
        <v>717</v>
      </c>
      <c r="R66" s="242" t="s">
        <v>16775</v>
      </c>
      <c r="S66" s="244" t="s">
        <v>16968</v>
      </c>
      <c r="T66" s="275" t="s">
        <v>16969</v>
      </c>
      <c r="U66" s="275" t="str">
        <f t="shared" si="0"/>
        <v>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v>
      </c>
      <c r="V66" s="300" t="s">
        <v>26819</v>
      </c>
      <c r="W66" s="295"/>
      <c r="X66" s="289"/>
      <c r="Y66" s="289"/>
      <c r="Z66" s="289"/>
      <c r="AA66" s="289"/>
      <c r="AB66" s="289"/>
      <c r="AC66" s="289"/>
      <c r="AD66" s="289"/>
      <c r="AE66" s="289"/>
      <c r="AF66" s="289"/>
      <c r="AG66" s="289"/>
      <c r="AH66" s="289"/>
      <c r="AI66" s="289"/>
      <c r="AJ66" s="289"/>
      <c r="AK66" s="289"/>
      <c r="AL66" s="289"/>
      <c r="AM66" s="289"/>
      <c r="AN66" s="289"/>
      <c r="AO66" s="289"/>
      <c r="AP66" s="289"/>
      <c r="AQ66" s="289"/>
      <c r="AR66" s="289"/>
      <c r="AS66" s="289"/>
      <c r="AT66" s="289"/>
      <c r="AU66" s="289"/>
      <c r="AV66" s="289"/>
      <c r="AW66" s="289"/>
      <c r="AX66" s="289"/>
      <c r="AY66" s="289"/>
      <c r="AZ66" s="291"/>
      <c r="BA66" s="291"/>
      <c r="BB66" s="289"/>
      <c r="BC66" s="289"/>
      <c r="BD66" s="291"/>
      <c r="BE66" s="291"/>
      <c r="BF66" s="291"/>
      <c r="BG66" s="291"/>
      <c r="BH66" s="289"/>
      <c r="BI66" s="289"/>
      <c r="BJ66" s="289"/>
      <c r="BK66" s="289" t="s">
        <v>16969</v>
      </c>
      <c r="BL66" s="289"/>
    </row>
    <row r="67" spans="1:64" ht="27" customHeight="1" x14ac:dyDescent="0.25">
      <c r="A67" s="310" t="s">
        <v>78</v>
      </c>
      <c r="B67" s="311" t="s">
        <v>16970</v>
      </c>
      <c r="C67" s="238" t="s">
        <v>411</v>
      </c>
      <c r="D67" s="239">
        <v>0</v>
      </c>
      <c r="E67" s="254">
        <v>1</v>
      </c>
      <c r="F67" s="258" t="s">
        <v>16753</v>
      </c>
      <c r="G67" s="241">
        <v>0</v>
      </c>
      <c r="H67" s="241">
        <v>1</v>
      </c>
      <c r="I67" s="240" t="s">
        <v>16755</v>
      </c>
      <c r="J67" s="241">
        <v>1</v>
      </c>
      <c r="K67" s="241">
        <v>0</v>
      </c>
      <c r="L67" s="241">
        <v>0</v>
      </c>
      <c r="M67" s="240" t="s">
        <v>16754</v>
      </c>
      <c r="N67" s="241">
        <v>0</v>
      </c>
      <c r="O67" s="241">
        <v>1</v>
      </c>
      <c r="P67" s="241">
        <v>0</v>
      </c>
      <c r="Q67" s="259" t="s">
        <v>16827</v>
      </c>
      <c r="R67" s="242" t="s">
        <v>16775</v>
      </c>
      <c r="S67" s="244" t="s">
        <v>16971</v>
      </c>
      <c r="T67" s="275" t="s">
        <v>27193</v>
      </c>
      <c r="U67" s="275" t="str">
        <f t="shared" ref="U67:U130" si="1">_xlfn.TEXTJOIN("|| Next refer.:",,X67:BL67)</f>
        <v>Degree of novelty of the product for involved persons|| Next refer.:One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v>
      </c>
      <c r="V67" s="300" t="s">
        <v>26820</v>
      </c>
      <c r="W67" s="295"/>
      <c r="X67" s="289"/>
      <c r="Y67" s="289"/>
      <c r="Z67" s="289"/>
      <c r="AA67" s="289"/>
      <c r="AB67" s="289"/>
      <c r="AC67" s="289"/>
      <c r="AD67" s="289"/>
      <c r="AE67" s="289"/>
      <c r="AF67" s="289"/>
      <c r="AG67" s="289"/>
      <c r="AH67" s="289"/>
      <c r="AI67" s="289"/>
      <c r="AJ67" s="289"/>
      <c r="AK67" s="289"/>
      <c r="AL67" s="289"/>
      <c r="AM67" s="289"/>
      <c r="AN67" s="289"/>
      <c r="AO67" s="289"/>
      <c r="AP67" s="289"/>
      <c r="AQ67" s="289"/>
      <c r="AR67" s="289"/>
      <c r="AS67" s="289"/>
      <c r="AT67" s="289"/>
      <c r="AU67" s="289"/>
      <c r="AV67" s="289"/>
      <c r="AW67" s="289"/>
      <c r="AX67" s="289"/>
      <c r="AY67" s="289"/>
      <c r="AZ67" s="291"/>
      <c r="BA67" s="291"/>
      <c r="BB67" s="289"/>
      <c r="BC67" s="289"/>
      <c r="BD67" s="291"/>
      <c r="BE67" s="289" t="s">
        <v>27106</v>
      </c>
      <c r="BF67" s="289"/>
      <c r="BG67" s="291"/>
      <c r="BH67" s="289"/>
      <c r="BI67" s="291"/>
      <c r="BJ67" s="289"/>
      <c r="BK67" s="289" t="s">
        <v>16972</v>
      </c>
      <c r="BL67" s="289"/>
    </row>
    <row r="68" spans="1:64" ht="27" customHeight="1" x14ac:dyDescent="0.25">
      <c r="A68" s="310" t="s">
        <v>79</v>
      </c>
      <c r="B68" s="311" t="s">
        <v>16973</v>
      </c>
      <c r="C68" s="238" t="s">
        <v>412</v>
      </c>
      <c r="D68" s="239">
        <v>0</v>
      </c>
      <c r="E68" s="254">
        <v>1</v>
      </c>
      <c r="F68" s="258" t="s">
        <v>16753</v>
      </c>
      <c r="G68" s="241">
        <v>0</v>
      </c>
      <c r="H68" s="241">
        <v>1</v>
      </c>
      <c r="I68" s="240" t="s">
        <v>16755</v>
      </c>
      <c r="J68" s="241">
        <v>1</v>
      </c>
      <c r="K68" s="241">
        <v>0</v>
      </c>
      <c r="L68" s="241">
        <v>0</v>
      </c>
      <c r="M68" s="240" t="s">
        <v>16754</v>
      </c>
      <c r="N68" s="241">
        <v>0</v>
      </c>
      <c r="O68" s="241">
        <v>1</v>
      </c>
      <c r="P68" s="241">
        <v>0</v>
      </c>
      <c r="Q68" s="259" t="s">
        <v>16827</v>
      </c>
      <c r="R68" s="242" t="s">
        <v>16775</v>
      </c>
      <c r="S68" s="244" t="s">
        <v>16974</v>
      </c>
      <c r="T68" s="275" t="s">
        <v>16975</v>
      </c>
      <c r="U68" s="275" t="str">
        <f t="shared" si="1"/>
        <v>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v>
      </c>
      <c r="V68" s="300" t="s">
        <v>26821</v>
      </c>
      <c r="W68" s="295"/>
      <c r="X68" s="289"/>
      <c r="Y68" s="289"/>
      <c r="Z68" s="289"/>
      <c r="AA68" s="289"/>
      <c r="AB68" s="289"/>
      <c r="AC68" s="289"/>
      <c r="AD68" s="289"/>
      <c r="AE68" s="289"/>
      <c r="AF68" s="289"/>
      <c r="AG68" s="289"/>
      <c r="AH68" s="289"/>
      <c r="AI68" s="289"/>
      <c r="AJ68" s="289"/>
      <c r="AK68" s="289"/>
      <c r="AL68" s="289"/>
      <c r="AM68" s="289"/>
      <c r="AN68" s="289"/>
      <c r="AO68" s="289"/>
      <c r="AP68" s="289"/>
      <c r="AQ68" s="289"/>
      <c r="AR68" s="289"/>
      <c r="AS68" s="289"/>
      <c r="AT68" s="289"/>
      <c r="AU68" s="289"/>
      <c r="AV68" s="289"/>
      <c r="AW68" s="289"/>
      <c r="AX68" s="289"/>
      <c r="AY68" s="289"/>
      <c r="AZ68" s="291"/>
      <c r="BA68" s="291"/>
      <c r="BB68" s="289"/>
      <c r="BC68" s="289"/>
      <c r="BD68" s="291"/>
      <c r="BE68" s="291"/>
      <c r="BF68" s="291"/>
      <c r="BG68" s="291"/>
      <c r="BH68" s="289"/>
      <c r="BI68" s="291"/>
      <c r="BJ68" s="289"/>
      <c r="BK68" s="289" t="s">
        <v>16975</v>
      </c>
      <c r="BL68" s="289"/>
    </row>
    <row r="69" spans="1:64" ht="27" customHeight="1" x14ac:dyDescent="0.25">
      <c r="A69" s="310" t="s">
        <v>80</v>
      </c>
      <c r="B69" s="311" t="s">
        <v>16976</v>
      </c>
      <c r="C69" s="238" t="s">
        <v>413</v>
      </c>
      <c r="D69" s="239">
        <v>1</v>
      </c>
      <c r="E69" s="254">
        <v>0</v>
      </c>
      <c r="F69" s="258" t="s">
        <v>16764</v>
      </c>
      <c r="G69" s="241">
        <v>1</v>
      </c>
      <c r="H69" s="241">
        <v>0</v>
      </c>
      <c r="I69" s="240" t="s">
        <v>16765</v>
      </c>
      <c r="J69" s="241">
        <v>0</v>
      </c>
      <c r="K69" s="241">
        <v>0</v>
      </c>
      <c r="L69" s="241">
        <v>1</v>
      </c>
      <c r="M69" s="240" t="s">
        <v>16832</v>
      </c>
      <c r="N69" s="241">
        <v>0</v>
      </c>
      <c r="O69" s="241">
        <v>1</v>
      </c>
      <c r="P69" s="241">
        <v>0</v>
      </c>
      <c r="Q69" s="259" t="s">
        <v>16827</v>
      </c>
      <c r="R69" s="242" t="s">
        <v>16756</v>
      </c>
      <c r="S69" s="244" t="s">
        <v>16977</v>
      </c>
      <c r="T69" s="275" t="s">
        <v>16978</v>
      </c>
      <c r="U69" s="275" t="str">
        <f t="shared" si="1"/>
        <v>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v>
      </c>
      <c r="V69" s="300" t="s">
        <v>26822</v>
      </c>
      <c r="W69" s="295"/>
      <c r="X69" s="289"/>
      <c r="Y69" s="289"/>
      <c r="Z69" s="289"/>
      <c r="AA69" s="289"/>
      <c r="AB69" s="289"/>
      <c r="AC69" s="289"/>
      <c r="AD69" s="289"/>
      <c r="AE69" s="289"/>
      <c r="AF69" s="289"/>
      <c r="AG69" s="289"/>
      <c r="AH69" s="289"/>
      <c r="AI69" s="289"/>
      <c r="AJ69" s="289"/>
      <c r="AK69" s="289"/>
      <c r="AL69" s="289"/>
      <c r="AM69" s="289"/>
      <c r="AN69" s="289"/>
      <c r="AO69" s="289"/>
      <c r="AP69" s="289"/>
      <c r="AQ69" s="289"/>
      <c r="AR69" s="289"/>
      <c r="AS69" s="289"/>
      <c r="AT69" s="289"/>
      <c r="AU69" s="289"/>
      <c r="AV69" s="289"/>
      <c r="AW69" s="289"/>
      <c r="AX69" s="289"/>
      <c r="AY69" s="289"/>
      <c r="AZ69" s="291"/>
      <c r="BA69" s="291"/>
      <c r="BB69" s="289"/>
      <c r="BC69" s="289"/>
      <c r="BD69" s="291"/>
      <c r="BE69" s="291"/>
      <c r="BF69" s="291"/>
      <c r="BG69" s="291"/>
      <c r="BH69" s="289"/>
      <c r="BI69" s="291"/>
      <c r="BJ69" s="289"/>
      <c r="BK69" s="289" t="s">
        <v>16978</v>
      </c>
      <c r="BL69" s="289"/>
    </row>
    <row r="70" spans="1:64" ht="27" customHeight="1" x14ac:dyDescent="0.25">
      <c r="A70" s="310" t="s">
        <v>81</v>
      </c>
      <c r="B70" s="311" t="s">
        <v>16976</v>
      </c>
      <c r="C70" s="238" t="s">
        <v>16979</v>
      </c>
      <c r="D70" s="239">
        <v>0</v>
      </c>
      <c r="E70" s="254">
        <v>1</v>
      </c>
      <c r="F70" s="258" t="s">
        <v>16753</v>
      </c>
      <c r="G70" s="241">
        <v>0</v>
      </c>
      <c r="H70" s="241">
        <v>1</v>
      </c>
      <c r="I70" s="240" t="s">
        <v>16755</v>
      </c>
      <c r="J70" s="241">
        <v>1</v>
      </c>
      <c r="K70" s="241">
        <v>0</v>
      </c>
      <c r="L70" s="241">
        <v>0</v>
      </c>
      <c r="M70" s="240" t="s">
        <v>16754</v>
      </c>
      <c r="N70" s="241">
        <v>1</v>
      </c>
      <c r="O70" s="241">
        <v>0</v>
      </c>
      <c r="P70" s="241">
        <v>0</v>
      </c>
      <c r="Q70" s="259" t="s">
        <v>717</v>
      </c>
      <c r="R70" s="242" t="s">
        <v>16756</v>
      </c>
      <c r="S70" s="244" t="s">
        <v>16980</v>
      </c>
      <c r="T70" s="275" t="s">
        <v>16978</v>
      </c>
      <c r="U70" s="275" t="str">
        <f t="shared" si="1"/>
        <v>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v>
      </c>
      <c r="V70" s="300" t="s">
        <v>26823</v>
      </c>
      <c r="W70" s="295"/>
      <c r="X70" s="289"/>
      <c r="Y70" s="289"/>
      <c r="Z70" s="289"/>
      <c r="AA70" s="289"/>
      <c r="AB70" s="289"/>
      <c r="AC70" s="289"/>
      <c r="AD70" s="289"/>
      <c r="AE70" s="289"/>
      <c r="AF70" s="289"/>
      <c r="AG70" s="289"/>
      <c r="AH70" s="289"/>
      <c r="AI70" s="289"/>
      <c r="AJ70" s="289"/>
      <c r="AK70" s="289"/>
      <c r="AL70" s="289"/>
      <c r="AM70" s="289"/>
      <c r="AN70" s="289"/>
      <c r="AO70" s="289"/>
      <c r="AP70" s="289"/>
      <c r="AQ70" s="289"/>
      <c r="AR70" s="289"/>
      <c r="AS70" s="289"/>
      <c r="AT70" s="289"/>
      <c r="AU70" s="289"/>
      <c r="AV70" s="289"/>
      <c r="AW70" s="289"/>
      <c r="AX70" s="289"/>
      <c r="AY70" s="289"/>
      <c r="AZ70" s="291"/>
      <c r="BA70" s="291"/>
      <c r="BB70" s="289"/>
      <c r="BC70" s="289"/>
      <c r="BD70" s="291"/>
      <c r="BE70" s="291"/>
      <c r="BF70" s="291"/>
      <c r="BG70" s="291"/>
      <c r="BH70" s="289"/>
      <c r="BI70" s="291"/>
      <c r="BJ70" s="289"/>
      <c r="BK70" s="289" t="s">
        <v>16978</v>
      </c>
      <c r="BL70" s="289"/>
    </row>
    <row r="71" spans="1:64" ht="27" customHeight="1" x14ac:dyDescent="0.25">
      <c r="A71" s="310" t="s">
        <v>82</v>
      </c>
      <c r="B71" s="311" t="s">
        <v>26030</v>
      </c>
      <c r="C71" s="238" t="s">
        <v>415</v>
      </c>
      <c r="D71" s="239">
        <v>1</v>
      </c>
      <c r="E71" s="254">
        <v>0</v>
      </c>
      <c r="F71" s="258" t="s">
        <v>16764</v>
      </c>
      <c r="G71" s="241">
        <v>1</v>
      </c>
      <c r="H71" s="241">
        <v>0</v>
      </c>
      <c r="I71" s="240" t="s">
        <v>16765</v>
      </c>
      <c r="J71" s="241">
        <v>0</v>
      </c>
      <c r="K71" s="241">
        <v>0</v>
      </c>
      <c r="L71" s="241">
        <v>1</v>
      </c>
      <c r="M71" s="240" t="s">
        <v>16832</v>
      </c>
      <c r="N71" s="241">
        <v>0</v>
      </c>
      <c r="O71" s="241">
        <v>1</v>
      </c>
      <c r="P71" s="241">
        <v>0</v>
      </c>
      <c r="Q71" s="259" t="s">
        <v>16827</v>
      </c>
      <c r="R71" s="242" t="s">
        <v>16756</v>
      </c>
      <c r="S71" s="244" t="s">
        <v>16981</v>
      </c>
      <c r="T71" s="275" t="s">
        <v>16982</v>
      </c>
      <c r="U71" s="275" t="str">
        <f t="shared" si="1"/>
        <v>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v>
      </c>
      <c r="V71" s="300" t="s">
        <v>26824</v>
      </c>
      <c r="W71" s="295"/>
      <c r="X71" s="289"/>
      <c r="Y71" s="289"/>
      <c r="Z71" s="289"/>
      <c r="AA71" s="289"/>
      <c r="AB71" s="289"/>
      <c r="AC71" s="289"/>
      <c r="AD71" s="289"/>
      <c r="AE71" s="289"/>
      <c r="AF71" s="289"/>
      <c r="AG71" s="289"/>
      <c r="AH71" s="289"/>
      <c r="AI71" s="289"/>
      <c r="AJ71" s="289"/>
      <c r="AK71" s="289"/>
      <c r="AL71" s="289"/>
      <c r="AM71" s="289"/>
      <c r="AN71" s="289"/>
      <c r="AO71" s="289"/>
      <c r="AP71" s="289"/>
      <c r="AQ71" s="289"/>
      <c r="AR71" s="289"/>
      <c r="AS71" s="289"/>
      <c r="AT71" s="289"/>
      <c r="AU71" s="289"/>
      <c r="AV71" s="289"/>
      <c r="AW71" s="289"/>
      <c r="AX71" s="289"/>
      <c r="AY71" s="289"/>
      <c r="AZ71" s="291"/>
      <c r="BA71" s="291"/>
      <c r="BB71" s="289"/>
      <c r="BC71" s="289"/>
      <c r="BD71" s="291"/>
      <c r="BE71" s="291"/>
      <c r="BF71" s="291"/>
      <c r="BG71" s="289" t="s">
        <v>16982</v>
      </c>
      <c r="BH71" s="289"/>
      <c r="BI71" s="291"/>
      <c r="BJ71" s="289"/>
      <c r="BK71" s="289"/>
      <c r="BL71" s="289"/>
    </row>
    <row r="72" spans="1:64" ht="27" customHeight="1" x14ac:dyDescent="0.25">
      <c r="A72" s="310" t="s">
        <v>83</v>
      </c>
      <c r="B72" s="311" t="s">
        <v>26031</v>
      </c>
      <c r="C72" s="238" t="s">
        <v>416</v>
      </c>
      <c r="D72" s="239">
        <v>1</v>
      </c>
      <c r="E72" s="254">
        <v>0</v>
      </c>
      <c r="F72" s="258" t="s">
        <v>16764</v>
      </c>
      <c r="G72" s="241">
        <v>1</v>
      </c>
      <c r="H72" s="241">
        <v>0</v>
      </c>
      <c r="I72" s="240" t="s">
        <v>16765</v>
      </c>
      <c r="J72" s="241">
        <v>0</v>
      </c>
      <c r="K72" s="241">
        <v>0</v>
      </c>
      <c r="L72" s="241">
        <v>1</v>
      </c>
      <c r="M72" s="240" t="s">
        <v>16832</v>
      </c>
      <c r="N72" s="241">
        <v>1</v>
      </c>
      <c r="O72" s="241">
        <v>0</v>
      </c>
      <c r="P72" s="241">
        <v>0</v>
      </c>
      <c r="Q72" s="259" t="s">
        <v>717</v>
      </c>
      <c r="R72" s="242" t="s">
        <v>16756</v>
      </c>
      <c r="S72" s="244" t="s">
        <v>16983</v>
      </c>
      <c r="T72" s="275" t="s">
        <v>27194</v>
      </c>
      <c r="U72" s="275" t="str">
        <f t="shared" si="1"/>
        <v>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 Next refer.:Configuration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 Next refer.:The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v>
      </c>
      <c r="V72" s="300" t="s">
        <v>26825</v>
      </c>
      <c r="W72" s="295"/>
      <c r="X72" s="289"/>
      <c r="Y72" s="289"/>
      <c r="Z72" s="289"/>
      <c r="AA72" s="289"/>
      <c r="AB72" s="289"/>
      <c r="AC72" s="289"/>
      <c r="AD72" s="289"/>
      <c r="AE72" s="289"/>
      <c r="AF72" s="289"/>
      <c r="AG72" s="289"/>
      <c r="AH72" s="289"/>
      <c r="AI72" s="289"/>
      <c r="AJ72" s="289"/>
      <c r="AK72" s="289"/>
      <c r="AL72" s="289"/>
      <c r="AM72" s="289"/>
      <c r="AN72" s="289"/>
      <c r="AO72" s="289"/>
      <c r="AP72" s="289"/>
      <c r="AQ72" s="289"/>
      <c r="AR72" s="289"/>
      <c r="AS72" s="289"/>
      <c r="AT72" s="289"/>
      <c r="AU72" s="289"/>
      <c r="AV72" s="289"/>
      <c r="AW72" s="289"/>
      <c r="AX72" s="289"/>
      <c r="AY72" s="289"/>
      <c r="AZ72" s="291"/>
      <c r="BA72" s="291"/>
      <c r="BB72" s="289"/>
      <c r="BC72" s="289" t="s">
        <v>16984</v>
      </c>
      <c r="BD72" s="289" t="s">
        <v>16985</v>
      </c>
      <c r="BE72" s="291"/>
      <c r="BF72" s="291"/>
      <c r="BG72" s="289" t="s">
        <v>16986</v>
      </c>
      <c r="BH72" s="289"/>
      <c r="BI72" s="291"/>
      <c r="BJ72" s="289"/>
      <c r="BK72" s="289"/>
      <c r="BL72" s="289"/>
    </row>
    <row r="73" spans="1:64" ht="27" customHeight="1" x14ac:dyDescent="0.25">
      <c r="A73" s="310" t="s">
        <v>84</v>
      </c>
      <c r="B73" s="311" t="s">
        <v>26032</v>
      </c>
      <c r="C73" s="238" t="s">
        <v>16987</v>
      </c>
      <c r="D73" s="239">
        <v>1</v>
      </c>
      <c r="E73" s="254">
        <v>0</v>
      </c>
      <c r="F73" s="258" t="s">
        <v>16764</v>
      </c>
      <c r="G73" s="241">
        <v>1</v>
      </c>
      <c r="H73" s="241">
        <v>0</v>
      </c>
      <c r="I73" s="240" t="s">
        <v>16765</v>
      </c>
      <c r="J73" s="241">
        <v>0</v>
      </c>
      <c r="K73" s="241">
        <v>0</v>
      </c>
      <c r="L73" s="241">
        <v>1</v>
      </c>
      <c r="M73" s="240" t="s">
        <v>16832</v>
      </c>
      <c r="N73" s="241">
        <v>1</v>
      </c>
      <c r="O73" s="241">
        <v>0</v>
      </c>
      <c r="P73" s="241">
        <v>0</v>
      </c>
      <c r="Q73" s="259" t="s">
        <v>717</v>
      </c>
      <c r="R73" s="242" t="s">
        <v>16756</v>
      </c>
      <c r="S73" s="244" t="s">
        <v>16988</v>
      </c>
      <c r="T73" s="275" t="s">
        <v>27195</v>
      </c>
      <c r="U73" s="275" t="str">
        <f t="shared" si="1"/>
        <v>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 Next refer.:The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Next refer.:The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v>
      </c>
      <c r="V73" s="300" t="s">
        <v>26826</v>
      </c>
      <c r="W73" s="295"/>
      <c r="X73" s="289"/>
      <c r="Y73" s="289"/>
      <c r="Z73" s="289"/>
      <c r="AA73" s="289"/>
      <c r="AB73" s="289"/>
      <c r="AC73" s="289"/>
      <c r="AD73" s="289"/>
      <c r="AE73" s="289"/>
      <c r="AF73" s="289"/>
      <c r="AG73" s="289"/>
      <c r="AH73" s="289"/>
      <c r="AI73" s="289"/>
      <c r="AJ73" s="289"/>
      <c r="AK73" s="289"/>
      <c r="AL73" s="289"/>
      <c r="AM73" s="289"/>
      <c r="AN73" s="289"/>
      <c r="AO73" s="289"/>
      <c r="AP73" s="289" t="s">
        <v>16989</v>
      </c>
      <c r="AQ73" s="289"/>
      <c r="AR73" s="289"/>
      <c r="AS73" s="289"/>
      <c r="AT73" s="289"/>
      <c r="AU73" s="289"/>
      <c r="AV73" s="289"/>
      <c r="AW73" s="289"/>
      <c r="AX73" s="289"/>
      <c r="AY73" s="289"/>
      <c r="AZ73" s="291"/>
      <c r="BA73" s="291"/>
      <c r="BB73" s="289"/>
      <c r="BC73" s="289"/>
      <c r="BD73" s="289" t="s">
        <v>16990</v>
      </c>
      <c r="BE73" s="291"/>
      <c r="BF73" s="291"/>
      <c r="BG73" s="289" t="s">
        <v>16991</v>
      </c>
      <c r="BH73" s="289"/>
      <c r="BI73" s="291"/>
      <c r="BJ73" s="289"/>
      <c r="BK73" s="289"/>
      <c r="BL73" s="289"/>
    </row>
    <row r="74" spans="1:64" ht="27" customHeight="1" x14ac:dyDescent="0.25">
      <c r="A74" s="310" t="s">
        <v>85</v>
      </c>
      <c r="B74" s="311" t="s">
        <v>26033</v>
      </c>
      <c r="C74" s="238" t="s">
        <v>418</v>
      </c>
      <c r="D74" s="239">
        <v>1</v>
      </c>
      <c r="E74" s="254">
        <v>0</v>
      </c>
      <c r="F74" s="258" t="s">
        <v>16764</v>
      </c>
      <c r="G74" s="241">
        <v>1</v>
      </c>
      <c r="H74" s="241">
        <v>0</v>
      </c>
      <c r="I74" s="240" t="s">
        <v>16765</v>
      </c>
      <c r="J74" s="241">
        <v>0</v>
      </c>
      <c r="K74" s="241">
        <v>0</v>
      </c>
      <c r="L74" s="241">
        <v>1</v>
      </c>
      <c r="M74" s="240" t="s">
        <v>16832</v>
      </c>
      <c r="N74" s="241">
        <v>1</v>
      </c>
      <c r="O74" s="241">
        <v>0</v>
      </c>
      <c r="P74" s="241">
        <v>0</v>
      </c>
      <c r="Q74" s="259" t="s">
        <v>717</v>
      </c>
      <c r="R74" s="242" t="s">
        <v>16756</v>
      </c>
      <c r="S74" s="244" t="s">
        <v>16992</v>
      </c>
      <c r="T74" s="275" t="s">
        <v>27196</v>
      </c>
      <c r="U74" s="275" t="str">
        <f t="shared" si="1"/>
        <v>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 Next refer.:The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v>
      </c>
      <c r="V74" s="300" t="s">
        <v>26827</v>
      </c>
      <c r="W74" s="295"/>
      <c r="X74" s="289"/>
      <c r="Y74" s="289"/>
      <c r="Z74" s="289"/>
      <c r="AA74" s="289"/>
      <c r="AB74" s="289"/>
      <c r="AC74" s="289"/>
      <c r="AD74" s="289"/>
      <c r="AE74" s="289"/>
      <c r="AF74" s="289"/>
      <c r="AG74" s="289"/>
      <c r="AH74" s="289"/>
      <c r="AI74" s="289"/>
      <c r="AJ74" s="289"/>
      <c r="AK74" s="289"/>
      <c r="AL74" s="289"/>
      <c r="AM74" s="289"/>
      <c r="AN74" s="289"/>
      <c r="AO74" s="289"/>
      <c r="AP74" s="289"/>
      <c r="AQ74" s="289"/>
      <c r="AR74" s="289"/>
      <c r="AS74" s="289"/>
      <c r="AT74" s="289"/>
      <c r="AU74" s="289"/>
      <c r="AV74" s="289"/>
      <c r="AW74" s="289"/>
      <c r="AX74" s="289"/>
      <c r="AY74" s="289"/>
      <c r="AZ74" s="291"/>
      <c r="BA74" s="291"/>
      <c r="BB74" s="289"/>
      <c r="BC74" s="289" t="s">
        <v>16993</v>
      </c>
      <c r="BD74" s="291"/>
      <c r="BE74" s="291"/>
      <c r="BF74" s="291"/>
      <c r="BG74" s="289" t="s">
        <v>16994</v>
      </c>
      <c r="BH74" s="289"/>
      <c r="BI74" s="291"/>
      <c r="BJ74" s="289"/>
      <c r="BK74" s="289"/>
      <c r="BL74" s="289"/>
    </row>
    <row r="75" spans="1:64" ht="27" customHeight="1" x14ac:dyDescent="0.25">
      <c r="A75" s="310" t="s">
        <v>86</v>
      </c>
      <c r="B75" s="311" t="s">
        <v>26034</v>
      </c>
      <c r="C75" s="238" t="s">
        <v>419</v>
      </c>
      <c r="D75" s="239">
        <v>1</v>
      </c>
      <c r="E75" s="254">
        <v>0</v>
      </c>
      <c r="F75" s="258" t="s">
        <v>16764</v>
      </c>
      <c r="G75" s="241">
        <v>1</v>
      </c>
      <c r="H75" s="241">
        <v>0</v>
      </c>
      <c r="I75" s="240" t="s">
        <v>16765</v>
      </c>
      <c r="J75" s="241">
        <v>0</v>
      </c>
      <c r="K75" s="241">
        <v>0</v>
      </c>
      <c r="L75" s="241">
        <v>1</v>
      </c>
      <c r="M75" s="240" t="s">
        <v>16832</v>
      </c>
      <c r="N75" s="241">
        <v>0</v>
      </c>
      <c r="O75" s="241">
        <v>1</v>
      </c>
      <c r="P75" s="241">
        <v>0</v>
      </c>
      <c r="Q75" s="259" t="s">
        <v>16827</v>
      </c>
      <c r="R75" s="242" t="s">
        <v>16756</v>
      </c>
      <c r="S75" s="244" t="s">
        <v>16995</v>
      </c>
      <c r="T75" s="275" t="s">
        <v>16996</v>
      </c>
      <c r="U75" s="275" t="str">
        <f t="shared" si="1"/>
        <v>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v>
      </c>
      <c r="V75" s="300" t="s">
        <v>26828</v>
      </c>
      <c r="W75" s="295"/>
      <c r="X75" s="289"/>
      <c r="Y75" s="289"/>
      <c r="Z75" s="289"/>
      <c r="AA75" s="289"/>
      <c r="AB75" s="289"/>
      <c r="AC75" s="289"/>
      <c r="AD75" s="289"/>
      <c r="AE75" s="289"/>
      <c r="AF75" s="289"/>
      <c r="AG75" s="289"/>
      <c r="AH75" s="289"/>
      <c r="AI75" s="289"/>
      <c r="AJ75" s="289"/>
      <c r="AK75" s="289"/>
      <c r="AL75" s="289"/>
      <c r="AM75" s="289"/>
      <c r="AN75" s="289"/>
      <c r="AO75" s="289"/>
      <c r="AP75" s="289"/>
      <c r="AQ75" s="289"/>
      <c r="AR75" s="289"/>
      <c r="AS75" s="289"/>
      <c r="AT75" s="289"/>
      <c r="AU75" s="289"/>
      <c r="AV75" s="289"/>
      <c r="AW75" s="289"/>
      <c r="AX75" s="289"/>
      <c r="AY75" s="289"/>
      <c r="AZ75" s="291"/>
      <c r="BA75" s="291"/>
      <c r="BB75" s="289"/>
      <c r="BC75" s="289"/>
      <c r="BD75" s="291"/>
      <c r="BE75" s="291"/>
      <c r="BF75" s="291"/>
      <c r="BG75" s="289" t="s">
        <v>16996</v>
      </c>
      <c r="BH75" s="289"/>
      <c r="BI75" s="291"/>
      <c r="BJ75" s="289"/>
      <c r="BK75" s="289"/>
      <c r="BL75" s="289"/>
    </row>
    <row r="76" spans="1:64" ht="27" customHeight="1" x14ac:dyDescent="0.25">
      <c r="A76" s="310" t="s">
        <v>87</v>
      </c>
      <c r="B76" s="311" t="s">
        <v>26035</v>
      </c>
      <c r="C76" s="238" t="s">
        <v>420</v>
      </c>
      <c r="D76" s="239">
        <v>0</v>
      </c>
      <c r="E76" s="254">
        <v>1</v>
      </c>
      <c r="F76" s="258" t="s">
        <v>16753</v>
      </c>
      <c r="G76" s="241">
        <v>0</v>
      </c>
      <c r="H76" s="241">
        <v>1</v>
      </c>
      <c r="I76" s="240" t="s">
        <v>16755</v>
      </c>
      <c r="J76" s="241">
        <v>1</v>
      </c>
      <c r="K76" s="241">
        <v>0</v>
      </c>
      <c r="L76" s="241">
        <v>0</v>
      </c>
      <c r="M76" s="240" t="s">
        <v>16754</v>
      </c>
      <c r="N76" s="241">
        <v>1</v>
      </c>
      <c r="O76" s="241">
        <v>0</v>
      </c>
      <c r="P76" s="241">
        <v>0</v>
      </c>
      <c r="Q76" s="259" t="s">
        <v>717</v>
      </c>
      <c r="R76" s="242" t="s">
        <v>16756</v>
      </c>
      <c r="S76" s="244" t="s">
        <v>16997</v>
      </c>
      <c r="T76" s="275" t="s">
        <v>27197</v>
      </c>
      <c r="U76" s="275" t="str">
        <f t="shared" si="1"/>
        <v>Expertise|| Next refer.:Expertise|| Next refer.:Process improvement expertise|| Next refer.:In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 Next refer.:We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 Next refer.:Superordinate competencies. This subcategory supplements describes the additional competences necessary competences to be able to be successful in the digitalized working world. Besides the classic job profiles. This includes social and technical skills</v>
      </c>
      <c r="V76" s="300" t="s">
        <v>26829</v>
      </c>
      <c r="W76" s="295"/>
      <c r="X76" s="289"/>
      <c r="Y76" s="289"/>
      <c r="Z76" s="289"/>
      <c r="AA76" s="289"/>
      <c r="AB76" s="289"/>
      <c r="AC76" s="289"/>
      <c r="AD76" s="289"/>
      <c r="AE76" s="289"/>
      <c r="AF76" s="289"/>
      <c r="AG76" s="289"/>
      <c r="AH76" s="289"/>
      <c r="AI76" s="289"/>
      <c r="AJ76" s="289"/>
      <c r="AK76" s="289"/>
      <c r="AL76" s="289"/>
      <c r="AM76" s="289"/>
      <c r="AN76" s="289"/>
      <c r="AO76" s="289"/>
      <c r="AP76" s="289"/>
      <c r="AQ76" s="289"/>
      <c r="AR76" s="289"/>
      <c r="AS76" s="289"/>
      <c r="AT76" s="289"/>
      <c r="AU76" s="289"/>
      <c r="AV76" s="289" t="s">
        <v>27108</v>
      </c>
      <c r="AW76" s="289" t="s">
        <v>27108</v>
      </c>
      <c r="AX76" s="289" t="s">
        <v>27107</v>
      </c>
      <c r="AY76" s="289"/>
      <c r="AZ76" s="289" t="s">
        <v>16999</v>
      </c>
      <c r="BA76" s="291"/>
      <c r="BB76" s="289"/>
      <c r="BC76" s="289"/>
      <c r="BD76" s="291"/>
      <c r="BE76" s="291"/>
      <c r="BF76" s="291"/>
      <c r="BG76" s="289" t="s">
        <v>17000</v>
      </c>
      <c r="BH76" s="289"/>
      <c r="BI76" s="291"/>
      <c r="BJ76" s="289" t="s">
        <v>16998</v>
      </c>
      <c r="BK76" s="289"/>
      <c r="BL76" s="289"/>
    </row>
    <row r="77" spans="1:64" ht="27" customHeight="1" x14ac:dyDescent="0.25">
      <c r="A77" s="310" t="s">
        <v>88</v>
      </c>
      <c r="B77" s="311" t="s">
        <v>26036</v>
      </c>
      <c r="C77" s="238" t="s">
        <v>421</v>
      </c>
      <c r="D77" s="239">
        <v>1</v>
      </c>
      <c r="E77" s="254">
        <v>0</v>
      </c>
      <c r="F77" s="258" t="s">
        <v>16764</v>
      </c>
      <c r="G77" s="241">
        <v>1</v>
      </c>
      <c r="H77" s="241">
        <v>0</v>
      </c>
      <c r="I77" s="240" t="s">
        <v>16765</v>
      </c>
      <c r="J77" s="241">
        <v>0</v>
      </c>
      <c r="K77" s="241">
        <v>0</v>
      </c>
      <c r="L77" s="241">
        <v>1</v>
      </c>
      <c r="M77" s="240" t="s">
        <v>16832</v>
      </c>
      <c r="N77" s="241">
        <v>1</v>
      </c>
      <c r="O77" s="241">
        <v>0</v>
      </c>
      <c r="P77" s="241">
        <v>0</v>
      </c>
      <c r="Q77" s="259" t="s">
        <v>717</v>
      </c>
      <c r="R77" s="242" t="s">
        <v>16756</v>
      </c>
      <c r="S77" s="244" t="s">
        <v>17001</v>
      </c>
      <c r="T77" s="275" t="s">
        <v>17002</v>
      </c>
      <c r="U77" s="275" t="str">
        <f t="shared" si="1"/>
        <v>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v>
      </c>
      <c r="V77" s="300" t="s">
        <v>26830</v>
      </c>
      <c r="W77" s="295"/>
      <c r="X77" s="289"/>
      <c r="Y77" s="289"/>
      <c r="Z77" s="289"/>
      <c r="AA77" s="289"/>
      <c r="AB77" s="289"/>
      <c r="AC77" s="289"/>
      <c r="AD77" s="289"/>
      <c r="AE77" s="289"/>
      <c r="AF77" s="289"/>
      <c r="AG77" s="289"/>
      <c r="AH77" s="289"/>
      <c r="AI77" s="289"/>
      <c r="AJ77" s="289"/>
      <c r="AK77" s="289"/>
      <c r="AL77" s="289"/>
      <c r="AM77" s="289"/>
      <c r="AN77" s="289"/>
      <c r="AO77" s="289"/>
      <c r="AP77" s="289"/>
      <c r="AQ77" s="289"/>
      <c r="AR77" s="289"/>
      <c r="AS77" s="289"/>
      <c r="AT77" s="289"/>
      <c r="AU77" s="289"/>
      <c r="AV77" s="289"/>
      <c r="AW77" s="289"/>
      <c r="AX77" s="289"/>
      <c r="AY77" s="289"/>
      <c r="AZ77" s="291"/>
      <c r="BA77" s="291"/>
      <c r="BB77" s="289"/>
      <c r="BC77" s="289"/>
      <c r="BD77" s="291"/>
      <c r="BE77" s="291"/>
      <c r="BF77" s="291"/>
      <c r="BG77" s="289" t="s">
        <v>17002</v>
      </c>
      <c r="BH77" s="289"/>
      <c r="BI77" s="291"/>
      <c r="BJ77" s="289"/>
      <c r="BK77" s="289"/>
      <c r="BL77" s="289"/>
    </row>
    <row r="78" spans="1:64" ht="27" customHeight="1" x14ac:dyDescent="0.25">
      <c r="A78" s="310" t="s">
        <v>89</v>
      </c>
      <c r="B78" s="311" t="s">
        <v>17003</v>
      </c>
      <c r="C78" s="238" t="s">
        <v>422</v>
      </c>
      <c r="D78" s="239">
        <v>1</v>
      </c>
      <c r="E78" s="254">
        <v>0</v>
      </c>
      <c r="F78" s="258" t="s">
        <v>16764</v>
      </c>
      <c r="G78" s="241">
        <v>1</v>
      </c>
      <c r="H78" s="241">
        <v>0</v>
      </c>
      <c r="I78" s="240" t="s">
        <v>16765</v>
      </c>
      <c r="J78" s="241">
        <v>0</v>
      </c>
      <c r="K78" s="241">
        <v>0</v>
      </c>
      <c r="L78" s="241">
        <v>1</v>
      </c>
      <c r="M78" s="240" t="s">
        <v>16832</v>
      </c>
      <c r="N78" s="241">
        <v>1</v>
      </c>
      <c r="O78" s="241">
        <v>0</v>
      </c>
      <c r="P78" s="241">
        <v>0</v>
      </c>
      <c r="Q78" s="259" t="s">
        <v>717</v>
      </c>
      <c r="R78" s="242" t="s">
        <v>16775</v>
      </c>
      <c r="S78" s="244" t="s">
        <v>17004</v>
      </c>
      <c r="T78" s="275" t="s">
        <v>27198</v>
      </c>
      <c r="U78" s="275" t="str">
        <f t="shared" si="1"/>
        <v>Efficient outsourcing relationships between organizational management|| Next refer.:Have they met or talked personally? - relationship between person at different sites</v>
      </c>
      <c r="V78" s="300" t="s">
        <v>26831</v>
      </c>
      <c r="W78" s="295"/>
      <c r="X78" s="289"/>
      <c r="Y78" s="289"/>
      <c r="Z78" s="289"/>
      <c r="AA78" s="289"/>
      <c r="AB78" s="289"/>
      <c r="AC78" s="289"/>
      <c r="AD78" s="289"/>
      <c r="AE78" s="289"/>
      <c r="AF78" s="289"/>
      <c r="AG78" s="289"/>
      <c r="AH78" s="289"/>
      <c r="AI78" s="289"/>
      <c r="AJ78" s="289"/>
      <c r="AK78" s="289"/>
      <c r="AL78" s="289"/>
      <c r="AM78" s="289" t="s">
        <v>17005</v>
      </c>
      <c r="AN78" s="289"/>
      <c r="AO78" s="289"/>
      <c r="AP78" s="289"/>
      <c r="AQ78" s="289"/>
      <c r="AR78" s="289"/>
      <c r="AS78" s="289"/>
      <c r="AT78" s="289"/>
      <c r="AU78" s="289"/>
      <c r="AV78" s="289"/>
      <c r="AW78" s="289"/>
      <c r="AX78" s="289"/>
      <c r="AY78" s="289"/>
      <c r="AZ78" s="291"/>
      <c r="BA78" s="291"/>
      <c r="BB78" s="289"/>
      <c r="BC78" s="289"/>
      <c r="BD78" s="291"/>
      <c r="BE78" s="289" t="s">
        <v>17006</v>
      </c>
      <c r="BF78" s="289"/>
      <c r="BG78" s="291"/>
      <c r="BH78" s="289"/>
      <c r="BI78" s="291"/>
      <c r="BJ78" s="289"/>
      <c r="BK78" s="289"/>
      <c r="BL78" s="289"/>
    </row>
    <row r="79" spans="1:64" ht="27" customHeight="1" x14ac:dyDescent="0.25">
      <c r="A79" s="310" t="s">
        <v>90</v>
      </c>
      <c r="B79" s="311" t="s">
        <v>423</v>
      </c>
      <c r="C79" s="238" t="s">
        <v>423</v>
      </c>
      <c r="D79" s="239">
        <v>1</v>
      </c>
      <c r="E79" s="254">
        <v>0</v>
      </c>
      <c r="F79" s="258" t="s">
        <v>16764</v>
      </c>
      <c r="G79" s="241">
        <v>1</v>
      </c>
      <c r="H79" s="241">
        <v>0</v>
      </c>
      <c r="I79" s="240" t="s">
        <v>16765</v>
      </c>
      <c r="J79" s="241">
        <v>0</v>
      </c>
      <c r="K79" s="241">
        <v>0</v>
      </c>
      <c r="L79" s="241">
        <v>1</v>
      </c>
      <c r="M79" s="240" t="s">
        <v>16832</v>
      </c>
      <c r="N79" s="241">
        <v>1</v>
      </c>
      <c r="O79" s="241">
        <v>0</v>
      </c>
      <c r="P79" s="241">
        <v>0</v>
      </c>
      <c r="Q79" s="259" t="s">
        <v>717</v>
      </c>
      <c r="R79" s="242" t="s">
        <v>16775</v>
      </c>
      <c r="S79" s="244" t="s">
        <v>25572</v>
      </c>
      <c r="T79" s="275" t="s">
        <v>27199</v>
      </c>
      <c r="U79" s="275" t="str">
        <f t="shared" si="1"/>
        <v>Experience and region|| Next refer.:Experience of the sites having working together</v>
      </c>
      <c r="V79" s="300" t="s">
        <v>26832</v>
      </c>
      <c r="W79" s="295"/>
      <c r="X79" s="289"/>
      <c r="Y79" s="289"/>
      <c r="Z79" s="289"/>
      <c r="AA79" s="289"/>
      <c r="AB79" s="289"/>
      <c r="AC79" s="289"/>
      <c r="AD79" s="289"/>
      <c r="AE79" s="289"/>
      <c r="AF79" s="289"/>
      <c r="AG79" s="289"/>
      <c r="AH79" s="289"/>
      <c r="AI79" s="289"/>
      <c r="AJ79" s="289"/>
      <c r="AK79" s="289"/>
      <c r="AL79" s="289"/>
      <c r="AM79" s="289" t="s">
        <v>17007</v>
      </c>
      <c r="AN79" s="289"/>
      <c r="AO79" s="289"/>
      <c r="AP79" s="289"/>
      <c r="AQ79" s="289"/>
      <c r="AR79" s="289"/>
      <c r="AS79" s="289"/>
      <c r="AT79" s="289"/>
      <c r="AU79" s="289"/>
      <c r="AV79" s="289"/>
      <c r="AW79" s="289"/>
      <c r="AX79" s="289"/>
      <c r="AY79" s="289"/>
      <c r="AZ79" s="291"/>
      <c r="BA79" s="291"/>
      <c r="BB79" s="289"/>
      <c r="BC79" s="289"/>
      <c r="BD79" s="291"/>
      <c r="BE79" s="289" t="s">
        <v>27109</v>
      </c>
      <c r="BF79" s="289"/>
      <c r="BG79" s="291"/>
      <c r="BH79" s="289"/>
      <c r="BI79" s="291"/>
      <c r="BJ79" s="289"/>
      <c r="BK79" s="289"/>
      <c r="BL79" s="289"/>
    </row>
    <row r="80" spans="1:64" ht="27" customHeight="1" x14ac:dyDescent="0.25">
      <c r="A80" s="310" t="s">
        <v>91</v>
      </c>
      <c r="B80" s="311" t="s">
        <v>17008</v>
      </c>
      <c r="C80" s="238" t="s">
        <v>424</v>
      </c>
      <c r="D80" s="239">
        <v>0</v>
      </c>
      <c r="E80" s="254">
        <v>1</v>
      </c>
      <c r="F80" s="258" t="s">
        <v>16753</v>
      </c>
      <c r="G80" s="241">
        <v>0</v>
      </c>
      <c r="H80" s="241">
        <v>1</v>
      </c>
      <c r="I80" s="240" t="s">
        <v>16755</v>
      </c>
      <c r="J80" s="241">
        <v>1</v>
      </c>
      <c r="K80" s="241">
        <v>0</v>
      </c>
      <c r="L80" s="241">
        <v>0</v>
      </c>
      <c r="M80" s="240" t="s">
        <v>16754</v>
      </c>
      <c r="N80" s="241">
        <v>0</v>
      </c>
      <c r="O80" s="241">
        <v>1</v>
      </c>
      <c r="P80" s="241">
        <v>0</v>
      </c>
      <c r="Q80" s="259" t="s">
        <v>16827</v>
      </c>
      <c r="R80" s="242" t="s">
        <v>16909</v>
      </c>
      <c r="S80" s="244" t="s">
        <v>25880</v>
      </c>
      <c r="T80" s="275" t="s">
        <v>27110</v>
      </c>
      <c r="U80" s="275" t="str">
        <f t="shared" si="1"/>
        <v>Do failure threaten project success?</v>
      </c>
      <c r="V80" s="300" t="s">
        <v>26833</v>
      </c>
      <c r="W80" s="295" t="s">
        <v>25573</v>
      </c>
      <c r="X80" s="289"/>
      <c r="Y80" s="289"/>
      <c r="Z80" s="289"/>
      <c r="AA80" s="289"/>
      <c r="AB80" s="289"/>
      <c r="AC80" s="289"/>
      <c r="AD80" s="289"/>
      <c r="AE80" s="289"/>
      <c r="AF80" s="289"/>
      <c r="AG80" s="289"/>
      <c r="AH80" s="289"/>
      <c r="AI80" s="289"/>
      <c r="AJ80" s="289"/>
      <c r="AK80" s="289"/>
      <c r="AL80" s="289"/>
      <c r="AM80" s="289"/>
      <c r="AN80" s="289"/>
      <c r="AO80" s="289"/>
      <c r="AP80" s="289"/>
      <c r="AQ80" s="289"/>
      <c r="AR80" s="289"/>
      <c r="AS80" s="289"/>
      <c r="AT80" s="289"/>
      <c r="AU80" s="289"/>
      <c r="AV80" s="289"/>
      <c r="AW80" s="289"/>
      <c r="AX80" s="289"/>
      <c r="AY80" s="289"/>
      <c r="AZ80" s="291"/>
      <c r="BA80" s="291"/>
      <c r="BB80" s="289"/>
      <c r="BC80" s="289"/>
      <c r="BD80" s="291"/>
      <c r="BE80" s="289" t="s">
        <v>27110</v>
      </c>
      <c r="BF80" s="289"/>
      <c r="BG80" s="291"/>
      <c r="BH80" s="289"/>
      <c r="BI80" s="291"/>
      <c r="BJ80" s="289"/>
      <c r="BK80" s="289"/>
      <c r="BL80" s="289"/>
    </row>
    <row r="81" spans="1:64" ht="27" customHeight="1" x14ac:dyDescent="0.25">
      <c r="A81" s="310" t="s">
        <v>92</v>
      </c>
      <c r="B81" s="311" t="s">
        <v>17009</v>
      </c>
      <c r="C81" s="238" t="s">
        <v>425</v>
      </c>
      <c r="D81" s="239">
        <v>1</v>
      </c>
      <c r="E81" s="254">
        <v>0</v>
      </c>
      <c r="F81" s="258" t="s">
        <v>16764</v>
      </c>
      <c r="G81" s="241">
        <v>0</v>
      </c>
      <c r="H81" s="241">
        <v>1</v>
      </c>
      <c r="I81" s="240" t="s">
        <v>16755</v>
      </c>
      <c r="J81" s="241">
        <v>0</v>
      </c>
      <c r="K81" s="241">
        <v>0</v>
      </c>
      <c r="L81" s="241">
        <v>1</v>
      </c>
      <c r="M81" s="240" t="s">
        <v>16832</v>
      </c>
      <c r="N81" s="241">
        <v>1</v>
      </c>
      <c r="O81" s="241">
        <v>0</v>
      </c>
      <c r="P81" s="241">
        <v>0</v>
      </c>
      <c r="Q81" s="259" t="s">
        <v>717</v>
      </c>
      <c r="R81" s="242" t="s">
        <v>16901</v>
      </c>
      <c r="S81" s="244" t="s">
        <v>25574</v>
      </c>
      <c r="T81" s="275" t="s">
        <v>27111</v>
      </c>
      <c r="U81" s="275" t="str">
        <f t="shared" si="1"/>
        <v>Required documentation</v>
      </c>
      <c r="V81" s="300" t="s">
        <v>26834</v>
      </c>
      <c r="W81" s="295" t="s">
        <v>25575</v>
      </c>
      <c r="X81" s="289"/>
      <c r="Y81" s="289"/>
      <c r="Z81" s="289"/>
      <c r="AA81" s="289"/>
      <c r="AB81" s="289"/>
      <c r="AC81" s="289"/>
      <c r="AD81" s="289"/>
      <c r="AE81" s="289"/>
      <c r="AF81" s="289"/>
      <c r="AG81" s="289"/>
      <c r="AH81" s="289"/>
      <c r="AI81" s="289"/>
      <c r="AJ81" s="289"/>
      <c r="AK81" s="289"/>
      <c r="AL81" s="289"/>
      <c r="AM81" s="289"/>
      <c r="AN81" s="289"/>
      <c r="AO81" s="289"/>
      <c r="AP81" s="289"/>
      <c r="AQ81" s="289"/>
      <c r="AR81" s="289"/>
      <c r="AS81" s="289"/>
      <c r="AT81" s="289"/>
      <c r="AU81" s="289"/>
      <c r="AV81" s="289"/>
      <c r="AW81" s="289"/>
      <c r="AX81" s="289"/>
      <c r="AY81" s="289"/>
      <c r="AZ81" s="291"/>
      <c r="BA81" s="291"/>
      <c r="BB81" s="289"/>
      <c r="BC81" s="289"/>
      <c r="BD81" s="291"/>
      <c r="BE81" s="289" t="s">
        <v>27111</v>
      </c>
      <c r="BF81" s="289"/>
      <c r="BG81" s="291"/>
      <c r="BH81" s="289"/>
      <c r="BI81" s="291"/>
      <c r="BJ81" s="289"/>
      <c r="BK81" s="289"/>
      <c r="BL81" s="289"/>
    </row>
    <row r="82" spans="1:64" ht="27" customHeight="1" x14ac:dyDescent="0.25">
      <c r="A82" s="310" t="s">
        <v>93</v>
      </c>
      <c r="B82" s="311" t="s">
        <v>17010</v>
      </c>
      <c r="C82" s="238" t="s">
        <v>25576</v>
      </c>
      <c r="D82" s="239">
        <v>1</v>
      </c>
      <c r="E82" s="254">
        <v>0</v>
      </c>
      <c r="F82" s="258" t="s">
        <v>16764</v>
      </c>
      <c r="G82" s="241">
        <v>0</v>
      </c>
      <c r="H82" s="241">
        <v>1</v>
      </c>
      <c r="I82" s="240" t="s">
        <v>16755</v>
      </c>
      <c r="J82" s="241">
        <v>0</v>
      </c>
      <c r="K82" s="241">
        <v>0</v>
      </c>
      <c r="L82" s="241">
        <v>1</v>
      </c>
      <c r="M82" s="240" t="s">
        <v>16832</v>
      </c>
      <c r="N82" s="241">
        <v>1</v>
      </c>
      <c r="O82" s="241">
        <v>0</v>
      </c>
      <c r="P82" s="241">
        <v>0</v>
      </c>
      <c r="Q82" s="259" t="s">
        <v>717</v>
      </c>
      <c r="R82" s="242" t="s">
        <v>16901</v>
      </c>
      <c r="S82" s="244" t="s">
        <v>25577</v>
      </c>
      <c r="T82" s="275" t="s">
        <v>27112</v>
      </c>
      <c r="U82" s="275" t="str">
        <f t="shared" si="1"/>
        <v>Degree of formality and fine granularity of task description.</v>
      </c>
      <c r="V82" s="300" t="s">
        <v>26835</v>
      </c>
      <c r="W82" s="295" t="s">
        <v>25578</v>
      </c>
      <c r="X82" s="289"/>
      <c r="Y82" s="289"/>
      <c r="Z82" s="289"/>
      <c r="AA82" s="289"/>
      <c r="AB82" s="289"/>
      <c r="AC82" s="289"/>
      <c r="AD82" s="289"/>
      <c r="AE82" s="289"/>
      <c r="AF82" s="289"/>
      <c r="AG82" s="289"/>
      <c r="AH82" s="289"/>
      <c r="AI82" s="289"/>
      <c r="AJ82" s="289"/>
      <c r="AK82" s="289"/>
      <c r="AL82" s="289"/>
      <c r="AM82" s="289"/>
      <c r="AN82" s="289"/>
      <c r="AO82" s="289"/>
      <c r="AP82" s="289"/>
      <c r="AQ82" s="289"/>
      <c r="AR82" s="289"/>
      <c r="AS82" s="289"/>
      <c r="AT82" s="289"/>
      <c r="AU82" s="289"/>
      <c r="AV82" s="289"/>
      <c r="AW82" s="289"/>
      <c r="AX82" s="289"/>
      <c r="AY82" s="289"/>
      <c r="AZ82" s="291"/>
      <c r="BA82" s="291"/>
      <c r="BB82" s="289"/>
      <c r="BC82" s="289"/>
      <c r="BD82" s="291"/>
      <c r="BE82" s="289" t="s">
        <v>27112</v>
      </c>
      <c r="BF82" s="289"/>
      <c r="BG82" s="291"/>
      <c r="BH82" s="289"/>
      <c r="BI82" s="291"/>
      <c r="BJ82" s="289"/>
      <c r="BK82" s="289"/>
      <c r="BL82" s="289"/>
    </row>
    <row r="83" spans="1:64" ht="27" customHeight="1" x14ac:dyDescent="0.25">
      <c r="A83" s="310" t="s">
        <v>94</v>
      </c>
      <c r="B83" s="311" t="s">
        <v>427</v>
      </c>
      <c r="C83" s="238" t="s">
        <v>25580</v>
      </c>
      <c r="D83" s="239">
        <v>1</v>
      </c>
      <c r="E83" s="254">
        <v>0</v>
      </c>
      <c r="F83" s="258" t="s">
        <v>16764</v>
      </c>
      <c r="G83" s="241">
        <v>1</v>
      </c>
      <c r="H83" s="241">
        <v>0</v>
      </c>
      <c r="I83" s="240" t="s">
        <v>16765</v>
      </c>
      <c r="J83" s="241">
        <v>0</v>
      </c>
      <c r="K83" s="241">
        <v>0</v>
      </c>
      <c r="L83" s="241">
        <v>1</v>
      </c>
      <c r="M83" s="240" t="s">
        <v>16832</v>
      </c>
      <c r="N83" s="241">
        <v>1</v>
      </c>
      <c r="O83" s="241">
        <v>0</v>
      </c>
      <c r="P83" s="241">
        <v>0</v>
      </c>
      <c r="Q83" s="259" t="s">
        <v>717</v>
      </c>
      <c r="R83" s="242"/>
      <c r="S83" s="244" t="s">
        <v>25579</v>
      </c>
      <c r="T83" s="275" t="s">
        <v>27113</v>
      </c>
      <c r="U83" s="275" t="str">
        <f t="shared" si="1"/>
        <v>Requirements, coding, testing</v>
      </c>
      <c r="V83" s="300" t="s">
        <v>26836</v>
      </c>
      <c r="W83" s="295" t="s">
        <v>25581</v>
      </c>
      <c r="X83" s="289"/>
      <c r="Y83" s="289"/>
      <c r="Z83" s="289"/>
      <c r="AA83" s="289"/>
      <c r="AB83" s="289"/>
      <c r="AC83" s="289"/>
      <c r="AD83" s="289"/>
      <c r="AE83" s="289"/>
      <c r="AF83" s="289"/>
      <c r="AG83" s="289"/>
      <c r="AH83" s="289"/>
      <c r="AI83" s="289"/>
      <c r="AJ83" s="289"/>
      <c r="AK83" s="289"/>
      <c r="AL83" s="289"/>
      <c r="AM83" s="289"/>
      <c r="AN83" s="289"/>
      <c r="AO83" s="289"/>
      <c r="AP83" s="289"/>
      <c r="AQ83" s="289"/>
      <c r="AR83" s="289"/>
      <c r="AS83" s="289"/>
      <c r="AT83" s="289"/>
      <c r="AU83" s="289"/>
      <c r="AV83" s="289"/>
      <c r="AW83" s="289"/>
      <c r="AX83" s="289"/>
      <c r="AY83" s="289"/>
      <c r="AZ83" s="291"/>
      <c r="BA83" s="291"/>
      <c r="BB83" s="289"/>
      <c r="BC83" s="289"/>
      <c r="BD83" s="291"/>
      <c r="BE83" s="289" t="s">
        <v>27113</v>
      </c>
      <c r="BF83" s="289"/>
      <c r="BG83" s="291"/>
      <c r="BH83" s="289"/>
      <c r="BI83" s="291"/>
      <c r="BJ83" s="289"/>
      <c r="BK83" s="289"/>
      <c r="BL83" s="289"/>
    </row>
    <row r="84" spans="1:64" ht="27" customHeight="1" x14ac:dyDescent="0.25">
      <c r="A84" s="310" t="s">
        <v>95</v>
      </c>
      <c r="B84" s="311" t="s">
        <v>25582</v>
      </c>
      <c r="C84" s="238" t="s">
        <v>25585</v>
      </c>
      <c r="D84" s="239">
        <v>1</v>
      </c>
      <c r="E84" s="254">
        <v>0</v>
      </c>
      <c r="F84" s="258" t="s">
        <v>16764</v>
      </c>
      <c r="G84" s="241">
        <v>1</v>
      </c>
      <c r="H84" s="241">
        <v>0</v>
      </c>
      <c r="I84" s="240" t="s">
        <v>16765</v>
      </c>
      <c r="J84" s="241">
        <v>0</v>
      </c>
      <c r="K84" s="241">
        <v>0</v>
      </c>
      <c r="L84" s="241">
        <v>1</v>
      </c>
      <c r="M84" s="240" t="s">
        <v>16832</v>
      </c>
      <c r="N84" s="241">
        <v>1</v>
      </c>
      <c r="O84" s="241">
        <v>0</v>
      </c>
      <c r="P84" s="241">
        <v>0</v>
      </c>
      <c r="Q84" s="259" t="s">
        <v>717</v>
      </c>
      <c r="R84" s="242" t="s">
        <v>17011</v>
      </c>
      <c r="S84" s="244" t="s">
        <v>25583</v>
      </c>
      <c r="T84" s="275" t="s">
        <v>27200</v>
      </c>
      <c r="U84" s="275" t="str">
        <f t="shared" si="1"/>
        <v>Proper task coupling|| Next refer.:Dependency and required communication between taks</v>
      </c>
      <c r="V84" s="300" t="s">
        <v>26837</v>
      </c>
      <c r="W84" s="295" t="s">
        <v>25584</v>
      </c>
      <c r="X84" s="289"/>
      <c r="Y84" s="289"/>
      <c r="Z84" s="289"/>
      <c r="AA84" s="289"/>
      <c r="AB84" s="289"/>
      <c r="AC84" s="289"/>
      <c r="AD84" s="289"/>
      <c r="AE84" s="289"/>
      <c r="AF84" s="289"/>
      <c r="AG84" s="289"/>
      <c r="AH84" s="289"/>
      <c r="AI84" s="289"/>
      <c r="AJ84" s="289"/>
      <c r="AK84" s="289"/>
      <c r="AL84" s="289"/>
      <c r="AM84" s="289"/>
      <c r="AN84" s="289"/>
      <c r="AO84" s="289"/>
      <c r="AP84" s="289"/>
      <c r="AQ84" s="289"/>
      <c r="AR84" s="289"/>
      <c r="AS84" s="289" t="s">
        <v>27114</v>
      </c>
      <c r="AT84" s="289"/>
      <c r="AU84" s="289"/>
      <c r="AV84" s="289"/>
      <c r="AW84" s="289"/>
      <c r="AX84" s="289"/>
      <c r="AY84" s="289"/>
      <c r="AZ84" s="291"/>
      <c r="BA84" s="291"/>
      <c r="BB84" s="289"/>
      <c r="BC84" s="289"/>
      <c r="BD84" s="291"/>
      <c r="BE84" s="289" t="s">
        <v>27115</v>
      </c>
      <c r="BF84" s="289"/>
      <c r="BG84" s="291"/>
      <c r="BH84" s="289"/>
      <c r="BI84" s="291"/>
      <c r="BJ84" s="289"/>
      <c r="BK84" s="289"/>
      <c r="BL84" s="289"/>
    </row>
    <row r="85" spans="1:64" ht="27" customHeight="1" x14ac:dyDescent="0.25">
      <c r="A85" s="310" t="s">
        <v>96</v>
      </c>
      <c r="B85" s="311" t="s">
        <v>429</v>
      </c>
      <c r="C85" s="238" t="s">
        <v>25586</v>
      </c>
      <c r="D85" s="239">
        <v>1</v>
      </c>
      <c r="E85" s="254">
        <v>0</v>
      </c>
      <c r="F85" s="258" t="s">
        <v>16764</v>
      </c>
      <c r="G85" s="241">
        <v>1</v>
      </c>
      <c r="H85" s="241">
        <v>0</v>
      </c>
      <c r="I85" s="240" t="s">
        <v>16765</v>
      </c>
      <c r="J85" s="241">
        <v>0</v>
      </c>
      <c r="K85" s="241">
        <v>0</v>
      </c>
      <c r="L85" s="241">
        <v>1</v>
      </c>
      <c r="M85" s="240" t="s">
        <v>16832</v>
      </c>
      <c r="N85" s="241">
        <v>1</v>
      </c>
      <c r="O85" s="241">
        <v>0</v>
      </c>
      <c r="P85" s="241">
        <v>0</v>
      </c>
      <c r="Q85" s="259" t="s">
        <v>717</v>
      </c>
      <c r="R85" s="242" t="s">
        <v>16909</v>
      </c>
      <c r="S85" s="244" t="s">
        <v>25587</v>
      </c>
      <c r="T85" s="275" t="s">
        <v>27201</v>
      </c>
      <c r="U85" s="275" t="str">
        <f t="shared" si="1"/>
        <v>Proper maturity|| Next refer.:Tools and technology: process maturity|| Next refer.:Cmmi level, can also be seen as site characteristic - in this enviroment, the sites in a project were of equal maturity</v>
      </c>
      <c r="V85" s="300" t="s">
        <v>26838</v>
      </c>
      <c r="W85" s="295" t="s">
        <v>25588</v>
      </c>
      <c r="X85" s="289"/>
      <c r="Y85" s="289"/>
      <c r="Z85" s="289"/>
      <c r="AA85" s="289"/>
      <c r="AB85" s="289"/>
      <c r="AC85" s="289"/>
      <c r="AD85" s="289"/>
      <c r="AE85" s="289"/>
      <c r="AF85" s="289"/>
      <c r="AG85" s="289"/>
      <c r="AH85" s="289"/>
      <c r="AI85" s="289"/>
      <c r="AJ85" s="289"/>
      <c r="AK85" s="289"/>
      <c r="AL85" s="289"/>
      <c r="AM85" s="289"/>
      <c r="AN85" s="289"/>
      <c r="AO85" s="289"/>
      <c r="AP85" s="289"/>
      <c r="AQ85" s="289"/>
      <c r="AR85" s="289"/>
      <c r="AS85" s="289"/>
      <c r="AT85" s="289" t="s">
        <v>17012</v>
      </c>
      <c r="AU85" s="289" t="s">
        <v>17013</v>
      </c>
      <c r="AV85" s="289"/>
      <c r="AW85" s="289"/>
      <c r="AX85" s="289"/>
      <c r="AY85" s="289"/>
      <c r="AZ85" s="291"/>
      <c r="BA85" s="291"/>
      <c r="BB85" s="289"/>
      <c r="BC85" s="289"/>
      <c r="BD85" s="291"/>
      <c r="BE85" s="289" t="s">
        <v>27116</v>
      </c>
      <c r="BF85" s="289"/>
      <c r="BG85" s="291"/>
      <c r="BH85" s="289"/>
      <c r="BI85" s="291"/>
      <c r="BJ85" s="289"/>
      <c r="BK85" s="289"/>
      <c r="BL85" s="289"/>
    </row>
    <row r="86" spans="1:64" ht="27" customHeight="1" x14ac:dyDescent="0.25">
      <c r="A86" s="310" t="s">
        <v>97</v>
      </c>
      <c r="B86" s="311" t="s">
        <v>430</v>
      </c>
      <c r="C86" s="238" t="s">
        <v>430</v>
      </c>
      <c r="D86" s="239">
        <v>1</v>
      </c>
      <c r="E86" s="254">
        <v>0</v>
      </c>
      <c r="F86" s="258" t="s">
        <v>16764</v>
      </c>
      <c r="G86" s="241">
        <v>1</v>
      </c>
      <c r="H86" s="241">
        <v>0</v>
      </c>
      <c r="I86" s="240" t="s">
        <v>16765</v>
      </c>
      <c r="J86" s="241">
        <v>0</v>
      </c>
      <c r="K86" s="241">
        <v>0</v>
      </c>
      <c r="L86" s="241">
        <v>1</v>
      </c>
      <c r="M86" s="240" t="s">
        <v>16832</v>
      </c>
      <c r="N86" s="241">
        <v>1</v>
      </c>
      <c r="O86" s="241">
        <v>0</v>
      </c>
      <c r="P86" s="241">
        <v>0</v>
      </c>
      <c r="Q86" s="259" t="s">
        <v>717</v>
      </c>
      <c r="R86" s="242" t="s">
        <v>17014</v>
      </c>
      <c r="S86" s="244" t="s">
        <v>25856</v>
      </c>
      <c r="T86" s="275" t="s">
        <v>27117</v>
      </c>
      <c r="U86" s="275" t="str">
        <f t="shared" si="1"/>
        <v>Size of the product to be developed</v>
      </c>
      <c r="V86" s="300" t="s">
        <v>26839</v>
      </c>
      <c r="W86" s="295"/>
      <c r="X86" s="289"/>
      <c r="Y86" s="289"/>
      <c r="Z86" s="289"/>
      <c r="AA86" s="289"/>
      <c r="AB86" s="289"/>
      <c r="AC86" s="289"/>
      <c r="AD86" s="289"/>
      <c r="AE86" s="289"/>
      <c r="AF86" s="289"/>
      <c r="AG86" s="289"/>
      <c r="AH86" s="289"/>
      <c r="AI86" s="289"/>
      <c r="AJ86" s="289"/>
      <c r="AK86" s="289"/>
      <c r="AL86" s="289"/>
      <c r="AM86" s="289"/>
      <c r="AN86" s="289"/>
      <c r="AO86" s="289"/>
      <c r="AP86" s="289"/>
      <c r="AQ86" s="289"/>
      <c r="AR86" s="289"/>
      <c r="AS86" s="289"/>
      <c r="AT86" s="289"/>
      <c r="AU86" s="289"/>
      <c r="AV86" s="289"/>
      <c r="AW86" s="289"/>
      <c r="AX86" s="289"/>
      <c r="AY86" s="289"/>
      <c r="AZ86" s="291"/>
      <c r="BA86" s="291"/>
      <c r="BB86" s="289"/>
      <c r="BC86" s="289"/>
      <c r="BD86" s="291"/>
      <c r="BE86" s="289" t="s">
        <v>27117</v>
      </c>
      <c r="BF86" s="289"/>
      <c r="BG86" s="291"/>
      <c r="BH86" s="289"/>
      <c r="BI86" s="291"/>
      <c r="BJ86" s="289"/>
      <c r="BK86" s="289"/>
      <c r="BL86" s="289"/>
    </row>
    <row r="87" spans="1:64" ht="27" customHeight="1" x14ac:dyDescent="0.25">
      <c r="A87" s="310" t="s">
        <v>98</v>
      </c>
      <c r="B87" s="311" t="s">
        <v>17346</v>
      </c>
      <c r="C87" s="238" t="s">
        <v>431</v>
      </c>
      <c r="D87" s="239">
        <v>0</v>
      </c>
      <c r="E87" s="254">
        <v>1</v>
      </c>
      <c r="F87" s="258" t="s">
        <v>16753</v>
      </c>
      <c r="G87" s="241">
        <v>1</v>
      </c>
      <c r="H87" s="241">
        <v>0</v>
      </c>
      <c r="I87" s="240" t="s">
        <v>16765</v>
      </c>
      <c r="J87" s="241">
        <v>1</v>
      </c>
      <c r="K87" s="241">
        <v>0</v>
      </c>
      <c r="L87" s="241">
        <v>0</v>
      </c>
      <c r="M87" s="240" t="s">
        <v>16754</v>
      </c>
      <c r="N87" s="241">
        <v>0</v>
      </c>
      <c r="O87" s="241">
        <v>0</v>
      </c>
      <c r="P87" s="241">
        <v>1</v>
      </c>
      <c r="Q87" s="259" t="s">
        <v>16766</v>
      </c>
      <c r="R87" s="242" t="s">
        <v>16775</v>
      </c>
      <c r="S87" s="244" t="s">
        <v>17015</v>
      </c>
      <c r="T87" s="275" t="s">
        <v>27202</v>
      </c>
      <c r="U87" s="275" t="str">
        <f t="shared" si="1"/>
        <v>It allows to see the potential security threats (PST), it is used as an indicator of the security-related risks that reside in the requirements.|| Next refer.:The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Next refer.:Degree of change in the requirements during the project</v>
      </c>
      <c r="V87" s="300" t="s">
        <v>26840</v>
      </c>
      <c r="W87" s="295"/>
      <c r="X87" s="289"/>
      <c r="Y87" s="289"/>
      <c r="Z87" s="289"/>
      <c r="AA87" s="289"/>
      <c r="AB87" s="289"/>
      <c r="AC87" s="289"/>
      <c r="AD87" s="289"/>
      <c r="AE87" s="289"/>
      <c r="AF87" s="289"/>
      <c r="AG87" s="289" t="s">
        <v>25518</v>
      </c>
      <c r="AH87" s="289"/>
      <c r="AI87" s="289"/>
      <c r="AJ87" s="289"/>
      <c r="AK87" s="289"/>
      <c r="AL87" s="289"/>
      <c r="AM87" s="289"/>
      <c r="AN87" s="289"/>
      <c r="AO87" s="289"/>
      <c r="AP87" s="289"/>
      <c r="AQ87" s="289"/>
      <c r="AR87" s="289"/>
      <c r="AS87" s="289"/>
      <c r="AT87" s="289"/>
      <c r="AU87" s="289"/>
      <c r="AV87" s="289"/>
      <c r="AW87" s="289"/>
      <c r="AX87" s="289"/>
      <c r="AY87" s="289"/>
      <c r="AZ87" s="291"/>
      <c r="BA87" s="291"/>
      <c r="BB87" s="289"/>
      <c r="BC87" s="289"/>
      <c r="BD87" s="289" t="s">
        <v>17016</v>
      </c>
      <c r="BE87" s="289" t="s">
        <v>27118</v>
      </c>
      <c r="BF87" s="289"/>
      <c r="BG87" s="291"/>
      <c r="BH87" s="289"/>
      <c r="BI87" s="291"/>
      <c r="BJ87" s="289"/>
      <c r="BK87" s="289"/>
      <c r="BL87" s="289"/>
    </row>
    <row r="88" spans="1:64" ht="27" customHeight="1" x14ac:dyDescent="0.25">
      <c r="A88" s="310" t="s">
        <v>99</v>
      </c>
      <c r="B88" s="311" t="s">
        <v>432</v>
      </c>
      <c r="C88" s="238" t="s">
        <v>432</v>
      </c>
      <c r="D88" s="239">
        <v>1</v>
      </c>
      <c r="E88" s="254">
        <v>0</v>
      </c>
      <c r="F88" s="258" t="s">
        <v>16764</v>
      </c>
      <c r="G88" s="241">
        <v>1</v>
      </c>
      <c r="H88" s="241">
        <v>0</v>
      </c>
      <c r="I88" s="240" t="s">
        <v>16765</v>
      </c>
      <c r="J88" s="241">
        <v>0</v>
      </c>
      <c r="K88" s="241">
        <v>0</v>
      </c>
      <c r="L88" s="241">
        <v>1</v>
      </c>
      <c r="M88" s="240" t="s">
        <v>16832</v>
      </c>
      <c r="N88" s="241">
        <v>1</v>
      </c>
      <c r="O88" s="241">
        <v>0</v>
      </c>
      <c r="P88" s="241">
        <v>0</v>
      </c>
      <c r="Q88" s="259" t="s">
        <v>717</v>
      </c>
      <c r="R88" s="242" t="s">
        <v>16775</v>
      </c>
      <c r="S88" s="244" t="s">
        <v>25857</v>
      </c>
      <c r="T88" s="275" t="s">
        <v>27119</v>
      </c>
      <c r="U88" s="275" t="str">
        <f t="shared" si="1"/>
        <v>Number of sites that need to collaborate</v>
      </c>
      <c r="V88" s="300" t="s">
        <v>26841</v>
      </c>
      <c r="W88" s="295"/>
      <c r="X88" s="289"/>
      <c r="Y88" s="289"/>
      <c r="Z88" s="289"/>
      <c r="AA88" s="289"/>
      <c r="AB88" s="289"/>
      <c r="AC88" s="289"/>
      <c r="AD88" s="289"/>
      <c r="AE88" s="289"/>
      <c r="AF88" s="289"/>
      <c r="AG88" s="289"/>
      <c r="AH88" s="289"/>
      <c r="AI88" s="289"/>
      <c r="AJ88" s="289"/>
      <c r="AK88" s="289"/>
      <c r="AL88" s="289"/>
      <c r="AM88" s="289"/>
      <c r="AN88" s="289"/>
      <c r="AO88" s="289"/>
      <c r="AP88" s="289"/>
      <c r="AQ88" s="289"/>
      <c r="AR88" s="289"/>
      <c r="AS88" s="289"/>
      <c r="AT88" s="289"/>
      <c r="AU88" s="289"/>
      <c r="AV88" s="289"/>
      <c r="AW88" s="289"/>
      <c r="AX88" s="289"/>
      <c r="AY88" s="289"/>
      <c r="AZ88" s="291"/>
      <c r="BA88" s="291"/>
      <c r="BB88" s="289"/>
      <c r="BC88" s="289"/>
      <c r="BD88" s="291"/>
      <c r="BE88" s="289" t="s">
        <v>27119</v>
      </c>
      <c r="BF88" s="289"/>
      <c r="BG88" s="291"/>
      <c r="BH88" s="289"/>
      <c r="BI88" s="291"/>
      <c r="BJ88" s="289"/>
      <c r="BK88" s="289"/>
      <c r="BL88" s="289"/>
    </row>
    <row r="89" spans="1:64" ht="27" customHeight="1" x14ac:dyDescent="0.25">
      <c r="A89" s="310" t="s">
        <v>100</v>
      </c>
      <c r="B89" s="311" t="s">
        <v>433</v>
      </c>
      <c r="C89" s="238" t="s">
        <v>433</v>
      </c>
      <c r="D89" s="239">
        <v>1</v>
      </c>
      <c r="E89" s="254">
        <v>0</v>
      </c>
      <c r="F89" s="258" t="s">
        <v>16764</v>
      </c>
      <c r="G89" s="241">
        <v>1</v>
      </c>
      <c r="H89" s="241">
        <v>0</v>
      </c>
      <c r="I89" s="240" t="s">
        <v>16765</v>
      </c>
      <c r="J89" s="241">
        <v>1</v>
      </c>
      <c r="K89" s="241">
        <v>0</v>
      </c>
      <c r="L89" s="241">
        <v>0</v>
      </c>
      <c r="M89" s="240" t="s">
        <v>16754</v>
      </c>
      <c r="N89" s="241">
        <v>1</v>
      </c>
      <c r="O89" s="241">
        <v>0</v>
      </c>
      <c r="P89" s="241">
        <v>0</v>
      </c>
      <c r="Q89" s="259" t="s">
        <v>717</v>
      </c>
      <c r="R89" s="242" t="s">
        <v>16775</v>
      </c>
      <c r="S89" s="244" t="s">
        <v>17017</v>
      </c>
      <c r="T89" s="275" t="s">
        <v>27203</v>
      </c>
      <c r="U89" s="275" t="str">
        <f t="shared" si="1"/>
        <v>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 Next refer.:Pressure on people working on the project</v>
      </c>
      <c r="V89" s="300" t="s">
        <v>26842</v>
      </c>
      <c r="W89" s="295"/>
      <c r="X89" s="289"/>
      <c r="Y89" s="289"/>
      <c r="Z89" s="289"/>
      <c r="AA89" s="289"/>
      <c r="AB89" s="289"/>
      <c r="AC89" s="289"/>
      <c r="AD89" s="289"/>
      <c r="AE89" s="289"/>
      <c r="AF89" s="289"/>
      <c r="AG89" s="289"/>
      <c r="AH89" s="289"/>
      <c r="AI89" s="289"/>
      <c r="AJ89" s="289"/>
      <c r="AK89" s="289"/>
      <c r="AL89" s="289"/>
      <c r="AM89" s="289"/>
      <c r="AN89" s="289"/>
      <c r="AO89" s="289"/>
      <c r="AP89" s="289"/>
      <c r="AQ89" s="289"/>
      <c r="AR89" s="289"/>
      <c r="AS89" s="289"/>
      <c r="AT89" s="289"/>
      <c r="AU89" s="289"/>
      <c r="AV89" s="289"/>
      <c r="AW89" s="289"/>
      <c r="AX89" s="289"/>
      <c r="AY89" s="289"/>
      <c r="AZ89" s="289" t="s">
        <v>17018</v>
      </c>
      <c r="BA89" s="291"/>
      <c r="BB89" s="289"/>
      <c r="BC89" s="289"/>
      <c r="BD89" s="291"/>
      <c r="BE89" s="289" t="s">
        <v>27120</v>
      </c>
      <c r="BF89" s="289"/>
      <c r="BG89" s="291"/>
      <c r="BH89" s="289"/>
      <c r="BI89" s="291"/>
      <c r="BJ89" s="289"/>
      <c r="BK89" s="289"/>
      <c r="BL89" s="289"/>
    </row>
    <row r="90" spans="1:64" ht="27" customHeight="1" x14ac:dyDescent="0.25">
      <c r="A90" s="310" t="s">
        <v>101</v>
      </c>
      <c r="B90" s="311" t="s">
        <v>434</v>
      </c>
      <c r="C90" s="238" t="s">
        <v>434</v>
      </c>
      <c r="D90" s="239">
        <v>0</v>
      </c>
      <c r="E90" s="254">
        <v>1</v>
      </c>
      <c r="F90" s="258" t="s">
        <v>16753</v>
      </c>
      <c r="G90" s="241">
        <v>0</v>
      </c>
      <c r="H90" s="241">
        <v>1</v>
      </c>
      <c r="I90" s="240" t="s">
        <v>16755</v>
      </c>
      <c r="J90" s="241">
        <v>1</v>
      </c>
      <c r="K90" s="241">
        <v>0</v>
      </c>
      <c r="L90" s="241">
        <v>0</v>
      </c>
      <c r="M90" s="240" t="s">
        <v>16754</v>
      </c>
      <c r="N90" s="241">
        <v>1</v>
      </c>
      <c r="O90" s="241">
        <v>0</v>
      </c>
      <c r="P90" s="241">
        <v>0</v>
      </c>
      <c r="Q90" s="259" t="s">
        <v>717</v>
      </c>
      <c r="R90" s="242" t="s">
        <v>16756</v>
      </c>
      <c r="S90" s="244" t="s">
        <v>17019</v>
      </c>
      <c r="T90" s="275" t="s">
        <v>17020</v>
      </c>
      <c r="U90" s="275" t="str">
        <f t="shared" si="1"/>
        <v>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v>
      </c>
      <c r="V90" s="300" t="s">
        <v>26843</v>
      </c>
      <c r="W90" s="295"/>
      <c r="X90" s="289"/>
      <c r="Y90" s="289"/>
      <c r="Z90" s="289"/>
      <c r="AA90" s="289"/>
      <c r="AB90" s="289"/>
      <c r="AC90" s="289"/>
      <c r="AD90" s="289"/>
      <c r="AE90" s="289"/>
      <c r="AF90" s="289"/>
      <c r="AG90" s="289"/>
      <c r="AH90" s="289"/>
      <c r="AI90" s="289"/>
      <c r="AJ90" s="289"/>
      <c r="AK90" s="289"/>
      <c r="AL90" s="289"/>
      <c r="AM90" s="289"/>
      <c r="AN90" s="289"/>
      <c r="AO90" s="289"/>
      <c r="AP90" s="289"/>
      <c r="AQ90" s="289"/>
      <c r="AR90" s="289"/>
      <c r="AS90" s="289"/>
      <c r="AT90" s="289"/>
      <c r="AU90" s="289"/>
      <c r="AV90" s="289"/>
      <c r="AW90" s="289"/>
      <c r="AX90" s="289"/>
      <c r="AY90" s="289"/>
      <c r="AZ90" s="291"/>
      <c r="BA90" s="291"/>
      <c r="BB90" s="289"/>
      <c r="BC90" s="289"/>
      <c r="BD90" s="289" t="s">
        <v>17020</v>
      </c>
      <c r="BE90" s="291"/>
      <c r="BF90" s="291"/>
      <c r="BG90" s="291"/>
      <c r="BH90" s="289"/>
      <c r="BI90" s="291"/>
      <c r="BJ90" s="289"/>
      <c r="BK90" s="289"/>
      <c r="BL90" s="289"/>
    </row>
    <row r="91" spans="1:64" ht="27" customHeight="1" x14ac:dyDescent="0.25">
      <c r="A91" s="310" t="s">
        <v>102</v>
      </c>
      <c r="B91" s="311" t="s">
        <v>17021</v>
      </c>
      <c r="C91" s="238" t="s">
        <v>435</v>
      </c>
      <c r="D91" s="239">
        <v>0</v>
      </c>
      <c r="E91" s="254">
        <v>1</v>
      </c>
      <c r="F91" s="258" t="s">
        <v>16753</v>
      </c>
      <c r="G91" s="241">
        <v>0</v>
      </c>
      <c r="H91" s="241">
        <v>1</v>
      </c>
      <c r="I91" s="240" t="s">
        <v>16755</v>
      </c>
      <c r="J91" s="241">
        <v>1</v>
      </c>
      <c r="K91" s="241">
        <v>0</v>
      </c>
      <c r="L91" s="241">
        <v>0</v>
      </c>
      <c r="M91" s="240" t="s">
        <v>16754</v>
      </c>
      <c r="N91" s="241">
        <v>0</v>
      </c>
      <c r="O91" s="241">
        <v>1</v>
      </c>
      <c r="P91" s="241">
        <v>0</v>
      </c>
      <c r="Q91" s="259" t="s">
        <v>16827</v>
      </c>
      <c r="R91" s="242" t="s">
        <v>16756</v>
      </c>
      <c r="S91" s="244" t="s">
        <v>17022</v>
      </c>
      <c r="T91" s="275" t="s">
        <v>17023</v>
      </c>
      <c r="U91" s="275" t="str">
        <f t="shared" si="1"/>
        <v>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v>
      </c>
      <c r="V91" s="300" t="s">
        <v>26844</v>
      </c>
      <c r="W91" s="295"/>
      <c r="X91" s="289"/>
      <c r="Y91" s="289"/>
      <c r="Z91" s="289"/>
      <c r="AA91" s="289"/>
      <c r="AB91" s="289"/>
      <c r="AC91" s="289"/>
      <c r="AD91" s="289"/>
      <c r="AE91" s="289"/>
      <c r="AF91" s="289"/>
      <c r="AG91" s="289"/>
      <c r="AH91" s="289"/>
      <c r="AI91" s="289"/>
      <c r="AJ91" s="289"/>
      <c r="AK91" s="289"/>
      <c r="AL91" s="289"/>
      <c r="AM91" s="289"/>
      <c r="AN91" s="289"/>
      <c r="AO91" s="289"/>
      <c r="AP91" s="289"/>
      <c r="AQ91" s="289"/>
      <c r="AR91" s="289"/>
      <c r="AS91" s="289"/>
      <c r="AT91" s="289"/>
      <c r="AU91" s="289"/>
      <c r="AV91" s="289"/>
      <c r="AW91" s="289"/>
      <c r="AX91" s="289"/>
      <c r="AY91" s="289"/>
      <c r="AZ91" s="291"/>
      <c r="BA91" s="291"/>
      <c r="BB91" s="289"/>
      <c r="BC91" s="289"/>
      <c r="BD91" s="289" t="s">
        <v>17023</v>
      </c>
      <c r="BE91" s="291"/>
      <c r="BF91" s="291"/>
      <c r="BG91" s="291"/>
      <c r="BH91" s="289"/>
      <c r="BI91" s="291"/>
      <c r="BJ91" s="289"/>
      <c r="BK91" s="289"/>
      <c r="BL91" s="289"/>
    </row>
    <row r="92" spans="1:64" ht="27" customHeight="1" x14ac:dyDescent="0.25">
      <c r="A92" s="310" t="s">
        <v>103</v>
      </c>
      <c r="B92" s="311" t="s">
        <v>26037</v>
      </c>
      <c r="C92" s="238" t="s">
        <v>436</v>
      </c>
      <c r="D92" s="239">
        <v>1</v>
      </c>
      <c r="E92" s="254">
        <v>0</v>
      </c>
      <c r="F92" s="258" t="s">
        <v>16764</v>
      </c>
      <c r="G92" s="241">
        <v>0</v>
      </c>
      <c r="H92" s="241">
        <v>1</v>
      </c>
      <c r="I92" s="240" t="s">
        <v>16755</v>
      </c>
      <c r="J92" s="241">
        <v>1</v>
      </c>
      <c r="K92" s="241">
        <v>0</v>
      </c>
      <c r="L92" s="241">
        <v>0</v>
      </c>
      <c r="M92" s="240" t="s">
        <v>16754</v>
      </c>
      <c r="N92" s="241">
        <v>1</v>
      </c>
      <c r="O92" s="241">
        <v>0</v>
      </c>
      <c r="P92" s="241">
        <v>0</v>
      </c>
      <c r="Q92" s="259" t="s">
        <v>717</v>
      </c>
      <c r="R92" s="242" t="s">
        <v>17024</v>
      </c>
      <c r="S92" s="244" t="s">
        <v>25589</v>
      </c>
      <c r="T92" s="275" t="s">
        <v>646</v>
      </c>
      <c r="U92" s="275" t="str">
        <f t="shared" si="1"/>
        <v/>
      </c>
      <c r="V92" s="300" t="s">
        <v>26845</v>
      </c>
      <c r="W92" s="295" t="s">
        <v>27121</v>
      </c>
      <c r="X92" s="289"/>
      <c r="Y92" s="289"/>
      <c r="Z92" s="289"/>
      <c r="AA92" s="289"/>
      <c r="AB92" s="289"/>
      <c r="AC92" s="289"/>
      <c r="AD92" s="289"/>
      <c r="AE92" s="289"/>
      <c r="AF92" s="289"/>
      <c r="AG92" s="289"/>
      <c r="AH92" s="289"/>
      <c r="AI92" s="289"/>
      <c r="AJ92" s="289"/>
      <c r="AK92" s="289"/>
      <c r="AL92" s="289"/>
      <c r="AM92" s="289"/>
      <c r="AN92" s="289"/>
      <c r="AO92" s="289"/>
      <c r="AP92" s="289"/>
      <c r="AQ92" s="289"/>
      <c r="AR92" s="289"/>
      <c r="AS92" s="289"/>
      <c r="AT92" s="289"/>
      <c r="AU92" s="289"/>
      <c r="AV92" s="289"/>
      <c r="AW92" s="289"/>
      <c r="AX92" s="289"/>
      <c r="AY92" s="289"/>
      <c r="AZ92" s="291"/>
      <c r="BA92" s="291"/>
      <c r="BB92" s="289"/>
      <c r="BC92" s="289"/>
      <c r="BD92" s="291"/>
      <c r="BE92" s="291"/>
      <c r="BF92" s="291"/>
      <c r="BG92" s="291"/>
      <c r="BH92" s="289"/>
      <c r="BI92" s="291"/>
      <c r="BJ92" s="289"/>
      <c r="BK92" s="289"/>
      <c r="BL92" s="289"/>
    </row>
    <row r="93" spans="1:64" ht="27" customHeight="1" x14ac:dyDescent="0.25">
      <c r="A93" s="310" t="s">
        <v>104</v>
      </c>
      <c r="B93" s="311" t="s">
        <v>437</v>
      </c>
      <c r="C93" s="238" t="s">
        <v>437</v>
      </c>
      <c r="D93" s="239">
        <v>1</v>
      </c>
      <c r="E93" s="254">
        <v>0</v>
      </c>
      <c r="F93" s="258" t="s">
        <v>16764</v>
      </c>
      <c r="G93" s="241">
        <v>0</v>
      </c>
      <c r="H93" s="241">
        <v>1</v>
      </c>
      <c r="I93" s="240" t="s">
        <v>16755</v>
      </c>
      <c r="J93" s="241">
        <v>1</v>
      </c>
      <c r="K93" s="241">
        <v>0</v>
      </c>
      <c r="L93" s="241">
        <v>0</v>
      </c>
      <c r="M93" s="240" t="s">
        <v>16754</v>
      </c>
      <c r="N93" s="241">
        <v>0</v>
      </c>
      <c r="O93" s="241">
        <v>1</v>
      </c>
      <c r="P93" s="241">
        <v>0</v>
      </c>
      <c r="Q93" s="259" t="s">
        <v>16827</v>
      </c>
      <c r="R93" s="242" t="s">
        <v>16901</v>
      </c>
      <c r="S93" s="244" t="s">
        <v>25591</v>
      </c>
      <c r="T93" s="275" t="s">
        <v>646</v>
      </c>
      <c r="U93" s="275" t="str">
        <f t="shared" si="1"/>
        <v/>
      </c>
      <c r="V93" s="300" t="s">
        <v>26846</v>
      </c>
      <c r="W93" s="295" t="s">
        <v>25590</v>
      </c>
      <c r="X93" s="289"/>
      <c r="Y93" s="289"/>
      <c r="Z93" s="289"/>
      <c r="AA93" s="289"/>
      <c r="AB93" s="289"/>
      <c r="AC93" s="289"/>
      <c r="AD93" s="289"/>
      <c r="AE93" s="289"/>
      <c r="AF93" s="289"/>
      <c r="AG93" s="289"/>
      <c r="AH93" s="289"/>
      <c r="AI93" s="289"/>
      <c r="AJ93" s="289"/>
      <c r="AK93" s="289"/>
      <c r="AL93" s="289"/>
      <c r="AM93" s="289"/>
      <c r="AN93" s="289"/>
      <c r="AO93" s="289"/>
      <c r="AP93" s="289"/>
      <c r="AQ93" s="289"/>
      <c r="AR93" s="289"/>
      <c r="AS93" s="289"/>
      <c r="AT93" s="289"/>
      <c r="AU93" s="289"/>
      <c r="AV93" s="289"/>
      <c r="AW93" s="289"/>
      <c r="AX93" s="289"/>
      <c r="AY93" s="289"/>
      <c r="AZ93" s="291"/>
      <c r="BA93" s="291"/>
      <c r="BB93" s="289"/>
      <c r="BC93" s="289"/>
      <c r="BD93" s="291"/>
      <c r="BE93" s="291"/>
      <c r="BF93" s="291"/>
      <c r="BG93" s="291"/>
      <c r="BH93" s="289"/>
      <c r="BI93" s="291"/>
      <c r="BJ93" s="289"/>
      <c r="BK93" s="289"/>
      <c r="BL93" s="289"/>
    </row>
    <row r="94" spans="1:64" ht="27" customHeight="1" x14ac:dyDescent="0.25">
      <c r="A94" s="310" t="s">
        <v>105</v>
      </c>
      <c r="B94" s="311" t="s">
        <v>17025</v>
      </c>
      <c r="C94" s="238" t="s">
        <v>438</v>
      </c>
      <c r="D94" s="239">
        <v>1</v>
      </c>
      <c r="E94" s="254">
        <v>0</v>
      </c>
      <c r="F94" s="258" t="s">
        <v>16764</v>
      </c>
      <c r="G94" s="241">
        <v>1</v>
      </c>
      <c r="H94" s="241">
        <v>0</v>
      </c>
      <c r="I94" s="240" t="s">
        <v>16765</v>
      </c>
      <c r="J94" s="241">
        <v>0</v>
      </c>
      <c r="K94" s="241">
        <v>0</v>
      </c>
      <c r="L94" s="241">
        <v>1</v>
      </c>
      <c r="M94" s="240" t="s">
        <v>16832</v>
      </c>
      <c r="N94" s="241">
        <v>1</v>
      </c>
      <c r="O94" s="241">
        <v>0</v>
      </c>
      <c r="P94" s="241">
        <v>0</v>
      </c>
      <c r="Q94" s="259" t="s">
        <v>717</v>
      </c>
      <c r="R94" s="242" t="s">
        <v>16775</v>
      </c>
      <c r="S94" s="244" t="s">
        <v>17026</v>
      </c>
      <c r="T94" s="275" t="s">
        <v>17027</v>
      </c>
      <c r="U94" s="275" t="str">
        <f t="shared" si="1"/>
        <v>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v>
      </c>
      <c r="V94" s="300" t="s">
        <v>26847</v>
      </c>
      <c r="W94" s="295"/>
      <c r="X94" s="289"/>
      <c r="Y94" s="289"/>
      <c r="Z94" s="289"/>
      <c r="AA94" s="289"/>
      <c r="AB94" s="289"/>
      <c r="AC94" s="289"/>
      <c r="AD94" s="289"/>
      <c r="AE94" s="289"/>
      <c r="AF94" s="289"/>
      <c r="AG94" s="289"/>
      <c r="AH94" s="289"/>
      <c r="AI94" s="289"/>
      <c r="AJ94" s="289"/>
      <c r="AK94" s="289"/>
      <c r="AL94" s="289"/>
      <c r="AM94" s="289"/>
      <c r="AN94" s="289"/>
      <c r="AO94" s="289"/>
      <c r="AP94" s="289"/>
      <c r="AQ94" s="289"/>
      <c r="AR94" s="289"/>
      <c r="AS94" s="289"/>
      <c r="AT94" s="289"/>
      <c r="AU94" s="289"/>
      <c r="AV94" s="289"/>
      <c r="AW94" s="289"/>
      <c r="AX94" s="289"/>
      <c r="AY94" s="289"/>
      <c r="AZ94" s="291"/>
      <c r="BA94" s="291"/>
      <c r="BB94" s="289"/>
      <c r="BC94" s="289" t="s">
        <v>17027</v>
      </c>
      <c r="BD94" s="290"/>
      <c r="BE94" s="290"/>
      <c r="BF94" s="290"/>
      <c r="BG94" s="290"/>
      <c r="BH94" s="290"/>
      <c r="BI94" s="290"/>
      <c r="BJ94" s="289"/>
      <c r="BK94" s="290"/>
      <c r="BL94" s="290"/>
    </row>
    <row r="95" spans="1:64" ht="27" customHeight="1" x14ac:dyDescent="0.25">
      <c r="A95" s="310" t="s">
        <v>106</v>
      </c>
      <c r="B95" s="311" t="s">
        <v>17028</v>
      </c>
      <c r="C95" s="238" t="s">
        <v>17028</v>
      </c>
      <c r="D95" s="239">
        <v>0</v>
      </c>
      <c r="E95" s="254">
        <v>1</v>
      </c>
      <c r="F95" s="258" t="s">
        <v>16753</v>
      </c>
      <c r="G95" s="241">
        <v>0</v>
      </c>
      <c r="H95" s="241">
        <v>1</v>
      </c>
      <c r="I95" s="240" t="s">
        <v>16755</v>
      </c>
      <c r="J95" s="241">
        <v>1</v>
      </c>
      <c r="K95" s="241">
        <v>0</v>
      </c>
      <c r="L95" s="241">
        <v>0</v>
      </c>
      <c r="M95" s="240" t="s">
        <v>16754</v>
      </c>
      <c r="N95" s="241">
        <v>1</v>
      </c>
      <c r="O95" s="241">
        <v>0</v>
      </c>
      <c r="P95" s="241">
        <v>0</v>
      </c>
      <c r="Q95" s="259" t="s">
        <v>717</v>
      </c>
      <c r="R95" s="242" t="s">
        <v>16775</v>
      </c>
      <c r="S95" s="244" t="s">
        <v>17029</v>
      </c>
      <c r="T95" s="275" t="s">
        <v>17030</v>
      </c>
      <c r="U95" s="275" t="str">
        <f t="shared" si="1"/>
        <v>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v>
      </c>
      <c r="V95" s="300" t="s">
        <v>26848</v>
      </c>
      <c r="W95" s="295"/>
      <c r="X95" s="289"/>
      <c r="Y95" s="289"/>
      <c r="Z95" s="289"/>
      <c r="AA95" s="289"/>
      <c r="AB95" s="289"/>
      <c r="AC95" s="289"/>
      <c r="AD95" s="289"/>
      <c r="AE95" s="289"/>
      <c r="AF95" s="289"/>
      <c r="AG95" s="289"/>
      <c r="AH95" s="289"/>
      <c r="AI95" s="289"/>
      <c r="AJ95" s="289"/>
      <c r="AK95" s="289"/>
      <c r="AL95" s="289"/>
      <c r="AM95" s="289"/>
      <c r="AN95" s="289"/>
      <c r="AO95" s="289"/>
      <c r="AP95" s="289"/>
      <c r="AQ95" s="289"/>
      <c r="AR95" s="289"/>
      <c r="AS95" s="289"/>
      <c r="AT95" s="289"/>
      <c r="AU95" s="289"/>
      <c r="AV95" s="289"/>
      <c r="AW95" s="289"/>
      <c r="AX95" s="289"/>
      <c r="AY95" s="289"/>
      <c r="AZ95" s="291"/>
      <c r="BA95" s="291"/>
      <c r="BB95" s="289"/>
      <c r="BC95" s="289" t="s">
        <v>17030</v>
      </c>
      <c r="BD95" s="290"/>
      <c r="BE95" s="290"/>
      <c r="BF95" s="290"/>
      <c r="BG95" s="290"/>
      <c r="BH95" s="290"/>
      <c r="BI95" s="290"/>
      <c r="BJ95" s="289"/>
      <c r="BK95" s="290"/>
      <c r="BL95" s="290"/>
    </row>
    <row r="96" spans="1:64" ht="27" customHeight="1" x14ac:dyDescent="0.25">
      <c r="A96" s="310" t="s">
        <v>107</v>
      </c>
      <c r="B96" s="311" t="s">
        <v>17031</v>
      </c>
      <c r="C96" s="238" t="s">
        <v>440</v>
      </c>
      <c r="D96" s="239">
        <v>0</v>
      </c>
      <c r="E96" s="254">
        <v>1</v>
      </c>
      <c r="F96" s="258" t="s">
        <v>16753</v>
      </c>
      <c r="G96" s="241">
        <v>0</v>
      </c>
      <c r="H96" s="241">
        <v>1</v>
      </c>
      <c r="I96" s="240" t="s">
        <v>16755</v>
      </c>
      <c r="J96" s="241">
        <v>1</v>
      </c>
      <c r="K96" s="241">
        <v>0</v>
      </c>
      <c r="L96" s="241">
        <v>0</v>
      </c>
      <c r="M96" s="240" t="s">
        <v>16754</v>
      </c>
      <c r="N96" s="241">
        <v>1</v>
      </c>
      <c r="O96" s="241">
        <v>0</v>
      </c>
      <c r="P96" s="241">
        <v>0</v>
      </c>
      <c r="Q96" s="259" t="s">
        <v>717</v>
      </c>
      <c r="R96" s="242" t="s">
        <v>16775</v>
      </c>
      <c r="S96" s="244" t="s">
        <v>17032</v>
      </c>
      <c r="T96" s="275" t="s">
        <v>17033</v>
      </c>
      <c r="U96" s="275" t="str">
        <f t="shared" si="1"/>
        <v>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v>
      </c>
      <c r="V96" s="300" t="s">
        <v>26849</v>
      </c>
      <c r="W96" s="295"/>
      <c r="X96" s="289"/>
      <c r="Y96" s="289"/>
      <c r="Z96" s="289"/>
      <c r="AA96" s="289"/>
      <c r="AB96" s="289"/>
      <c r="AC96" s="289"/>
      <c r="AD96" s="289"/>
      <c r="AE96" s="289"/>
      <c r="AF96" s="289"/>
      <c r="AG96" s="289"/>
      <c r="AH96" s="289"/>
      <c r="AI96" s="289"/>
      <c r="AJ96" s="289"/>
      <c r="AK96" s="289"/>
      <c r="AL96" s="289"/>
      <c r="AM96" s="289"/>
      <c r="AN96" s="289"/>
      <c r="AO96" s="289"/>
      <c r="AP96" s="289"/>
      <c r="AQ96" s="289"/>
      <c r="AR96" s="289"/>
      <c r="AS96" s="289"/>
      <c r="AT96" s="289"/>
      <c r="AU96" s="289"/>
      <c r="AV96" s="289"/>
      <c r="AW96" s="289"/>
      <c r="AX96" s="289"/>
      <c r="AY96" s="289"/>
      <c r="AZ96" s="291"/>
      <c r="BA96" s="291"/>
      <c r="BB96" s="289"/>
      <c r="BC96" s="289" t="s">
        <v>17033</v>
      </c>
      <c r="BD96" s="290"/>
      <c r="BE96" s="290"/>
      <c r="BF96" s="290"/>
      <c r="BG96" s="290"/>
      <c r="BH96" s="290"/>
      <c r="BI96" s="290"/>
      <c r="BJ96" s="289"/>
      <c r="BK96" s="290"/>
      <c r="BL96" s="290"/>
    </row>
    <row r="97" spans="1:64" ht="27" customHeight="1" x14ac:dyDescent="0.25">
      <c r="A97" s="310" t="s">
        <v>108</v>
      </c>
      <c r="B97" s="311" t="s">
        <v>441</v>
      </c>
      <c r="C97" s="238" t="s">
        <v>441</v>
      </c>
      <c r="D97" s="239">
        <v>0</v>
      </c>
      <c r="E97" s="254">
        <v>1</v>
      </c>
      <c r="F97" s="258" t="s">
        <v>16753</v>
      </c>
      <c r="G97" s="241">
        <v>0</v>
      </c>
      <c r="H97" s="241">
        <v>1</v>
      </c>
      <c r="I97" s="240" t="s">
        <v>16755</v>
      </c>
      <c r="J97" s="241">
        <v>1</v>
      </c>
      <c r="K97" s="241">
        <v>0</v>
      </c>
      <c r="L97" s="241">
        <v>0</v>
      </c>
      <c r="M97" s="240" t="s">
        <v>16754</v>
      </c>
      <c r="N97" s="241">
        <v>0</v>
      </c>
      <c r="O97" s="241">
        <v>1</v>
      </c>
      <c r="P97" s="241">
        <v>0</v>
      </c>
      <c r="Q97" s="259" t="s">
        <v>16827</v>
      </c>
      <c r="R97" s="242" t="s">
        <v>16756</v>
      </c>
      <c r="S97" s="244" t="s">
        <v>17034</v>
      </c>
      <c r="T97" s="275" t="s">
        <v>17035</v>
      </c>
      <c r="U97" s="275" t="str">
        <f t="shared" si="1"/>
        <v>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v>
      </c>
      <c r="V97" s="300" t="s">
        <v>26850</v>
      </c>
      <c r="W97" s="295"/>
      <c r="X97" s="289"/>
      <c r="Y97" s="289"/>
      <c r="Z97" s="289"/>
      <c r="AA97" s="289"/>
      <c r="AB97" s="289"/>
      <c r="AC97" s="289"/>
      <c r="AD97" s="289"/>
      <c r="AE97" s="289"/>
      <c r="AF97" s="289"/>
      <c r="AG97" s="289"/>
      <c r="AH97" s="289"/>
      <c r="AI97" s="289"/>
      <c r="AJ97" s="289"/>
      <c r="AK97" s="289"/>
      <c r="AL97" s="289"/>
      <c r="AM97" s="289"/>
      <c r="AN97" s="289"/>
      <c r="AO97" s="289"/>
      <c r="AP97" s="289"/>
      <c r="AQ97" s="289"/>
      <c r="AR97" s="289"/>
      <c r="AS97" s="289"/>
      <c r="AT97" s="289"/>
      <c r="AU97" s="289"/>
      <c r="AV97" s="289"/>
      <c r="AW97" s="289"/>
      <c r="AX97" s="289"/>
      <c r="AY97" s="289"/>
      <c r="AZ97" s="291"/>
      <c r="BA97" s="291"/>
      <c r="BB97" s="289"/>
      <c r="BC97" s="289" t="s">
        <v>17035</v>
      </c>
      <c r="BD97" s="290"/>
      <c r="BE97" s="290"/>
      <c r="BF97" s="290"/>
      <c r="BG97" s="290"/>
      <c r="BH97" s="290"/>
      <c r="BI97" s="290"/>
      <c r="BJ97" s="289"/>
      <c r="BK97" s="290"/>
      <c r="BL97" s="290"/>
    </row>
    <row r="98" spans="1:64" ht="27" customHeight="1" x14ac:dyDescent="0.25">
      <c r="A98" s="310" t="s">
        <v>109</v>
      </c>
      <c r="B98" s="311" t="s">
        <v>17036</v>
      </c>
      <c r="C98" s="238" t="s">
        <v>17037</v>
      </c>
      <c r="D98" s="239">
        <v>0</v>
      </c>
      <c r="E98" s="254">
        <v>1</v>
      </c>
      <c r="F98" s="258" t="s">
        <v>16753</v>
      </c>
      <c r="G98" s="241">
        <v>0</v>
      </c>
      <c r="H98" s="241">
        <v>1</v>
      </c>
      <c r="I98" s="240" t="s">
        <v>16755</v>
      </c>
      <c r="J98" s="241">
        <v>1</v>
      </c>
      <c r="K98" s="241">
        <v>0</v>
      </c>
      <c r="L98" s="241">
        <v>0</v>
      </c>
      <c r="M98" s="240" t="s">
        <v>16754</v>
      </c>
      <c r="N98" s="241">
        <v>0</v>
      </c>
      <c r="O98" s="241">
        <v>1</v>
      </c>
      <c r="P98" s="241">
        <v>0</v>
      </c>
      <c r="Q98" s="259" t="s">
        <v>16827</v>
      </c>
      <c r="R98" s="242" t="s">
        <v>16756</v>
      </c>
      <c r="S98" s="244" t="s">
        <v>17038</v>
      </c>
      <c r="T98" s="275" t="s">
        <v>17039</v>
      </c>
      <c r="U98" s="275" t="str">
        <f t="shared" si="1"/>
        <v>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v>
      </c>
      <c r="V98" s="300" t="s">
        <v>26851</v>
      </c>
      <c r="W98" s="295"/>
      <c r="X98" s="289"/>
      <c r="Y98" s="289"/>
      <c r="Z98" s="289"/>
      <c r="AA98" s="289"/>
      <c r="AB98" s="289"/>
      <c r="AC98" s="289"/>
      <c r="AD98" s="289"/>
      <c r="AE98" s="289"/>
      <c r="AF98" s="289"/>
      <c r="AG98" s="289"/>
      <c r="AH98" s="289"/>
      <c r="AI98" s="289"/>
      <c r="AJ98" s="289"/>
      <c r="AK98" s="289"/>
      <c r="AL98" s="289"/>
      <c r="AM98" s="289"/>
      <c r="AN98" s="289"/>
      <c r="AO98" s="289"/>
      <c r="AP98" s="289"/>
      <c r="AQ98" s="289"/>
      <c r="AR98" s="289"/>
      <c r="AS98" s="289"/>
      <c r="AT98" s="289"/>
      <c r="AU98" s="289"/>
      <c r="AV98" s="289"/>
      <c r="AW98" s="289"/>
      <c r="AX98" s="289"/>
      <c r="AY98" s="289"/>
      <c r="AZ98" s="291"/>
      <c r="BA98" s="291"/>
      <c r="BB98" s="289"/>
      <c r="BC98" s="289" t="s">
        <v>17039</v>
      </c>
      <c r="BD98" s="290"/>
      <c r="BE98" s="290"/>
      <c r="BF98" s="290"/>
      <c r="BG98" s="290"/>
      <c r="BH98" s="290"/>
      <c r="BI98" s="290"/>
      <c r="BJ98" s="289"/>
      <c r="BK98" s="290"/>
      <c r="BL98" s="290"/>
    </row>
    <row r="99" spans="1:64" ht="27" customHeight="1" x14ac:dyDescent="0.25">
      <c r="A99" s="310" t="s">
        <v>110</v>
      </c>
      <c r="B99" s="311" t="s">
        <v>17040</v>
      </c>
      <c r="C99" s="238" t="s">
        <v>17040</v>
      </c>
      <c r="D99" s="239">
        <v>1</v>
      </c>
      <c r="E99" s="254">
        <v>0</v>
      </c>
      <c r="F99" s="258" t="s">
        <v>16764</v>
      </c>
      <c r="G99" s="241">
        <v>1</v>
      </c>
      <c r="H99" s="241">
        <v>0</v>
      </c>
      <c r="I99" s="240" t="s">
        <v>16765</v>
      </c>
      <c r="J99" s="241">
        <v>0</v>
      </c>
      <c r="K99" s="241">
        <v>0</v>
      </c>
      <c r="L99" s="241">
        <v>1</v>
      </c>
      <c r="M99" s="240" t="s">
        <v>16832</v>
      </c>
      <c r="N99" s="241">
        <v>1</v>
      </c>
      <c r="O99" s="241">
        <v>0</v>
      </c>
      <c r="P99" s="241">
        <v>0</v>
      </c>
      <c r="Q99" s="259" t="s">
        <v>717</v>
      </c>
      <c r="R99" s="242" t="s">
        <v>16775</v>
      </c>
      <c r="S99" s="244" t="s">
        <v>17042</v>
      </c>
      <c r="T99" s="275" t="s">
        <v>27204</v>
      </c>
      <c r="U99" s="275" t="str">
        <f t="shared" si="1"/>
        <v>Learning, and sharing the technical information and work materials of teams|| Next refer.:LOSS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 Next refer.:CCH9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v>
      </c>
      <c r="V99" s="300" t="s">
        <v>26852</v>
      </c>
      <c r="W99" s="295"/>
      <c r="X99" s="289"/>
      <c r="Y99" s="289"/>
      <c r="Z99" s="289"/>
      <c r="AA99" s="289"/>
      <c r="AB99" s="289"/>
      <c r="AC99" s="289"/>
      <c r="AD99" s="289"/>
      <c r="AE99" s="289"/>
      <c r="AF99" s="289"/>
      <c r="AG99" s="289"/>
      <c r="AH99" s="289"/>
      <c r="AI99" s="289"/>
      <c r="AJ99" s="289"/>
      <c r="AK99" s="289"/>
      <c r="AL99" s="289"/>
      <c r="AM99" s="289"/>
      <c r="AN99" s="289"/>
      <c r="AO99" s="289" t="s">
        <v>17043</v>
      </c>
      <c r="AP99" s="289" t="s">
        <v>17044</v>
      </c>
      <c r="AQ99" s="289"/>
      <c r="AR99" s="289"/>
      <c r="AS99" s="289"/>
      <c r="AT99" s="289"/>
      <c r="AU99" s="289"/>
      <c r="AV99" s="289"/>
      <c r="AW99" s="289"/>
      <c r="AX99" s="289"/>
      <c r="AY99" s="289"/>
      <c r="AZ99" s="291"/>
      <c r="BA99" s="291"/>
      <c r="BB99" s="289"/>
      <c r="BC99" s="289" t="s">
        <v>17045</v>
      </c>
      <c r="BD99" s="290"/>
      <c r="BE99" s="290"/>
      <c r="BF99" s="290"/>
      <c r="BG99" s="290"/>
      <c r="BH99" s="290"/>
      <c r="BI99" s="290"/>
      <c r="BJ99" s="289"/>
      <c r="BK99" s="290"/>
      <c r="BL99" s="290"/>
    </row>
    <row r="100" spans="1:64" ht="27" customHeight="1" x14ac:dyDescent="0.25">
      <c r="A100" s="310" t="s">
        <v>111</v>
      </c>
      <c r="B100" s="311" t="s">
        <v>17046</v>
      </c>
      <c r="C100" s="238" t="s">
        <v>444</v>
      </c>
      <c r="D100" s="239">
        <v>0</v>
      </c>
      <c r="E100" s="254">
        <v>1</v>
      </c>
      <c r="F100" s="258" t="s">
        <v>16753</v>
      </c>
      <c r="G100" s="241">
        <v>0</v>
      </c>
      <c r="H100" s="241">
        <v>1</v>
      </c>
      <c r="I100" s="240" t="s">
        <v>16755</v>
      </c>
      <c r="J100" s="241">
        <v>0</v>
      </c>
      <c r="K100" s="241">
        <v>0</v>
      </c>
      <c r="L100" s="241">
        <v>1</v>
      </c>
      <c r="M100" s="240" t="s">
        <v>16832</v>
      </c>
      <c r="N100" s="241">
        <v>0</v>
      </c>
      <c r="O100" s="241">
        <v>0</v>
      </c>
      <c r="P100" s="241">
        <v>1</v>
      </c>
      <c r="Q100" s="259" t="s">
        <v>16766</v>
      </c>
      <c r="R100" s="242" t="s">
        <v>16775</v>
      </c>
      <c r="S100" s="244" t="s">
        <v>17047</v>
      </c>
      <c r="T100" s="275" t="s">
        <v>17048</v>
      </c>
      <c r="U100" s="275" t="str">
        <f t="shared" si="1"/>
        <v>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v>
      </c>
      <c r="V100" s="300" t="s">
        <v>26853</v>
      </c>
      <c r="W100" s="295"/>
      <c r="X100" s="289"/>
      <c r="Y100" s="289"/>
      <c r="Z100" s="289"/>
      <c r="AA100" s="289"/>
      <c r="AB100" s="289"/>
      <c r="AC100" s="289"/>
      <c r="AD100" s="289"/>
      <c r="AE100" s="289"/>
      <c r="AF100" s="289"/>
      <c r="AG100" s="289"/>
      <c r="AH100" s="289"/>
      <c r="AI100" s="289"/>
      <c r="AJ100" s="289"/>
      <c r="AK100" s="289"/>
      <c r="AL100" s="289"/>
      <c r="AM100" s="289"/>
      <c r="AN100" s="289"/>
      <c r="AO100" s="289"/>
      <c r="AP100" s="289"/>
      <c r="AQ100" s="289"/>
      <c r="AR100" s="289"/>
      <c r="AS100" s="289"/>
      <c r="AT100" s="289"/>
      <c r="AU100" s="289"/>
      <c r="AV100" s="289"/>
      <c r="AW100" s="289"/>
      <c r="AX100" s="289"/>
      <c r="AY100" s="289"/>
      <c r="AZ100" s="291"/>
      <c r="BA100" s="291"/>
      <c r="BB100" s="289"/>
      <c r="BC100" s="289" t="s">
        <v>17048</v>
      </c>
      <c r="BD100" s="290"/>
      <c r="BE100" s="290"/>
      <c r="BF100" s="290"/>
      <c r="BG100" s="290"/>
      <c r="BH100" s="290"/>
      <c r="BI100" s="290"/>
      <c r="BJ100" s="289"/>
      <c r="BK100" s="290"/>
      <c r="BL100" s="290"/>
    </row>
    <row r="101" spans="1:64" ht="27" customHeight="1" x14ac:dyDescent="0.25">
      <c r="A101" s="310" t="s">
        <v>112</v>
      </c>
      <c r="B101" s="311" t="s">
        <v>445</v>
      </c>
      <c r="C101" s="238" t="s">
        <v>445</v>
      </c>
      <c r="D101" s="239">
        <v>1</v>
      </c>
      <c r="E101" s="254">
        <v>0</v>
      </c>
      <c r="F101" s="258" t="s">
        <v>16764</v>
      </c>
      <c r="G101" s="241">
        <v>1</v>
      </c>
      <c r="H101" s="241">
        <v>0</v>
      </c>
      <c r="I101" s="240" t="s">
        <v>16765</v>
      </c>
      <c r="J101" s="241">
        <v>0</v>
      </c>
      <c r="K101" s="241">
        <v>0</v>
      </c>
      <c r="L101" s="241">
        <v>1</v>
      </c>
      <c r="M101" s="240" t="s">
        <v>16832</v>
      </c>
      <c r="N101" s="241">
        <v>1</v>
      </c>
      <c r="O101" s="241">
        <v>0</v>
      </c>
      <c r="P101" s="241">
        <v>0</v>
      </c>
      <c r="Q101" s="259" t="s">
        <v>717</v>
      </c>
      <c r="R101" s="242" t="s">
        <v>16756</v>
      </c>
      <c r="S101" s="244" t="s">
        <v>17049</v>
      </c>
      <c r="T101" s="275" t="s">
        <v>17050</v>
      </c>
      <c r="U101" s="275" t="str">
        <f t="shared" si="1"/>
        <v>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v>
      </c>
      <c r="V101" s="300" t="s">
        <v>26854</v>
      </c>
      <c r="W101" s="295"/>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c r="AX101" s="289"/>
      <c r="AY101" s="289"/>
      <c r="AZ101" s="291"/>
      <c r="BA101" s="291"/>
      <c r="BB101" s="289"/>
      <c r="BC101" s="289" t="s">
        <v>17050</v>
      </c>
      <c r="BD101" s="290"/>
      <c r="BE101" s="290"/>
      <c r="BF101" s="290"/>
      <c r="BG101" s="290"/>
      <c r="BH101" s="290"/>
      <c r="BI101" s="290"/>
      <c r="BJ101" s="289"/>
      <c r="BK101" s="290"/>
      <c r="BL101" s="290"/>
    </row>
    <row r="102" spans="1:64" ht="27" customHeight="1" x14ac:dyDescent="0.25">
      <c r="A102" s="310" t="s">
        <v>113</v>
      </c>
      <c r="B102" s="311" t="s">
        <v>446</v>
      </c>
      <c r="C102" s="238" t="s">
        <v>446</v>
      </c>
      <c r="D102" s="239">
        <v>1</v>
      </c>
      <c r="E102" s="254">
        <v>0</v>
      </c>
      <c r="F102" s="258" t="s">
        <v>16764</v>
      </c>
      <c r="G102" s="241">
        <v>1</v>
      </c>
      <c r="H102" s="241">
        <v>0</v>
      </c>
      <c r="I102" s="240" t="s">
        <v>16765</v>
      </c>
      <c r="J102" s="241">
        <v>0</v>
      </c>
      <c r="K102" s="241">
        <v>0</v>
      </c>
      <c r="L102" s="241">
        <v>1</v>
      </c>
      <c r="M102" s="240" t="s">
        <v>16832</v>
      </c>
      <c r="N102" s="241">
        <v>1</v>
      </c>
      <c r="O102" s="241">
        <v>0</v>
      </c>
      <c r="P102" s="241">
        <v>0</v>
      </c>
      <c r="Q102" s="259" t="s">
        <v>717</v>
      </c>
      <c r="R102" s="242" t="s">
        <v>16756</v>
      </c>
      <c r="S102" s="244" t="s">
        <v>25530</v>
      </c>
      <c r="T102" s="275" t="s">
        <v>17051</v>
      </c>
      <c r="U102" s="275" t="str">
        <f t="shared" si="1"/>
        <v>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v>
      </c>
      <c r="V102" s="300" t="s">
        <v>26855</v>
      </c>
      <c r="W102" s="295"/>
      <c r="X102" s="289"/>
      <c r="Y102" s="289"/>
      <c r="Z102" s="289"/>
      <c r="AA102" s="289"/>
      <c r="AB102" s="289"/>
      <c r="AC102" s="289"/>
      <c r="AD102" s="289"/>
      <c r="AE102" s="289"/>
      <c r="AF102" s="289"/>
      <c r="AG102" s="289"/>
      <c r="AH102" s="289"/>
      <c r="AI102" s="289"/>
      <c r="AJ102" s="289"/>
      <c r="AK102" s="289"/>
      <c r="AL102" s="289"/>
      <c r="AM102" s="289"/>
      <c r="AN102" s="289"/>
      <c r="AO102" s="289"/>
      <c r="AP102" s="289"/>
      <c r="AQ102" s="289"/>
      <c r="AR102" s="289"/>
      <c r="AS102" s="289"/>
      <c r="AT102" s="289"/>
      <c r="AU102" s="289"/>
      <c r="AV102" s="289"/>
      <c r="AW102" s="289"/>
      <c r="AX102" s="289"/>
      <c r="AY102" s="289"/>
      <c r="AZ102" s="291"/>
      <c r="BA102" s="291"/>
      <c r="BB102" s="289"/>
      <c r="BC102" s="289" t="s">
        <v>17051</v>
      </c>
      <c r="BD102" s="290"/>
      <c r="BE102" s="290"/>
      <c r="BF102" s="290"/>
      <c r="BG102" s="290"/>
      <c r="BH102" s="290"/>
      <c r="BI102" s="290"/>
      <c r="BJ102" s="289"/>
      <c r="BK102" s="290"/>
      <c r="BL102" s="290"/>
    </row>
    <row r="103" spans="1:64" ht="27" customHeight="1" x14ac:dyDescent="0.25">
      <c r="A103" s="310" t="s">
        <v>114</v>
      </c>
      <c r="B103" s="311" t="s">
        <v>17052</v>
      </c>
      <c r="C103" s="238" t="s">
        <v>17052</v>
      </c>
      <c r="D103" s="239">
        <v>0</v>
      </c>
      <c r="E103" s="254">
        <v>1</v>
      </c>
      <c r="F103" s="258" t="s">
        <v>16753</v>
      </c>
      <c r="G103" s="241">
        <v>0</v>
      </c>
      <c r="H103" s="241">
        <v>1</v>
      </c>
      <c r="I103" s="240" t="s">
        <v>16755</v>
      </c>
      <c r="J103" s="241">
        <v>1</v>
      </c>
      <c r="K103" s="241">
        <v>0</v>
      </c>
      <c r="L103" s="241">
        <v>0</v>
      </c>
      <c r="M103" s="240" t="s">
        <v>16754</v>
      </c>
      <c r="N103" s="241">
        <v>0</v>
      </c>
      <c r="O103" s="241">
        <v>1</v>
      </c>
      <c r="P103" s="241">
        <v>0</v>
      </c>
      <c r="Q103" s="259" t="s">
        <v>16827</v>
      </c>
      <c r="R103" s="242" t="s">
        <v>16756</v>
      </c>
      <c r="S103" s="244" t="s">
        <v>17053</v>
      </c>
      <c r="T103" s="275" t="s">
        <v>17054</v>
      </c>
      <c r="U103" s="275" t="str">
        <f t="shared" si="1"/>
        <v>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v>
      </c>
      <c r="V103" s="300" t="s">
        <v>26856</v>
      </c>
      <c r="W103" s="295"/>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91"/>
      <c r="BA103" s="291"/>
      <c r="BB103" s="289"/>
      <c r="BC103" s="289" t="s">
        <v>17054</v>
      </c>
      <c r="BD103" s="290"/>
      <c r="BE103" s="290"/>
      <c r="BF103" s="290"/>
      <c r="BG103" s="290"/>
      <c r="BH103" s="290"/>
      <c r="BI103" s="290"/>
      <c r="BJ103" s="289"/>
      <c r="BK103" s="290"/>
      <c r="BL103" s="290"/>
    </row>
    <row r="104" spans="1:64" ht="27" customHeight="1" x14ac:dyDescent="0.25">
      <c r="A104" s="310" t="s">
        <v>115</v>
      </c>
      <c r="B104" s="311" t="s">
        <v>17055</v>
      </c>
      <c r="C104" s="238" t="s">
        <v>448</v>
      </c>
      <c r="D104" s="239">
        <v>1</v>
      </c>
      <c r="E104" s="254">
        <v>0</v>
      </c>
      <c r="F104" s="258" t="s">
        <v>16764</v>
      </c>
      <c r="G104" s="241">
        <v>1</v>
      </c>
      <c r="H104" s="241">
        <v>0</v>
      </c>
      <c r="I104" s="240" t="s">
        <v>16765</v>
      </c>
      <c r="J104" s="241">
        <v>0</v>
      </c>
      <c r="K104" s="241">
        <v>0</v>
      </c>
      <c r="L104" s="241">
        <v>1</v>
      </c>
      <c r="M104" s="240" t="s">
        <v>16832</v>
      </c>
      <c r="N104" s="241">
        <v>0</v>
      </c>
      <c r="O104" s="241">
        <v>1</v>
      </c>
      <c r="P104" s="241">
        <v>0</v>
      </c>
      <c r="Q104" s="259" t="s">
        <v>16827</v>
      </c>
      <c r="R104" s="242" t="s">
        <v>17011</v>
      </c>
      <c r="S104" s="244" t="s">
        <v>25593</v>
      </c>
      <c r="T104" s="275" t="s">
        <v>27205</v>
      </c>
      <c r="U104" s="275" t="str">
        <f t="shared" si="1"/>
        <v>Client and vendor rely on oral agreement.|| Next refer.:In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v>
      </c>
      <c r="V104" s="300" t="s">
        <v>26857</v>
      </c>
      <c r="W104" s="295" t="s">
        <v>25592</v>
      </c>
      <c r="X104" s="289"/>
      <c r="Y104" s="289" t="s">
        <v>27122</v>
      </c>
      <c r="Z104" s="289"/>
      <c r="AA104" s="289"/>
      <c r="AB104" s="289" t="s">
        <v>17347</v>
      </c>
      <c r="AC104" s="289"/>
      <c r="AD104" s="289"/>
      <c r="AE104" s="289"/>
      <c r="AF104" s="289"/>
      <c r="AG104" s="289"/>
      <c r="AH104" s="289"/>
      <c r="AI104" s="289"/>
      <c r="AJ104" s="289"/>
      <c r="AK104" s="289"/>
      <c r="AL104" s="289"/>
      <c r="AM104" s="289"/>
      <c r="AN104" s="289"/>
      <c r="AO104" s="289"/>
      <c r="AP104" s="289"/>
      <c r="AQ104" s="289"/>
      <c r="AR104" s="289"/>
      <c r="AS104" s="289"/>
      <c r="AT104" s="289"/>
      <c r="AU104" s="289"/>
      <c r="AV104" s="289"/>
      <c r="AW104" s="289"/>
      <c r="AX104" s="289"/>
      <c r="AY104" s="289"/>
      <c r="AZ104" s="291"/>
      <c r="BA104" s="291"/>
      <c r="BB104" s="289"/>
      <c r="BC104" s="289"/>
      <c r="BD104" s="290"/>
      <c r="BE104" s="290"/>
      <c r="BF104" s="290"/>
      <c r="BG104" s="290"/>
      <c r="BH104" s="290"/>
      <c r="BI104" s="290"/>
      <c r="BJ104" s="289"/>
      <c r="BK104" s="290"/>
      <c r="BL104" s="290"/>
    </row>
    <row r="105" spans="1:64" ht="27" customHeight="1" x14ac:dyDescent="0.25">
      <c r="A105" s="310" t="s">
        <v>116</v>
      </c>
      <c r="B105" s="311" t="s">
        <v>17056</v>
      </c>
      <c r="C105" s="238" t="s">
        <v>449</v>
      </c>
      <c r="D105" s="239">
        <v>1</v>
      </c>
      <c r="E105" s="254">
        <v>0</v>
      </c>
      <c r="F105" s="258" t="s">
        <v>16764</v>
      </c>
      <c r="G105" s="241">
        <v>1</v>
      </c>
      <c r="H105" s="241">
        <v>0</v>
      </c>
      <c r="I105" s="240" t="s">
        <v>16765</v>
      </c>
      <c r="J105" s="241">
        <v>0</v>
      </c>
      <c r="K105" s="241">
        <v>0</v>
      </c>
      <c r="L105" s="241">
        <v>1</v>
      </c>
      <c r="M105" s="240" t="s">
        <v>16832</v>
      </c>
      <c r="N105" s="241">
        <v>1</v>
      </c>
      <c r="O105" s="241">
        <v>0</v>
      </c>
      <c r="P105" s="241">
        <v>0</v>
      </c>
      <c r="Q105" s="259" t="s">
        <v>717</v>
      </c>
      <c r="R105" s="242" t="s">
        <v>17057</v>
      </c>
      <c r="S105" s="244" t="s">
        <v>25594</v>
      </c>
      <c r="T105" s="275" t="s">
        <v>646</v>
      </c>
      <c r="U105" s="275" t="str">
        <f t="shared" si="1"/>
        <v/>
      </c>
      <c r="V105" s="300" t="s">
        <v>26858</v>
      </c>
      <c r="W105" s="295" t="s">
        <v>25595</v>
      </c>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91"/>
      <c r="BA105" s="291"/>
      <c r="BB105" s="289"/>
      <c r="BC105" s="289"/>
      <c r="BD105" s="290"/>
      <c r="BE105" s="290"/>
      <c r="BF105" s="290"/>
      <c r="BG105" s="290"/>
      <c r="BH105" s="290"/>
      <c r="BI105" s="290"/>
      <c r="BJ105" s="289"/>
      <c r="BK105" s="290"/>
      <c r="BL105" s="290"/>
    </row>
    <row r="106" spans="1:64" ht="27" customHeight="1" x14ac:dyDescent="0.25">
      <c r="A106" s="310" t="s">
        <v>117</v>
      </c>
      <c r="B106" s="311" t="s">
        <v>17058</v>
      </c>
      <c r="C106" s="238" t="s">
        <v>450</v>
      </c>
      <c r="D106" s="239">
        <v>1</v>
      </c>
      <c r="E106" s="254">
        <v>0</v>
      </c>
      <c r="F106" s="258" t="s">
        <v>16764</v>
      </c>
      <c r="G106" s="241">
        <v>1</v>
      </c>
      <c r="H106" s="241">
        <v>0</v>
      </c>
      <c r="I106" s="240" t="s">
        <v>16765</v>
      </c>
      <c r="J106" s="241">
        <v>0</v>
      </c>
      <c r="K106" s="241">
        <v>0</v>
      </c>
      <c r="L106" s="241">
        <v>1</v>
      </c>
      <c r="M106" s="240" t="s">
        <v>16832</v>
      </c>
      <c r="N106" s="241">
        <v>1</v>
      </c>
      <c r="O106" s="241">
        <v>0</v>
      </c>
      <c r="P106" s="241">
        <v>0</v>
      </c>
      <c r="Q106" s="259" t="s">
        <v>717</v>
      </c>
      <c r="R106" s="242" t="s">
        <v>16756</v>
      </c>
      <c r="S106" s="244" t="s">
        <v>17059</v>
      </c>
      <c r="T106" s="275" t="s">
        <v>27206</v>
      </c>
      <c r="U106" s="275" t="str">
        <f t="shared" si="1"/>
        <v>It allows to identify the technological knowledge level, available tools support, or quality assurance measures.|| Next refer.:Evaluating the project quality with respect to the service</v>
      </c>
      <c r="V106" s="300" t="s">
        <v>26859</v>
      </c>
      <c r="W106" s="295"/>
      <c r="X106" s="289"/>
      <c r="Y106" s="289"/>
      <c r="Z106" s="289"/>
      <c r="AA106" s="289"/>
      <c r="AB106" s="289"/>
      <c r="AC106" s="289"/>
      <c r="AD106" s="289"/>
      <c r="AE106" s="289"/>
      <c r="AF106" s="289"/>
      <c r="AG106" s="289" t="s">
        <v>25514</v>
      </c>
      <c r="AH106" s="289"/>
      <c r="AI106" s="289"/>
      <c r="AJ106" s="289"/>
      <c r="AK106" s="289"/>
      <c r="AL106" s="289"/>
      <c r="AM106" s="289"/>
      <c r="AN106" s="289"/>
      <c r="AO106" s="289" t="s">
        <v>17060</v>
      </c>
      <c r="AP106" s="289"/>
      <c r="AQ106" s="289"/>
      <c r="AR106" s="289"/>
      <c r="AS106" s="289"/>
      <c r="AT106" s="289"/>
      <c r="AU106" s="289"/>
      <c r="AV106" s="289"/>
      <c r="AW106" s="289"/>
      <c r="AX106" s="289"/>
      <c r="AY106" s="289"/>
      <c r="AZ106" s="291"/>
      <c r="BA106" s="291"/>
      <c r="BB106" s="289"/>
      <c r="BC106" s="289"/>
      <c r="BD106" s="290"/>
      <c r="BE106" s="290"/>
      <c r="BF106" s="290"/>
      <c r="BG106" s="290"/>
      <c r="BH106" s="290"/>
      <c r="BI106" s="290"/>
      <c r="BJ106" s="289"/>
      <c r="BK106" s="290"/>
      <c r="BL106" s="290"/>
    </row>
    <row r="107" spans="1:64" ht="27" customHeight="1" x14ac:dyDescent="0.25">
      <c r="A107" s="310" t="s">
        <v>118</v>
      </c>
      <c r="B107" s="311" t="s">
        <v>17061</v>
      </c>
      <c r="C107" s="238" t="s">
        <v>451</v>
      </c>
      <c r="D107" s="239">
        <v>1</v>
      </c>
      <c r="E107" s="254">
        <v>0</v>
      </c>
      <c r="F107" s="258" t="s">
        <v>16764</v>
      </c>
      <c r="G107" s="241">
        <v>1</v>
      </c>
      <c r="H107" s="241">
        <v>0</v>
      </c>
      <c r="I107" s="240" t="s">
        <v>16765</v>
      </c>
      <c r="J107" s="241">
        <v>0</v>
      </c>
      <c r="K107" s="241">
        <v>0</v>
      </c>
      <c r="L107" s="241">
        <v>1</v>
      </c>
      <c r="M107" s="240" t="s">
        <v>16832</v>
      </c>
      <c r="N107" s="241">
        <v>1</v>
      </c>
      <c r="O107" s="241">
        <v>0</v>
      </c>
      <c r="P107" s="241">
        <v>0</v>
      </c>
      <c r="Q107" s="259" t="s">
        <v>717</v>
      </c>
      <c r="R107" s="242" t="s">
        <v>16901</v>
      </c>
      <c r="S107" s="244" t="s">
        <v>25596</v>
      </c>
      <c r="T107" s="275" t="s">
        <v>646</v>
      </c>
      <c r="U107" s="275" t="str">
        <f t="shared" si="1"/>
        <v/>
      </c>
      <c r="V107" s="300" t="s">
        <v>26860</v>
      </c>
      <c r="W107" s="295" t="s">
        <v>25597</v>
      </c>
      <c r="X107" s="289"/>
      <c r="Y107" s="289"/>
      <c r="Z107" s="289"/>
      <c r="AA107" s="289"/>
      <c r="AB107" s="289"/>
      <c r="AC107" s="289"/>
      <c r="AD107" s="289"/>
      <c r="AE107" s="289"/>
      <c r="AF107" s="289"/>
      <c r="AG107" s="289"/>
      <c r="AH107" s="289"/>
      <c r="AI107" s="289"/>
      <c r="AJ107" s="289"/>
      <c r="AK107" s="289"/>
      <c r="AL107" s="289"/>
      <c r="AM107" s="289"/>
      <c r="AN107" s="289"/>
      <c r="AO107" s="289"/>
      <c r="AP107" s="289"/>
      <c r="AQ107" s="289"/>
      <c r="AR107" s="289"/>
      <c r="AS107" s="289"/>
      <c r="AT107" s="289"/>
      <c r="AU107" s="289"/>
      <c r="AV107" s="289"/>
      <c r="AW107" s="289"/>
      <c r="AX107" s="289"/>
      <c r="AY107" s="289"/>
      <c r="AZ107" s="291"/>
      <c r="BA107" s="291"/>
      <c r="BB107" s="289"/>
      <c r="BC107" s="289"/>
      <c r="BD107" s="290"/>
      <c r="BE107" s="290"/>
      <c r="BF107" s="290"/>
      <c r="BG107" s="290"/>
      <c r="BH107" s="290"/>
      <c r="BI107" s="290"/>
      <c r="BJ107" s="289"/>
      <c r="BK107" s="290"/>
      <c r="BL107" s="290"/>
    </row>
    <row r="108" spans="1:64" ht="27" customHeight="1" x14ac:dyDescent="0.25">
      <c r="A108" s="310" t="s">
        <v>119</v>
      </c>
      <c r="B108" s="311" t="s">
        <v>17061</v>
      </c>
      <c r="C108" s="238" t="s">
        <v>452</v>
      </c>
      <c r="D108" s="239">
        <v>1</v>
      </c>
      <c r="E108" s="254">
        <v>0</v>
      </c>
      <c r="F108" s="258" t="s">
        <v>16764</v>
      </c>
      <c r="G108" s="241">
        <v>1</v>
      </c>
      <c r="H108" s="241">
        <v>0</v>
      </c>
      <c r="I108" s="240" t="s">
        <v>16765</v>
      </c>
      <c r="J108" s="241">
        <v>0</v>
      </c>
      <c r="K108" s="241">
        <v>0</v>
      </c>
      <c r="L108" s="241">
        <v>1</v>
      </c>
      <c r="M108" s="240" t="s">
        <v>16832</v>
      </c>
      <c r="N108" s="241">
        <v>1</v>
      </c>
      <c r="O108" s="241">
        <v>0</v>
      </c>
      <c r="P108" s="241">
        <v>0</v>
      </c>
      <c r="Q108" s="259" t="s">
        <v>717</v>
      </c>
      <c r="R108" s="242" t="s">
        <v>16901</v>
      </c>
      <c r="S108" s="244" t="s">
        <v>25598</v>
      </c>
      <c r="T108" s="275" t="s">
        <v>17368</v>
      </c>
      <c r="U108" s="275" t="str">
        <f t="shared" si="1"/>
        <v>Accelarated delivery</v>
      </c>
      <c r="V108" s="300" t="s">
        <v>26861</v>
      </c>
      <c r="W108" s="295" t="s">
        <v>25599</v>
      </c>
      <c r="X108" s="289"/>
      <c r="Y108" s="289"/>
      <c r="Z108" s="289" t="s">
        <v>17368</v>
      </c>
      <c r="AA108" s="289"/>
      <c r="AB108" s="289"/>
      <c r="AC108" s="289"/>
      <c r="AD108" s="289"/>
      <c r="AE108" s="289"/>
      <c r="AF108" s="289"/>
      <c r="AG108" s="289"/>
      <c r="AH108" s="289"/>
      <c r="AI108" s="289"/>
      <c r="AJ108" s="289"/>
      <c r="AK108" s="289"/>
      <c r="AL108" s="289"/>
      <c r="AM108" s="289"/>
      <c r="AN108" s="289"/>
      <c r="AO108" s="289"/>
      <c r="AP108" s="289"/>
      <c r="AQ108" s="289"/>
      <c r="AR108" s="289"/>
      <c r="AS108" s="289"/>
      <c r="AT108" s="289"/>
      <c r="AU108" s="289"/>
      <c r="AV108" s="289"/>
      <c r="AW108" s="289"/>
      <c r="AX108" s="289"/>
      <c r="AY108" s="289"/>
      <c r="AZ108" s="291"/>
      <c r="BA108" s="291"/>
      <c r="BB108" s="289"/>
      <c r="BC108" s="289"/>
      <c r="BD108" s="290"/>
      <c r="BE108" s="290"/>
      <c r="BF108" s="290"/>
      <c r="BG108" s="290"/>
      <c r="BH108" s="290"/>
      <c r="BI108" s="290"/>
      <c r="BJ108" s="289"/>
      <c r="BK108" s="290"/>
      <c r="BL108" s="290"/>
    </row>
    <row r="109" spans="1:64" ht="27" customHeight="1" x14ac:dyDescent="0.25">
      <c r="A109" s="310" t="s">
        <v>120</v>
      </c>
      <c r="B109" s="311" t="s">
        <v>17062</v>
      </c>
      <c r="C109" s="238" t="s">
        <v>453</v>
      </c>
      <c r="D109" s="239">
        <v>1</v>
      </c>
      <c r="E109" s="254">
        <v>0</v>
      </c>
      <c r="F109" s="258" t="s">
        <v>16764</v>
      </c>
      <c r="G109" s="241">
        <v>1</v>
      </c>
      <c r="H109" s="241">
        <v>0</v>
      </c>
      <c r="I109" s="240" t="s">
        <v>16765</v>
      </c>
      <c r="J109" s="241">
        <v>0</v>
      </c>
      <c r="K109" s="241">
        <v>0</v>
      </c>
      <c r="L109" s="241">
        <v>1</v>
      </c>
      <c r="M109" s="240" t="s">
        <v>16832</v>
      </c>
      <c r="N109" s="241">
        <v>1</v>
      </c>
      <c r="O109" s="241">
        <v>0</v>
      </c>
      <c r="P109" s="241">
        <v>0</v>
      </c>
      <c r="Q109" s="259" t="s">
        <v>717</v>
      </c>
      <c r="R109" s="242" t="s">
        <v>16909</v>
      </c>
      <c r="S109" s="244" t="s">
        <v>25600</v>
      </c>
      <c r="T109" s="275" t="s">
        <v>646</v>
      </c>
      <c r="U109" s="275" t="str">
        <f t="shared" si="1"/>
        <v/>
      </c>
      <c r="V109" s="300" t="s">
        <v>26862</v>
      </c>
      <c r="W109" s="295" t="s">
        <v>25601</v>
      </c>
      <c r="X109" s="289"/>
      <c r="Y109" s="289"/>
      <c r="Z109" s="289"/>
      <c r="AA109" s="289"/>
      <c r="AB109" s="289"/>
      <c r="AC109" s="289"/>
      <c r="AD109" s="289"/>
      <c r="AE109" s="289"/>
      <c r="AF109" s="289"/>
      <c r="AG109" s="289"/>
      <c r="AH109" s="289"/>
      <c r="AI109" s="289"/>
      <c r="AJ109" s="289"/>
      <c r="AK109" s="289"/>
      <c r="AL109" s="289"/>
      <c r="AM109" s="289"/>
      <c r="AN109" s="289"/>
      <c r="AO109" s="289"/>
      <c r="AP109" s="289"/>
      <c r="AQ109" s="289"/>
      <c r="AR109" s="289"/>
      <c r="AS109" s="289"/>
      <c r="AT109" s="289"/>
      <c r="AU109" s="289"/>
      <c r="AV109" s="289"/>
      <c r="AW109" s="289"/>
      <c r="AX109" s="289"/>
      <c r="AY109" s="289"/>
      <c r="AZ109" s="291"/>
      <c r="BA109" s="291"/>
      <c r="BB109" s="289"/>
      <c r="BC109" s="289"/>
      <c r="BD109" s="290"/>
      <c r="BE109" s="290"/>
      <c r="BF109" s="290"/>
      <c r="BG109" s="290"/>
      <c r="BH109" s="290"/>
      <c r="BI109" s="290"/>
      <c r="BJ109" s="289"/>
      <c r="BK109" s="290"/>
      <c r="BL109" s="290"/>
    </row>
    <row r="110" spans="1:64" ht="27" customHeight="1" x14ac:dyDescent="0.25">
      <c r="A110" s="310" t="s">
        <v>121</v>
      </c>
      <c r="B110" s="311" t="s">
        <v>25602</v>
      </c>
      <c r="C110" s="238" t="s">
        <v>25602</v>
      </c>
      <c r="D110" s="239">
        <v>1</v>
      </c>
      <c r="E110" s="254">
        <v>0</v>
      </c>
      <c r="F110" s="258" t="s">
        <v>16764</v>
      </c>
      <c r="G110" s="241">
        <v>0</v>
      </c>
      <c r="H110" s="241">
        <v>1</v>
      </c>
      <c r="I110" s="240" t="s">
        <v>16755</v>
      </c>
      <c r="J110" s="241">
        <v>1</v>
      </c>
      <c r="K110" s="241">
        <v>0</v>
      </c>
      <c r="L110" s="241">
        <v>0</v>
      </c>
      <c r="M110" s="240" t="s">
        <v>16754</v>
      </c>
      <c r="N110" s="241">
        <v>1</v>
      </c>
      <c r="O110" s="241">
        <v>0</v>
      </c>
      <c r="P110" s="241">
        <v>0</v>
      </c>
      <c r="Q110" s="259" t="s">
        <v>717</v>
      </c>
      <c r="R110" s="242" t="s">
        <v>16901</v>
      </c>
      <c r="S110" s="244" t="s">
        <v>25603</v>
      </c>
      <c r="T110" s="275" t="s">
        <v>646</v>
      </c>
      <c r="U110" s="275" t="str">
        <f t="shared" si="1"/>
        <v/>
      </c>
      <c r="V110" s="300" t="s">
        <v>26863</v>
      </c>
      <c r="W110" s="295" t="s">
        <v>25604</v>
      </c>
      <c r="X110" s="289"/>
      <c r="Y110" s="289"/>
      <c r="Z110" s="289"/>
      <c r="AA110" s="289"/>
      <c r="AB110" s="289"/>
      <c r="AC110" s="289"/>
      <c r="AD110" s="289"/>
      <c r="AE110" s="289"/>
      <c r="AF110" s="289"/>
      <c r="AG110" s="289"/>
      <c r="AH110" s="289"/>
      <c r="AI110" s="289"/>
      <c r="AJ110" s="289"/>
      <c r="AK110" s="289"/>
      <c r="AL110" s="289"/>
      <c r="AM110" s="289"/>
      <c r="AN110" s="289"/>
      <c r="AO110" s="289"/>
      <c r="AP110" s="289"/>
      <c r="AQ110" s="289"/>
      <c r="AR110" s="289"/>
      <c r="AS110" s="289"/>
      <c r="AT110" s="289"/>
      <c r="AU110" s="289"/>
      <c r="AV110" s="289"/>
      <c r="AW110" s="289"/>
      <c r="AX110" s="289"/>
      <c r="AY110" s="289"/>
      <c r="AZ110" s="291"/>
      <c r="BA110" s="291"/>
      <c r="BB110" s="289"/>
      <c r="BC110" s="289"/>
      <c r="BD110" s="290"/>
      <c r="BE110" s="290"/>
      <c r="BF110" s="290"/>
      <c r="BG110" s="290"/>
      <c r="BH110" s="290"/>
      <c r="BI110" s="290"/>
      <c r="BJ110" s="289"/>
      <c r="BK110" s="290"/>
      <c r="BL110" s="290"/>
    </row>
    <row r="111" spans="1:64" ht="27" customHeight="1" x14ac:dyDescent="0.25">
      <c r="A111" s="310" t="s">
        <v>122</v>
      </c>
      <c r="B111" s="311" t="s">
        <v>455</v>
      </c>
      <c r="C111" s="238" t="s">
        <v>25606</v>
      </c>
      <c r="D111" s="239">
        <v>1</v>
      </c>
      <c r="E111" s="254">
        <v>0</v>
      </c>
      <c r="F111" s="258" t="s">
        <v>16764</v>
      </c>
      <c r="G111" s="241">
        <v>1</v>
      </c>
      <c r="H111" s="241">
        <v>0</v>
      </c>
      <c r="I111" s="240" t="s">
        <v>16765</v>
      </c>
      <c r="J111" s="241">
        <v>0</v>
      </c>
      <c r="K111" s="241">
        <v>0</v>
      </c>
      <c r="L111" s="241">
        <v>1</v>
      </c>
      <c r="M111" s="240" t="s">
        <v>16832</v>
      </c>
      <c r="N111" s="241">
        <v>1</v>
      </c>
      <c r="O111" s="241">
        <v>0</v>
      </c>
      <c r="P111" s="241">
        <v>0</v>
      </c>
      <c r="Q111" s="259" t="s">
        <v>717</v>
      </c>
      <c r="R111" s="242" t="s">
        <v>17063</v>
      </c>
      <c r="S111" s="244" t="s">
        <v>25607</v>
      </c>
      <c r="T111" s="275" t="s">
        <v>646</v>
      </c>
      <c r="U111" s="275" t="str">
        <f t="shared" si="1"/>
        <v/>
      </c>
      <c r="V111" s="300" t="s">
        <v>26864</v>
      </c>
      <c r="W111" s="295" t="s">
        <v>25608</v>
      </c>
      <c r="X111" s="289"/>
      <c r="Y111" s="289"/>
      <c r="Z111" s="289"/>
      <c r="AA111" s="289"/>
      <c r="AB111" s="289"/>
      <c r="AC111" s="289"/>
      <c r="AD111" s="289"/>
      <c r="AE111" s="289"/>
      <c r="AF111" s="289"/>
      <c r="AG111" s="289"/>
      <c r="AH111" s="289"/>
      <c r="AI111" s="289"/>
      <c r="AJ111" s="289"/>
      <c r="AK111" s="289"/>
      <c r="AL111" s="289"/>
      <c r="AM111" s="289"/>
      <c r="AN111" s="289"/>
      <c r="AO111" s="289"/>
      <c r="AP111" s="289"/>
      <c r="AQ111" s="289"/>
      <c r="AR111" s="289"/>
      <c r="AS111" s="289"/>
      <c r="AT111" s="289"/>
      <c r="AU111" s="289"/>
      <c r="AV111" s="289"/>
      <c r="AW111" s="289"/>
      <c r="AX111" s="289"/>
      <c r="AY111" s="289"/>
      <c r="AZ111" s="289"/>
      <c r="BA111" s="289"/>
      <c r="BB111" s="290"/>
      <c r="BC111" s="289"/>
      <c r="BD111" s="290"/>
      <c r="BE111" s="290"/>
      <c r="BF111" s="290"/>
      <c r="BG111" s="290"/>
      <c r="BH111" s="290"/>
      <c r="BI111" s="290"/>
      <c r="BJ111" s="289"/>
      <c r="BK111" s="290"/>
      <c r="BL111" s="290"/>
    </row>
    <row r="112" spans="1:64" ht="27" customHeight="1" x14ac:dyDescent="0.25">
      <c r="A112" s="310" t="s">
        <v>123</v>
      </c>
      <c r="B112" s="311" t="s">
        <v>17064</v>
      </c>
      <c r="C112" s="238" t="s">
        <v>456</v>
      </c>
      <c r="D112" s="239">
        <v>1</v>
      </c>
      <c r="E112" s="254">
        <v>0</v>
      </c>
      <c r="F112" s="258" t="s">
        <v>16764</v>
      </c>
      <c r="G112" s="241">
        <v>0</v>
      </c>
      <c r="H112" s="241">
        <v>1</v>
      </c>
      <c r="I112" s="240" t="s">
        <v>16755</v>
      </c>
      <c r="J112" s="241">
        <v>0</v>
      </c>
      <c r="K112" s="241">
        <v>0</v>
      </c>
      <c r="L112" s="241">
        <v>1</v>
      </c>
      <c r="M112" s="240" t="s">
        <v>16832</v>
      </c>
      <c r="N112" s="241">
        <v>1</v>
      </c>
      <c r="O112" s="241">
        <v>0</v>
      </c>
      <c r="P112" s="241">
        <v>0</v>
      </c>
      <c r="Q112" s="259" t="s">
        <v>717</v>
      </c>
      <c r="R112" s="242" t="s">
        <v>16756</v>
      </c>
      <c r="S112" s="244" t="s">
        <v>25605</v>
      </c>
      <c r="T112" s="275" t="s">
        <v>27123</v>
      </c>
      <c r="U112" s="275" t="str">
        <f t="shared" si="1"/>
        <v>Having previous experience in the roles, practices, process, procedures, artifacts is scrum</v>
      </c>
      <c r="V112" s="300" t="s">
        <v>26865</v>
      </c>
      <c r="W112" s="295"/>
      <c r="X112" s="289"/>
      <c r="Y112" s="289"/>
      <c r="Z112" s="289"/>
      <c r="AA112" s="289"/>
      <c r="AB112" s="289"/>
      <c r="AC112" s="289"/>
      <c r="AD112" s="289"/>
      <c r="AE112" s="289"/>
      <c r="AF112" s="289"/>
      <c r="AG112" s="289"/>
      <c r="AH112" s="289"/>
      <c r="AI112" s="289"/>
      <c r="AJ112" s="289"/>
      <c r="AK112" s="289"/>
      <c r="AL112" s="289"/>
      <c r="AM112" s="289"/>
      <c r="AN112" s="289"/>
      <c r="AO112" s="289"/>
      <c r="AP112" s="289"/>
      <c r="AQ112" s="289"/>
      <c r="AR112" s="289"/>
      <c r="AS112" s="289"/>
      <c r="AT112" s="289"/>
      <c r="AU112" s="289"/>
      <c r="AV112" s="289"/>
      <c r="AW112" s="289"/>
      <c r="AX112" s="289"/>
      <c r="AY112" s="289"/>
      <c r="AZ112" s="289"/>
      <c r="BA112" s="289" t="s">
        <v>27123</v>
      </c>
      <c r="BB112" s="290"/>
      <c r="BC112" s="289"/>
      <c r="BD112" s="290"/>
      <c r="BE112" s="290"/>
      <c r="BF112" s="290"/>
      <c r="BG112" s="290"/>
      <c r="BH112" s="290"/>
      <c r="BI112" s="290"/>
      <c r="BJ112" s="289"/>
      <c r="BK112" s="290"/>
      <c r="BL112" s="290"/>
    </row>
    <row r="113" spans="1:64" ht="27" customHeight="1" x14ac:dyDescent="0.25">
      <c r="A113" s="310" t="s">
        <v>124</v>
      </c>
      <c r="B113" s="311" t="s">
        <v>457</v>
      </c>
      <c r="C113" s="238" t="s">
        <v>457</v>
      </c>
      <c r="D113" s="239">
        <v>1</v>
      </c>
      <c r="E113" s="254">
        <v>0</v>
      </c>
      <c r="F113" s="258" t="s">
        <v>16764</v>
      </c>
      <c r="G113" s="241">
        <v>1</v>
      </c>
      <c r="H113" s="241">
        <v>0</v>
      </c>
      <c r="I113" s="240" t="s">
        <v>16765</v>
      </c>
      <c r="J113" s="241">
        <v>0</v>
      </c>
      <c r="K113" s="241">
        <v>0</v>
      </c>
      <c r="L113" s="241">
        <v>1</v>
      </c>
      <c r="M113" s="240" t="s">
        <v>16832</v>
      </c>
      <c r="N113" s="241">
        <v>1</v>
      </c>
      <c r="O113" s="241">
        <v>0</v>
      </c>
      <c r="P113" s="241">
        <v>0</v>
      </c>
      <c r="Q113" s="259" t="s">
        <v>717</v>
      </c>
      <c r="R113" s="242" t="s">
        <v>16901</v>
      </c>
      <c r="S113" s="244" t="s">
        <v>25609</v>
      </c>
      <c r="T113" s="275" t="s">
        <v>26866</v>
      </c>
      <c r="U113" s="275" t="str">
        <f t="shared" si="1"/>
        <v>Scrum hours. 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v>
      </c>
      <c r="V113" s="300" t="s">
        <v>26866</v>
      </c>
      <c r="W113" s="295"/>
      <c r="X113" s="289"/>
      <c r="Y113" s="289"/>
      <c r="Z113" s="289"/>
      <c r="AA113" s="289"/>
      <c r="AB113" s="289"/>
      <c r="AC113" s="289"/>
      <c r="AD113" s="289"/>
      <c r="AE113" s="289"/>
      <c r="AF113" s="289"/>
      <c r="AG113" s="289"/>
      <c r="AH113" s="289"/>
      <c r="AI113" s="289"/>
      <c r="AJ113" s="289"/>
      <c r="AK113" s="289"/>
      <c r="AL113" s="289"/>
      <c r="AM113" s="289"/>
      <c r="AN113" s="289"/>
      <c r="AO113" s="289"/>
      <c r="AP113" s="289"/>
      <c r="AQ113" s="289"/>
      <c r="AR113" s="289"/>
      <c r="AS113" s="289"/>
      <c r="AT113" s="289"/>
      <c r="AU113" s="289"/>
      <c r="AV113" s="289"/>
      <c r="AW113" s="289"/>
      <c r="AX113" s="289"/>
      <c r="AY113" s="289"/>
      <c r="AZ113" s="289"/>
      <c r="BA113" s="289" t="s">
        <v>26866</v>
      </c>
      <c r="BB113" s="290"/>
      <c r="BC113" s="289"/>
      <c r="BD113" s="290"/>
      <c r="BE113" s="290"/>
      <c r="BF113" s="290"/>
      <c r="BG113" s="290"/>
      <c r="BH113" s="290"/>
      <c r="BI113" s="290"/>
      <c r="BJ113" s="289"/>
      <c r="BK113" s="290"/>
      <c r="BL113" s="290"/>
    </row>
    <row r="114" spans="1:64" ht="27" customHeight="1" x14ac:dyDescent="0.25">
      <c r="A114" s="310" t="s">
        <v>125</v>
      </c>
      <c r="B114" s="311" t="s">
        <v>458</v>
      </c>
      <c r="C114" s="238" t="s">
        <v>458</v>
      </c>
      <c r="D114" s="239">
        <v>1</v>
      </c>
      <c r="E114" s="254">
        <v>0</v>
      </c>
      <c r="F114" s="258" t="s">
        <v>16764</v>
      </c>
      <c r="G114" s="241">
        <v>1</v>
      </c>
      <c r="H114" s="241">
        <v>0</v>
      </c>
      <c r="I114" s="240" t="s">
        <v>16765</v>
      </c>
      <c r="J114" s="241">
        <v>0</v>
      </c>
      <c r="K114" s="241">
        <v>0</v>
      </c>
      <c r="L114" s="241">
        <v>1</v>
      </c>
      <c r="M114" s="240" t="s">
        <v>16832</v>
      </c>
      <c r="N114" s="241">
        <v>1</v>
      </c>
      <c r="O114" s="241">
        <v>0</v>
      </c>
      <c r="P114" s="241">
        <v>0</v>
      </c>
      <c r="Q114" s="259" t="s">
        <v>717</v>
      </c>
      <c r="R114" s="242" t="s">
        <v>16901</v>
      </c>
      <c r="S114" s="244" t="s">
        <v>25610</v>
      </c>
      <c r="T114" s="275" t="s">
        <v>26867</v>
      </c>
      <c r="U114" s="275" t="str">
        <f t="shared" si="1"/>
        <v>Number os sprints. The number of sprints is short work cycles for incremental development.</v>
      </c>
      <c r="V114" s="300" t="s">
        <v>26867</v>
      </c>
      <c r="W114" s="295"/>
      <c r="X114" s="289"/>
      <c r="Y114" s="289"/>
      <c r="Z114" s="289"/>
      <c r="AA114" s="289"/>
      <c r="AB114" s="289"/>
      <c r="AC114" s="289"/>
      <c r="AD114" s="289"/>
      <c r="AE114" s="289"/>
      <c r="AF114" s="289"/>
      <c r="AG114" s="289"/>
      <c r="AH114" s="289"/>
      <c r="AI114" s="289"/>
      <c r="AJ114" s="289"/>
      <c r="AK114" s="289"/>
      <c r="AL114" s="289"/>
      <c r="AM114" s="289"/>
      <c r="AN114" s="289"/>
      <c r="AO114" s="289"/>
      <c r="AP114" s="289"/>
      <c r="AQ114" s="289"/>
      <c r="AR114" s="289"/>
      <c r="AS114" s="289"/>
      <c r="AT114" s="289"/>
      <c r="AU114" s="289"/>
      <c r="AV114" s="289"/>
      <c r="AW114" s="289"/>
      <c r="AX114" s="289"/>
      <c r="AY114" s="289"/>
      <c r="AZ114" s="289"/>
      <c r="BA114" s="289" t="s">
        <v>26867</v>
      </c>
      <c r="BB114" s="290"/>
      <c r="BC114" s="289"/>
      <c r="BD114" s="290"/>
      <c r="BE114" s="290"/>
      <c r="BF114" s="290"/>
      <c r="BG114" s="290"/>
      <c r="BH114" s="290"/>
      <c r="BI114" s="290"/>
      <c r="BJ114" s="289"/>
      <c r="BK114" s="290"/>
      <c r="BL114" s="290"/>
    </row>
    <row r="115" spans="1:64" ht="27" customHeight="1" x14ac:dyDescent="0.25">
      <c r="A115" s="310" t="s">
        <v>126</v>
      </c>
      <c r="B115" s="311" t="s">
        <v>17065</v>
      </c>
      <c r="C115" s="238" t="s">
        <v>459</v>
      </c>
      <c r="D115" s="239">
        <v>0</v>
      </c>
      <c r="E115" s="254">
        <v>1</v>
      </c>
      <c r="F115" s="258" t="s">
        <v>16753</v>
      </c>
      <c r="G115" s="241">
        <v>0</v>
      </c>
      <c r="H115" s="241">
        <v>1</v>
      </c>
      <c r="I115" s="240" t="s">
        <v>16755</v>
      </c>
      <c r="J115" s="241">
        <v>1</v>
      </c>
      <c r="K115" s="241">
        <v>0</v>
      </c>
      <c r="L115" s="241">
        <v>0</v>
      </c>
      <c r="M115" s="240" t="s">
        <v>16754</v>
      </c>
      <c r="N115" s="241">
        <v>1</v>
      </c>
      <c r="O115" s="241">
        <v>0</v>
      </c>
      <c r="P115" s="241">
        <v>0</v>
      </c>
      <c r="Q115" s="259" t="s">
        <v>717</v>
      </c>
      <c r="R115" s="242" t="s">
        <v>17063</v>
      </c>
      <c r="S115" s="244" t="s">
        <v>25611</v>
      </c>
      <c r="T115" s="275" t="s">
        <v>26868</v>
      </c>
      <c r="U115" s="275" t="str">
        <f t="shared" si="1"/>
        <v>Analytical thinking (personality dimensions). Individual 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v>
      </c>
      <c r="V115" s="300" t="s">
        <v>26868</v>
      </c>
      <c r="W115" s="295"/>
      <c r="X115" s="289"/>
      <c r="Y115" s="289"/>
      <c r="Z115" s="289"/>
      <c r="AA115" s="289"/>
      <c r="AB115" s="289"/>
      <c r="AC115" s="289"/>
      <c r="AD115" s="289"/>
      <c r="AE115" s="289"/>
      <c r="AF115" s="289"/>
      <c r="AG115" s="289"/>
      <c r="AH115" s="289"/>
      <c r="AI115" s="289"/>
      <c r="AJ115" s="289"/>
      <c r="AK115" s="289"/>
      <c r="AL115" s="289"/>
      <c r="AM115" s="289"/>
      <c r="AN115" s="289"/>
      <c r="AO115" s="289"/>
      <c r="AP115" s="289"/>
      <c r="AQ115" s="289"/>
      <c r="AR115" s="289"/>
      <c r="AS115" s="289"/>
      <c r="AT115" s="289"/>
      <c r="AU115" s="289"/>
      <c r="AV115" s="289"/>
      <c r="AW115" s="289"/>
      <c r="AX115" s="289"/>
      <c r="AY115" s="289"/>
      <c r="AZ115" s="289"/>
      <c r="BA115" s="289" t="s">
        <v>26868</v>
      </c>
      <c r="BB115" s="290"/>
      <c r="BC115" s="289"/>
      <c r="BD115" s="290"/>
      <c r="BE115" s="290"/>
      <c r="BF115" s="290"/>
      <c r="BG115" s="290"/>
      <c r="BH115" s="290"/>
      <c r="BI115" s="290"/>
      <c r="BJ115" s="289"/>
      <c r="BK115" s="290"/>
      <c r="BL115" s="290"/>
    </row>
    <row r="116" spans="1:64" ht="27" customHeight="1" x14ac:dyDescent="0.25">
      <c r="A116" s="310" t="s">
        <v>127</v>
      </c>
      <c r="B116" s="311" t="s">
        <v>17066</v>
      </c>
      <c r="C116" s="238" t="s">
        <v>460</v>
      </c>
      <c r="D116" s="239">
        <v>0</v>
      </c>
      <c r="E116" s="254">
        <v>1</v>
      </c>
      <c r="F116" s="258" t="s">
        <v>16753</v>
      </c>
      <c r="G116" s="241">
        <v>0</v>
      </c>
      <c r="H116" s="241">
        <v>1</v>
      </c>
      <c r="I116" s="240" t="s">
        <v>16755</v>
      </c>
      <c r="J116" s="241">
        <v>1</v>
      </c>
      <c r="K116" s="241">
        <v>0</v>
      </c>
      <c r="L116" s="241">
        <v>0</v>
      </c>
      <c r="M116" s="240" t="s">
        <v>16754</v>
      </c>
      <c r="N116" s="241">
        <v>1</v>
      </c>
      <c r="O116" s="241">
        <v>0</v>
      </c>
      <c r="P116" s="241">
        <v>0</v>
      </c>
      <c r="Q116" s="259" t="s">
        <v>717</v>
      </c>
      <c r="R116" s="242" t="s">
        <v>17063</v>
      </c>
      <c r="S116" s="244" t="s">
        <v>25612</v>
      </c>
      <c r="T116" s="275" t="s">
        <v>646</v>
      </c>
      <c r="U116" s="275" t="str">
        <f t="shared" si="1"/>
        <v/>
      </c>
      <c r="V116" s="300" t="s">
        <v>26869</v>
      </c>
      <c r="W116" s="295" t="s">
        <v>25613</v>
      </c>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c r="AS116" s="289"/>
      <c r="AT116" s="289"/>
      <c r="AU116" s="289"/>
      <c r="AV116" s="289"/>
      <c r="AW116" s="289"/>
      <c r="AX116" s="289"/>
      <c r="AY116" s="289"/>
      <c r="AZ116" s="289"/>
      <c r="BA116" s="289"/>
      <c r="BB116" s="290"/>
      <c r="BC116" s="289"/>
      <c r="BD116" s="290"/>
      <c r="BE116" s="290"/>
      <c r="BF116" s="290"/>
      <c r="BG116" s="290"/>
      <c r="BH116" s="290"/>
      <c r="BI116" s="290"/>
      <c r="BJ116" s="289"/>
      <c r="BK116" s="290"/>
      <c r="BL116" s="290"/>
    </row>
    <row r="117" spans="1:64" ht="27" customHeight="1" x14ac:dyDescent="0.25">
      <c r="A117" s="310" t="s">
        <v>128</v>
      </c>
      <c r="B117" s="311" t="s">
        <v>17067</v>
      </c>
      <c r="C117" s="238" t="s">
        <v>461</v>
      </c>
      <c r="D117" s="239">
        <v>0</v>
      </c>
      <c r="E117" s="254">
        <v>1</v>
      </c>
      <c r="F117" s="258" t="s">
        <v>16753</v>
      </c>
      <c r="G117" s="241">
        <v>0</v>
      </c>
      <c r="H117" s="241">
        <v>1</v>
      </c>
      <c r="I117" s="240" t="s">
        <v>16755</v>
      </c>
      <c r="J117" s="241">
        <v>1</v>
      </c>
      <c r="K117" s="241">
        <v>0</v>
      </c>
      <c r="L117" s="241">
        <v>0</v>
      </c>
      <c r="M117" s="240" t="s">
        <v>16754</v>
      </c>
      <c r="N117" s="241">
        <v>1</v>
      </c>
      <c r="O117" s="241">
        <v>0</v>
      </c>
      <c r="P117" s="241">
        <v>0</v>
      </c>
      <c r="Q117" s="259" t="s">
        <v>717</v>
      </c>
      <c r="R117" s="242" t="s">
        <v>17063</v>
      </c>
      <c r="S117" s="244" t="s">
        <v>25614</v>
      </c>
      <c r="T117" s="275" t="s">
        <v>27141</v>
      </c>
      <c r="U117" s="275" t="str">
        <f t="shared" si="1"/>
        <v>Safeguard workmates’ jobs This cultural aspect refers 
to the impact of end-users’ behaviour intended to protect 
workmates from losing their jobs during requirements 
elicitation. Hofstede et al. [39] argued that people living in low IDV culture protect themselves and their family for 
loyalty. Thanasankit and Corbitt [72] found that, in Thailand 
(low IDV culture),  end-users resisted providing complete 
or accurate requirements because they feared that they or 
their colleagues could lose their jobs. Users believed that the 
software could make them redundant. During the elicitation 
session,  end-users might spend little time on explaining the 
problem of the current system or, in the worst situation, they 
did not attend the meetings [72].</v>
      </c>
      <c r="V117" s="300" t="s">
        <v>26870</v>
      </c>
      <c r="W117" s="295" t="s">
        <v>25615</v>
      </c>
      <c r="X117" s="289"/>
      <c r="Y117" s="289"/>
      <c r="Z117" s="289"/>
      <c r="AA117" s="289"/>
      <c r="AB117" s="289"/>
      <c r="AC117" s="289"/>
      <c r="AD117" s="289"/>
      <c r="AE117" s="289"/>
      <c r="AF117" s="289"/>
      <c r="AG117" s="289"/>
      <c r="AH117" s="289" t="s">
        <v>27141</v>
      </c>
      <c r="AI117" s="289"/>
      <c r="AJ117" s="289"/>
      <c r="AK117" s="289"/>
      <c r="AL117" s="289"/>
      <c r="AM117" s="289"/>
      <c r="AN117" s="289"/>
      <c r="AO117" s="290"/>
      <c r="AP117" s="289"/>
      <c r="AQ117" s="289"/>
      <c r="AR117" s="289"/>
      <c r="AS117" s="289"/>
      <c r="AT117" s="289"/>
      <c r="AU117" s="289"/>
      <c r="AV117" s="289"/>
      <c r="AW117" s="289"/>
      <c r="AX117" s="289"/>
      <c r="AY117" s="289"/>
      <c r="AZ117" s="289"/>
      <c r="BA117" s="289"/>
      <c r="BB117" s="290"/>
      <c r="BC117" s="289"/>
      <c r="BD117" s="290"/>
      <c r="BE117" s="290"/>
      <c r="BF117" s="290"/>
      <c r="BG117" s="290"/>
      <c r="BH117" s="290"/>
      <c r="BI117" s="290"/>
      <c r="BJ117" s="289"/>
      <c r="BK117" s="290"/>
      <c r="BL117" s="290"/>
    </row>
    <row r="118" spans="1:64" ht="27" customHeight="1" x14ac:dyDescent="0.25">
      <c r="A118" s="310" t="s">
        <v>129</v>
      </c>
      <c r="B118" s="311" t="s">
        <v>17068</v>
      </c>
      <c r="C118" s="238" t="s">
        <v>462</v>
      </c>
      <c r="D118" s="239">
        <v>0</v>
      </c>
      <c r="E118" s="254">
        <v>1</v>
      </c>
      <c r="F118" s="258" t="s">
        <v>16753</v>
      </c>
      <c r="G118" s="241">
        <v>0</v>
      </c>
      <c r="H118" s="241">
        <v>1</v>
      </c>
      <c r="I118" s="240" t="s">
        <v>16755</v>
      </c>
      <c r="J118" s="241">
        <v>1</v>
      </c>
      <c r="K118" s="241">
        <v>0</v>
      </c>
      <c r="L118" s="241">
        <v>0</v>
      </c>
      <c r="M118" s="240" t="s">
        <v>16754</v>
      </c>
      <c r="N118" s="241">
        <v>1</v>
      </c>
      <c r="O118" s="241">
        <v>0</v>
      </c>
      <c r="P118" s="241">
        <v>0</v>
      </c>
      <c r="Q118" s="259" t="s">
        <v>717</v>
      </c>
      <c r="R118" s="242" t="s">
        <v>16756</v>
      </c>
      <c r="S118" s="244" t="s">
        <v>25616</v>
      </c>
      <c r="T118" s="275" t="s">
        <v>17069</v>
      </c>
      <c r="U118" s="275" t="str">
        <f t="shared" si="1"/>
        <v>Flexibility and beneficial decisions of teams in knowledge transfer effectiveness</v>
      </c>
      <c r="V118" s="300" t="s">
        <v>26871</v>
      </c>
      <c r="W118" s="295" t="s">
        <v>25617</v>
      </c>
      <c r="X118" s="289"/>
      <c r="Y118" s="289"/>
      <c r="Z118" s="289"/>
      <c r="AA118" s="289"/>
      <c r="AB118" s="289"/>
      <c r="AC118" s="289"/>
      <c r="AD118" s="289"/>
      <c r="AE118" s="289"/>
      <c r="AF118" s="289"/>
      <c r="AG118" s="289"/>
      <c r="AH118" s="289"/>
      <c r="AI118" s="289"/>
      <c r="AJ118" s="289"/>
      <c r="AK118" s="289"/>
      <c r="AL118" s="289"/>
      <c r="AM118" s="289"/>
      <c r="AN118" s="289"/>
      <c r="AO118" s="289" t="s">
        <v>17069</v>
      </c>
      <c r="AP118" s="289"/>
      <c r="AQ118" s="289"/>
      <c r="AR118" s="289"/>
      <c r="AS118" s="289"/>
      <c r="AT118" s="289"/>
      <c r="AU118" s="289"/>
      <c r="AV118" s="289"/>
      <c r="AW118" s="289"/>
      <c r="AX118" s="289"/>
      <c r="AY118" s="289"/>
      <c r="AZ118" s="289"/>
      <c r="BA118" s="289"/>
      <c r="BB118" s="290"/>
      <c r="BC118" s="289"/>
      <c r="BD118" s="290"/>
      <c r="BE118" s="290"/>
      <c r="BF118" s="290"/>
      <c r="BG118" s="290"/>
      <c r="BH118" s="290"/>
      <c r="BI118" s="290"/>
      <c r="BJ118" s="289"/>
      <c r="BK118" s="290"/>
      <c r="BL118" s="290"/>
    </row>
    <row r="119" spans="1:64" ht="27" customHeight="1" x14ac:dyDescent="0.25">
      <c r="A119" s="310" t="s">
        <v>130</v>
      </c>
      <c r="B119" s="311" t="s">
        <v>17070</v>
      </c>
      <c r="C119" s="238" t="s">
        <v>463</v>
      </c>
      <c r="D119" s="239">
        <v>0</v>
      </c>
      <c r="E119" s="254">
        <v>1</v>
      </c>
      <c r="F119" s="258" t="s">
        <v>16753</v>
      </c>
      <c r="G119" s="241">
        <v>0</v>
      </c>
      <c r="H119" s="241">
        <v>1</v>
      </c>
      <c r="I119" s="240" t="s">
        <v>16755</v>
      </c>
      <c r="J119" s="241">
        <v>1</v>
      </c>
      <c r="K119" s="241">
        <v>0</v>
      </c>
      <c r="L119" s="241">
        <v>0</v>
      </c>
      <c r="M119" s="240" t="s">
        <v>16754</v>
      </c>
      <c r="N119" s="241">
        <v>1</v>
      </c>
      <c r="O119" s="241">
        <v>0</v>
      </c>
      <c r="P119" s="241">
        <v>0</v>
      </c>
      <c r="Q119" s="259" t="s">
        <v>717</v>
      </c>
      <c r="R119" s="242" t="s">
        <v>17063</v>
      </c>
      <c r="S119" s="244" t="s">
        <v>25618</v>
      </c>
      <c r="T119" s="275" t="s">
        <v>646</v>
      </c>
      <c r="U119" s="275" t="str">
        <f t="shared" si="1"/>
        <v/>
      </c>
      <c r="V119" s="300" t="s">
        <v>26872</v>
      </c>
      <c r="W119" s="295" t="s">
        <v>25619</v>
      </c>
      <c r="X119" s="289"/>
      <c r="Y119" s="289"/>
      <c r="Z119" s="289"/>
      <c r="AA119" s="289"/>
      <c r="AB119" s="289"/>
      <c r="AC119" s="289"/>
      <c r="AD119" s="289"/>
      <c r="AE119" s="289"/>
      <c r="AF119" s="289"/>
      <c r="AG119" s="289"/>
      <c r="AH119" s="289"/>
      <c r="AI119" s="289"/>
      <c r="AJ119" s="289"/>
      <c r="AK119" s="289"/>
      <c r="AL119" s="289"/>
      <c r="AM119" s="289"/>
      <c r="AN119" s="289"/>
      <c r="AO119" s="289"/>
      <c r="AP119" s="289"/>
      <c r="AQ119" s="289"/>
      <c r="AR119" s="289"/>
      <c r="AS119" s="289"/>
      <c r="AT119" s="289"/>
      <c r="AU119" s="289"/>
      <c r="AV119" s="289"/>
      <c r="AW119" s="289"/>
      <c r="AX119" s="289"/>
      <c r="AY119" s="289"/>
      <c r="AZ119" s="289"/>
      <c r="BA119" s="289"/>
      <c r="BB119" s="290"/>
      <c r="BC119" s="290"/>
      <c r="BD119" s="290"/>
      <c r="BE119" s="290"/>
      <c r="BF119" s="290"/>
      <c r="BG119" s="290"/>
      <c r="BH119" s="290"/>
      <c r="BI119" s="290"/>
      <c r="BJ119" s="289"/>
      <c r="BK119" s="290"/>
      <c r="BL119" s="290"/>
    </row>
    <row r="120" spans="1:64" ht="27" customHeight="1" x14ac:dyDescent="0.25">
      <c r="A120" s="310" t="s">
        <v>131</v>
      </c>
      <c r="B120" s="311" t="s">
        <v>17071</v>
      </c>
      <c r="C120" s="238" t="s">
        <v>464</v>
      </c>
      <c r="D120" s="239">
        <v>0</v>
      </c>
      <c r="E120" s="254">
        <v>1</v>
      </c>
      <c r="F120" s="258" t="s">
        <v>16753</v>
      </c>
      <c r="G120" s="241">
        <v>0</v>
      </c>
      <c r="H120" s="241">
        <v>1</v>
      </c>
      <c r="I120" s="240" t="s">
        <v>16755</v>
      </c>
      <c r="J120" s="241">
        <v>1</v>
      </c>
      <c r="K120" s="241">
        <v>0</v>
      </c>
      <c r="L120" s="241">
        <v>0</v>
      </c>
      <c r="M120" s="240" t="s">
        <v>16754</v>
      </c>
      <c r="N120" s="241">
        <v>1</v>
      </c>
      <c r="O120" s="241">
        <v>0</v>
      </c>
      <c r="P120" s="241">
        <v>0</v>
      </c>
      <c r="Q120" s="259" t="s">
        <v>717</v>
      </c>
      <c r="R120" s="242" t="s">
        <v>16756</v>
      </c>
      <c r="S120" s="244" t="s">
        <v>17072</v>
      </c>
      <c r="T120" s="275" t="s">
        <v>17073</v>
      </c>
      <c r="U120" s="275" t="str">
        <f t="shared" si="1"/>
        <v>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v>
      </c>
      <c r="V120" s="300" t="s">
        <v>26873</v>
      </c>
      <c r="W120" s="295"/>
      <c r="X120" s="289"/>
      <c r="Y120" s="289"/>
      <c r="Z120" s="289"/>
      <c r="AA120" s="289"/>
      <c r="AB120" s="289"/>
      <c r="AC120" s="289"/>
      <c r="AD120" s="289"/>
      <c r="AE120" s="289"/>
      <c r="AF120" s="289"/>
      <c r="AG120" s="289"/>
      <c r="AH120" s="289"/>
      <c r="AI120" s="289"/>
      <c r="AJ120" s="289"/>
      <c r="AK120" s="289"/>
      <c r="AL120" s="289"/>
      <c r="AM120" s="289"/>
      <c r="AN120" s="289"/>
      <c r="AO120" s="289"/>
      <c r="AP120" s="289" t="s">
        <v>17073</v>
      </c>
      <c r="AQ120" s="289"/>
      <c r="AR120" s="289"/>
      <c r="AS120" s="289"/>
      <c r="AT120" s="289"/>
      <c r="AU120" s="289"/>
      <c r="AV120" s="289"/>
      <c r="AW120" s="289"/>
      <c r="AX120" s="289"/>
      <c r="AY120" s="289"/>
      <c r="AZ120" s="289"/>
      <c r="BA120" s="289"/>
      <c r="BB120" s="290"/>
      <c r="BC120" s="290"/>
      <c r="BD120" s="290"/>
      <c r="BE120" s="290"/>
      <c r="BF120" s="290"/>
      <c r="BG120" s="290"/>
      <c r="BH120" s="290"/>
      <c r="BI120" s="290"/>
      <c r="BJ120" s="289"/>
      <c r="BK120" s="290"/>
      <c r="BL120" s="290"/>
    </row>
    <row r="121" spans="1:64" ht="27" customHeight="1" x14ac:dyDescent="0.25">
      <c r="A121" s="310" t="s">
        <v>132</v>
      </c>
      <c r="B121" s="311" t="s">
        <v>17074</v>
      </c>
      <c r="C121" s="238" t="s">
        <v>465</v>
      </c>
      <c r="D121" s="239">
        <v>0</v>
      </c>
      <c r="E121" s="254">
        <v>1</v>
      </c>
      <c r="F121" s="258" t="s">
        <v>16753</v>
      </c>
      <c r="G121" s="241">
        <v>0</v>
      </c>
      <c r="H121" s="241">
        <v>1</v>
      </c>
      <c r="I121" s="240" t="s">
        <v>16755</v>
      </c>
      <c r="J121" s="241">
        <v>1</v>
      </c>
      <c r="K121" s="241">
        <v>0</v>
      </c>
      <c r="L121" s="241">
        <v>0</v>
      </c>
      <c r="M121" s="240" t="s">
        <v>16754</v>
      </c>
      <c r="N121" s="241">
        <v>1</v>
      </c>
      <c r="O121" s="241">
        <v>0</v>
      </c>
      <c r="P121" s="241">
        <v>0</v>
      </c>
      <c r="Q121" s="259" t="s">
        <v>717</v>
      </c>
      <c r="R121" s="242" t="s">
        <v>17063</v>
      </c>
      <c r="S121" s="244" t="s">
        <v>25620</v>
      </c>
      <c r="T121" s="275" t="s">
        <v>646</v>
      </c>
      <c r="U121" s="275" t="str">
        <f t="shared" si="1"/>
        <v/>
      </c>
      <c r="V121" s="300" t="s">
        <v>26874</v>
      </c>
      <c r="W121" s="295" t="s">
        <v>25621</v>
      </c>
      <c r="X121" s="289"/>
      <c r="Y121" s="289"/>
      <c r="Z121" s="289"/>
      <c r="AA121" s="289"/>
      <c r="AB121" s="289"/>
      <c r="AC121" s="289"/>
      <c r="AD121" s="289"/>
      <c r="AE121" s="289"/>
      <c r="AF121" s="289"/>
      <c r="AG121" s="289"/>
      <c r="AH121" s="289"/>
      <c r="AI121" s="289"/>
      <c r="AJ121" s="289"/>
      <c r="AK121" s="289"/>
      <c r="AL121" s="289"/>
      <c r="AM121" s="289"/>
      <c r="AN121" s="289"/>
      <c r="AO121" s="289"/>
      <c r="AP121" s="289"/>
      <c r="AQ121" s="289"/>
      <c r="AR121" s="289"/>
      <c r="AS121" s="289"/>
      <c r="AT121" s="289"/>
      <c r="AU121" s="289"/>
      <c r="AV121" s="289"/>
      <c r="AW121" s="289"/>
      <c r="AX121" s="289"/>
      <c r="AY121" s="289"/>
      <c r="AZ121" s="289"/>
      <c r="BA121" s="289"/>
      <c r="BB121" s="290"/>
      <c r="BC121" s="290"/>
      <c r="BD121" s="290"/>
      <c r="BE121" s="290"/>
      <c r="BF121" s="290"/>
      <c r="BG121" s="290"/>
      <c r="BH121" s="290"/>
      <c r="BI121" s="290"/>
      <c r="BJ121" s="289"/>
      <c r="BK121" s="290"/>
      <c r="BL121" s="290"/>
    </row>
    <row r="122" spans="1:64" ht="27" customHeight="1" x14ac:dyDescent="0.25">
      <c r="A122" s="310" t="s">
        <v>133</v>
      </c>
      <c r="B122" s="311" t="s">
        <v>17075</v>
      </c>
      <c r="C122" s="238" t="s">
        <v>466</v>
      </c>
      <c r="D122" s="239">
        <v>0</v>
      </c>
      <c r="E122" s="254">
        <v>1</v>
      </c>
      <c r="F122" s="258" t="s">
        <v>16753</v>
      </c>
      <c r="G122" s="241">
        <v>0</v>
      </c>
      <c r="H122" s="241">
        <v>1</v>
      </c>
      <c r="I122" s="240" t="s">
        <v>16755</v>
      </c>
      <c r="J122" s="241">
        <v>1</v>
      </c>
      <c r="K122" s="241">
        <v>0</v>
      </c>
      <c r="L122" s="241">
        <v>0</v>
      </c>
      <c r="M122" s="240" t="s">
        <v>16754</v>
      </c>
      <c r="N122" s="241">
        <v>1</v>
      </c>
      <c r="O122" s="241">
        <v>0</v>
      </c>
      <c r="P122" s="241">
        <v>0</v>
      </c>
      <c r="Q122" s="259" t="s">
        <v>717</v>
      </c>
      <c r="R122" s="242" t="s">
        <v>16901</v>
      </c>
      <c r="S122" s="244" t="s">
        <v>25622</v>
      </c>
      <c r="T122" s="275" t="s">
        <v>646</v>
      </c>
      <c r="U122" s="275" t="str">
        <f t="shared" si="1"/>
        <v/>
      </c>
      <c r="V122" s="300" t="s">
        <v>26875</v>
      </c>
      <c r="W122" s="295" t="s">
        <v>25623</v>
      </c>
      <c r="X122" s="289"/>
      <c r="Y122" s="289"/>
      <c r="Z122" s="289"/>
      <c r="AA122" s="289"/>
      <c r="AB122" s="289"/>
      <c r="AC122" s="289"/>
      <c r="AD122" s="289"/>
      <c r="AE122" s="289"/>
      <c r="AF122" s="289"/>
      <c r="AG122" s="289"/>
      <c r="AH122" s="289"/>
      <c r="AI122" s="289"/>
      <c r="AJ122" s="289"/>
      <c r="AK122" s="289"/>
      <c r="AL122" s="289"/>
      <c r="AM122" s="289"/>
      <c r="AN122" s="289"/>
      <c r="AO122" s="289"/>
      <c r="AP122" s="289"/>
      <c r="AQ122" s="289"/>
      <c r="AR122" s="289"/>
      <c r="AS122" s="289"/>
      <c r="AT122" s="289"/>
      <c r="AU122" s="289"/>
      <c r="AV122" s="289"/>
      <c r="AW122" s="289"/>
      <c r="AX122" s="289"/>
      <c r="AY122" s="289"/>
      <c r="AZ122" s="289"/>
      <c r="BA122" s="289"/>
      <c r="BB122" s="290"/>
      <c r="BC122" s="290"/>
      <c r="BD122" s="290"/>
      <c r="BE122" s="290"/>
      <c r="BF122" s="290"/>
      <c r="BG122" s="290"/>
      <c r="BH122" s="290"/>
      <c r="BI122" s="290"/>
      <c r="BJ122" s="289"/>
      <c r="BK122" s="290"/>
      <c r="BL122" s="290"/>
    </row>
    <row r="123" spans="1:64" ht="27" customHeight="1" x14ac:dyDescent="0.25">
      <c r="A123" s="310" t="s">
        <v>134</v>
      </c>
      <c r="B123" s="311" t="s">
        <v>467</v>
      </c>
      <c r="C123" s="238" t="s">
        <v>467</v>
      </c>
      <c r="D123" s="239">
        <v>0</v>
      </c>
      <c r="E123" s="254">
        <v>1</v>
      </c>
      <c r="F123" s="258" t="s">
        <v>16753</v>
      </c>
      <c r="G123" s="241">
        <v>0</v>
      </c>
      <c r="H123" s="241">
        <v>1</v>
      </c>
      <c r="I123" s="240" t="s">
        <v>16755</v>
      </c>
      <c r="J123" s="241">
        <v>1</v>
      </c>
      <c r="K123" s="241">
        <v>0</v>
      </c>
      <c r="L123" s="241">
        <v>0</v>
      </c>
      <c r="M123" s="240" t="s">
        <v>16754</v>
      </c>
      <c r="N123" s="241">
        <v>1</v>
      </c>
      <c r="O123" s="241">
        <v>0</v>
      </c>
      <c r="P123" s="241">
        <v>0</v>
      </c>
      <c r="Q123" s="259" t="s">
        <v>717</v>
      </c>
      <c r="R123" s="242" t="s">
        <v>17063</v>
      </c>
      <c r="S123" s="244" t="s">
        <v>25624</v>
      </c>
      <c r="T123" s="275" t="s">
        <v>646</v>
      </c>
      <c r="U123" s="275" t="str">
        <f t="shared" si="1"/>
        <v/>
      </c>
      <c r="V123" s="300" t="s">
        <v>26876</v>
      </c>
      <c r="W123" s="295" t="s">
        <v>25625</v>
      </c>
      <c r="X123" s="289"/>
      <c r="Y123" s="289"/>
      <c r="Z123" s="289"/>
      <c r="AA123" s="289"/>
      <c r="AB123" s="289"/>
      <c r="AC123" s="289"/>
      <c r="AD123" s="289"/>
      <c r="AE123" s="289"/>
      <c r="AF123" s="289"/>
      <c r="AG123" s="289"/>
      <c r="AH123" s="289"/>
      <c r="AI123" s="289"/>
      <c r="AJ123" s="289"/>
      <c r="AK123" s="289"/>
      <c r="AL123" s="289"/>
      <c r="AM123" s="289"/>
      <c r="AN123" s="289"/>
      <c r="AO123" s="289"/>
      <c r="AP123" s="289"/>
      <c r="AQ123" s="289"/>
      <c r="AR123" s="289"/>
      <c r="AS123" s="289"/>
      <c r="AT123" s="289"/>
      <c r="AU123" s="289"/>
      <c r="AV123" s="289"/>
      <c r="AW123" s="289"/>
      <c r="AX123" s="289"/>
      <c r="AY123" s="289"/>
      <c r="AZ123" s="289"/>
      <c r="BA123" s="289"/>
      <c r="BB123" s="290"/>
      <c r="BC123" s="290"/>
      <c r="BD123" s="290"/>
      <c r="BE123" s="290"/>
      <c r="BF123" s="290"/>
      <c r="BG123" s="290"/>
      <c r="BH123" s="290"/>
      <c r="BI123" s="290"/>
      <c r="BJ123" s="289"/>
      <c r="BK123" s="290"/>
      <c r="BL123" s="290"/>
    </row>
    <row r="124" spans="1:64" ht="27" customHeight="1" x14ac:dyDescent="0.25">
      <c r="A124" s="310" t="s">
        <v>135</v>
      </c>
      <c r="B124" s="311" t="s">
        <v>468</v>
      </c>
      <c r="C124" s="238" t="s">
        <v>468</v>
      </c>
      <c r="D124" s="239">
        <v>0</v>
      </c>
      <c r="E124" s="254">
        <v>1</v>
      </c>
      <c r="F124" s="258" t="s">
        <v>16753</v>
      </c>
      <c r="G124" s="241">
        <v>0</v>
      </c>
      <c r="H124" s="241">
        <v>1</v>
      </c>
      <c r="I124" s="240" t="s">
        <v>16755</v>
      </c>
      <c r="J124" s="241">
        <v>1</v>
      </c>
      <c r="K124" s="241">
        <v>0</v>
      </c>
      <c r="L124" s="241">
        <v>0</v>
      </c>
      <c r="M124" s="240" t="s">
        <v>16754</v>
      </c>
      <c r="N124" s="241">
        <v>1</v>
      </c>
      <c r="O124" s="241">
        <v>0</v>
      </c>
      <c r="P124" s="241">
        <v>0</v>
      </c>
      <c r="Q124" s="259" t="s">
        <v>717</v>
      </c>
      <c r="R124" s="242" t="s">
        <v>17063</v>
      </c>
      <c r="S124" s="244" t="s">
        <v>25626</v>
      </c>
      <c r="T124" s="275" t="s">
        <v>646</v>
      </c>
      <c r="U124" s="275" t="str">
        <f t="shared" si="1"/>
        <v/>
      </c>
      <c r="V124" s="300" t="s">
        <v>26877</v>
      </c>
      <c r="W124" s="295" t="s">
        <v>26400</v>
      </c>
      <c r="X124" s="289"/>
      <c r="Y124" s="289"/>
      <c r="Z124" s="289"/>
      <c r="AA124" s="289"/>
      <c r="AB124" s="289"/>
      <c r="AC124" s="289"/>
      <c r="AD124" s="289"/>
      <c r="AE124" s="289"/>
      <c r="AF124" s="289"/>
      <c r="AG124" s="289"/>
      <c r="AH124" s="289"/>
      <c r="AI124" s="289"/>
      <c r="AJ124" s="289"/>
      <c r="AK124" s="289"/>
      <c r="AL124" s="289"/>
      <c r="AM124" s="289"/>
      <c r="AN124" s="289"/>
      <c r="AO124" s="289"/>
      <c r="AP124" s="289"/>
      <c r="AQ124" s="289"/>
      <c r="AR124" s="289"/>
      <c r="AS124" s="289"/>
      <c r="AT124" s="289"/>
      <c r="AU124" s="289"/>
      <c r="AV124" s="289"/>
      <c r="AW124" s="289"/>
      <c r="AX124" s="289"/>
      <c r="AY124" s="289"/>
      <c r="AZ124" s="289"/>
      <c r="BA124" s="289"/>
      <c r="BB124" s="290"/>
      <c r="BC124" s="290"/>
      <c r="BD124" s="290"/>
      <c r="BE124" s="290"/>
      <c r="BF124" s="290"/>
      <c r="BG124" s="290"/>
      <c r="BH124" s="290"/>
      <c r="BI124" s="290"/>
      <c r="BJ124" s="289"/>
      <c r="BK124" s="290"/>
      <c r="BL124" s="290"/>
    </row>
    <row r="125" spans="1:64" ht="27" customHeight="1" x14ac:dyDescent="0.25">
      <c r="A125" s="310" t="s">
        <v>136</v>
      </c>
      <c r="B125" s="311" t="s">
        <v>469</v>
      </c>
      <c r="C125" s="238" t="s">
        <v>469</v>
      </c>
      <c r="D125" s="239">
        <v>0</v>
      </c>
      <c r="E125" s="254">
        <v>1</v>
      </c>
      <c r="F125" s="258" t="s">
        <v>16753</v>
      </c>
      <c r="G125" s="241">
        <v>0</v>
      </c>
      <c r="H125" s="241">
        <v>1</v>
      </c>
      <c r="I125" s="240" t="s">
        <v>16755</v>
      </c>
      <c r="J125" s="241">
        <v>1</v>
      </c>
      <c r="K125" s="241">
        <v>0</v>
      </c>
      <c r="L125" s="241">
        <v>0</v>
      </c>
      <c r="M125" s="240" t="s">
        <v>16754</v>
      </c>
      <c r="N125" s="241">
        <v>1</v>
      </c>
      <c r="O125" s="241">
        <v>0</v>
      </c>
      <c r="P125" s="241">
        <v>0</v>
      </c>
      <c r="Q125" s="259" t="s">
        <v>717</v>
      </c>
      <c r="R125" s="242" t="s">
        <v>17063</v>
      </c>
      <c r="S125" s="244" t="s">
        <v>25627</v>
      </c>
      <c r="T125" s="275" t="s">
        <v>646</v>
      </c>
      <c r="U125" s="275" t="str">
        <f t="shared" si="1"/>
        <v/>
      </c>
      <c r="V125" s="300" t="s">
        <v>26878</v>
      </c>
      <c r="W125" s="295" t="s">
        <v>25628</v>
      </c>
      <c r="X125" s="289"/>
      <c r="Y125" s="289"/>
      <c r="Z125" s="289"/>
      <c r="AA125" s="289"/>
      <c r="AB125" s="289"/>
      <c r="AC125" s="289"/>
      <c r="AD125" s="289"/>
      <c r="AE125" s="289"/>
      <c r="AF125" s="289"/>
      <c r="AG125" s="289"/>
      <c r="AH125" s="289"/>
      <c r="AI125" s="289"/>
      <c r="AJ125" s="289"/>
      <c r="AK125" s="289"/>
      <c r="AL125" s="289"/>
      <c r="AM125" s="289"/>
      <c r="AN125" s="289"/>
      <c r="AO125" s="289"/>
      <c r="AP125" s="289"/>
      <c r="AQ125" s="289"/>
      <c r="AR125" s="289"/>
      <c r="AS125" s="289"/>
      <c r="AT125" s="289"/>
      <c r="AU125" s="289"/>
      <c r="AV125" s="289"/>
      <c r="AW125" s="289"/>
      <c r="AX125" s="289"/>
      <c r="AY125" s="289"/>
      <c r="AZ125" s="289"/>
      <c r="BA125" s="289"/>
      <c r="BB125" s="290"/>
      <c r="BC125" s="290"/>
      <c r="BD125" s="290"/>
      <c r="BE125" s="290"/>
      <c r="BF125" s="290"/>
      <c r="BG125" s="290"/>
      <c r="BH125" s="290"/>
      <c r="BI125" s="290"/>
      <c r="BJ125" s="289"/>
      <c r="BK125" s="290"/>
      <c r="BL125" s="290"/>
    </row>
    <row r="126" spans="1:64" ht="27" customHeight="1" x14ac:dyDescent="0.25">
      <c r="A126" s="310" t="s">
        <v>137</v>
      </c>
      <c r="B126" s="311" t="s">
        <v>17076</v>
      </c>
      <c r="C126" s="238" t="s">
        <v>17345</v>
      </c>
      <c r="D126" s="245">
        <v>0</v>
      </c>
      <c r="E126" s="255">
        <v>1</v>
      </c>
      <c r="F126" s="260" t="s">
        <v>16753</v>
      </c>
      <c r="G126" s="241">
        <v>0</v>
      </c>
      <c r="H126" s="241">
        <v>1</v>
      </c>
      <c r="I126" s="240" t="s">
        <v>16755</v>
      </c>
      <c r="J126" s="241">
        <v>1</v>
      </c>
      <c r="K126" s="241">
        <v>0</v>
      </c>
      <c r="L126" s="241">
        <v>0</v>
      </c>
      <c r="M126" s="240" t="s">
        <v>16754</v>
      </c>
      <c r="N126" s="241">
        <v>1</v>
      </c>
      <c r="O126" s="241">
        <v>0</v>
      </c>
      <c r="P126" s="241">
        <v>0</v>
      </c>
      <c r="Q126" s="259" t="s">
        <v>717</v>
      </c>
      <c r="R126" s="242" t="s">
        <v>1171</v>
      </c>
      <c r="S126" s="244" t="s">
        <v>17077</v>
      </c>
      <c r="T126" s="275" t="s">
        <v>646</v>
      </c>
      <c r="U126" s="275" t="str">
        <f t="shared" si="1"/>
        <v/>
      </c>
      <c r="V126" s="300" t="s">
        <v>26879</v>
      </c>
      <c r="W126" s="295"/>
      <c r="X126" s="289"/>
      <c r="Y126" s="289"/>
      <c r="Z126" s="289"/>
      <c r="AA126" s="289"/>
      <c r="AB126" s="289"/>
      <c r="AC126" s="289"/>
      <c r="AD126" s="289"/>
      <c r="AE126" s="289"/>
      <c r="AF126" s="289"/>
      <c r="AG126" s="289"/>
      <c r="AH126" s="289"/>
      <c r="AI126" s="289"/>
      <c r="AJ126" s="289"/>
      <c r="AK126" s="289"/>
      <c r="AL126" s="289"/>
      <c r="AM126" s="289"/>
      <c r="AN126" s="289"/>
      <c r="AO126" s="289"/>
      <c r="AP126" s="289"/>
      <c r="AQ126" s="289"/>
      <c r="AR126" s="289"/>
      <c r="AS126" s="289"/>
      <c r="AT126" s="289"/>
      <c r="AU126" s="289"/>
      <c r="AV126" s="289"/>
      <c r="AW126" s="289"/>
      <c r="AX126" s="289"/>
      <c r="AY126" s="289"/>
      <c r="AZ126" s="291"/>
      <c r="BA126" s="291"/>
      <c r="BB126" s="290"/>
      <c r="BC126" s="290"/>
      <c r="BD126" s="290"/>
      <c r="BE126" s="290"/>
      <c r="BF126" s="290"/>
      <c r="BG126" s="290"/>
      <c r="BH126" s="290"/>
      <c r="BI126" s="290"/>
      <c r="BJ126" s="289"/>
      <c r="BK126" s="290"/>
      <c r="BL126" s="290"/>
    </row>
    <row r="127" spans="1:64" ht="27" customHeight="1" x14ac:dyDescent="0.25">
      <c r="A127" s="310" t="s">
        <v>138</v>
      </c>
      <c r="B127" s="311" t="s">
        <v>471</v>
      </c>
      <c r="C127" s="238" t="s">
        <v>471</v>
      </c>
      <c r="D127" s="239">
        <v>1</v>
      </c>
      <c r="E127" s="254">
        <v>0</v>
      </c>
      <c r="F127" s="258" t="s">
        <v>16764</v>
      </c>
      <c r="G127" s="241">
        <v>1</v>
      </c>
      <c r="H127" s="241">
        <v>0</v>
      </c>
      <c r="I127" s="240" t="s">
        <v>16765</v>
      </c>
      <c r="J127" s="241">
        <v>0</v>
      </c>
      <c r="K127" s="241">
        <v>0</v>
      </c>
      <c r="L127" s="241">
        <v>1</v>
      </c>
      <c r="M127" s="240" t="s">
        <v>16832</v>
      </c>
      <c r="N127" s="241">
        <v>0</v>
      </c>
      <c r="O127" s="241">
        <v>1</v>
      </c>
      <c r="P127" s="241">
        <v>0</v>
      </c>
      <c r="Q127" s="259" t="s">
        <v>16827</v>
      </c>
      <c r="R127" s="242" t="s">
        <v>16756</v>
      </c>
      <c r="S127" s="244" t="s">
        <v>17078</v>
      </c>
      <c r="T127" s="275" t="s">
        <v>27207</v>
      </c>
      <c r="U127" s="275" t="str">
        <f t="shared" si="1"/>
        <v>It allows to identify the size of the functions that could affect the number of failures in a system.|| Next refer.:Updated software requirements specification|| Next refer.:According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v>
      </c>
      <c r="V127" s="300" t="s">
        <v>26880</v>
      </c>
      <c r="W127" s="295"/>
      <c r="X127" s="289"/>
      <c r="Y127" s="289"/>
      <c r="Z127" s="289"/>
      <c r="AA127" s="289"/>
      <c r="AB127" s="289"/>
      <c r="AC127" s="289"/>
      <c r="AD127" s="289"/>
      <c r="AE127" s="289"/>
      <c r="AF127" s="289"/>
      <c r="AG127" s="289" t="s">
        <v>25516</v>
      </c>
      <c r="AH127" s="289"/>
      <c r="AI127" s="289"/>
      <c r="AJ127" s="289"/>
      <c r="AK127" s="289"/>
      <c r="AL127" s="289" t="s">
        <v>17079</v>
      </c>
      <c r="AM127" s="289"/>
      <c r="AN127" s="289"/>
      <c r="AO127" s="289"/>
      <c r="AP127" s="289"/>
      <c r="AQ127" s="289"/>
      <c r="AR127" s="289"/>
      <c r="AS127" s="289"/>
      <c r="AT127" s="289"/>
      <c r="AU127" s="289"/>
      <c r="AV127" s="289"/>
      <c r="AW127" s="289"/>
      <c r="AX127" s="289"/>
      <c r="AY127" s="289" t="s">
        <v>17080</v>
      </c>
      <c r="AZ127" s="291"/>
      <c r="BA127" s="291"/>
      <c r="BB127" s="290"/>
      <c r="BC127" s="290"/>
      <c r="BD127" s="290"/>
      <c r="BE127" s="290"/>
      <c r="BF127" s="290"/>
      <c r="BG127" s="290"/>
      <c r="BH127" s="290"/>
      <c r="BI127" s="290"/>
      <c r="BJ127" s="289"/>
      <c r="BK127" s="290"/>
      <c r="BL127" s="290"/>
    </row>
    <row r="128" spans="1:64" ht="27" customHeight="1" x14ac:dyDescent="0.25">
      <c r="A128" s="310" t="s">
        <v>139</v>
      </c>
      <c r="B128" s="311" t="s">
        <v>472</v>
      </c>
      <c r="C128" s="238" t="s">
        <v>472</v>
      </c>
      <c r="D128" s="239">
        <v>0</v>
      </c>
      <c r="E128" s="254">
        <v>1</v>
      </c>
      <c r="F128" s="258" t="s">
        <v>16753</v>
      </c>
      <c r="G128" s="241">
        <v>0</v>
      </c>
      <c r="H128" s="241">
        <v>1</v>
      </c>
      <c r="I128" s="240" t="s">
        <v>16755</v>
      </c>
      <c r="J128" s="241">
        <v>0</v>
      </c>
      <c r="K128" s="241">
        <v>0</v>
      </c>
      <c r="L128" s="241">
        <v>1</v>
      </c>
      <c r="M128" s="240" t="s">
        <v>16832</v>
      </c>
      <c r="N128" s="241">
        <v>1</v>
      </c>
      <c r="O128" s="241">
        <v>0</v>
      </c>
      <c r="P128" s="241">
        <v>0</v>
      </c>
      <c r="Q128" s="259" t="s">
        <v>717</v>
      </c>
      <c r="R128" s="242" t="s">
        <v>16756</v>
      </c>
      <c r="S128" s="244" t="s">
        <v>17081</v>
      </c>
      <c r="T128" s="275" t="s">
        <v>27208</v>
      </c>
      <c r="U128" s="275" t="str">
        <f t="shared" si="1"/>
        <v>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 Next refer.:According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 Next refer.:The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v>
      </c>
      <c r="V128" s="300" t="s">
        <v>26881</v>
      </c>
      <c r="W128" s="295"/>
      <c r="X128" s="289"/>
      <c r="Y128" s="289"/>
      <c r="Z128" s="289"/>
      <c r="AA128" s="289"/>
      <c r="AB128" s="289"/>
      <c r="AC128" s="289"/>
      <c r="AD128" s="289"/>
      <c r="AE128" s="289"/>
      <c r="AF128" s="289"/>
      <c r="AG128" s="289"/>
      <c r="AH128" s="289"/>
      <c r="AI128" s="289"/>
      <c r="AJ128" s="289"/>
      <c r="AK128" s="289"/>
      <c r="AL128" s="289" t="s">
        <v>17082</v>
      </c>
      <c r="AM128" s="289"/>
      <c r="AN128" s="289"/>
      <c r="AO128" s="289"/>
      <c r="AP128" s="289"/>
      <c r="AQ128" s="289"/>
      <c r="AR128" s="289"/>
      <c r="AS128" s="289" t="s">
        <v>17083</v>
      </c>
      <c r="AT128" s="289"/>
      <c r="AU128" s="289"/>
      <c r="AV128" s="289"/>
      <c r="AW128" s="289"/>
      <c r="AX128" s="289"/>
      <c r="AY128" s="289" t="s">
        <v>17084</v>
      </c>
      <c r="AZ128" s="291"/>
      <c r="BA128" s="291"/>
      <c r="BB128" s="290"/>
      <c r="BC128" s="290"/>
      <c r="BD128" s="290"/>
      <c r="BE128" s="290"/>
      <c r="BF128" s="290"/>
      <c r="BG128" s="290"/>
      <c r="BH128" s="290"/>
      <c r="BI128" s="290"/>
      <c r="BJ128" s="289"/>
      <c r="BK128" s="290"/>
      <c r="BL128" s="290"/>
    </row>
    <row r="129" spans="1:64" ht="27" customHeight="1" x14ac:dyDescent="0.25">
      <c r="A129" s="310" t="s">
        <v>140</v>
      </c>
      <c r="B129" s="311" t="s">
        <v>473</v>
      </c>
      <c r="C129" s="238" t="s">
        <v>473</v>
      </c>
      <c r="D129" s="239">
        <v>0</v>
      </c>
      <c r="E129" s="254">
        <v>1</v>
      </c>
      <c r="F129" s="258" t="s">
        <v>16753</v>
      </c>
      <c r="G129" s="241">
        <v>0</v>
      </c>
      <c r="H129" s="241">
        <v>1</v>
      </c>
      <c r="I129" s="240" t="s">
        <v>16755</v>
      </c>
      <c r="J129" s="241">
        <v>0</v>
      </c>
      <c r="K129" s="241">
        <v>0</v>
      </c>
      <c r="L129" s="241">
        <v>1</v>
      </c>
      <c r="M129" s="240" t="s">
        <v>16832</v>
      </c>
      <c r="N129" s="241">
        <v>1</v>
      </c>
      <c r="O129" s="241">
        <v>0</v>
      </c>
      <c r="P129" s="241">
        <v>0</v>
      </c>
      <c r="Q129" s="259" t="s">
        <v>717</v>
      </c>
      <c r="R129" s="242" t="s">
        <v>16756</v>
      </c>
      <c r="S129" s="244" t="s">
        <v>17085</v>
      </c>
      <c r="T129" s="275" t="s">
        <v>17086</v>
      </c>
      <c r="U129" s="275" t="str">
        <f t="shared" si="1"/>
        <v>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v>
      </c>
      <c r="V129" s="300" t="s">
        <v>26882</v>
      </c>
      <c r="W129" s="295"/>
      <c r="X129" s="289"/>
      <c r="Y129" s="289"/>
      <c r="Z129" s="289"/>
      <c r="AA129" s="289"/>
      <c r="AB129" s="289"/>
      <c r="AC129" s="289"/>
      <c r="AD129" s="289"/>
      <c r="AE129" s="289"/>
      <c r="AF129" s="289"/>
      <c r="AG129" s="289"/>
      <c r="AH129" s="289"/>
      <c r="AI129" s="289"/>
      <c r="AJ129" s="289"/>
      <c r="AK129" s="289"/>
      <c r="AL129" s="289"/>
      <c r="AM129" s="289"/>
      <c r="AN129" s="289"/>
      <c r="AO129" s="289"/>
      <c r="AP129" s="289"/>
      <c r="AQ129" s="289"/>
      <c r="AR129" s="289"/>
      <c r="AS129" s="289"/>
      <c r="AT129" s="289"/>
      <c r="AU129" s="289"/>
      <c r="AV129" s="289"/>
      <c r="AW129" s="289"/>
      <c r="AX129" s="289"/>
      <c r="AY129" s="289" t="s">
        <v>17086</v>
      </c>
      <c r="AZ129" s="291"/>
      <c r="BA129" s="291"/>
      <c r="BB129" s="290"/>
      <c r="BC129" s="290"/>
      <c r="BD129" s="290"/>
      <c r="BE129" s="290"/>
      <c r="BF129" s="290"/>
      <c r="BG129" s="290"/>
      <c r="BH129" s="290"/>
      <c r="BI129" s="290"/>
      <c r="BJ129" s="289"/>
      <c r="BK129" s="290"/>
      <c r="BL129" s="290"/>
    </row>
    <row r="130" spans="1:64" ht="27" customHeight="1" x14ac:dyDescent="0.25">
      <c r="A130" s="310" t="s">
        <v>141</v>
      </c>
      <c r="B130" s="311" t="s">
        <v>474</v>
      </c>
      <c r="C130" s="238" t="s">
        <v>474</v>
      </c>
      <c r="D130" s="239">
        <v>1</v>
      </c>
      <c r="E130" s="254">
        <v>0</v>
      </c>
      <c r="F130" s="258" t="s">
        <v>16764</v>
      </c>
      <c r="G130" s="241">
        <v>1</v>
      </c>
      <c r="H130" s="241">
        <v>0</v>
      </c>
      <c r="I130" s="240" t="s">
        <v>16765</v>
      </c>
      <c r="J130" s="241">
        <v>0</v>
      </c>
      <c r="K130" s="241">
        <v>0</v>
      </c>
      <c r="L130" s="241">
        <v>1</v>
      </c>
      <c r="M130" s="240" t="s">
        <v>16832</v>
      </c>
      <c r="N130" s="241">
        <v>1</v>
      </c>
      <c r="O130" s="241">
        <v>0</v>
      </c>
      <c r="P130" s="241">
        <v>0</v>
      </c>
      <c r="Q130" s="259" t="s">
        <v>717</v>
      </c>
      <c r="R130" s="242" t="s">
        <v>16901</v>
      </c>
      <c r="S130" s="244" t="s">
        <v>25629</v>
      </c>
      <c r="T130" s="275" t="s">
        <v>646</v>
      </c>
      <c r="U130" s="275" t="str">
        <f t="shared" si="1"/>
        <v/>
      </c>
      <c r="V130" s="300" t="s">
        <v>26883</v>
      </c>
      <c r="W130" s="295" t="s">
        <v>25630</v>
      </c>
      <c r="X130" s="289"/>
      <c r="Y130" s="289"/>
      <c r="Z130" s="289"/>
      <c r="AA130" s="289"/>
      <c r="AB130" s="289"/>
      <c r="AC130" s="289"/>
      <c r="AD130" s="289"/>
      <c r="AE130" s="289"/>
      <c r="AF130" s="289"/>
      <c r="AG130" s="289"/>
      <c r="AH130" s="289"/>
      <c r="AI130" s="289"/>
      <c r="AJ130" s="289"/>
      <c r="AK130" s="289"/>
      <c r="AL130" s="289"/>
      <c r="AM130" s="289"/>
      <c r="AN130" s="289"/>
      <c r="AO130" s="289"/>
      <c r="AP130" s="289"/>
      <c r="AQ130" s="289"/>
      <c r="AR130" s="289"/>
      <c r="AS130" s="289"/>
      <c r="AT130" s="289"/>
      <c r="AU130" s="289"/>
      <c r="AV130" s="289"/>
      <c r="AW130" s="289"/>
      <c r="AX130" s="289"/>
      <c r="AY130" s="289"/>
      <c r="AZ130" s="291"/>
      <c r="BA130" s="291"/>
      <c r="BB130" s="290"/>
      <c r="BC130" s="290"/>
      <c r="BD130" s="290"/>
      <c r="BE130" s="290"/>
      <c r="BF130" s="290"/>
      <c r="BG130" s="290"/>
      <c r="BH130" s="290"/>
      <c r="BI130" s="290"/>
      <c r="BJ130" s="289"/>
      <c r="BK130" s="290"/>
      <c r="BL130" s="290"/>
    </row>
    <row r="131" spans="1:64" ht="27" customHeight="1" x14ac:dyDescent="0.25">
      <c r="A131" s="310" t="s">
        <v>142</v>
      </c>
      <c r="B131" s="311" t="s">
        <v>475</v>
      </c>
      <c r="C131" s="238" t="s">
        <v>475</v>
      </c>
      <c r="D131" s="239">
        <v>1</v>
      </c>
      <c r="E131" s="254">
        <v>0</v>
      </c>
      <c r="F131" s="258" t="s">
        <v>16764</v>
      </c>
      <c r="G131" s="241">
        <v>1</v>
      </c>
      <c r="H131" s="241">
        <v>0</v>
      </c>
      <c r="I131" s="240" t="s">
        <v>16765</v>
      </c>
      <c r="J131" s="241">
        <v>0</v>
      </c>
      <c r="K131" s="241">
        <v>0</v>
      </c>
      <c r="L131" s="241">
        <v>1</v>
      </c>
      <c r="M131" s="240" t="s">
        <v>16832</v>
      </c>
      <c r="N131" s="241">
        <v>1</v>
      </c>
      <c r="O131" s="241">
        <v>0</v>
      </c>
      <c r="P131" s="241">
        <v>0</v>
      </c>
      <c r="Q131" s="259" t="s">
        <v>717</v>
      </c>
      <c r="R131" s="242" t="s">
        <v>17063</v>
      </c>
      <c r="S131" s="244" t="s">
        <v>25631</v>
      </c>
      <c r="T131" s="275" t="s">
        <v>27209</v>
      </c>
      <c r="U131" s="275" t="str">
        <f t="shared" ref="U131:U194" si="2">_xlfn.TEXTJOIN("|| Next refer.:",,X131:BL131)</f>
        <v>It allows to identify the number of planned tests, implemented and completed, the number of failures by function, the number of hours used in the tests for fault found, and the number of hours of use in the default setting (to correct the error and return the retest function).|| Next refer.:RCM process measurement</v>
      </c>
      <c r="V131" s="300" t="s">
        <v>26884</v>
      </c>
      <c r="W131" s="295" t="s">
        <v>25632</v>
      </c>
      <c r="X131" s="289"/>
      <c r="Y131" s="289"/>
      <c r="Z131" s="289"/>
      <c r="AA131" s="289"/>
      <c r="AB131" s="289"/>
      <c r="AC131" s="289"/>
      <c r="AD131" s="289"/>
      <c r="AE131" s="289"/>
      <c r="AF131" s="289"/>
      <c r="AG131" s="289" t="s">
        <v>25519</v>
      </c>
      <c r="AH131" s="289"/>
      <c r="AI131" s="289"/>
      <c r="AJ131" s="289"/>
      <c r="AK131" s="289"/>
      <c r="AL131" s="289"/>
      <c r="AM131" s="289"/>
      <c r="AN131" s="289"/>
      <c r="AO131" s="289"/>
      <c r="AP131" s="289"/>
      <c r="AQ131" s="289"/>
      <c r="AR131" s="289"/>
      <c r="AS131" s="289" t="s">
        <v>27124</v>
      </c>
      <c r="AT131" s="289"/>
      <c r="AU131" s="289"/>
      <c r="AV131" s="289"/>
      <c r="AW131" s="289"/>
      <c r="AX131" s="289"/>
      <c r="AY131" s="289"/>
      <c r="AZ131" s="291"/>
      <c r="BA131" s="291"/>
      <c r="BB131" s="290"/>
      <c r="BC131" s="290"/>
      <c r="BD131" s="290"/>
      <c r="BE131" s="290"/>
      <c r="BF131" s="290"/>
      <c r="BG131" s="290"/>
      <c r="BH131" s="290"/>
      <c r="BI131" s="290"/>
      <c r="BJ131" s="289"/>
      <c r="BK131" s="290"/>
      <c r="BL131" s="290"/>
    </row>
    <row r="132" spans="1:64" ht="27" customHeight="1" x14ac:dyDescent="0.25">
      <c r="A132" s="310" t="s">
        <v>143</v>
      </c>
      <c r="B132" s="311" t="s">
        <v>476</v>
      </c>
      <c r="C132" s="238" t="s">
        <v>476</v>
      </c>
      <c r="D132" s="239">
        <v>0</v>
      </c>
      <c r="E132" s="254">
        <v>1</v>
      </c>
      <c r="F132" s="258" t="s">
        <v>16753</v>
      </c>
      <c r="G132" s="241">
        <v>0</v>
      </c>
      <c r="H132" s="241">
        <v>1</v>
      </c>
      <c r="I132" s="240" t="s">
        <v>16755</v>
      </c>
      <c r="J132" s="241">
        <v>0</v>
      </c>
      <c r="K132" s="241">
        <v>0</v>
      </c>
      <c r="L132" s="241">
        <v>1</v>
      </c>
      <c r="M132" s="240" t="s">
        <v>16832</v>
      </c>
      <c r="N132" s="241">
        <v>1</v>
      </c>
      <c r="O132" s="241">
        <v>0</v>
      </c>
      <c r="P132" s="241">
        <v>0</v>
      </c>
      <c r="Q132" s="259" t="s">
        <v>717</v>
      </c>
      <c r="R132" s="242" t="s">
        <v>16756</v>
      </c>
      <c r="S132" s="244" t="s">
        <v>17087</v>
      </c>
      <c r="T132" s="275" t="s">
        <v>27210</v>
      </c>
      <c r="U132" s="275" t="str">
        <f t="shared" si="2"/>
        <v>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 Next refer.:Khan et al. [71] define management commitment as ‘‘the degree at which the higher and lower level management in an organization financially support, realize and are involved in SPI activities’’</v>
      </c>
      <c r="V132" s="300" t="s">
        <v>26885</v>
      </c>
      <c r="W132" s="295"/>
      <c r="X132" s="289"/>
      <c r="Y132" s="289"/>
      <c r="Z132" s="289"/>
      <c r="AA132" s="289"/>
      <c r="AB132" s="289"/>
      <c r="AC132" s="289"/>
      <c r="AD132" s="289"/>
      <c r="AE132" s="289"/>
      <c r="AF132" s="289"/>
      <c r="AG132" s="289"/>
      <c r="AH132" s="289"/>
      <c r="AI132" s="289"/>
      <c r="AJ132" s="289"/>
      <c r="AK132" s="289"/>
      <c r="AL132" s="289"/>
      <c r="AM132" s="289"/>
      <c r="AN132" s="289"/>
      <c r="AO132" s="289"/>
      <c r="AP132" s="289" t="s">
        <v>17088</v>
      </c>
      <c r="AQ132" s="289"/>
      <c r="AR132" s="289"/>
      <c r="AS132" s="289"/>
      <c r="AT132" s="289"/>
      <c r="AU132" s="289"/>
      <c r="AV132" s="289"/>
      <c r="AW132" s="289"/>
      <c r="AX132" s="289" t="s">
        <v>17089</v>
      </c>
      <c r="AY132" s="289"/>
      <c r="AZ132" s="291"/>
      <c r="BA132" s="291"/>
      <c r="BB132" s="290"/>
      <c r="BC132" s="290"/>
      <c r="BD132" s="290"/>
      <c r="BE132" s="290"/>
      <c r="BF132" s="290"/>
      <c r="BG132" s="290"/>
      <c r="BH132" s="290"/>
      <c r="BI132" s="290"/>
      <c r="BJ132" s="289"/>
      <c r="BK132" s="290"/>
      <c r="BL132" s="290"/>
    </row>
    <row r="133" spans="1:64" ht="27" customHeight="1" x14ac:dyDescent="0.25">
      <c r="A133" s="310" t="s">
        <v>144</v>
      </c>
      <c r="B133" s="311" t="s">
        <v>477</v>
      </c>
      <c r="C133" s="238" t="s">
        <v>477</v>
      </c>
      <c r="D133" s="239">
        <v>1</v>
      </c>
      <c r="E133" s="254">
        <v>0</v>
      </c>
      <c r="F133" s="258" t="s">
        <v>16764</v>
      </c>
      <c r="G133" s="241">
        <v>0</v>
      </c>
      <c r="H133" s="241">
        <v>1</v>
      </c>
      <c r="I133" s="240" t="s">
        <v>16755</v>
      </c>
      <c r="J133" s="241">
        <v>0</v>
      </c>
      <c r="K133" s="241">
        <v>0</v>
      </c>
      <c r="L133" s="241">
        <v>1</v>
      </c>
      <c r="M133" s="240" t="s">
        <v>16832</v>
      </c>
      <c r="N133" s="241">
        <v>1</v>
      </c>
      <c r="O133" s="241">
        <v>0</v>
      </c>
      <c r="P133" s="241">
        <v>0</v>
      </c>
      <c r="Q133" s="259" t="s">
        <v>717</v>
      </c>
      <c r="R133" s="242" t="s">
        <v>17063</v>
      </c>
      <c r="S133" s="244" t="s">
        <v>25633</v>
      </c>
      <c r="T133" s="275" t="s">
        <v>646</v>
      </c>
      <c r="U133" s="275" t="str">
        <f t="shared" si="2"/>
        <v/>
      </c>
      <c r="V133" s="300" t="s">
        <v>26886</v>
      </c>
      <c r="W133" s="295" t="s">
        <v>25634</v>
      </c>
      <c r="X133" s="289"/>
      <c r="Y133" s="289"/>
      <c r="Z133" s="289"/>
      <c r="AA133" s="289"/>
      <c r="AB133" s="289"/>
      <c r="AC133" s="289"/>
      <c r="AD133" s="289"/>
      <c r="AE133" s="289"/>
      <c r="AF133" s="289"/>
      <c r="AG133" s="289"/>
      <c r="AH133" s="289"/>
      <c r="AI133" s="289"/>
      <c r="AJ133" s="289"/>
      <c r="AK133" s="289"/>
      <c r="AL133" s="289"/>
      <c r="AM133" s="289"/>
      <c r="AN133" s="289"/>
      <c r="AO133" s="289"/>
      <c r="AP133" s="289"/>
      <c r="AQ133" s="289"/>
      <c r="AR133" s="289"/>
      <c r="AS133" s="289"/>
      <c r="AT133" s="289"/>
      <c r="AU133" s="289"/>
      <c r="AV133" s="289"/>
      <c r="AW133" s="289"/>
      <c r="AX133" s="289"/>
      <c r="AY133" s="289"/>
      <c r="AZ133" s="291"/>
      <c r="BA133" s="291"/>
      <c r="BB133" s="290"/>
      <c r="BC133" s="290"/>
      <c r="BD133" s="290"/>
      <c r="BE133" s="290"/>
      <c r="BF133" s="290"/>
      <c r="BG133" s="290"/>
      <c r="BH133" s="290"/>
      <c r="BI133" s="290"/>
      <c r="BJ133" s="289"/>
      <c r="BK133" s="290"/>
      <c r="BL133" s="290"/>
    </row>
    <row r="134" spans="1:64" ht="27" customHeight="1" x14ac:dyDescent="0.25">
      <c r="A134" s="310" t="s">
        <v>145</v>
      </c>
      <c r="B134" s="311" t="s">
        <v>478</v>
      </c>
      <c r="C134" s="238" t="s">
        <v>478</v>
      </c>
      <c r="D134" s="239">
        <v>0</v>
      </c>
      <c r="E134" s="254">
        <v>1</v>
      </c>
      <c r="F134" s="258" t="s">
        <v>16753</v>
      </c>
      <c r="G134" s="241">
        <v>0</v>
      </c>
      <c r="H134" s="241">
        <v>1</v>
      </c>
      <c r="I134" s="240" t="s">
        <v>16755</v>
      </c>
      <c r="J134" s="241">
        <v>0</v>
      </c>
      <c r="K134" s="241">
        <v>0</v>
      </c>
      <c r="L134" s="241">
        <v>1</v>
      </c>
      <c r="M134" s="240" t="s">
        <v>16832</v>
      </c>
      <c r="N134" s="241">
        <v>1</v>
      </c>
      <c r="O134" s="241">
        <v>0</v>
      </c>
      <c r="P134" s="241">
        <v>0</v>
      </c>
      <c r="Q134" s="259" t="s">
        <v>717</v>
      </c>
      <c r="R134" s="242" t="s">
        <v>16901</v>
      </c>
      <c r="S134" s="244" t="s">
        <v>25635</v>
      </c>
      <c r="T134" s="275" t="s">
        <v>17090</v>
      </c>
      <c r="U134" s="275" t="str">
        <f t="shared" si="2"/>
        <v>Do active research on new technologies and practices (P7 co1 emp) Consider long-term effect of design choices (P7 co2 emp) Emphasize reuse (P7 co3 emp)</v>
      </c>
      <c r="V134" s="300" t="s">
        <v>26887</v>
      </c>
      <c r="W134" s="295" t="s">
        <v>25636</v>
      </c>
      <c r="X134" s="289"/>
      <c r="Y134" s="289"/>
      <c r="Z134" s="289"/>
      <c r="AA134" s="289"/>
      <c r="AB134" s="289"/>
      <c r="AC134" s="289"/>
      <c r="AD134" s="289"/>
      <c r="AE134" s="289"/>
      <c r="AF134" s="289"/>
      <c r="AG134" s="289"/>
      <c r="AH134" s="289"/>
      <c r="AI134" s="289"/>
      <c r="AJ134" s="289"/>
      <c r="AK134" s="289"/>
      <c r="AL134" s="289"/>
      <c r="AM134" s="289"/>
      <c r="AN134" s="289"/>
      <c r="AO134" s="289"/>
      <c r="AP134" s="289"/>
      <c r="AQ134" s="289" t="s">
        <v>17090</v>
      </c>
      <c r="AR134" s="289"/>
      <c r="AS134" s="289"/>
      <c r="AT134" s="289"/>
      <c r="AU134" s="289"/>
      <c r="AV134" s="289"/>
      <c r="AW134" s="289"/>
      <c r="AX134" s="289"/>
      <c r="AY134" s="289"/>
      <c r="AZ134" s="291"/>
      <c r="BA134" s="291"/>
      <c r="BB134" s="290"/>
      <c r="BC134" s="290"/>
      <c r="BD134" s="290"/>
      <c r="BE134" s="290"/>
      <c r="BF134" s="290"/>
      <c r="BG134" s="290"/>
      <c r="BH134" s="290"/>
      <c r="BI134" s="290"/>
      <c r="BJ134" s="289"/>
      <c r="BK134" s="290"/>
      <c r="BL134" s="290"/>
    </row>
    <row r="135" spans="1:64" ht="27" customHeight="1" x14ac:dyDescent="0.25">
      <c r="A135" s="310" t="s">
        <v>146</v>
      </c>
      <c r="B135" s="311" t="s">
        <v>479</v>
      </c>
      <c r="C135" s="238" t="s">
        <v>479</v>
      </c>
      <c r="D135" s="239">
        <v>1</v>
      </c>
      <c r="E135" s="254">
        <v>0</v>
      </c>
      <c r="F135" s="258" t="s">
        <v>16764</v>
      </c>
      <c r="G135" s="241">
        <v>1</v>
      </c>
      <c r="H135" s="241">
        <v>0</v>
      </c>
      <c r="I135" s="240" t="s">
        <v>16765</v>
      </c>
      <c r="J135" s="241">
        <v>0</v>
      </c>
      <c r="K135" s="241">
        <v>0</v>
      </c>
      <c r="L135" s="241">
        <v>1</v>
      </c>
      <c r="M135" s="240" t="s">
        <v>16832</v>
      </c>
      <c r="N135" s="241">
        <v>1</v>
      </c>
      <c r="O135" s="241">
        <v>0</v>
      </c>
      <c r="P135" s="241">
        <v>0</v>
      </c>
      <c r="Q135" s="259" t="s">
        <v>717</v>
      </c>
      <c r="R135" s="242" t="s">
        <v>17063</v>
      </c>
      <c r="S135" s="244" t="s">
        <v>25637</v>
      </c>
      <c r="T135" s="275" t="s">
        <v>646</v>
      </c>
      <c r="U135" s="275" t="str">
        <f t="shared" si="2"/>
        <v/>
      </c>
      <c r="V135" s="300" t="s">
        <v>26888</v>
      </c>
      <c r="W135" s="295" t="s">
        <v>25638</v>
      </c>
      <c r="X135" s="289"/>
      <c r="Y135" s="289"/>
      <c r="Z135" s="289"/>
      <c r="AA135" s="289"/>
      <c r="AB135" s="289"/>
      <c r="AC135" s="289"/>
      <c r="AD135" s="289"/>
      <c r="AE135" s="289"/>
      <c r="AF135" s="289"/>
      <c r="AG135" s="289"/>
      <c r="AH135" s="289"/>
      <c r="AI135" s="289"/>
      <c r="AJ135" s="289"/>
      <c r="AK135" s="289"/>
      <c r="AL135" s="289"/>
      <c r="AM135" s="289"/>
      <c r="AN135" s="289"/>
      <c r="AO135" s="289"/>
      <c r="AP135" s="289"/>
      <c r="AQ135" s="289"/>
      <c r="AR135" s="289"/>
      <c r="AS135" s="289"/>
      <c r="AT135" s="289"/>
      <c r="AU135" s="289"/>
      <c r="AV135" s="289"/>
      <c r="AW135" s="289"/>
      <c r="AX135" s="289"/>
      <c r="AY135" s="289"/>
      <c r="AZ135" s="290"/>
      <c r="BA135" s="290"/>
      <c r="BB135" s="290"/>
      <c r="BC135" s="290"/>
      <c r="BD135" s="290"/>
      <c r="BE135" s="290"/>
      <c r="BF135" s="290"/>
      <c r="BG135" s="290"/>
      <c r="BH135" s="290"/>
      <c r="BI135" s="290"/>
      <c r="BJ135" s="289"/>
      <c r="BK135" s="290"/>
      <c r="BL135" s="290"/>
    </row>
    <row r="136" spans="1:64" ht="27" customHeight="1" x14ac:dyDescent="0.25">
      <c r="A136" s="310" t="s">
        <v>147</v>
      </c>
      <c r="B136" s="311" t="s">
        <v>480</v>
      </c>
      <c r="C136" s="238" t="s">
        <v>480</v>
      </c>
      <c r="D136" s="239">
        <v>1</v>
      </c>
      <c r="E136" s="254">
        <v>0</v>
      </c>
      <c r="F136" s="258" t="s">
        <v>16764</v>
      </c>
      <c r="G136" s="241">
        <v>1</v>
      </c>
      <c r="H136" s="241">
        <v>0</v>
      </c>
      <c r="I136" s="240" t="s">
        <v>16765</v>
      </c>
      <c r="J136" s="241">
        <v>0</v>
      </c>
      <c r="K136" s="241">
        <v>0</v>
      </c>
      <c r="L136" s="241">
        <v>1</v>
      </c>
      <c r="M136" s="240" t="s">
        <v>16832</v>
      </c>
      <c r="N136" s="241">
        <v>1</v>
      </c>
      <c r="O136" s="241">
        <v>0</v>
      </c>
      <c r="P136" s="241">
        <v>0</v>
      </c>
      <c r="Q136" s="259" t="s">
        <v>717</v>
      </c>
      <c r="R136" s="242" t="s">
        <v>16756</v>
      </c>
      <c r="S136" s="244" t="s">
        <v>17091</v>
      </c>
      <c r="T136" s="275" t="s">
        <v>17092</v>
      </c>
      <c r="U136" s="275" t="str">
        <f t="shared" si="2"/>
        <v>Site characteristics, including analyst capability, programmer capability, language and tool experience, personnel continuity, and customer proximity, are a variable factor in the task allocation decision</v>
      </c>
      <c r="V136" s="300" t="s">
        <v>26889</v>
      </c>
      <c r="W136" s="295"/>
      <c r="X136" s="289"/>
      <c r="Y136" s="289"/>
      <c r="Z136" s="289"/>
      <c r="AA136" s="289"/>
      <c r="AB136" s="289"/>
      <c r="AC136" s="289"/>
      <c r="AD136" s="289"/>
      <c r="AE136" s="289"/>
      <c r="AF136" s="289"/>
      <c r="AG136" s="289"/>
      <c r="AH136" s="289"/>
      <c r="AI136" s="289"/>
      <c r="AJ136" s="289"/>
      <c r="AK136" s="289"/>
      <c r="AL136" s="289"/>
      <c r="AM136" s="289"/>
      <c r="AN136" s="289"/>
      <c r="AO136" s="289"/>
      <c r="AP136" s="289"/>
      <c r="AQ136" s="289"/>
      <c r="AR136" s="289"/>
      <c r="AS136" s="289"/>
      <c r="AT136" s="289"/>
      <c r="AU136" s="289"/>
      <c r="AV136" s="289"/>
      <c r="AW136" s="289" t="s">
        <v>17092</v>
      </c>
      <c r="AX136" s="289"/>
      <c r="AY136" s="289"/>
      <c r="AZ136" s="290"/>
      <c r="BA136" s="290"/>
      <c r="BB136" s="290"/>
      <c r="BC136" s="290"/>
      <c r="BD136" s="290"/>
      <c r="BE136" s="290"/>
      <c r="BF136" s="290"/>
      <c r="BG136" s="290"/>
      <c r="BH136" s="290"/>
      <c r="BI136" s="290"/>
      <c r="BJ136" s="289"/>
      <c r="BK136" s="290"/>
      <c r="BL136" s="290"/>
    </row>
    <row r="137" spans="1:64" ht="27" customHeight="1" x14ac:dyDescent="0.25">
      <c r="A137" s="310" t="s">
        <v>148</v>
      </c>
      <c r="B137" s="311" t="s">
        <v>481</v>
      </c>
      <c r="C137" s="238" t="s">
        <v>481</v>
      </c>
      <c r="D137" s="239">
        <v>1</v>
      </c>
      <c r="E137" s="254">
        <v>0</v>
      </c>
      <c r="F137" s="258" t="s">
        <v>16764</v>
      </c>
      <c r="G137" s="241">
        <v>1</v>
      </c>
      <c r="H137" s="241">
        <v>0</v>
      </c>
      <c r="I137" s="240" t="s">
        <v>16765</v>
      </c>
      <c r="J137" s="241">
        <v>0</v>
      </c>
      <c r="K137" s="241">
        <v>0</v>
      </c>
      <c r="L137" s="241">
        <v>1</v>
      </c>
      <c r="M137" s="240" t="s">
        <v>16832</v>
      </c>
      <c r="N137" s="241">
        <v>1</v>
      </c>
      <c r="O137" s="241">
        <v>0</v>
      </c>
      <c r="P137" s="241">
        <v>0</v>
      </c>
      <c r="Q137" s="259" t="s">
        <v>717</v>
      </c>
      <c r="R137" s="242" t="s">
        <v>16775</v>
      </c>
      <c r="S137" s="244" t="s">
        <v>17093</v>
      </c>
      <c r="T137" s="275" t="s">
        <v>17094</v>
      </c>
      <c r="U137" s="275" t="str">
        <f t="shared" si="2"/>
        <v>Task‐site dependencies, including application experience and platform experience, are also considered during task allocation</v>
      </c>
      <c r="V137" s="300" t="s">
        <v>26890</v>
      </c>
      <c r="W137" s="295"/>
      <c r="X137" s="289"/>
      <c r="Y137" s="289"/>
      <c r="Z137" s="289"/>
      <c r="AA137" s="289"/>
      <c r="AB137" s="289"/>
      <c r="AC137" s="289"/>
      <c r="AD137" s="289"/>
      <c r="AE137" s="289"/>
      <c r="AF137" s="289"/>
      <c r="AG137" s="289"/>
      <c r="AH137" s="289"/>
      <c r="AI137" s="289"/>
      <c r="AJ137" s="289"/>
      <c r="AK137" s="289"/>
      <c r="AL137" s="289"/>
      <c r="AM137" s="289"/>
      <c r="AN137" s="289"/>
      <c r="AO137" s="289"/>
      <c r="AP137" s="289"/>
      <c r="AQ137" s="289"/>
      <c r="AR137" s="289"/>
      <c r="AS137" s="289"/>
      <c r="AT137" s="289"/>
      <c r="AU137" s="289"/>
      <c r="AV137" s="289"/>
      <c r="AW137" s="289" t="s">
        <v>17094</v>
      </c>
      <c r="AX137" s="289"/>
      <c r="AY137" s="289"/>
      <c r="AZ137" s="290"/>
      <c r="BA137" s="290"/>
      <c r="BB137" s="290"/>
      <c r="BC137" s="290"/>
      <c r="BD137" s="290"/>
      <c r="BE137" s="290"/>
      <c r="BF137" s="290"/>
      <c r="BG137" s="290"/>
      <c r="BH137" s="290"/>
      <c r="BI137" s="290"/>
      <c r="BJ137" s="289"/>
      <c r="BK137" s="290"/>
      <c r="BL137" s="290"/>
    </row>
    <row r="138" spans="1:64" ht="27" customHeight="1" x14ac:dyDescent="0.25">
      <c r="A138" s="310" t="s">
        <v>149</v>
      </c>
      <c r="B138" s="311" t="s">
        <v>25639</v>
      </c>
      <c r="C138" s="238" t="s">
        <v>25639</v>
      </c>
      <c r="D138" s="239">
        <v>0</v>
      </c>
      <c r="E138" s="254">
        <v>1</v>
      </c>
      <c r="F138" s="258" t="s">
        <v>16753</v>
      </c>
      <c r="G138" s="241">
        <v>0</v>
      </c>
      <c r="H138" s="241">
        <v>1</v>
      </c>
      <c r="I138" s="240" t="s">
        <v>16755</v>
      </c>
      <c r="J138" s="241">
        <v>0</v>
      </c>
      <c r="K138" s="241">
        <v>0</v>
      </c>
      <c r="L138" s="241">
        <v>1</v>
      </c>
      <c r="M138" s="240" t="s">
        <v>16832</v>
      </c>
      <c r="N138" s="241">
        <v>1</v>
      </c>
      <c r="O138" s="241">
        <v>0</v>
      </c>
      <c r="P138" s="241">
        <v>0</v>
      </c>
      <c r="Q138" s="259" t="s">
        <v>717</v>
      </c>
      <c r="R138" s="242" t="s">
        <v>16901</v>
      </c>
      <c r="S138" s="244" t="s">
        <v>25640</v>
      </c>
      <c r="T138" s="275" t="s">
        <v>646</v>
      </c>
      <c r="U138" s="275" t="str">
        <f t="shared" si="2"/>
        <v/>
      </c>
      <c r="V138" s="300" t="s">
        <v>26891</v>
      </c>
      <c r="W138" s="295" t="s">
        <v>25641</v>
      </c>
      <c r="X138" s="289"/>
      <c r="Y138" s="289"/>
      <c r="Z138" s="289"/>
      <c r="AA138" s="289"/>
      <c r="AB138" s="289"/>
      <c r="AC138" s="289"/>
      <c r="AD138" s="289"/>
      <c r="AE138" s="289"/>
      <c r="AF138" s="289"/>
      <c r="AG138" s="289"/>
      <c r="AH138" s="289"/>
      <c r="AI138" s="289"/>
      <c r="AJ138" s="289"/>
      <c r="AK138" s="289"/>
      <c r="AL138" s="289"/>
      <c r="AM138" s="289"/>
      <c r="AN138" s="289"/>
      <c r="AO138" s="289"/>
      <c r="AP138" s="289"/>
      <c r="AQ138" s="289"/>
      <c r="AR138" s="289"/>
      <c r="AS138" s="289"/>
      <c r="AT138" s="289"/>
      <c r="AU138" s="289"/>
      <c r="AV138" s="289"/>
      <c r="AW138" s="289"/>
      <c r="AX138" s="289"/>
      <c r="AY138" s="289"/>
      <c r="AZ138" s="290"/>
      <c r="BA138" s="290"/>
      <c r="BB138" s="290"/>
      <c r="BC138" s="290"/>
      <c r="BD138" s="290"/>
      <c r="BE138" s="290"/>
      <c r="BF138" s="290"/>
      <c r="BG138" s="290"/>
      <c r="BH138" s="290"/>
      <c r="BI138" s="290"/>
      <c r="BJ138" s="289"/>
      <c r="BK138" s="290"/>
      <c r="BL138" s="290"/>
    </row>
    <row r="139" spans="1:64" ht="27" customHeight="1" x14ac:dyDescent="0.25">
      <c r="A139" s="310" t="s">
        <v>150</v>
      </c>
      <c r="B139" s="311" t="s">
        <v>483</v>
      </c>
      <c r="C139" s="238" t="s">
        <v>483</v>
      </c>
      <c r="D139" s="239">
        <v>1</v>
      </c>
      <c r="E139" s="254">
        <v>0</v>
      </c>
      <c r="F139" s="258" t="s">
        <v>16764</v>
      </c>
      <c r="G139" s="241">
        <v>1</v>
      </c>
      <c r="H139" s="241">
        <v>0</v>
      </c>
      <c r="I139" s="240" t="s">
        <v>16765</v>
      </c>
      <c r="J139" s="241">
        <v>0</v>
      </c>
      <c r="K139" s="241">
        <v>0</v>
      </c>
      <c r="L139" s="241">
        <v>1</v>
      </c>
      <c r="M139" s="240" t="s">
        <v>16832</v>
      </c>
      <c r="N139" s="241">
        <v>1</v>
      </c>
      <c r="O139" s="241">
        <v>0</v>
      </c>
      <c r="P139" s="241">
        <v>0</v>
      </c>
      <c r="Q139" s="259" t="s">
        <v>717</v>
      </c>
      <c r="R139" s="242" t="s">
        <v>16756</v>
      </c>
      <c r="S139" s="244" t="s">
        <v>17095</v>
      </c>
      <c r="T139" s="275" t="s">
        <v>17096</v>
      </c>
      <c r="U139" s="275" t="str">
        <f t="shared" si="2"/>
        <v>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v>
      </c>
      <c r="V139" s="300" t="s">
        <v>26892</v>
      </c>
      <c r="W139" s="295"/>
      <c r="X139" s="289"/>
      <c r="Y139" s="289"/>
      <c r="Z139" s="289"/>
      <c r="AA139" s="289"/>
      <c r="AB139" s="289"/>
      <c r="AC139" s="289"/>
      <c r="AD139" s="289"/>
      <c r="AE139" s="289"/>
      <c r="AF139" s="289"/>
      <c r="AG139" s="289"/>
      <c r="AH139" s="289"/>
      <c r="AI139" s="289"/>
      <c r="AJ139" s="289"/>
      <c r="AK139" s="289"/>
      <c r="AL139" s="289"/>
      <c r="AM139" s="289"/>
      <c r="AN139" s="289"/>
      <c r="AO139" s="289"/>
      <c r="AP139" s="289"/>
      <c r="AQ139" s="289"/>
      <c r="AR139" s="289"/>
      <c r="AS139" s="289"/>
      <c r="AT139" s="289"/>
      <c r="AU139" s="289"/>
      <c r="AV139" s="289"/>
      <c r="AW139" s="289" t="s">
        <v>17096</v>
      </c>
      <c r="AX139" s="289"/>
      <c r="AY139" s="289"/>
      <c r="AZ139" s="290"/>
      <c r="BA139" s="290"/>
      <c r="BB139" s="290"/>
      <c r="BC139" s="290"/>
      <c r="BD139" s="290"/>
      <c r="BE139" s="290"/>
      <c r="BF139" s="290"/>
      <c r="BG139" s="290"/>
      <c r="BH139" s="290"/>
      <c r="BI139" s="290"/>
      <c r="BJ139" s="289"/>
      <c r="BK139" s="290"/>
      <c r="BL139" s="290"/>
    </row>
    <row r="140" spans="1:64" ht="27" customHeight="1" x14ac:dyDescent="0.25">
      <c r="A140" s="310" t="s">
        <v>151</v>
      </c>
      <c r="B140" s="311" t="s">
        <v>484</v>
      </c>
      <c r="C140" s="238" t="s">
        <v>484</v>
      </c>
      <c r="D140" s="239">
        <v>0</v>
      </c>
      <c r="E140" s="254">
        <v>1</v>
      </c>
      <c r="F140" s="258" t="s">
        <v>16753</v>
      </c>
      <c r="G140" s="241">
        <v>0</v>
      </c>
      <c r="H140" s="241">
        <v>1</v>
      </c>
      <c r="I140" s="240" t="s">
        <v>16755</v>
      </c>
      <c r="J140" s="241">
        <v>0</v>
      </c>
      <c r="K140" s="241">
        <v>0</v>
      </c>
      <c r="L140" s="241">
        <v>1</v>
      </c>
      <c r="M140" s="240" t="s">
        <v>16832</v>
      </c>
      <c r="N140" s="241">
        <v>1</v>
      </c>
      <c r="O140" s="241">
        <v>0</v>
      </c>
      <c r="P140" s="241">
        <v>0</v>
      </c>
      <c r="Q140" s="259" t="s">
        <v>717</v>
      </c>
      <c r="R140" s="242" t="s">
        <v>16901</v>
      </c>
      <c r="S140" s="244" t="s">
        <v>25642</v>
      </c>
      <c r="T140" s="275" t="s">
        <v>26893</v>
      </c>
      <c r="U140" s="275" t="str">
        <f t="shared" si="2"/>
        <v>Component dependency. Software component dependencies in a product architecture give rise to communication and coordination needs. The architectural mechanisms other than module or software component dependencies also create coordination requirements. The software component dependencies must be addressed before allocating to temporally distant sites can be taken.</v>
      </c>
      <c r="V140" s="300" t="s">
        <v>26893</v>
      </c>
      <c r="W140" s="295"/>
      <c r="X140" s="289"/>
      <c r="Y140" s="289"/>
      <c r="Z140" s="289"/>
      <c r="AA140" s="289"/>
      <c r="AB140" s="289"/>
      <c r="AC140" s="289"/>
      <c r="AD140" s="289"/>
      <c r="AE140" s="289"/>
      <c r="AF140" s="289"/>
      <c r="AG140" s="289"/>
      <c r="AH140" s="289"/>
      <c r="AI140" s="289"/>
      <c r="AJ140" s="289"/>
      <c r="AK140" s="289"/>
      <c r="AL140" s="289"/>
      <c r="AM140" s="289"/>
      <c r="AN140" s="289"/>
      <c r="AO140" s="289"/>
      <c r="AP140" s="289"/>
      <c r="AQ140" s="289"/>
      <c r="AR140" s="289"/>
      <c r="AS140" s="289"/>
      <c r="AT140" s="289"/>
      <c r="AU140" s="289"/>
      <c r="AV140" s="289"/>
      <c r="AW140" s="289" t="s">
        <v>26893</v>
      </c>
      <c r="AX140" s="289"/>
      <c r="AY140" s="289"/>
      <c r="AZ140" s="290"/>
      <c r="BA140" s="290"/>
      <c r="BB140" s="290"/>
      <c r="BC140" s="290"/>
      <c r="BD140" s="290"/>
      <c r="BE140" s="290"/>
      <c r="BF140" s="290"/>
      <c r="BG140" s="290"/>
      <c r="BH140" s="290"/>
      <c r="BI140" s="290"/>
      <c r="BJ140" s="289"/>
      <c r="BK140" s="290"/>
      <c r="BL140" s="290"/>
    </row>
    <row r="141" spans="1:64" ht="27" customHeight="1" x14ac:dyDescent="0.25">
      <c r="A141" s="310" t="s">
        <v>152</v>
      </c>
      <c r="B141" s="311" t="s">
        <v>17097</v>
      </c>
      <c r="C141" s="238" t="s">
        <v>485</v>
      </c>
      <c r="D141" s="239">
        <v>0</v>
      </c>
      <c r="E141" s="254">
        <v>1</v>
      </c>
      <c r="F141" s="258" t="s">
        <v>16753</v>
      </c>
      <c r="G141" s="241">
        <v>0</v>
      </c>
      <c r="H141" s="241">
        <v>1</v>
      </c>
      <c r="I141" s="240" t="s">
        <v>16755</v>
      </c>
      <c r="J141" s="241">
        <v>0</v>
      </c>
      <c r="K141" s="241">
        <v>0</v>
      </c>
      <c r="L141" s="241">
        <v>1</v>
      </c>
      <c r="M141" s="240" t="s">
        <v>16832</v>
      </c>
      <c r="N141" s="241">
        <v>1</v>
      </c>
      <c r="O141" s="241">
        <v>0</v>
      </c>
      <c r="P141" s="241">
        <v>0</v>
      </c>
      <c r="Q141" s="259" t="s">
        <v>717</v>
      </c>
      <c r="R141" s="242" t="s">
        <v>16756</v>
      </c>
      <c r="S141" s="244" t="s">
        <v>17098</v>
      </c>
      <c r="T141" s="275" t="s">
        <v>17099</v>
      </c>
      <c r="U141" s="275" t="str">
        <f t="shared" si="2"/>
        <v>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v>
      </c>
      <c r="V141" s="300" t="s">
        <v>26894</v>
      </c>
      <c r="W141" s="295"/>
      <c r="X141" s="289"/>
      <c r="Y141" s="289"/>
      <c r="Z141" s="289"/>
      <c r="AA141" s="289"/>
      <c r="AB141" s="289"/>
      <c r="AC141" s="289"/>
      <c r="AD141" s="289"/>
      <c r="AE141" s="289"/>
      <c r="AF141" s="289"/>
      <c r="AG141" s="289"/>
      <c r="AH141" s="289"/>
      <c r="AI141" s="289"/>
      <c r="AJ141" s="289"/>
      <c r="AK141" s="289"/>
      <c r="AL141" s="289"/>
      <c r="AM141" s="289"/>
      <c r="AN141" s="289"/>
      <c r="AO141" s="289"/>
      <c r="AP141" s="289" t="s">
        <v>17099</v>
      </c>
      <c r="AQ141" s="289"/>
      <c r="AR141" s="289"/>
      <c r="AS141" s="289"/>
      <c r="AT141" s="289"/>
      <c r="AU141" s="289"/>
      <c r="AV141" s="289"/>
      <c r="AW141" s="289"/>
      <c r="AX141" s="289"/>
      <c r="AY141" s="289"/>
      <c r="AZ141" s="290"/>
      <c r="BA141" s="290"/>
      <c r="BB141" s="290"/>
      <c r="BC141" s="290"/>
      <c r="BD141" s="290"/>
      <c r="BE141" s="290"/>
      <c r="BF141" s="290"/>
      <c r="BG141" s="290"/>
      <c r="BH141" s="290"/>
      <c r="BI141" s="290"/>
      <c r="BJ141" s="289"/>
      <c r="BK141" s="290"/>
      <c r="BL141" s="290"/>
    </row>
    <row r="142" spans="1:64" ht="27" customHeight="1" x14ac:dyDescent="0.25">
      <c r="A142" s="310" t="s">
        <v>153</v>
      </c>
      <c r="B142" s="311" t="s">
        <v>17100</v>
      </c>
      <c r="C142" s="238" t="s">
        <v>486</v>
      </c>
      <c r="D142" s="239">
        <v>1</v>
      </c>
      <c r="E142" s="254">
        <v>0</v>
      </c>
      <c r="F142" s="258" t="s">
        <v>16764</v>
      </c>
      <c r="G142" s="241">
        <v>1</v>
      </c>
      <c r="H142" s="241">
        <v>0</v>
      </c>
      <c r="I142" s="240" t="s">
        <v>16765</v>
      </c>
      <c r="J142" s="241">
        <v>0</v>
      </c>
      <c r="K142" s="241">
        <v>0</v>
      </c>
      <c r="L142" s="241">
        <v>1</v>
      </c>
      <c r="M142" s="240" t="s">
        <v>16832</v>
      </c>
      <c r="N142" s="241">
        <v>1</v>
      </c>
      <c r="O142" s="241">
        <v>0</v>
      </c>
      <c r="P142" s="241">
        <v>0</v>
      </c>
      <c r="Q142" s="259" t="s">
        <v>717</v>
      </c>
      <c r="R142" s="242" t="s">
        <v>17101</v>
      </c>
      <c r="S142" s="244" t="s">
        <v>25643</v>
      </c>
      <c r="T142" s="275" t="s">
        <v>646</v>
      </c>
      <c r="U142" s="275" t="str">
        <f t="shared" si="2"/>
        <v/>
      </c>
      <c r="V142" s="300" t="s">
        <v>26895</v>
      </c>
      <c r="W142" s="295" t="s">
        <v>25644</v>
      </c>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90"/>
      <c r="BA142" s="290"/>
      <c r="BB142" s="290"/>
      <c r="BC142" s="290"/>
      <c r="BD142" s="290"/>
      <c r="BE142" s="290"/>
      <c r="BF142" s="290"/>
      <c r="BG142" s="290"/>
      <c r="BH142" s="290"/>
      <c r="BI142" s="290"/>
      <c r="BJ142" s="289"/>
      <c r="BK142" s="290"/>
      <c r="BL142" s="290"/>
    </row>
    <row r="143" spans="1:64" ht="27" customHeight="1" x14ac:dyDescent="0.25">
      <c r="A143" s="310" t="s">
        <v>154</v>
      </c>
      <c r="B143" s="311" t="s">
        <v>17102</v>
      </c>
      <c r="C143" s="238" t="s">
        <v>487</v>
      </c>
      <c r="D143" s="239">
        <v>0</v>
      </c>
      <c r="E143" s="254">
        <v>1</v>
      </c>
      <c r="F143" s="258" t="s">
        <v>16753</v>
      </c>
      <c r="G143" s="241">
        <v>0</v>
      </c>
      <c r="H143" s="241">
        <v>1</v>
      </c>
      <c r="I143" s="240" t="s">
        <v>16755</v>
      </c>
      <c r="J143" s="241">
        <v>0</v>
      </c>
      <c r="K143" s="241">
        <v>0</v>
      </c>
      <c r="L143" s="241">
        <v>1</v>
      </c>
      <c r="M143" s="240" t="s">
        <v>16832</v>
      </c>
      <c r="N143" s="241">
        <v>1</v>
      </c>
      <c r="O143" s="241">
        <v>0</v>
      </c>
      <c r="P143" s="241">
        <v>0</v>
      </c>
      <c r="Q143" s="259" t="s">
        <v>717</v>
      </c>
      <c r="R143" s="242" t="s">
        <v>16775</v>
      </c>
      <c r="S143" s="244" t="s">
        <v>17103</v>
      </c>
      <c r="T143" s="275" t="s">
        <v>27211</v>
      </c>
      <c r="U143" s="275" t="str">
        <f t="shared" si="2"/>
        <v>Team members ability to provide assistance to solving problems|| Next refer.:Personal attachment and support towards the project Team members’ ability to provide assistance in solving problems|| Next refer.:This category consists of ideas to increase the acceptance of, and commitment to, both the organization and the transformation process. This can be achieved by the employee’s participation in organizational processes- and structures</v>
      </c>
      <c r="V143" s="300" t="s">
        <v>26896</v>
      </c>
      <c r="W143" s="295"/>
      <c r="X143" s="289"/>
      <c r="Y143" s="289"/>
      <c r="Z143" s="289"/>
      <c r="AA143" s="289"/>
      <c r="AB143" s="289"/>
      <c r="AC143" s="289"/>
      <c r="AD143" s="289"/>
      <c r="AE143" s="289" t="s">
        <v>17311</v>
      </c>
      <c r="AF143" s="289"/>
      <c r="AG143" s="289"/>
      <c r="AH143" s="289"/>
      <c r="AI143" s="289"/>
      <c r="AJ143" s="289"/>
      <c r="AK143" s="289"/>
      <c r="AL143" s="289"/>
      <c r="AM143" s="289"/>
      <c r="AN143" s="289"/>
      <c r="AO143" s="289" t="s">
        <v>17105</v>
      </c>
      <c r="AP143" s="289"/>
      <c r="AQ143" s="289"/>
      <c r="AR143" s="289"/>
      <c r="AS143" s="289"/>
      <c r="AT143" s="289"/>
      <c r="AU143" s="289"/>
      <c r="AV143" s="289"/>
      <c r="AW143" s="289"/>
      <c r="AX143" s="289"/>
      <c r="AY143" s="289"/>
      <c r="AZ143" s="290"/>
      <c r="BA143" s="290"/>
      <c r="BB143" s="290"/>
      <c r="BC143" s="290"/>
      <c r="BD143" s="290"/>
      <c r="BE143" s="290"/>
      <c r="BF143" s="290"/>
      <c r="BG143" s="290"/>
      <c r="BH143" s="290"/>
      <c r="BI143" s="290"/>
      <c r="BJ143" s="289" t="s">
        <v>17104</v>
      </c>
      <c r="BK143" s="290"/>
      <c r="BL143" s="290"/>
    </row>
    <row r="144" spans="1:64" ht="27" customHeight="1" x14ac:dyDescent="0.25">
      <c r="A144" s="310" t="s">
        <v>155</v>
      </c>
      <c r="B144" s="311" t="s">
        <v>17106</v>
      </c>
      <c r="C144" s="238" t="s">
        <v>17107</v>
      </c>
      <c r="D144" s="239">
        <v>1</v>
      </c>
      <c r="E144" s="254">
        <v>0</v>
      </c>
      <c r="F144" s="258" t="s">
        <v>16764</v>
      </c>
      <c r="G144" s="241">
        <v>0</v>
      </c>
      <c r="H144" s="241">
        <v>1</v>
      </c>
      <c r="I144" s="240" t="s">
        <v>16755</v>
      </c>
      <c r="J144" s="241">
        <v>0</v>
      </c>
      <c r="K144" s="241">
        <v>0</v>
      </c>
      <c r="L144" s="241">
        <v>1</v>
      </c>
      <c r="M144" s="240" t="s">
        <v>16832</v>
      </c>
      <c r="N144" s="241">
        <v>1</v>
      </c>
      <c r="O144" s="241">
        <v>0</v>
      </c>
      <c r="P144" s="241">
        <v>0</v>
      </c>
      <c r="Q144" s="259" t="s">
        <v>717</v>
      </c>
      <c r="R144" s="242" t="s">
        <v>16756</v>
      </c>
      <c r="S144" s="244" t="s">
        <v>17108</v>
      </c>
      <c r="T144" s="275" t="s">
        <v>17109</v>
      </c>
      <c r="U144" s="275" t="str">
        <f t="shared" si="2"/>
        <v>Persistent, conscientious responsiveness information of teams on project outcomes Establishing pertinent information towards the project outcome</v>
      </c>
      <c r="V144" s="300" t="s">
        <v>26897</v>
      </c>
      <c r="W144" s="295"/>
      <c r="X144" s="289"/>
      <c r="Y144" s="289"/>
      <c r="Z144" s="289"/>
      <c r="AA144" s="289"/>
      <c r="AB144" s="289"/>
      <c r="AC144" s="289"/>
      <c r="AD144" s="289"/>
      <c r="AE144" s="289"/>
      <c r="AF144" s="289"/>
      <c r="AG144" s="289"/>
      <c r="AH144" s="289"/>
      <c r="AI144" s="289"/>
      <c r="AJ144" s="289"/>
      <c r="AK144" s="289"/>
      <c r="AL144" s="289"/>
      <c r="AM144" s="289"/>
      <c r="AN144" s="289"/>
      <c r="AO144" s="289" t="s">
        <v>17109</v>
      </c>
      <c r="AP144" s="289"/>
      <c r="AQ144" s="289"/>
      <c r="AR144" s="289"/>
      <c r="AS144" s="289"/>
      <c r="AT144" s="289"/>
      <c r="AU144" s="289"/>
      <c r="AV144" s="289"/>
      <c r="AW144" s="289"/>
      <c r="AX144" s="289"/>
      <c r="AY144" s="289"/>
      <c r="AZ144" s="290"/>
      <c r="BA144" s="290"/>
      <c r="BB144" s="290"/>
      <c r="BC144" s="290"/>
      <c r="BD144" s="290"/>
      <c r="BE144" s="290"/>
      <c r="BF144" s="290"/>
      <c r="BG144" s="290"/>
      <c r="BH144" s="290"/>
      <c r="BI144" s="290"/>
      <c r="BJ144" s="289"/>
      <c r="BK144" s="290"/>
      <c r="BL144" s="290"/>
    </row>
    <row r="145" spans="1:64" ht="27" customHeight="1" x14ac:dyDescent="0.25">
      <c r="A145" s="310" t="s">
        <v>156</v>
      </c>
      <c r="B145" s="311" t="s">
        <v>17110</v>
      </c>
      <c r="C145" s="238" t="s">
        <v>489</v>
      </c>
      <c r="D145" s="239">
        <v>1</v>
      </c>
      <c r="E145" s="254">
        <v>0</v>
      </c>
      <c r="F145" s="258" t="s">
        <v>16764</v>
      </c>
      <c r="G145" s="241">
        <v>1</v>
      </c>
      <c r="H145" s="241">
        <v>0</v>
      </c>
      <c r="I145" s="240" t="s">
        <v>16765</v>
      </c>
      <c r="J145" s="241">
        <v>0</v>
      </c>
      <c r="K145" s="241">
        <v>0</v>
      </c>
      <c r="L145" s="241">
        <v>1</v>
      </c>
      <c r="M145" s="240" t="s">
        <v>16832</v>
      </c>
      <c r="N145" s="241">
        <v>1</v>
      </c>
      <c r="O145" s="241">
        <v>0</v>
      </c>
      <c r="P145" s="241">
        <v>0</v>
      </c>
      <c r="Q145" s="259" t="s">
        <v>717</v>
      </c>
      <c r="R145" s="242" t="s">
        <v>16756</v>
      </c>
      <c r="S145" s="244" t="s">
        <v>17111</v>
      </c>
      <c r="T145" s="275" t="s">
        <v>27212</v>
      </c>
      <c r="U145" s="275" t="str">
        <f t="shared" si="2"/>
        <v>Understanding of requested changes|| Next refer.:Clear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v>
      </c>
      <c r="V145" s="300" t="s">
        <v>26898</v>
      </c>
      <c r="W145" s="295"/>
      <c r="X145" s="289"/>
      <c r="Y145" s="289"/>
      <c r="Z145" s="289"/>
      <c r="AA145" s="289"/>
      <c r="AB145" s="289"/>
      <c r="AC145" s="289"/>
      <c r="AD145" s="289"/>
      <c r="AE145" s="289"/>
      <c r="AF145" s="289"/>
      <c r="AG145" s="289"/>
      <c r="AH145" s="289"/>
      <c r="AI145" s="289"/>
      <c r="AJ145" s="289"/>
      <c r="AK145" s="289"/>
      <c r="AL145" s="289"/>
      <c r="AM145" s="289"/>
      <c r="AN145" s="289"/>
      <c r="AO145" s="289"/>
      <c r="AP145" s="289"/>
      <c r="AQ145" s="289"/>
      <c r="AR145" s="289"/>
      <c r="AS145" s="289" t="s">
        <v>27125</v>
      </c>
      <c r="AT145" s="289"/>
      <c r="AU145" s="289"/>
      <c r="AV145" s="289"/>
      <c r="AW145" s="289"/>
      <c r="AX145" s="289"/>
      <c r="AY145" s="289"/>
      <c r="AZ145" s="289" t="s">
        <v>16866</v>
      </c>
      <c r="BA145" s="290"/>
      <c r="BB145" s="290"/>
      <c r="BC145" s="290"/>
      <c r="BD145" s="290"/>
      <c r="BE145" s="290"/>
      <c r="BF145" s="290"/>
      <c r="BG145" s="290"/>
      <c r="BH145" s="290"/>
      <c r="BI145" s="290"/>
      <c r="BJ145" s="289"/>
      <c r="BK145" s="289" t="s">
        <v>16868</v>
      </c>
      <c r="BL145" s="290"/>
    </row>
    <row r="146" spans="1:64" ht="27" customHeight="1" x14ac:dyDescent="0.25">
      <c r="A146" s="310" t="s">
        <v>157</v>
      </c>
      <c r="B146" s="311" t="s">
        <v>17112</v>
      </c>
      <c r="C146" s="238" t="s">
        <v>490</v>
      </c>
      <c r="D146" s="239">
        <v>0</v>
      </c>
      <c r="E146" s="254">
        <v>1</v>
      </c>
      <c r="F146" s="258" t="s">
        <v>16753</v>
      </c>
      <c r="G146" s="241">
        <v>0</v>
      </c>
      <c r="H146" s="241">
        <v>1</v>
      </c>
      <c r="I146" s="240" t="s">
        <v>16755</v>
      </c>
      <c r="J146" s="241">
        <v>1</v>
      </c>
      <c r="K146" s="241">
        <v>0</v>
      </c>
      <c r="L146" s="241">
        <v>0</v>
      </c>
      <c r="M146" s="240" t="s">
        <v>16754</v>
      </c>
      <c r="N146" s="241">
        <v>1</v>
      </c>
      <c r="O146" s="241">
        <v>0</v>
      </c>
      <c r="P146" s="241">
        <v>0</v>
      </c>
      <c r="Q146" s="259" t="s">
        <v>717</v>
      </c>
      <c r="R146" s="242" t="s">
        <v>16756</v>
      </c>
      <c r="S146" s="244" t="s">
        <v>25645</v>
      </c>
      <c r="T146" s="275" t="s">
        <v>646</v>
      </c>
      <c r="U146" s="275" t="str">
        <f t="shared" si="2"/>
        <v/>
      </c>
      <c r="V146" s="300" t="s">
        <v>26899</v>
      </c>
      <c r="W146" s="295" t="s">
        <v>25646</v>
      </c>
      <c r="X146" s="289"/>
      <c r="Y146" s="28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c r="AX146" s="289"/>
      <c r="AY146" s="289"/>
      <c r="AZ146" s="290"/>
      <c r="BA146" s="290"/>
      <c r="BB146" s="290"/>
      <c r="BC146" s="290"/>
      <c r="BD146" s="290"/>
      <c r="BE146" s="290"/>
      <c r="BF146" s="290"/>
      <c r="BG146" s="290"/>
      <c r="BH146" s="290"/>
      <c r="BI146" s="290"/>
      <c r="BJ146" s="289"/>
      <c r="BK146" s="290"/>
      <c r="BL146" s="290"/>
    </row>
    <row r="147" spans="1:64" ht="27" customHeight="1" x14ac:dyDescent="0.25">
      <c r="A147" s="310" t="s">
        <v>158</v>
      </c>
      <c r="B147" s="311" t="s">
        <v>17113</v>
      </c>
      <c r="C147" s="238" t="s">
        <v>17114</v>
      </c>
      <c r="D147" s="239">
        <v>0</v>
      </c>
      <c r="E147" s="254">
        <v>1</v>
      </c>
      <c r="F147" s="258" t="s">
        <v>16753</v>
      </c>
      <c r="G147" s="241">
        <v>0</v>
      </c>
      <c r="H147" s="241">
        <v>1</v>
      </c>
      <c r="I147" s="240" t="s">
        <v>16755</v>
      </c>
      <c r="J147" s="241">
        <v>1</v>
      </c>
      <c r="K147" s="241">
        <v>0</v>
      </c>
      <c r="L147" s="241">
        <v>0</v>
      </c>
      <c r="M147" s="240" t="s">
        <v>16754</v>
      </c>
      <c r="N147" s="241">
        <v>1</v>
      </c>
      <c r="O147" s="241">
        <v>0</v>
      </c>
      <c r="P147" s="241">
        <v>0</v>
      </c>
      <c r="Q147" s="259" t="s">
        <v>717</v>
      </c>
      <c r="R147" s="242" t="s">
        <v>16756</v>
      </c>
      <c r="S147" s="244" t="s">
        <v>25647</v>
      </c>
      <c r="T147" s="275" t="s">
        <v>27213</v>
      </c>
      <c r="U147" s="275" t="str">
        <f t="shared" si="2"/>
        <v>It allows to identify the requirements that need complex functionalities that tend to introduce more failures during implementation.|| Next refer.: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 Next refer.:Understanding the process with respect to knowledge transfer effectiveness on project outcome</v>
      </c>
      <c r="V147" s="300" t="s">
        <v>26900</v>
      </c>
      <c r="W147" s="295" t="s">
        <v>25648</v>
      </c>
      <c r="X147" s="289"/>
      <c r="Y147" s="289"/>
      <c r="Z147" s="289"/>
      <c r="AA147" s="289"/>
      <c r="AB147" s="289"/>
      <c r="AC147" s="289"/>
      <c r="AD147" s="289"/>
      <c r="AE147" s="289"/>
      <c r="AF147" s="289"/>
      <c r="AG147" s="289" t="s">
        <v>25515</v>
      </c>
      <c r="AH147" s="289" t="s">
        <v>27142</v>
      </c>
      <c r="AI147" s="289"/>
      <c r="AJ147" s="289"/>
      <c r="AK147" s="289"/>
      <c r="AL147" s="289"/>
      <c r="AM147" s="289"/>
      <c r="AN147" s="289"/>
      <c r="AO147" s="289" t="s">
        <v>17115</v>
      </c>
      <c r="AP147" s="289"/>
      <c r="AQ147" s="289"/>
      <c r="AR147" s="289"/>
      <c r="AS147" s="289"/>
      <c r="AT147" s="289"/>
      <c r="AU147" s="289"/>
      <c r="AV147" s="289"/>
      <c r="AW147" s="289"/>
      <c r="AX147" s="289"/>
      <c r="AY147" s="289"/>
      <c r="AZ147" s="290"/>
      <c r="BA147" s="290"/>
      <c r="BB147" s="290"/>
      <c r="BC147" s="290"/>
      <c r="BD147" s="290"/>
      <c r="BE147" s="290"/>
      <c r="BF147" s="290"/>
      <c r="BG147" s="290"/>
      <c r="BH147" s="290"/>
      <c r="BI147" s="290"/>
      <c r="BJ147" s="289"/>
      <c r="BK147" s="290"/>
      <c r="BL147" s="290"/>
    </row>
    <row r="148" spans="1:64" ht="27" customHeight="1" x14ac:dyDescent="0.25">
      <c r="A148" s="310" t="s">
        <v>159</v>
      </c>
      <c r="B148" s="311" t="s">
        <v>492</v>
      </c>
      <c r="C148" s="238" t="s">
        <v>492</v>
      </c>
      <c r="D148" s="239">
        <v>0</v>
      </c>
      <c r="E148" s="254">
        <v>1</v>
      </c>
      <c r="F148" s="258" t="s">
        <v>16753</v>
      </c>
      <c r="G148" s="241">
        <v>0</v>
      </c>
      <c r="H148" s="241">
        <v>1</v>
      </c>
      <c r="I148" s="240" t="s">
        <v>16755</v>
      </c>
      <c r="J148" s="241">
        <v>1</v>
      </c>
      <c r="K148" s="241">
        <v>0</v>
      </c>
      <c r="L148" s="241">
        <v>0</v>
      </c>
      <c r="M148" s="240" t="s">
        <v>16754</v>
      </c>
      <c r="N148" s="241">
        <v>1</v>
      </c>
      <c r="O148" s="241">
        <v>0</v>
      </c>
      <c r="P148" s="241">
        <v>0</v>
      </c>
      <c r="Q148" s="259" t="s">
        <v>717</v>
      </c>
      <c r="R148" s="242" t="s">
        <v>16756</v>
      </c>
      <c r="S148" s="244" t="s">
        <v>25649</v>
      </c>
      <c r="T148" s="275" t="s">
        <v>27126</v>
      </c>
      <c r="U148" s="275" t="str">
        <f t="shared" si="2"/>
        <v>Coordination of teams to achieve the project goals.</v>
      </c>
      <c r="V148" s="300" t="s">
        <v>26901</v>
      </c>
      <c r="W148" s="295" t="s">
        <v>25650</v>
      </c>
      <c r="X148" s="289"/>
      <c r="Y148" s="289"/>
      <c r="Z148" s="289"/>
      <c r="AA148" s="289"/>
      <c r="AB148" s="289"/>
      <c r="AC148" s="289"/>
      <c r="AD148" s="289"/>
      <c r="AE148" s="289" t="s">
        <v>27126</v>
      </c>
      <c r="AF148" s="289"/>
      <c r="AG148" s="289"/>
      <c r="AH148" s="289"/>
      <c r="AI148" s="289"/>
      <c r="AJ148" s="289"/>
      <c r="AK148" s="289"/>
      <c r="AL148" s="289"/>
      <c r="AM148" s="289"/>
      <c r="AN148" s="289"/>
      <c r="AO148" s="289"/>
      <c r="AP148" s="289"/>
      <c r="AQ148" s="289"/>
      <c r="AR148" s="289"/>
      <c r="AS148" s="289"/>
      <c r="AT148" s="289"/>
      <c r="AU148" s="289"/>
      <c r="AV148" s="289"/>
      <c r="AW148" s="289"/>
      <c r="AX148" s="289"/>
      <c r="AY148" s="289"/>
      <c r="AZ148" s="290"/>
      <c r="BA148" s="290"/>
      <c r="BB148" s="290"/>
      <c r="BC148" s="290"/>
      <c r="BD148" s="290"/>
      <c r="BE148" s="290"/>
      <c r="BF148" s="290"/>
      <c r="BG148" s="290"/>
      <c r="BH148" s="290"/>
      <c r="BI148" s="290"/>
      <c r="BJ148" s="289"/>
      <c r="BK148" s="290"/>
      <c r="BL148" s="290"/>
    </row>
    <row r="149" spans="1:64" ht="27" customHeight="1" x14ac:dyDescent="0.25">
      <c r="A149" s="310" t="s">
        <v>160</v>
      </c>
      <c r="B149" s="311" t="s">
        <v>17116</v>
      </c>
      <c r="C149" s="238" t="s">
        <v>493</v>
      </c>
      <c r="D149" s="239">
        <v>1</v>
      </c>
      <c r="E149" s="254">
        <v>0</v>
      </c>
      <c r="F149" s="258" t="s">
        <v>16764</v>
      </c>
      <c r="G149" s="241">
        <v>1</v>
      </c>
      <c r="H149" s="241">
        <v>0</v>
      </c>
      <c r="I149" s="240" t="s">
        <v>16765</v>
      </c>
      <c r="J149" s="241">
        <v>0</v>
      </c>
      <c r="K149" s="241">
        <v>0</v>
      </c>
      <c r="L149" s="241">
        <v>1</v>
      </c>
      <c r="M149" s="240" t="s">
        <v>16832</v>
      </c>
      <c r="N149" s="241">
        <v>0</v>
      </c>
      <c r="O149" s="241">
        <v>1</v>
      </c>
      <c r="P149" s="241">
        <v>0</v>
      </c>
      <c r="Q149" s="259" t="s">
        <v>16827</v>
      </c>
      <c r="R149" s="242" t="s">
        <v>16756</v>
      </c>
      <c r="S149" s="244" t="s">
        <v>17116</v>
      </c>
      <c r="T149" s="275" t="s">
        <v>646</v>
      </c>
      <c r="U149" s="275" t="str">
        <f t="shared" si="2"/>
        <v/>
      </c>
      <c r="V149" s="300" t="s">
        <v>26902</v>
      </c>
      <c r="W149" s="295"/>
      <c r="X149" s="289"/>
      <c r="Y149" s="289"/>
      <c r="Z149" s="289"/>
      <c r="AA149" s="289"/>
      <c r="AB149" s="289"/>
      <c r="AC149" s="289"/>
      <c r="AD149" s="289"/>
      <c r="AE149" s="289"/>
      <c r="AF149" s="289"/>
      <c r="AG149" s="289"/>
      <c r="AH149" s="289"/>
      <c r="AI149" s="289"/>
      <c r="AJ149" s="289"/>
      <c r="AK149" s="289"/>
      <c r="AL149" s="289"/>
      <c r="AM149" s="289"/>
      <c r="AN149" s="289"/>
      <c r="AO149" s="290"/>
      <c r="AP149" s="289"/>
      <c r="AQ149" s="289"/>
      <c r="AR149" s="289"/>
      <c r="AS149" s="289"/>
      <c r="AT149" s="289"/>
      <c r="AU149" s="289"/>
      <c r="AV149" s="289"/>
      <c r="AW149" s="289"/>
      <c r="AX149" s="289"/>
      <c r="AY149" s="289"/>
      <c r="AZ149" s="290"/>
      <c r="BA149" s="290"/>
      <c r="BB149" s="290"/>
      <c r="BC149" s="290"/>
      <c r="BD149" s="290"/>
      <c r="BE149" s="290"/>
      <c r="BF149" s="290"/>
      <c r="BG149" s="290"/>
      <c r="BH149" s="290"/>
      <c r="BI149" s="290"/>
      <c r="BJ149" s="289"/>
      <c r="BK149" s="290"/>
      <c r="BL149" s="290"/>
    </row>
    <row r="150" spans="1:64" ht="27" customHeight="1" x14ac:dyDescent="0.25">
      <c r="A150" s="310" t="s">
        <v>161</v>
      </c>
      <c r="B150" s="311" t="s">
        <v>17117</v>
      </c>
      <c r="C150" s="238" t="s">
        <v>494</v>
      </c>
      <c r="D150" s="239">
        <v>1</v>
      </c>
      <c r="E150" s="254">
        <v>0</v>
      </c>
      <c r="F150" s="258" t="s">
        <v>16764</v>
      </c>
      <c r="G150" s="241">
        <v>0</v>
      </c>
      <c r="H150" s="241">
        <v>1</v>
      </c>
      <c r="I150" s="240" t="s">
        <v>16755</v>
      </c>
      <c r="J150" s="241">
        <v>0</v>
      </c>
      <c r="K150" s="241">
        <v>0</v>
      </c>
      <c r="L150" s="241">
        <v>1</v>
      </c>
      <c r="M150" s="240" t="s">
        <v>16832</v>
      </c>
      <c r="N150" s="241">
        <v>0</v>
      </c>
      <c r="O150" s="241">
        <v>1</v>
      </c>
      <c r="P150" s="241">
        <v>0</v>
      </c>
      <c r="Q150" s="259" t="s">
        <v>16827</v>
      </c>
      <c r="R150" s="242" t="s">
        <v>16756</v>
      </c>
      <c r="S150" s="244" t="s">
        <v>25651</v>
      </c>
      <c r="T150" s="275" t="s">
        <v>17118</v>
      </c>
      <c r="U150" s="275" t="str">
        <f t="shared" si="2"/>
        <v>Knowledge incentive directed towards business process and project outcome</v>
      </c>
      <c r="V150" s="300" t="s">
        <v>26903</v>
      </c>
      <c r="W150" s="295" t="s">
        <v>25652</v>
      </c>
      <c r="X150" s="289"/>
      <c r="Y150" s="289"/>
      <c r="Z150" s="289"/>
      <c r="AA150" s="289"/>
      <c r="AB150" s="289"/>
      <c r="AC150" s="289"/>
      <c r="AD150" s="289"/>
      <c r="AE150" s="289"/>
      <c r="AF150" s="289"/>
      <c r="AG150" s="289"/>
      <c r="AH150" s="289"/>
      <c r="AI150" s="289"/>
      <c r="AJ150" s="289"/>
      <c r="AK150" s="289"/>
      <c r="AL150" s="289"/>
      <c r="AM150" s="289"/>
      <c r="AN150" s="289"/>
      <c r="AO150" s="289" t="s">
        <v>17118</v>
      </c>
      <c r="AP150" s="289"/>
      <c r="AQ150" s="289"/>
      <c r="AR150" s="289"/>
      <c r="AS150" s="289"/>
      <c r="AT150" s="289"/>
      <c r="AU150" s="289"/>
      <c r="AV150" s="289"/>
      <c r="AW150" s="289"/>
      <c r="AX150" s="289"/>
      <c r="AY150" s="289"/>
      <c r="AZ150" s="290"/>
      <c r="BA150" s="290"/>
      <c r="BB150" s="290"/>
      <c r="BC150" s="290"/>
      <c r="BD150" s="290"/>
      <c r="BE150" s="290"/>
      <c r="BF150" s="290"/>
      <c r="BG150" s="290"/>
      <c r="BH150" s="290"/>
      <c r="BI150" s="290"/>
      <c r="BJ150" s="289"/>
      <c r="BK150" s="290"/>
      <c r="BL150" s="290"/>
    </row>
    <row r="151" spans="1:64" ht="27" customHeight="1" x14ac:dyDescent="0.25">
      <c r="A151" s="310" t="s">
        <v>162</v>
      </c>
      <c r="B151" s="311" t="s">
        <v>17119</v>
      </c>
      <c r="C151" s="238" t="s">
        <v>495</v>
      </c>
      <c r="D151" s="239">
        <v>1</v>
      </c>
      <c r="E151" s="254">
        <v>0</v>
      </c>
      <c r="F151" s="258" t="s">
        <v>16764</v>
      </c>
      <c r="G151" s="241">
        <v>0</v>
      </c>
      <c r="H151" s="241">
        <v>1</v>
      </c>
      <c r="I151" s="240" t="s">
        <v>16755</v>
      </c>
      <c r="J151" s="241">
        <v>0</v>
      </c>
      <c r="K151" s="241">
        <v>0</v>
      </c>
      <c r="L151" s="241">
        <v>1</v>
      </c>
      <c r="M151" s="240" t="s">
        <v>16832</v>
      </c>
      <c r="N151" s="241">
        <v>1</v>
      </c>
      <c r="O151" s="241">
        <v>0</v>
      </c>
      <c r="P151" s="241">
        <v>0</v>
      </c>
      <c r="Q151" s="259" t="s">
        <v>717</v>
      </c>
      <c r="R151" s="242" t="s">
        <v>16756</v>
      </c>
      <c r="S151" s="244" t="s">
        <v>26421</v>
      </c>
      <c r="T151" s="275" t="s">
        <v>17120</v>
      </c>
      <c r="U151" s="275" t="str">
        <f t="shared" si="2"/>
        <v>Information flow and pilot knowledge of the teams</v>
      </c>
      <c r="V151" s="300" t="s">
        <v>26904</v>
      </c>
      <c r="W151" s="295" t="s">
        <v>25653</v>
      </c>
      <c r="X151" s="289"/>
      <c r="Y151" s="289"/>
      <c r="Z151" s="289"/>
      <c r="AA151" s="289"/>
      <c r="AB151" s="289"/>
      <c r="AC151" s="289"/>
      <c r="AD151" s="289"/>
      <c r="AE151" s="289"/>
      <c r="AF151" s="289"/>
      <c r="AG151" s="289"/>
      <c r="AH151" s="289"/>
      <c r="AI151" s="289"/>
      <c r="AJ151" s="289"/>
      <c r="AK151" s="289"/>
      <c r="AL151" s="289"/>
      <c r="AM151" s="289"/>
      <c r="AN151" s="289"/>
      <c r="AO151" s="289" t="s">
        <v>17120</v>
      </c>
      <c r="AP151" s="289"/>
      <c r="AQ151" s="289"/>
      <c r="AR151" s="289"/>
      <c r="AS151" s="289"/>
      <c r="AT151" s="289"/>
      <c r="AU151" s="289"/>
      <c r="AV151" s="289"/>
      <c r="AW151" s="289"/>
      <c r="AX151" s="289"/>
      <c r="AY151" s="289"/>
      <c r="AZ151" s="290"/>
      <c r="BA151" s="290"/>
      <c r="BB151" s="290"/>
      <c r="BC151" s="290"/>
      <c r="BD151" s="290"/>
      <c r="BE151" s="290"/>
      <c r="BF151" s="290"/>
      <c r="BG151" s="290"/>
      <c r="BH151" s="290"/>
      <c r="BI151" s="290"/>
      <c r="BJ151" s="289"/>
      <c r="BK151" s="290"/>
      <c r="BL151" s="290"/>
    </row>
    <row r="152" spans="1:64" ht="27" customHeight="1" x14ac:dyDescent="0.25">
      <c r="A152" s="310" t="s">
        <v>163</v>
      </c>
      <c r="B152" s="311" t="s">
        <v>17121</v>
      </c>
      <c r="C152" s="238" t="s">
        <v>496</v>
      </c>
      <c r="D152" s="239">
        <v>1</v>
      </c>
      <c r="E152" s="254">
        <v>0</v>
      </c>
      <c r="F152" s="258" t="s">
        <v>16764</v>
      </c>
      <c r="G152" s="241">
        <v>0</v>
      </c>
      <c r="H152" s="241">
        <v>1</v>
      </c>
      <c r="I152" s="240" t="s">
        <v>16755</v>
      </c>
      <c r="J152" s="241">
        <v>0</v>
      </c>
      <c r="K152" s="241">
        <v>0</v>
      </c>
      <c r="L152" s="241">
        <v>1</v>
      </c>
      <c r="M152" s="240" t="s">
        <v>16832</v>
      </c>
      <c r="N152" s="241">
        <v>0</v>
      </c>
      <c r="O152" s="241">
        <v>0</v>
      </c>
      <c r="P152" s="241">
        <v>1</v>
      </c>
      <c r="Q152" s="259" t="s">
        <v>16766</v>
      </c>
      <c r="R152" s="242" t="s">
        <v>16756</v>
      </c>
      <c r="S152" s="244" t="s">
        <v>25654</v>
      </c>
      <c r="T152" s="275" t="s">
        <v>17122</v>
      </c>
      <c r="U152" s="275" t="str">
        <f t="shared" si="2"/>
        <v>Project performance on expected functionality Project functionality towards client’s business process</v>
      </c>
      <c r="V152" s="300" t="s">
        <v>26905</v>
      </c>
      <c r="W152" s="295" t="s">
        <v>25655</v>
      </c>
      <c r="X152" s="289"/>
      <c r="Y152" s="289"/>
      <c r="Z152" s="289"/>
      <c r="AA152" s="289"/>
      <c r="AB152" s="289"/>
      <c r="AC152" s="289"/>
      <c r="AD152" s="289"/>
      <c r="AE152" s="289"/>
      <c r="AF152" s="289"/>
      <c r="AG152" s="289"/>
      <c r="AH152" s="289"/>
      <c r="AI152" s="289"/>
      <c r="AJ152" s="289"/>
      <c r="AK152" s="289"/>
      <c r="AL152" s="289"/>
      <c r="AM152" s="289"/>
      <c r="AN152" s="289"/>
      <c r="AO152" s="289" t="s">
        <v>17122</v>
      </c>
      <c r="AP152" s="289"/>
      <c r="AQ152" s="289"/>
      <c r="AR152" s="289"/>
      <c r="AS152" s="289"/>
      <c r="AT152" s="289"/>
      <c r="AU152" s="289"/>
      <c r="AV152" s="289"/>
      <c r="AW152" s="289"/>
      <c r="AX152" s="289"/>
      <c r="AY152" s="289"/>
      <c r="AZ152" s="290"/>
      <c r="BA152" s="290"/>
      <c r="BB152" s="290"/>
      <c r="BC152" s="290"/>
      <c r="BD152" s="290"/>
      <c r="BE152" s="290"/>
      <c r="BF152" s="290"/>
      <c r="BG152" s="290"/>
      <c r="BH152" s="290"/>
      <c r="BI152" s="290"/>
      <c r="BJ152" s="289"/>
      <c r="BK152" s="290"/>
      <c r="BL152" s="290"/>
    </row>
    <row r="153" spans="1:64" ht="27" customHeight="1" x14ac:dyDescent="0.25">
      <c r="A153" s="310" t="s">
        <v>164</v>
      </c>
      <c r="B153" s="311" t="s">
        <v>17123</v>
      </c>
      <c r="C153" s="238" t="s">
        <v>497</v>
      </c>
      <c r="D153" s="239">
        <v>0</v>
      </c>
      <c r="E153" s="254">
        <v>1</v>
      </c>
      <c r="F153" s="258" t="s">
        <v>16753</v>
      </c>
      <c r="G153" s="241">
        <v>0</v>
      </c>
      <c r="H153" s="241">
        <v>1</v>
      </c>
      <c r="I153" s="240" t="s">
        <v>16755</v>
      </c>
      <c r="J153" s="241">
        <v>0</v>
      </c>
      <c r="K153" s="241">
        <v>0</v>
      </c>
      <c r="L153" s="241">
        <v>1</v>
      </c>
      <c r="M153" s="240" t="s">
        <v>16832</v>
      </c>
      <c r="N153" s="241">
        <v>0</v>
      </c>
      <c r="O153" s="241">
        <v>0</v>
      </c>
      <c r="P153" s="241">
        <v>1</v>
      </c>
      <c r="Q153" s="259" t="s">
        <v>16766</v>
      </c>
      <c r="R153" s="242" t="s">
        <v>16756</v>
      </c>
      <c r="S153" s="244" t="s">
        <v>25656</v>
      </c>
      <c r="T153" s="275" t="s">
        <v>27214</v>
      </c>
      <c r="U153" s="275" t="str">
        <f t="shared" si="2"/>
        <v>Knowledge of client language and culture|| Next refer.:Gathering the information and experience among teams</v>
      </c>
      <c r="V153" s="300" t="s">
        <v>26906</v>
      </c>
      <c r="W153" s="295" t="s">
        <v>25657</v>
      </c>
      <c r="X153" s="289"/>
      <c r="Y153" s="289"/>
      <c r="Z153" s="289"/>
      <c r="AA153" s="289"/>
      <c r="AB153" s="289"/>
      <c r="AC153" s="289"/>
      <c r="AD153" s="289"/>
      <c r="AE153" s="289"/>
      <c r="AF153" s="289"/>
      <c r="AG153" s="289"/>
      <c r="AH153" s="289"/>
      <c r="AI153" s="289"/>
      <c r="AJ153" s="289"/>
      <c r="AK153" s="289"/>
      <c r="AL153" s="289" t="s">
        <v>17124</v>
      </c>
      <c r="AM153" s="289"/>
      <c r="AN153" s="289"/>
      <c r="AO153" s="289" t="s">
        <v>17125</v>
      </c>
      <c r="AP153" s="289"/>
      <c r="AQ153" s="289"/>
      <c r="AR153" s="289"/>
      <c r="AS153" s="289"/>
      <c r="AT153" s="289"/>
      <c r="AU153" s="289"/>
      <c r="AV153" s="289"/>
      <c r="AW153" s="289"/>
      <c r="AX153" s="289"/>
      <c r="AY153" s="289"/>
      <c r="AZ153" s="290"/>
      <c r="BA153" s="290"/>
      <c r="BB153" s="290"/>
      <c r="BC153" s="290"/>
      <c r="BD153" s="290"/>
      <c r="BE153" s="290"/>
      <c r="BF153" s="290"/>
      <c r="BG153" s="290"/>
      <c r="BH153" s="290"/>
      <c r="BI153" s="290"/>
      <c r="BJ153" s="289"/>
      <c r="BK153" s="290"/>
      <c r="BL153" s="290"/>
    </row>
    <row r="154" spans="1:64" ht="27" customHeight="1" x14ac:dyDescent="0.25">
      <c r="A154" s="310" t="s">
        <v>165</v>
      </c>
      <c r="B154" s="311" t="s">
        <v>17126</v>
      </c>
      <c r="C154" s="238" t="s">
        <v>498</v>
      </c>
      <c r="D154" s="239">
        <v>1</v>
      </c>
      <c r="E154" s="254">
        <v>0</v>
      </c>
      <c r="F154" s="258" t="s">
        <v>16764</v>
      </c>
      <c r="G154" s="241">
        <v>0</v>
      </c>
      <c r="H154" s="241">
        <v>1</v>
      </c>
      <c r="I154" s="240" t="s">
        <v>16755</v>
      </c>
      <c r="J154" s="241">
        <v>1</v>
      </c>
      <c r="K154" s="241">
        <v>0</v>
      </c>
      <c r="L154" s="241">
        <v>0</v>
      </c>
      <c r="M154" s="240" t="s">
        <v>16754</v>
      </c>
      <c r="N154" s="241">
        <v>1</v>
      </c>
      <c r="O154" s="241">
        <v>0</v>
      </c>
      <c r="P154" s="241">
        <v>0</v>
      </c>
      <c r="Q154" s="259" t="s">
        <v>717</v>
      </c>
      <c r="R154" s="242" t="s">
        <v>16756</v>
      </c>
      <c r="S154" s="244" t="s">
        <v>25658</v>
      </c>
      <c r="T154" s="275" t="s">
        <v>646</v>
      </c>
      <c r="U154" s="275" t="str">
        <f t="shared" si="2"/>
        <v/>
      </c>
      <c r="V154" s="300" t="s">
        <v>26907</v>
      </c>
      <c r="W154" s="295" t="s">
        <v>25659</v>
      </c>
      <c r="X154" s="289"/>
      <c r="Y154" s="289"/>
      <c r="Z154" s="289"/>
      <c r="AA154" s="289"/>
      <c r="AB154" s="289"/>
      <c r="AC154" s="289"/>
      <c r="AD154" s="289"/>
      <c r="AE154" s="289"/>
      <c r="AF154" s="289"/>
      <c r="AG154" s="289"/>
      <c r="AH154" s="289"/>
      <c r="AI154" s="289"/>
      <c r="AJ154" s="289"/>
      <c r="AK154" s="289"/>
      <c r="AL154" s="289"/>
      <c r="AM154" s="289"/>
      <c r="AN154" s="289"/>
      <c r="AO154" s="289"/>
      <c r="AP154" s="289"/>
      <c r="AQ154" s="289"/>
      <c r="AR154" s="289"/>
      <c r="AS154" s="289"/>
      <c r="AT154" s="289"/>
      <c r="AU154" s="289"/>
      <c r="AV154" s="289"/>
      <c r="AW154" s="289"/>
      <c r="AX154" s="289"/>
      <c r="AY154" s="289"/>
      <c r="AZ154" s="290"/>
      <c r="BA154" s="290"/>
      <c r="BB154" s="290"/>
      <c r="BC154" s="290"/>
      <c r="BD154" s="290"/>
      <c r="BE154" s="290"/>
      <c r="BF154" s="290"/>
      <c r="BG154" s="290"/>
      <c r="BH154" s="290"/>
      <c r="BI154" s="290"/>
      <c r="BJ154" s="289"/>
      <c r="BK154" s="290"/>
      <c r="BL154" s="290"/>
    </row>
    <row r="155" spans="1:64" ht="27" customHeight="1" x14ac:dyDescent="0.25">
      <c r="A155" s="310" t="s">
        <v>166</v>
      </c>
      <c r="B155" s="311" t="s">
        <v>17127</v>
      </c>
      <c r="C155" s="238" t="s">
        <v>499</v>
      </c>
      <c r="D155" s="239">
        <v>0</v>
      </c>
      <c r="E155" s="254">
        <v>1</v>
      </c>
      <c r="F155" s="258" t="s">
        <v>16753</v>
      </c>
      <c r="G155" s="241">
        <v>0</v>
      </c>
      <c r="H155" s="241">
        <v>1</v>
      </c>
      <c r="I155" s="240" t="s">
        <v>16755</v>
      </c>
      <c r="J155" s="241">
        <v>1</v>
      </c>
      <c r="K155" s="241">
        <v>0</v>
      </c>
      <c r="L155" s="241">
        <v>0</v>
      </c>
      <c r="M155" s="240" t="s">
        <v>16754</v>
      </c>
      <c r="N155" s="241">
        <v>1</v>
      </c>
      <c r="O155" s="241">
        <v>0</v>
      </c>
      <c r="P155" s="241">
        <v>0</v>
      </c>
      <c r="Q155" s="259" t="s">
        <v>717</v>
      </c>
      <c r="R155" s="242" t="s">
        <v>16756</v>
      </c>
      <c r="S155" s="244" t="s">
        <v>25660</v>
      </c>
      <c r="T155" s="275" t="s">
        <v>17387</v>
      </c>
      <c r="U155" s="275" t="str">
        <f t="shared" si="2"/>
        <v>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v>
      </c>
      <c r="V155" s="300" t="s">
        <v>26908</v>
      </c>
      <c r="W155" s="295" t="s">
        <v>25661</v>
      </c>
      <c r="X155" s="289"/>
      <c r="Y155" s="289" t="s">
        <v>17387</v>
      </c>
      <c r="Z155" s="289"/>
      <c r="AA155" s="289"/>
      <c r="AB155" s="289"/>
      <c r="AC155" s="289"/>
      <c r="AD155" s="289"/>
      <c r="AE155" s="289"/>
      <c r="AF155" s="289"/>
      <c r="AG155" s="289"/>
      <c r="AH155" s="289"/>
      <c r="AI155" s="289"/>
      <c r="AJ155" s="289"/>
      <c r="AK155" s="289"/>
      <c r="AL155" s="289"/>
      <c r="AM155" s="289"/>
      <c r="AN155" s="289"/>
      <c r="AO155" s="290"/>
      <c r="AP155" s="289"/>
      <c r="AQ155" s="289"/>
      <c r="AR155" s="289"/>
      <c r="AS155" s="289"/>
      <c r="AT155" s="289"/>
      <c r="AU155" s="289"/>
      <c r="AV155" s="289"/>
      <c r="AW155" s="289"/>
      <c r="AX155" s="289"/>
      <c r="AY155" s="289"/>
      <c r="AZ155" s="290"/>
      <c r="BA155" s="290"/>
      <c r="BB155" s="290"/>
      <c r="BC155" s="290"/>
      <c r="BD155" s="290"/>
      <c r="BE155" s="290"/>
      <c r="BF155" s="290"/>
      <c r="BG155" s="290"/>
      <c r="BH155" s="290"/>
      <c r="BI155" s="290"/>
      <c r="BJ155" s="289"/>
      <c r="BK155" s="290"/>
      <c r="BL155" s="290"/>
    </row>
    <row r="156" spans="1:64" ht="27" customHeight="1" x14ac:dyDescent="0.25">
      <c r="A156" s="310" t="s">
        <v>167</v>
      </c>
      <c r="B156" s="311" t="s">
        <v>17128</v>
      </c>
      <c r="C156" s="238" t="s">
        <v>500</v>
      </c>
      <c r="D156" s="239">
        <v>1</v>
      </c>
      <c r="E156" s="254">
        <v>0</v>
      </c>
      <c r="F156" s="258" t="s">
        <v>16764</v>
      </c>
      <c r="G156" s="241">
        <v>1</v>
      </c>
      <c r="H156" s="241">
        <v>0</v>
      </c>
      <c r="I156" s="240" t="s">
        <v>16765</v>
      </c>
      <c r="J156" s="241">
        <v>0</v>
      </c>
      <c r="K156" s="241">
        <v>0</v>
      </c>
      <c r="L156" s="241">
        <v>1</v>
      </c>
      <c r="M156" s="240" t="s">
        <v>16832</v>
      </c>
      <c r="N156" s="241">
        <v>1</v>
      </c>
      <c r="O156" s="241">
        <v>0</v>
      </c>
      <c r="P156" s="241">
        <v>0</v>
      </c>
      <c r="Q156" s="259" t="s">
        <v>717</v>
      </c>
      <c r="R156" s="242" t="s">
        <v>16756</v>
      </c>
      <c r="S156" s="244" t="s">
        <v>17129</v>
      </c>
      <c r="T156" s="275" t="s">
        <v>27215</v>
      </c>
      <c r="U156" s="275" t="str">
        <f t="shared" si="2"/>
        <v>Tools and technology to facilitate knowledge transfer within teams.|| Next refer.:Enhancement in technology and applications for knowledge transfer</v>
      </c>
      <c r="V156" s="300" t="s">
        <v>26909</v>
      </c>
      <c r="W156" s="295"/>
      <c r="X156" s="289"/>
      <c r="Y156" s="289"/>
      <c r="Z156" s="289"/>
      <c r="AA156" s="289"/>
      <c r="AB156" s="289"/>
      <c r="AC156" s="289"/>
      <c r="AD156" s="289"/>
      <c r="AE156" s="289" t="s">
        <v>17314</v>
      </c>
      <c r="AF156" s="289"/>
      <c r="AG156" s="289"/>
      <c r="AH156" s="289"/>
      <c r="AI156" s="289"/>
      <c r="AJ156" s="289"/>
      <c r="AK156" s="289"/>
      <c r="AL156" s="289"/>
      <c r="AM156" s="289"/>
      <c r="AN156" s="289"/>
      <c r="AO156" s="289" t="s">
        <v>17130</v>
      </c>
      <c r="AP156" s="289"/>
      <c r="AQ156" s="289"/>
      <c r="AR156" s="289"/>
      <c r="AS156" s="289"/>
      <c r="AT156" s="289"/>
      <c r="AU156" s="289"/>
      <c r="AV156" s="289"/>
      <c r="AW156" s="289"/>
      <c r="AX156" s="289"/>
      <c r="AY156" s="289"/>
      <c r="AZ156" s="290"/>
      <c r="BA156" s="290"/>
      <c r="BB156" s="290"/>
      <c r="BC156" s="290"/>
      <c r="BD156" s="290"/>
      <c r="BE156" s="290"/>
      <c r="BF156" s="290"/>
      <c r="BG156" s="290"/>
      <c r="BH156" s="290"/>
      <c r="BI156" s="290"/>
      <c r="BJ156" s="289"/>
      <c r="BK156" s="290"/>
      <c r="BL156" s="290"/>
    </row>
    <row r="157" spans="1:64" ht="27" customHeight="1" x14ac:dyDescent="0.25">
      <c r="A157" s="310" t="s">
        <v>168</v>
      </c>
      <c r="B157" s="311" t="s">
        <v>501</v>
      </c>
      <c r="C157" s="238" t="s">
        <v>501</v>
      </c>
      <c r="D157" s="239">
        <v>1</v>
      </c>
      <c r="E157" s="254">
        <v>0</v>
      </c>
      <c r="F157" s="258" t="s">
        <v>16764</v>
      </c>
      <c r="G157" s="241">
        <v>1</v>
      </c>
      <c r="H157" s="241">
        <v>0</v>
      </c>
      <c r="I157" s="240" t="s">
        <v>16765</v>
      </c>
      <c r="J157" s="241">
        <v>0</v>
      </c>
      <c r="K157" s="241">
        <v>0</v>
      </c>
      <c r="L157" s="241">
        <v>1</v>
      </c>
      <c r="M157" s="240" t="s">
        <v>16832</v>
      </c>
      <c r="N157" s="241">
        <v>1</v>
      </c>
      <c r="O157" s="241">
        <v>0</v>
      </c>
      <c r="P157" s="241">
        <v>0</v>
      </c>
      <c r="Q157" s="259" t="s">
        <v>717</v>
      </c>
      <c r="R157" s="242" t="s">
        <v>16756</v>
      </c>
      <c r="S157" s="244" t="s">
        <v>25666</v>
      </c>
      <c r="T157" s="275" t="s">
        <v>646</v>
      </c>
      <c r="U157" s="275" t="str">
        <f t="shared" si="2"/>
        <v/>
      </c>
      <c r="V157" s="300" t="s">
        <v>26910</v>
      </c>
      <c r="W157" s="295" t="s">
        <v>25597</v>
      </c>
      <c r="X157" s="289"/>
      <c r="Y157" s="289"/>
      <c r="Z157" s="289"/>
      <c r="AA157" s="289"/>
      <c r="AB157" s="289"/>
      <c r="AC157" s="289"/>
      <c r="AD157" s="289"/>
      <c r="AE157" s="289"/>
      <c r="AF157" s="289"/>
      <c r="AG157" s="289"/>
      <c r="AH157" s="289"/>
      <c r="AI157" s="289"/>
      <c r="AJ157" s="289"/>
      <c r="AK157" s="289"/>
      <c r="AL157" s="289"/>
      <c r="AM157" s="289"/>
      <c r="AN157" s="289"/>
      <c r="AO157" s="289"/>
      <c r="AP157" s="289"/>
      <c r="AQ157" s="289"/>
      <c r="AR157" s="289"/>
      <c r="AS157" s="289"/>
      <c r="AT157" s="289"/>
      <c r="AU157" s="289"/>
      <c r="AV157" s="289"/>
      <c r="AW157" s="289"/>
      <c r="AX157" s="289"/>
      <c r="AY157" s="289"/>
      <c r="AZ157" s="290"/>
      <c r="BA157" s="290"/>
      <c r="BB157" s="290"/>
      <c r="BC157" s="290"/>
      <c r="BD157" s="290"/>
      <c r="BE157" s="290"/>
      <c r="BF157" s="290"/>
      <c r="BG157" s="290"/>
      <c r="BH157" s="290"/>
      <c r="BI157" s="290"/>
      <c r="BJ157" s="289"/>
      <c r="BK157" s="290"/>
      <c r="BL157" s="290"/>
    </row>
    <row r="158" spans="1:64" ht="27" customHeight="1" x14ac:dyDescent="0.25">
      <c r="A158" s="310" t="s">
        <v>169</v>
      </c>
      <c r="B158" s="311" t="s">
        <v>17131</v>
      </c>
      <c r="C158" s="238" t="s">
        <v>17131</v>
      </c>
      <c r="D158" s="239">
        <v>1</v>
      </c>
      <c r="E158" s="254">
        <v>0</v>
      </c>
      <c r="F158" s="258" t="s">
        <v>16764</v>
      </c>
      <c r="G158" s="241">
        <v>1</v>
      </c>
      <c r="H158" s="241">
        <v>0</v>
      </c>
      <c r="I158" s="240" t="s">
        <v>16765</v>
      </c>
      <c r="J158" s="241">
        <v>0</v>
      </c>
      <c r="K158" s="241">
        <v>0</v>
      </c>
      <c r="L158" s="241">
        <v>1</v>
      </c>
      <c r="M158" s="240" t="s">
        <v>16832</v>
      </c>
      <c r="N158" s="241">
        <v>1</v>
      </c>
      <c r="O158" s="241">
        <v>0</v>
      </c>
      <c r="P158" s="241">
        <v>0</v>
      </c>
      <c r="Q158" s="259" t="s">
        <v>717</v>
      </c>
      <c r="R158" s="242" t="s">
        <v>16756</v>
      </c>
      <c r="S158" s="244" t="s">
        <v>25662</v>
      </c>
      <c r="T158" s="275" t="s">
        <v>17132</v>
      </c>
      <c r="U158" s="275" t="str">
        <f t="shared" si="2"/>
        <v>Training and education sessions</v>
      </c>
      <c r="V158" s="300" t="s">
        <v>26911</v>
      </c>
      <c r="W158" s="295" t="s">
        <v>25597</v>
      </c>
      <c r="X158" s="289"/>
      <c r="Y158" s="289"/>
      <c r="Z158" s="289"/>
      <c r="AA158" s="289"/>
      <c r="AB158" s="289"/>
      <c r="AC158" s="289"/>
      <c r="AD158" s="289"/>
      <c r="AE158" s="289"/>
      <c r="AF158" s="289"/>
      <c r="AG158" s="289"/>
      <c r="AH158" s="289"/>
      <c r="AI158" s="289"/>
      <c r="AJ158" s="289"/>
      <c r="AK158" s="289"/>
      <c r="AL158" s="289" t="s">
        <v>17132</v>
      </c>
      <c r="AM158" s="289"/>
      <c r="AN158" s="289"/>
      <c r="AO158" s="289"/>
      <c r="AP158" s="289"/>
      <c r="AQ158" s="289"/>
      <c r="AR158" s="289"/>
      <c r="AS158" s="289"/>
      <c r="AT158" s="289"/>
      <c r="AU158" s="289"/>
      <c r="AV158" s="289"/>
      <c r="AW158" s="289"/>
      <c r="AX158" s="289"/>
      <c r="AY158" s="289"/>
      <c r="AZ158" s="290"/>
      <c r="BA158" s="290"/>
      <c r="BB158" s="290"/>
      <c r="BC158" s="290"/>
      <c r="BD158" s="290"/>
      <c r="BE158" s="290"/>
      <c r="BF158" s="290"/>
      <c r="BG158" s="290"/>
      <c r="BH158" s="290"/>
      <c r="BI158" s="290"/>
      <c r="BJ158" s="289"/>
      <c r="BK158" s="290"/>
      <c r="BL158" s="290"/>
    </row>
    <row r="159" spans="1:64" ht="27" customHeight="1" x14ac:dyDescent="0.25">
      <c r="A159" s="310" t="s">
        <v>170</v>
      </c>
      <c r="B159" s="311" t="s">
        <v>17133</v>
      </c>
      <c r="C159" s="238" t="s">
        <v>26432</v>
      </c>
      <c r="D159" s="239">
        <v>1</v>
      </c>
      <c r="E159" s="254">
        <v>0</v>
      </c>
      <c r="F159" s="258" t="s">
        <v>16764</v>
      </c>
      <c r="G159" s="241">
        <v>1</v>
      </c>
      <c r="H159" s="241">
        <v>0</v>
      </c>
      <c r="I159" s="240" t="s">
        <v>16765</v>
      </c>
      <c r="J159" s="241">
        <v>0</v>
      </c>
      <c r="K159" s="241">
        <v>0</v>
      </c>
      <c r="L159" s="241">
        <v>1</v>
      </c>
      <c r="M159" s="240" t="s">
        <v>16832</v>
      </c>
      <c r="N159" s="241">
        <v>1</v>
      </c>
      <c r="O159" s="241">
        <v>0</v>
      </c>
      <c r="P159" s="241">
        <v>0</v>
      </c>
      <c r="Q159" s="259" t="s">
        <v>717</v>
      </c>
      <c r="R159" s="242" t="s">
        <v>16756</v>
      </c>
      <c r="S159" s="244" t="s">
        <v>25663</v>
      </c>
      <c r="T159" s="275" t="s">
        <v>646</v>
      </c>
      <c r="U159" s="275" t="str">
        <f t="shared" si="2"/>
        <v/>
      </c>
      <c r="V159" s="300" t="s">
        <v>26912</v>
      </c>
      <c r="W159" s="295" t="s">
        <v>25597</v>
      </c>
      <c r="X159" s="289"/>
      <c r="Y159" s="289"/>
      <c r="Z159" s="289"/>
      <c r="AA159" s="289"/>
      <c r="AB159" s="289"/>
      <c r="AC159" s="289"/>
      <c r="AD159" s="289"/>
      <c r="AE159" s="289"/>
      <c r="AF159" s="289"/>
      <c r="AG159" s="289"/>
      <c r="AH159" s="289"/>
      <c r="AI159" s="289"/>
      <c r="AJ159" s="289"/>
      <c r="AK159" s="289"/>
      <c r="AL159" s="289"/>
      <c r="AM159" s="289"/>
      <c r="AN159" s="289"/>
      <c r="AO159" s="289"/>
      <c r="AP159" s="289"/>
      <c r="AQ159" s="289"/>
      <c r="AR159" s="289"/>
      <c r="AS159" s="289"/>
      <c r="AT159" s="289"/>
      <c r="AU159" s="289"/>
      <c r="AV159" s="289"/>
      <c r="AW159" s="289"/>
      <c r="AX159" s="289"/>
      <c r="AY159" s="289"/>
      <c r="AZ159" s="290"/>
      <c r="BA159" s="290"/>
      <c r="BB159" s="290"/>
      <c r="BC159" s="290"/>
      <c r="BD159" s="290"/>
      <c r="BE159" s="290"/>
      <c r="BF159" s="290"/>
      <c r="BG159" s="290"/>
      <c r="BH159" s="290"/>
      <c r="BI159" s="290"/>
      <c r="BJ159" s="289"/>
      <c r="BK159" s="290"/>
      <c r="BL159" s="290"/>
    </row>
    <row r="160" spans="1:64" ht="27" customHeight="1" x14ac:dyDescent="0.25">
      <c r="A160" s="310" t="s">
        <v>171</v>
      </c>
      <c r="B160" s="311" t="s">
        <v>17134</v>
      </c>
      <c r="C160" s="238" t="s">
        <v>504</v>
      </c>
      <c r="D160" s="239">
        <v>1</v>
      </c>
      <c r="E160" s="254">
        <v>0</v>
      </c>
      <c r="F160" s="258" t="s">
        <v>16764</v>
      </c>
      <c r="G160" s="241">
        <v>1</v>
      </c>
      <c r="H160" s="241">
        <v>0</v>
      </c>
      <c r="I160" s="240" t="s">
        <v>16765</v>
      </c>
      <c r="J160" s="241">
        <v>0</v>
      </c>
      <c r="K160" s="241">
        <v>0</v>
      </c>
      <c r="L160" s="241">
        <v>1</v>
      </c>
      <c r="M160" s="240" t="s">
        <v>16832</v>
      </c>
      <c r="N160" s="241">
        <v>1</v>
      </c>
      <c r="O160" s="241">
        <v>0</v>
      </c>
      <c r="P160" s="241">
        <v>0</v>
      </c>
      <c r="Q160" s="259" t="s">
        <v>717</v>
      </c>
      <c r="R160" s="242" t="s">
        <v>16756</v>
      </c>
      <c r="S160" s="244" t="s">
        <v>25664</v>
      </c>
      <c r="T160" s="275" t="s">
        <v>646</v>
      </c>
      <c r="U160" s="275" t="str">
        <f t="shared" si="2"/>
        <v/>
      </c>
      <c r="V160" s="300" t="s">
        <v>26913</v>
      </c>
      <c r="W160" s="295" t="s">
        <v>25597</v>
      </c>
      <c r="X160" s="289"/>
      <c r="Y160" s="289"/>
      <c r="Z160" s="289"/>
      <c r="AA160" s="289"/>
      <c r="AB160" s="289"/>
      <c r="AC160" s="289"/>
      <c r="AD160" s="289"/>
      <c r="AE160" s="289"/>
      <c r="AF160" s="289"/>
      <c r="AG160" s="289"/>
      <c r="AH160" s="289"/>
      <c r="AI160" s="289"/>
      <c r="AJ160" s="289"/>
      <c r="AK160" s="289"/>
      <c r="AL160" s="289"/>
      <c r="AM160" s="289"/>
      <c r="AN160" s="289"/>
      <c r="AO160" s="289"/>
      <c r="AP160" s="289"/>
      <c r="AQ160" s="289"/>
      <c r="AR160" s="289"/>
      <c r="AS160" s="289"/>
      <c r="AT160" s="289"/>
      <c r="AU160" s="289"/>
      <c r="AV160" s="289"/>
      <c r="AW160" s="289"/>
      <c r="AX160" s="289"/>
      <c r="AY160" s="289"/>
      <c r="AZ160" s="290"/>
      <c r="BA160" s="290"/>
      <c r="BB160" s="290"/>
      <c r="BC160" s="290"/>
      <c r="BD160" s="290"/>
      <c r="BE160" s="290"/>
      <c r="BF160" s="290"/>
      <c r="BG160" s="290"/>
      <c r="BH160" s="290"/>
      <c r="BI160" s="290"/>
      <c r="BJ160" s="289"/>
      <c r="BK160" s="290"/>
      <c r="BL160" s="290"/>
    </row>
    <row r="161" spans="1:64" ht="27" customHeight="1" x14ac:dyDescent="0.25">
      <c r="A161" s="310" t="s">
        <v>172</v>
      </c>
      <c r="B161" s="311" t="s">
        <v>17135</v>
      </c>
      <c r="C161" s="238" t="s">
        <v>505</v>
      </c>
      <c r="D161" s="239">
        <v>1</v>
      </c>
      <c r="E161" s="254">
        <v>0</v>
      </c>
      <c r="F161" s="258" t="s">
        <v>16764</v>
      </c>
      <c r="G161" s="241">
        <v>1</v>
      </c>
      <c r="H161" s="241">
        <v>0</v>
      </c>
      <c r="I161" s="240" t="s">
        <v>16765</v>
      </c>
      <c r="J161" s="241">
        <v>0</v>
      </c>
      <c r="K161" s="241">
        <v>0</v>
      </c>
      <c r="L161" s="241">
        <v>1</v>
      </c>
      <c r="M161" s="240" t="s">
        <v>16832</v>
      </c>
      <c r="N161" s="241">
        <v>1</v>
      </c>
      <c r="O161" s="241">
        <v>0</v>
      </c>
      <c r="P161" s="241">
        <v>0</v>
      </c>
      <c r="Q161" s="259" t="s">
        <v>717</v>
      </c>
      <c r="R161" s="242" t="s">
        <v>16756</v>
      </c>
      <c r="S161" s="244" t="s">
        <v>25665</v>
      </c>
      <c r="T161" s="275" t="s">
        <v>646</v>
      </c>
      <c r="U161" s="275" t="str">
        <f t="shared" si="2"/>
        <v/>
      </c>
      <c r="V161" s="300" t="s">
        <v>26914</v>
      </c>
      <c r="W161" s="295" t="s">
        <v>25597</v>
      </c>
      <c r="X161" s="289"/>
      <c r="Y161" s="289"/>
      <c r="Z161" s="289"/>
      <c r="AA161" s="289"/>
      <c r="AB161" s="289"/>
      <c r="AC161" s="289"/>
      <c r="AD161" s="289"/>
      <c r="AE161" s="289"/>
      <c r="AF161" s="289"/>
      <c r="AG161" s="289"/>
      <c r="AH161" s="289"/>
      <c r="AI161" s="289"/>
      <c r="AJ161" s="289"/>
      <c r="AK161" s="289"/>
      <c r="AL161" s="289"/>
      <c r="AM161" s="289"/>
      <c r="AN161" s="289"/>
      <c r="AO161" s="289"/>
      <c r="AP161" s="289"/>
      <c r="AQ161" s="289"/>
      <c r="AR161" s="289"/>
      <c r="AS161" s="289"/>
      <c r="AT161" s="289"/>
      <c r="AU161" s="289"/>
      <c r="AV161" s="289"/>
      <c r="AW161" s="289"/>
      <c r="AX161" s="289"/>
      <c r="AY161" s="289"/>
      <c r="AZ161" s="290"/>
      <c r="BA161" s="290"/>
      <c r="BB161" s="290"/>
      <c r="BC161" s="290"/>
      <c r="BD161" s="290"/>
      <c r="BE161" s="290"/>
      <c r="BF161" s="290"/>
      <c r="BG161" s="290"/>
      <c r="BH161" s="290"/>
      <c r="BI161" s="290"/>
      <c r="BJ161" s="289"/>
      <c r="BK161" s="290"/>
      <c r="BL161" s="290"/>
    </row>
    <row r="162" spans="1:64" ht="27" customHeight="1" x14ac:dyDescent="0.25">
      <c r="A162" s="310" t="s">
        <v>173</v>
      </c>
      <c r="B162" s="311" t="s">
        <v>17136</v>
      </c>
      <c r="C162" s="238" t="s">
        <v>26435</v>
      </c>
      <c r="D162" s="239">
        <v>1</v>
      </c>
      <c r="E162" s="254">
        <v>0</v>
      </c>
      <c r="F162" s="258" t="s">
        <v>16764</v>
      </c>
      <c r="G162" s="241">
        <v>1</v>
      </c>
      <c r="H162" s="241">
        <v>0</v>
      </c>
      <c r="I162" s="240" t="s">
        <v>16765</v>
      </c>
      <c r="J162" s="241">
        <v>0</v>
      </c>
      <c r="K162" s="241">
        <v>0</v>
      </c>
      <c r="L162" s="241">
        <v>1</v>
      </c>
      <c r="M162" s="240" t="s">
        <v>16832</v>
      </c>
      <c r="N162" s="241">
        <v>1</v>
      </c>
      <c r="O162" s="241">
        <v>0</v>
      </c>
      <c r="P162" s="241">
        <v>0</v>
      </c>
      <c r="Q162" s="259" t="s">
        <v>717</v>
      </c>
      <c r="R162" s="242" t="s">
        <v>16756</v>
      </c>
      <c r="S162" s="244" t="s">
        <v>17137</v>
      </c>
      <c r="T162" s="275" t="s">
        <v>646</v>
      </c>
      <c r="U162" s="275" t="str">
        <f t="shared" si="2"/>
        <v/>
      </c>
      <c r="V162" s="300" t="s">
        <v>26915</v>
      </c>
      <c r="W162" s="295" t="s">
        <v>25597</v>
      </c>
      <c r="X162" s="289"/>
      <c r="Y162" s="289"/>
      <c r="Z162" s="289"/>
      <c r="AA162" s="289"/>
      <c r="AB162" s="289"/>
      <c r="AC162" s="289"/>
      <c r="AD162" s="289"/>
      <c r="AE162" s="289"/>
      <c r="AF162" s="289"/>
      <c r="AG162" s="289"/>
      <c r="AH162" s="289"/>
      <c r="AI162" s="289"/>
      <c r="AJ162" s="289"/>
      <c r="AK162" s="289"/>
      <c r="AL162" s="289"/>
      <c r="AM162" s="289"/>
      <c r="AN162" s="289"/>
      <c r="AO162" s="289"/>
      <c r="AP162" s="289"/>
      <c r="AQ162" s="289"/>
      <c r="AR162" s="289"/>
      <c r="AS162" s="289"/>
      <c r="AT162" s="289"/>
      <c r="AU162" s="289"/>
      <c r="AV162" s="289"/>
      <c r="AW162" s="289"/>
      <c r="AX162" s="289"/>
      <c r="AY162" s="289"/>
      <c r="AZ162" s="290"/>
      <c r="BA162" s="290"/>
      <c r="BB162" s="290"/>
      <c r="BC162" s="290"/>
      <c r="BD162" s="290"/>
      <c r="BE162" s="290"/>
      <c r="BF162" s="290"/>
      <c r="BG162" s="290"/>
      <c r="BH162" s="290"/>
      <c r="BI162" s="290"/>
      <c r="BJ162" s="289"/>
      <c r="BK162" s="290"/>
      <c r="BL162" s="290"/>
    </row>
    <row r="163" spans="1:64" ht="27" customHeight="1" x14ac:dyDescent="0.25">
      <c r="A163" s="310" t="s">
        <v>174</v>
      </c>
      <c r="B163" s="311" t="s">
        <v>17138</v>
      </c>
      <c r="C163" s="238" t="s">
        <v>507</v>
      </c>
      <c r="D163" s="239">
        <v>1</v>
      </c>
      <c r="E163" s="254">
        <v>0</v>
      </c>
      <c r="F163" s="258" t="s">
        <v>16764</v>
      </c>
      <c r="G163" s="241">
        <v>1</v>
      </c>
      <c r="H163" s="241">
        <v>0</v>
      </c>
      <c r="I163" s="240" t="s">
        <v>16765</v>
      </c>
      <c r="J163" s="241">
        <v>0</v>
      </c>
      <c r="K163" s="241">
        <v>0</v>
      </c>
      <c r="L163" s="241">
        <v>1</v>
      </c>
      <c r="M163" s="240" t="s">
        <v>16832</v>
      </c>
      <c r="N163" s="241">
        <v>1</v>
      </c>
      <c r="O163" s="241">
        <v>0</v>
      </c>
      <c r="P163" s="241">
        <v>0</v>
      </c>
      <c r="Q163" s="259" t="s">
        <v>717</v>
      </c>
      <c r="R163" s="242" t="s">
        <v>16756</v>
      </c>
      <c r="S163" s="244" t="s">
        <v>25858</v>
      </c>
      <c r="T163" s="275" t="s">
        <v>646</v>
      </c>
      <c r="U163" s="275" t="str">
        <f t="shared" si="2"/>
        <v/>
      </c>
      <c r="V163" s="300" t="s">
        <v>26916</v>
      </c>
      <c r="W163" s="295" t="s">
        <v>25859</v>
      </c>
      <c r="X163" s="289"/>
      <c r="Y163" s="289"/>
      <c r="Z163" s="289"/>
      <c r="AA163" s="289"/>
      <c r="AB163" s="289"/>
      <c r="AC163" s="289"/>
      <c r="AD163" s="289"/>
      <c r="AE163" s="289"/>
      <c r="AF163" s="289"/>
      <c r="AG163" s="289"/>
      <c r="AH163" s="289"/>
      <c r="AI163" s="289"/>
      <c r="AJ163" s="289"/>
      <c r="AK163" s="289"/>
      <c r="AL163" s="289"/>
      <c r="AM163" s="289"/>
      <c r="AN163" s="289"/>
      <c r="AO163" s="289"/>
      <c r="AP163" s="289"/>
      <c r="AQ163" s="289"/>
      <c r="AR163" s="289"/>
      <c r="AS163" s="289"/>
      <c r="AT163" s="289"/>
      <c r="AU163" s="289"/>
      <c r="AV163" s="289"/>
      <c r="AW163" s="289"/>
      <c r="AX163" s="289"/>
      <c r="AY163" s="289"/>
      <c r="AZ163" s="290"/>
      <c r="BA163" s="290"/>
      <c r="BB163" s="290"/>
      <c r="BC163" s="290"/>
      <c r="BD163" s="290"/>
      <c r="BE163" s="290"/>
      <c r="BF163" s="290"/>
      <c r="BG163" s="290"/>
      <c r="BH163" s="290"/>
      <c r="BI163" s="290"/>
      <c r="BJ163" s="289"/>
      <c r="BK163" s="290"/>
      <c r="BL163" s="290"/>
    </row>
    <row r="164" spans="1:64" ht="27" customHeight="1" x14ac:dyDescent="0.25">
      <c r="A164" s="310" t="s">
        <v>175</v>
      </c>
      <c r="B164" s="311" t="s">
        <v>17139</v>
      </c>
      <c r="C164" s="238" t="s">
        <v>508</v>
      </c>
      <c r="D164" s="239">
        <v>1</v>
      </c>
      <c r="E164" s="254">
        <v>0</v>
      </c>
      <c r="F164" s="258" t="s">
        <v>16764</v>
      </c>
      <c r="G164" s="241">
        <v>1</v>
      </c>
      <c r="H164" s="241">
        <v>0</v>
      </c>
      <c r="I164" s="240" t="s">
        <v>16765</v>
      </c>
      <c r="J164" s="241">
        <v>0</v>
      </c>
      <c r="K164" s="241">
        <v>0</v>
      </c>
      <c r="L164" s="241">
        <v>1</v>
      </c>
      <c r="M164" s="240" t="s">
        <v>16832</v>
      </c>
      <c r="N164" s="241">
        <v>1</v>
      </c>
      <c r="O164" s="241">
        <v>0</v>
      </c>
      <c r="P164" s="241">
        <v>0</v>
      </c>
      <c r="Q164" s="259" t="s">
        <v>717</v>
      </c>
      <c r="R164" s="242" t="s">
        <v>16756</v>
      </c>
      <c r="S164" s="244" t="s">
        <v>25668</v>
      </c>
      <c r="T164" s="275" t="s">
        <v>27216</v>
      </c>
      <c r="U164" s="275" t="str">
        <f t="shared" si="2"/>
        <v>Automated metrics It allows to define code complexity metrics. Semi-automated metrics It allows to measure the functional complexity, for example. Manual metrics It allows the frequency of use and the importance for the user.|| Next refer.:Tools and technology: quality metrics</v>
      </c>
      <c r="V164" s="300" t="s">
        <v>26917</v>
      </c>
      <c r="W164" s="295"/>
      <c r="X164" s="289"/>
      <c r="Y164" s="289"/>
      <c r="Z164" s="289"/>
      <c r="AA164" s="289"/>
      <c r="AB164" s="289"/>
      <c r="AC164" s="289"/>
      <c r="AD164" s="289"/>
      <c r="AE164" s="289"/>
      <c r="AF164" s="289"/>
      <c r="AG164" s="289" t="s">
        <v>25667</v>
      </c>
      <c r="AH164" s="289"/>
      <c r="AI164" s="289"/>
      <c r="AJ164" s="289"/>
      <c r="AK164" s="289"/>
      <c r="AL164" s="289"/>
      <c r="AM164" s="289"/>
      <c r="AN164" s="289"/>
      <c r="AO164" s="289"/>
      <c r="AP164" s="289"/>
      <c r="AQ164" s="289"/>
      <c r="AR164" s="289"/>
      <c r="AS164" s="289"/>
      <c r="AT164" s="289" t="s">
        <v>17140</v>
      </c>
      <c r="AU164" s="289"/>
      <c r="AV164" s="289"/>
      <c r="AW164" s="289"/>
      <c r="AX164" s="289"/>
      <c r="AY164" s="289"/>
      <c r="AZ164" s="290"/>
      <c r="BA164" s="290"/>
      <c r="BB164" s="290"/>
      <c r="BC164" s="290"/>
      <c r="BD164" s="290"/>
      <c r="BE164" s="290"/>
      <c r="BF164" s="290"/>
      <c r="BG164" s="290"/>
      <c r="BH164" s="290"/>
      <c r="BI164" s="290"/>
      <c r="BJ164" s="289"/>
      <c r="BK164" s="290"/>
      <c r="BL164" s="290"/>
    </row>
    <row r="165" spans="1:64" ht="27" customHeight="1" x14ac:dyDescent="0.25">
      <c r="A165" s="310" t="s">
        <v>176</v>
      </c>
      <c r="B165" s="311" t="s">
        <v>17141</v>
      </c>
      <c r="C165" s="238" t="s">
        <v>17141</v>
      </c>
      <c r="D165" s="239">
        <v>1</v>
      </c>
      <c r="E165" s="254">
        <v>0</v>
      </c>
      <c r="F165" s="258" t="s">
        <v>16764</v>
      </c>
      <c r="G165" s="241">
        <v>1</v>
      </c>
      <c r="H165" s="241">
        <v>0</v>
      </c>
      <c r="I165" s="240" t="s">
        <v>16765</v>
      </c>
      <c r="J165" s="241">
        <v>0</v>
      </c>
      <c r="K165" s="241">
        <v>0</v>
      </c>
      <c r="L165" s="241">
        <v>1</v>
      </c>
      <c r="M165" s="240" t="s">
        <v>16832</v>
      </c>
      <c r="N165" s="241">
        <v>1</v>
      </c>
      <c r="O165" s="241">
        <v>0</v>
      </c>
      <c r="P165" s="241">
        <v>0</v>
      </c>
      <c r="Q165" s="259" t="s">
        <v>717</v>
      </c>
      <c r="R165" s="242" t="s">
        <v>16756</v>
      </c>
      <c r="S165" s="244" t="s">
        <v>25860</v>
      </c>
      <c r="T165" s="275" t="s">
        <v>26918</v>
      </c>
      <c r="U165" s="275" t="str">
        <f t="shared" si="2"/>
        <v>Specific Integration Timing. The specific integration timing in the integration phase, or the synchronizing of the various parts, is one of the most challenging phases of software projects in the GSD environment.</v>
      </c>
      <c r="V165" s="300" t="s">
        <v>26918</v>
      </c>
      <c r="W165" s="295"/>
      <c r="X165" s="289"/>
      <c r="Y165" s="289"/>
      <c r="Z165" s="289"/>
      <c r="AA165" s="289"/>
      <c r="AB165" s="289"/>
      <c r="AC165" s="289"/>
      <c r="AD165" s="289"/>
      <c r="AE165" s="289"/>
      <c r="AF165" s="289"/>
      <c r="AG165" s="289"/>
      <c r="AH165" s="289"/>
      <c r="AI165" s="289"/>
      <c r="AJ165" s="289"/>
      <c r="AK165" s="289"/>
      <c r="AL165" s="289"/>
      <c r="AM165" s="289"/>
      <c r="AN165" s="289"/>
      <c r="AO165" s="289"/>
      <c r="AP165" s="289"/>
      <c r="AQ165" s="289"/>
      <c r="AR165" s="289"/>
      <c r="AS165" s="289"/>
      <c r="AT165" s="289"/>
      <c r="AU165" s="289"/>
      <c r="AV165" s="289"/>
      <c r="AW165" s="289"/>
      <c r="AX165" s="289"/>
      <c r="AY165" s="289"/>
      <c r="AZ165" s="290"/>
      <c r="BA165" s="290"/>
      <c r="BB165" s="290"/>
      <c r="BC165" s="290"/>
      <c r="BD165" s="290"/>
      <c r="BE165" s="290"/>
      <c r="BF165" s="290"/>
      <c r="BG165" s="289" t="s">
        <v>26918</v>
      </c>
      <c r="BH165" s="290"/>
      <c r="BI165" s="290"/>
      <c r="BJ165" s="289"/>
      <c r="BK165" s="290"/>
      <c r="BL165" s="290"/>
    </row>
    <row r="166" spans="1:64" ht="27" customHeight="1" x14ac:dyDescent="0.25">
      <c r="A166" s="310" t="s">
        <v>177</v>
      </c>
      <c r="B166" s="311" t="s">
        <v>510</v>
      </c>
      <c r="C166" s="238" t="s">
        <v>510</v>
      </c>
      <c r="D166" s="239">
        <v>1</v>
      </c>
      <c r="E166" s="254">
        <v>0</v>
      </c>
      <c r="F166" s="258" t="s">
        <v>16764</v>
      </c>
      <c r="G166" s="241">
        <v>1</v>
      </c>
      <c r="H166" s="241">
        <v>0</v>
      </c>
      <c r="I166" s="240" t="s">
        <v>16765</v>
      </c>
      <c r="J166" s="241">
        <v>0</v>
      </c>
      <c r="K166" s="241">
        <v>0</v>
      </c>
      <c r="L166" s="241">
        <v>1</v>
      </c>
      <c r="M166" s="240" t="s">
        <v>16832</v>
      </c>
      <c r="N166" s="241">
        <v>1</v>
      </c>
      <c r="O166" s="241">
        <v>0</v>
      </c>
      <c r="P166" s="241">
        <v>0</v>
      </c>
      <c r="Q166" s="259" t="s">
        <v>717</v>
      </c>
      <c r="R166" s="242" t="s">
        <v>16756</v>
      </c>
      <c r="S166" s="244" t="s">
        <v>25669</v>
      </c>
      <c r="T166" s="275" t="s">
        <v>646</v>
      </c>
      <c r="U166" s="275" t="str">
        <f t="shared" si="2"/>
        <v/>
      </c>
      <c r="V166" s="300" t="s">
        <v>26919</v>
      </c>
      <c r="W166" s="295" t="s">
        <v>25670</v>
      </c>
      <c r="X166" s="289"/>
      <c r="Y166" s="289"/>
      <c r="Z166" s="289"/>
      <c r="AA166" s="289"/>
      <c r="AB166" s="289"/>
      <c r="AC166" s="289"/>
      <c r="AD166" s="289"/>
      <c r="AE166" s="289"/>
      <c r="AF166" s="289"/>
      <c r="AG166" s="289"/>
      <c r="AH166" s="289"/>
      <c r="AI166" s="289"/>
      <c r="AJ166" s="289"/>
      <c r="AK166" s="289"/>
      <c r="AL166" s="289"/>
      <c r="AM166" s="289"/>
      <c r="AN166" s="289"/>
      <c r="AO166" s="289"/>
      <c r="AP166" s="289"/>
      <c r="AQ166" s="289"/>
      <c r="AR166" s="289"/>
      <c r="AS166" s="289"/>
      <c r="AT166" s="289"/>
      <c r="AU166" s="289"/>
      <c r="AV166" s="289"/>
      <c r="AW166" s="289"/>
      <c r="AX166" s="289"/>
      <c r="AY166" s="289"/>
      <c r="AZ166" s="290"/>
      <c r="BA166" s="290"/>
      <c r="BB166" s="290"/>
      <c r="BC166" s="290"/>
      <c r="BD166" s="290"/>
      <c r="BE166" s="290"/>
      <c r="BF166" s="290"/>
      <c r="BG166" s="290"/>
      <c r="BH166" s="290"/>
      <c r="BI166" s="290"/>
      <c r="BJ166" s="289"/>
      <c r="BK166" s="290"/>
      <c r="BL166" s="290"/>
    </row>
    <row r="167" spans="1:64" ht="27" customHeight="1" x14ac:dyDescent="0.25">
      <c r="A167" s="310" t="s">
        <v>178</v>
      </c>
      <c r="B167" s="311" t="s">
        <v>511</v>
      </c>
      <c r="C167" s="238" t="s">
        <v>511</v>
      </c>
      <c r="D167" s="239">
        <v>0</v>
      </c>
      <c r="E167" s="254">
        <v>1</v>
      </c>
      <c r="F167" s="258" t="s">
        <v>16753</v>
      </c>
      <c r="G167" s="241">
        <v>0</v>
      </c>
      <c r="H167" s="241">
        <v>1</v>
      </c>
      <c r="I167" s="240" t="s">
        <v>16755</v>
      </c>
      <c r="J167" s="241">
        <v>1</v>
      </c>
      <c r="K167" s="241">
        <v>0</v>
      </c>
      <c r="L167" s="241">
        <v>0</v>
      </c>
      <c r="M167" s="240" t="s">
        <v>16754</v>
      </c>
      <c r="N167" s="241">
        <v>0</v>
      </c>
      <c r="O167" s="241">
        <v>1</v>
      </c>
      <c r="P167" s="241">
        <v>0</v>
      </c>
      <c r="Q167" s="259" t="s">
        <v>16827</v>
      </c>
      <c r="R167" s="242" t="s">
        <v>16756</v>
      </c>
      <c r="S167" s="244" t="s">
        <v>25671</v>
      </c>
      <c r="T167" s="275" t="s">
        <v>646</v>
      </c>
      <c r="U167" s="275" t="str">
        <f t="shared" si="2"/>
        <v/>
      </c>
      <c r="V167" s="300" t="s">
        <v>26920</v>
      </c>
      <c r="W167" s="295" t="s">
        <v>25672</v>
      </c>
      <c r="X167" s="289"/>
      <c r="Y167" s="289"/>
      <c r="Z167" s="289"/>
      <c r="AA167" s="289"/>
      <c r="AB167" s="289"/>
      <c r="AC167" s="289"/>
      <c r="AD167" s="289"/>
      <c r="AE167" s="289"/>
      <c r="AF167" s="289"/>
      <c r="AG167" s="289"/>
      <c r="AH167" s="289"/>
      <c r="AI167" s="289"/>
      <c r="AJ167" s="289"/>
      <c r="AK167" s="289"/>
      <c r="AL167" s="289"/>
      <c r="AM167" s="289"/>
      <c r="AN167" s="289"/>
      <c r="AO167" s="289"/>
      <c r="AP167" s="289"/>
      <c r="AQ167" s="289"/>
      <c r="AR167" s="289"/>
      <c r="AS167" s="289"/>
      <c r="AT167" s="289"/>
      <c r="AU167" s="289"/>
      <c r="AV167" s="289"/>
      <c r="AW167" s="289"/>
      <c r="AX167" s="289"/>
      <c r="AY167" s="289"/>
      <c r="AZ167" s="290"/>
      <c r="BA167" s="290"/>
      <c r="BB167" s="290"/>
      <c r="BC167" s="290"/>
      <c r="BD167" s="290"/>
      <c r="BE167" s="290"/>
      <c r="BF167" s="290"/>
      <c r="BG167" s="290"/>
      <c r="BH167" s="290"/>
      <c r="BI167" s="290"/>
      <c r="BJ167" s="289"/>
      <c r="BK167" s="290"/>
      <c r="BL167" s="290"/>
    </row>
    <row r="168" spans="1:64" ht="27" customHeight="1" x14ac:dyDescent="0.25">
      <c r="A168" s="310" t="s">
        <v>179</v>
      </c>
      <c r="B168" s="311" t="s">
        <v>512</v>
      </c>
      <c r="C168" s="238" t="s">
        <v>512</v>
      </c>
      <c r="D168" s="239">
        <v>1</v>
      </c>
      <c r="E168" s="254">
        <v>0</v>
      </c>
      <c r="F168" s="258" t="s">
        <v>16764</v>
      </c>
      <c r="G168" s="241">
        <v>1</v>
      </c>
      <c r="H168" s="241">
        <v>0</v>
      </c>
      <c r="I168" s="240" t="s">
        <v>16765</v>
      </c>
      <c r="J168" s="241">
        <v>0</v>
      </c>
      <c r="K168" s="241">
        <v>0</v>
      </c>
      <c r="L168" s="241">
        <v>1</v>
      </c>
      <c r="M168" s="240" t="s">
        <v>16832</v>
      </c>
      <c r="N168" s="241">
        <v>0</v>
      </c>
      <c r="O168" s="241">
        <v>1</v>
      </c>
      <c r="P168" s="241">
        <v>0</v>
      </c>
      <c r="Q168" s="259" t="s">
        <v>16827</v>
      </c>
      <c r="R168" s="242" t="s">
        <v>16756</v>
      </c>
      <c r="S168" s="244" t="s">
        <v>25673</v>
      </c>
      <c r="T168" s="275" t="s">
        <v>646</v>
      </c>
      <c r="U168" s="275" t="str">
        <f t="shared" si="2"/>
        <v/>
      </c>
      <c r="V168" s="300" t="s">
        <v>26921</v>
      </c>
      <c r="W168" s="295" t="s">
        <v>25674</v>
      </c>
      <c r="X168" s="289"/>
      <c r="Y168" s="289"/>
      <c r="Z168" s="289"/>
      <c r="AA168" s="289"/>
      <c r="AB168" s="289"/>
      <c r="AC168" s="289"/>
      <c r="AD168" s="289"/>
      <c r="AE168" s="289"/>
      <c r="AF168" s="289"/>
      <c r="AG168" s="289"/>
      <c r="AH168" s="289"/>
      <c r="AI168" s="289"/>
      <c r="AJ168" s="289"/>
      <c r="AK168" s="289"/>
      <c r="AL168" s="289"/>
      <c r="AM168" s="289"/>
      <c r="AN168" s="289"/>
      <c r="AO168" s="289"/>
      <c r="AP168" s="289"/>
      <c r="AQ168" s="289"/>
      <c r="AR168" s="289"/>
      <c r="AS168" s="289"/>
      <c r="AT168" s="289"/>
      <c r="AU168" s="289"/>
      <c r="AV168" s="289"/>
      <c r="AW168" s="289"/>
      <c r="AX168" s="289"/>
      <c r="AY168" s="289"/>
      <c r="AZ168" s="290"/>
      <c r="BA168" s="290"/>
      <c r="BB168" s="290"/>
      <c r="BC168" s="290"/>
      <c r="BD168" s="290"/>
      <c r="BE168" s="290"/>
      <c r="BF168" s="290"/>
      <c r="BG168" s="290"/>
      <c r="BH168" s="290"/>
      <c r="BI168" s="290"/>
      <c r="BJ168" s="289"/>
      <c r="BK168" s="290"/>
      <c r="BL168" s="290"/>
    </row>
    <row r="169" spans="1:64" ht="27" customHeight="1" x14ac:dyDescent="0.25">
      <c r="A169" s="310" t="s">
        <v>180</v>
      </c>
      <c r="B169" s="311" t="s">
        <v>513</v>
      </c>
      <c r="C169" s="238" t="s">
        <v>513</v>
      </c>
      <c r="D169" s="239">
        <v>0</v>
      </c>
      <c r="E169" s="254">
        <v>1</v>
      </c>
      <c r="F169" s="258" t="s">
        <v>16753</v>
      </c>
      <c r="G169" s="241">
        <v>0</v>
      </c>
      <c r="H169" s="241">
        <v>1</v>
      </c>
      <c r="I169" s="240" t="s">
        <v>16755</v>
      </c>
      <c r="J169" s="241">
        <v>1</v>
      </c>
      <c r="K169" s="241">
        <v>0</v>
      </c>
      <c r="L169" s="241">
        <v>0</v>
      </c>
      <c r="M169" s="240" t="s">
        <v>16754</v>
      </c>
      <c r="N169" s="241">
        <v>0</v>
      </c>
      <c r="O169" s="241">
        <v>1</v>
      </c>
      <c r="P169" s="241">
        <v>0</v>
      </c>
      <c r="Q169" s="259" t="s">
        <v>16827</v>
      </c>
      <c r="R169" s="242" t="s">
        <v>16756</v>
      </c>
      <c r="S169" s="244" t="s">
        <v>26606</v>
      </c>
      <c r="T169" s="275" t="s">
        <v>646</v>
      </c>
      <c r="U169" s="275" t="str">
        <f t="shared" si="2"/>
        <v/>
      </c>
      <c r="V169" s="300" t="s">
        <v>26922</v>
      </c>
      <c r="W169" s="295" t="s">
        <v>26607</v>
      </c>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c r="AX169" s="289"/>
      <c r="AY169" s="289"/>
      <c r="AZ169" s="290"/>
      <c r="BA169" s="290"/>
      <c r="BB169" s="290"/>
      <c r="BC169" s="290"/>
      <c r="BD169" s="290"/>
      <c r="BE169" s="290"/>
      <c r="BF169" s="290"/>
      <c r="BG169" s="290"/>
      <c r="BH169" s="290"/>
      <c r="BI169" s="290"/>
      <c r="BJ169" s="289"/>
      <c r="BK169" s="290"/>
      <c r="BL169" s="290"/>
    </row>
    <row r="170" spans="1:64" ht="27" customHeight="1" x14ac:dyDescent="0.25">
      <c r="A170" s="310" t="s">
        <v>181</v>
      </c>
      <c r="B170" s="311" t="s">
        <v>514</v>
      </c>
      <c r="C170" s="238" t="s">
        <v>514</v>
      </c>
      <c r="D170" s="239">
        <v>1</v>
      </c>
      <c r="E170" s="254">
        <v>0</v>
      </c>
      <c r="F170" s="258" t="s">
        <v>16764</v>
      </c>
      <c r="G170" s="241">
        <v>1</v>
      </c>
      <c r="H170" s="241">
        <v>0</v>
      </c>
      <c r="I170" s="240" t="s">
        <v>16765</v>
      </c>
      <c r="J170" s="241">
        <v>0</v>
      </c>
      <c r="K170" s="241">
        <v>0</v>
      </c>
      <c r="L170" s="241">
        <v>1</v>
      </c>
      <c r="M170" s="240" t="s">
        <v>16832</v>
      </c>
      <c r="N170" s="241">
        <v>0</v>
      </c>
      <c r="O170" s="241">
        <v>1</v>
      </c>
      <c r="P170" s="241">
        <v>0</v>
      </c>
      <c r="Q170" s="259" t="s">
        <v>16827</v>
      </c>
      <c r="R170" s="242" t="s">
        <v>16756</v>
      </c>
      <c r="S170" s="244" t="s">
        <v>25675</v>
      </c>
      <c r="T170" s="275" t="s">
        <v>646</v>
      </c>
      <c r="U170" s="275" t="str">
        <f t="shared" si="2"/>
        <v/>
      </c>
      <c r="V170" s="300" t="s">
        <v>26923</v>
      </c>
      <c r="W170" s="295" t="s">
        <v>25676</v>
      </c>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90"/>
      <c r="BA170" s="290"/>
      <c r="BB170" s="290"/>
      <c r="BC170" s="290"/>
      <c r="BD170" s="290"/>
      <c r="BE170" s="290"/>
      <c r="BF170" s="290"/>
      <c r="BG170" s="290"/>
      <c r="BH170" s="290"/>
      <c r="BI170" s="290"/>
      <c r="BJ170" s="289"/>
      <c r="BK170" s="290"/>
      <c r="BL170" s="290"/>
    </row>
    <row r="171" spans="1:64" ht="27" customHeight="1" x14ac:dyDescent="0.25">
      <c r="A171" s="310" t="s">
        <v>182</v>
      </c>
      <c r="B171" s="311" t="s">
        <v>515</v>
      </c>
      <c r="C171" s="238" t="s">
        <v>515</v>
      </c>
      <c r="D171" s="239">
        <v>1</v>
      </c>
      <c r="E171" s="254">
        <v>0</v>
      </c>
      <c r="F171" s="258" t="s">
        <v>16764</v>
      </c>
      <c r="G171" s="241">
        <v>1</v>
      </c>
      <c r="H171" s="241">
        <v>0</v>
      </c>
      <c r="I171" s="240" t="s">
        <v>16765</v>
      </c>
      <c r="J171" s="241">
        <v>0</v>
      </c>
      <c r="K171" s="241">
        <v>0</v>
      </c>
      <c r="L171" s="241">
        <v>1</v>
      </c>
      <c r="M171" s="240" t="s">
        <v>16832</v>
      </c>
      <c r="N171" s="241">
        <v>0</v>
      </c>
      <c r="O171" s="241">
        <v>1</v>
      </c>
      <c r="P171" s="241">
        <v>0</v>
      </c>
      <c r="Q171" s="259" t="s">
        <v>16827</v>
      </c>
      <c r="R171" s="242" t="s">
        <v>16756</v>
      </c>
      <c r="S171" s="244" t="s">
        <v>25677</v>
      </c>
      <c r="T171" s="275" t="s">
        <v>646</v>
      </c>
      <c r="U171" s="275" t="str">
        <f t="shared" si="2"/>
        <v/>
      </c>
      <c r="V171" s="300" t="s">
        <v>26924</v>
      </c>
      <c r="W171" s="295" t="s">
        <v>25678</v>
      </c>
      <c r="X171" s="289"/>
      <c r="Y171" s="289"/>
      <c r="Z171" s="289"/>
      <c r="AA171" s="289"/>
      <c r="AB171" s="289"/>
      <c r="AC171" s="289"/>
      <c r="AD171" s="289"/>
      <c r="AE171" s="289"/>
      <c r="AF171" s="289"/>
      <c r="AG171" s="289"/>
      <c r="AH171" s="289"/>
      <c r="AI171" s="289"/>
      <c r="AJ171" s="289"/>
      <c r="AK171" s="289"/>
      <c r="AL171" s="289"/>
      <c r="AM171" s="289"/>
      <c r="AN171" s="289"/>
      <c r="AO171" s="289"/>
      <c r="AP171" s="289"/>
      <c r="AQ171" s="289"/>
      <c r="AR171" s="289"/>
      <c r="AS171" s="289"/>
      <c r="AT171" s="289"/>
      <c r="AU171" s="289"/>
      <c r="AV171" s="289"/>
      <c r="AW171" s="289"/>
      <c r="AX171" s="289"/>
      <c r="AY171" s="289"/>
      <c r="AZ171" s="290"/>
      <c r="BA171" s="290"/>
      <c r="BB171" s="290"/>
      <c r="BC171" s="290"/>
      <c r="BD171" s="290"/>
      <c r="BE171" s="290"/>
      <c r="BF171" s="290"/>
      <c r="BG171" s="290"/>
      <c r="BH171" s="290"/>
      <c r="BI171" s="290"/>
      <c r="BJ171" s="289"/>
      <c r="BK171" s="290"/>
      <c r="BL171" s="290"/>
    </row>
    <row r="172" spans="1:64" ht="27" customHeight="1" x14ac:dyDescent="0.25">
      <c r="A172" s="310" t="s">
        <v>183</v>
      </c>
      <c r="B172" s="311" t="s">
        <v>516</v>
      </c>
      <c r="C172" s="238" t="s">
        <v>516</v>
      </c>
      <c r="D172" s="239">
        <v>1</v>
      </c>
      <c r="E172" s="254">
        <v>0</v>
      </c>
      <c r="F172" s="258" t="s">
        <v>16764</v>
      </c>
      <c r="G172" s="241">
        <v>1</v>
      </c>
      <c r="H172" s="241">
        <v>0</v>
      </c>
      <c r="I172" s="240" t="s">
        <v>16765</v>
      </c>
      <c r="J172" s="241">
        <v>0</v>
      </c>
      <c r="K172" s="241">
        <v>0</v>
      </c>
      <c r="L172" s="241">
        <v>1</v>
      </c>
      <c r="M172" s="240" t="s">
        <v>16832</v>
      </c>
      <c r="N172" s="241">
        <v>0</v>
      </c>
      <c r="O172" s="241">
        <v>1</v>
      </c>
      <c r="P172" s="241">
        <v>0</v>
      </c>
      <c r="Q172" s="259" t="s">
        <v>16827</v>
      </c>
      <c r="R172" s="242" t="s">
        <v>16756</v>
      </c>
      <c r="S172" s="244" t="s">
        <v>26446</v>
      </c>
      <c r="T172" s="275" t="s">
        <v>646</v>
      </c>
      <c r="U172" s="275" t="str">
        <f t="shared" si="2"/>
        <v/>
      </c>
      <c r="V172" s="300" t="s">
        <v>26925</v>
      </c>
      <c r="W172" s="295" t="s">
        <v>26447</v>
      </c>
      <c r="X172" s="289"/>
      <c r="Y172" s="289"/>
      <c r="Z172" s="289"/>
      <c r="AA172" s="289"/>
      <c r="AB172" s="289"/>
      <c r="AC172" s="289"/>
      <c r="AD172" s="289"/>
      <c r="AE172" s="289"/>
      <c r="AF172" s="289"/>
      <c r="AG172" s="289"/>
      <c r="AH172" s="289"/>
      <c r="AI172" s="289"/>
      <c r="AJ172" s="289"/>
      <c r="AK172" s="289"/>
      <c r="AL172" s="289"/>
      <c r="AM172" s="289"/>
      <c r="AN172" s="289"/>
      <c r="AO172" s="289"/>
      <c r="AP172" s="289"/>
      <c r="AQ172" s="289"/>
      <c r="AR172" s="289"/>
      <c r="AS172" s="289"/>
      <c r="AT172" s="289"/>
      <c r="AU172" s="289"/>
      <c r="AV172" s="289"/>
      <c r="AW172" s="289"/>
      <c r="AX172" s="289"/>
      <c r="AY172" s="289"/>
      <c r="AZ172" s="290"/>
      <c r="BA172" s="290"/>
      <c r="BB172" s="290"/>
      <c r="BC172" s="290"/>
      <c r="BD172" s="290"/>
      <c r="BE172" s="290"/>
      <c r="BF172" s="290"/>
      <c r="BG172" s="290"/>
      <c r="BH172" s="290"/>
      <c r="BI172" s="290"/>
      <c r="BJ172" s="289"/>
      <c r="BK172" s="290"/>
      <c r="BL172" s="290"/>
    </row>
    <row r="173" spans="1:64" ht="27" customHeight="1" x14ac:dyDescent="0.25">
      <c r="A173" s="310" t="s">
        <v>184</v>
      </c>
      <c r="B173" s="311" t="s">
        <v>517</v>
      </c>
      <c r="C173" s="238" t="s">
        <v>517</v>
      </c>
      <c r="D173" s="239">
        <v>0</v>
      </c>
      <c r="E173" s="254">
        <v>1</v>
      </c>
      <c r="F173" s="258" t="s">
        <v>16753</v>
      </c>
      <c r="G173" s="241">
        <v>0</v>
      </c>
      <c r="H173" s="241">
        <v>1</v>
      </c>
      <c r="I173" s="240" t="s">
        <v>16755</v>
      </c>
      <c r="J173" s="241">
        <v>1</v>
      </c>
      <c r="K173" s="241">
        <v>0</v>
      </c>
      <c r="L173" s="241">
        <v>0</v>
      </c>
      <c r="M173" s="240" t="s">
        <v>16754</v>
      </c>
      <c r="N173" s="241">
        <v>0</v>
      </c>
      <c r="O173" s="241">
        <v>0</v>
      </c>
      <c r="P173" s="241">
        <v>1</v>
      </c>
      <c r="Q173" s="259" t="s">
        <v>16766</v>
      </c>
      <c r="R173" s="242" t="s">
        <v>16756</v>
      </c>
      <c r="S173" s="244" t="s">
        <v>26449</v>
      </c>
      <c r="T173" s="275" t="s">
        <v>646</v>
      </c>
      <c r="U173" s="275" t="str">
        <f t="shared" si="2"/>
        <v/>
      </c>
      <c r="V173" s="300" t="s">
        <v>26926</v>
      </c>
      <c r="W173" s="295" t="s">
        <v>26448</v>
      </c>
      <c r="X173" s="289"/>
      <c r="Y173" s="289"/>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c r="AX173" s="289"/>
      <c r="AY173" s="289"/>
      <c r="AZ173" s="290"/>
      <c r="BA173" s="290"/>
      <c r="BB173" s="290"/>
      <c r="BC173" s="290"/>
      <c r="BD173" s="290"/>
      <c r="BE173" s="290"/>
      <c r="BF173" s="290"/>
      <c r="BG173" s="290"/>
      <c r="BH173" s="290"/>
      <c r="BI173" s="290"/>
      <c r="BJ173" s="289"/>
      <c r="BK173" s="290"/>
      <c r="BL173" s="290"/>
    </row>
    <row r="174" spans="1:64" ht="27" customHeight="1" x14ac:dyDescent="0.25">
      <c r="A174" s="310" t="s">
        <v>185</v>
      </c>
      <c r="B174" s="311" t="s">
        <v>518</v>
      </c>
      <c r="C174" s="238" t="s">
        <v>518</v>
      </c>
      <c r="D174" s="239">
        <v>1</v>
      </c>
      <c r="E174" s="254">
        <v>0</v>
      </c>
      <c r="F174" s="258" t="s">
        <v>16764</v>
      </c>
      <c r="G174" s="241">
        <v>1</v>
      </c>
      <c r="H174" s="241">
        <v>0</v>
      </c>
      <c r="I174" s="240" t="s">
        <v>16765</v>
      </c>
      <c r="J174" s="241">
        <v>0</v>
      </c>
      <c r="K174" s="241">
        <v>0</v>
      </c>
      <c r="L174" s="241">
        <v>1</v>
      </c>
      <c r="M174" s="240" t="s">
        <v>16832</v>
      </c>
      <c r="N174" s="241">
        <v>0</v>
      </c>
      <c r="O174" s="241">
        <v>1</v>
      </c>
      <c r="P174" s="241">
        <v>0</v>
      </c>
      <c r="Q174" s="259" t="s">
        <v>16827</v>
      </c>
      <c r="R174" s="242" t="s">
        <v>16756</v>
      </c>
      <c r="S174" s="244" t="s">
        <v>26610</v>
      </c>
      <c r="T174" s="275" t="s">
        <v>27143</v>
      </c>
      <c r="U174" s="275" t="str">
        <f t="shared" si="2"/>
        <v>Hierarchical structure This cultural aspect refers to the 
infuence of the hierarchical structure of organisations in 
approving the requirements specifcations. The social and 
cultural hierarchy among the society’s members is refected 
in the hierarchy structure of organisations [63]. In high PDI 
cultures, organisations centralised the power and privilege 
on very few people [39]. According to Thanasankit [71], 
the hierarchical structure of Thai organisations signifcantly 
hampered the progress of a project because two committees 
within diferent privileges had to approve the requirements. 
So, if requirements were not approved by the two commit_x0002_tees, practitioners would not implement them.</v>
      </c>
      <c r="V174" s="300" t="s">
        <v>26927</v>
      </c>
      <c r="W174" s="295" t="s">
        <v>26609</v>
      </c>
      <c r="X174" s="289"/>
      <c r="Y174" s="289"/>
      <c r="Z174" s="289"/>
      <c r="AA174" s="289"/>
      <c r="AB174" s="289"/>
      <c r="AC174" s="289"/>
      <c r="AD174" s="289"/>
      <c r="AE174" s="289"/>
      <c r="AF174" s="289"/>
      <c r="AG174" s="289"/>
      <c r="AH174" s="289" t="s">
        <v>27143</v>
      </c>
      <c r="AI174" s="289"/>
      <c r="AJ174" s="289"/>
      <c r="AK174" s="289"/>
      <c r="AL174" s="289"/>
      <c r="AM174" s="289"/>
      <c r="AN174" s="289"/>
      <c r="AO174" s="289"/>
      <c r="AP174" s="289"/>
      <c r="AQ174" s="289"/>
      <c r="AR174" s="289"/>
      <c r="AS174" s="289"/>
      <c r="AT174" s="289"/>
      <c r="AU174" s="289"/>
      <c r="AV174" s="289"/>
      <c r="AW174" s="289"/>
      <c r="AX174" s="289"/>
      <c r="AY174" s="289"/>
      <c r="AZ174" s="290"/>
      <c r="BA174" s="290"/>
      <c r="BB174" s="290"/>
      <c r="BC174" s="290"/>
      <c r="BD174" s="290"/>
      <c r="BE174" s="290"/>
      <c r="BF174" s="290"/>
      <c r="BG174" s="290"/>
      <c r="BH174" s="290"/>
      <c r="BI174" s="290"/>
      <c r="BJ174" s="289"/>
      <c r="BK174" s="290"/>
      <c r="BL174" s="290"/>
    </row>
    <row r="175" spans="1:64" ht="27" customHeight="1" x14ac:dyDescent="0.25">
      <c r="A175" s="310" t="s">
        <v>186</v>
      </c>
      <c r="B175" s="311" t="s">
        <v>519</v>
      </c>
      <c r="C175" s="238" t="s">
        <v>519</v>
      </c>
      <c r="D175" s="239">
        <v>1</v>
      </c>
      <c r="E175" s="254">
        <v>0</v>
      </c>
      <c r="F175" s="258" t="s">
        <v>16764</v>
      </c>
      <c r="G175" s="241">
        <v>1</v>
      </c>
      <c r="H175" s="241">
        <v>0</v>
      </c>
      <c r="I175" s="240" t="s">
        <v>16765</v>
      </c>
      <c r="J175" s="241">
        <v>0</v>
      </c>
      <c r="K175" s="241">
        <v>0</v>
      </c>
      <c r="L175" s="241">
        <v>1</v>
      </c>
      <c r="M175" s="240" t="s">
        <v>16832</v>
      </c>
      <c r="N175" s="241">
        <v>0</v>
      </c>
      <c r="O175" s="241">
        <v>1</v>
      </c>
      <c r="P175" s="241">
        <v>0</v>
      </c>
      <c r="Q175" s="259" t="s">
        <v>16827</v>
      </c>
      <c r="R175" s="242" t="s">
        <v>16756</v>
      </c>
      <c r="S175" s="244" t="s">
        <v>25679</v>
      </c>
      <c r="T175" s="275" t="s">
        <v>646</v>
      </c>
      <c r="U175" s="275" t="str">
        <f t="shared" si="2"/>
        <v/>
      </c>
      <c r="V175" s="300" t="s">
        <v>26928</v>
      </c>
      <c r="W175" s="295" t="s">
        <v>25680</v>
      </c>
      <c r="X175" s="289"/>
      <c r="Y175" s="289"/>
      <c r="Z175" s="289"/>
      <c r="AA175" s="289"/>
      <c r="AB175" s="289"/>
      <c r="AC175" s="289"/>
      <c r="AD175" s="289"/>
      <c r="AE175" s="289"/>
      <c r="AF175" s="289"/>
      <c r="AG175" s="289"/>
      <c r="AH175" s="289"/>
      <c r="AI175" s="289"/>
      <c r="AJ175" s="289"/>
      <c r="AK175" s="289"/>
      <c r="AL175" s="289"/>
      <c r="AM175" s="289"/>
      <c r="AN175" s="289"/>
      <c r="AO175" s="289"/>
      <c r="AP175" s="289"/>
      <c r="AQ175" s="289"/>
      <c r="AR175" s="289"/>
      <c r="AS175" s="289"/>
      <c r="AT175" s="289"/>
      <c r="AU175" s="289"/>
      <c r="AV175" s="289"/>
      <c r="AW175" s="289"/>
      <c r="AX175" s="289"/>
      <c r="AY175" s="289"/>
      <c r="AZ175" s="290"/>
      <c r="BA175" s="290"/>
      <c r="BB175" s="290"/>
      <c r="BC175" s="290"/>
      <c r="BD175" s="290"/>
      <c r="BE175" s="290"/>
      <c r="BF175" s="290"/>
      <c r="BG175" s="290"/>
      <c r="BH175" s="290"/>
      <c r="BI175" s="290"/>
      <c r="BJ175" s="289"/>
      <c r="BK175" s="290"/>
      <c r="BL175" s="290"/>
    </row>
    <row r="176" spans="1:64" ht="27" customHeight="1" x14ac:dyDescent="0.25">
      <c r="A176" s="310" t="s">
        <v>187</v>
      </c>
      <c r="B176" s="311" t="s">
        <v>520</v>
      </c>
      <c r="C176" s="238" t="s">
        <v>520</v>
      </c>
      <c r="D176" s="239">
        <v>0</v>
      </c>
      <c r="E176" s="254">
        <v>1</v>
      </c>
      <c r="F176" s="258" t="s">
        <v>16753</v>
      </c>
      <c r="G176" s="241">
        <v>0</v>
      </c>
      <c r="H176" s="241">
        <v>1</v>
      </c>
      <c r="I176" s="240" t="s">
        <v>16755</v>
      </c>
      <c r="J176" s="241">
        <v>1</v>
      </c>
      <c r="K176" s="241">
        <v>0</v>
      </c>
      <c r="L176" s="241">
        <v>0</v>
      </c>
      <c r="M176" s="240" t="s">
        <v>16754</v>
      </c>
      <c r="N176" s="241">
        <v>0</v>
      </c>
      <c r="O176" s="241">
        <v>1</v>
      </c>
      <c r="P176" s="241">
        <v>0</v>
      </c>
      <c r="Q176" s="259" t="s">
        <v>16827</v>
      </c>
      <c r="R176" s="242" t="s">
        <v>16756</v>
      </c>
      <c r="S176" s="244" t="s">
        <v>25681</v>
      </c>
      <c r="T176" s="275" t="s">
        <v>26929</v>
      </c>
      <c r="U176" s="275" t="str">
        <f t="shared" si="2"/>
        <v>Inter-team culture (NCASN).  Inter-team culture is related to National Culture and Social Norms.</v>
      </c>
      <c r="V176" s="300" t="s">
        <v>26929</v>
      </c>
      <c r="W176" s="295"/>
      <c r="X176" s="289"/>
      <c r="Y176" s="289"/>
      <c r="Z176" s="289"/>
      <c r="AA176" s="289"/>
      <c r="AB176" s="289"/>
      <c r="AC176" s="289"/>
      <c r="AD176" s="289"/>
      <c r="AE176" s="289"/>
      <c r="AF176" s="289"/>
      <c r="AG176" s="289"/>
      <c r="AH176" s="289"/>
      <c r="AI176" s="289"/>
      <c r="AJ176" s="289"/>
      <c r="AK176" s="289"/>
      <c r="AL176" s="289"/>
      <c r="AM176" s="289"/>
      <c r="AN176" s="289"/>
      <c r="AO176" s="289"/>
      <c r="AP176" s="289"/>
      <c r="AQ176" s="289"/>
      <c r="AR176" s="289"/>
      <c r="AS176" s="289"/>
      <c r="AT176" s="289"/>
      <c r="AU176" s="289" t="s">
        <v>26929</v>
      </c>
      <c r="AV176" s="289"/>
      <c r="AW176" s="289"/>
      <c r="AX176" s="289"/>
      <c r="AY176" s="289"/>
      <c r="AZ176" s="290"/>
      <c r="BA176" s="290"/>
      <c r="BB176" s="290"/>
      <c r="BC176" s="290"/>
      <c r="BD176" s="290"/>
      <c r="BE176" s="290"/>
      <c r="BF176" s="290"/>
      <c r="BG176" s="290"/>
      <c r="BH176" s="290"/>
      <c r="BI176" s="290"/>
      <c r="BJ176" s="289"/>
      <c r="BK176" s="290"/>
      <c r="BL176" s="290"/>
    </row>
    <row r="177" spans="1:64" ht="27" customHeight="1" x14ac:dyDescent="0.25">
      <c r="A177" s="310" t="s">
        <v>188</v>
      </c>
      <c r="B177" s="311" t="s">
        <v>25684</v>
      </c>
      <c r="C177" s="238" t="s">
        <v>521</v>
      </c>
      <c r="D177" s="239">
        <v>1</v>
      </c>
      <c r="E177" s="254">
        <v>0</v>
      </c>
      <c r="F177" s="258" t="s">
        <v>16764</v>
      </c>
      <c r="G177" s="241">
        <v>1</v>
      </c>
      <c r="H177" s="241">
        <v>0</v>
      </c>
      <c r="I177" s="240" t="s">
        <v>16765</v>
      </c>
      <c r="J177" s="241">
        <v>0</v>
      </c>
      <c r="K177" s="241">
        <v>0</v>
      </c>
      <c r="L177" s="241">
        <v>1</v>
      </c>
      <c r="M177" s="240" t="s">
        <v>16832</v>
      </c>
      <c r="N177" s="241">
        <v>0</v>
      </c>
      <c r="O177" s="241">
        <v>1</v>
      </c>
      <c r="P177" s="241">
        <v>0</v>
      </c>
      <c r="Q177" s="259" t="s">
        <v>16827</v>
      </c>
      <c r="R177" s="242" t="s">
        <v>16756</v>
      </c>
      <c r="S177" s="244" t="s">
        <v>25682</v>
      </c>
      <c r="T177" s="275" t="s">
        <v>646</v>
      </c>
      <c r="U177" s="275" t="str">
        <f t="shared" si="2"/>
        <v/>
      </c>
      <c r="V177" s="300" t="s">
        <v>26930</v>
      </c>
      <c r="W177" s="295" t="s">
        <v>25683</v>
      </c>
      <c r="X177" s="289"/>
      <c r="Y177" s="289"/>
      <c r="Z177" s="289"/>
      <c r="AA177" s="289"/>
      <c r="AB177" s="289"/>
      <c r="AC177" s="289"/>
      <c r="AD177" s="289"/>
      <c r="AE177" s="289"/>
      <c r="AF177" s="289"/>
      <c r="AG177" s="289"/>
      <c r="AH177" s="289"/>
      <c r="AI177" s="289"/>
      <c r="AJ177" s="289"/>
      <c r="AK177" s="289"/>
      <c r="AL177" s="289"/>
      <c r="AM177" s="289"/>
      <c r="AN177" s="289"/>
      <c r="AO177" s="289"/>
      <c r="AP177" s="289"/>
      <c r="AQ177" s="289"/>
      <c r="AR177" s="289"/>
      <c r="AS177" s="289"/>
      <c r="AT177" s="289"/>
      <c r="AU177" s="289"/>
      <c r="AV177" s="289"/>
      <c r="AW177" s="289"/>
      <c r="AX177" s="289"/>
      <c r="AY177" s="289"/>
      <c r="AZ177" s="290"/>
      <c r="BA177" s="290"/>
      <c r="BB177" s="290"/>
      <c r="BC177" s="290"/>
      <c r="BD177" s="290"/>
      <c r="BE177" s="290"/>
      <c r="BF177" s="290"/>
      <c r="BG177" s="290"/>
      <c r="BH177" s="290"/>
      <c r="BI177" s="290"/>
      <c r="BJ177" s="289"/>
      <c r="BK177" s="290"/>
      <c r="BL177" s="290"/>
    </row>
    <row r="178" spans="1:64" ht="27" customHeight="1" x14ac:dyDescent="0.25">
      <c r="A178" s="310" t="s">
        <v>189</v>
      </c>
      <c r="B178" s="311" t="s">
        <v>25685</v>
      </c>
      <c r="C178" s="238" t="s">
        <v>522</v>
      </c>
      <c r="D178" s="239">
        <v>0</v>
      </c>
      <c r="E178" s="254">
        <v>1</v>
      </c>
      <c r="F178" s="258" t="s">
        <v>16753</v>
      </c>
      <c r="G178" s="241">
        <v>0</v>
      </c>
      <c r="H178" s="241">
        <v>1</v>
      </c>
      <c r="I178" s="240" t="s">
        <v>16755</v>
      </c>
      <c r="J178" s="241">
        <v>1</v>
      </c>
      <c r="K178" s="241">
        <v>0</v>
      </c>
      <c r="L178" s="241">
        <v>0</v>
      </c>
      <c r="M178" s="240" t="s">
        <v>16754</v>
      </c>
      <c r="N178" s="241">
        <v>1</v>
      </c>
      <c r="O178" s="241">
        <v>0</v>
      </c>
      <c r="P178" s="241">
        <v>0</v>
      </c>
      <c r="Q178" s="259" t="s">
        <v>717</v>
      </c>
      <c r="R178" s="242" t="s">
        <v>16756</v>
      </c>
      <c r="S178" s="244" t="s">
        <v>25686</v>
      </c>
      <c r="T178" s="275" t="s">
        <v>646</v>
      </c>
      <c r="U178" s="275" t="str">
        <f t="shared" si="2"/>
        <v/>
      </c>
      <c r="V178" s="300" t="s">
        <v>26931</v>
      </c>
      <c r="W178" s="295" t="s">
        <v>25687</v>
      </c>
      <c r="X178" s="289"/>
      <c r="Y178" s="289"/>
      <c r="Z178" s="289"/>
      <c r="AA178" s="289"/>
      <c r="AB178" s="289"/>
      <c r="AC178" s="289"/>
      <c r="AD178" s="289"/>
      <c r="AE178" s="289"/>
      <c r="AF178" s="289"/>
      <c r="AG178" s="289"/>
      <c r="AH178" s="289"/>
      <c r="AI178" s="289"/>
      <c r="AJ178" s="289"/>
      <c r="AK178" s="289"/>
      <c r="AL178" s="289"/>
      <c r="AM178" s="289"/>
      <c r="AN178" s="289"/>
      <c r="AO178" s="289"/>
      <c r="AP178" s="289"/>
      <c r="AQ178" s="289"/>
      <c r="AR178" s="289"/>
      <c r="AS178" s="289"/>
      <c r="AT178" s="289"/>
      <c r="AU178" s="289"/>
      <c r="AV178" s="289"/>
      <c r="AW178" s="289"/>
      <c r="AX178" s="289"/>
      <c r="AY178" s="289"/>
      <c r="AZ178" s="290"/>
      <c r="BA178" s="290"/>
      <c r="BB178" s="290"/>
      <c r="BC178" s="290"/>
      <c r="BD178" s="290"/>
      <c r="BE178" s="290"/>
      <c r="BF178" s="290"/>
      <c r="BG178" s="290"/>
      <c r="BH178" s="290"/>
      <c r="BI178" s="290"/>
      <c r="BJ178" s="289"/>
      <c r="BK178" s="290"/>
      <c r="BL178" s="290"/>
    </row>
    <row r="179" spans="1:64" ht="27" customHeight="1" x14ac:dyDescent="0.25">
      <c r="A179" s="310" t="s">
        <v>190</v>
      </c>
      <c r="B179" s="311" t="s">
        <v>523</v>
      </c>
      <c r="C179" s="238" t="s">
        <v>523</v>
      </c>
      <c r="D179" s="239">
        <v>0</v>
      </c>
      <c r="E179" s="254">
        <v>1</v>
      </c>
      <c r="F179" s="258" t="s">
        <v>16753</v>
      </c>
      <c r="G179" s="241">
        <v>0</v>
      </c>
      <c r="H179" s="241">
        <v>1</v>
      </c>
      <c r="I179" s="240" t="s">
        <v>16755</v>
      </c>
      <c r="J179" s="241">
        <v>1</v>
      </c>
      <c r="K179" s="241">
        <v>0</v>
      </c>
      <c r="L179" s="241">
        <v>0</v>
      </c>
      <c r="M179" s="240" t="s">
        <v>16754</v>
      </c>
      <c r="N179" s="241">
        <v>0</v>
      </c>
      <c r="O179" s="241">
        <v>0</v>
      </c>
      <c r="P179" s="241">
        <v>1</v>
      </c>
      <c r="Q179" s="259" t="s">
        <v>16766</v>
      </c>
      <c r="R179" s="242" t="s">
        <v>16756</v>
      </c>
      <c r="S179" s="244" t="s">
        <v>25688</v>
      </c>
      <c r="T179" s="275" t="s">
        <v>646</v>
      </c>
      <c r="U179" s="275" t="str">
        <f t="shared" si="2"/>
        <v/>
      </c>
      <c r="V179" s="300" t="s">
        <v>26932</v>
      </c>
      <c r="W179" s="295" t="s">
        <v>25689</v>
      </c>
      <c r="X179" s="289"/>
      <c r="Y179" s="289"/>
      <c r="Z179" s="289"/>
      <c r="AA179" s="289"/>
      <c r="AB179" s="289"/>
      <c r="AC179" s="289"/>
      <c r="AD179" s="289"/>
      <c r="AE179" s="289"/>
      <c r="AF179" s="289"/>
      <c r="AG179" s="289"/>
      <c r="AH179" s="289"/>
      <c r="AI179" s="289"/>
      <c r="AJ179" s="289"/>
      <c r="AK179" s="289"/>
      <c r="AL179" s="289"/>
      <c r="AM179" s="289"/>
      <c r="AN179" s="289"/>
      <c r="AO179" s="289"/>
      <c r="AP179" s="289"/>
      <c r="AQ179" s="289"/>
      <c r="AR179" s="289"/>
      <c r="AS179" s="289"/>
      <c r="AT179" s="289"/>
      <c r="AU179" s="289"/>
      <c r="AV179" s="289"/>
      <c r="AW179" s="289"/>
      <c r="AX179" s="289"/>
      <c r="AY179" s="289"/>
      <c r="AZ179" s="290"/>
      <c r="BA179" s="290"/>
      <c r="BB179" s="290"/>
      <c r="BC179" s="290"/>
      <c r="BD179" s="290"/>
      <c r="BE179" s="290"/>
      <c r="BF179" s="290"/>
      <c r="BG179" s="290"/>
      <c r="BH179" s="290"/>
      <c r="BI179" s="290"/>
      <c r="BJ179" s="289"/>
      <c r="BK179" s="290"/>
      <c r="BL179" s="290"/>
    </row>
    <row r="180" spans="1:64" ht="27" customHeight="1" x14ac:dyDescent="0.25">
      <c r="A180" s="310" t="s">
        <v>191</v>
      </c>
      <c r="B180" s="311" t="s">
        <v>524</v>
      </c>
      <c r="C180" s="238" t="s">
        <v>524</v>
      </c>
      <c r="D180" s="239">
        <v>0</v>
      </c>
      <c r="E180" s="254">
        <v>1</v>
      </c>
      <c r="F180" s="258" t="s">
        <v>16753</v>
      </c>
      <c r="G180" s="241">
        <v>0</v>
      </c>
      <c r="H180" s="241">
        <v>1</v>
      </c>
      <c r="I180" s="240" t="s">
        <v>16755</v>
      </c>
      <c r="J180" s="241">
        <v>1</v>
      </c>
      <c r="K180" s="241">
        <v>0</v>
      </c>
      <c r="L180" s="241">
        <v>0</v>
      </c>
      <c r="M180" s="240" t="s">
        <v>16754</v>
      </c>
      <c r="N180" s="241">
        <v>0</v>
      </c>
      <c r="O180" s="241">
        <v>0</v>
      </c>
      <c r="P180" s="241">
        <v>1</v>
      </c>
      <c r="Q180" s="259" t="s">
        <v>16766</v>
      </c>
      <c r="R180" s="242" t="s">
        <v>16756</v>
      </c>
      <c r="S180" s="244" t="s">
        <v>25531</v>
      </c>
      <c r="T180" s="275" t="s">
        <v>17390</v>
      </c>
      <c r="U180" s="275" t="str">
        <f t="shared" si="2"/>
        <v>Facilitating direct communication among the stakeholders.
Ensuring that stakeholders introduce themselves to one another right from the beginning of the project.</v>
      </c>
      <c r="V180" s="300" t="s">
        <v>26933</v>
      </c>
      <c r="W180" s="295"/>
      <c r="X180" s="289"/>
      <c r="Y180" s="289" t="s">
        <v>17390</v>
      </c>
      <c r="Z180" s="289"/>
      <c r="AA180" s="289"/>
      <c r="AB180" s="289"/>
      <c r="AC180" s="289"/>
      <c r="AD180" s="289"/>
      <c r="AE180" s="289"/>
      <c r="AF180" s="289"/>
      <c r="AG180" s="289"/>
      <c r="AH180" s="289"/>
      <c r="AI180" s="289"/>
      <c r="AJ180" s="289"/>
      <c r="AK180" s="289"/>
      <c r="AL180" s="289"/>
      <c r="AM180" s="289"/>
      <c r="AN180" s="289"/>
      <c r="AO180" s="289"/>
      <c r="AP180" s="289"/>
      <c r="AQ180" s="289"/>
      <c r="AR180" s="289"/>
      <c r="AS180" s="289"/>
      <c r="AT180" s="289"/>
      <c r="AU180" s="289"/>
      <c r="AV180" s="289"/>
      <c r="AW180" s="289"/>
      <c r="AX180" s="289"/>
      <c r="AY180" s="289"/>
      <c r="AZ180" s="290"/>
      <c r="BA180" s="290"/>
      <c r="BB180" s="290"/>
      <c r="BC180" s="290"/>
      <c r="BD180" s="290"/>
      <c r="BE180" s="290"/>
      <c r="BF180" s="290"/>
      <c r="BG180" s="290"/>
      <c r="BH180" s="290"/>
      <c r="BI180" s="290"/>
      <c r="BJ180" s="289"/>
      <c r="BK180" s="290"/>
      <c r="BL180" s="290"/>
    </row>
    <row r="181" spans="1:64" ht="27" customHeight="1" x14ac:dyDescent="0.25">
      <c r="A181" s="310" t="s">
        <v>192</v>
      </c>
      <c r="B181" s="311" t="s">
        <v>525</v>
      </c>
      <c r="C181" s="238" t="s">
        <v>25690</v>
      </c>
      <c r="D181" s="239">
        <v>0</v>
      </c>
      <c r="E181" s="254">
        <v>1</v>
      </c>
      <c r="F181" s="258" t="s">
        <v>16753</v>
      </c>
      <c r="G181" s="241">
        <v>0</v>
      </c>
      <c r="H181" s="241">
        <v>1</v>
      </c>
      <c r="I181" s="240" t="s">
        <v>16755</v>
      </c>
      <c r="J181" s="241">
        <v>1</v>
      </c>
      <c r="K181" s="241">
        <v>0</v>
      </c>
      <c r="L181" s="241">
        <v>0</v>
      </c>
      <c r="M181" s="240" t="s">
        <v>16754</v>
      </c>
      <c r="N181" s="241">
        <v>0</v>
      </c>
      <c r="O181" s="241">
        <v>0</v>
      </c>
      <c r="P181" s="241">
        <v>1</v>
      </c>
      <c r="Q181" s="259" t="s">
        <v>16766</v>
      </c>
      <c r="R181" s="242" t="s">
        <v>16756</v>
      </c>
      <c r="S181" s="244" t="s">
        <v>25691</v>
      </c>
      <c r="T181" s="275" t="s">
        <v>27217</v>
      </c>
      <c r="U181" s="275" t="str">
        <f t="shared" si="2"/>
        <v>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 Next refer.:Lack of customer's presence</v>
      </c>
      <c r="V181" s="300" t="s">
        <v>26934</v>
      </c>
      <c r="W181" s="295" t="s">
        <v>25692</v>
      </c>
      <c r="X181" s="289"/>
      <c r="Y181" s="289" t="s">
        <v>17391</v>
      </c>
      <c r="Z181" s="289" t="s">
        <v>27127</v>
      </c>
      <c r="AA181" s="289"/>
      <c r="AB181" s="289"/>
      <c r="AC181" s="289"/>
      <c r="AD181" s="289"/>
      <c r="AE181" s="289"/>
      <c r="AF181" s="289"/>
      <c r="AG181" s="289"/>
      <c r="AH181" s="289"/>
      <c r="AI181" s="289"/>
      <c r="AJ181" s="289"/>
      <c r="AK181" s="289"/>
      <c r="AL181" s="289"/>
      <c r="AM181" s="289"/>
      <c r="AN181" s="289"/>
      <c r="AO181" s="289"/>
      <c r="AP181" s="289"/>
      <c r="AQ181" s="289"/>
      <c r="AR181" s="289"/>
      <c r="AS181" s="289"/>
      <c r="AT181" s="289"/>
      <c r="AU181" s="289"/>
      <c r="AV181" s="289"/>
      <c r="AW181" s="289"/>
      <c r="AX181" s="289"/>
      <c r="AY181" s="289"/>
      <c r="AZ181" s="290"/>
      <c r="BA181" s="290"/>
      <c r="BB181" s="290"/>
      <c r="BC181" s="290"/>
      <c r="BD181" s="290"/>
      <c r="BE181" s="290"/>
      <c r="BF181" s="290"/>
      <c r="BG181" s="290"/>
      <c r="BH181" s="290"/>
      <c r="BI181" s="290"/>
      <c r="BJ181" s="289"/>
      <c r="BK181" s="290"/>
      <c r="BL181" s="290"/>
    </row>
    <row r="182" spans="1:64" ht="27" customHeight="1" x14ac:dyDescent="0.25">
      <c r="A182" s="310" t="s">
        <v>193</v>
      </c>
      <c r="B182" s="311" t="s">
        <v>526</v>
      </c>
      <c r="C182" s="238" t="s">
        <v>26456</v>
      </c>
      <c r="D182" s="239">
        <v>1</v>
      </c>
      <c r="E182" s="254">
        <v>0</v>
      </c>
      <c r="F182" s="258" t="s">
        <v>16764</v>
      </c>
      <c r="G182" s="241">
        <v>1</v>
      </c>
      <c r="H182" s="241">
        <v>0</v>
      </c>
      <c r="I182" s="240" t="s">
        <v>16765</v>
      </c>
      <c r="J182" s="241">
        <v>0</v>
      </c>
      <c r="K182" s="241">
        <v>0</v>
      </c>
      <c r="L182" s="241">
        <v>1</v>
      </c>
      <c r="M182" s="240" t="s">
        <v>16832</v>
      </c>
      <c r="N182" s="241">
        <v>0</v>
      </c>
      <c r="O182" s="241">
        <v>0</v>
      </c>
      <c r="P182" s="241">
        <v>1</v>
      </c>
      <c r="Q182" s="259" t="s">
        <v>16766</v>
      </c>
      <c r="R182" s="242" t="s">
        <v>16756</v>
      </c>
      <c r="S182" s="244" t="s">
        <v>25693</v>
      </c>
      <c r="T182" s="275" t="s">
        <v>17395</v>
      </c>
      <c r="U182" s="275" t="str">
        <f t="shared" si="2"/>
        <v>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v>
      </c>
      <c r="V182" s="300" t="s">
        <v>26935</v>
      </c>
      <c r="W182" s="295" t="s">
        <v>25694</v>
      </c>
      <c r="X182" s="289"/>
      <c r="Y182" s="289" t="s">
        <v>17395</v>
      </c>
      <c r="Z182" s="289"/>
      <c r="AA182" s="289"/>
      <c r="AB182" s="289"/>
      <c r="AC182" s="289"/>
      <c r="AD182" s="289"/>
      <c r="AE182" s="289"/>
      <c r="AF182" s="289"/>
      <c r="AG182" s="289"/>
      <c r="AH182" s="289"/>
      <c r="AI182" s="289"/>
      <c r="AJ182" s="289"/>
      <c r="AK182" s="289"/>
      <c r="AL182" s="289"/>
      <c r="AM182" s="289"/>
      <c r="AN182" s="289"/>
      <c r="AO182" s="289"/>
      <c r="AP182" s="289"/>
      <c r="AQ182" s="289"/>
      <c r="AR182" s="289"/>
      <c r="AS182" s="289"/>
      <c r="AT182" s="289"/>
      <c r="AU182" s="289"/>
      <c r="AV182" s="289"/>
      <c r="AW182" s="289"/>
      <c r="AX182" s="289"/>
      <c r="AY182" s="289"/>
      <c r="AZ182" s="290"/>
      <c r="BA182" s="290"/>
      <c r="BB182" s="290"/>
      <c r="BC182" s="290"/>
      <c r="BD182" s="290"/>
      <c r="BE182" s="290"/>
      <c r="BF182" s="290"/>
      <c r="BG182" s="290"/>
      <c r="BH182" s="290"/>
      <c r="BI182" s="290"/>
      <c r="BJ182" s="289"/>
      <c r="BK182" s="290"/>
      <c r="BL182" s="290"/>
    </row>
    <row r="183" spans="1:64" ht="27" customHeight="1" x14ac:dyDescent="0.25">
      <c r="A183" s="310" t="s">
        <v>194</v>
      </c>
      <c r="B183" s="311" t="s">
        <v>527</v>
      </c>
      <c r="C183" s="238" t="s">
        <v>25695</v>
      </c>
      <c r="D183" s="239">
        <v>0</v>
      </c>
      <c r="E183" s="254">
        <v>1</v>
      </c>
      <c r="F183" s="258" t="s">
        <v>16753</v>
      </c>
      <c r="G183" s="241">
        <v>0</v>
      </c>
      <c r="H183" s="241">
        <v>1</v>
      </c>
      <c r="I183" s="240" t="s">
        <v>16755</v>
      </c>
      <c r="J183" s="241">
        <v>0</v>
      </c>
      <c r="K183" s="241">
        <v>0</v>
      </c>
      <c r="L183" s="241">
        <v>1</v>
      </c>
      <c r="M183" s="240" t="s">
        <v>16832</v>
      </c>
      <c r="N183" s="241">
        <v>0</v>
      </c>
      <c r="O183" s="241">
        <v>0</v>
      </c>
      <c r="P183" s="241">
        <v>1</v>
      </c>
      <c r="Q183" s="259" t="s">
        <v>16766</v>
      </c>
      <c r="R183" s="242" t="s">
        <v>16756</v>
      </c>
      <c r="S183" s="244" t="s">
        <v>25696</v>
      </c>
      <c r="T183" s="275" t="s">
        <v>646</v>
      </c>
      <c r="U183" s="275" t="str">
        <f t="shared" si="2"/>
        <v/>
      </c>
      <c r="V183" s="300" t="s">
        <v>26936</v>
      </c>
      <c r="W183" s="295" t="s">
        <v>25697</v>
      </c>
      <c r="X183" s="289"/>
      <c r="Y183" s="289"/>
      <c r="Z183" s="289"/>
      <c r="AA183" s="289"/>
      <c r="AB183" s="289"/>
      <c r="AC183" s="289"/>
      <c r="AD183" s="289"/>
      <c r="AE183" s="289"/>
      <c r="AF183" s="289"/>
      <c r="AG183" s="289"/>
      <c r="AH183" s="289"/>
      <c r="AI183" s="289"/>
      <c r="AJ183" s="289"/>
      <c r="AK183" s="289"/>
      <c r="AL183" s="289"/>
      <c r="AM183" s="289"/>
      <c r="AN183" s="289"/>
      <c r="AO183" s="289"/>
      <c r="AP183" s="289"/>
      <c r="AQ183" s="289"/>
      <c r="AR183" s="289"/>
      <c r="AS183" s="289"/>
      <c r="AT183" s="289"/>
      <c r="AU183" s="289"/>
      <c r="AV183" s="289"/>
      <c r="AW183" s="289"/>
      <c r="AX183" s="289"/>
      <c r="AY183" s="289"/>
      <c r="AZ183" s="290"/>
      <c r="BA183" s="290"/>
      <c r="BB183" s="290"/>
      <c r="BC183" s="290"/>
      <c r="BD183" s="290"/>
      <c r="BE183" s="290"/>
      <c r="BF183" s="290"/>
      <c r="BG183" s="290"/>
      <c r="BH183" s="290"/>
      <c r="BI183" s="290"/>
      <c r="BJ183" s="289"/>
      <c r="BK183" s="290"/>
      <c r="BL183" s="290"/>
    </row>
    <row r="184" spans="1:64" ht="27" customHeight="1" x14ac:dyDescent="0.25">
      <c r="A184" s="310" t="s">
        <v>195</v>
      </c>
      <c r="B184" s="311" t="s">
        <v>528</v>
      </c>
      <c r="C184" s="238" t="s">
        <v>528</v>
      </c>
      <c r="D184" s="239">
        <v>1</v>
      </c>
      <c r="E184" s="254">
        <v>0</v>
      </c>
      <c r="F184" s="258" t="s">
        <v>16764</v>
      </c>
      <c r="G184" s="241">
        <v>1</v>
      </c>
      <c r="H184" s="241">
        <v>0</v>
      </c>
      <c r="I184" s="240" t="s">
        <v>16765</v>
      </c>
      <c r="J184" s="241">
        <v>0</v>
      </c>
      <c r="K184" s="241">
        <v>0</v>
      </c>
      <c r="L184" s="241">
        <v>1</v>
      </c>
      <c r="M184" s="240" t="s">
        <v>16832</v>
      </c>
      <c r="N184" s="241">
        <v>0</v>
      </c>
      <c r="O184" s="241">
        <v>0</v>
      </c>
      <c r="P184" s="241">
        <v>1</v>
      </c>
      <c r="Q184" s="259" t="s">
        <v>16766</v>
      </c>
      <c r="R184" s="242" t="s">
        <v>16756</v>
      </c>
      <c r="S184" s="244" t="s">
        <v>25698</v>
      </c>
      <c r="T184" s="275" t="s">
        <v>646</v>
      </c>
      <c r="U184" s="275" t="str">
        <f t="shared" si="2"/>
        <v/>
      </c>
      <c r="V184" s="300" t="s">
        <v>26937</v>
      </c>
      <c r="W184" s="295" t="s">
        <v>26457</v>
      </c>
      <c r="X184" s="289"/>
      <c r="Y184" s="289"/>
      <c r="Z184" s="289"/>
      <c r="AA184" s="289"/>
      <c r="AB184" s="289"/>
      <c r="AC184" s="289"/>
      <c r="AD184" s="289"/>
      <c r="AE184" s="289"/>
      <c r="AF184" s="289"/>
      <c r="AG184" s="289"/>
      <c r="AH184" s="289"/>
      <c r="AI184" s="289"/>
      <c r="AJ184" s="289"/>
      <c r="AK184" s="289"/>
      <c r="AL184" s="289"/>
      <c r="AM184" s="289"/>
      <c r="AN184" s="289"/>
      <c r="AO184" s="289"/>
      <c r="AP184" s="289"/>
      <c r="AQ184" s="289"/>
      <c r="AR184" s="289"/>
      <c r="AS184" s="289"/>
      <c r="AT184" s="289"/>
      <c r="AU184" s="289"/>
      <c r="AV184" s="289"/>
      <c r="AW184" s="289"/>
      <c r="AX184" s="289"/>
      <c r="AY184" s="289"/>
      <c r="AZ184" s="290"/>
      <c r="BA184" s="290"/>
      <c r="BB184" s="290"/>
      <c r="BC184" s="290"/>
      <c r="BD184" s="290"/>
      <c r="BE184" s="290"/>
      <c r="BF184" s="290"/>
      <c r="BG184" s="290"/>
      <c r="BH184" s="290"/>
      <c r="BI184" s="290"/>
      <c r="BJ184" s="289"/>
      <c r="BK184" s="290"/>
      <c r="BL184" s="290"/>
    </row>
    <row r="185" spans="1:64" ht="27" customHeight="1" x14ac:dyDescent="0.25">
      <c r="A185" s="310" t="s">
        <v>196</v>
      </c>
      <c r="B185" s="311" t="s">
        <v>529</v>
      </c>
      <c r="C185" s="238" t="s">
        <v>25699</v>
      </c>
      <c r="D185" s="239">
        <v>0</v>
      </c>
      <c r="E185" s="254">
        <v>1</v>
      </c>
      <c r="F185" s="258" t="s">
        <v>16753</v>
      </c>
      <c r="G185" s="241">
        <v>0</v>
      </c>
      <c r="H185" s="241">
        <v>1</v>
      </c>
      <c r="I185" s="240" t="s">
        <v>16755</v>
      </c>
      <c r="J185" s="241">
        <v>1</v>
      </c>
      <c r="K185" s="241">
        <v>0</v>
      </c>
      <c r="L185" s="241">
        <v>0</v>
      </c>
      <c r="M185" s="240" t="s">
        <v>16754</v>
      </c>
      <c r="N185" s="241">
        <v>0</v>
      </c>
      <c r="O185" s="241">
        <v>0</v>
      </c>
      <c r="P185" s="241">
        <v>1</v>
      </c>
      <c r="Q185" s="259" t="s">
        <v>16766</v>
      </c>
      <c r="R185" s="242" t="s">
        <v>16756</v>
      </c>
      <c r="S185" s="244" t="s">
        <v>26460</v>
      </c>
      <c r="T185" s="275" t="s">
        <v>646</v>
      </c>
      <c r="U185" s="275" t="str">
        <f t="shared" si="2"/>
        <v/>
      </c>
      <c r="V185" s="300" t="s">
        <v>26938</v>
      </c>
      <c r="W185" s="295" t="s">
        <v>26459</v>
      </c>
      <c r="X185" s="289"/>
      <c r="Y185" s="289"/>
      <c r="Z185" s="289"/>
      <c r="AA185" s="289"/>
      <c r="AB185" s="289"/>
      <c r="AC185" s="289"/>
      <c r="AD185" s="289"/>
      <c r="AE185" s="289"/>
      <c r="AF185" s="289"/>
      <c r="AG185" s="289"/>
      <c r="AH185" s="289"/>
      <c r="AI185" s="289"/>
      <c r="AJ185" s="289"/>
      <c r="AK185" s="289"/>
      <c r="AL185" s="289"/>
      <c r="AM185" s="289"/>
      <c r="AN185" s="289"/>
      <c r="AO185" s="289"/>
      <c r="AP185" s="289"/>
      <c r="AQ185" s="289"/>
      <c r="AR185" s="289"/>
      <c r="AS185" s="289"/>
      <c r="AT185" s="289"/>
      <c r="AU185" s="289"/>
      <c r="AV185" s="289"/>
      <c r="AW185" s="289"/>
      <c r="AX185" s="289"/>
      <c r="AY185" s="289"/>
      <c r="AZ185" s="290"/>
      <c r="BA185" s="290"/>
      <c r="BB185" s="290"/>
      <c r="BC185" s="290"/>
      <c r="BD185" s="290"/>
      <c r="BE185" s="290"/>
      <c r="BF185" s="290"/>
      <c r="BG185" s="290"/>
      <c r="BH185" s="290"/>
      <c r="BI185" s="290"/>
      <c r="BJ185" s="289"/>
      <c r="BK185" s="290"/>
      <c r="BL185" s="290"/>
    </row>
    <row r="186" spans="1:64" ht="27" customHeight="1" x14ac:dyDescent="0.25">
      <c r="A186" s="310" t="s">
        <v>197</v>
      </c>
      <c r="B186" s="311" t="s">
        <v>17142</v>
      </c>
      <c r="C186" s="238" t="s">
        <v>530</v>
      </c>
      <c r="D186" s="239">
        <v>0</v>
      </c>
      <c r="E186" s="254">
        <v>1</v>
      </c>
      <c r="F186" s="258" t="s">
        <v>16753</v>
      </c>
      <c r="G186" s="241">
        <v>0</v>
      </c>
      <c r="H186" s="241">
        <v>1</v>
      </c>
      <c r="I186" s="240" t="s">
        <v>16755</v>
      </c>
      <c r="J186" s="241">
        <v>1</v>
      </c>
      <c r="K186" s="241">
        <v>0</v>
      </c>
      <c r="L186" s="241">
        <v>0</v>
      </c>
      <c r="M186" s="240" t="s">
        <v>16754</v>
      </c>
      <c r="N186" s="241">
        <v>0</v>
      </c>
      <c r="O186" s="241">
        <v>0</v>
      </c>
      <c r="P186" s="241">
        <v>1</v>
      </c>
      <c r="Q186" s="259" t="s">
        <v>16766</v>
      </c>
      <c r="R186" s="242" t="s">
        <v>16756</v>
      </c>
      <c r="S186" s="244" t="s">
        <v>25700</v>
      </c>
      <c r="T186" s="275" t="s">
        <v>646</v>
      </c>
      <c r="U186" s="275" t="str">
        <f t="shared" si="2"/>
        <v/>
      </c>
      <c r="V186" s="300" t="s">
        <v>26939</v>
      </c>
      <c r="W186" s="295" t="s">
        <v>25701</v>
      </c>
      <c r="X186" s="289"/>
      <c r="Y186" s="289"/>
      <c r="Z186" s="289"/>
      <c r="AA186" s="289"/>
      <c r="AB186" s="289"/>
      <c r="AC186" s="289"/>
      <c r="AD186" s="289"/>
      <c r="AE186" s="289"/>
      <c r="AF186" s="289"/>
      <c r="AG186" s="289"/>
      <c r="AH186" s="289"/>
      <c r="AI186" s="289"/>
      <c r="AJ186" s="289"/>
      <c r="AK186" s="289"/>
      <c r="AL186" s="289"/>
      <c r="AM186" s="289"/>
      <c r="AN186" s="289"/>
      <c r="AO186" s="289"/>
      <c r="AP186" s="289"/>
      <c r="AQ186" s="289"/>
      <c r="AR186" s="289"/>
      <c r="AS186" s="289"/>
      <c r="AT186" s="289"/>
      <c r="AU186" s="289"/>
      <c r="AV186" s="289"/>
      <c r="AW186" s="289"/>
      <c r="AX186" s="289"/>
      <c r="AY186" s="289"/>
      <c r="AZ186" s="290"/>
      <c r="BA186" s="290"/>
      <c r="BB186" s="290"/>
      <c r="BC186" s="290"/>
      <c r="BD186" s="290"/>
      <c r="BE186" s="290"/>
      <c r="BF186" s="290"/>
      <c r="BG186" s="290"/>
      <c r="BH186" s="290"/>
      <c r="BI186" s="290"/>
      <c r="BJ186" s="289"/>
      <c r="BK186" s="290"/>
      <c r="BL186" s="290"/>
    </row>
    <row r="187" spans="1:64" ht="27" customHeight="1" x14ac:dyDescent="0.25">
      <c r="A187" s="310" t="s">
        <v>198</v>
      </c>
      <c r="B187" s="311" t="s">
        <v>17143</v>
      </c>
      <c r="C187" s="238" t="s">
        <v>531</v>
      </c>
      <c r="D187" s="239">
        <v>0</v>
      </c>
      <c r="E187" s="254">
        <v>1</v>
      </c>
      <c r="F187" s="258" t="s">
        <v>16753</v>
      </c>
      <c r="G187" s="241">
        <v>0</v>
      </c>
      <c r="H187" s="241">
        <v>1</v>
      </c>
      <c r="I187" s="240" t="s">
        <v>16755</v>
      </c>
      <c r="J187" s="241">
        <v>1</v>
      </c>
      <c r="K187" s="241">
        <v>0</v>
      </c>
      <c r="L187" s="241">
        <v>0</v>
      </c>
      <c r="M187" s="240" t="s">
        <v>16754</v>
      </c>
      <c r="N187" s="241">
        <v>0</v>
      </c>
      <c r="O187" s="241">
        <v>0</v>
      </c>
      <c r="P187" s="241">
        <v>1</v>
      </c>
      <c r="Q187" s="259" t="s">
        <v>16766</v>
      </c>
      <c r="R187" s="242" t="s">
        <v>16756</v>
      </c>
      <c r="S187" s="244" t="s">
        <v>25702</v>
      </c>
      <c r="T187" s="275" t="s">
        <v>646</v>
      </c>
      <c r="U187" s="275" t="str">
        <f t="shared" si="2"/>
        <v/>
      </c>
      <c r="V187" s="300" t="s">
        <v>26940</v>
      </c>
      <c r="W187" s="295" t="s">
        <v>25703</v>
      </c>
      <c r="X187" s="289"/>
      <c r="Y187" s="289"/>
      <c r="Z187" s="289"/>
      <c r="AA187" s="289"/>
      <c r="AB187" s="289"/>
      <c r="AC187" s="289"/>
      <c r="AD187" s="289"/>
      <c r="AE187" s="289"/>
      <c r="AF187" s="289"/>
      <c r="AG187" s="289"/>
      <c r="AH187" s="289"/>
      <c r="AI187" s="289"/>
      <c r="AJ187" s="289"/>
      <c r="AK187" s="289"/>
      <c r="AL187" s="289"/>
      <c r="AM187" s="289"/>
      <c r="AN187" s="289"/>
      <c r="AO187" s="289"/>
      <c r="AP187" s="289"/>
      <c r="AQ187" s="289"/>
      <c r="AR187" s="289"/>
      <c r="AS187" s="289"/>
      <c r="AT187" s="289"/>
      <c r="AU187" s="289"/>
      <c r="AV187" s="289"/>
      <c r="AW187" s="289"/>
      <c r="AX187" s="289"/>
      <c r="AY187" s="289"/>
      <c r="AZ187" s="290"/>
      <c r="BA187" s="290"/>
      <c r="BB187" s="290"/>
      <c r="BC187" s="290"/>
      <c r="BD187" s="290"/>
      <c r="BE187" s="290"/>
      <c r="BF187" s="290"/>
      <c r="BG187" s="290"/>
      <c r="BH187" s="290"/>
      <c r="BI187" s="290"/>
      <c r="BJ187" s="289"/>
      <c r="BK187" s="290"/>
      <c r="BL187" s="290"/>
    </row>
    <row r="188" spans="1:64" ht="27" customHeight="1" x14ac:dyDescent="0.25">
      <c r="A188" s="310" t="s">
        <v>199</v>
      </c>
      <c r="B188" s="311" t="s">
        <v>17144</v>
      </c>
      <c r="C188" s="238" t="s">
        <v>25705</v>
      </c>
      <c r="D188" s="239">
        <v>1</v>
      </c>
      <c r="E188" s="254">
        <v>0</v>
      </c>
      <c r="F188" s="258" t="s">
        <v>16764</v>
      </c>
      <c r="G188" s="241">
        <v>1</v>
      </c>
      <c r="H188" s="241">
        <v>0</v>
      </c>
      <c r="I188" s="240" t="s">
        <v>16765</v>
      </c>
      <c r="J188" s="241">
        <v>0</v>
      </c>
      <c r="K188" s="241">
        <v>0</v>
      </c>
      <c r="L188" s="241">
        <v>1</v>
      </c>
      <c r="M188" s="240" t="s">
        <v>16832</v>
      </c>
      <c r="N188" s="241">
        <v>1</v>
      </c>
      <c r="O188" s="241">
        <v>0</v>
      </c>
      <c r="P188" s="241">
        <v>0</v>
      </c>
      <c r="Q188" s="259" t="s">
        <v>717</v>
      </c>
      <c r="R188" s="242" t="s">
        <v>16756</v>
      </c>
      <c r="S188" s="244" t="s">
        <v>25704</v>
      </c>
      <c r="T188" s="275" t="s">
        <v>646</v>
      </c>
      <c r="U188" s="275" t="str">
        <f t="shared" si="2"/>
        <v/>
      </c>
      <c r="V188" s="300" t="s">
        <v>26941</v>
      </c>
      <c r="W188" s="295" t="s">
        <v>25706</v>
      </c>
      <c r="X188" s="289"/>
      <c r="Y188" s="289"/>
      <c r="Z188" s="289"/>
      <c r="AA188" s="289"/>
      <c r="AB188" s="289"/>
      <c r="AC188" s="289"/>
      <c r="AD188" s="289"/>
      <c r="AE188" s="289"/>
      <c r="AF188" s="289"/>
      <c r="AG188" s="289"/>
      <c r="AH188" s="289"/>
      <c r="AI188" s="289"/>
      <c r="AJ188" s="289"/>
      <c r="AK188" s="289"/>
      <c r="AL188" s="289"/>
      <c r="AM188" s="289"/>
      <c r="AN188" s="289"/>
      <c r="AO188" s="289"/>
      <c r="AP188" s="289"/>
      <c r="AQ188" s="289"/>
      <c r="AR188" s="289"/>
      <c r="AS188" s="289"/>
      <c r="AT188" s="289"/>
      <c r="AU188" s="289"/>
      <c r="AV188" s="289"/>
      <c r="AW188" s="289"/>
      <c r="AX188" s="289"/>
      <c r="AY188" s="289"/>
      <c r="AZ188" s="290"/>
      <c r="BA188" s="290"/>
      <c r="BB188" s="290"/>
      <c r="BC188" s="290"/>
      <c r="BD188" s="290"/>
      <c r="BE188" s="290"/>
      <c r="BF188" s="290"/>
      <c r="BG188" s="290"/>
      <c r="BH188" s="290"/>
      <c r="BI188" s="290"/>
      <c r="BJ188" s="289"/>
      <c r="BK188" s="290"/>
      <c r="BL188" s="290"/>
    </row>
    <row r="189" spans="1:64" ht="27" customHeight="1" x14ac:dyDescent="0.25">
      <c r="A189" s="310" t="s">
        <v>200</v>
      </c>
      <c r="B189" s="311" t="s">
        <v>533</v>
      </c>
      <c r="C189" s="238" t="s">
        <v>533</v>
      </c>
      <c r="D189" s="239">
        <v>1</v>
      </c>
      <c r="E189" s="254">
        <v>0</v>
      </c>
      <c r="F189" s="258" t="s">
        <v>16764</v>
      </c>
      <c r="G189" s="241">
        <v>1</v>
      </c>
      <c r="H189" s="241">
        <v>0</v>
      </c>
      <c r="I189" s="240" t="s">
        <v>16765</v>
      </c>
      <c r="J189" s="241">
        <v>0</v>
      </c>
      <c r="K189" s="241">
        <v>0</v>
      </c>
      <c r="L189" s="241">
        <v>1</v>
      </c>
      <c r="M189" s="240" t="s">
        <v>16832</v>
      </c>
      <c r="N189" s="241">
        <v>1</v>
      </c>
      <c r="O189" s="241">
        <v>0</v>
      </c>
      <c r="P189" s="241">
        <v>0</v>
      </c>
      <c r="Q189" s="259" t="s">
        <v>717</v>
      </c>
      <c r="R189" s="242" t="s">
        <v>16756</v>
      </c>
      <c r="S189" s="244" t="s">
        <v>25707</v>
      </c>
      <c r="T189" s="275" t="s">
        <v>646</v>
      </c>
      <c r="U189" s="275" t="str">
        <f t="shared" si="2"/>
        <v/>
      </c>
      <c r="V189" s="300" t="s">
        <v>26942</v>
      </c>
      <c r="W189" s="295" t="s">
        <v>25708</v>
      </c>
      <c r="X189" s="289"/>
      <c r="Y189" s="289"/>
      <c r="Z189" s="289"/>
      <c r="AA189" s="289"/>
      <c r="AB189" s="289"/>
      <c r="AC189" s="289"/>
      <c r="AD189" s="289"/>
      <c r="AE189" s="289"/>
      <c r="AF189" s="289"/>
      <c r="AG189" s="289"/>
      <c r="AH189" s="289"/>
      <c r="AI189" s="289"/>
      <c r="AJ189" s="289"/>
      <c r="AK189" s="289"/>
      <c r="AL189" s="289"/>
      <c r="AM189" s="289"/>
      <c r="AN189" s="289"/>
      <c r="AO189" s="289"/>
      <c r="AP189" s="289"/>
      <c r="AQ189" s="289"/>
      <c r="AR189" s="289"/>
      <c r="AS189" s="289"/>
      <c r="AT189" s="289"/>
      <c r="AU189" s="289"/>
      <c r="AV189" s="289"/>
      <c r="AW189" s="289"/>
      <c r="AX189" s="289"/>
      <c r="AY189" s="289"/>
      <c r="AZ189" s="290"/>
      <c r="BA189" s="290"/>
      <c r="BB189" s="290"/>
      <c r="BC189" s="290"/>
      <c r="BD189" s="290"/>
      <c r="BE189" s="290"/>
      <c r="BF189" s="290"/>
      <c r="BG189" s="290"/>
      <c r="BH189" s="290"/>
      <c r="BI189" s="290"/>
      <c r="BJ189" s="289"/>
      <c r="BK189" s="290"/>
      <c r="BL189" s="290"/>
    </row>
    <row r="190" spans="1:64" ht="27" customHeight="1" x14ac:dyDescent="0.25">
      <c r="A190" s="310" t="s">
        <v>201</v>
      </c>
      <c r="B190" s="311" t="s">
        <v>17145</v>
      </c>
      <c r="C190" s="238" t="s">
        <v>534</v>
      </c>
      <c r="D190" s="239">
        <v>1</v>
      </c>
      <c r="E190" s="254">
        <v>0</v>
      </c>
      <c r="F190" s="258" t="s">
        <v>16764</v>
      </c>
      <c r="G190" s="241">
        <v>1</v>
      </c>
      <c r="H190" s="241">
        <v>0</v>
      </c>
      <c r="I190" s="240" t="s">
        <v>16765</v>
      </c>
      <c r="J190" s="241">
        <v>0</v>
      </c>
      <c r="K190" s="241">
        <v>0</v>
      </c>
      <c r="L190" s="241">
        <v>1</v>
      </c>
      <c r="M190" s="240" t="s">
        <v>16832</v>
      </c>
      <c r="N190" s="241">
        <v>1</v>
      </c>
      <c r="O190" s="241">
        <v>0</v>
      </c>
      <c r="P190" s="241">
        <v>0</v>
      </c>
      <c r="Q190" s="259" t="s">
        <v>717</v>
      </c>
      <c r="R190" s="242" t="s">
        <v>16756</v>
      </c>
      <c r="S190" s="244" t="s">
        <v>25709</v>
      </c>
      <c r="T190" s="275" t="s">
        <v>646</v>
      </c>
      <c r="U190" s="275" t="str">
        <f t="shared" si="2"/>
        <v/>
      </c>
      <c r="V190" s="300" t="s">
        <v>26943</v>
      </c>
      <c r="W190" s="295" t="s">
        <v>25710</v>
      </c>
      <c r="X190" s="289"/>
      <c r="Y190" s="289"/>
      <c r="Z190" s="289"/>
      <c r="AA190" s="289"/>
      <c r="AB190" s="289"/>
      <c r="AC190" s="289"/>
      <c r="AD190" s="289"/>
      <c r="AE190" s="289"/>
      <c r="AF190" s="289"/>
      <c r="AG190" s="289"/>
      <c r="AH190" s="289"/>
      <c r="AI190" s="289"/>
      <c r="AJ190" s="289"/>
      <c r="AK190" s="289"/>
      <c r="AL190" s="289"/>
      <c r="AM190" s="289"/>
      <c r="AN190" s="289"/>
      <c r="AO190" s="289"/>
      <c r="AP190" s="289"/>
      <c r="AQ190" s="289"/>
      <c r="AR190" s="289"/>
      <c r="AS190" s="289"/>
      <c r="AT190" s="289"/>
      <c r="AU190" s="289"/>
      <c r="AV190" s="289"/>
      <c r="AW190" s="289"/>
      <c r="AX190" s="289"/>
      <c r="AY190" s="289"/>
      <c r="AZ190" s="290"/>
      <c r="BA190" s="290"/>
      <c r="BB190" s="290"/>
      <c r="BC190" s="290"/>
      <c r="BD190" s="290"/>
      <c r="BE190" s="290"/>
      <c r="BF190" s="290"/>
      <c r="BG190" s="290"/>
      <c r="BH190" s="290"/>
      <c r="BI190" s="290"/>
      <c r="BJ190" s="289"/>
      <c r="BK190" s="290"/>
      <c r="BL190" s="290"/>
    </row>
    <row r="191" spans="1:64" ht="27" customHeight="1" x14ac:dyDescent="0.25">
      <c r="A191" s="310" t="s">
        <v>202</v>
      </c>
      <c r="B191" s="311" t="s">
        <v>535</v>
      </c>
      <c r="C191" s="238" t="s">
        <v>535</v>
      </c>
      <c r="D191" s="239">
        <v>0</v>
      </c>
      <c r="E191" s="254">
        <v>1</v>
      </c>
      <c r="F191" s="258" t="s">
        <v>16753</v>
      </c>
      <c r="G191" s="241">
        <v>0</v>
      </c>
      <c r="H191" s="241">
        <v>1</v>
      </c>
      <c r="I191" s="240" t="s">
        <v>16755</v>
      </c>
      <c r="J191" s="241">
        <v>0</v>
      </c>
      <c r="K191" s="241">
        <v>0</v>
      </c>
      <c r="L191" s="241">
        <v>1</v>
      </c>
      <c r="M191" s="240" t="s">
        <v>16832</v>
      </c>
      <c r="N191" s="241">
        <v>0</v>
      </c>
      <c r="O191" s="241">
        <v>1</v>
      </c>
      <c r="P191" s="241">
        <v>0</v>
      </c>
      <c r="Q191" s="259" t="s">
        <v>16827</v>
      </c>
      <c r="R191" s="242" t="s">
        <v>16756</v>
      </c>
      <c r="S191" s="244" t="s">
        <v>17146</v>
      </c>
      <c r="T191" s="275" t="s">
        <v>27218</v>
      </c>
      <c r="U191" s="275" t="str">
        <f t="shared" si="2"/>
        <v>Internal project communication|| Next refer.:Intrainformation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v>
      </c>
      <c r="V191" s="300" t="s">
        <v>26944</v>
      </c>
      <c r="W191" s="295"/>
      <c r="X191" s="289"/>
      <c r="Y191" s="289"/>
      <c r="Z191" s="289"/>
      <c r="AA191" s="289"/>
      <c r="AB191" s="289"/>
      <c r="AC191" s="289"/>
      <c r="AD191" s="289"/>
      <c r="AE191" s="289"/>
      <c r="AF191" s="289"/>
      <c r="AG191" s="289"/>
      <c r="AH191" s="289"/>
      <c r="AI191" s="289"/>
      <c r="AJ191" s="289"/>
      <c r="AK191" s="289"/>
      <c r="AL191" s="289" t="s">
        <v>17147</v>
      </c>
      <c r="AM191" s="289"/>
      <c r="AN191" s="289"/>
      <c r="AO191" s="289"/>
      <c r="AP191" s="289"/>
      <c r="AQ191" s="289"/>
      <c r="AR191" s="289"/>
      <c r="AS191" s="289" t="s">
        <v>27128</v>
      </c>
      <c r="AT191" s="289"/>
      <c r="AU191" s="289"/>
      <c r="AV191" s="289"/>
      <c r="AW191" s="289"/>
      <c r="AX191" s="289"/>
      <c r="AY191" s="289"/>
      <c r="AZ191" s="290"/>
      <c r="BA191" s="290"/>
      <c r="BB191" s="290"/>
      <c r="BC191" s="290"/>
      <c r="BD191" s="290"/>
      <c r="BE191" s="290"/>
      <c r="BF191" s="290"/>
      <c r="BG191" s="290"/>
      <c r="BH191" s="290"/>
      <c r="BI191" s="290"/>
      <c r="BJ191" s="289"/>
      <c r="BK191" s="290"/>
      <c r="BL191" s="290"/>
    </row>
    <row r="192" spans="1:64" ht="27" customHeight="1" x14ac:dyDescent="0.25">
      <c r="A192" s="310" t="s">
        <v>203</v>
      </c>
      <c r="B192" s="311" t="s">
        <v>536</v>
      </c>
      <c r="C192" s="238" t="s">
        <v>536</v>
      </c>
      <c r="D192" s="239">
        <v>0</v>
      </c>
      <c r="E192" s="254">
        <v>1</v>
      </c>
      <c r="F192" s="258" t="s">
        <v>16753</v>
      </c>
      <c r="G192" s="241">
        <v>0</v>
      </c>
      <c r="H192" s="241">
        <v>1</v>
      </c>
      <c r="I192" s="240" t="s">
        <v>16755</v>
      </c>
      <c r="J192" s="241">
        <v>0</v>
      </c>
      <c r="K192" s="241">
        <v>0</v>
      </c>
      <c r="L192" s="241">
        <v>1</v>
      </c>
      <c r="M192" s="240" t="s">
        <v>16832</v>
      </c>
      <c r="N192" s="241">
        <v>0</v>
      </c>
      <c r="O192" s="241">
        <v>0</v>
      </c>
      <c r="P192" s="241">
        <v>1</v>
      </c>
      <c r="Q192" s="259" t="s">
        <v>16766</v>
      </c>
      <c r="R192" s="242" t="s">
        <v>16756</v>
      </c>
      <c r="S192" s="244" t="s">
        <v>17148</v>
      </c>
      <c r="T192" s="275" t="s">
        <v>27128</v>
      </c>
      <c r="U192" s="275" t="str">
        <f t="shared" si="2"/>
        <v>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v>
      </c>
      <c r="V192" s="300" t="s">
        <v>26945</v>
      </c>
      <c r="W192" s="295"/>
      <c r="X192" s="289"/>
      <c r="Y192" s="289"/>
      <c r="Z192" s="289"/>
      <c r="AA192" s="289"/>
      <c r="AB192" s="289"/>
      <c r="AC192" s="289"/>
      <c r="AD192" s="289"/>
      <c r="AE192" s="289"/>
      <c r="AF192" s="289"/>
      <c r="AG192" s="289"/>
      <c r="AH192" s="289"/>
      <c r="AI192" s="289"/>
      <c r="AJ192" s="289"/>
      <c r="AK192" s="289"/>
      <c r="AL192" s="289"/>
      <c r="AM192" s="289"/>
      <c r="AN192" s="289"/>
      <c r="AO192" s="289"/>
      <c r="AP192" s="289"/>
      <c r="AQ192" s="289"/>
      <c r="AR192" s="289"/>
      <c r="AS192" s="289" t="s">
        <v>27128</v>
      </c>
      <c r="AT192" s="289"/>
      <c r="AU192" s="289"/>
      <c r="AV192" s="289"/>
      <c r="AW192" s="289"/>
      <c r="AX192" s="289"/>
      <c r="AY192" s="289"/>
      <c r="AZ192" s="290"/>
      <c r="BA192" s="290"/>
      <c r="BB192" s="290"/>
      <c r="BC192" s="290"/>
      <c r="BD192" s="290"/>
      <c r="BE192" s="290"/>
      <c r="BF192" s="290"/>
      <c r="BG192" s="290"/>
      <c r="BH192" s="290"/>
      <c r="BI192" s="290"/>
      <c r="BJ192" s="289"/>
      <c r="BK192" s="290"/>
      <c r="BL192" s="290"/>
    </row>
    <row r="193" spans="1:64" ht="27" customHeight="1" x14ac:dyDescent="0.25">
      <c r="A193" s="310" t="s">
        <v>204</v>
      </c>
      <c r="B193" s="311" t="s">
        <v>17149</v>
      </c>
      <c r="C193" s="238" t="s">
        <v>17149</v>
      </c>
      <c r="D193" s="239">
        <v>1</v>
      </c>
      <c r="E193" s="254">
        <v>0</v>
      </c>
      <c r="F193" s="258" t="s">
        <v>16764</v>
      </c>
      <c r="G193" s="241">
        <v>1</v>
      </c>
      <c r="H193" s="241">
        <v>0</v>
      </c>
      <c r="I193" s="240" t="s">
        <v>16765</v>
      </c>
      <c r="J193" s="241">
        <v>0</v>
      </c>
      <c r="K193" s="241">
        <v>0</v>
      </c>
      <c r="L193" s="241">
        <v>1</v>
      </c>
      <c r="M193" s="240" t="s">
        <v>16832</v>
      </c>
      <c r="N193" s="241">
        <v>1</v>
      </c>
      <c r="O193" s="241">
        <v>0</v>
      </c>
      <c r="P193" s="241">
        <v>0</v>
      </c>
      <c r="Q193" s="259" t="s">
        <v>717</v>
      </c>
      <c r="R193" s="242" t="s">
        <v>16756</v>
      </c>
      <c r="S193" s="244" t="s">
        <v>17150</v>
      </c>
      <c r="T193" s="275" t="s">
        <v>17151</v>
      </c>
      <c r="U193" s="275" t="str">
        <f t="shared" si="2"/>
        <v>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v>
      </c>
      <c r="V193" s="300" t="s">
        <v>26946</v>
      </c>
      <c r="W193" s="295"/>
      <c r="X193" s="289"/>
      <c r="Y193" s="289"/>
      <c r="Z193" s="289"/>
      <c r="AA193" s="289"/>
      <c r="AB193" s="289"/>
      <c r="AC193" s="289"/>
      <c r="AD193" s="289"/>
      <c r="AE193" s="289"/>
      <c r="AF193" s="289"/>
      <c r="AG193" s="289"/>
      <c r="AH193" s="289"/>
      <c r="AI193" s="289"/>
      <c r="AJ193" s="289"/>
      <c r="AK193" s="289"/>
      <c r="AL193" s="289"/>
      <c r="AM193" s="289"/>
      <c r="AN193" s="289"/>
      <c r="AO193" s="289"/>
      <c r="AP193" s="289" t="s">
        <v>17151</v>
      </c>
      <c r="AQ193" s="289"/>
      <c r="AR193" s="289"/>
      <c r="AS193" s="289"/>
      <c r="AT193" s="289"/>
      <c r="AU193" s="289"/>
      <c r="AV193" s="289"/>
      <c r="AW193" s="289"/>
      <c r="AX193" s="289"/>
      <c r="AY193" s="289"/>
      <c r="AZ193" s="290"/>
      <c r="BA193" s="290"/>
      <c r="BB193" s="290"/>
      <c r="BC193" s="290"/>
      <c r="BD193" s="290"/>
      <c r="BE193" s="290"/>
      <c r="BF193" s="290"/>
      <c r="BG193" s="290"/>
      <c r="BH193" s="290"/>
      <c r="BI193" s="290"/>
      <c r="BJ193" s="289"/>
      <c r="BK193" s="290"/>
      <c r="BL193" s="290"/>
    </row>
    <row r="194" spans="1:64" ht="27" customHeight="1" x14ac:dyDescent="0.25">
      <c r="A194" s="310" t="s">
        <v>205</v>
      </c>
      <c r="B194" s="311" t="s">
        <v>17152</v>
      </c>
      <c r="C194" s="238" t="s">
        <v>25711</v>
      </c>
      <c r="D194" s="239">
        <v>1</v>
      </c>
      <c r="E194" s="254">
        <v>0</v>
      </c>
      <c r="F194" s="258" t="s">
        <v>16764</v>
      </c>
      <c r="G194" s="241">
        <v>0</v>
      </c>
      <c r="H194" s="241">
        <v>1</v>
      </c>
      <c r="I194" s="240" t="s">
        <v>16755</v>
      </c>
      <c r="J194" s="241">
        <v>1</v>
      </c>
      <c r="K194" s="241">
        <v>0</v>
      </c>
      <c r="L194" s="241">
        <v>0</v>
      </c>
      <c r="M194" s="240" t="s">
        <v>16754</v>
      </c>
      <c r="N194" s="241">
        <v>0</v>
      </c>
      <c r="O194" s="241">
        <v>1</v>
      </c>
      <c r="P194" s="241">
        <v>0</v>
      </c>
      <c r="Q194" s="259" t="s">
        <v>16827</v>
      </c>
      <c r="R194" s="242" t="s">
        <v>17063</v>
      </c>
      <c r="S194" s="244" t="s">
        <v>25712</v>
      </c>
      <c r="T194" s="275" t="s">
        <v>27129</v>
      </c>
      <c r="U194" s="275" t="str">
        <f t="shared" si="2"/>
        <v>Is the ability to work at the highest level of effectiveness for na extended period of time. This means delivering quality products on time, within budget, while satisfying stakeholders.</v>
      </c>
      <c r="V194" s="300" t="s">
        <v>26947</v>
      </c>
      <c r="W194" s="295" t="s">
        <v>25713</v>
      </c>
      <c r="X194" s="289" t="s">
        <v>27129</v>
      </c>
      <c r="Y194" s="289"/>
      <c r="Z194" s="289"/>
      <c r="AA194" s="289"/>
      <c r="AB194" s="289"/>
      <c r="AC194" s="289"/>
      <c r="AD194" s="289"/>
      <c r="AE194" s="289"/>
      <c r="AF194" s="289"/>
      <c r="AG194" s="289"/>
      <c r="AH194" s="289"/>
      <c r="AI194" s="289"/>
      <c r="AJ194" s="289"/>
      <c r="AK194" s="289"/>
      <c r="AL194" s="289"/>
      <c r="AM194" s="289"/>
      <c r="AN194" s="289"/>
      <c r="AO194" s="289"/>
      <c r="AP194" s="289"/>
      <c r="AQ194" s="289"/>
      <c r="AR194" s="289"/>
      <c r="AS194" s="289"/>
      <c r="AT194" s="289"/>
      <c r="AU194" s="289"/>
      <c r="AV194" s="289"/>
      <c r="AW194" s="289"/>
      <c r="AX194" s="289"/>
      <c r="AY194" s="289"/>
      <c r="AZ194" s="290"/>
      <c r="BA194" s="290"/>
      <c r="BB194" s="290"/>
      <c r="BC194" s="290"/>
      <c r="BD194" s="290"/>
      <c r="BE194" s="290"/>
      <c r="BF194" s="290"/>
      <c r="BG194" s="290"/>
      <c r="BH194" s="290"/>
      <c r="BI194" s="290"/>
      <c r="BJ194" s="289"/>
      <c r="BK194" s="290"/>
      <c r="BL194" s="290"/>
    </row>
    <row r="195" spans="1:64" ht="27" customHeight="1" x14ac:dyDescent="0.25">
      <c r="A195" s="310" t="s">
        <v>206</v>
      </c>
      <c r="B195" s="311" t="s">
        <v>17153</v>
      </c>
      <c r="C195" s="238" t="s">
        <v>17153</v>
      </c>
      <c r="D195" s="239">
        <v>0</v>
      </c>
      <c r="E195" s="254">
        <v>1</v>
      </c>
      <c r="F195" s="258" t="s">
        <v>16753</v>
      </c>
      <c r="G195" s="241">
        <v>0</v>
      </c>
      <c r="H195" s="241">
        <v>1</v>
      </c>
      <c r="I195" s="240" t="s">
        <v>16755</v>
      </c>
      <c r="J195" s="241">
        <v>1</v>
      </c>
      <c r="K195" s="241">
        <v>0</v>
      </c>
      <c r="L195" s="241">
        <v>0</v>
      </c>
      <c r="M195" s="240" t="s">
        <v>16754</v>
      </c>
      <c r="N195" s="241">
        <v>0</v>
      </c>
      <c r="O195" s="241">
        <v>1</v>
      </c>
      <c r="P195" s="241">
        <v>0</v>
      </c>
      <c r="Q195" s="259" t="s">
        <v>16827</v>
      </c>
      <c r="R195" s="242" t="s">
        <v>17063</v>
      </c>
      <c r="S195" s="244" t="s">
        <v>25714</v>
      </c>
      <c r="T195" s="275" t="s">
        <v>646</v>
      </c>
      <c r="U195" s="275" t="str">
        <f t="shared" ref="U195:U259" si="3">_xlfn.TEXTJOIN("|| Next refer.:",,X195:BL195)</f>
        <v/>
      </c>
      <c r="V195" s="300" t="s">
        <v>26948</v>
      </c>
      <c r="W195" s="295" t="s">
        <v>25715</v>
      </c>
      <c r="X195" s="289"/>
      <c r="Y195" s="289"/>
      <c r="Z195" s="289"/>
      <c r="AA195" s="289"/>
      <c r="AB195" s="289"/>
      <c r="AC195" s="289"/>
      <c r="AD195" s="289"/>
      <c r="AE195" s="289"/>
      <c r="AF195" s="289"/>
      <c r="AG195" s="289"/>
      <c r="AH195" s="289"/>
      <c r="AI195" s="289"/>
      <c r="AJ195" s="289"/>
      <c r="AK195" s="289"/>
      <c r="AL195" s="289"/>
      <c r="AM195" s="289"/>
      <c r="AN195" s="289"/>
      <c r="AO195" s="289"/>
      <c r="AP195" s="289"/>
      <c r="AQ195" s="289"/>
      <c r="AR195" s="289"/>
      <c r="AS195" s="289"/>
      <c r="AT195" s="289"/>
      <c r="AU195" s="289"/>
      <c r="AV195" s="289"/>
      <c r="AW195" s="289"/>
      <c r="AX195" s="289"/>
      <c r="AY195" s="289"/>
      <c r="AZ195" s="290"/>
      <c r="BA195" s="290"/>
      <c r="BB195" s="290"/>
      <c r="BC195" s="290"/>
      <c r="BD195" s="290"/>
      <c r="BE195" s="290"/>
      <c r="BF195" s="290"/>
      <c r="BG195" s="290"/>
      <c r="BH195" s="290"/>
      <c r="BI195" s="290"/>
      <c r="BJ195" s="289"/>
      <c r="BK195" s="290"/>
      <c r="BL195" s="290"/>
    </row>
    <row r="196" spans="1:64" ht="27" customHeight="1" x14ac:dyDescent="0.25">
      <c r="A196" s="310" t="s">
        <v>207</v>
      </c>
      <c r="B196" s="311" t="s">
        <v>25716</v>
      </c>
      <c r="C196" s="238" t="s">
        <v>25716</v>
      </c>
      <c r="D196" s="239">
        <v>1</v>
      </c>
      <c r="E196" s="254">
        <v>0</v>
      </c>
      <c r="F196" s="258" t="s">
        <v>16764</v>
      </c>
      <c r="G196" s="241">
        <v>1</v>
      </c>
      <c r="H196" s="241">
        <v>0</v>
      </c>
      <c r="I196" s="240" t="s">
        <v>16765</v>
      </c>
      <c r="J196" s="241">
        <v>0</v>
      </c>
      <c r="K196" s="241">
        <v>0</v>
      </c>
      <c r="L196" s="241">
        <v>1</v>
      </c>
      <c r="M196" s="240" t="s">
        <v>16832</v>
      </c>
      <c r="N196" s="241">
        <v>1</v>
      </c>
      <c r="O196" s="241">
        <v>0</v>
      </c>
      <c r="P196" s="241">
        <v>0</v>
      </c>
      <c r="Q196" s="259" t="s">
        <v>717</v>
      </c>
      <c r="R196" s="242" t="s">
        <v>16901</v>
      </c>
      <c r="S196" s="244" t="s">
        <v>25717</v>
      </c>
      <c r="T196" s="275" t="s">
        <v>646</v>
      </c>
      <c r="U196" s="275" t="str">
        <f t="shared" si="3"/>
        <v/>
      </c>
      <c r="V196" s="300" t="s">
        <v>26949</v>
      </c>
      <c r="W196" s="295" t="s">
        <v>25718</v>
      </c>
      <c r="X196" s="289"/>
      <c r="Y196" s="289"/>
      <c r="Z196" s="289"/>
      <c r="AA196" s="289"/>
      <c r="AB196" s="289"/>
      <c r="AC196" s="289"/>
      <c r="AD196" s="289"/>
      <c r="AE196" s="289"/>
      <c r="AF196" s="289"/>
      <c r="AG196" s="289"/>
      <c r="AH196" s="289"/>
      <c r="AI196" s="289"/>
      <c r="AJ196" s="289"/>
      <c r="AK196" s="289"/>
      <c r="AL196" s="289"/>
      <c r="AM196" s="289"/>
      <c r="AN196" s="289"/>
      <c r="AO196" s="289"/>
      <c r="AP196" s="289"/>
      <c r="AQ196" s="289"/>
      <c r="AR196" s="289"/>
      <c r="AS196" s="289"/>
      <c r="AT196" s="289"/>
      <c r="AU196" s="289"/>
      <c r="AV196" s="289"/>
      <c r="AW196" s="289"/>
      <c r="AX196" s="289"/>
      <c r="AY196" s="289"/>
      <c r="AZ196" s="290"/>
      <c r="BA196" s="290"/>
      <c r="BB196" s="290"/>
      <c r="BC196" s="290"/>
      <c r="BD196" s="290"/>
      <c r="BE196" s="290"/>
      <c r="BF196" s="290"/>
      <c r="BG196" s="290"/>
      <c r="BH196" s="290"/>
      <c r="BI196" s="290"/>
      <c r="BJ196" s="289"/>
      <c r="BK196" s="290"/>
      <c r="BL196" s="290"/>
    </row>
    <row r="197" spans="1:64" ht="27" customHeight="1" x14ac:dyDescent="0.25">
      <c r="A197" s="310" t="s">
        <v>208</v>
      </c>
      <c r="B197" s="311" t="s">
        <v>17154</v>
      </c>
      <c r="C197" s="238" t="s">
        <v>17154</v>
      </c>
      <c r="D197" s="239">
        <v>1</v>
      </c>
      <c r="E197" s="254">
        <v>0</v>
      </c>
      <c r="F197" s="258" t="s">
        <v>16764</v>
      </c>
      <c r="G197" s="241">
        <v>1</v>
      </c>
      <c r="H197" s="241">
        <v>0</v>
      </c>
      <c r="I197" s="240" t="s">
        <v>16765</v>
      </c>
      <c r="J197" s="241">
        <v>0</v>
      </c>
      <c r="K197" s="241">
        <v>0</v>
      </c>
      <c r="L197" s="241">
        <v>1</v>
      </c>
      <c r="M197" s="240" t="s">
        <v>16832</v>
      </c>
      <c r="N197" s="241">
        <v>1</v>
      </c>
      <c r="O197" s="241">
        <v>0</v>
      </c>
      <c r="P197" s="241">
        <v>0</v>
      </c>
      <c r="Q197" s="259" t="s">
        <v>717</v>
      </c>
      <c r="R197" s="242" t="s">
        <v>17063</v>
      </c>
      <c r="S197" s="244" t="s">
        <v>25719</v>
      </c>
      <c r="T197" s="275" t="s">
        <v>646</v>
      </c>
      <c r="U197" s="275" t="str">
        <f t="shared" si="3"/>
        <v/>
      </c>
      <c r="V197" s="300" t="s">
        <v>26950</v>
      </c>
      <c r="W197" s="295" t="s">
        <v>25720</v>
      </c>
      <c r="X197" s="289"/>
      <c r="Y197" s="289"/>
      <c r="Z197" s="289"/>
      <c r="AA197" s="289"/>
      <c r="AB197" s="289"/>
      <c r="AC197" s="289"/>
      <c r="AD197" s="289"/>
      <c r="AE197" s="289"/>
      <c r="AF197" s="289"/>
      <c r="AG197" s="289"/>
      <c r="AH197" s="289"/>
      <c r="AI197" s="289"/>
      <c r="AJ197" s="289"/>
      <c r="AK197" s="289"/>
      <c r="AL197" s="289"/>
      <c r="AM197" s="289"/>
      <c r="AN197" s="289"/>
      <c r="AO197" s="289"/>
      <c r="AP197" s="289"/>
      <c r="AQ197" s="289"/>
      <c r="AR197" s="289"/>
      <c r="AS197" s="289"/>
      <c r="AT197" s="289"/>
      <c r="AU197" s="289"/>
      <c r="AV197" s="289"/>
      <c r="AW197" s="289"/>
      <c r="AX197" s="289"/>
      <c r="AY197" s="289"/>
      <c r="AZ197" s="290"/>
      <c r="BA197" s="290"/>
      <c r="BB197" s="290"/>
      <c r="BC197" s="290"/>
      <c r="BD197" s="290"/>
      <c r="BE197" s="290"/>
      <c r="BF197" s="290"/>
      <c r="BG197" s="290"/>
      <c r="BH197" s="290"/>
      <c r="BI197" s="290"/>
      <c r="BJ197" s="289"/>
      <c r="BK197" s="290"/>
      <c r="BL197" s="290"/>
    </row>
    <row r="198" spans="1:64" ht="27" customHeight="1" x14ac:dyDescent="0.25">
      <c r="A198" s="310" t="s">
        <v>209</v>
      </c>
      <c r="B198" s="311" t="s">
        <v>542</v>
      </c>
      <c r="C198" s="238" t="s">
        <v>542</v>
      </c>
      <c r="D198" s="239">
        <v>1</v>
      </c>
      <c r="E198" s="254">
        <v>0</v>
      </c>
      <c r="F198" s="258" t="s">
        <v>16764</v>
      </c>
      <c r="G198" s="241">
        <v>1</v>
      </c>
      <c r="H198" s="241">
        <v>0</v>
      </c>
      <c r="I198" s="240" t="s">
        <v>16765</v>
      </c>
      <c r="J198" s="241">
        <v>0</v>
      </c>
      <c r="K198" s="241">
        <v>0</v>
      </c>
      <c r="L198" s="241">
        <v>1</v>
      </c>
      <c r="M198" s="240" t="s">
        <v>16832</v>
      </c>
      <c r="N198" s="241">
        <v>1</v>
      </c>
      <c r="O198" s="241">
        <v>0</v>
      </c>
      <c r="P198" s="241">
        <v>0</v>
      </c>
      <c r="Q198" s="259" t="s">
        <v>717</v>
      </c>
      <c r="R198" s="242" t="s">
        <v>17063</v>
      </c>
      <c r="S198" s="244" t="s">
        <v>25721</v>
      </c>
      <c r="T198" s="275" t="s">
        <v>646</v>
      </c>
      <c r="U198" s="275" t="str">
        <f t="shared" si="3"/>
        <v/>
      </c>
      <c r="V198" s="300" t="s">
        <v>26951</v>
      </c>
      <c r="W198" s="295" t="s">
        <v>25722</v>
      </c>
      <c r="X198" s="289"/>
      <c r="Y198" s="289"/>
      <c r="Z198" s="289"/>
      <c r="AA198" s="289"/>
      <c r="AB198" s="289"/>
      <c r="AC198" s="289"/>
      <c r="AD198" s="289"/>
      <c r="AE198" s="289"/>
      <c r="AF198" s="289"/>
      <c r="AG198" s="289"/>
      <c r="AH198" s="289"/>
      <c r="AI198" s="289"/>
      <c r="AJ198" s="289"/>
      <c r="AK198" s="289"/>
      <c r="AL198" s="289"/>
      <c r="AM198" s="289"/>
      <c r="AN198" s="289"/>
      <c r="AO198" s="289"/>
      <c r="AP198" s="289"/>
      <c r="AQ198" s="289"/>
      <c r="AR198" s="289"/>
      <c r="AS198" s="289"/>
      <c r="AT198" s="289"/>
      <c r="AU198" s="289"/>
      <c r="AV198" s="289"/>
      <c r="AW198" s="289"/>
      <c r="AX198" s="289"/>
      <c r="AY198" s="289"/>
      <c r="AZ198" s="290"/>
      <c r="BA198" s="290"/>
      <c r="BB198" s="290"/>
      <c r="BC198" s="290"/>
      <c r="BD198" s="290"/>
      <c r="BE198" s="290"/>
      <c r="BF198" s="290"/>
      <c r="BG198" s="290"/>
      <c r="BH198" s="290"/>
      <c r="BI198" s="290"/>
      <c r="BJ198" s="289"/>
      <c r="BK198" s="290"/>
      <c r="BL198" s="290"/>
    </row>
    <row r="199" spans="1:64" ht="27" customHeight="1" x14ac:dyDescent="0.25">
      <c r="A199" s="310" t="s">
        <v>210</v>
      </c>
      <c r="B199" s="311" t="s">
        <v>17155</v>
      </c>
      <c r="C199" s="238" t="s">
        <v>17155</v>
      </c>
      <c r="D199" s="239">
        <v>0</v>
      </c>
      <c r="E199" s="254">
        <v>1</v>
      </c>
      <c r="F199" s="258" t="s">
        <v>16753</v>
      </c>
      <c r="G199" s="241">
        <v>0</v>
      </c>
      <c r="H199" s="241">
        <v>1</v>
      </c>
      <c r="I199" s="240" t="s">
        <v>16755</v>
      </c>
      <c r="J199" s="241">
        <v>1</v>
      </c>
      <c r="K199" s="241">
        <v>0</v>
      </c>
      <c r="L199" s="241">
        <v>0</v>
      </c>
      <c r="M199" s="240" t="s">
        <v>16754</v>
      </c>
      <c r="N199" s="241">
        <v>1</v>
      </c>
      <c r="O199" s="241">
        <v>0</v>
      </c>
      <c r="P199" s="241">
        <v>0</v>
      </c>
      <c r="Q199" s="259" t="s">
        <v>717</v>
      </c>
      <c r="R199" s="242" t="s">
        <v>17063</v>
      </c>
      <c r="S199" s="244" t="s">
        <v>25862</v>
      </c>
      <c r="T199" s="275" t="s">
        <v>25861</v>
      </c>
      <c r="U199" s="275" t="str">
        <f t="shared" si="3"/>
        <v>Arranging traveling to remote sites frequently to build trust.</v>
      </c>
      <c r="V199" s="300" t="s">
        <v>26952</v>
      </c>
      <c r="W199" s="295"/>
      <c r="X199" s="289"/>
      <c r="Y199" s="289" t="s">
        <v>25861</v>
      </c>
      <c r="Z199" s="289"/>
      <c r="AA199" s="289"/>
      <c r="AB199" s="289"/>
      <c r="AC199" s="289"/>
      <c r="AD199" s="289"/>
      <c r="AE199" s="289"/>
      <c r="AF199" s="289"/>
      <c r="AG199" s="289"/>
      <c r="AH199" s="289"/>
      <c r="AI199" s="289"/>
      <c r="AJ199" s="289"/>
      <c r="AK199" s="289"/>
      <c r="AL199" s="289"/>
      <c r="AM199" s="289"/>
      <c r="AN199" s="289"/>
      <c r="AO199" s="289"/>
      <c r="AP199" s="289"/>
      <c r="AQ199" s="289"/>
      <c r="AR199" s="289"/>
      <c r="AS199" s="289"/>
      <c r="AT199" s="289"/>
      <c r="AU199" s="289"/>
      <c r="AV199" s="289"/>
      <c r="AW199" s="289"/>
      <c r="AX199" s="289"/>
      <c r="AY199" s="289"/>
      <c r="AZ199" s="290"/>
      <c r="BA199" s="290"/>
      <c r="BB199" s="290"/>
      <c r="BC199" s="290"/>
      <c r="BD199" s="290"/>
      <c r="BE199" s="290"/>
      <c r="BF199" s="290"/>
      <c r="BG199" s="290"/>
      <c r="BH199" s="290"/>
      <c r="BI199" s="290"/>
      <c r="BJ199" s="289"/>
      <c r="BK199" s="290"/>
      <c r="BL199" s="290"/>
    </row>
    <row r="200" spans="1:64" ht="27" customHeight="1" x14ac:dyDescent="0.25">
      <c r="A200" s="310" t="s">
        <v>211</v>
      </c>
      <c r="B200" s="311" t="s">
        <v>544</v>
      </c>
      <c r="C200" s="238" t="s">
        <v>544</v>
      </c>
      <c r="D200" s="239">
        <v>0</v>
      </c>
      <c r="E200" s="254">
        <v>1</v>
      </c>
      <c r="F200" s="258" t="s">
        <v>16753</v>
      </c>
      <c r="G200" s="241">
        <v>0</v>
      </c>
      <c r="H200" s="241">
        <v>1</v>
      </c>
      <c r="I200" s="240" t="s">
        <v>16755</v>
      </c>
      <c r="J200" s="241">
        <v>1</v>
      </c>
      <c r="K200" s="241">
        <v>0</v>
      </c>
      <c r="L200" s="241">
        <v>0</v>
      </c>
      <c r="M200" s="240" t="s">
        <v>16754</v>
      </c>
      <c r="N200" s="241">
        <v>1</v>
      </c>
      <c r="O200" s="241">
        <v>0</v>
      </c>
      <c r="P200" s="241">
        <v>0</v>
      </c>
      <c r="Q200" s="259" t="s">
        <v>717</v>
      </c>
      <c r="R200" s="242" t="s">
        <v>17063</v>
      </c>
      <c r="S200" s="244" t="s">
        <v>25723</v>
      </c>
      <c r="T200" s="275" t="s">
        <v>646</v>
      </c>
      <c r="U200" s="275" t="str">
        <f t="shared" si="3"/>
        <v/>
      </c>
      <c r="V200" s="300" t="s">
        <v>26953</v>
      </c>
      <c r="W200" s="295" t="s">
        <v>25724</v>
      </c>
      <c r="X200" s="289"/>
      <c r="Y200" s="289"/>
      <c r="Z200" s="289"/>
      <c r="AA200" s="289"/>
      <c r="AB200" s="289"/>
      <c r="AC200" s="289"/>
      <c r="AD200" s="289"/>
      <c r="AE200" s="289"/>
      <c r="AF200" s="289"/>
      <c r="AG200" s="289"/>
      <c r="AH200" s="289"/>
      <c r="AI200" s="289"/>
      <c r="AJ200" s="289"/>
      <c r="AK200" s="289"/>
      <c r="AL200" s="289"/>
      <c r="AM200" s="289"/>
      <c r="AN200" s="289"/>
      <c r="AO200" s="289"/>
      <c r="AP200" s="289"/>
      <c r="AQ200" s="289"/>
      <c r="AR200" s="289"/>
      <c r="AS200" s="289"/>
      <c r="AT200" s="289"/>
      <c r="AU200" s="289"/>
      <c r="AV200" s="289"/>
      <c r="AW200" s="289"/>
      <c r="AX200" s="289"/>
      <c r="AY200" s="289"/>
      <c r="AZ200" s="290"/>
      <c r="BA200" s="290"/>
      <c r="BB200" s="290"/>
      <c r="BC200" s="290"/>
      <c r="BD200" s="290"/>
      <c r="BE200" s="290"/>
      <c r="BF200" s="290"/>
      <c r="BG200" s="290"/>
      <c r="BH200" s="290"/>
      <c r="BI200" s="290"/>
      <c r="BJ200" s="289"/>
      <c r="BK200" s="290"/>
      <c r="BL200" s="290"/>
    </row>
    <row r="201" spans="1:64" ht="27" customHeight="1" x14ac:dyDescent="0.25">
      <c r="A201" s="310" t="s">
        <v>212</v>
      </c>
      <c r="B201" s="311" t="s">
        <v>25725</v>
      </c>
      <c r="C201" s="238" t="s">
        <v>25726</v>
      </c>
      <c r="D201" s="239">
        <v>0</v>
      </c>
      <c r="E201" s="254">
        <v>1</v>
      </c>
      <c r="F201" s="258" t="s">
        <v>16753</v>
      </c>
      <c r="G201" s="241">
        <v>0</v>
      </c>
      <c r="H201" s="241">
        <v>1</v>
      </c>
      <c r="I201" s="240" t="s">
        <v>16755</v>
      </c>
      <c r="J201" s="241">
        <v>1</v>
      </c>
      <c r="K201" s="241">
        <v>0</v>
      </c>
      <c r="L201" s="241">
        <v>0</v>
      </c>
      <c r="M201" s="240" t="s">
        <v>16754</v>
      </c>
      <c r="N201" s="241">
        <v>1</v>
      </c>
      <c r="O201" s="241">
        <v>0</v>
      </c>
      <c r="P201" s="241">
        <v>0</v>
      </c>
      <c r="Q201" s="259" t="s">
        <v>717</v>
      </c>
      <c r="R201" s="242" t="s">
        <v>17063</v>
      </c>
      <c r="S201" s="244" t="s">
        <v>25727</v>
      </c>
      <c r="T201" s="275" t="s">
        <v>646</v>
      </c>
      <c r="U201" s="275" t="str">
        <f t="shared" si="3"/>
        <v/>
      </c>
      <c r="V201" s="300" t="s">
        <v>26954</v>
      </c>
      <c r="W201" s="295" t="s">
        <v>25728</v>
      </c>
      <c r="X201" s="289"/>
      <c r="Y201" s="289"/>
      <c r="Z201" s="289"/>
      <c r="AA201" s="289"/>
      <c r="AB201" s="289"/>
      <c r="AC201" s="289"/>
      <c r="AD201" s="289"/>
      <c r="AE201" s="289"/>
      <c r="AF201" s="289"/>
      <c r="AG201" s="289"/>
      <c r="AH201" s="289"/>
      <c r="AI201" s="289"/>
      <c r="AJ201" s="289"/>
      <c r="AK201" s="289"/>
      <c r="AL201" s="289"/>
      <c r="AM201" s="289"/>
      <c r="AN201" s="289"/>
      <c r="AO201" s="289"/>
      <c r="AP201" s="289"/>
      <c r="AQ201" s="289"/>
      <c r="AR201" s="289"/>
      <c r="AS201" s="289"/>
      <c r="AT201" s="289"/>
      <c r="AU201" s="289"/>
      <c r="AV201" s="289"/>
      <c r="AW201" s="289"/>
      <c r="AX201" s="289"/>
      <c r="AY201" s="289"/>
      <c r="AZ201" s="290"/>
      <c r="BA201" s="290"/>
      <c r="BB201" s="290"/>
      <c r="BC201" s="290"/>
      <c r="BD201" s="290"/>
      <c r="BE201" s="290"/>
      <c r="BF201" s="290"/>
      <c r="BG201" s="290"/>
      <c r="BH201" s="290"/>
      <c r="BI201" s="290"/>
      <c r="BJ201" s="289"/>
      <c r="BK201" s="290"/>
      <c r="BL201" s="290"/>
    </row>
    <row r="202" spans="1:64" ht="27" customHeight="1" x14ac:dyDescent="0.25">
      <c r="A202" s="310" t="s">
        <v>213</v>
      </c>
      <c r="B202" s="311" t="s">
        <v>546</v>
      </c>
      <c r="C202" s="238" t="s">
        <v>546</v>
      </c>
      <c r="D202" s="239">
        <v>1</v>
      </c>
      <c r="E202" s="254">
        <v>0</v>
      </c>
      <c r="F202" s="258" t="s">
        <v>16764</v>
      </c>
      <c r="G202" s="241">
        <v>1</v>
      </c>
      <c r="H202" s="241">
        <v>0</v>
      </c>
      <c r="I202" s="240" t="s">
        <v>16765</v>
      </c>
      <c r="J202" s="241">
        <v>0</v>
      </c>
      <c r="K202" s="241">
        <v>1</v>
      </c>
      <c r="L202" s="241">
        <v>0</v>
      </c>
      <c r="M202" s="240" t="s">
        <v>16774</v>
      </c>
      <c r="N202" s="241">
        <v>1</v>
      </c>
      <c r="O202" s="241">
        <v>0</v>
      </c>
      <c r="P202" s="241">
        <v>0</v>
      </c>
      <c r="Q202" s="259" t="s">
        <v>717</v>
      </c>
      <c r="R202" s="242" t="s">
        <v>16756</v>
      </c>
      <c r="S202" s="244" t="s">
        <v>17156</v>
      </c>
      <c r="T202" s="275" t="s">
        <v>17157</v>
      </c>
      <c r="U202" s="275" t="str">
        <f t="shared" si="3"/>
        <v>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v>
      </c>
      <c r="V202" s="300" t="s">
        <v>26955</v>
      </c>
      <c r="W202" s="295"/>
      <c r="X202" s="289"/>
      <c r="Y202" s="289"/>
      <c r="Z202" s="289"/>
      <c r="AA202" s="289"/>
      <c r="AB202" s="289"/>
      <c r="AC202" s="289"/>
      <c r="AD202" s="289"/>
      <c r="AE202" s="289"/>
      <c r="AF202" s="289"/>
      <c r="AG202" s="289"/>
      <c r="AH202" s="289"/>
      <c r="AI202" s="289"/>
      <c r="AJ202" s="289"/>
      <c r="AK202" s="289"/>
      <c r="AL202" s="289"/>
      <c r="AM202" s="289"/>
      <c r="AN202" s="289"/>
      <c r="AO202" s="290"/>
      <c r="AP202" s="289" t="s">
        <v>17157</v>
      </c>
      <c r="AQ202" s="289"/>
      <c r="AR202" s="289"/>
      <c r="AS202" s="289"/>
      <c r="AT202" s="289"/>
      <c r="AU202" s="289"/>
      <c r="AV202" s="289"/>
      <c r="AW202" s="289"/>
      <c r="AX202" s="289"/>
      <c r="AY202" s="289"/>
      <c r="AZ202" s="290"/>
      <c r="BA202" s="290"/>
      <c r="BB202" s="290"/>
      <c r="BC202" s="290"/>
      <c r="BD202" s="290"/>
      <c r="BE202" s="290"/>
      <c r="BF202" s="290"/>
      <c r="BG202" s="290"/>
      <c r="BH202" s="290"/>
      <c r="BI202" s="290"/>
      <c r="BJ202" s="289"/>
      <c r="BK202" s="290"/>
      <c r="BL202" s="290"/>
    </row>
    <row r="203" spans="1:64" ht="27" customHeight="1" x14ac:dyDescent="0.25">
      <c r="A203" s="310" t="s">
        <v>214</v>
      </c>
      <c r="B203" s="311" t="s">
        <v>17158</v>
      </c>
      <c r="C203" s="238" t="s">
        <v>547</v>
      </c>
      <c r="D203" s="239">
        <v>0</v>
      </c>
      <c r="E203" s="254">
        <v>1</v>
      </c>
      <c r="F203" s="258" t="s">
        <v>16753</v>
      </c>
      <c r="G203" s="241">
        <v>0</v>
      </c>
      <c r="H203" s="241">
        <v>1</v>
      </c>
      <c r="I203" s="240" t="s">
        <v>16755</v>
      </c>
      <c r="J203" s="241">
        <v>1</v>
      </c>
      <c r="K203" s="241">
        <v>0</v>
      </c>
      <c r="L203" s="241">
        <v>0</v>
      </c>
      <c r="M203" s="240" t="s">
        <v>16754</v>
      </c>
      <c r="N203" s="241">
        <v>1</v>
      </c>
      <c r="O203" s="241">
        <v>0</v>
      </c>
      <c r="P203" s="241">
        <v>0</v>
      </c>
      <c r="Q203" s="259" t="s">
        <v>717</v>
      </c>
      <c r="R203" s="242" t="s">
        <v>16756</v>
      </c>
      <c r="S203" s="244" t="s">
        <v>17159</v>
      </c>
      <c r="T203" s="275" t="s">
        <v>27219</v>
      </c>
      <c r="U203" s="275" t="str">
        <f t="shared" si="3"/>
        <v>Defined as the commitment of each team member to remain united in the persuit of the team's goals and to each member's affective needs|| Next refer.:Feeling of togetherness or closeness within the teams|| Next refer.:LOSS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v>
      </c>
      <c r="V203" s="300" t="s">
        <v>26956</v>
      </c>
      <c r="W203" s="295"/>
      <c r="X203" s="289" t="s">
        <v>17397</v>
      </c>
      <c r="Y203" s="289"/>
      <c r="Z203" s="289"/>
      <c r="AA203" s="289"/>
      <c r="AB203" s="289"/>
      <c r="AC203" s="289"/>
      <c r="AD203" s="289"/>
      <c r="AE203" s="289"/>
      <c r="AF203" s="289"/>
      <c r="AG203" s="289"/>
      <c r="AH203" s="289"/>
      <c r="AI203" s="289"/>
      <c r="AJ203" s="289"/>
      <c r="AK203" s="289"/>
      <c r="AL203" s="289"/>
      <c r="AM203" s="289"/>
      <c r="AN203" s="289"/>
      <c r="AO203" s="289" t="s">
        <v>17160</v>
      </c>
      <c r="AP203" s="289" t="s">
        <v>17161</v>
      </c>
      <c r="AQ203" s="289"/>
      <c r="AR203" s="289"/>
      <c r="AS203" s="289"/>
      <c r="AT203" s="289"/>
      <c r="AU203" s="289"/>
      <c r="AV203" s="289"/>
      <c r="AW203" s="289"/>
      <c r="AX203" s="289"/>
      <c r="AY203" s="289"/>
      <c r="AZ203" s="290"/>
      <c r="BA203" s="290"/>
      <c r="BB203" s="290"/>
      <c r="BC203" s="290"/>
      <c r="BD203" s="290"/>
      <c r="BE203" s="290"/>
      <c r="BF203" s="290"/>
      <c r="BG203" s="290"/>
      <c r="BH203" s="290"/>
      <c r="BI203" s="290"/>
      <c r="BJ203" s="289"/>
      <c r="BK203" s="290"/>
      <c r="BL203" s="290"/>
    </row>
    <row r="204" spans="1:64" ht="27" customHeight="1" x14ac:dyDescent="0.25">
      <c r="A204" s="310" t="s">
        <v>215</v>
      </c>
      <c r="B204" s="311" t="s">
        <v>17162</v>
      </c>
      <c r="C204" s="238" t="s">
        <v>548</v>
      </c>
      <c r="D204" s="239">
        <v>1</v>
      </c>
      <c r="E204" s="254">
        <v>0</v>
      </c>
      <c r="F204" s="258" t="s">
        <v>16764</v>
      </c>
      <c r="G204" s="241">
        <v>1</v>
      </c>
      <c r="H204" s="241">
        <v>0</v>
      </c>
      <c r="I204" s="240" t="s">
        <v>16765</v>
      </c>
      <c r="J204" s="241">
        <v>0</v>
      </c>
      <c r="K204" s="241">
        <v>1</v>
      </c>
      <c r="L204" s="241">
        <v>0</v>
      </c>
      <c r="M204" s="240" t="s">
        <v>16774</v>
      </c>
      <c r="N204" s="241">
        <v>1</v>
      </c>
      <c r="O204" s="241">
        <v>0</v>
      </c>
      <c r="P204" s="241">
        <v>0</v>
      </c>
      <c r="Q204" s="259" t="s">
        <v>717</v>
      </c>
      <c r="R204" s="242" t="s">
        <v>17063</v>
      </c>
      <c r="S204" s="244" t="s">
        <v>25729</v>
      </c>
      <c r="T204" s="275" t="s">
        <v>646</v>
      </c>
      <c r="U204" s="275" t="str">
        <f t="shared" si="3"/>
        <v/>
      </c>
      <c r="V204" s="300" t="s">
        <v>26957</v>
      </c>
      <c r="W204" s="295" t="s">
        <v>25730</v>
      </c>
      <c r="X204" s="289"/>
      <c r="Y204" s="289"/>
      <c r="Z204" s="289"/>
      <c r="AA204" s="289"/>
      <c r="AB204" s="289"/>
      <c r="AC204" s="289"/>
      <c r="AD204" s="289"/>
      <c r="AE204" s="289"/>
      <c r="AF204" s="289"/>
      <c r="AG204" s="289"/>
      <c r="AH204" s="289"/>
      <c r="AI204" s="289"/>
      <c r="AJ204" s="289"/>
      <c r="AK204" s="289"/>
      <c r="AL204" s="289"/>
      <c r="AM204" s="289"/>
      <c r="AN204" s="289"/>
      <c r="AO204" s="289"/>
      <c r="AP204" s="289"/>
      <c r="AQ204" s="289"/>
      <c r="AR204" s="289"/>
      <c r="AS204" s="289"/>
      <c r="AT204" s="289"/>
      <c r="AU204" s="289"/>
      <c r="AV204" s="289"/>
      <c r="AW204" s="289"/>
      <c r="AX204" s="289"/>
      <c r="AY204" s="289"/>
      <c r="AZ204" s="290"/>
      <c r="BA204" s="290"/>
      <c r="BB204" s="290"/>
      <c r="BC204" s="290"/>
      <c r="BD204" s="290"/>
      <c r="BE204" s="290"/>
      <c r="BF204" s="290"/>
      <c r="BG204" s="290"/>
      <c r="BH204" s="290"/>
      <c r="BI204" s="290"/>
      <c r="BJ204" s="289"/>
      <c r="BK204" s="290"/>
      <c r="BL204" s="290"/>
    </row>
    <row r="205" spans="1:64" ht="27" customHeight="1" x14ac:dyDescent="0.25">
      <c r="A205" s="310" t="s">
        <v>216</v>
      </c>
      <c r="B205" s="311" t="s">
        <v>17163</v>
      </c>
      <c r="C205" s="238" t="s">
        <v>549</v>
      </c>
      <c r="D205" s="239">
        <v>0</v>
      </c>
      <c r="E205" s="254">
        <v>1</v>
      </c>
      <c r="F205" s="258" t="s">
        <v>16753</v>
      </c>
      <c r="G205" s="241">
        <v>0</v>
      </c>
      <c r="H205" s="241">
        <v>1</v>
      </c>
      <c r="I205" s="240" t="s">
        <v>16755</v>
      </c>
      <c r="J205" s="241">
        <v>1</v>
      </c>
      <c r="K205" s="241">
        <v>0</v>
      </c>
      <c r="L205" s="241">
        <v>0</v>
      </c>
      <c r="M205" s="240" t="s">
        <v>16754</v>
      </c>
      <c r="N205" s="241">
        <v>1</v>
      </c>
      <c r="O205" s="241">
        <v>0</v>
      </c>
      <c r="P205" s="241">
        <v>0</v>
      </c>
      <c r="Q205" s="259" t="s">
        <v>717</v>
      </c>
      <c r="R205" s="242" t="s">
        <v>16756</v>
      </c>
      <c r="S205" s="244" t="s">
        <v>17164</v>
      </c>
      <c r="T205" s="275" t="s">
        <v>27220</v>
      </c>
      <c r="U205" s="275" t="str">
        <f t="shared" si="3"/>
        <v>Gathering the information and experiences among teams.|| Next refer.:DIFFERENT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v>
      </c>
      <c r="V205" s="300" t="s">
        <v>26958</v>
      </c>
      <c r="W205" s="295"/>
      <c r="X205" s="289"/>
      <c r="Y205" s="289"/>
      <c r="Z205" s="289"/>
      <c r="AA205" s="289"/>
      <c r="AB205" s="289"/>
      <c r="AC205" s="289"/>
      <c r="AD205" s="289"/>
      <c r="AE205" s="289" t="s">
        <v>17309</v>
      </c>
      <c r="AF205" s="289"/>
      <c r="AG205" s="289"/>
      <c r="AH205" s="289"/>
      <c r="AI205" s="289"/>
      <c r="AJ205" s="289"/>
      <c r="AK205" s="289"/>
      <c r="AL205" s="289"/>
      <c r="AM205" s="289"/>
      <c r="AN205" s="289"/>
      <c r="AO205" s="289"/>
      <c r="AP205" s="289" t="s">
        <v>17165</v>
      </c>
      <c r="AQ205" s="289"/>
      <c r="AR205" s="289"/>
      <c r="AS205" s="289"/>
      <c r="AT205" s="289"/>
      <c r="AU205" s="289"/>
      <c r="AV205" s="289"/>
      <c r="AW205" s="289"/>
      <c r="AX205" s="289"/>
      <c r="AY205" s="289"/>
      <c r="AZ205" s="290"/>
      <c r="BA205" s="290"/>
      <c r="BB205" s="290"/>
      <c r="BC205" s="290"/>
      <c r="BD205" s="290"/>
      <c r="BE205" s="290"/>
      <c r="BF205" s="290"/>
      <c r="BG205" s="290"/>
      <c r="BH205" s="290"/>
      <c r="BI205" s="290"/>
      <c r="BJ205" s="289"/>
      <c r="BK205" s="290"/>
      <c r="BL205" s="290"/>
    </row>
    <row r="206" spans="1:64" ht="27" customHeight="1" x14ac:dyDescent="0.25">
      <c r="A206" s="310" t="s">
        <v>217</v>
      </c>
      <c r="B206" s="311" t="s">
        <v>550</v>
      </c>
      <c r="C206" s="238" t="s">
        <v>550</v>
      </c>
      <c r="D206" s="239">
        <v>1</v>
      </c>
      <c r="E206" s="254">
        <v>0</v>
      </c>
      <c r="F206" s="258" t="s">
        <v>16764</v>
      </c>
      <c r="G206" s="241">
        <v>1</v>
      </c>
      <c r="H206" s="241">
        <v>0</v>
      </c>
      <c r="I206" s="240" t="s">
        <v>16765</v>
      </c>
      <c r="J206" s="241">
        <v>0</v>
      </c>
      <c r="K206" s="241">
        <v>0</v>
      </c>
      <c r="L206" s="241">
        <v>1</v>
      </c>
      <c r="M206" s="240" t="s">
        <v>16832</v>
      </c>
      <c r="N206" s="241">
        <v>1</v>
      </c>
      <c r="O206" s="241">
        <v>0</v>
      </c>
      <c r="P206" s="241">
        <v>0</v>
      </c>
      <c r="Q206" s="259" t="s">
        <v>717</v>
      </c>
      <c r="R206" s="242" t="s">
        <v>17063</v>
      </c>
      <c r="S206" s="244" t="s">
        <v>17392</v>
      </c>
      <c r="T206" s="275" t="s">
        <v>17392</v>
      </c>
      <c r="U206" s="275" t="str">
        <f t="shared" si="3"/>
        <v>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v>
      </c>
      <c r="V206" s="300" t="s">
        <v>26959</v>
      </c>
      <c r="W206" s="295"/>
      <c r="X206" s="289"/>
      <c r="Y206" s="289" t="s">
        <v>17392</v>
      </c>
      <c r="Z206" s="289"/>
      <c r="AA206" s="289"/>
      <c r="AB206" s="289"/>
      <c r="AC206" s="289"/>
      <c r="AD206" s="289"/>
      <c r="AE206" s="289"/>
      <c r="AF206" s="289"/>
      <c r="AG206" s="289"/>
      <c r="AH206" s="289"/>
      <c r="AI206" s="289"/>
      <c r="AJ206" s="289"/>
      <c r="AK206" s="289"/>
      <c r="AL206" s="289"/>
      <c r="AM206" s="289"/>
      <c r="AN206" s="289"/>
      <c r="AO206" s="289"/>
      <c r="AP206" s="289"/>
      <c r="AQ206" s="289"/>
      <c r="AR206" s="289"/>
      <c r="AS206" s="289"/>
      <c r="AT206" s="289"/>
      <c r="AU206" s="289"/>
      <c r="AV206" s="289"/>
      <c r="AW206" s="289"/>
      <c r="AX206" s="289"/>
      <c r="AY206" s="289"/>
      <c r="AZ206" s="290"/>
      <c r="BA206" s="290"/>
      <c r="BB206" s="290"/>
      <c r="BC206" s="290"/>
      <c r="BD206" s="290"/>
      <c r="BE206" s="290"/>
      <c r="BF206" s="290"/>
      <c r="BG206" s="290"/>
      <c r="BH206" s="290"/>
      <c r="BI206" s="290"/>
      <c r="BJ206" s="289"/>
      <c r="BK206" s="290"/>
      <c r="BL206" s="290"/>
    </row>
    <row r="207" spans="1:64" ht="27" customHeight="1" x14ac:dyDescent="0.25">
      <c r="A207" s="310" t="s">
        <v>218</v>
      </c>
      <c r="B207" s="311" t="s">
        <v>551</v>
      </c>
      <c r="C207" s="238" t="s">
        <v>551</v>
      </c>
      <c r="D207" s="239">
        <v>1</v>
      </c>
      <c r="E207" s="254">
        <v>0</v>
      </c>
      <c r="F207" s="258" t="s">
        <v>16764</v>
      </c>
      <c r="G207" s="241">
        <v>1</v>
      </c>
      <c r="H207" s="241">
        <v>0</v>
      </c>
      <c r="I207" s="240" t="s">
        <v>16765</v>
      </c>
      <c r="J207" s="241">
        <v>0</v>
      </c>
      <c r="K207" s="241">
        <v>0</v>
      </c>
      <c r="L207" s="241">
        <v>1</v>
      </c>
      <c r="M207" s="240" t="s">
        <v>16832</v>
      </c>
      <c r="N207" s="241">
        <v>1</v>
      </c>
      <c r="O207" s="241">
        <v>0</v>
      </c>
      <c r="P207" s="241">
        <v>0</v>
      </c>
      <c r="Q207" s="259" t="s">
        <v>717</v>
      </c>
      <c r="R207" s="242" t="s">
        <v>16901</v>
      </c>
      <c r="S207" s="244" t="s">
        <v>25731</v>
      </c>
      <c r="T207" s="275" t="s">
        <v>17348</v>
      </c>
      <c r="U207" s="275" t="str">
        <f t="shared" si="3"/>
        <v>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v>
      </c>
      <c r="V207" s="300" t="s">
        <v>26960</v>
      </c>
      <c r="W207" s="295" t="s">
        <v>25732</v>
      </c>
      <c r="X207" s="289"/>
      <c r="Y207" s="289"/>
      <c r="Z207" s="289"/>
      <c r="AA207" s="289"/>
      <c r="AB207" s="289" t="s">
        <v>17348</v>
      </c>
      <c r="AC207" s="289"/>
      <c r="AD207" s="289"/>
      <c r="AE207" s="289"/>
      <c r="AF207" s="289"/>
      <c r="AG207" s="289"/>
      <c r="AH207" s="289"/>
      <c r="AI207" s="289"/>
      <c r="AJ207" s="289"/>
      <c r="AK207" s="289"/>
      <c r="AL207" s="289"/>
      <c r="AM207" s="289"/>
      <c r="AN207" s="289"/>
      <c r="AO207" s="289"/>
      <c r="AP207" s="289"/>
      <c r="AQ207" s="289"/>
      <c r="AR207" s="289"/>
      <c r="AS207" s="289"/>
      <c r="AT207" s="289"/>
      <c r="AU207" s="289"/>
      <c r="AV207" s="289"/>
      <c r="AW207" s="289"/>
      <c r="AX207" s="289"/>
      <c r="AY207" s="289"/>
      <c r="AZ207" s="290"/>
      <c r="BA207" s="290"/>
      <c r="BB207" s="290"/>
      <c r="BC207" s="290"/>
      <c r="BD207" s="290"/>
      <c r="BE207" s="290"/>
      <c r="BF207" s="290"/>
      <c r="BG207" s="290"/>
      <c r="BH207" s="290"/>
      <c r="BI207" s="290"/>
      <c r="BJ207" s="289"/>
      <c r="BK207" s="290"/>
      <c r="BL207" s="290"/>
    </row>
    <row r="208" spans="1:64" ht="27" customHeight="1" x14ac:dyDescent="0.25">
      <c r="A208" s="310" t="s">
        <v>219</v>
      </c>
      <c r="B208" s="311" t="s">
        <v>17166</v>
      </c>
      <c r="C208" s="238" t="s">
        <v>552</v>
      </c>
      <c r="D208" s="239">
        <v>1</v>
      </c>
      <c r="E208" s="254">
        <v>0</v>
      </c>
      <c r="F208" s="258" t="s">
        <v>16764</v>
      </c>
      <c r="G208" s="241">
        <v>1</v>
      </c>
      <c r="H208" s="241">
        <v>0</v>
      </c>
      <c r="I208" s="240" t="s">
        <v>16765</v>
      </c>
      <c r="J208" s="241">
        <v>0</v>
      </c>
      <c r="K208" s="241">
        <v>0</v>
      </c>
      <c r="L208" s="241">
        <v>1</v>
      </c>
      <c r="M208" s="240" t="s">
        <v>16832</v>
      </c>
      <c r="N208" s="241">
        <v>1</v>
      </c>
      <c r="O208" s="241">
        <v>0</v>
      </c>
      <c r="P208" s="241">
        <v>0</v>
      </c>
      <c r="Q208" s="259" t="s">
        <v>717</v>
      </c>
      <c r="R208" s="242" t="s">
        <v>16775</v>
      </c>
      <c r="S208" s="244" t="s">
        <v>25529</v>
      </c>
      <c r="T208" s="275" t="s">
        <v>17167</v>
      </c>
      <c r="U208" s="275" t="str">
        <f t="shared" si="3"/>
        <v>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v>
      </c>
      <c r="V208" s="300" t="s">
        <v>26961</v>
      </c>
      <c r="W208" s="295"/>
      <c r="X208" s="289"/>
      <c r="Y208" s="289"/>
      <c r="Z208" s="289"/>
      <c r="AA208" s="289"/>
      <c r="AB208" s="289"/>
      <c r="AC208" s="289"/>
      <c r="AD208" s="289"/>
      <c r="AE208" s="289"/>
      <c r="AF208" s="289"/>
      <c r="AG208" s="289"/>
      <c r="AH208" s="289"/>
      <c r="AI208" s="289"/>
      <c r="AJ208" s="289"/>
      <c r="AK208" s="289"/>
      <c r="AL208" s="289"/>
      <c r="AM208" s="289"/>
      <c r="AN208" s="289"/>
      <c r="AO208" s="289"/>
      <c r="AP208" s="289" t="s">
        <v>17167</v>
      </c>
      <c r="AQ208" s="289"/>
      <c r="AR208" s="289"/>
      <c r="AS208" s="289"/>
      <c r="AT208" s="289"/>
      <c r="AU208" s="289"/>
      <c r="AV208" s="289"/>
      <c r="AW208" s="289"/>
      <c r="AX208" s="289"/>
      <c r="AY208" s="289"/>
      <c r="AZ208" s="290"/>
      <c r="BA208" s="290"/>
      <c r="BB208" s="290"/>
      <c r="BC208" s="290"/>
      <c r="BD208" s="290"/>
      <c r="BE208" s="290"/>
      <c r="BF208" s="290"/>
      <c r="BG208" s="290"/>
      <c r="BH208" s="290"/>
      <c r="BI208" s="290"/>
      <c r="BJ208" s="289"/>
      <c r="BK208" s="290"/>
      <c r="BL208" s="290"/>
    </row>
    <row r="209" spans="1:64" ht="27" customHeight="1" x14ac:dyDescent="0.25">
      <c r="A209" s="310" t="s">
        <v>220</v>
      </c>
      <c r="B209" s="311" t="s">
        <v>17168</v>
      </c>
      <c r="C209" s="238" t="s">
        <v>553</v>
      </c>
      <c r="D209" s="239">
        <v>0</v>
      </c>
      <c r="E209" s="254">
        <v>1</v>
      </c>
      <c r="F209" s="258" t="s">
        <v>16753</v>
      </c>
      <c r="G209" s="241">
        <v>0</v>
      </c>
      <c r="H209" s="241">
        <v>1</v>
      </c>
      <c r="I209" s="240" t="s">
        <v>16755</v>
      </c>
      <c r="J209" s="241">
        <v>1</v>
      </c>
      <c r="K209" s="241">
        <v>0</v>
      </c>
      <c r="L209" s="241">
        <v>0</v>
      </c>
      <c r="M209" s="240" t="s">
        <v>16754</v>
      </c>
      <c r="N209" s="241">
        <v>0</v>
      </c>
      <c r="O209" s="241">
        <v>0</v>
      </c>
      <c r="P209" s="241">
        <v>1</v>
      </c>
      <c r="Q209" s="259" t="s">
        <v>16766</v>
      </c>
      <c r="R209" s="242" t="s">
        <v>17169</v>
      </c>
      <c r="S209" s="244" t="s">
        <v>25733</v>
      </c>
      <c r="T209" s="275" t="s">
        <v>646</v>
      </c>
      <c r="U209" s="275" t="str">
        <f t="shared" si="3"/>
        <v/>
      </c>
      <c r="V209" s="300" t="s">
        <v>26962</v>
      </c>
      <c r="W209" s="295" t="s">
        <v>25734</v>
      </c>
      <c r="X209" s="289"/>
      <c r="Y209" s="289"/>
      <c r="Z209" s="289"/>
      <c r="AA209" s="289"/>
      <c r="AB209" s="289"/>
      <c r="AC209" s="289"/>
      <c r="AD209" s="289"/>
      <c r="AE209" s="289"/>
      <c r="AF209" s="289"/>
      <c r="AG209" s="289"/>
      <c r="AH209" s="289"/>
      <c r="AI209" s="289"/>
      <c r="AJ209" s="289"/>
      <c r="AK209" s="289"/>
      <c r="AL209" s="289"/>
      <c r="AM209" s="289"/>
      <c r="AN209" s="289"/>
      <c r="AO209" s="289"/>
      <c r="AP209" s="289"/>
      <c r="AQ209" s="289"/>
      <c r="AR209" s="289"/>
      <c r="AS209" s="289"/>
      <c r="AT209" s="289"/>
      <c r="AU209" s="289"/>
      <c r="AV209" s="289"/>
      <c r="AW209" s="289"/>
      <c r="AX209" s="289"/>
      <c r="AY209" s="289"/>
      <c r="AZ209" s="290"/>
      <c r="BA209" s="290"/>
      <c r="BB209" s="290"/>
      <c r="BC209" s="290"/>
      <c r="BD209" s="290"/>
      <c r="BE209" s="290"/>
      <c r="BF209" s="290"/>
      <c r="BG209" s="290"/>
      <c r="BH209" s="290"/>
      <c r="BI209" s="290"/>
      <c r="BJ209" s="289"/>
      <c r="BK209" s="290"/>
      <c r="BL209" s="290"/>
    </row>
    <row r="210" spans="1:64" ht="27" customHeight="1" x14ac:dyDescent="0.25">
      <c r="A210" s="310" t="s">
        <v>221</v>
      </c>
      <c r="B210" s="311" t="s">
        <v>25735</v>
      </c>
      <c r="C210" s="238" t="s">
        <v>25735</v>
      </c>
      <c r="D210" s="239">
        <v>1</v>
      </c>
      <c r="E210" s="254">
        <v>0</v>
      </c>
      <c r="F210" s="258" t="s">
        <v>16764</v>
      </c>
      <c r="G210" s="241">
        <v>1</v>
      </c>
      <c r="H210" s="241">
        <v>0</v>
      </c>
      <c r="I210" s="240" t="s">
        <v>16765</v>
      </c>
      <c r="J210" s="241">
        <v>0</v>
      </c>
      <c r="K210" s="241">
        <v>1</v>
      </c>
      <c r="L210" s="241">
        <v>0</v>
      </c>
      <c r="M210" s="240" t="s">
        <v>16774</v>
      </c>
      <c r="N210" s="241">
        <v>0</v>
      </c>
      <c r="O210" s="241">
        <v>1</v>
      </c>
      <c r="P210" s="241">
        <v>0</v>
      </c>
      <c r="Q210" s="259" t="s">
        <v>16827</v>
      </c>
      <c r="R210" s="242" t="s">
        <v>17170</v>
      </c>
      <c r="S210" s="244" t="s">
        <v>25736</v>
      </c>
      <c r="T210" s="275" t="s">
        <v>25736</v>
      </c>
      <c r="U210" s="275" t="str">
        <f t="shared" si="3"/>
        <v>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v>
      </c>
      <c r="V210" s="300" t="s">
        <v>26963</v>
      </c>
      <c r="W210" s="295"/>
      <c r="X210" s="289"/>
      <c r="Y210" s="289"/>
      <c r="Z210" s="289"/>
      <c r="AA210" s="289"/>
      <c r="AB210" s="289"/>
      <c r="AC210" s="289"/>
      <c r="AD210" s="289"/>
      <c r="AE210" s="289"/>
      <c r="AF210" s="289"/>
      <c r="AG210" s="289"/>
      <c r="AH210" s="289"/>
      <c r="AI210" s="289"/>
      <c r="AJ210" s="289"/>
      <c r="AK210" s="289"/>
      <c r="AL210" s="289"/>
      <c r="AM210" s="289"/>
      <c r="AN210" s="289"/>
      <c r="AO210" s="289"/>
      <c r="AP210" s="289"/>
      <c r="AQ210" s="289"/>
      <c r="AR210" s="289"/>
      <c r="AS210" s="289"/>
      <c r="AT210" s="289"/>
      <c r="AU210" s="289"/>
      <c r="AV210" s="289"/>
      <c r="AW210" s="289" t="s">
        <v>25736</v>
      </c>
      <c r="AX210" s="289"/>
      <c r="AY210" s="289"/>
      <c r="AZ210" s="290"/>
      <c r="BA210" s="290"/>
      <c r="BB210" s="290"/>
      <c r="BC210" s="290"/>
      <c r="BD210" s="290"/>
      <c r="BE210" s="290"/>
      <c r="BF210" s="290"/>
      <c r="BG210" s="290"/>
      <c r="BH210" s="290"/>
      <c r="BI210" s="290"/>
      <c r="BJ210" s="289"/>
      <c r="BK210" s="290"/>
      <c r="BL210" s="290"/>
    </row>
    <row r="211" spans="1:64" ht="27" customHeight="1" x14ac:dyDescent="0.25">
      <c r="A211" s="310" t="s">
        <v>222</v>
      </c>
      <c r="B211" s="311" t="s">
        <v>555</v>
      </c>
      <c r="C211" s="238" t="s">
        <v>555</v>
      </c>
      <c r="D211" s="239">
        <v>0</v>
      </c>
      <c r="E211" s="254">
        <v>1</v>
      </c>
      <c r="F211" s="258" t="s">
        <v>16753</v>
      </c>
      <c r="G211" s="241">
        <v>0</v>
      </c>
      <c r="H211" s="241">
        <v>1</v>
      </c>
      <c r="I211" s="240" t="s">
        <v>16755</v>
      </c>
      <c r="J211" s="241">
        <v>0</v>
      </c>
      <c r="K211" s="241">
        <v>0</v>
      </c>
      <c r="L211" s="241">
        <v>1</v>
      </c>
      <c r="M211" s="240" t="s">
        <v>16832</v>
      </c>
      <c r="N211" s="241">
        <v>1</v>
      </c>
      <c r="O211" s="241">
        <v>0</v>
      </c>
      <c r="P211" s="241">
        <v>0</v>
      </c>
      <c r="Q211" s="259" t="s">
        <v>717</v>
      </c>
      <c r="R211" s="242" t="s">
        <v>16901</v>
      </c>
      <c r="S211" s="244" t="s">
        <v>25737</v>
      </c>
      <c r="T211" s="275" t="s">
        <v>646</v>
      </c>
      <c r="U211" s="275" t="str">
        <f t="shared" si="3"/>
        <v/>
      </c>
      <c r="V211" s="300" t="s">
        <v>26964</v>
      </c>
      <c r="W211" s="295" t="s">
        <v>25738</v>
      </c>
      <c r="X211" s="289"/>
      <c r="Y211" s="289"/>
      <c r="Z211" s="289"/>
      <c r="AA211" s="289"/>
      <c r="AB211" s="289"/>
      <c r="AC211" s="289"/>
      <c r="AD211" s="289"/>
      <c r="AE211" s="289"/>
      <c r="AF211" s="289"/>
      <c r="AG211" s="289"/>
      <c r="AH211" s="289"/>
      <c r="AI211" s="289"/>
      <c r="AJ211" s="289"/>
      <c r="AK211" s="289"/>
      <c r="AL211" s="289"/>
      <c r="AM211" s="289"/>
      <c r="AN211" s="289"/>
      <c r="AO211" s="289"/>
      <c r="AP211" s="289"/>
      <c r="AQ211" s="289"/>
      <c r="AR211" s="289"/>
      <c r="AS211" s="289"/>
      <c r="AT211" s="289"/>
      <c r="AU211" s="290"/>
      <c r="AV211" s="289"/>
      <c r="AW211" s="289"/>
      <c r="AX211" s="289"/>
      <c r="AY211" s="289"/>
      <c r="AZ211" s="290"/>
      <c r="BA211" s="290"/>
      <c r="BB211" s="290"/>
      <c r="BC211" s="290"/>
      <c r="BD211" s="290"/>
      <c r="BE211" s="290"/>
      <c r="BF211" s="290"/>
      <c r="BG211" s="290"/>
      <c r="BH211" s="290"/>
      <c r="BI211" s="290"/>
      <c r="BJ211" s="289"/>
      <c r="BK211" s="290"/>
      <c r="BL211" s="290"/>
    </row>
    <row r="212" spans="1:64" ht="27" customHeight="1" x14ac:dyDescent="0.25">
      <c r="A212" s="310" t="s">
        <v>223</v>
      </c>
      <c r="B212" s="311" t="s">
        <v>556</v>
      </c>
      <c r="C212" s="238" t="s">
        <v>556</v>
      </c>
      <c r="D212" s="239">
        <v>1</v>
      </c>
      <c r="E212" s="254">
        <v>0</v>
      </c>
      <c r="F212" s="258" t="s">
        <v>16764</v>
      </c>
      <c r="G212" s="241">
        <v>1</v>
      </c>
      <c r="H212" s="241">
        <v>0</v>
      </c>
      <c r="I212" s="240" t="s">
        <v>16765</v>
      </c>
      <c r="J212" s="241">
        <v>0</v>
      </c>
      <c r="K212" s="241">
        <v>0</v>
      </c>
      <c r="L212" s="241">
        <v>1</v>
      </c>
      <c r="M212" s="240" t="s">
        <v>16832</v>
      </c>
      <c r="N212" s="241">
        <v>1</v>
      </c>
      <c r="O212" s="241">
        <v>0</v>
      </c>
      <c r="P212" s="241">
        <v>0</v>
      </c>
      <c r="Q212" s="259" t="s">
        <v>717</v>
      </c>
      <c r="R212" s="242" t="s">
        <v>16756</v>
      </c>
      <c r="S212" s="244" t="s">
        <v>17379</v>
      </c>
      <c r="T212" s="275" t="s">
        <v>27221</v>
      </c>
      <c r="U212" s="275" t="str">
        <f t="shared" si="3"/>
        <v>Establisiong proper infrastructure to facilitate communication and ensuring that it works properly.|| Next refer.:TECHNICAL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 Next refer.:Tools and technology: techniques</v>
      </c>
      <c r="V212" s="300" t="s">
        <v>26965</v>
      </c>
      <c r="W212" s="295"/>
      <c r="X212" s="289"/>
      <c r="Y212" s="289" t="s">
        <v>17380</v>
      </c>
      <c r="Z212" s="289"/>
      <c r="AA212" s="289"/>
      <c r="AB212" s="289"/>
      <c r="AC212" s="289"/>
      <c r="AD212" s="289"/>
      <c r="AE212" s="289"/>
      <c r="AF212" s="289"/>
      <c r="AG212" s="289"/>
      <c r="AH212" s="289"/>
      <c r="AI212" s="289"/>
      <c r="AJ212" s="289"/>
      <c r="AK212" s="289"/>
      <c r="AL212" s="289"/>
      <c r="AM212" s="289"/>
      <c r="AN212" s="289"/>
      <c r="AO212" s="289"/>
      <c r="AP212" s="289" t="s">
        <v>17171</v>
      </c>
      <c r="AQ212" s="289"/>
      <c r="AR212" s="289"/>
      <c r="AS212" s="289"/>
      <c r="AT212" s="289"/>
      <c r="AU212" s="289" t="s">
        <v>17172</v>
      </c>
      <c r="AV212" s="289"/>
      <c r="AW212" s="289"/>
      <c r="AX212" s="289"/>
      <c r="AY212" s="289"/>
      <c r="AZ212" s="290"/>
      <c r="BA212" s="290"/>
      <c r="BB212" s="290"/>
      <c r="BC212" s="290"/>
      <c r="BD212" s="290"/>
      <c r="BE212" s="290"/>
      <c r="BF212" s="290"/>
      <c r="BG212" s="290"/>
      <c r="BH212" s="290"/>
      <c r="BI212" s="290"/>
      <c r="BJ212" s="289"/>
      <c r="BK212" s="290"/>
      <c r="BL212" s="290"/>
    </row>
    <row r="213" spans="1:64" ht="27" customHeight="1" x14ac:dyDescent="0.25">
      <c r="A213" s="310" t="s">
        <v>224</v>
      </c>
      <c r="B213" s="311" t="s">
        <v>17173</v>
      </c>
      <c r="C213" s="238" t="s">
        <v>4</v>
      </c>
      <c r="D213" s="239">
        <v>1</v>
      </c>
      <c r="E213" s="254">
        <v>0</v>
      </c>
      <c r="F213" s="258" t="s">
        <v>16764</v>
      </c>
      <c r="G213" s="241">
        <v>1</v>
      </c>
      <c r="H213" s="241">
        <v>0</v>
      </c>
      <c r="I213" s="240" t="s">
        <v>16765</v>
      </c>
      <c r="J213" s="241">
        <v>0</v>
      </c>
      <c r="K213" s="241">
        <v>0</v>
      </c>
      <c r="L213" s="241">
        <v>1</v>
      </c>
      <c r="M213" s="240" t="s">
        <v>16832</v>
      </c>
      <c r="N213" s="241">
        <v>1</v>
      </c>
      <c r="O213" s="241">
        <v>0</v>
      </c>
      <c r="P213" s="241">
        <v>0</v>
      </c>
      <c r="Q213" s="259" t="s">
        <v>717</v>
      </c>
      <c r="R213" s="242" t="s">
        <v>17174</v>
      </c>
      <c r="S213" s="244" t="s">
        <v>25739</v>
      </c>
      <c r="T213" s="275" t="s">
        <v>17175</v>
      </c>
      <c r="U213" s="275" t="str">
        <f t="shared" si="3"/>
        <v>Supporting tools and good infrastructure</v>
      </c>
      <c r="V213" s="300" t="s">
        <v>26966</v>
      </c>
      <c r="W213" s="295" t="s">
        <v>25740</v>
      </c>
      <c r="X213" s="289"/>
      <c r="Y213" s="289"/>
      <c r="Z213" s="289"/>
      <c r="AA213" s="289"/>
      <c r="AB213" s="289"/>
      <c r="AC213" s="289"/>
      <c r="AD213" s="289"/>
      <c r="AE213" s="289"/>
      <c r="AF213" s="289"/>
      <c r="AG213" s="289"/>
      <c r="AH213" s="289"/>
      <c r="AI213" s="289"/>
      <c r="AJ213" s="289"/>
      <c r="AK213" s="289"/>
      <c r="AL213" s="289" t="s">
        <v>17175</v>
      </c>
      <c r="AM213" s="289"/>
      <c r="AN213" s="289"/>
      <c r="AO213" s="289"/>
      <c r="AP213" s="289"/>
      <c r="AQ213" s="289"/>
      <c r="AR213" s="289"/>
      <c r="AS213" s="289"/>
      <c r="AT213" s="289"/>
      <c r="AU213" s="289"/>
      <c r="AV213" s="289"/>
      <c r="AW213" s="289"/>
      <c r="AX213" s="289"/>
      <c r="AY213" s="289"/>
      <c r="AZ213" s="290"/>
      <c r="BA213" s="290"/>
      <c r="BB213" s="290"/>
      <c r="BC213" s="290"/>
      <c r="BD213" s="290"/>
      <c r="BE213" s="290"/>
      <c r="BF213" s="290"/>
      <c r="BG213" s="290"/>
      <c r="BH213" s="290"/>
      <c r="BI213" s="290"/>
      <c r="BJ213" s="289"/>
      <c r="BK213" s="290"/>
      <c r="BL213" s="290"/>
    </row>
    <row r="214" spans="1:64" ht="27" customHeight="1" x14ac:dyDescent="0.25">
      <c r="A214" s="310" t="s">
        <v>225</v>
      </c>
      <c r="B214" s="311" t="s">
        <v>557</v>
      </c>
      <c r="C214" s="238" t="s">
        <v>557</v>
      </c>
      <c r="D214" s="239">
        <v>1</v>
      </c>
      <c r="E214" s="254">
        <v>0</v>
      </c>
      <c r="F214" s="258" t="s">
        <v>16764</v>
      </c>
      <c r="G214" s="241">
        <v>1</v>
      </c>
      <c r="H214" s="241">
        <v>0</v>
      </c>
      <c r="I214" s="240" t="s">
        <v>16765</v>
      </c>
      <c r="J214" s="241">
        <v>0</v>
      </c>
      <c r="K214" s="241">
        <v>1</v>
      </c>
      <c r="L214" s="241">
        <v>0</v>
      </c>
      <c r="M214" s="240" t="s">
        <v>16774</v>
      </c>
      <c r="N214" s="241">
        <v>1</v>
      </c>
      <c r="O214" s="241">
        <v>0</v>
      </c>
      <c r="P214" s="241">
        <v>0</v>
      </c>
      <c r="Q214" s="259" t="s">
        <v>717</v>
      </c>
      <c r="R214" s="242" t="s">
        <v>16901</v>
      </c>
      <c r="S214" s="244" t="s">
        <v>25741</v>
      </c>
      <c r="T214" s="275" t="s">
        <v>646</v>
      </c>
      <c r="U214" s="275" t="str">
        <f t="shared" si="3"/>
        <v/>
      </c>
      <c r="V214" s="300" t="s">
        <v>26967</v>
      </c>
      <c r="W214" s="295" t="s">
        <v>25742</v>
      </c>
      <c r="X214" s="289"/>
      <c r="Y214" s="289"/>
      <c r="Z214" s="289"/>
      <c r="AA214" s="289"/>
      <c r="AB214" s="289"/>
      <c r="AC214" s="289"/>
      <c r="AD214" s="289"/>
      <c r="AE214" s="289"/>
      <c r="AF214" s="289"/>
      <c r="AG214" s="289"/>
      <c r="AH214" s="289"/>
      <c r="AI214" s="289"/>
      <c r="AJ214" s="289"/>
      <c r="AK214" s="289"/>
      <c r="AL214" s="289"/>
      <c r="AM214" s="289"/>
      <c r="AN214" s="289"/>
      <c r="AO214" s="289"/>
      <c r="AP214" s="289"/>
      <c r="AQ214" s="289"/>
      <c r="AR214" s="289"/>
      <c r="AS214" s="289"/>
      <c r="AT214" s="289"/>
      <c r="AU214" s="289"/>
      <c r="AV214" s="289"/>
      <c r="AW214" s="289"/>
      <c r="AX214" s="289"/>
      <c r="AY214" s="289"/>
      <c r="AZ214" s="290"/>
      <c r="BA214" s="290"/>
      <c r="BB214" s="290"/>
      <c r="BC214" s="290"/>
      <c r="BD214" s="290"/>
      <c r="BE214" s="290"/>
      <c r="BF214" s="290"/>
      <c r="BG214" s="290"/>
      <c r="BH214" s="290"/>
      <c r="BI214" s="290"/>
      <c r="BJ214" s="289"/>
      <c r="BK214" s="290"/>
      <c r="BL214" s="290"/>
    </row>
    <row r="215" spans="1:64" ht="27" customHeight="1" x14ac:dyDescent="0.25">
      <c r="A215" s="310" t="s">
        <v>226</v>
      </c>
      <c r="B215" s="311" t="s">
        <v>558</v>
      </c>
      <c r="C215" s="238" t="s">
        <v>558</v>
      </c>
      <c r="D215" s="239">
        <v>1</v>
      </c>
      <c r="E215" s="254">
        <v>0</v>
      </c>
      <c r="F215" s="258" t="s">
        <v>16764</v>
      </c>
      <c r="G215" s="241">
        <v>1</v>
      </c>
      <c r="H215" s="241">
        <v>0</v>
      </c>
      <c r="I215" s="240" t="s">
        <v>16765</v>
      </c>
      <c r="J215" s="241">
        <v>0</v>
      </c>
      <c r="K215" s="241">
        <v>1</v>
      </c>
      <c r="L215" s="241">
        <v>0</v>
      </c>
      <c r="M215" s="240" t="s">
        <v>16774</v>
      </c>
      <c r="N215" s="241">
        <v>1</v>
      </c>
      <c r="O215" s="241">
        <v>0</v>
      </c>
      <c r="P215" s="241">
        <v>0</v>
      </c>
      <c r="Q215" s="259" t="s">
        <v>717</v>
      </c>
      <c r="R215" s="242" t="s">
        <v>16901</v>
      </c>
      <c r="S215" s="244" t="s">
        <v>25743</v>
      </c>
      <c r="T215" s="275" t="s">
        <v>646</v>
      </c>
      <c r="U215" s="275" t="str">
        <f t="shared" si="3"/>
        <v/>
      </c>
      <c r="V215" s="300" t="s">
        <v>26968</v>
      </c>
      <c r="W215" s="295" t="s">
        <v>25744</v>
      </c>
      <c r="X215" s="289"/>
      <c r="Y215" s="289"/>
      <c r="Z215" s="289"/>
      <c r="AA215" s="289"/>
      <c r="AB215" s="289"/>
      <c r="AC215" s="289"/>
      <c r="AD215" s="289"/>
      <c r="AE215" s="289"/>
      <c r="AF215" s="289"/>
      <c r="AG215" s="289"/>
      <c r="AH215" s="289"/>
      <c r="AI215" s="289"/>
      <c r="AJ215" s="289"/>
      <c r="AK215" s="289"/>
      <c r="AL215" s="289"/>
      <c r="AM215" s="289"/>
      <c r="AN215" s="289"/>
      <c r="AO215" s="289"/>
      <c r="AP215" s="289"/>
      <c r="AQ215" s="289"/>
      <c r="AR215" s="289"/>
      <c r="AS215" s="289"/>
      <c r="AT215" s="289"/>
      <c r="AU215" s="289"/>
      <c r="AV215" s="289"/>
      <c r="AW215" s="289"/>
      <c r="AX215" s="289"/>
      <c r="AY215" s="289"/>
      <c r="AZ215" s="290"/>
      <c r="BA215" s="290"/>
      <c r="BB215" s="290"/>
      <c r="BC215" s="290"/>
      <c r="BD215" s="290"/>
      <c r="BE215" s="290"/>
      <c r="BF215" s="290"/>
      <c r="BG215" s="290"/>
      <c r="BH215" s="290"/>
      <c r="BI215" s="290"/>
      <c r="BJ215" s="289"/>
      <c r="BK215" s="290"/>
      <c r="BL215" s="290"/>
    </row>
    <row r="216" spans="1:64" ht="27" customHeight="1" x14ac:dyDescent="0.25">
      <c r="A216" s="310" t="s">
        <v>227</v>
      </c>
      <c r="B216" s="311" t="s">
        <v>559</v>
      </c>
      <c r="C216" s="238" t="s">
        <v>559</v>
      </c>
      <c r="D216" s="239">
        <v>1</v>
      </c>
      <c r="E216" s="254">
        <v>0</v>
      </c>
      <c r="F216" s="258" t="s">
        <v>16764</v>
      </c>
      <c r="G216" s="241">
        <v>1</v>
      </c>
      <c r="H216" s="241">
        <v>0</v>
      </c>
      <c r="I216" s="240" t="s">
        <v>16765</v>
      </c>
      <c r="J216" s="241">
        <v>1</v>
      </c>
      <c r="K216" s="241">
        <v>0</v>
      </c>
      <c r="L216" s="241">
        <v>0</v>
      </c>
      <c r="M216" s="240" t="s">
        <v>16754</v>
      </c>
      <c r="N216" s="241">
        <v>1</v>
      </c>
      <c r="O216" s="241">
        <v>0</v>
      </c>
      <c r="P216" s="241">
        <v>0</v>
      </c>
      <c r="Q216" s="259" t="s">
        <v>717</v>
      </c>
      <c r="R216" s="242" t="s">
        <v>17063</v>
      </c>
      <c r="S216" s="244" t="s">
        <v>25863</v>
      </c>
      <c r="T216" s="275" t="s">
        <v>27222</v>
      </c>
      <c r="U216" s="275" t="str">
        <f t="shared" si="3"/>
        <v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 Next refer.:Poor user stories and their specifications (software methodology)</v>
      </c>
      <c r="V216" s="300" t="s">
        <v>26969</v>
      </c>
      <c r="W216" s="295" t="s">
        <v>25864</v>
      </c>
      <c r="X216" s="290"/>
      <c r="Y216" s="290"/>
      <c r="Z216" s="290"/>
      <c r="AA216" s="290"/>
      <c r="AB216" s="290"/>
      <c r="AC216" s="290"/>
      <c r="AD216" s="290"/>
      <c r="AE216" s="290"/>
      <c r="AF216" s="290"/>
      <c r="AG216" s="290"/>
      <c r="AH216" s="289" t="s">
        <v>27144</v>
      </c>
      <c r="AI216" s="290"/>
      <c r="AJ216" s="289" t="s">
        <v>17176</v>
      </c>
      <c r="AK216" s="290"/>
      <c r="AL216" s="290"/>
      <c r="AM216" s="290"/>
      <c r="AN216" s="290"/>
      <c r="AO216" s="290"/>
      <c r="AP216" s="290"/>
      <c r="AQ216" s="290"/>
      <c r="AR216" s="290"/>
      <c r="AS216" s="290"/>
      <c r="AT216" s="289"/>
      <c r="AU216" s="289"/>
      <c r="AV216" s="289"/>
      <c r="AW216" s="289"/>
      <c r="AX216" s="289"/>
      <c r="AY216" s="289"/>
      <c r="AZ216" s="290"/>
      <c r="BA216" s="290"/>
      <c r="BB216" s="290"/>
      <c r="BC216" s="290"/>
      <c r="BD216" s="290"/>
      <c r="BE216" s="290"/>
      <c r="BF216" s="290"/>
      <c r="BG216" s="290"/>
      <c r="BH216" s="290"/>
      <c r="BI216" s="290"/>
      <c r="BJ216" s="290"/>
      <c r="BK216" s="290"/>
      <c r="BL216" s="290"/>
    </row>
    <row r="217" spans="1:64" ht="27" customHeight="1" x14ac:dyDescent="0.25">
      <c r="A217" s="310" t="s">
        <v>228</v>
      </c>
      <c r="B217" s="311" t="s">
        <v>560</v>
      </c>
      <c r="C217" s="238" t="s">
        <v>560</v>
      </c>
      <c r="D217" s="239">
        <v>1</v>
      </c>
      <c r="E217" s="254">
        <v>0</v>
      </c>
      <c r="F217" s="258" t="s">
        <v>16764</v>
      </c>
      <c r="G217" s="241">
        <v>1</v>
      </c>
      <c r="H217" s="241">
        <v>0</v>
      </c>
      <c r="I217" s="240" t="s">
        <v>16765</v>
      </c>
      <c r="J217" s="241">
        <v>0</v>
      </c>
      <c r="K217" s="241">
        <v>0</v>
      </c>
      <c r="L217" s="241">
        <v>1</v>
      </c>
      <c r="M217" s="240" t="s">
        <v>16832</v>
      </c>
      <c r="N217" s="241">
        <v>0</v>
      </c>
      <c r="O217" s="241">
        <v>1</v>
      </c>
      <c r="P217" s="241">
        <v>0</v>
      </c>
      <c r="Q217" s="259" t="s">
        <v>16827</v>
      </c>
      <c r="R217" s="242" t="s">
        <v>17063</v>
      </c>
      <c r="S217" s="244" t="s">
        <v>25745</v>
      </c>
      <c r="T217" s="275" t="s">
        <v>656</v>
      </c>
      <c r="U217" s="275" t="str">
        <f t="shared" si="3"/>
        <v>Change prioritization, Scheduling of changes, Requirements analysis, Design</v>
      </c>
      <c r="V217" s="300" t="s">
        <v>26970</v>
      </c>
      <c r="W217" s="295"/>
      <c r="X217" s="289"/>
      <c r="Y217" s="289"/>
      <c r="Z217" s="289"/>
      <c r="AA217" s="289"/>
      <c r="AB217" s="289"/>
      <c r="AC217" s="289"/>
      <c r="AD217" s="289"/>
      <c r="AE217" s="289"/>
      <c r="AF217" s="289"/>
      <c r="AG217" s="289"/>
      <c r="AH217" s="289"/>
      <c r="AI217" s="289"/>
      <c r="AJ217" s="289"/>
      <c r="AK217" s="289"/>
      <c r="AL217" s="289"/>
      <c r="AM217" s="289"/>
      <c r="AN217" s="289"/>
      <c r="AO217" s="289"/>
      <c r="AP217" s="289"/>
      <c r="AQ217" s="289"/>
      <c r="AR217" s="289" t="s">
        <v>656</v>
      </c>
      <c r="AS217" s="289"/>
      <c r="AT217" s="289"/>
      <c r="AU217" s="289"/>
      <c r="AV217" s="289"/>
      <c r="AW217" s="289"/>
      <c r="AX217" s="289"/>
      <c r="AY217" s="289"/>
      <c r="AZ217" s="290"/>
      <c r="BA217" s="290"/>
      <c r="BB217" s="290"/>
      <c r="BC217" s="290"/>
      <c r="BD217" s="290"/>
      <c r="BE217" s="290"/>
      <c r="BF217" s="290"/>
      <c r="BG217" s="290"/>
      <c r="BH217" s="290"/>
      <c r="BI217" s="290"/>
      <c r="BJ217" s="289"/>
      <c r="BK217" s="290"/>
      <c r="BL217" s="290"/>
    </row>
    <row r="218" spans="1:64" ht="27" customHeight="1" x14ac:dyDescent="0.25">
      <c r="A218" s="310" t="s">
        <v>229</v>
      </c>
      <c r="B218" s="311" t="s">
        <v>561</v>
      </c>
      <c r="C218" s="238" t="s">
        <v>561</v>
      </c>
      <c r="D218" s="239">
        <v>1</v>
      </c>
      <c r="E218" s="254">
        <v>0</v>
      </c>
      <c r="F218" s="258" t="s">
        <v>16764</v>
      </c>
      <c r="G218" s="241">
        <v>1</v>
      </c>
      <c r="H218" s="241">
        <v>0</v>
      </c>
      <c r="I218" s="240" t="s">
        <v>16765</v>
      </c>
      <c r="J218" s="241">
        <v>0</v>
      </c>
      <c r="K218" s="241">
        <v>0</v>
      </c>
      <c r="L218" s="241">
        <v>1</v>
      </c>
      <c r="M218" s="240" t="s">
        <v>16832</v>
      </c>
      <c r="N218" s="241">
        <v>1</v>
      </c>
      <c r="O218" s="241">
        <v>0</v>
      </c>
      <c r="P218" s="241">
        <v>0</v>
      </c>
      <c r="Q218" s="259" t="s">
        <v>717</v>
      </c>
      <c r="R218" s="242" t="s">
        <v>17063</v>
      </c>
      <c r="S218" s="244" t="s">
        <v>25746</v>
      </c>
      <c r="T218" s="275" t="s">
        <v>657</v>
      </c>
      <c r="U218" s="275" t="str">
        <f t="shared" si="3"/>
        <v>Construction, retrofit test, regression test, perfomance test</v>
      </c>
      <c r="V218" s="300" t="s">
        <v>26971</v>
      </c>
      <c r="W218" s="295"/>
      <c r="X218" s="289"/>
      <c r="Y218" s="289"/>
      <c r="Z218" s="289"/>
      <c r="AA218" s="289"/>
      <c r="AB218" s="289"/>
      <c r="AC218" s="289"/>
      <c r="AD218" s="289"/>
      <c r="AE218" s="289"/>
      <c r="AF218" s="289"/>
      <c r="AG218" s="289"/>
      <c r="AH218" s="289"/>
      <c r="AI218" s="289"/>
      <c r="AJ218" s="289"/>
      <c r="AK218" s="289"/>
      <c r="AL218" s="289"/>
      <c r="AM218" s="289"/>
      <c r="AN218" s="289"/>
      <c r="AO218" s="289"/>
      <c r="AP218" s="289"/>
      <c r="AQ218" s="289"/>
      <c r="AR218" s="289" t="s">
        <v>657</v>
      </c>
      <c r="AS218" s="289"/>
      <c r="AT218" s="289"/>
      <c r="AU218" s="289"/>
      <c r="AV218" s="289"/>
      <c r="AW218" s="289"/>
      <c r="AX218" s="289"/>
      <c r="AY218" s="289"/>
      <c r="AZ218" s="290"/>
      <c r="BA218" s="290"/>
      <c r="BB218" s="290"/>
      <c r="BC218" s="290"/>
      <c r="BD218" s="290"/>
      <c r="BE218" s="290"/>
      <c r="BF218" s="290"/>
      <c r="BG218" s="290"/>
      <c r="BH218" s="290"/>
      <c r="BI218" s="290"/>
      <c r="BJ218" s="289"/>
      <c r="BK218" s="290"/>
      <c r="BL218" s="290"/>
    </row>
    <row r="219" spans="1:64" ht="27" customHeight="1" x14ac:dyDescent="0.25">
      <c r="A219" s="310" t="s">
        <v>230</v>
      </c>
      <c r="B219" s="311" t="s">
        <v>17177</v>
      </c>
      <c r="C219" s="238" t="s">
        <v>562</v>
      </c>
      <c r="D219" s="239">
        <v>1</v>
      </c>
      <c r="E219" s="254">
        <v>0</v>
      </c>
      <c r="F219" s="258" t="s">
        <v>16764</v>
      </c>
      <c r="G219" s="241">
        <v>1</v>
      </c>
      <c r="H219" s="241">
        <v>0</v>
      </c>
      <c r="I219" s="240" t="s">
        <v>16765</v>
      </c>
      <c r="J219" s="241">
        <v>0</v>
      </c>
      <c r="K219" s="241">
        <v>0</v>
      </c>
      <c r="L219" s="241">
        <v>1</v>
      </c>
      <c r="M219" s="240" t="s">
        <v>16832</v>
      </c>
      <c r="N219" s="241">
        <v>1</v>
      </c>
      <c r="O219" s="241">
        <v>0</v>
      </c>
      <c r="P219" s="241">
        <v>0</v>
      </c>
      <c r="Q219" s="259" t="s">
        <v>717</v>
      </c>
      <c r="R219" s="242" t="s">
        <v>17063</v>
      </c>
      <c r="S219" s="244" t="s">
        <v>25748</v>
      </c>
      <c r="T219" s="275" t="s">
        <v>17178</v>
      </c>
      <c r="U219" s="275" t="str">
        <f t="shared" si="3"/>
        <v>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v>
      </c>
      <c r="V219" s="300" t="s">
        <v>26972</v>
      </c>
      <c r="W219" s="295" t="s">
        <v>25747</v>
      </c>
      <c r="X219" s="289"/>
      <c r="Y219" s="289"/>
      <c r="Z219" s="289"/>
      <c r="AA219" s="289"/>
      <c r="AB219" s="289"/>
      <c r="AC219" s="289"/>
      <c r="AD219" s="289"/>
      <c r="AE219" s="289"/>
      <c r="AF219" s="289"/>
      <c r="AG219" s="289"/>
      <c r="AH219" s="289"/>
      <c r="AI219" s="289"/>
      <c r="AJ219" s="289"/>
      <c r="AK219" s="289"/>
      <c r="AL219" s="289"/>
      <c r="AM219" s="289"/>
      <c r="AN219" s="289"/>
      <c r="AO219" s="289"/>
      <c r="AP219" s="289"/>
      <c r="AQ219" s="289"/>
      <c r="AR219" s="289" t="s">
        <v>17178</v>
      </c>
      <c r="AS219" s="289"/>
      <c r="AT219" s="289"/>
      <c r="AU219" s="289"/>
      <c r="AV219" s="289"/>
      <c r="AW219" s="289"/>
      <c r="AX219" s="289"/>
      <c r="AY219" s="289"/>
      <c r="AZ219" s="290"/>
      <c r="BA219" s="290"/>
      <c r="BB219" s="290"/>
      <c r="BC219" s="290"/>
      <c r="BD219" s="290"/>
      <c r="BE219" s="290"/>
      <c r="BF219" s="290"/>
      <c r="BG219" s="290"/>
      <c r="BH219" s="290"/>
      <c r="BI219" s="290"/>
      <c r="BJ219" s="289"/>
      <c r="BK219" s="290"/>
      <c r="BL219" s="290"/>
    </row>
    <row r="220" spans="1:64" ht="27" customHeight="1" x14ac:dyDescent="0.25">
      <c r="A220" s="310" t="s">
        <v>231</v>
      </c>
      <c r="B220" s="311" t="s">
        <v>563</v>
      </c>
      <c r="C220" s="238" t="s">
        <v>563</v>
      </c>
      <c r="D220" s="239">
        <v>1</v>
      </c>
      <c r="E220" s="254">
        <v>0</v>
      </c>
      <c r="F220" s="258" t="s">
        <v>16764</v>
      </c>
      <c r="G220" s="241">
        <v>1</v>
      </c>
      <c r="H220" s="241">
        <v>0</v>
      </c>
      <c r="I220" s="240" t="s">
        <v>16765</v>
      </c>
      <c r="J220" s="241">
        <v>0</v>
      </c>
      <c r="K220" s="241">
        <v>0</v>
      </c>
      <c r="L220" s="241">
        <v>1</v>
      </c>
      <c r="M220" s="240" t="s">
        <v>16832</v>
      </c>
      <c r="N220" s="241">
        <v>1</v>
      </c>
      <c r="O220" s="241">
        <v>0</v>
      </c>
      <c r="P220" s="241">
        <v>0</v>
      </c>
      <c r="Q220" s="259" t="s">
        <v>717</v>
      </c>
      <c r="R220" s="242" t="s">
        <v>17063</v>
      </c>
      <c r="S220" s="244" t="s">
        <v>25865</v>
      </c>
      <c r="T220" s="275" t="s">
        <v>17179</v>
      </c>
      <c r="U220" s="275" t="str">
        <f t="shared" si="3"/>
        <v>Individual initiatives, Mentoring by core team, Employee work life balance</v>
      </c>
      <c r="V220" s="300" t="s">
        <v>26973</v>
      </c>
      <c r="W220" s="295"/>
      <c r="X220" s="289"/>
      <c r="Y220" s="289"/>
      <c r="Z220" s="289"/>
      <c r="AA220" s="289"/>
      <c r="AB220" s="289"/>
      <c r="AC220" s="289"/>
      <c r="AD220" s="289"/>
      <c r="AE220" s="289"/>
      <c r="AF220" s="289"/>
      <c r="AG220" s="289"/>
      <c r="AH220" s="289"/>
      <c r="AI220" s="289"/>
      <c r="AJ220" s="289"/>
      <c r="AK220" s="289"/>
      <c r="AL220" s="289"/>
      <c r="AM220" s="289"/>
      <c r="AN220" s="289"/>
      <c r="AO220" s="289"/>
      <c r="AP220" s="289"/>
      <c r="AQ220" s="289"/>
      <c r="AR220" s="289" t="s">
        <v>17179</v>
      </c>
      <c r="AS220" s="289"/>
      <c r="AT220" s="289"/>
      <c r="AU220" s="289"/>
      <c r="AV220" s="289"/>
      <c r="AW220" s="289"/>
      <c r="AX220" s="289"/>
      <c r="AY220" s="289"/>
      <c r="AZ220" s="290"/>
      <c r="BA220" s="290"/>
      <c r="BB220" s="290"/>
      <c r="BC220" s="290"/>
      <c r="BD220" s="290"/>
      <c r="BE220" s="290"/>
      <c r="BF220" s="290"/>
      <c r="BG220" s="290"/>
      <c r="BH220" s="290"/>
      <c r="BI220" s="290"/>
      <c r="BJ220" s="289"/>
      <c r="BK220" s="290"/>
      <c r="BL220" s="290"/>
    </row>
    <row r="221" spans="1:64" ht="27" customHeight="1" x14ac:dyDescent="0.25">
      <c r="A221" s="310" t="s">
        <v>232</v>
      </c>
      <c r="B221" s="311" t="s">
        <v>17180</v>
      </c>
      <c r="C221" s="238" t="s">
        <v>17181</v>
      </c>
      <c r="D221" s="239">
        <v>0</v>
      </c>
      <c r="E221" s="254">
        <v>1</v>
      </c>
      <c r="F221" s="258" t="s">
        <v>16753</v>
      </c>
      <c r="G221" s="241">
        <v>0</v>
      </c>
      <c r="H221" s="241">
        <v>1</v>
      </c>
      <c r="I221" s="240" t="s">
        <v>16755</v>
      </c>
      <c r="J221" s="241">
        <v>0</v>
      </c>
      <c r="K221" s="241">
        <v>0</v>
      </c>
      <c r="L221" s="241">
        <v>1</v>
      </c>
      <c r="M221" s="240" t="s">
        <v>16832</v>
      </c>
      <c r="N221" s="241">
        <v>1</v>
      </c>
      <c r="O221" s="241">
        <v>0</v>
      </c>
      <c r="P221" s="241">
        <v>0</v>
      </c>
      <c r="Q221" s="259" t="s">
        <v>717</v>
      </c>
      <c r="R221" s="242" t="s">
        <v>16756</v>
      </c>
      <c r="S221" s="244" t="s">
        <v>17182</v>
      </c>
      <c r="T221" s="275" t="s">
        <v>27223</v>
      </c>
      <c r="U221" s="275" t="str">
        <f t="shared" si="3"/>
        <v>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 Next refer.:Lack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v>
      </c>
      <c r="V221" s="300" t="s">
        <v>26974</v>
      </c>
      <c r="W221" s="295"/>
      <c r="X221" s="289"/>
      <c r="Y221" s="289"/>
      <c r="Z221" s="289"/>
      <c r="AA221" s="289"/>
      <c r="AB221" s="289"/>
      <c r="AC221" s="289"/>
      <c r="AD221" s="289"/>
      <c r="AE221" s="289"/>
      <c r="AF221" s="289"/>
      <c r="AG221" s="289"/>
      <c r="AH221" s="289"/>
      <c r="AI221" s="289"/>
      <c r="AJ221" s="289"/>
      <c r="AK221" s="289"/>
      <c r="AL221" s="289"/>
      <c r="AM221" s="289"/>
      <c r="AN221" s="289"/>
      <c r="AO221" s="289"/>
      <c r="AP221" s="289" t="s">
        <v>17183</v>
      </c>
      <c r="AQ221" s="289" t="s">
        <v>17184</v>
      </c>
      <c r="AR221" s="289"/>
      <c r="AS221" s="289"/>
      <c r="AT221" s="289"/>
      <c r="AU221" s="289"/>
      <c r="AV221" s="289"/>
      <c r="AW221" s="289"/>
      <c r="AX221" s="289"/>
      <c r="AY221" s="289"/>
      <c r="AZ221" s="290"/>
      <c r="BA221" s="290"/>
      <c r="BB221" s="290"/>
      <c r="BC221" s="290"/>
      <c r="BD221" s="290"/>
      <c r="BE221" s="290"/>
      <c r="BF221" s="290"/>
      <c r="BG221" s="290"/>
      <c r="BH221" s="290"/>
      <c r="BI221" s="290"/>
      <c r="BJ221" s="289"/>
      <c r="BK221" s="290"/>
      <c r="BL221" s="290"/>
    </row>
    <row r="222" spans="1:64" ht="27" customHeight="1" x14ac:dyDescent="0.25">
      <c r="A222" s="310" t="s">
        <v>233</v>
      </c>
      <c r="B222" s="311" t="s">
        <v>26038</v>
      </c>
      <c r="C222" s="238" t="s">
        <v>565</v>
      </c>
      <c r="D222" s="239">
        <v>0</v>
      </c>
      <c r="E222" s="254">
        <v>1</v>
      </c>
      <c r="F222" s="258" t="s">
        <v>16753</v>
      </c>
      <c r="G222" s="241">
        <v>0</v>
      </c>
      <c r="H222" s="241">
        <v>1</v>
      </c>
      <c r="I222" s="240" t="s">
        <v>16755</v>
      </c>
      <c r="J222" s="241">
        <v>0</v>
      </c>
      <c r="K222" s="241">
        <v>0</v>
      </c>
      <c r="L222" s="241">
        <v>1</v>
      </c>
      <c r="M222" s="240" t="s">
        <v>16832</v>
      </c>
      <c r="N222" s="241">
        <v>1</v>
      </c>
      <c r="O222" s="241">
        <v>0</v>
      </c>
      <c r="P222" s="241">
        <v>0</v>
      </c>
      <c r="Q222" s="259" t="s">
        <v>717</v>
      </c>
      <c r="R222" s="242" t="s">
        <v>16756</v>
      </c>
      <c r="S222" s="244" t="s">
        <v>17185</v>
      </c>
      <c r="T222" s="275" t="s">
        <v>17186</v>
      </c>
      <c r="U222" s="275" t="str">
        <f t="shared" si="3"/>
        <v>Instability manifests itself as changing team structures, changing responsibilities between sites, changes in personnel and in roles of existing personnel.</v>
      </c>
      <c r="V222" s="300" t="s">
        <v>26975</v>
      </c>
      <c r="W222" s="295"/>
      <c r="X222" s="289"/>
      <c r="Y222" s="289"/>
      <c r="Z222" s="289"/>
      <c r="AA222" s="289"/>
      <c r="AB222" s="289"/>
      <c r="AC222" s="289"/>
      <c r="AD222" s="289"/>
      <c r="AE222" s="289"/>
      <c r="AF222" s="289"/>
      <c r="AG222" s="289"/>
      <c r="AH222" s="289"/>
      <c r="AI222" s="289"/>
      <c r="AJ222" s="289"/>
      <c r="AK222" s="289"/>
      <c r="AL222" s="289"/>
      <c r="AM222" s="289"/>
      <c r="AN222" s="289"/>
      <c r="AO222" s="289"/>
      <c r="AP222" s="289"/>
      <c r="AQ222" s="289" t="s">
        <v>17186</v>
      </c>
      <c r="AR222" s="289"/>
      <c r="AS222" s="289"/>
      <c r="AT222" s="289"/>
      <c r="AU222" s="289"/>
      <c r="AV222" s="289"/>
      <c r="AW222" s="289"/>
      <c r="AX222" s="289"/>
      <c r="AY222" s="289"/>
      <c r="AZ222" s="290"/>
      <c r="BA222" s="290"/>
      <c r="BB222" s="290"/>
      <c r="BC222" s="290"/>
      <c r="BD222" s="290"/>
      <c r="BE222" s="290"/>
      <c r="BF222" s="290"/>
      <c r="BG222" s="290"/>
      <c r="BH222" s="290"/>
      <c r="BI222" s="290"/>
      <c r="BJ222" s="289"/>
      <c r="BK222" s="290"/>
      <c r="BL222" s="290"/>
    </row>
    <row r="223" spans="1:64" ht="27" customHeight="1" x14ac:dyDescent="0.25">
      <c r="A223" s="310" t="s">
        <v>234</v>
      </c>
      <c r="B223" s="311" t="s">
        <v>17187</v>
      </c>
      <c r="C223" s="238" t="s">
        <v>566</v>
      </c>
      <c r="D223" s="239">
        <v>1</v>
      </c>
      <c r="E223" s="254">
        <v>0</v>
      </c>
      <c r="F223" s="258" t="s">
        <v>16764</v>
      </c>
      <c r="G223" s="241">
        <v>1</v>
      </c>
      <c r="H223" s="241">
        <v>0</v>
      </c>
      <c r="I223" s="240" t="s">
        <v>16765</v>
      </c>
      <c r="J223" s="241">
        <v>0</v>
      </c>
      <c r="K223" s="241">
        <v>0</v>
      </c>
      <c r="L223" s="241">
        <v>1</v>
      </c>
      <c r="M223" s="240" t="s">
        <v>16832</v>
      </c>
      <c r="N223" s="241">
        <v>1</v>
      </c>
      <c r="O223" s="241">
        <v>0</v>
      </c>
      <c r="P223" s="241">
        <v>0</v>
      </c>
      <c r="Q223" s="259" t="s">
        <v>717</v>
      </c>
      <c r="R223" s="242" t="s">
        <v>16756</v>
      </c>
      <c r="S223" s="244" t="s">
        <v>17188</v>
      </c>
      <c r="T223" s="275" t="s">
        <v>17189</v>
      </c>
      <c r="U223" s="275" t="str">
        <f t="shared" si="3"/>
        <v>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v>
      </c>
      <c r="V223" s="300" t="s">
        <v>26976</v>
      </c>
      <c r="W223" s="295"/>
      <c r="X223" s="289"/>
      <c r="Y223" s="289"/>
      <c r="Z223" s="289"/>
      <c r="AA223" s="289"/>
      <c r="AB223" s="289"/>
      <c r="AC223" s="289"/>
      <c r="AD223" s="289"/>
      <c r="AE223" s="289"/>
      <c r="AF223" s="289"/>
      <c r="AG223" s="289"/>
      <c r="AH223" s="289"/>
      <c r="AI223" s="289"/>
      <c r="AJ223" s="289"/>
      <c r="AK223" s="289"/>
      <c r="AL223" s="289"/>
      <c r="AM223" s="289"/>
      <c r="AN223" s="289"/>
      <c r="AO223" s="289"/>
      <c r="AP223" s="289"/>
      <c r="AQ223" s="289" t="s">
        <v>17189</v>
      </c>
      <c r="AR223" s="289"/>
      <c r="AS223" s="289"/>
      <c r="AT223" s="289"/>
      <c r="AU223" s="289"/>
      <c r="AV223" s="289"/>
      <c r="AW223" s="289"/>
      <c r="AX223" s="289"/>
      <c r="AY223" s="289"/>
      <c r="AZ223" s="290"/>
      <c r="BA223" s="290"/>
      <c r="BB223" s="290"/>
      <c r="BC223" s="290"/>
      <c r="BD223" s="290"/>
      <c r="BE223" s="290"/>
      <c r="BF223" s="290"/>
      <c r="BG223" s="290"/>
      <c r="BH223" s="290"/>
      <c r="BI223" s="290"/>
      <c r="BJ223" s="289"/>
      <c r="BK223" s="290"/>
      <c r="BL223" s="290"/>
    </row>
    <row r="224" spans="1:64" ht="27" customHeight="1" x14ac:dyDescent="0.25">
      <c r="A224" s="310" t="s">
        <v>235</v>
      </c>
      <c r="B224" s="311" t="s">
        <v>567</v>
      </c>
      <c r="C224" s="238" t="s">
        <v>567</v>
      </c>
      <c r="D224" s="239">
        <v>0</v>
      </c>
      <c r="E224" s="254">
        <v>1</v>
      </c>
      <c r="F224" s="258" t="s">
        <v>16753</v>
      </c>
      <c r="G224" s="241">
        <v>0</v>
      </c>
      <c r="H224" s="241">
        <v>1</v>
      </c>
      <c r="I224" s="240" t="s">
        <v>16755</v>
      </c>
      <c r="J224" s="241">
        <v>0</v>
      </c>
      <c r="K224" s="241">
        <v>0</v>
      </c>
      <c r="L224" s="241">
        <v>1</v>
      </c>
      <c r="M224" s="240" t="s">
        <v>16832</v>
      </c>
      <c r="N224" s="241">
        <v>1</v>
      </c>
      <c r="O224" s="241">
        <v>0</v>
      </c>
      <c r="P224" s="241">
        <v>0</v>
      </c>
      <c r="Q224" s="259" t="s">
        <v>717</v>
      </c>
      <c r="R224" s="242" t="s">
        <v>16756</v>
      </c>
      <c r="S224" s="244" t="s">
        <v>17190</v>
      </c>
      <c r="T224" s="275" t="s">
        <v>27224</v>
      </c>
      <c r="U224" s="275" t="str">
        <f t="shared" si="3"/>
        <v>It allows identifying the components, shared libraries, and the implementation that are part of the architecture.|| Next refer.:Include business goals in design (P6 co1 slr) Base architectural decisions on available resources (P6 co2 emp) Establish quality management practices (P6 co3 emp)</v>
      </c>
      <c r="V224" s="300" t="s">
        <v>26977</v>
      </c>
      <c r="W224" s="295"/>
      <c r="X224" s="289"/>
      <c r="Y224" s="289"/>
      <c r="Z224" s="289"/>
      <c r="AA224" s="289"/>
      <c r="AB224" s="289"/>
      <c r="AC224" s="289"/>
      <c r="AD224" s="289"/>
      <c r="AE224" s="289"/>
      <c r="AF224" s="289"/>
      <c r="AG224" s="289" t="s">
        <v>25513</v>
      </c>
      <c r="AH224" s="289"/>
      <c r="AI224" s="289"/>
      <c r="AJ224" s="289"/>
      <c r="AK224" s="289"/>
      <c r="AL224" s="289"/>
      <c r="AM224" s="289"/>
      <c r="AN224" s="289"/>
      <c r="AO224" s="289"/>
      <c r="AP224" s="289"/>
      <c r="AQ224" s="289" t="s">
        <v>17191</v>
      </c>
      <c r="AR224" s="289"/>
      <c r="AS224" s="289"/>
      <c r="AT224" s="289"/>
      <c r="AU224" s="289"/>
      <c r="AV224" s="289"/>
      <c r="AW224" s="289"/>
      <c r="AX224" s="289"/>
      <c r="AY224" s="289"/>
      <c r="AZ224" s="290"/>
      <c r="BA224" s="290"/>
      <c r="BB224" s="290"/>
      <c r="BC224" s="290"/>
      <c r="BD224" s="290"/>
      <c r="BE224" s="290"/>
      <c r="BF224" s="290"/>
      <c r="BG224" s="290"/>
      <c r="BH224" s="290"/>
      <c r="BI224" s="290"/>
      <c r="BJ224" s="289"/>
      <c r="BK224" s="290"/>
      <c r="BL224" s="290"/>
    </row>
    <row r="225" spans="1:64" ht="27" customHeight="1" x14ac:dyDescent="0.25">
      <c r="A225" s="310" t="s">
        <v>236</v>
      </c>
      <c r="B225" s="311" t="s">
        <v>17192</v>
      </c>
      <c r="C225" s="238" t="s">
        <v>26493</v>
      </c>
      <c r="D225" s="239">
        <v>0</v>
      </c>
      <c r="E225" s="254">
        <v>1</v>
      </c>
      <c r="F225" s="258" t="s">
        <v>16753</v>
      </c>
      <c r="G225" s="241">
        <v>0</v>
      </c>
      <c r="H225" s="241">
        <v>1</v>
      </c>
      <c r="I225" s="240" t="s">
        <v>16755</v>
      </c>
      <c r="J225" s="241">
        <v>0</v>
      </c>
      <c r="K225" s="241">
        <v>0</v>
      </c>
      <c r="L225" s="241">
        <v>1</v>
      </c>
      <c r="M225" s="240" t="s">
        <v>16832</v>
      </c>
      <c r="N225" s="241">
        <v>1</v>
      </c>
      <c r="O225" s="241">
        <v>0</v>
      </c>
      <c r="P225" s="241">
        <v>0</v>
      </c>
      <c r="Q225" s="259" t="s">
        <v>717</v>
      </c>
      <c r="R225" s="242" t="s">
        <v>16756</v>
      </c>
      <c r="S225" s="244" t="s">
        <v>17193</v>
      </c>
      <c r="T225" s="275" t="s">
        <v>27225</v>
      </c>
      <c r="U225" s="275" t="str">
        <f t="shared" si="3"/>
        <v>Regularly checking and notifying the progress about mutually agreed upon artifacts.|| Next refer.:Difficulties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v>
      </c>
      <c r="V225" s="300" t="s">
        <v>26978</v>
      </c>
      <c r="W225" s="295"/>
      <c r="X225" s="289"/>
      <c r="Y225" s="289" t="s">
        <v>17394</v>
      </c>
      <c r="Z225" s="289"/>
      <c r="AA225" s="289"/>
      <c r="AB225" s="289"/>
      <c r="AC225" s="289"/>
      <c r="AD225" s="289"/>
      <c r="AE225" s="289"/>
      <c r="AF225" s="289"/>
      <c r="AG225" s="289"/>
      <c r="AH225" s="289"/>
      <c r="AI225" s="289"/>
      <c r="AJ225" s="289"/>
      <c r="AK225" s="289"/>
      <c r="AL225" s="289"/>
      <c r="AM225" s="289"/>
      <c r="AN225" s="289"/>
      <c r="AO225" s="289"/>
      <c r="AP225" s="289"/>
      <c r="AQ225" s="289" t="s">
        <v>17194</v>
      </c>
      <c r="AR225" s="289"/>
      <c r="AS225" s="289"/>
      <c r="AT225" s="289"/>
      <c r="AU225" s="289"/>
      <c r="AV225" s="289"/>
      <c r="AW225" s="289"/>
      <c r="AX225" s="289"/>
      <c r="AY225" s="289"/>
      <c r="AZ225" s="290"/>
      <c r="BA225" s="290"/>
      <c r="BB225" s="290"/>
      <c r="BC225" s="290"/>
      <c r="BD225" s="290"/>
      <c r="BE225" s="290"/>
      <c r="BF225" s="290"/>
      <c r="BG225" s="290"/>
      <c r="BH225" s="290"/>
      <c r="BI225" s="290"/>
      <c r="BJ225" s="289"/>
      <c r="BK225" s="290"/>
      <c r="BL225" s="290"/>
    </row>
    <row r="226" spans="1:64" ht="27" customHeight="1" x14ac:dyDescent="0.25">
      <c r="A226" s="310" t="s">
        <v>237</v>
      </c>
      <c r="B226" s="311" t="s">
        <v>569</v>
      </c>
      <c r="C226" s="238" t="s">
        <v>569</v>
      </c>
      <c r="D226" s="239">
        <v>1</v>
      </c>
      <c r="E226" s="254">
        <v>0</v>
      </c>
      <c r="F226" s="258" t="s">
        <v>16764</v>
      </c>
      <c r="G226" s="241">
        <v>1</v>
      </c>
      <c r="H226" s="241">
        <v>0</v>
      </c>
      <c r="I226" s="240" t="s">
        <v>16765</v>
      </c>
      <c r="J226" s="241">
        <v>0</v>
      </c>
      <c r="K226" s="241">
        <v>0</v>
      </c>
      <c r="L226" s="241">
        <v>1</v>
      </c>
      <c r="M226" s="240" t="s">
        <v>16832</v>
      </c>
      <c r="N226" s="241">
        <v>1</v>
      </c>
      <c r="O226" s="241">
        <v>0</v>
      </c>
      <c r="P226" s="241">
        <v>0</v>
      </c>
      <c r="Q226" s="259" t="s">
        <v>717</v>
      </c>
      <c r="R226" s="242" t="s">
        <v>16756</v>
      </c>
      <c r="S226" s="244" t="s">
        <v>17195</v>
      </c>
      <c r="T226" s="275" t="s">
        <v>17196</v>
      </c>
      <c r="U226" s="275" t="str">
        <f t="shared" si="3"/>
        <v>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v>
      </c>
      <c r="V226" s="300" t="s">
        <v>26979</v>
      </c>
      <c r="W226" s="295"/>
      <c r="X226" s="289"/>
      <c r="Y226" s="289"/>
      <c r="Z226" s="289"/>
      <c r="AA226" s="289"/>
      <c r="AB226" s="289"/>
      <c r="AC226" s="289"/>
      <c r="AD226" s="289"/>
      <c r="AE226" s="289"/>
      <c r="AF226" s="289"/>
      <c r="AG226" s="289"/>
      <c r="AH226" s="289"/>
      <c r="AI226" s="289"/>
      <c r="AJ226" s="289"/>
      <c r="AK226" s="289"/>
      <c r="AL226" s="289"/>
      <c r="AM226" s="289"/>
      <c r="AN226" s="289"/>
      <c r="AO226" s="289"/>
      <c r="AP226" s="289"/>
      <c r="AQ226" s="289" t="s">
        <v>17196</v>
      </c>
      <c r="AR226" s="289"/>
      <c r="AS226" s="289"/>
      <c r="AT226" s="289"/>
      <c r="AU226" s="289"/>
      <c r="AV226" s="289"/>
      <c r="AW226" s="289"/>
      <c r="AX226" s="289"/>
      <c r="AY226" s="289"/>
      <c r="AZ226" s="290"/>
      <c r="BA226" s="290"/>
      <c r="BB226" s="290"/>
      <c r="BC226" s="290"/>
      <c r="BD226" s="290"/>
      <c r="BE226" s="290"/>
      <c r="BF226" s="290"/>
      <c r="BG226" s="290"/>
      <c r="BH226" s="290"/>
      <c r="BI226" s="290"/>
      <c r="BJ226" s="289"/>
      <c r="BK226" s="290"/>
      <c r="BL226" s="290"/>
    </row>
    <row r="227" spans="1:64" ht="27" customHeight="1" x14ac:dyDescent="0.25">
      <c r="A227" s="310" t="s">
        <v>238</v>
      </c>
      <c r="B227" s="311" t="s">
        <v>17197</v>
      </c>
      <c r="C227" s="238" t="s">
        <v>570</v>
      </c>
      <c r="D227" s="239">
        <v>1</v>
      </c>
      <c r="E227" s="254">
        <v>0</v>
      </c>
      <c r="F227" s="258" t="s">
        <v>16764</v>
      </c>
      <c r="G227" s="241">
        <v>1</v>
      </c>
      <c r="H227" s="241">
        <v>0</v>
      </c>
      <c r="I227" s="240" t="s">
        <v>16765</v>
      </c>
      <c r="J227" s="241">
        <v>0</v>
      </c>
      <c r="K227" s="241">
        <v>0</v>
      </c>
      <c r="L227" s="241">
        <v>1</v>
      </c>
      <c r="M227" s="240" t="s">
        <v>16832</v>
      </c>
      <c r="N227" s="241">
        <v>1</v>
      </c>
      <c r="O227" s="241">
        <v>0</v>
      </c>
      <c r="P227" s="241">
        <v>0</v>
      </c>
      <c r="Q227" s="259" t="s">
        <v>717</v>
      </c>
      <c r="R227" s="242" t="s">
        <v>16756</v>
      </c>
      <c r="S227" s="244" t="s">
        <v>17198</v>
      </c>
      <c r="T227" s="275" t="s">
        <v>17199</v>
      </c>
      <c r="U227" s="275" t="str">
        <f t="shared" si="3"/>
        <v>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v>
      </c>
      <c r="V227" s="300" t="s">
        <v>26980</v>
      </c>
      <c r="W227" s="295"/>
      <c r="X227" s="289"/>
      <c r="Y227" s="289"/>
      <c r="Z227" s="289"/>
      <c r="AA227" s="289"/>
      <c r="AB227" s="289"/>
      <c r="AC227" s="289"/>
      <c r="AD227" s="289"/>
      <c r="AE227" s="289"/>
      <c r="AF227" s="289"/>
      <c r="AG227" s="289"/>
      <c r="AH227" s="289"/>
      <c r="AI227" s="289"/>
      <c r="AJ227" s="289"/>
      <c r="AK227" s="289"/>
      <c r="AL227" s="289"/>
      <c r="AM227" s="289"/>
      <c r="AN227" s="289"/>
      <c r="AO227" s="289"/>
      <c r="AP227" s="289"/>
      <c r="AQ227" s="289" t="s">
        <v>17199</v>
      </c>
      <c r="AR227" s="289"/>
      <c r="AS227" s="289"/>
      <c r="AT227" s="289"/>
      <c r="AU227" s="289"/>
      <c r="AV227" s="289"/>
      <c r="AW227" s="289"/>
      <c r="AX227" s="289"/>
      <c r="AY227" s="289"/>
      <c r="AZ227" s="290"/>
      <c r="BA227" s="290"/>
      <c r="BB227" s="290"/>
      <c r="BC227" s="290"/>
      <c r="BD227" s="290"/>
      <c r="BE227" s="290"/>
      <c r="BF227" s="290"/>
      <c r="BG227" s="290"/>
      <c r="BH227" s="290"/>
      <c r="BI227" s="290"/>
      <c r="BJ227" s="289"/>
      <c r="BK227" s="290"/>
      <c r="BL227" s="290"/>
    </row>
    <row r="228" spans="1:64" ht="27" customHeight="1" x14ac:dyDescent="0.25">
      <c r="A228" s="310" t="s">
        <v>239</v>
      </c>
      <c r="B228" s="311" t="s">
        <v>17200</v>
      </c>
      <c r="C228" s="238" t="s">
        <v>571</v>
      </c>
      <c r="D228" s="239">
        <v>1</v>
      </c>
      <c r="E228" s="254">
        <v>0</v>
      </c>
      <c r="F228" s="258" t="s">
        <v>16764</v>
      </c>
      <c r="G228" s="241">
        <v>1</v>
      </c>
      <c r="H228" s="241">
        <v>0</v>
      </c>
      <c r="I228" s="240" t="s">
        <v>16765</v>
      </c>
      <c r="J228" s="241">
        <v>0</v>
      </c>
      <c r="K228" s="241">
        <v>0</v>
      </c>
      <c r="L228" s="241">
        <v>1</v>
      </c>
      <c r="M228" s="240" t="s">
        <v>16832</v>
      </c>
      <c r="N228" s="241">
        <v>1</v>
      </c>
      <c r="O228" s="241">
        <v>0</v>
      </c>
      <c r="P228" s="241">
        <v>0</v>
      </c>
      <c r="Q228" s="259" t="s">
        <v>717</v>
      </c>
      <c r="R228" s="242" t="s">
        <v>16756</v>
      </c>
      <c r="S228" s="244" t="s">
        <v>17201</v>
      </c>
      <c r="T228" s="275" t="s">
        <v>17202</v>
      </c>
      <c r="U228" s="275" t="str">
        <f t="shared" si="3"/>
        <v>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v>
      </c>
      <c r="V228" s="300" t="s">
        <v>26981</v>
      </c>
      <c r="W228" s="295"/>
      <c r="X228" s="289"/>
      <c r="Y228" s="289"/>
      <c r="Z228" s="289"/>
      <c r="AA228" s="289"/>
      <c r="AB228" s="289"/>
      <c r="AC228" s="289"/>
      <c r="AD228" s="289"/>
      <c r="AE228" s="289"/>
      <c r="AF228" s="289"/>
      <c r="AG228" s="289"/>
      <c r="AH228" s="289"/>
      <c r="AI228" s="289"/>
      <c r="AJ228" s="289"/>
      <c r="AK228" s="289"/>
      <c r="AL228" s="289"/>
      <c r="AM228" s="289"/>
      <c r="AN228" s="289"/>
      <c r="AO228" s="289"/>
      <c r="AP228" s="289"/>
      <c r="AQ228" s="289" t="s">
        <v>17202</v>
      </c>
      <c r="AR228" s="289"/>
      <c r="AS228" s="289"/>
      <c r="AT228" s="289"/>
      <c r="AU228" s="289"/>
      <c r="AV228" s="289"/>
      <c r="AW228" s="289"/>
      <c r="AX228" s="289"/>
      <c r="AY228" s="289"/>
      <c r="AZ228" s="290"/>
      <c r="BA228" s="290"/>
      <c r="BB228" s="290"/>
      <c r="BC228" s="290"/>
      <c r="BD228" s="290"/>
      <c r="BE228" s="290"/>
      <c r="BF228" s="290"/>
      <c r="BG228" s="290"/>
      <c r="BH228" s="290"/>
      <c r="BI228" s="290"/>
      <c r="BJ228" s="289"/>
      <c r="BK228" s="290"/>
      <c r="BL228" s="290"/>
    </row>
    <row r="229" spans="1:64" ht="27" customHeight="1" x14ac:dyDescent="0.25">
      <c r="A229" s="310" t="s">
        <v>240</v>
      </c>
      <c r="B229" s="311" t="s">
        <v>17203</v>
      </c>
      <c r="C229" s="238" t="s">
        <v>572</v>
      </c>
      <c r="D229" s="239">
        <v>0</v>
      </c>
      <c r="E229" s="254">
        <v>1</v>
      </c>
      <c r="F229" s="258" t="s">
        <v>16753</v>
      </c>
      <c r="G229" s="241">
        <v>0</v>
      </c>
      <c r="H229" s="241">
        <v>1</v>
      </c>
      <c r="I229" s="240" t="s">
        <v>16755</v>
      </c>
      <c r="J229" s="241">
        <v>0</v>
      </c>
      <c r="K229" s="241">
        <v>0</v>
      </c>
      <c r="L229" s="241">
        <v>1</v>
      </c>
      <c r="M229" s="240" t="s">
        <v>16832</v>
      </c>
      <c r="N229" s="241">
        <v>1</v>
      </c>
      <c r="O229" s="241">
        <v>0</v>
      </c>
      <c r="P229" s="241">
        <v>0</v>
      </c>
      <c r="Q229" s="259" t="s">
        <v>717</v>
      </c>
      <c r="R229" s="242" t="s">
        <v>16756</v>
      </c>
      <c r="S229" s="244" t="s">
        <v>17204</v>
      </c>
      <c r="T229" s="275" t="s">
        <v>17205</v>
      </c>
      <c r="U229" s="275" t="str">
        <f t="shared" si="3"/>
        <v>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v>
      </c>
      <c r="V229" s="300" t="s">
        <v>26982</v>
      </c>
      <c r="W229" s="295"/>
      <c r="X229" s="289"/>
      <c r="Y229" s="289"/>
      <c r="Z229" s="289"/>
      <c r="AA229" s="289"/>
      <c r="AB229" s="289"/>
      <c r="AC229" s="289"/>
      <c r="AD229" s="289"/>
      <c r="AE229" s="289"/>
      <c r="AF229" s="289"/>
      <c r="AG229" s="289"/>
      <c r="AH229" s="289"/>
      <c r="AI229" s="289"/>
      <c r="AJ229" s="289"/>
      <c r="AK229" s="289"/>
      <c r="AL229" s="289"/>
      <c r="AM229" s="289"/>
      <c r="AN229" s="289"/>
      <c r="AO229" s="289"/>
      <c r="AP229" s="289"/>
      <c r="AQ229" s="289" t="s">
        <v>17205</v>
      </c>
      <c r="AR229" s="289"/>
      <c r="AS229" s="289"/>
      <c r="AT229" s="289"/>
      <c r="AU229" s="289"/>
      <c r="AV229" s="289"/>
      <c r="AW229" s="289"/>
      <c r="AX229" s="289"/>
      <c r="AY229" s="289"/>
      <c r="AZ229" s="290"/>
      <c r="BA229" s="290"/>
      <c r="BB229" s="290"/>
      <c r="BC229" s="290"/>
      <c r="BD229" s="290"/>
      <c r="BE229" s="290"/>
      <c r="BF229" s="290"/>
      <c r="BG229" s="290"/>
      <c r="BH229" s="290"/>
      <c r="BI229" s="290"/>
      <c r="BJ229" s="289"/>
      <c r="BK229" s="290"/>
      <c r="BL229" s="290"/>
    </row>
    <row r="230" spans="1:64" ht="27" customHeight="1" x14ac:dyDescent="0.25">
      <c r="A230" s="310" t="s">
        <v>241</v>
      </c>
      <c r="B230" s="311" t="s">
        <v>17206</v>
      </c>
      <c r="C230" s="238" t="s">
        <v>573</v>
      </c>
      <c r="D230" s="239">
        <v>1</v>
      </c>
      <c r="E230" s="254">
        <v>0</v>
      </c>
      <c r="F230" s="258" t="s">
        <v>16764</v>
      </c>
      <c r="G230" s="241">
        <v>1</v>
      </c>
      <c r="H230" s="241">
        <v>0</v>
      </c>
      <c r="I230" s="240" t="s">
        <v>16765</v>
      </c>
      <c r="J230" s="241">
        <v>0</v>
      </c>
      <c r="K230" s="241">
        <v>0</v>
      </c>
      <c r="L230" s="241">
        <v>1</v>
      </c>
      <c r="M230" s="240" t="s">
        <v>16832</v>
      </c>
      <c r="N230" s="241">
        <v>1</v>
      </c>
      <c r="O230" s="241">
        <v>0</v>
      </c>
      <c r="P230" s="241">
        <v>0</v>
      </c>
      <c r="Q230" s="259" t="s">
        <v>717</v>
      </c>
      <c r="R230" s="242" t="s">
        <v>16756</v>
      </c>
      <c r="S230" s="244" t="s">
        <v>17207</v>
      </c>
      <c r="T230" s="275" t="s">
        <v>17208</v>
      </c>
      <c r="U230" s="275" t="str">
        <f t="shared" si="3"/>
        <v>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v>
      </c>
      <c r="V230" s="300" t="s">
        <v>26983</v>
      </c>
      <c r="W230" s="295"/>
      <c r="X230" s="289"/>
      <c r="Y230" s="289"/>
      <c r="Z230" s="289"/>
      <c r="AA230" s="289"/>
      <c r="AB230" s="289"/>
      <c r="AC230" s="289"/>
      <c r="AD230" s="289"/>
      <c r="AE230" s="289"/>
      <c r="AF230" s="289"/>
      <c r="AG230" s="289"/>
      <c r="AH230" s="289"/>
      <c r="AI230" s="289"/>
      <c r="AJ230" s="289"/>
      <c r="AK230" s="289"/>
      <c r="AL230" s="289"/>
      <c r="AM230" s="289"/>
      <c r="AN230" s="289"/>
      <c r="AO230" s="289"/>
      <c r="AP230" s="289"/>
      <c r="AQ230" s="289" t="s">
        <v>17208</v>
      </c>
      <c r="AR230" s="289"/>
      <c r="AS230" s="289"/>
      <c r="AT230" s="289"/>
      <c r="AU230" s="289"/>
      <c r="AV230" s="289"/>
      <c r="AW230" s="289"/>
      <c r="AX230" s="289"/>
      <c r="AY230" s="289"/>
      <c r="AZ230" s="290"/>
      <c r="BA230" s="290"/>
      <c r="BB230" s="290"/>
      <c r="BC230" s="290"/>
      <c r="BD230" s="290"/>
      <c r="BE230" s="290"/>
      <c r="BF230" s="290"/>
      <c r="BG230" s="290"/>
      <c r="BH230" s="290"/>
      <c r="BI230" s="290"/>
      <c r="BJ230" s="289"/>
      <c r="BK230" s="290"/>
      <c r="BL230" s="290"/>
    </row>
    <row r="231" spans="1:64" ht="27" customHeight="1" x14ac:dyDescent="0.25">
      <c r="A231" s="310" t="s">
        <v>242</v>
      </c>
      <c r="B231" s="311" t="s">
        <v>26039</v>
      </c>
      <c r="C231" s="238" t="s">
        <v>574</v>
      </c>
      <c r="D231" s="239">
        <v>1</v>
      </c>
      <c r="E231" s="254">
        <v>0</v>
      </c>
      <c r="F231" s="258" t="s">
        <v>16764</v>
      </c>
      <c r="G231" s="241">
        <v>1</v>
      </c>
      <c r="H231" s="241">
        <v>0</v>
      </c>
      <c r="I231" s="240" t="s">
        <v>16765</v>
      </c>
      <c r="J231" s="241">
        <v>0</v>
      </c>
      <c r="K231" s="241">
        <v>0</v>
      </c>
      <c r="L231" s="241">
        <v>1</v>
      </c>
      <c r="M231" s="240" t="s">
        <v>16832</v>
      </c>
      <c r="N231" s="241">
        <v>1</v>
      </c>
      <c r="O231" s="241">
        <v>0</v>
      </c>
      <c r="P231" s="241">
        <v>0</v>
      </c>
      <c r="Q231" s="259" t="s">
        <v>717</v>
      </c>
      <c r="R231" s="242" t="s">
        <v>16756</v>
      </c>
      <c r="S231" s="244" t="s">
        <v>17209</v>
      </c>
      <c r="T231" s="275" t="s">
        <v>17210</v>
      </c>
      <c r="U231" s="275" t="str">
        <f t="shared" si="3"/>
        <v>Use (call) graphs/matrices to depict and detect coupling (P8 co1 slr) Use visualization of decisions/metrics (P8 co2 slr) Use collaborative modeling (P8 co3 slr) Use a variety of diagrams promote awareness (P8 co4 slr) Don’t over-rely on UML diagrams (P8 co5 slr)</v>
      </c>
      <c r="V231" s="300" t="s">
        <v>26984</v>
      </c>
      <c r="W231" s="295"/>
      <c r="X231" s="289"/>
      <c r="Y231" s="289"/>
      <c r="Z231" s="289"/>
      <c r="AA231" s="289"/>
      <c r="AB231" s="289"/>
      <c r="AC231" s="289"/>
      <c r="AD231" s="289"/>
      <c r="AE231" s="289"/>
      <c r="AF231" s="289"/>
      <c r="AG231" s="289"/>
      <c r="AH231" s="289"/>
      <c r="AI231" s="289"/>
      <c r="AJ231" s="289"/>
      <c r="AK231" s="289"/>
      <c r="AL231" s="289"/>
      <c r="AM231" s="289"/>
      <c r="AN231" s="289"/>
      <c r="AO231" s="289"/>
      <c r="AP231" s="289"/>
      <c r="AQ231" s="289" t="s">
        <v>17210</v>
      </c>
      <c r="AR231" s="289"/>
      <c r="AS231" s="289"/>
      <c r="AT231" s="289"/>
      <c r="AU231" s="289"/>
      <c r="AV231" s="289"/>
      <c r="AW231" s="289"/>
      <c r="AX231" s="289"/>
      <c r="AY231" s="289"/>
      <c r="AZ231" s="290"/>
      <c r="BA231" s="290"/>
      <c r="BB231" s="290"/>
      <c r="BC231" s="290"/>
      <c r="BD231" s="290"/>
      <c r="BE231" s="290"/>
      <c r="BF231" s="290"/>
      <c r="BG231" s="290"/>
      <c r="BH231" s="290"/>
      <c r="BI231" s="290"/>
      <c r="BJ231" s="289"/>
      <c r="BK231" s="290"/>
      <c r="BL231" s="290"/>
    </row>
    <row r="232" spans="1:64" ht="27" customHeight="1" x14ac:dyDescent="0.25">
      <c r="A232" s="310" t="s">
        <v>243</v>
      </c>
      <c r="B232" s="311" t="s">
        <v>17211</v>
      </c>
      <c r="C232" s="238" t="s">
        <v>575</v>
      </c>
      <c r="D232" s="239">
        <v>1</v>
      </c>
      <c r="E232" s="254">
        <v>0</v>
      </c>
      <c r="F232" s="258" t="s">
        <v>16764</v>
      </c>
      <c r="G232" s="241">
        <v>1</v>
      </c>
      <c r="H232" s="241">
        <v>0</v>
      </c>
      <c r="I232" s="240" t="s">
        <v>16765</v>
      </c>
      <c r="J232" s="241">
        <v>0</v>
      </c>
      <c r="K232" s="241">
        <v>0</v>
      </c>
      <c r="L232" s="241">
        <v>1</v>
      </c>
      <c r="M232" s="240" t="s">
        <v>16832</v>
      </c>
      <c r="N232" s="241">
        <v>1</v>
      </c>
      <c r="O232" s="241">
        <v>0</v>
      </c>
      <c r="P232" s="241">
        <v>0</v>
      </c>
      <c r="Q232" s="259" t="s">
        <v>717</v>
      </c>
      <c r="R232" s="242" t="s">
        <v>16756</v>
      </c>
      <c r="S232" s="244" t="s">
        <v>17212</v>
      </c>
      <c r="T232" s="275" t="s">
        <v>27226</v>
      </c>
      <c r="U232" s="275" t="str">
        <f t="shared" si="3"/>
        <v>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 Next refer.:Allocation of core team. Allocation of whole team|| Next refer.:RCM tasks allocation across GSD sites</v>
      </c>
      <c r="V232" s="300" t="s">
        <v>26985</v>
      </c>
      <c r="W232" s="295"/>
      <c r="X232" s="289"/>
      <c r="Y232" s="289"/>
      <c r="Z232" s="289"/>
      <c r="AA232" s="289"/>
      <c r="AB232" s="289"/>
      <c r="AC232" s="289"/>
      <c r="AD232" s="289"/>
      <c r="AE232" s="289"/>
      <c r="AF232" s="289"/>
      <c r="AG232" s="289"/>
      <c r="AH232" s="289"/>
      <c r="AI232" s="289"/>
      <c r="AJ232" s="289"/>
      <c r="AK232" s="289"/>
      <c r="AL232" s="289"/>
      <c r="AM232" s="289"/>
      <c r="AN232" s="289"/>
      <c r="AO232" s="289"/>
      <c r="AP232" s="289"/>
      <c r="AQ232" s="289" t="s">
        <v>17213</v>
      </c>
      <c r="AR232" s="289" t="s">
        <v>17214</v>
      </c>
      <c r="AS232" s="289" t="s">
        <v>17215</v>
      </c>
      <c r="AT232" s="289"/>
      <c r="AU232" s="289"/>
      <c r="AV232" s="289"/>
      <c r="AW232" s="289"/>
      <c r="AX232" s="289"/>
      <c r="AY232" s="289"/>
      <c r="AZ232" s="290"/>
      <c r="BA232" s="290"/>
      <c r="BB232" s="290"/>
      <c r="BC232" s="290"/>
      <c r="BD232" s="290"/>
      <c r="BE232" s="290"/>
      <c r="BF232" s="290"/>
      <c r="BG232" s="290"/>
      <c r="BH232" s="290"/>
      <c r="BI232" s="290"/>
      <c r="BJ232" s="289"/>
      <c r="BK232" s="290"/>
      <c r="BL232" s="290"/>
    </row>
    <row r="233" spans="1:64" ht="27" customHeight="1" x14ac:dyDescent="0.25">
      <c r="A233" s="310" t="s">
        <v>244</v>
      </c>
      <c r="B233" s="311" t="s">
        <v>17216</v>
      </c>
      <c r="C233" s="238" t="s">
        <v>576</v>
      </c>
      <c r="D233" s="239">
        <v>0</v>
      </c>
      <c r="E233" s="254">
        <v>1</v>
      </c>
      <c r="F233" s="258" t="s">
        <v>16753</v>
      </c>
      <c r="G233" s="241">
        <v>0</v>
      </c>
      <c r="H233" s="241">
        <v>1</v>
      </c>
      <c r="I233" s="240" t="s">
        <v>16755</v>
      </c>
      <c r="J233" s="241">
        <v>0</v>
      </c>
      <c r="K233" s="241">
        <v>0</v>
      </c>
      <c r="L233" s="241">
        <v>1</v>
      </c>
      <c r="M233" s="240" t="s">
        <v>16832</v>
      </c>
      <c r="N233" s="241">
        <v>1</v>
      </c>
      <c r="O233" s="241">
        <v>0</v>
      </c>
      <c r="P233" s="241">
        <v>0</v>
      </c>
      <c r="Q233" s="259" t="s">
        <v>717</v>
      </c>
      <c r="R233" s="242" t="s">
        <v>16756</v>
      </c>
      <c r="S233" s="244" t="s">
        <v>17217</v>
      </c>
      <c r="T233" s="275" t="s">
        <v>27227</v>
      </c>
      <c r="U233" s="275" t="str">
        <f t="shared" si="3"/>
        <v>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 Next refer.:Identify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v>
      </c>
      <c r="V233" s="300" t="s">
        <v>26986</v>
      </c>
      <c r="W233" s="295"/>
      <c r="X233" s="289"/>
      <c r="Y233" s="289"/>
      <c r="Z233" s="289"/>
      <c r="AA233" s="289"/>
      <c r="AB233" s="289"/>
      <c r="AC233" s="289"/>
      <c r="AD233" s="289"/>
      <c r="AE233" s="289"/>
      <c r="AF233" s="289"/>
      <c r="AG233" s="289"/>
      <c r="AH233" s="289"/>
      <c r="AI233" s="289" t="s">
        <v>27130</v>
      </c>
      <c r="AJ233" s="289"/>
      <c r="AK233" s="289"/>
      <c r="AL233" s="289"/>
      <c r="AM233" s="289"/>
      <c r="AN233" s="289"/>
      <c r="AO233" s="289"/>
      <c r="AP233" s="289"/>
      <c r="AQ233" s="289" t="s">
        <v>17218</v>
      </c>
      <c r="AR233" s="289"/>
      <c r="AS233" s="289"/>
      <c r="AT233" s="289"/>
      <c r="AU233" s="289"/>
      <c r="AV233" s="289"/>
      <c r="AW233" s="289"/>
      <c r="AX233" s="289"/>
      <c r="AY233" s="289"/>
      <c r="AZ233" s="290"/>
      <c r="BA233" s="290"/>
      <c r="BB233" s="290"/>
      <c r="BC233" s="290"/>
      <c r="BD233" s="290"/>
      <c r="BE233" s="290"/>
      <c r="BF233" s="290"/>
      <c r="BG233" s="290"/>
      <c r="BH233" s="290"/>
      <c r="BI233" s="290"/>
      <c r="BJ233" s="289"/>
      <c r="BK233" s="290"/>
      <c r="BL233" s="290"/>
    </row>
    <row r="234" spans="1:64" ht="27" customHeight="1" x14ac:dyDescent="0.25">
      <c r="A234" s="310" t="s">
        <v>245</v>
      </c>
      <c r="B234" s="311" t="s">
        <v>17219</v>
      </c>
      <c r="C234" s="238" t="s">
        <v>577</v>
      </c>
      <c r="D234" s="239">
        <v>0</v>
      </c>
      <c r="E234" s="254">
        <v>1</v>
      </c>
      <c r="F234" s="258" t="s">
        <v>16753</v>
      </c>
      <c r="G234" s="241">
        <v>0</v>
      </c>
      <c r="H234" s="241">
        <v>1</v>
      </c>
      <c r="I234" s="240" t="s">
        <v>16755</v>
      </c>
      <c r="J234" s="241">
        <v>0</v>
      </c>
      <c r="K234" s="241">
        <v>0</v>
      </c>
      <c r="L234" s="241">
        <v>1</v>
      </c>
      <c r="M234" s="240" t="s">
        <v>16832</v>
      </c>
      <c r="N234" s="241">
        <v>1</v>
      </c>
      <c r="O234" s="241">
        <v>0</v>
      </c>
      <c r="P234" s="241">
        <v>0</v>
      </c>
      <c r="Q234" s="259" t="s">
        <v>717</v>
      </c>
      <c r="R234" s="242" t="s">
        <v>16756</v>
      </c>
      <c r="S234" s="244" t="s">
        <v>17220</v>
      </c>
      <c r="T234" s="275" t="s">
        <v>27228</v>
      </c>
      <c r="U234" s="275" t="str">
        <f t="shared" si="3"/>
        <v>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 Next refer.:Tool usage, project govenance plan, knowledge transfer, metrics and continual improvement, planning for SME time</v>
      </c>
      <c r="V234" s="300" t="s">
        <v>26987</v>
      </c>
      <c r="W234" s="295"/>
      <c r="X234" s="289"/>
      <c r="Y234" s="289"/>
      <c r="Z234" s="289"/>
      <c r="AA234" s="289"/>
      <c r="AB234" s="289"/>
      <c r="AC234" s="289"/>
      <c r="AD234" s="289"/>
      <c r="AE234" s="289"/>
      <c r="AF234" s="289"/>
      <c r="AG234" s="289"/>
      <c r="AH234" s="289"/>
      <c r="AI234" s="289"/>
      <c r="AJ234" s="289"/>
      <c r="AK234" s="289"/>
      <c r="AL234" s="289"/>
      <c r="AM234" s="289"/>
      <c r="AN234" s="289"/>
      <c r="AO234" s="289"/>
      <c r="AP234" s="289"/>
      <c r="AQ234" s="289" t="s">
        <v>17221</v>
      </c>
      <c r="AR234" s="289" t="s">
        <v>27131</v>
      </c>
      <c r="AS234" s="289"/>
      <c r="AT234" s="289"/>
      <c r="AU234" s="289"/>
      <c r="AV234" s="289"/>
      <c r="AW234" s="289"/>
      <c r="AX234" s="289"/>
      <c r="AY234" s="289"/>
      <c r="AZ234" s="290"/>
      <c r="BA234" s="290"/>
      <c r="BB234" s="290"/>
      <c r="BC234" s="290"/>
      <c r="BD234" s="290"/>
      <c r="BE234" s="290"/>
      <c r="BF234" s="290"/>
      <c r="BG234" s="290"/>
      <c r="BH234" s="290"/>
      <c r="BI234" s="290"/>
      <c r="BJ234" s="289"/>
      <c r="BK234" s="290"/>
      <c r="BL234" s="290"/>
    </row>
    <row r="235" spans="1:64" ht="27" customHeight="1" x14ac:dyDescent="0.25">
      <c r="A235" s="310" t="s">
        <v>246</v>
      </c>
      <c r="B235" s="311" t="s">
        <v>17222</v>
      </c>
      <c r="C235" s="238" t="s">
        <v>578</v>
      </c>
      <c r="D235" s="239">
        <v>1</v>
      </c>
      <c r="E235" s="254">
        <v>0</v>
      </c>
      <c r="F235" s="258" t="s">
        <v>16764</v>
      </c>
      <c r="G235" s="241">
        <v>1</v>
      </c>
      <c r="H235" s="241">
        <v>0</v>
      </c>
      <c r="I235" s="240" t="s">
        <v>16765</v>
      </c>
      <c r="J235" s="241">
        <v>0</v>
      </c>
      <c r="K235" s="241">
        <v>0</v>
      </c>
      <c r="L235" s="241">
        <v>1</v>
      </c>
      <c r="M235" s="240" t="s">
        <v>16832</v>
      </c>
      <c r="N235" s="241">
        <v>1</v>
      </c>
      <c r="O235" s="241">
        <v>0</v>
      </c>
      <c r="P235" s="241">
        <v>0</v>
      </c>
      <c r="Q235" s="259" t="s">
        <v>717</v>
      </c>
      <c r="R235" s="242" t="s">
        <v>16756</v>
      </c>
      <c r="S235" s="244" t="s">
        <v>17223</v>
      </c>
      <c r="T235" s="275" t="s">
        <v>17224</v>
      </c>
      <c r="U235" s="275" t="str">
        <f t="shared" si="3"/>
        <v>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v>
      </c>
      <c r="V235" s="300" t="s">
        <v>26988</v>
      </c>
      <c r="W235" s="295"/>
      <c r="X235" s="289"/>
      <c r="Y235" s="289"/>
      <c r="Z235" s="289"/>
      <c r="AA235" s="289"/>
      <c r="AB235" s="289"/>
      <c r="AC235" s="289"/>
      <c r="AD235" s="289"/>
      <c r="AE235" s="289"/>
      <c r="AF235" s="289"/>
      <c r="AG235" s="289"/>
      <c r="AH235" s="289"/>
      <c r="AI235" s="289"/>
      <c r="AJ235" s="289"/>
      <c r="AK235" s="289"/>
      <c r="AL235" s="289"/>
      <c r="AM235" s="289"/>
      <c r="AN235" s="289"/>
      <c r="AO235" s="289"/>
      <c r="AP235" s="289"/>
      <c r="AQ235" s="289" t="s">
        <v>17224</v>
      </c>
      <c r="AR235" s="289"/>
      <c r="AS235" s="289"/>
      <c r="AT235" s="289"/>
      <c r="AU235" s="289"/>
      <c r="AV235" s="289"/>
      <c r="AW235" s="289"/>
      <c r="AX235" s="289"/>
      <c r="AY235" s="289"/>
      <c r="AZ235" s="290"/>
      <c r="BA235" s="290"/>
      <c r="BB235" s="290"/>
      <c r="BC235" s="290"/>
      <c r="BD235" s="290"/>
      <c r="BE235" s="290"/>
      <c r="BF235" s="290"/>
      <c r="BG235" s="290"/>
      <c r="BH235" s="290"/>
      <c r="BI235" s="290"/>
      <c r="BJ235" s="289"/>
      <c r="BK235" s="290"/>
      <c r="BL235" s="290"/>
    </row>
    <row r="236" spans="1:64" ht="27" customHeight="1" x14ac:dyDescent="0.25">
      <c r="A236" s="310" t="s">
        <v>247</v>
      </c>
      <c r="B236" s="311" t="s">
        <v>17225</v>
      </c>
      <c r="C236" s="238" t="s">
        <v>579</v>
      </c>
      <c r="D236" s="239">
        <v>0</v>
      </c>
      <c r="E236" s="254">
        <v>1</v>
      </c>
      <c r="F236" s="258" t="s">
        <v>16753</v>
      </c>
      <c r="G236" s="241">
        <v>0</v>
      </c>
      <c r="H236" s="241">
        <v>1</v>
      </c>
      <c r="I236" s="240" t="s">
        <v>16755</v>
      </c>
      <c r="J236" s="241">
        <v>0</v>
      </c>
      <c r="K236" s="241">
        <v>0</v>
      </c>
      <c r="L236" s="241">
        <v>1</v>
      </c>
      <c r="M236" s="240" t="s">
        <v>16832</v>
      </c>
      <c r="N236" s="241">
        <v>1</v>
      </c>
      <c r="O236" s="241">
        <v>0</v>
      </c>
      <c r="P236" s="241">
        <v>0</v>
      </c>
      <c r="Q236" s="259" t="s">
        <v>717</v>
      </c>
      <c r="R236" s="242" t="s">
        <v>16756</v>
      </c>
      <c r="S236" s="244" t="s">
        <v>17226</v>
      </c>
      <c r="T236" s="275" t="s">
        <v>17227</v>
      </c>
      <c r="U236" s="275" t="str">
        <f t="shared" si="3"/>
        <v>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v>
      </c>
      <c r="V236" s="300" t="s">
        <v>26989</v>
      </c>
      <c r="W236" s="295"/>
      <c r="X236" s="289"/>
      <c r="Y236" s="289"/>
      <c r="Z236" s="289"/>
      <c r="AA236" s="289"/>
      <c r="AB236" s="289"/>
      <c r="AC236" s="289"/>
      <c r="AD236" s="289"/>
      <c r="AE236" s="289"/>
      <c r="AF236" s="289"/>
      <c r="AG236" s="289"/>
      <c r="AH236" s="289"/>
      <c r="AI236" s="289"/>
      <c r="AJ236" s="289"/>
      <c r="AK236" s="289"/>
      <c r="AL236" s="289"/>
      <c r="AM236" s="289"/>
      <c r="AN236" s="289"/>
      <c r="AO236" s="289"/>
      <c r="AP236" s="289"/>
      <c r="AQ236" s="289" t="s">
        <v>17227</v>
      </c>
      <c r="AR236" s="289"/>
      <c r="AS236" s="289"/>
      <c r="AT236" s="289"/>
      <c r="AU236" s="289"/>
      <c r="AV236" s="289"/>
      <c r="AW236" s="289"/>
      <c r="AX236" s="289"/>
      <c r="AY236" s="289"/>
      <c r="AZ236" s="290"/>
      <c r="BA236" s="290"/>
      <c r="BB236" s="290"/>
      <c r="BC236" s="290"/>
      <c r="BD236" s="290"/>
      <c r="BE236" s="290"/>
      <c r="BF236" s="290"/>
      <c r="BG236" s="290"/>
      <c r="BH236" s="290"/>
      <c r="BI236" s="290"/>
      <c r="BJ236" s="289"/>
      <c r="BK236" s="290"/>
      <c r="BL236" s="290"/>
    </row>
    <row r="237" spans="1:64" ht="27" customHeight="1" x14ac:dyDescent="0.25">
      <c r="A237" s="310" t="s">
        <v>248</v>
      </c>
      <c r="B237" s="311" t="s">
        <v>580</v>
      </c>
      <c r="C237" s="238" t="s">
        <v>580</v>
      </c>
      <c r="D237" s="239">
        <v>1</v>
      </c>
      <c r="E237" s="254">
        <v>0</v>
      </c>
      <c r="F237" s="258" t="s">
        <v>16764</v>
      </c>
      <c r="G237" s="241">
        <v>1</v>
      </c>
      <c r="H237" s="241">
        <v>0</v>
      </c>
      <c r="I237" s="240" t="s">
        <v>16765</v>
      </c>
      <c r="J237" s="241">
        <v>0</v>
      </c>
      <c r="K237" s="241">
        <v>0</v>
      </c>
      <c r="L237" s="241">
        <v>1</v>
      </c>
      <c r="M237" s="240" t="s">
        <v>16832</v>
      </c>
      <c r="N237" s="241">
        <v>1</v>
      </c>
      <c r="O237" s="241">
        <v>0</v>
      </c>
      <c r="P237" s="241">
        <v>0</v>
      </c>
      <c r="Q237" s="259" t="s">
        <v>717</v>
      </c>
      <c r="R237" s="242" t="s">
        <v>16775</v>
      </c>
      <c r="S237" s="244" t="s">
        <v>17228</v>
      </c>
      <c r="T237" s="275" t="s">
        <v>27229</v>
      </c>
      <c r="U237" s="275" t="str">
        <f t="shared" si="3"/>
        <v>Adapting and understanding the culture of other stackholders means knowing about the traditions, beliefs, ethos and native language.|| Next refer.:Every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v>
      </c>
      <c r="V237" s="300" t="s">
        <v>26990</v>
      </c>
      <c r="W237" s="295"/>
      <c r="X237" s="289"/>
      <c r="Y237" s="289" t="s">
        <v>17382</v>
      </c>
      <c r="Z237" s="289"/>
      <c r="AA237" s="289"/>
      <c r="AB237" s="289"/>
      <c r="AC237" s="289"/>
      <c r="AD237" s="289"/>
      <c r="AE237" s="289"/>
      <c r="AF237" s="289"/>
      <c r="AG237" s="289"/>
      <c r="AH237" s="289"/>
      <c r="AI237" s="289"/>
      <c r="AJ237" s="289"/>
      <c r="AK237" s="289"/>
      <c r="AL237" s="289"/>
      <c r="AM237" s="289"/>
      <c r="AN237" s="289"/>
      <c r="AO237" s="289"/>
      <c r="AP237" s="289" t="s">
        <v>17229</v>
      </c>
      <c r="AQ237" s="289"/>
      <c r="AR237" s="289"/>
      <c r="AS237" s="289"/>
      <c r="AT237" s="289"/>
      <c r="AU237" s="289"/>
      <c r="AV237" s="289"/>
      <c r="AW237" s="289"/>
      <c r="AX237" s="289"/>
      <c r="AY237" s="289"/>
      <c r="AZ237" s="290"/>
      <c r="BA237" s="290"/>
      <c r="BB237" s="290"/>
      <c r="BC237" s="290"/>
      <c r="BD237" s="290"/>
      <c r="BE237" s="290"/>
      <c r="BF237" s="290"/>
      <c r="BG237" s="290"/>
      <c r="BH237" s="290"/>
      <c r="BI237" s="290"/>
      <c r="BJ237" s="289"/>
      <c r="BK237" s="290"/>
      <c r="BL237" s="290"/>
    </row>
    <row r="238" spans="1:64" ht="27" customHeight="1" x14ac:dyDescent="0.25">
      <c r="A238" s="310" t="s">
        <v>249</v>
      </c>
      <c r="B238" s="311" t="s">
        <v>581</v>
      </c>
      <c r="C238" s="238" t="s">
        <v>581</v>
      </c>
      <c r="D238" s="239">
        <v>0</v>
      </c>
      <c r="E238" s="254">
        <v>1</v>
      </c>
      <c r="F238" s="258" t="s">
        <v>16753</v>
      </c>
      <c r="G238" s="241">
        <v>0</v>
      </c>
      <c r="H238" s="241">
        <v>1</v>
      </c>
      <c r="I238" s="240" t="s">
        <v>16755</v>
      </c>
      <c r="J238" s="241">
        <v>0</v>
      </c>
      <c r="K238" s="241">
        <v>0</v>
      </c>
      <c r="L238" s="241">
        <v>1</v>
      </c>
      <c r="M238" s="240" t="s">
        <v>16832</v>
      </c>
      <c r="N238" s="241">
        <v>1</v>
      </c>
      <c r="O238" s="241">
        <v>0</v>
      </c>
      <c r="P238" s="241">
        <v>0</v>
      </c>
      <c r="Q238" s="259" t="s">
        <v>717</v>
      </c>
      <c r="R238" s="242" t="s">
        <v>16756</v>
      </c>
      <c r="S238" s="244" t="s">
        <v>17230</v>
      </c>
      <c r="T238" s="275" t="s">
        <v>17231</v>
      </c>
      <c r="U238" s="275" t="str">
        <f t="shared" si="3"/>
        <v>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v>
      </c>
      <c r="V238" s="300" t="s">
        <v>26991</v>
      </c>
      <c r="W238" s="295"/>
      <c r="X238" s="289"/>
      <c r="Y238" s="289"/>
      <c r="Z238" s="289"/>
      <c r="AA238" s="289"/>
      <c r="AB238" s="289"/>
      <c r="AC238" s="289"/>
      <c r="AD238" s="289"/>
      <c r="AE238" s="289"/>
      <c r="AF238" s="289"/>
      <c r="AG238" s="289"/>
      <c r="AH238" s="289"/>
      <c r="AI238" s="289"/>
      <c r="AJ238" s="289"/>
      <c r="AK238" s="289"/>
      <c r="AL238" s="289"/>
      <c r="AM238" s="289"/>
      <c r="AN238" s="289"/>
      <c r="AO238" s="289"/>
      <c r="AP238" s="289" t="s">
        <v>17231</v>
      </c>
      <c r="AQ238" s="289"/>
      <c r="AR238" s="289"/>
      <c r="AS238" s="289"/>
      <c r="AT238" s="289"/>
      <c r="AU238" s="289"/>
      <c r="AV238" s="289"/>
      <c r="AW238" s="289"/>
      <c r="AX238" s="289"/>
      <c r="AY238" s="289"/>
      <c r="AZ238" s="290"/>
      <c r="BA238" s="290"/>
      <c r="BB238" s="290"/>
      <c r="BC238" s="290"/>
      <c r="BD238" s="290"/>
      <c r="BE238" s="290"/>
      <c r="BF238" s="290"/>
      <c r="BG238" s="290"/>
      <c r="BH238" s="290"/>
      <c r="BI238" s="290"/>
      <c r="BJ238" s="289"/>
      <c r="BK238" s="290"/>
      <c r="BL238" s="290"/>
    </row>
    <row r="239" spans="1:64" ht="27" customHeight="1" x14ac:dyDescent="0.25">
      <c r="A239" s="310" t="s">
        <v>250</v>
      </c>
      <c r="B239" s="311" t="s">
        <v>17232</v>
      </c>
      <c r="C239" s="238" t="s">
        <v>582</v>
      </c>
      <c r="D239" s="239">
        <v>0</v>
      </c>
      <c r="E239" s="254">
        <v>1</v>
      </c>
      <c r="F239" s="258" t="s">
        <v>16753</v>
      </c>
      <c r="G239" s="241">
        <v>0</v>
      </c>
      <c r="H239" s="241">
        <v>1</v>
      </c>
      <c r="I239" s="240" t="s">
        <v>16755</v>
      </c>
      <c r="J239" s="241">
        <v>0</v>
      </c>
      <c r="K239" s="241">
        <v>0</v>
      </c>
      <c r="L239" s="241">
        <v>1</v>
      </c>
      <c r="M239" s="240" t="s">
        <v>16832</v>
      </c>
      <c r="N239" s="241">
        <v>1</v>
      </c>
      <c r="O239" s="241">
        <v>0</v>
      </c>
      <c r="P239" s="241">
        <v>0</v>
      </c>
      <c r="Q239" s="259" t="s">
        <v>717</v>
      </c>
      <c r="R239" s="242" t="s">
        <v>16756</v>
      </c>
      <c r="S239" s="244" t="s">
        <v>17233</v>
      </c>
      <c r="T239" s="275" t="s">
        <v>27230</v>
      </c>
      <c r="U239" s="275" t="str">
        <f t="shared" si="3"/>
        <v>No record of the conversation.|| Next refer.:This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v>
      </c>
      <c r="V239" s="300" t="s">
        <v>26992</v>
      </c>
      <c r="W239" s="295"/>
      <c r="X239" s="289"/>
      <c r="Y239" s="289" t="s">
        <v>27132</v>
      </c>
      <c r="Z239" s="289"/>
      <c r="AA239" s="289"/>
      <c r="AB239" s="289"/>
      <c r="AC239" s="289"/>
      <c r="AD239" s="289"/>
      <c r="AE239" s="289"/>
      <c r="AF239" s="289"/>
      <c r="AG239" s="289"/>
      <c r="AH239" s="289"/>
      <c r="AI239" s="289"/>
      <c r="AJ239" s="289"/>
      <c r="AK239" s="289"/>
      <c r="AL239" s="289"/>
      <c r="AM239" s="289"/>
      <c r="AN239" s="289"/>
      <c r="AO239" s="289"/>
      <c r="AP239" s="289" t="s">
        <v>17234</v>
      </c>
      <c r="AQ239" s="289"/>
      <c r="AR239" s="289"/>
      <c r="AS239" s="289"/>
      <c r="AT239" s="289"/>
      <c r="AU239" s="289"/>
      <c r="AV239" s="289"/>
      <c r="AW239" s="289"/>
      <c r="AX239" s="289"/>
      <c r="AY239" s="289"/>
      <c r="AZ239" s="290"/>
      <c r="BA239" s="290"/>
      <c r="BB239" s="290"/>
      <c r="BC239" s="290"/>
      <c r="BD239" s="290"/>
      <c r="BE239" s="290"/>
      <c r="BF239" s="290"/>
      <c r="BG239" s="290"/>
      <c r="BH239" s="290"/>
      <c r="BI239" s="290"/>
      <c r="BJ239" s="289"/>
      <c r="BK239" s="290"/>
      <c r="BL239" s="290"/>
    </row>
    <row r="240" spans="1:64" ht="27" customHeight="1" x14ac:dyDescent="0.25">
      <c r="A240" s="310" t="s">
        <v>251</v>
      </c>
      <c r="B240" s="311" t="s">
        <v>17235</v>
      </c>
      <c r="C240" s="238" t="s">
        <v>17236</v>
      </c>
      <c r="D240" s="239">
        <v>1</v>
      </c>
      <c r="E240" s="254">
        <v>0</v>
      </c>
      <c r="F240" s="258" t="s">
        <v>16764</v>
      </c>
      <c r="G240" s="241">
        <v>1</v>
      </c>
      <c r="H240" s="241">
        <v>0</v>
      </c>
      <c r="I240" s="240" t="s">
        <v>16765</v>
      </c>
      <c r="J240" s="241">
        <v>0</v>
      </c>
      <c r="K240" s="241">
        <v>0</v>
      </c>
      <c r="L240" s="241">
        <v>1</v>
      </c>
      <c r="M240" s="240" t="s">
        <v>16832</v>
      </c>
      <c r="N240" s="241">
        <v>1</v>
      </c>
      <c r="O240" s="241">
        <v>0</v>
      </c>
      <c r="P240" s="241">
        <v>0</v>
      </c>
      <c r="Q240" s="259" t="s">
        <v>717</v>
      </c>
      <c r="R240" s="242" t="s">
        <v>16775</v>
      </c>
      <c r="S240" s="244" t="s">
        <v>17237</v>
      </c>
      <c r="T240" s="275" t="s">
        <v>17238</v>
      </c>
      <c r="U240" s="275" t="str">
        <f t="shared" si="3"/>
        <v>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v>
      </c>
      <c r="V240" s="300" t="s">
        <v>26993</v>
      </c>
      <c r="W240" s="295"/>
      <c r="X240" s="289"/>
      <c r="Y240" s="289"/>
      <c r="Z240" s="289"/>
      <c r="AA240" s="289"/>
      <c r="AB240" s="289"/>
      <c r="AC240" s="289"/>
      <c r="AD240" s="289"/>
      <c r="AE240" s="289"/>
      <c r="AF240" s="289"/>
      <c r="AG240" s="289"/>
      <c r="AH240" s="289"/>
      <c r="AI240" s="289"/>
      <c r="AJ240" s="289"/>
      <c r="AK240" s="289"/>
      <c r="AL240" s="289"/>
      <c r="AM240" s="289"/>
      <c r="AN240" s="289"/>
      <c r="AO240" s="289"/>
      <c r="AP240" s="289" t="s">
        <v>17238</v>
      </c>
      <c r="AQ240" s="289"/>
      <c r="AR240" s="289"/>
      <c r="AS240" s="289"/>
      <c r="AT240" s="289"/>
      <c r="AU240" s="289"/>
      <c r="AV240" s="289"/>
      <c r="AW240" s="289"/>
      <c r="AX240" s="289"/>
      <c r="AY240" s="289"/>
      <c r="AZ240" s="290"/>
      <c r="BA240" s="290"/>
      <c r="BB240" s="290"/>
      <c r="BC240" s="290"/>
      <c r="BD240" s="290"/>
      <c r="BE240" s="290"/>
      <c r="BF240" s="290"/>
      <c r="BG240" s="290"/>
      <c r="BH240" s="290"/>
      <c r="BI240" s="290"/>
      <c r="BJ240" s="289"/>
      <c r="BK240" s="290"/>
      <c r="BL240" s="290"/>
    </row>
    <row r="241" spans="1:64" ht="27" customHeight="1" x14ac:dyDescent="0.25">
      <c r="A241" s="310" t="s">
        <v>252</v>
      </c>
      <c r="B241" s="311" t="s">
        <v>17239</v>
      </c>
      <c r="C241" s="238" t="s">
        <v>584</v>
      </c>
      <c r="D241" s="239">
        <v>0</v>
      </c>
      <c r="E241" s="254">
        <v>1</v>
      </c>
      <c r="F241" s="258" t="s">
        <v>16753</v>
      </c>
      <c r="G241" s="241">
        <v>0</v>
      </c>
      <c r="H241" s="241">
        <v>1</v>
      </c>
      <c r="I241" s="240" t="s">
        <v>16755</v>
      </c>
      <c r="J241" s="241">
        <v>0</v>
      </c>
      <c r="K241" s="241">
        <v>0</v>
      </c>
      <c r="L241" s="241">
        <v>1</v>
      </c>
      <c r="M241" s="240" t="s">
        <v>16832</v>
      </c>
      <c r="N241" s="241">
        <v>1</v>
      </c>
      <c r="O241" s="241">
        <v>0</v>
      </c>
      <c r="P241" s="241">
        <v>0</v>
      </c>
      <c r="Q241" s="259" t="s">
        <v>717</v>
      </c>
      <c r="R241" s="242" t="s">
        <v>16775</v>
      </c>
      <c r="S241" s="244" t="s">
        <v>17240</v>
      </c>
      <c r="T241" s="275" t="s">
        <v>17241</v>
      </c>
      <c r="U241" s="275" t="str">
        <f t="shared" si="3"/>
        <v>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v>
      </c>
      <c r="V241" s="300" t="s">
        <v>26994</v>
      </c>
      <c r="W241" s="295"/>
      <c r="X241" s="289"/>
      <c r="Y241" s="289"/>
      <c r="Z241" s="289"/>
      <c r="AA241" s="289"/>
      <c r="AB241" s="289"/>
      <c r="AC241" s="289"/>
      <c r="AD241" s="289"/>
      <c r="AE241" s="289"/>
      <c r="AF241" s="289"/>
      <c r="AG241" s="289"/>
      <c r="AH241" s="289"/>
      <c r="AI241" s="289"/>
      <c r="AJ241" s="289"/>
      <c r="AK241" s="289"/>
      <c r="AL241" s="289"/>
      <c r="AM241" s="289"/>
      <c r="AN241" s="289"/>
      <c r="AO241" s="289"/>
      <c r="AP241" s="289" t="s">
        <v>17241</v>
      </c>
      <c r="AQ241" s="289"/>
      <c r="AR241" s="289"/>
      <c r="AS241" s="289"/>
      <c r="AT241" s="289"/>
      <c r="AU241" s="289"/>
      <c r="AV241" s="289"/>
      <c r="AW241" s="289"/>
      <c r="AX241" s="289"/>
      <c r="AY241" s="289"/>
      <c r="AZ241" s="290"/>
      <c r="BA241" s="290"/>
      <c r="BB241" s="290"/>
      <c r="BC241" s="290"/>
      <c r="BD241" s="290"/>
      <c r="BE241" s="290"/>
      <c r="BF241" s="290"/>
      <c r="BG241" s="290"/>
      <c r="BH241" s="290"/>
      <c r="BI241" s="290"/>
      <c r="BJ241" s="289"/>
      <c r="BK241" s="290"/>
      <c r="BL241" s="290"/>
    </row>
    <row r="242" spans="1:64" ht="27" customHeight="1" x14ac:dyDescent="0.25">
      <c r="A242" s="310" t="s">
        <v>253</v>
      </c>
      <c r="B242" s="311" t="s">
        <v>17242</v>
      </c>
      <c r="C242" s="238" t="s">
        <v>585</v>
      </c>
      <c r="D242" s="239">
        <v>1</v>
      </c>
      <c r="E242" s="254">
        <v>0</v>
      </c>
      <c r="F242" s="258" t="s">
        <v>16764</v>
      </c>
      <c r="G242" s="241">
        <v>1</v>
      </c>
      <c r="H242" s="241">
        <v>0</v>
      </c>
      <c r="I242" s="240" t="s">
        <v>16765</v>
      </c>
      <c r="J242" s="241">
        <v>0</v>
      </c>
      <c r="K242" s="241">
        <v>1</v>
      </c>
      <c r="L242" s="241">
        <v>0</v>
      </c>
      <c r="M242" s="240" t="s">
        <v>16774</v>
      </c>
      <c r="N242" s="241">
        <v>1</v>
      </c>
      <c r="O242" s="241">
        <v>0</v>
      </c>
      <c r="P242" s="241">
        <v>0</v>
      </c>
      <c r="Q242" s="259" t="s">
        <v>717</v>
      </c>
      <c r="R242" s="242" t="s">
        <v>16775</v>
      </c>
      <c r="S242" s="244" t="s">
        <v>17243</v>
      </c>
      <c r="T242" s="275" t="s">
        <v>17244</v>
      </c>
      <c r="U242" s="275" t="str">
        <f t="shared" si="3"/>
        <v>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v>
      </c>
      <c r="V242" s="300" t="s">
        <v>26995</v>
      </c>
      <c r="W242" s="295"/>
      <c r="X242" s="289"/>
      <c r="Y242" s="289"/>
      <c r="Z242" s="289"/>
      <c r="AA242" s="289"/>
      <c r="AB242" s="289"/>
      <c r="AC242" s="289"/>
      <c r="AD242" s="289"/>
      <c r="AE242" s="289"/>
      <c r="AF242" s="289"/>
      <c r="AG242" s="289"/>
      <c r="AH242" s="289"/>
      <c r="AI242" s="289"/>
      <c r="AJ242" s="289"/>
      <c r="AK242" s="289"/>
      <c r="AL242" s="289"/>
      <c r="AM242" s="289"/>
      <c r="AN242" s="289"/>
      <c r="AO242" s="289"/>
      <c r="AP242" s="289" t="s">
        <v>17244</v>
      </c>
      <c r="AQ242" s="289"/>
      <c r="AR242" s="289"/>
      <c r="AS242" s="289"/>
      <c r="AT242" s="289"/>
      <c r="AU242" s="289"/>
      <c r="AV242" s="289"/>
      <c r="AW242" s="289"/>
      <c r="AX242" s="289"/>
      <c r="AY242" s="289"/>
      <c r="AZ242" s="290"/>
      <c r="BA242" s="290"/>
      <c r="BB242" s="290"/>
      <c r="BC242" s="290"/>
      <c r="BD242" s="290"/>
      <c r="BE242" s="290"/>
      <c r="BF242" s="290"/>
      <c r="BG242" s="290"/>
      <c r="BH242" s="290"/>
      <c r="BI242" s="290"/>
      <c r="BJ242" s="289"/>
      <c r="BK242" s="290"/>
      <c r="BL242" s="290"/>
    </row>
    <row r="243" spans="1:64" ht="27" customHeight="1" x14ac:dyDescent="0.25">
      <c r="A243" s="310" t="s">
        <v>254</v>
      </c>
      <c r="B243" s="311" t="s">
        <v>17245</v>
      </c>
      <c r="C243" s="238" t="s">
        <v>586</v>
      </c>
      <c r="D243" s="239">
        <v>1</v>
      </c>
      <c r="E243" s="254">
        <v>0</v>
      </c>
      <c r="F243" s="258" t="s">
        <v>16764</v>
      </c>
      <c r="G243" s="241">
        <v>0</v>
      </c>
      <c r="H243" s="241">
        <v>1</v>
      </c>
      <c r="I243" s="240" t="s">
        <v>16755</v>
      </c>
      <c r="J243" s="241">
        <v>1</v>
      </c>
      <c r="K243" s="241">
        <v>0</v>
      </c>
      <c r="L243" s="241">
        <v>0</v>
      </c>
      <c r="M243" s="240" t="s">
        <v>16754</v>
      </c>
      <c r="N243" s="241">
        <v>1</v>
      </c>
      <c r="O243" s="241">
        <v>0</v>
      </c>
      <c r="P243" s="241">
        <v>0</v>
      </c>
      <c r="Q243" s="259" t="s">
        <v>717</v>
      </c>
      <c r="R243" s="242"/>
      <c r="S243" s="244" t="s">
        <v>25749</v>
      </c>
      <c r="T243" s="275" t="s">
        <v>27231</v>
      </c>
      <c r="U243" s="275" t="str">
        <f t="shared" si="3"/>
        <v>Encouraging synchronous communication in form of chatting, telephone calls, and videoconferencing.|| Next refer.:REDUCED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v>
      </c>
      <c r="V243" s="300" t="s">
        <v>26996</v>
      </c>
      <c r="W243" s="295" t="s">
        <v>25750</v>
      </c>
      <c r="X243" s="289"/>
      <c r="Y243" s="289" t="s">
        <v>17381</v>
      </c>
      <c r="Z243" s="289"/>
      <c r="AA243" s="289"/>
      <c r="AB243" s="289"/>
      <c r="AC243" s="289"/>
      <c r="AD243" s="289"/>
      <c r="AE243" s="289"/>
      <c r="AF243" s="289"/>
      <c r="AG243" s="289"/>
      <c r="AH243" s="289"/>
      <c r="AI243" s="289"/>
      <c r="AJ243" s="289"/>
      <c r="AK243" s="289"/>
      <c r="AL243" s="289"/>
      <c r="AM243" s="289"/>
      <c r="AN243" s="289"/>
      <c r="AO243" s="289"/>
      <c r="AP243" s="289" t="s">
        <v>17246</v>
      </c>
      <c r="AQ243" s="289"/>
      <c r="AR243" s="289"/>
      <c r="AS243" s="289"/>
      <c r="AT243" s="289"/>
      <c r="AU243" s="289"/>
      <c r="AV243" s="289"/>
      <c r="AW243" s="289"/>
      <c r="AX243" s="289"/>
      <c r="AY243" s="289"/>
      <c r="AZ243" s="290"/>
      <c r="BA243" s="290"/>
      <c r="BB243" s="290"/>
      <c r="BC243" s="290"/>
      <c r="BD243" s="290"/>
      <c r="BE243" s="290"/>
      <c r="BF243" s="290"/>
      <c r="BG243" s="290"/>
      <c r="BH243" s="290"/>
      <c r="BI243" s="290"/>
      <c r="BJ243" s="289"/>
      <c r="BK243" s="290"/>
      <c r="BL243" s="290"/>
    </row>
    <row r="244" spans="1:64" ht="27" customHeight="1" x14ac:dyDescent="0.25">
      <c r="A244" s="310" t="s">
        <v>255</v>
      </c>
      <c r="B244" s="311" t="s">
        <v>17247</v>
      </c>
      <c r="C244" s="238" t="s">
        <v>587</v>
      </c>
      <c r="D244" s="239">
        <v>1</v>
      </c>
      <c r="E244" s="254">
        <v>0</v>
      </c>
      <c r="F244" s="258" t="s">
        <v>16764</v>
      </c>
      <c r="G244" s="241">
        <v>0</v>
      </c>
      <c r="H244" s="241">
        <v>1</v>
      </c>
      <c r="I244" s="240" t="s">
        <v>16755</v>
      </c>
      <c r="J244" s="241">
        <v>1</v>
      </c>
      <c r="K244" s="241">
        <v>0</v>
      </c>
      <c r="L244" s="241">
        <v>0</v>
      </c>
      <c r="M244" s="240" t="s">
        <v>16754</v>
      </c>
      <c r="N244" s="241">
        <v>1</v>
      </c>
      <c r="O244" s="241">
        <v>0</v>
      </c>
      <c r="P244" s="241">
        <v>0</v>
      </c>
      <c r="Q244" s="259" t="s">
        <v>717</v>
      </c>
      <c r="R244" s="242" t="s">
        <v>17248</v>
      </c>
      <c r="S244" s="244" t="s">
        <v>26315</v>
      </c>
      <c r="T244" s="275" t="s">
        <v>27232</v>
      </c>
      <c r="U244" s="275" t="str">
        <f t="shared" si="3"/>
        <v>Focusing on improving the communication language, for example, offering English language courses.|| Next refer.:LACK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v>
      </c>
      <c r="V244" s="300" t="s">
        <v>26997</v>
      </c>
      <c r="W244" s="295"/>
      <c r="X244" s="289"/>
      <c r="Y244" s="289" t="s">
        <v>17383</v>
      </c>
      <c r="Z244" s="289"/>
      <c r="AA244" s="289"/>
      <c r="AB244" s="289"/>
      <c r="AC244" s="289"/>
      <c r="AD244" s="289"/>
      <c r="AE244" s="289"/>
      <c r="AF244" s="289"/>
      <c r="AG244" s="289"/>
      <c r="AH244" s="289"/>
      <c r="AI244" s="289"/>
      <c r="AJ244" s="289"/>
      <c r="AK244" s="289"/>
      <c r="AL244" s="289"/>
      <c r="AM244" s="289"/>
      <c r="AN244" s="289"/>
      <c r="AO244" s="289"/>
      <c r="AP244" s="289" t="s">
        <v>27133</v>
      </c>
      <c r="AQ244" s="289"/>
      <c r="AR244" s="289"/>
      <c r="AS244" s="289"/>
      <c r="AT244" s="289"/>
      <c r="AU244" s="289"/>
      <c r="AV244" s="289"/>
      <c r="AW244" s="289"/>
      <c r="AX244" s="289"/>
      <c r="AY244" s="289"/>
      <c r="AZ244" s="290"/>
      <c r="BA244" s="290"/>
      <c r="BB244" s="290"/>
      <c r="BC244" s="290"/>
      <c r="BD244" s="290"/>
      <c r="BE244" s="290"/>
      <c r="BF244" s="290"/>
      <c r="BG244" s="290"/>
      <c r="BH244" s="290"/>
      <c r="BI244" s="290"/>
      <c r="BJ244" s="289"/>
      <c r="BK244" s="290"/>
      <c r="BL244" s="290"/>
    </row>
    <row r="245" spans="1:64" ht="27" customHeight="1" x14ac:dyDescent="0.25">
      <c r="A245" s="310" t="s">
        <v>256</v>
      </c>
      <c r="B245" s="311" t="s">
        <v>17249</v>
      </c>
      <c r="C245" s="238" t="s">
        <v>588</v>
      </c>
      <c r="D245" s="239">
        <v>0</v>
      </c>
      <c r="E245" s="254">
        <v>1</v>
      </c>
      <c r="F245" s="258" t="s">
        <v>16753</v>
      </c>
      <c r="G245" s="241">
        <v>0</v>
      </c>
      <c r="H245" s="241">
        <v>1</v>
      </c>
      <c r="I245" s="240" t="s">
        <v>16755</v>
      </c>
      <c r="J245" s="241">
        <v>1</v>
      </c>
      <c r="K245" s="241">
        <v>0</v>
      </c>
      <c r="L245" s="241">
        <v>0</v>
      </c>
      <c r="M245" s="240" t="s">
        <v>16754</v>
      </c>
      <c r="N245" s="241">
        <v>1</v>
      </c>
      <c r="O245" s="241">
        <v>0</v>
      </c>
      <c r="P245" s="241">
        <v>0</v>
      </c>
      <c r="Q245" s="259" t="s">
        <v>717</v>
      </c>
      <c r="R245" s="242" t="s">
        <v>17063</v>
      </c>
      <c r="S245" s="244" t="s">
        <v>25751</v>
      </c>
      <c r="T245" s="275" t="s">
        <v>17250</v>
      </c>
      <c r="U245" s="275" t="str">
        <f t="shared" si="3"/>
        <v>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v>
      </c>
      <c r="V245" s="300" t="s">
        <v>26998</v>
      </c>
      <c r="W245" s="295" t="s">
        <v>25752</v>
      </c>
      <c r="X245" s="289"/>
      <c r="Y245" s="289"/>
      <c r="Z245" s="289"/>
      <c r="AA245" s="289"/>
      <c r="AB245" s="289"/>
      <c r="AC245" s="289"/>
      <c r="AD245" s="289"/>
      <c r="AE245" s="289"/>
      <c r="AF245" s="289"/>
      <c r="AG245" s="289"/>
      <c r="AH245" s="289"/>
      <c r="AI245" s="289"/>
      <c r="AJ245" s="289"/>
      <c r="AK245" s="289"/>
      <c r="AL245" s="289"/>
      <c r="AM245" s="289"/>
      <c r="AN245" s="289"/>
      <c r="AO245" s="289"/>
      <c r="AP245" s="289" t="s">
        <v>17250</v>
      </c>
      <c r="AQ245" s="289"/>
      <c r="AR245" s="289"/>
      <c r="AS245" s="289"/>
      <c r="AT245" s="289"/>
      <c r="AU245" s="289"/>
      <c r="AV245" s="289"/>
      <c r="AW245" s="289"/>
      <c r="AX245" s="289"/>
      <c r="AY245" s="289"/>
      <c r="AZ245" s="290"/>
      <c r="BA245" s="290"/>
      <c r="BB245" s="290"/>
      <c r="BC245" s="290"/>
      <c r="BD245" s="290"/>
      <c r="BE245" s="290"/>
      <c r="BF245" s="290"/>
      <c r="BG245" s="290"/>
      <c r="BH245" s="290"/>
      <c r="BI245" s="290"/>
      <c r="BJ245" s="289"/>
      <c r="BK245" s="290"/>
      <c r="BL245" s="290"/>
    </row>
    <row r="246" spans="1:64" ht="27" customHeight="1" x14ac:dyDescent="0.25">
      <c r="A246" s="310" t="s">
        <v>257</v>
      </c>
      <c r="B246" s="311" t="s">
        <v>17251</v>
      </c>
      <c r="C246" s="238" t="s">
        <v>589</v>
      </c>
      <c r="D246" s="239">
        <v>0</v>
      </c>
      <c r="E246" s="254">
        <v>1</v>
      </c>
      <c r="F246" s="258" t="s">
        <v>16753</v>
      </c>
      <c r="G246" s="241">
        <v>0</v>
      </c>
      <c r="H246" s="241">
        <v>1</v>
      </c>
      <c r="I246" s="240" t="s">
        <v>16755</v>
      </c>
      <c r="J246" s="241">
        <v>1</v>
      </c>
      <c r="K246" s="241">
        <v>0</v>
      </c>
      <c r="L246" s="241">
        <v>0</v>
      </c>
      <c r="M246" s="240" t="s">
        <v>16754</v>
      </c>
      <c r="N246" s="241">
        <v>1</v>
      </c>
      <c r="O246" s="241">
        <v>0</v>
      </c>
      <c r="P246" s="241">
        <v>0</v>
      </c>
      <c r="Q246" s="259" t="s">
        <v>717</v>
      </c>
      <c r="R246" s="242" t="s">
        <v>16901</v>
      </c>
      <c r="S246" s="244" t="s">
        <v>17252</v>
      </c>
      <c r="T246" s="275" t="s">
        <v>27233</v>
      </c>
      <c r="U246" s="275" t="str">
        <f t="shared" si="3"/>
        <v>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 Next refer.:Effective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v>
      </c>
      <c r="V246" s="300" t="s">
        <v>26999</v>
      </c>
      <c r="W246" s="295"/>
      <c r="X246" s="289"/>
      <c r="Y246" s="289"/>
      <c r="Z246" s="289"/>
      <c r="AA246" s="289"/>
      <c r="AB246" s="289"/>
      <c r="AC246" s="289"/>
      <c r="AD246" s="289"/>
      <c r="AE246" s="289"/>
      <c r="AF246" s="289"/>
      <c r="AG246" s="289"/>
      <c r="AH246" s="289"/>
      <c r="AI246" s="289"/>
      <c r="AJ246" s="289"/>
      <c r="AK246" s="289"/>
      <c r="AL246" s="289"/>
      <c r="AM246" s="289"/>
      <c r="AN246" s="289"/>
      <c r="AO246" s="289"/>
      <c r="AP246" s="289" t="s">
        <v>17253</v>
      </c>
      <c r="AQ246" s="289"/>
      <c r="AR246" s="289"/>
      <c r="AS246" s="289"/>
      <c r="AT246" s="289"/>
      <c r="AU246" s="289"/>
      <c r="AV246" s="289"/>
      <c r="AW246" s="289"/>
      <c r="AX246" s="289"/>
      <c r="AY246" s="289"/>
      <c r="AZ246" s="290"/>
      <c r="BA246" s="290"/>
      <c r="BB246" s="290"/>
      <c r="BC246" s="290"/>
      <c r="BD246" s="290"/>
      <c r="BE246" s="290"/>
      <c r="BF246" s="290"/>
      <c r="BG246" s="290"/>
      <c r="BH246" s="292" t="s">
        <v>17254</v>
      </c>
      <c r="BI246" s="290"/>
      <c r="BJ246" s="289"/>
      <c r="BK246" s="290"/>
      <c r="BL246" s="290"/>
    </row>
    <row r="247" spans="1:64" ht="27" customHeight="1" x14ac:dyDescent="0.25">
      <c r="A247" s="310" t="s">
        <v>258</v>
      </c>
      <c r="B247" s="311" t="s">
        <v>17255</v>
      </c>
      <c r="C247" s="238" t="s">
        <v>17256</v>
      </c>
      <c r="D247" s="239">
        <v>1</v>
      </c>
      <c r="E247" s="254">
        <v>0</v>
      </c>
      <c r="F247" s="258" t="s">
        <v>16764</v>
      </c>
      <c r="G247" s="241">
        <v>1</v>
      </c>
      <c r="H247" s="241">
        <v>0</v>
      </c>
      <c r="I247" s="240" t="s">
        <v>16765</v>
      </c>
      <c r="J247" s="241">
        <v>1</v>
      </c>
      <c r="K247" s="241">
        <v>0</v>
      </c>
      <c r="L247" s="241">
        <v>0</v>
      </c>
      <c r="M247" s="240" t="s">
        <v>16754</v>
      </c>
      <c r="N247" s="241">
        <v>1</v>
      </c>
      <c r="O247" s="241">
        <v>0</v>
      </c>
      <c r="P247" s="241">
        <v>0</v>
      </c>
      <c r="Q247" s="259" t="s">
        <v>717</v>
      </c>
      <c r="R247" s="242" t="s">
        <v>16901</v>
      </c>
      <c r="S247" s="244" t="s">
        <v>26509</v>
      </c>
      <c r="T247" s="275" t="s">
        <v>27234</v>
      </c>
      <c r="U247" s="275" t="str">
        <f t="shared" si="3"/>
        <v>Barriers connected to the parties. The organization does not own or control the inflow of work. Varying level of digitalization among the parties.|| Next refer.:CONNECTIVITY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v>
      </c>
      <c r="V247" s="300" t="s">
        <v>27000</v>
      </c>
      <c r="W247" s="295"/>
      <c r="X247" s="289"/>
      <c r="Y247" s="289"/>
      <c r="Z247" s="289"/>
      <c r="AA247" s="289"/>
      <c r="AB247" s="289"/>
      <c r="AC247" s="289"/>
      <c r="AD247" s="289"/>
      <c r="AE247" s="289"/>
      <c r="AF247" s="289" t="s">
        <v>25536</v>
      </c>
      <c r="AG247" s="289"/>
      <c r="AH247" s="289"/>
      <c r="AI247" s="289"/>
      <c r="AJ247" s="289"/>
      <c r="AK247" s="289"/>
      <c r="AL247" s="289"/>
      <c r="AM247" s="289"/>
      <c r="AN247" s="289"/>
      <c r="AO247" s="289"/>
      <c r="AP247" s="289" t="s">
        <v>17257</v>
      </c>
      <c r="AQ247" s="289"/>
      <c r="AR247" s="289"/>
      <c r="AS247" s="289"/>
      <c r="AT247" s="289"/>
      <c r="AU247" s="289"/>
      <c r="AV247" s="289"/>
      <c r="AW247" s="289"/>
      <c r="AX247" s="289"/>
      <c r="AY247" s="289"/>
      <c r="AZ247" s="290"/>
      <c r="BA247" s="290"/>
      <c r="BB247" s="290"/>
      <c r="BC247" s="290"/>
      <c r="BD247" s="290"/>
      <c r="BE247" s="290"/>
      <c r="BF247" s="290"/>
      <c r="BG247" s="290"/>
      <c r="BH247" s="290"/>
      <c r="BI247" s="290"/>
      <c r="BJ247" s="289"/>
      <c r="BK247" s="290"/>
      <c r="BL247" s="290"/>
    </row>
    <row r="248" spans="1:64" ht="27" customHeight="1" x14ac:dyDescent="0.25">
      <c r="A248" s="310" t="s">
        <v>259</v>
      </c>
      <c r="B248" s="311" t="s">
        <v>17258</v>
      </c>
      <c r="C248" s="238" t="s">
        <v>17362</v>
      </c>
      <c r="D248" s="239">
        <v>1</v>
      </c>
      <c r="E248" s="254">
        <v>0</v>
      </c>
      <c r="F248" s="258" t="s">
        <v>16764</v>
      </c>
      <c r="G248" s="241">
        <v>1</v>
      </c>
      <c r="H248" s="241">
        <v>0</v>
      </c>
      <c r="I248" s="240" t="s">
        <v>16765</v>
      </c>
      <c r="J248" s="241">
        <v>1</v>
      </c>
      <c r="K248" s="241">
        <v>0</v>
      </c>
      <c r="L248" s="241">
        <v>0</v>
      </c>
      <c r="M248" s="240" t="s">
        <v>16754</v>
      </c>
      <c r="N248" s="241">
        <v>1</v>
      </c>
      <c r="O248" s="241">
        <v>0</v>
      </c>
      <c r="P248" s="241">
        <v>0</v>
      </c>
      <c r="Q248" s="259" t="s">
        <v>717</v>
      </c>
      <c r="R248" s="242" t="s">
        <v>17174</v>
      </c>
      <c r="S248" s="244" t="s">
        <v>25866</v>
      </c>
      <c r="T248" s="275" t="s">
        <v>27235</v>
      </c>
      <c r="U248" s="275" t="str">
        <f t="shared" si="3"/>
        <v>Advanced and uniform communication infrastructure|| Next refer.:LIMITED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v>
      </c>
      <c r="V248" s="300" t="s">
        <v>27001</v>
      </c>
      <c r="W248" s="295"/>
      <c r="X248" s="289"/>
      <c r="Y248" s="289"/>
      <c r="Z248" s="289"/>
      <c r="AA248" s="289"/>
      <c r="AB248" s="289"/>
      <c r="AC248" s="289"/>
      <c r="AD248" s="289"/>
      <c r="AE248" s="289"/>
      <c r="AF248" s="289"/>
      <c r="AG248" s="289"/>
      <c r="AH248" s="289"/>
      <c r="AI248" s="289"/>
      <c r="AJ248" s="289"/>
      <c r="AK248" s="289"/>
      <c r="AL248" s="289" t="s">
        <v>17259</v>
      </c>
      <c r="AM248" s="289"/>
      <c r="AN248" s="289"/>
      <c r="AO248" s="289"/>
      <c r="AP248" s="289" t="s">
        <v>17260</v>
      </c>
      <c r="AQ248" s="289"/>
      <c r="AR248" s="289"/>
      <c r="AS248" s="289"/>
      <c r="AT248" s="289"/>
      <c r="AU248" s="289"/>
      <c r="AV248" s="289"/>
      <c r="AW248" s="289"/>
      <c r="AX248" s="289"/>
      <c r="AY248" s="289"/>
      <c r="AZ248" s="290"/>
      <c r="BA248" s="290"/>
      <c r="BB248" s="290"/>
      <c r="BC248" s="290"/>
      <c r="BD248" s="290"/>
      <c r="BE248" s="290"/>
      <c r="BF248" s="290"/>
      <c r="BG248" s="290"/>
      <c r="BH248" s="290"/>
      <c r="BI248" s="290"/>
      <c r="BJ248" s="289"/>
      <c r="BK248" s="290"/>
      <c r="BL248" s="290"/>
    </row>
    <row r="249" spans="1:64" ht="27" customHeight="1" x14ac:dyDescent="0.25">
      <c r="A249" s="310" t="s">
        <v>260</v>
      </c>
      <c r="B249" s="311" t="s">
        <v>17261</v>
      </c>
      <c r="C249" s="238" t="s">
        <v>592</v>
      </c>
      <c r="D249" s="239">
        <v>1</v>
      </c>
      <c r="E249" s="254">
        <v>0</v>
      </c>
      <c r="F249" s="258" t="s">
        <v>16764</v>
      </c>
      <c r="G249" s="241">
        <v>1</v>
      </c>
      <c r="H249" s="241">
        <v>0</v>
      </c>
      <c r="I249" s="240" t="s">
        <v>16765</v>
      </c>
      <c r="J249" s="241">
        <v>0</v>
      </c>
      <c r="K249" s="241">
        <v>1</v>
      </c>
      <c r="L249" s="241">
        <v>0</v>
      </c>
      <c r="M249" s="240" t="s">
        <v>16774</v>
      </c>
      <c r="N249" s="241">
        <v>1</v>
      </c>
      <c r="O249" s="241">
        <v>0</v>
      </c>
      <c r="P249" s="241">
        <v>0</v>
      </c>
      <c r="Q249" s="259" t="s">
        <v>717</v>
      </c>
      <c r="R249" s="242" t="s">
        <v>17063</v>
      </c>
      <c r="S249" s="244" t="s">
        <v>26380</v>
      </c>
      <c r="T249" s="275" t="s">
        <v>17262</v>
      </c>
      <c r="U249" s="275" t="str">
        <f t="shared" si="3"/>
        <v>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v>
      </c>
      <c r="V249" s="300" t="s">
        <v>27002</v>
      </c>
      <c r="W249" s="295" t="s">
        <v>25756</v>
      </c>
      <c r="X249" s="289"/>
      <c r="Y249" s="289"/>
      <c r="Z249" s="289"/>
      <c r="AA249" s="289"/>
      <c r="AB249" s="289"/>
      <c r="AC249" s="289"/>
      <c r="AD249" s="289"/>
      <c r="AE249" s="289"/>
      <c r="AF249" s="289"/>
      <c r="AG249" s="289"/>
      <c r="AH249" s="289"/>
      <c r="AI249" s="289"/>
      <c r="AJ249" s="289"/>
      <c r="AK249" s="289"/>
      <c r="AL249" s="289"/>
      <c r="AM249" s="289"/>
      <c r="AN249" s="289"/>
      <c r="AO249" s="289"/>
      <c r="AP249" s="289" t="s">
        <v>17262</v>
      </c>
      <c r="AQ249" s="289"/>
      <c r="AR249" s="289"/>
      <c r="AS249" s="289"/>
      <c r="AT249" s="289"/>
      <c r="AU249" s="289"/>
      <c r="AV249" s="289"/>
      <c r="AW249" s="289"/>
      <c r="AX249" s="289"/>
      <c r="AY249" s="289"/>
      <c r="AZ249" s="290"/>
      <c r="BA249" s="290"/>
      <c r="BB249" s="290"/>
      <c r="BC249" s="290"/>
      <c r="BD249" s="290"/>
      <c r="BE249" s="290"/>
      <c r="BF249" s="290"/>
      <c r="BG249" s="290"/>
      <c r="BH249" s="290"/>
      <c r="BI249" s="290"/>
      <c r="BJ249" s="289"/>
      <c r="BK249" s="290"/>
      <c r="BL249" s="290"/>
    </row>
    <row r="250" spans="1:64" ht="27" customHeight="1" x14ac:dyDescent="0.25">
      <c r="A250" s="310" t="s">
        <v>261</v>
      </c>
      <c r="B250" s="311" t="s">
        <v>17263</v>
      </c>
      <c r="C250" s="238" t="s">
        <v>26043</v>
      </c>
      <c r="D250" s="239">
        <v>1</v>
      </c>
      <c r="E250" s="254">
        <v>0</v>
      </c>
      <c r="F250" s="258" t="s">
        <v>16764</v>
      </c>
      <c r="G250" s="241">
        <v>0</v>
      </c>
      <c r="H250" s="241">
        <v>1</v>
      </c>
      <c r="I250" s="240" t="s">
        <v>16755</v>
      </c>
      <c r="J250" s="241">
        <v>1</v>
      </c>
      <c r="K250" s="241">
        <v>0</v>
      </c>
      <c r="L250" s="241">
        <v>0</v>
      </c>
      <c r="M250" s="240" t="s">
        <v>16754</v>
      </c>
      <c r="N250" s="241">
        <v>1</v>
      </c>
      <c r="O250" s="241">
        <v>0</v>
      </c>
      <c r="P250" s="241">
        <v>0</v>
      </c>
      <c r="Q250" s="259" t="s">
        <v>717</v>
      </c>
      <c r="R250" s="242" t="s">
        <v>17063</v>
      </c>
      <c r="S250" s="244" t="s">
        <v>25753</v>
      </c>
      <c r="T250" s="275" t="s">
        <v>27236</v>
      </c>
      <c r="U250" s="275" t="str">
        <f t="shared" si="3"/>
        <v>Barriers connected to digital technologies. Deficiencies in the current digital environment. Increased security risk with digital technologies.|| Next refer.:LACK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v>
      </c>
      <c r="V250" s="300" t="s">
        <v>27003</v>
      </c>
      <c r="W250" s="295"/>
      <c r="X250" s="289"/>
      <c r="Y250" s="289"/>
      <c r="Z250" s="289"/>
      <c r="AA250" s="289"/>
      <c r="AB250" s="289"/>
      <c r="AC250" s="289"/>
      <c r="AD250" s="289"/>
      <c r="AE250" s="289"/>
      <c r="AF250" s="289" t="s">
        <v>25537</v>
      </c>
      <c r="AG250" s="289"/>
      <c r="AH250" s="289"/>
      <c r="AI250" s="289"/>
      <c r="AJ250" s="289"/>
      <c r="AK250" s="289"/>
      <c r="AL250" s="289"/>
      <c r="AM250" s="289"/>
      <c r="AN250" s="289"/>
      <c r="AO250" s="289"/>
      <c r="AP250" s="289" t="s">
        <v>17264</v>
      </c>
      <c r="AQ250" s="289"/>
      <c r="AR250" s="289"/>
      <c r="AS250" s="289"/>
      <c r="AT250" s="289"/>
      <c r="AU250" s="289"/>
      <c r="AV250" s="289"/>
      <c r="AW250" s="289"/>
      <c r="AX250" s="289"/>
      <c r="AY250" s="289"/>
      <c r="AZ250" s="290"/>
      <c r="BA250" s="290"/>
      <c r="BB250" s="290"/>
      <c r="BC250" s="290"/>
      <c r="BD250" s="290"/>
      <c r="BE250" s="290"/>
      <c r="BF250" s="290"/>
      <c r="BG250" s="290"/>
      <c r="BH250" s="290"/>
      <c r="BI250" s="290"/>
      <c r="BJ250" s="289"/>
      <c r="BK250" s="290"/>
      <c r="BL250" s="290"/>
    </row>
    <row r="251" spans="1:64" ht="27" customHeight="1" x14ac:dyDescent="0.25">
      <c r="A251" s="310" t="s">
        <v>262</v>
      </c>
      <c r="B251" s="311" t="s">
        <v>17265</v>
      </c>
      <c r="C251" s="238" t="s">
        <v>594</v>
      </c>
      <c r="D251" s="239">
        <v>1</v>
      </c>
      <c r="E251" s="254">
        <v>0</v>
      </c>
      <c r="F251" s="258" t="s">
        <v>16764</v>
      </c>
      <c r="G251" s="241">
        <v>1</v>
      </c>
      <c r="H251" s="241">
        <v>0</v>
      </c>
      <c r="I251" s="240" t="s">
        <v>16765</v>
      </c>
      <c r="J251" s="241">
        <v>0</v>
      </c>
      <c r="K251" s="241">
        <v>0</v>
      </c>
      <c r="L251" s="241">
        <v>1</v>
      </c>
      <c r="M251" s="240" t="s">
        <v>16832</v>
      </c>
      <c r="N251" s="241">
        <v>1</v>
      </c>
      <c r="O251" s="241">
        <v>0</v>
      </c>
      <c r="P251" s="241">
        <v>0</v>
      </c>
      <c r="Q251" s="259" t="s">
        <v>717</v>
      </c>
      <c r="R251" s="242" t="s">
        <v>16901</v>
      </c>
      <c r="S251" s="244" t="s">
        <v>25754</v>
      </c>
      <c r="T251" s="275" t="s">
        <v>27237</v>
      </c>
      <c r="U251" s="275" t="str">
        <f t="shared" si="3"/>
        <v>Having clearly delineated and comprehended requirements enginnering processes.|| Next refer.:LACK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v>
      </c>
      <c r="V251" s="300" t="s">
        <v>27004</v>
      </c>
      <c r="W251" s="296" t="s">
        <v>25755</v>
      </c>
      <c r="X251" s="289"/>
      <c r="Y251" s="289" t="s">
        <v>17393</v>
      </c>
      <c r="Z251" s="289"/>
      <c r="AA251" s="289"/>
      <c r="AB251" s="289"/>
      <c r="AC251" s="289"/>
      <c r="AD251" s="289"/>
      <c r="AE251" s="289"/>
      <c r="AF251" s="289"/>
      <c r="AG251" s="289"/>
      <c r="AH251" s="289"/>
      <c r="AI251" s="289"/>
      <c r="AJ251" s="289"/>
      <c r="AK251" s="289"/>
      <c r="AL251" s="289"/>
      <c r="AM251" s="289"/>
      <c r="AN251" s="289"/>
      <c r="AO251" s="289"/>
      <c r="AP251" s="289" t="s">
        <v>17266</v>
      </c>
      <c r="AQ251" s="289"/>
      <c r="AR251" s="289"/>
      <c r="AS251" s="289"/>
      <c r="AT251" s="289"/>
      <c r="AU251" s="289"/>
      <c r="AV251" s="289"/>
      <c r="AW251" s="289"/>
      <c r="AX251" s="289"/>
      <c r="AY251" s="289"/>
      <c r="AZ251" s="290"/>
      <c r="BA251" s="290"/>
      <c r="BB251" s="290"/>
      <c r="BC251" s="290"/>
      <c r="BD251" s="290"/>
      <c r="BE251" s="290"/>
      <c r="BF251" s="290"/>
      <c r="BG251" s="290"/>
      <c r="BH251" s="290"/>
      <c r="BI251" s="290"/>
      <c r="BJ251" s="289"/>
      <c r="BK251" s="290"/>
      <c r="BL251" s="290"/>
    </row>
    <row r="252" spans="1:64" ht="27" customHeight="1" x14ac:dyDescent="0.25">
      <c r="A252" s="310" t="s">
        <v>263</v>
      </c>
      <c r="B252" s="311" t="s">
        <v>17267</v>
      </c>
      <c r="C252" s="238" t="s">
        <v>595</v>
      </c>
      <c r="D252" s="239">
        <v>0</v>
      </c>
      <c r="E252" s="254">
        <v>1</v>
      </c>
      <c r="F252" s="258" t="s">
        <v>16753</v>
      </c>
      <c r="G252" s="241">
        <v>0</v>
      </c>
      <c r="H252" s="241">
        <v>1</v>
      </c>
      <c r="I252" s="240" t="s">
        <v>16755</v>
      </c>
      <c r="J252" s="241">
        <v>1</v>
      </c>
      <c r="K252" s="241">
        <v>0</v>
      </c>
      <c r="L252" s="241">
        <v>0</v>
      </c>
      <c r="M252" s="240" t="s">
        <v>16754</v>
      </c>
      <c r="N252" s="241">
        <v>0</v>
      </c>
      <c r="O252" s="241">
        <v>0</v>
      </c>
      <c r="P252" s="241">
        <v>1</v>
      </c>
      <c r="Q252" s="259" t="s">
        <v>16766</v>
      </c>
      <c r="R252" s="242" t="s">
        <v>17063</v>
      </c>
      <c r="S252" s="244" t="s">
        <v>25758</v>
      </c>
      <c r="T252" s="275" t="s">
        <v>27238</v>
      </c>
      <c r="U252" s="275" t="str">
        <f t="shared" si="3"/>
        <v>Functional point of view: It allows identifying the user's requirements and relevant derivative acceptance criteria to establish priorities in the tests.|| Next refer.:MISCOMMUNICATION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v>
      </c>
      <c r="V252" s="300" t="s">
        <v>27005</v>
      </c>
      <c r="W252" s="295" t="s">
        <v>25757</v>
      </c>
      <c r="X252" s="289"/>
      <c r="Y252" s="289"/>
      <c r="Z252" s="289"/>
      <c r="AA252" s="289"/>
      <c r="AB252" s="289"/>
      <c r="AC252" s="289"/>
      <c r="AD252" s="289"/>
      <c r="AE252" s="289"/>
      <c r="AF252" s="289"/>
      <c r="AG252" s="289" t="s">
        <v>25512</v>
      </c>
      <c r="AH252" s="289"/>
      <c r="AI252" s="289"/>
      <c r="AJ252" s="289"/>
      <c r="AK252" s="289"/>
      <c r="AL252" s="289"/>
      <c r="AM252" s="289"/>
      <c r="AN252" s="289"/>
      <c r="AO252" s="289"/>
      <c r="AP252" s="289" t="s">
        <v>17268</v>
      </c>
      <c r="AQ252" s="289"/>
      <c r="AR252" s="289"/>
      <c r="AS252" s="289"/>
      <c r="AT252" s="289"/>
      <c r="AU252" s="289"/>
      <c r="AV252" s="289"/>
      <c r="AW252" s="289"/>
      <c r="AX252" s="289"/>
      <c r="AY252" s="289"/>
      <c r="AZ252" s="290"/>
      <c r="BA252" s="290"/>
      <c r="BB252" s="290"/>
      <c r="BC252" s="290"/>
      <c r="BD252" s="290"/>
      <c r="BE252" s="290"/>
      <c r="BF252" s="290"/>
      <c r="BG252" s="290"/>
      <c r="BH252" s="290"/>
      <c r="BI252" s="290"/>
      <c r="BJ252" s="289"/>
      <c r="BK252" s="290"/>
      <c r="BL252" s="290"/>
    </row>
    <row r="253" spans="1:64" ht="27" customHeight="1" x14ac:dyDescent="0.25">
      <c r="A253" s="310" t="s">
        <v>264</v>
      </c>
      <c r="B253" s="311" t="s">
        <v>17269</v>
      </c>
      <c r="C253" s="238" t="s">
        <v>596</v>
      </c>
      <c r="D253" s="239">
        <v>0</v>
      </c>
      <c r="E253" s="254">
        <v>1</v>
      </c>
      <c r="F253" s="258" t="s">
        <v>16753</v>
      </c>
      <c r="G253" s="241">
        <v>0</v>
      </c>
      <c r="H253" s="241">
        <v>1</v>
      </c>
      <c r="I253" s="240" t="s">
        <v>16755</v>
      </c>
      <c r="J253" s="241">
        <v>0</v>
      </c>
      <c r="K253" s="241">
        <v>0</v>
      </c>
      <c r="L253" s="241">
        <v>1</v>
      </c>
      <c r="M253" s="240" t="s">
        <v>16832</v>
      </c>
      <c r="N253" s="241">
        <v>1</v>
      </c>
      <c r="O253" s="241">
        <v>0</v>
      </c>
      <c r="P253" s="241">
        <v>0</v>
      </c>
      <c r="Q253" s="259" t="s">
        <v>717</v>
      </c>
      <c r="R253" s="242" t="s">
        <v>16901</v>
      </c>
      <c r="S253" s="244" t="s">
        <v>25759</v>
      </c>
      <c r="T253" s="275" t="s">
        <v>17342</v>
      </c>
      <c r="U253" s="275" t="str">
        <f t="shared" si="3"/>
        <v>Team knowledge</v>
      </c>
      <c r="V253" s="300" t="s">
        <v>27006</v>
      </c>
      <c r="W253" s="295" t="s">
        <v>25760</v>
      </c>
      <c r="X253" s="289"/>
      <c r="Y253" s="289"/>
      <c r="Z253" s="289"/>
      <c r="AA253" s="289"/>
      <c r="AB253" s="289"/>
      <c r="AC253" s="289" t="s">
        <v>17342</v>
      </c>
      <c r="AD253" s="302"/>
      <c r="AE253" s="289"/>
      <c r="AF253" s="289"/>
      <c r="AG253" s="289"/>
      <c r="AH253" s="289"/>
      <c r="AI253" s="289"/>
      <c r="AJ253" s="289"/>
      <c r="AK253" s="289"/>
      <c r="AL253" s="289"/>
      <c r="AM253" s="289"/>
      <c r="AN253" s="289"/>
      <c r="AO253" s="289"/>
      <c r="AP253" s="289"/>
      <c r="AQ253" s="289"/>
      <c r="AR253" s="289"/>
      <c r="AS253" s="289"/>
      <c r="AT253" s="289"/>
      <c r="AU253" s="289"/>
      <c r="AV253" s="289"/>
      <c r="AW253" s="289"/>
      <c r="AX253" s="289"/>
      <c r="AY253" s="289"/>
      <c r="AZ253" s="290"/>
      <c r="BA253" s="290"/>
      <c r="BB253" s="290"/>
      <c r="BC253" s="290"/>
      <c r="BD253" s="290"/>
      <c r="BE253" s="290"/>
      <c r="BF253" s="290"/>
      <c r="BG253" s="290"/>
      <c r="BH253" s="290"/>
      <c r="BI253" s="290"/>
      <c r="BJ253" s="289"/>
      <c r="BK253" s="290"/>
      <c r="BL253" s="290"/>
    </row>
    <row r="254" spans="1:64" ht="27" customHeight="1" x14ac:dyDescent="0.25">
      <c r="A254" s="310" t="s">
        <v>265</v>
      </c>
      <c r="B254" s="311" t="s">
        <v>17270</v>
      </c>
      <c r="C254" s="238" t="s">
        <v>597</v>
      </c>
      <c r="D254" s="239">
        <v>0</v>
      </c>
      <c r="E254" s="254">
        <v>1</v>
      </c>
      <c r="F254" s="258" t="s">
        <v>16753</v>
      </c>
      <c r="G254" s="241">
        <v>0</v>
      </c>
      <c r="H254" s="241">
        <v>1</v>
      </c>
      <c r="I254" s="240" t="s">
        <v>16755</v>
      </c>
      <c r="J254" s="241">
        <v>1</v>
      </c>
      <c r="K254" s="241">
        <v>0</v>
      </c>
      <c r="L254" s="241">
        <v>0</v>
      </c>
      <c r="M254" s="240" t="s">
        <v>16754</v>
      </c>
      <c r="N254" s="241">
        <v>1</v>
      </c>
      <c r="O254" s="241">
        <v>0</v>
      </c>
      <c r="P254" s="241">
        <v>0</v>
      </c>
      <c r="Q254" s="259" t="s">
        <v>717</v>
      </c>
      <c r="R254" s="242" t="s">
        <v>17063</v>
      </c>
      <c r="S254" s="244" t="s">
        <v>25867</v>
      </c>
      <c r="T254" s="275" t="s">
        <v>646</v>
      </c>
      <c r="U254" s="275" t="str">
        <f t="shared" si="3"/>
        <v/>
      </c>
      <c r="V254" s="300" t="s">
        <v>27007</v>
      </c>
      <c r="W254" s="295" t="s">
        <v>25868</v>
      </c>
      <c r="X254" s="289"/>
      <c r="Y254" s="289"/>
      <c r="Z254" s="289"/>
      <c r="AA254" s="289"/>
      <c r="AB254" s="289"/>
      <c r="AC254" s="289"/>
      <c r="AD254" s="289"/>
      <c r="AE254" s="289"/>
      <c r="AF254" s="289"/>
      <c r="AG254" s="289"/>
      <c r="AH254" s="289"/>
      <c r="AI254" s="289"/>
      <c r="AJ254" s="289"/>
      <c r="AK254" s="289"/>
      <c r="AL254" s="289"/>
      <c r="AM254" s="289"/>
      <c r="AN254" s="289"/>
      <c r="AO254" s="289"/>
      <c r="AP254" s="289"/>
      <c r="AQ254" s="289"/>
      <c r="AR254" s="289"/>
      <c r="AS254" s="289"/>
      <c r="AT254" s="289"/>
      <c r="AU254" s="289"/>
      <c r="AV254" s="289"/>
      <c r="AW254" s="289"/>
      <c r="AX254" s="289"/>
      <c r="AY254" s="289"/>
      <c r="AZ254" s="290"/>
      <c r="BA254" s="290"/>
      <c r="BB254" s="290"/>
      <c r="BC254" s="290"/>
      <c r="BD254" s="290"/>
      <c r="BE254" s="290"/>
      <c r="BF254" s="290"/>
      <c r="BG254" s="290"/>
      <c r="BH254" s="290"/>
      <c r="BI254" s="290"/>
      <c r="BJ254" s="289"/>
      <c r="BK254" s="290"/>
      <c r="BL254" s="290"/>
    </row>
    <row r="255" spans="1:64" ht="27" customHeight="1" x14ac:dyDescent="0.25">
      <c r="A255" s="310" t="s">
        <v>266</v>
      </c>
      <c r="B255" s="311" t="s">
        <v>598</v>
      </c>
      <c r="C255" s="238" t="s">
        <v>17344</v>
      </c>
      <c r="D255" s="239">
        <v>0</v>
      </c>
      <c r="E255" s="254">
        <v>1</v>
      </c>
      <c r="F255" s="258" t="s">
        <v>16753</v>
      </c>
      <c r="G255" s="241">
        <v>0</v>
      </c>
      <c r="H255" s="241">
        <v>1</v>
      </c>
      <c r="I255" s="240" t="s">
        <v>16755</v>
      </c>
      <c r="J255" s="241">
        <v>1</v>
      </c>
      <c r="K255" s="241">
        <v>0</v>
      </c>
      <c r="L255" s="241">
        <v>0</v>
      </c>
      <c r="M255" s="240" t="s">
        <v>16754</v>
      </c>
      <c r="N255" s="241">
        <v>1</v>
      </c>
      <c r="O255" s="241">
        <v>0</v>
      </c>
      <c r="P255" s="241">
        <v>0</v>
      </c>
      <c r="Q255" s="259" t="s">
        <v>717</v>
      </c>
      <c r="R255" s="242" t="s">
        <v>17063</v>
      </c>
      <c r="S255" s="244" t="s">
        <v>25761</v>
      </c>
      <c r="T255" s="275" t="s">
        <v>646</v>
      </c>
      <c r="U255" s="275" t="str">
        <f t="shared" si="3"/>
        <v/>
      </c>
      <c r="V255" s="300" t="s">
        <v>27008</v>
      </c>
      <c r="W255" s="295" t="s">
        <v>25762</v>
      </c>
      <c r="X255" s="289"/>
      <c r="Y255" s="289"/>
      <c r="Z255" s="289"/>
      <c r="AA255" s="289"/>
      <c r="AB255" s="289"/>
      <c r="AC255" s="289"/>
      <c r="AD255" s="289"/>
      <c r="AE255" s="289"/>
      <c r="AF255" s="289"/>
      <c r="AG255" s="289"/>
      <c r="AH255" s="289"/>
      <c r="AI255" s="289"/>
      <c r="AJ255" s="289"/>
      <c r="AK255" s="289"/>
      <c r="AL255" s="289"/>
      <c r="AM255" s="289"/>
      <c r="AN255" s="289"/>
      <c r="AO255" s="289"/>
      <c r="AP255" s="289"/>
      <c r="AQ255" s="289"/>
      <c r="AR255" s="289"/>
      <c r="AS255" s="289"/>
      <c r="AT255" s="289"/>
      <c r="AU255" s="289"/>
      <c r="AV255" s="289"/>
      <c r="AW255" s="289"/>
      <c r="AX255" s="289"/>
      <c r="AY255" s="289"/>
      <c r="AZ255" s="290"/>
      <c r="BA255" s="290"/>
      <c r="BB255" s="290"/>
      <c r="BC255" s="290"/>
      <c r="BD255" s="290"/>
      <c r="BE255" s="290"/>
      <c r="BF255" s="290"/>
      <c r="BG255" s="290"/>
      <c r="BH255" s="290"/>
      <c r="BI255" s="290"/>
      <c r="BJ255" s="289"/>
      <c r="BK255" s="290"/>
      <c r="BL255" s="290"/>
    </row>
    <row r="256" spans="1:64" ht="27" customHeight="1" x14ac:dyDescent="0.25">
      <c r="A256" s="310" t="s">
        <v>267</v>
      </c>
      <c r="B256" s="311" t="s">
        <v>17271</v>
      </c>
      <c r="C256" s="238" t="s">
        <v>17271</v>
      </c>
      <c r="D256" s="239">
        <v>0</v>
      </c>
      <c r="E256" s="254">
        <v>1</v>
      </c>
      <c r="F256" s="258" t="s">
        <v>16753</v>
      </c>
      <c r="G256" s="241">
        <v>0</v>
      </c>
      <c r="H256" s="241">
        <v>1</v>
      </c>
      <c r="I256" s="240" t="s">
        <v>16755</v>
      </c>
      <c r="J256" s="241">
        <v>0</v>
      </c>
      <c r="K256" s="241">
        <v>0</v>
      </c>
      <c r="L256" s="241">
        <v>1</v>
      </c>
      <c r="M256" s="240" t="s">
        <v>16832</v>
      </c>
      <c r="N256" s="241">
        <v>1</v>
      </c>
      <c r="O256" s="241">
        <v>0</v>
      </c>
      <c r="P256" s="241">
        <v>0</v>
      </c>
      <c r="Q256" s="259" t="s">
        <v>717</v>
      </c>
      <c r="R256" s="242" t="s">
        <v>17063</v>
      </c>
      <c r="S256" s="244" t="s">
        <v>25763</v>
      </c>
      <c r="T256" s="275" t="s">
        <v>646</v>
      </c>
      <c r="U256" s="275" t="str">
        <f t="shared" si="3"/>
        <v/>
      </c>
      <c r="V256" s="300" t="s">
        <v>27009</v>
      </c>
      <c r="W256" s="295" t="s">
        <v>25764</v>
      </c>
      <c r="X256" s="289"/>
      <c r="Y256" s="289"/>
      <c r="Z256" s="289"/>
      <c r="AA256" s="289"/>
      <c r="AB256" s="289"/>
      <c r="AC256" s="289"/>
      <c r="AD256" s="289"/>
      <c r="AE256" s="289"/>
      <c r="AF256" s="289"/>
      <c r="AG256" s="289"/>
      <c r="AH256" s="289"/>
      <c r="AI256" s="289"/>
      <c r="AJ256" s="289"/>
      <c r="AK256" s="289"/>
      <c r="AL256" s="289"/>
      <c r="AM256" s="289"/>
      <c r="AN256" s="289"/>
      <c r="AO256" s="289"/>
      <c r="AP256" s="289"/>
      <c r="AQ256" s="289"/>
      <c r="AR256" s="289"/>
      <c r="AS256" s="289"/>
      <c r="AT256" s="289"/>
      <c r="AU256" s="289"/>
      <c r="AV256" s="289"/>
      <c r="AW256" s="289"/>
      <c r="AX256" s="289"/>
      <c r="AY256" s="289"/>
      <c r="AZ256" s="290"/>
      <c r="BA256" s="290"/>
      <c r="BB256" s="290"/>
      <c r="BC256" s="290"/>
      <c r="BD256" s="290"/>
      <c r="BE256" s="290"/>
      <c r="BF256" s="290"/>
      <c r="BG256" s="290"/>
      <c r="BH256" s="290"/>
      <c r="BI256" s="290"/>
      <c r="BJ256" s="289"/>
      <c r="BK256" s="290"/>
      <c r="BL256" s="290"/>
    </row>
    <row r="257" spans="1:64" ht="27" customHeight="1" x14ac:dyDescent="0.25">
      <c r="A257" s="310" t="s">
        <v>268</v>
      </c>
      <c r="B257" s="311" t="s">
        <v>17272</v>
      </c>
      <c r="C257" s="238" t="s">
        <v>26040</v>
      </c>
      <c r="D257" s="239">
        <v>0</v>
      </c>
      <c r="E257" s="254">
        <v>1</v>
      </c>
      <c r="F257" s="258" t="s">
        <v>16753</v>
      </c>
      <c r="G257" s="241">
        <v>0</v>
      </c>
      <c r="H257" s="241">
        <v>1</v>
      </c>
      <c r="I257" s="240" t="s">
        <v>16755</v>
      </c>
      <c r="J257" s="241">
        <v>1</v>
      </c>
      <c r="K257" s="241">
        <v>0</v>
      </c>
      <c r="L257" s="241">
        <v>0</v>
      </c>
      <c r="M257" s="240" t="s">
        <v>16754</v>
      </c>
      <c r="N257" s="241">
        <v>0</v>
      </c>
      <c r="O257" s="241">
        <v>1</v>
      </c>
      <c r="P257" s="241">
        <v>0</v>
      </c>
      <c r="Q257" s="259" t="s">
        <v>16827</v>
      </c>
      <c r="R257" s="242" t="s">
        <v>16901</v>
      </c>
      <c r="S257" s="244" t="s">
        <v>26041</v>
      </c>
      <c r="T257" s="275" t="s">
        <v>646</v>
      </c>
      <c r="U257" s="275" t="str">
        <f t="shared" si="3"/>
        <v/>
      </c>
      <c r="V257" s="300" t="s">
        <v>27010</v>
      </c>
      <c r="W257" s="295" t="s">
        <v>26042</v>
      </c>
      <c r="X257" s="289"/>
      <c r="Y257" s="289"/>
      <c r="Z257" s="289"/>
      <c r="AA257" s="289"/>
      <c r="AB257" s="289"/>
      <c r="AC257" s="289"/>
      <c r="AD257" s="289"/>
      <c r="AE257" s="289"/>
      <c r="AF257" s="289"/>
      <c r="AG257" s="289"/>
      <c r="AH257" s="289"/>
      <c r="AI257" s="289"/>
      <c r="AJ257" s="289"/>
      <c r="AK257" s="289"/>
      <c r="AL257" s="289"/>
      <c r="AM257" s="289"/>
      <c r="AN257" s="289"/>
      <c r="AO257" s="289"/>
      <c r="AP257" s="289"/>
      <c r="AQ257" s="289"/>
      <c r="AR257" s="289"/>
      <c r="AS257" s="289"/>
      <c r="AT257" s="289"/>
      <c r="AU257" s="289"/>
      <c r="AV257" s="289"/>
      <c r="AW257" s="289"/>
      <c r="AX257" s="289"/>
      <c r="AY257" s="289"/>
      <c r="AZ257" s="290"/>
      <c r="BA257" s="290"/>
      <c r="BB257" s="290"/>
      <c r="BC257" s="290"/>
      <c r="BD257" s="290"/>
      <c r="BE257" s="290"/>
      <c r="BF257" s="290"/>
      <c r="BG257" s="290"/>
      <c r="BH257" s="290"/>
      <c r="BI257" s="290"/>
      <c r="BJ257" s="289"/>
      <c r="BK257" s="290"/>
      <c r="BL257" s="290"/>
    </row>
    <row r="258" spans="1:64" ht="27" customHeight="1" x14ac:dyDescent="0.25">
      <c r="A258" s="310" t="s">
        <v>269</v>
      </c>
      <c r="B258" s="311" t="s">
        <v>17273</v>
      </c>
      <c r="C258" s="238" t="s">
        <v>25765</v>
      </c>
      <c r="D258" s="239">
        <v>0</v>
      </c>
      <c r="E258" s="254">
        <v>1</v>
      </c>
      <c r="F258" s="258" t="s">
        <v>16753</v>
      </c>
      <c r="G258" s="241">
        <v>0</v>
      </c>
      <c r="H258" s="241">
        <v>1</v>
      </c>
      <c r="I258" s="240" t="s">
        <v>16755</v>
      </c>
      <c r="J258" s="241">
        <v>1</v>
      </c>
      <c r="K258" s="241">
        <v>0</v>
      </c>
      <c r="L258" s="241">
        <v>0</v>
      </c>
      <c r="M258" s="240" t="s">
        <v>16754</v>
      </c>
      <c r="N258" s="241">
        <v>0</v>
      </c>
      <c r="O258" s="241">
        <v>1</v>
      </c>
      <c r="P258" s="241">
        <v>0</v>
      </c>
      <c r="Q258" s="259" t="s">
        <v>16827</v>
      </c>
      <c r="R258" s="242" t="s">
        <v>17063</v>
      </c>
      <c r="S258" s="244" t="s">
        <v>25766</v>
      </c>
      <c r="T258" s="275" t="s">
        <v>646</v>
      </c>
      <c r="U258" s="275" t="str">
        <f t="shared" si="3"/>
        <v/>
      </c>
      <c r="V258" s="300" t="s">
        <v>27011</v>
      </c>
      <c r="W258" s="295" t="s">
        <v>25767</v>
      </c>
      <c r="X258" s="289"/>
      <c r="Y258" s="289"/>
      <c r="Z258" s="289"/>
      <c r="AA258" s="289"/>
      <c r="AB258" s="289"/>
      <c r="AC258" s="289"/>
      <c r="AD258" s="289"/>
      <c r="AE258" s="289"/>
      <c r="AF258" s="289"/>
      <c r="AG258" s="289"/>
      <c r="AH258" s="289"/>
      <c r="AI258" s="289"/>
      <c r="AJ258" s="289"/>
      <c r="AK258" s="289"/>
      <c r="AL258" s="289"/>
      <c r="AM258" s="289"/>
      <c r="AN258" s="289"/>
      <c r="AO258" s="289"/>
      <c r="AP258" s="289"/>
      <c r="AQ258" s="289"/>
      <c r="AR258" s="289"/>
      <c r="AS258" s="289"/>
      <c r="AT258" s="289"/>
      <c r="AU258" s="289"/>
      <c r="AV258" s="289"/>
      <c r="AW258" s="289"/>
      <c r="AX258" s="289"/>
      <c r="AY258" s="289"/>
      <c r="AZ258" s="290"/>
      <c r="BA258" s="290"/>
      <c r="BB258" s="290"/>
      <c r="BC258" s="290"/>
      <c r="BD258" s="290"/>
      <c r="BE258" s="290"/>
      <c r="BF258" s="290"/>
      <c r="BG258" s="290"/>
      <c r="BH258" s="290"/>
      <c r="BI258" s="290"/>
      <c r="BJ258" s="289"/>
      <c r="BK258" s="290"/>
      <c r="BL258" s="290"/>
    </row>
    <row r="259" spans="1:64" ht="27" customHeight="1" x14ac:dyDescent="0.25">
      <c r="A259" s="310" t="s">
        <v>270</v>
      </c>
      <c r="B259" s="311" t="s">
        <v>17274</v>
      </c>
      <c r="C259" s="238" t="s">
        <v>602</v>
      </c>
      <c r="D259" s="239">
        <v>0</v>
      </c>
      <c r="E259" s="254">
        <v>1</v>
      </c>
      <c r="F259" s="258" t="s">
        <v>16753</v>
      </c>
      <c r="G259" s="241">
        <v>0</v>
      </c>
      <c r="H259" s="241">
        <v>1</v>
      </c>
      <c r="I259" s="240" t="s">
        <v>16755</v>
      </c>
      <c r="J259" s="241">
        <v>1</v>
      </c>
      <c r="K259" s="241">
        <v>0</v>
      </c>
      <c r="L259" s="241">
        <v>0</v>
      </c>
      <c r="M259" s="240" t="s">
        <v>16754</v>
      </c>
      <c r="N259" s="241">
        <v>1</v>
      </c>
      <c r="O259" s="241">
        <v>0</v>
      </c>
      <c r="P259" s="241">
        <v>0</v>
      </c>
      <c r="Q259" s="259" t="s">
        <v>717</v>
      </c>
      <c r="R259" s="242" t="s">
        <v>17063</v>
      </c>
      <c r="S259" s="244" t="s">
        <v>25768</v>
      </c>
      <c r="T259" s="275" t="s">
        <v>646</v>
      </c>
      <c r="U259" s="275" t="str">
        <f t="shared" si="3"/>
        <v/>
      </c>
      <c r="V259" s="300" t="s">
        <v>27012</v>
      </c>
      <c r="W259" s="295" t="s">
        <v>25769</v>
      </c>
      <c r="X259" s="289"/>
      <c r="Y259" s="289"/>
      <c r="Z259" s="289"/>
      <c r="AA259" s="289"/>
      <c r="AB259" s="289"/>
      <c r="AC259" s="289"/>
      <c r="AD259" s="289"/>
      <c r="AE259" s="289"/>
      <c r="AF259" s="289"/>
      <c r="AG259" s="289"/>
      <c r="AH259" s="289"/>
      <c r="AI259" s="289"/>
      <c r="AJ259" s="289"/>
      <c r="AK259" s="289"/>
      <c r="AL259" s="289"/>
      <c r="AM259" s="289"/>
      <c r="AN259" s="289"/>
      <c r="AO259" s="289"/>
      <c r="AP259" s="289"/>
      <c r="AQ259" s="289"/>
      <c r="AR259" s="289"/>
      <c r="AS259" s="289"/>
      <c r="AT259" s="289"/>
      <c r="AU259" s="289"/>
      <c r="AV259" s="289"/>
      <c r="AW259" s="289"/>
      <c r="AX259" s="289"/>
      <c r="AY259" s="289"/>
      <c r="AZ259" s="290"/>
      <c r="BA259" s="290"/>
      <c r="BB259" s="290"/>
      <c r="BC259" s="290"/>
      <c r="BD259" s="290"/>
      <c r="BE259" s="290"/>
      <c r="BF259" s="290"/>
      <c r="BG259" s="290"/>
      <c r="BH259" s="290"/>
      <c r="BI259" s="290"/>
      <c r="BJ259" s="289"/>
      <c r="BK259" s="290"/>
      <c r="BL259" s="290"/>
    </row>
    <row r="260" spans="1:64" ht="27" customHeight="1" x14ac:dyDescent="0.25">
      <c r="A260" s="310" t="s">
        <v>271</v>
      </c>
      <c r="B260" s="311" t="s">
        <v>603</v>
      </c>
      <c r="C260" s="238" t="s">
        <v>603</v>
      </c>
      <c r="D260" s="239">
        <v>0</v>
      </c>
      <c r="E260" s="254">
        <v>1</v>
      </c>
      <c r="F260" s="258" t="s">
        <v>16753</v>
      </c>
      <c r="G260" s="241">
        <v>0</v>
      </c>
      <c r="H260" s="241">
        <v>1</v>
      </c>
      <c r="I260" s="240" t="s">
        <v>16755</v>
      </c>
      <c r="J260" s="241">
        <v>1</v>
      </c>
      <c r="K260" s="241">
        <v>0</v>
      </c>
      <c r="L260" s="241">
        <v>0</v>
      </c>
      <c r="M260" s="240" t="s">
        <v>16754</v>
      </c>
      <c r="N260" s="241">
        <v>1</v>
      </c>
      <c r="O260" s="241">
        <v>0</v>
      </c>
      <c r="P260" s="241">
        <v>0</v>
      </c>
      <c r="Q260" s="259" t="s">
        <v>717</v>
      </c>
      <c r="R260" s="242" t="s">
        <v>17063</v>
      </c>
      <c r="S260" s="244" t="s">
        <v>26524</v>
      </c>
      <c r="T260" s="275" t="s">
        <v>17275</v>
      </c>
      <c r="U260" s="275" t="str">
        <f t="shared" ref="U260:U321" si="4">_xlfn.TEXTJOIN("|| Next refer.:",,X260:BL260)</f>
        <v>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v>
      </c>
      <c r="V260" s="300" t="s">
        <v>27013</v>
      </c>
      <c r="W260" s="295"/>
      <c r="X260" s="289"/>
      <c r="Y260" s="289"/>
      <c r="Z260" s="289"/>
      <c r="AA260" s="289"/>
      <c r="AB260" s="289"/>
      <c r="AC260" s="289"/>
      <c r="AD260" s="289"/>
      <c r="AE260" s="289"/>
      <c r="AF260" s="289"/>
      <c r="AG260" s="289"/>
      <c r="AH260" s="289"/>
      <c r="AI260" s="289"/>
      <c r="AJ260" s="289"/>
      <c r="AK260" s="289"/>
      <c r="AL260" s="289"/>
      <c r="AM260" s="289"/>
      <c r="AN260" s="289" t="s">
        <v>17275</v>
      </c>
      <c r="AO260" s="290"/>
      <c r="AP260" s="289"/>
      <c r="AQ260" s="289"/>
      <c r="AR260" s="289"/>
      <c r="AS260" s="289"/>
      <c r="AT260" s="289"/>
      <c r="AU260" s="289"/>
      <c r="AV260" s="289"/>
      <c r="AW260" s="289"/>
      <c r="AX260" s="289"/>
      <c r="AY260" s="289"/>
      <c r="AZ260" s="290"/>
      <c r="BA260" s="290"/>
      <c r="BB260" s="290"/>
      <c r="BC260" s="290"/>
      <c r="BD260" s="290"/>
      <c r="BE260" s="290"/>
      <c r="BF260" s="290"/>
      <c r="BG260" s="290"/>
      <c r="BH260" s="290"/>
      <c r="BI260" s="290"/>
      <c r="BJ260" s="289"/>
      <c r="BK260" s="290"/>
      <c r="BL260" s="290"/>
    </row>
    <row r="261" spans="1:64" ht="27" customHeight="1" x14ac:dyDescent="0.25">
      <c r="A261" s="310" t="s">
        <v>272</v>
      </c>
      <c r="B261" s="311" t="s">
        <v>17276</v>
      </c>
      <c r="C261" s="238" t="s">
        <v>17276</v>
      </c>
      <c r="D261" s="239">
        <v>0</v>
      </c>
      <c r="E261" s="254">
        <v>1</v>
      </c>
      <c r="F261" s="258" t="s">
        <v>16753</v>
      </c>
      <c r="G261" s="241">
        <v>0</v>
      </c>
      <c r="H261" s="241">
        <v>1</v>
      </c>
      <c r="I261" s="240" t="s">
        <v>16755</v>
      </c>
      <c r="J261" s="241">
        <v>1</v>
      </c>
      <c r="K261" s="241">
        <v>0</v>
      </c>
      <c r="L261" s="241">
        <v>0</v>
      </c>
      <c r="M261" s="240" t="s">
        <v>16754</v>
      </c>
      <c r="N261" s="241">
        <v>1</v>
      </c>
      <c r="O261" s="241">
        <v>0</v>
      </c>
      <c r="P261" s="241">
        <v>0</v>
      </c>
      <c r="Q261" s="259" t="s">
        <v>717</v>
      </c>
      <c r="R261" s="242" t="s">
        <v>17063</v>
      </c>
      <c r="S261" s="244" t="s">
        <v>25770</v>
      </c>
      <c r="T261" s="275" t="s">
        <v>17277</v>
      </c>
      <c r="U261" s="275" t="str">
        <f t="shared" si="4"/>
        <v>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v>
      </c>
      <c r="V261" s="300" t="s">
        <v>27014</v>
      </c>
      <c r="W261" s="295"/>
      <c r="X261" s="289"/>
      <c r="Y261" s="289"/>
      <c r="Z261" s="289"/>
      <c r="AA261" s="289"/>
      <c r="AB261" s="289"/>
      <c r="AC261" s="289"/>
      <c r="AD261" s="289"/>
      <c r="AE261" s="289"/>
      <c r="AF261" s="289"/>
      <c r="AG261" s="289"/>
      <c r="AH261" s="289"/>
      <c r="AI261" s="289"/>
      <c r="AJ261" s="289"/>
      <c r="AK261" s="289"/>
      <c r="AL261" s="289"/>
      <c r="AM261" s="289"/>
      <c r="AN261" s="289" t="s">
        <v>17277</v>
      </c>
      <c r="AO261" s="290"/>
      <c r="AP261" s="289"/>
      <c r="AQ261" s="289"/>
      <c r="AR261" s="289"/>
      <c r="AS261" s="289"/>
      <c r="AT261" s="289"/>
      <c r="AU261" s="289"/>
      <c r="AV261" s="289"/>
      <c r="AW261" s="289"/>
      <c r="AX261" s="289"/>
      <c r="AY261" s="289"/>
      <c r="AZ261" s="290"/>
      <c r="BA261" s="290"/>
      <c r="BB261" s="290"/>
      <c r="BC261" s="290"/>
      <c r="BD261" s="290"/>
      <c r="BE261" s="290"/>
      <c r="BF261" s="290"/>
      <c r="BG261" s="290"/>
      <c r="BH261" s="290"/>
      <c r="BI261" s="290"/>
      <c r="BJ261" s="289"/>
      <c r="BK261" s="290"/>
      <c r="BL261" s="290"/>
    </row>
    <row r="262" spans="1:64" ht="27" customHeight="1" x14ac:dyDescent="0.25">
      <c r="A262" s="310" t="s">
        <v>273</v>
      </c>
      <c r="B262" s="311" t="s">
        <v>605</v>
      </c>
      <c r="C262" s="238" t="s">
        <v>605</v>
      </c>
      <c r="D262" s="239">
        <v>1</v>
      </c>
      <c r="E262" s="254">
        <v>0</v>
      </c>
      <c r="F262" s="258" t="s">
        <v>16764</v>
      </c>
      <c r="G262" s="241">
        <v>1</v>
      </c>
      <c r="H262" s="241">
        <v>0</v>
      </c>
      <c r="I262" s="240" t="s">
        <v>16765</v>
      </c>
      <c r="J262" s="241">
        <v>0</v>
      </c>
      <c r="K262" s="241">
        <v>0</v>
      </c>
      <c r="L262" s="241">
        <v>1</v>
      </c>
      <c r="M262" s="240" t="s">
        <v>16832</v>
      </c>
      <c r="N262" s="241">
        <v>0</v>
      </c>
      <c r="O262" s="241">
        <v>1</v>
      </c>
      <c r="P262" s="241">
        <v>0</v>
      </c>
      <c r="Q262" s="259" t="s">
        <v>16827</v>
      </c>
      <c r="R262" s="242" t="s">
        <v>17063</v>
      </c>
      <c r="S262" s="244" t="s">
        <v>25771</v>
      </c>
      <c r="T262" s="275" t="s">
        <v>17278</v>
      </c>
      <c r="U262" s="275" t="str">
        <f t="shared" si="4"/>
        <v>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v>
      </c>
      <c r="V262" s="300" t="s">
        <v>27015</v>
      </c>
      <c r="W262" s="295"/>
      <c r="X262" s="289"/>
      <c r="Y262" s="289"/>
      <c r="Z262" s="289"/>
      <c r="AA262" s="289"/>
      <c r="AB262" s="289"/>
      <c r="AC262" s="289"/>
      <c r="AD262" s="289"/>
      <c r="AE262" s="289"/>
      <c r="AF262" s="289"/>
      <c r="AG262" s="289"/>
      <c r="AH262" s="289"/>
      <c r="AI262" s="289"/>
      <c r="AJ262" s="289"/>
      <c r="AK262" s="289"/>
      <c r="AL262" s="289"/>
      <c r="AM262" s="289"/>
      <c r="AN262" s="289" t="s">
        <v>17278</v>
      </c>
      <c r="AO262" s="290"/>
      <c r="AP262" s="289"/>
      <c r="AQ262" s="289"/>
      <c r="AR262" s="289"/>
      <c r="AS262" s="289"/>
      <c r="AT262" s="289"/>
      <c r="AU262" s="289"/>
      <c r="AV262" s="289"/>
      <c r="AW262" s="289"/>
      <c r="AX262" s="289"/>
      <c r="AY262" s="289"/>
      <c r="AZ262" s="290"/>
      <c r="BA262" s="290"/>
      <c r="BB262" s="290"/>
      <c r="BC262" s="290"/>
      <c r="BD262" s="290"/>
      <c r="BE262" s="290"/>
      <c r="BF262" s="290"/>
      <c r="BG262" s="290"/>
      <c r="BH262" s="290"/>
      <c r="BI262" s="290"/>
      <c r="BJ262" s="289"/>
      <c r="BK262" s="290"/>
      <c r="BL262" s="290"/>
    </row>
    <row r="263" spans="1:64" ht="27" customHeight="1" x14ac:dyDescent="0.25">
      <c r="A263" s="310" t="s">
        <v>274</v>
      </c>
      <c r="B263" s="311" t="s">
        <v>17279</v>
      </c>
      <c r="C263" s="238" t="s">
        <v>17279</v>
      </c>
      <c r="D263" s="239">
        <v>1</v>
      </c>
      <c r="E263" s="254">
        <v>0</v>
      </c>
      <c r="F263" s="258" t="s">
        <v>16764</v>
      </c>
      <c r="G263" s="241">
        <v>1</v>
      </c>
      <c r="H263" s="241">
        <v>0</v>
      </c>
      <c r="I263" s="240" t="s">
        <v>16765</v>
      </c>
      <c r="J263" s="241">
        <v>0</v>
      </c>
      <c r="K263" s="241">
        <v>0</v>
      </c>
      <c r="L263" s="241">
        <v>1</v>
      </c>
      <c r="M263" s="240" t="s">
        <v>16832</v>
      </c>
      <c r="N263" s="241">
        <v>0</v>
      </c>
      <c r="O263" s="241">
        <v>1</v>
      </c>
      <c r="P263" s="241">
        <v>0</v>
      </c>
      <c r="Q263" s="259" t="s">
        <v>16827</v>
      </c>
      <c r="R263" s="242" t="s">
        <v>17063</v>
      </c>
      <c r="S263" s="244" t="s">
        <v>25772</v>
      </c>
      <c r="T263" s="275" t="s">
        <v>17280</v>
      </c>
      <c r="U263" s="275" t="str">
        <f t="shared" si="4"/>
        <v>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v>
      </c>
      <c r="V263" s="300" t="s">
        <v>27016</v>
      </c>
      <c r="W263" s="295"/>
      <c r="X263" s="289"/>
      <c r="Y263" s="289"/>
      <c r="Z263" s="289"/>
      <c r="AA263" s="289"/>
      <c r="AB263" s="289"/>
      <c r="AC263" s="289"/>
      <c r="AD263" s="289"/>
      <c r="AE263" s="289"/>
      <c r="AF263" s="289"/>
      <c r="AG263" s="289"/>
      <c r="AH263" s="289"/>
      <c r="AI263" s="289"/>
      <c r="AJ263" s="289"/>
      <c r="AK263" s="289"/>
      <c r="AL263" s="289"/>
      <c r="AM263" s="289"/>
      <c r="AN263" s="289" t="s">
        <v>17280</v>
      </c>
      <c r="AO263" s="290"/>
      <c r="AP263" s="289"/>
      <c r="AQ263" s="289"/>
      <c r="AR263" s="289"/>
      <c r="AS263" s="289"/>
      <c r="AT263" s="289"/>
      <c r="AU263" s="289"/>
      <c r="AV263" s="289"/>
      <c r="AW263" s="289"/>
      <c r="AX263" s="289"/>
      <c r="AY263" s="289"/>
      <c r="AZ263" s="290"/>
      <c r="BA263" s="290"/>
      <c r="BB263" s="290"/>
      <c r="BC263" s="290"/>
      <c r="BD263" s="290"/>
      <c r="BE263" s="290"/>
      <c r="BF263" s="290"/>
      <c r="BG263" s="290"/>
      <c r="BH263" s="290"/>
      <c r="BI263" s="290"/>
      <c r="BJ263" s="289"/>
      <c r="BK263" s="290"/>
      <c r="BL263" s="290"/>
    </row>
    <row r="264" spans="1:64" ht="27" customHeight="1" x14ac:dyDescent="0.25">
      <c r="A264" s="310" t="s">
        <v>275</v>
      </c>
      <c r="B264" s="311" t="s">
        <v>17281</v>
      </c>
      <c r="C264" s="238" t="s">
        <v>25773</v>
      </c>
      <c r="D264" s="239">
        <v>0</v>
      </c>
      <c r="E264" s="254">
        <v>1</v>
      </c>
      <c r="F264" s="258" t="s">
        <v>16753</v>
      </c>
      <c r="G264" s="241">
        <v>0</v>
      </c>
      <c r="H264" s="241">
        <v>1</v>
      </c>
      <c r="I264" s="240" t="s">
        <v>16755</v>
      </c>
      <c r="J264" s="241">
        <v>1</v>
      </c>
      <c r="K264" s="241">
        <v>0</v>
      </c>
      <c r="L264" s="241">
        <v>0</v>
      </c>
      <c r="M264" s="240" t="s">
        <v>16754</v>
      </c>
      <c r="N264" s="241">
        <v>1</v>
      </c>
      <c r="O264" s="241">
        <v>0</v>
      </c>
      <c r="P264" s="241">
        <v>0</v>
      </c>
      <c r="Q264" s="259" t="s">
        <v>717</v>
      </c>
      <c r="R264" s="242" t="s">
        <v>17063</v>
      </c>
      <c r="S264" s="244" t="s">
        <v>25775</v>
      </c>
      <c r="T264" s="275" t="s">
        <v>27134</v>
      </c>
      <c r="U264" s="275" t="str">
        <f t="shared" si="4"/>
        <v>LACK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v>
      </c>
      <c r="V264" s="300" t="s">
        <v>27017</v>
      </c>
      <c r="W264" s="295"/>
      <c r="X264" s="289"/>
      <c r="Y264" s="289"/>
      <c r="Z264" s="289"/>
      <c r="AA264" s="289"/>
      <c r="AB264" s="289"/>
      <c r="AC264" s="289"/>
      <c r="AD264" s="289"/>
      <c r="AE264" s="289"/>
      <c r="AF264" s="289"/>
      <c r="AG264" s="289"/>
      <c r="AH264" s="289"/>
      <c r="AI264" s="289"/>
      <c r="AJ264" s="289"/>
      <c r="AK264" s="289"/>
      <c r="AL264" s="289"/>
      <c r="AM264" s="289"/>
      <c r="AN264" s="289"/>
      <c r="AO264" s="289"/>
      <c r="AP264" s="289" t="s">
        <v>27134</v>
      </c>
      <c r="AQ264" s="289"/>
      <c r="AR264" s="289"/>
      <c r="AS264" s="289"/>
      <c r="AT264" s="289"/>
      <c r="AU264" s="289"/>
      <c r="AV264" s="289"/>
      <c r="AW264" s="289"/>
      <c r="AX264" s="289"/>
      <c r="AY264" s="289"/>
      <c r="AZ264" s="290"/>
      <c r="BA264" s="290"/>
      <c r="BB264" s="290"/>
      <c r="BC264" s="290"/>
      <c r="BD264" s="290"/>
      <c r="BE264" s="290"/>
      <c r="BF264" s="290"/>
      <c r="BG264" s="290"/>
      <c r="BH264" s="290"/>
      <c r="BI264" s="290"/>
      <c r="BJ264" s="289"/>
      <c r="BK264" s="290"/>
      <c r="BL264" s="290"/>
    </row>
    <row r="265" spans="1:64" ht="27" customHeight="1" x14ac:dyDescent="0.25">
      <c r="A265" s="310" t="s">
        <v>276</v>
      </c>
      <c r="B265" s="311" t="s">
        <v>17282</v>
      </c>
      <c r="C265" s="238" t="s">
        <v>608</v>
      </c>
      <c r="D265" s="239">
        <v>0</v>
      </c>
      <c r="E265" s="254">
        <v>1</v>
      </c>
      <c r="F265" s="258" t="s">
        <v>16753</v>
      </c>
      <c r="G265" s="241">
        <v>0</v>
      </c>
      <c r="H265" s="241">
        <v>1</v>
      </c>
      <c r="I265" s="240" t="s">
        <v>16755</v>
      </c>
      <c r="J265" s="241">
        <v>1</v>
      </c>
      <c r="K265" s="241">
        <v>0</v>
      </c>
      <c r="L265" s="241">
        <v>0</v>
      </c>
      <c r="M265" s="240" t="s">
        <v>16754</v>
      </c>
      <c r="N265" s="241">
        <v>1</v>
      </c>
      <c r="O265" s="241">
        <v>0</v>
      </c>
      <c r="P265" s="241">
        <v>0</v>
      </c>
      <c r="Q265" s="259" t="s">
        <v>717</v>
      </c>
      <c r="R265" s="242" t="s">
        <v>17063</v>
      </c>
      <c r="S265" s="244" t="s">
        <v>25774</v>
      </c>
      <c r="T265" s="275" t="s">
        <v>646</v>
      </c>
      <c r="U265" s="275" t="str">
        <f t="shared" si="4"/>
        <v/>
      </c>
      <c r="V265" s="300" t="s">
        <v>27018</v>
      </c>
      <c r="W265" s="295" t="s">
        <v>25776</v>
      </c>
      <c r="X265" s="289"/>
      <c r="Y265" s="289"/>
      <c r="Z265" s="289"/>
      <c r="AA265" s="289"/>
      <c r="AB265" s="289"/>
      <c r="AC265" s="289"/>
      <c r="AD265" s="289"/>
      <c r="AE265" s="289"/>
      <c r="AF265" s="289"/>
      <c r="AG265" s="289"/>
      <c r="AH265" s="289"/>
      <c r="AI265" s="289"/>
      <c r="AJ265" s="289"/>
      <c r="AK265" s="289"/>
      <c r="AL265" s="289"/>
      <c r="AM265" s="289"/>
      <c r="AN265" s="289"/>
      <c r="AO265" s="289"/>
      <c r="AP265" s="289"/>
      <c r="AQ265" s="289"/>
      <c r="AR265" s="289"/>
      <c r="AS265" s="289"/>
      <c r="AT265" s="289"/>
      <c r="AU265" s="289"/>
      <c r="AV265" s="289"/>
      <c r="AW265" s="289"/>
      <c r="AX265" s="289"/>
      <c r="AY265" s="289"/>
      <c r="AZ265" s="290"/>
      <c r="BA265" s="290"/>
      <c r="BB265" s="290"/>
      <c r="BC265" s="290"/>
      <c r="BD265" s="290"/>
      <c r="BE265" s="290"/>
      <c r="BF265" s="290"/>
      <c r="BG265" s="290"/>
      <c r="BH265" s="290"/>
      <c r="BI265" s="290"/>
      <c r="BJ265" s="289"/>
      <c r="BK265" s="290"/>
      <c r="BL265" s="290"/>
    </row>
    <row r="266" spans="1:64" ht="27" customHeight="1" x14ac:dyDescent="0.25">
      <c r="A266" s="310" t="s">
        <v>277</v>
      </c>
      <c r="B266" s="311" t="s">
        <v>17283</v>
      </c>
      <c r="C266" s="238" t="s">
        <v>609</v>
      </c>
      <c r="D266" s="239">
        <v>0</v>
      </c>
      <c r="E266" s="254">
        <v>1</v>
      </c>
      <c r="F266" s="258" t="s">
        <v>16753</v>
      </c>
      <c r="G266" s="241">
        <v>0</v>
      </c>
      <c r="H266" s="241">
        <v>1</v>
      </c>
      <c r="I266" s="240" t="s">
        <v>16755</v>
      </c>
      <c r="J266" s="241">
        <v>1</v>
      </c>
      <c r="K266" s="241">
        <v>0</v>
      </c>
      <c r="L266" s="241">
        <v>0</v>
      </c>
      <c r="M266" s="240" t="s">
        <v>16754</v>
      </c>
      <c r="N266" s="241">
        <v>1</v>
      </c>
      <c r="O266" s="241">
        <v>0</v>
      </c>
      <c r="P266" s="241">
        <v>0</v>
      </c>
      <c r="Q266" s="259" t="s">
        <v>717</v>
      </c>
      <c r="R266" s="242" t="s">
        <v>17284</v>
      </c>
      <c r="S266" s="244" t="s">
        <v>25777</v>
      </c>
      <c r="T266" s="275" t="s">
        <v>646</v>
      </c>
      <c r="U266" s="275" t="str">
        <f t="shared" si="4"/>
        <v/>
      </c>
      <c r="V266" s="300" t="s">
        <v>27019</v>
      </c>
      <c r="W266" s="295" t="s">
        <v>26529</v>
      </c>
      <c r="X266" s="289"/>
      <c r="Y266" s="289"/>
      <c r="Z266" s="289"/>
      <c r="AA266" s="289"/>
      <c r="AB266" s="289"/>
      <c r="AC266" s="289"/>
      <c r="AD266" s="289"/>
      <c r="AE266" s="289"/>
      <c r="AF266" s="289"/>
      <c r="AG266" s="289"/>
      <c r="AH266" s="289"/>
      <c r="AI266" s="289"/>
      <c r="AJ266" s="289"/>
      <c r="AK266" s="289"/>
      <c r="AL266" s="289"/>
      <c r="AM266" s="289"/>
      <c r="AN266" s="289"/>
      <c r="AO266" s="289"/>
      <c r="AP266" s="289"/>
      <c r="AQ266" s="289"/>
      <c r="AR266" s="289"/>
      <c r="AS266" s="289"/>
      <c r="AT266" s="289"/>
      <c r="AU266" s="289"/>
      <c r="AV266" s="289"/>
      <c r="AW266" s="289"/>
      <c r="AX266" s="289"/>
      <c r="AY266" s="289"/>
      <c r="AZ266" s="290"/>
      <c r="BA266" s="290"/>
      <c r="BB266" s="290"/>
      <c r="BC266" s="290"/>
      <c r="BD266" s="290"/>
      <c r="BE266" s="290"/>
      <c r="BF266" s="290"/>
      <c r="BG266" s="290"/>
      <c r="BH266" s="290"/>
      <c r="BI266" s="290"/>
      <c r="BJ266" s="289"/>
      <c r="BK266" s="290"/>
      <c r="BL266" s="290"/>
    </row>
    <row r="267" spans="1:64" ht="27" customHeight="1" x14ac:dyDescent="0.25">
      <c r="A267" s="310" t="s">
        <v>278</v>
      </c>
      <c r="B267" s="311" t="s">
        <v>17285</v>
      </c>
      <c r="C267" s="238" t="s">
        <v>610</v>
      </c>
      <c r="D267" s="239">
        <v>1</v>
      </c>
      <c r="E267" s="254">
        <v>0</v>
      </c>
      <c r="F267" s="258" t="s">
        <v>16764</v>
      </c>
      <c r="G267" s="241">
        <v>1</v>
      </c>
      <c r="H267" s="241">
        <v>0</v>
      </c>
      <c r="I267" s="240" t="s">
        <v>16765</v>
      </c>
      <c r="J267" s="241">
        <v>0</v>
      </c>
      <c r="K267" s="241">
        <v>1</v>
      </c>
      <c r="L267" s="241">
        <v>0</v>
      </c>
      <c r="M267" s="240" t="s">
        <v>16774</v>
      </c>
      <c r="N267" s="241">
        <v>1</v>
      </c>
      <c r="O267" s="241">
        <v>0</v>
      </c>
      <c r="P267" s="241">
        <v>0</v>
      </c>
      <c r="Q267" s="259" t="s">
        <v>717</v>
      </c>
      <c r="R267" s="242" t="s">
        <v>17284</v>
      </c>
      <c r="S267" s="244" t="s">
        <v>25778</v>
      </c>
      <c r="T267" s="275" t="s">
        <v>646</v>
      </c>
      <c r="U267" s="275" t="str">
        <f t="shared" si="4"/>
        <v/>
      </c>
      <c r="V267" s="300" t="s">
        <v>27020</v>
      </c>
      <c r="W267" s="295" t="s">
        <v>25779</v>
      </c>
      <c r="X267" s="289"/>
      <c r="Y267" s="289"/>
      <c r="Z267" s="289"/>
      <c r="AA267" s="289"/>
      <c r="AB267" s="289"/>
      <c r="AC267" s="289"/>
      <c r="AD267" s="289"/>
      <c r="AE267" s="289"/>
      <c r="AF267" s="289"/>
      <c r="AG267" s="289"/>
      <c r="AH267" s="289"/>
      <c r="AI267" s="289"/>
      <c r="AJ267" s="289"/>
      <c r="AK267" s="289"/>
      <c r="AL267" s="289"/>
      <c r="AM267" s="289"/>
      <c r="AN267" s="289"/>
      <c r="AO267" s="289"/>
      <c r="AP267" s="289"/>
      <c r="AQ267" s="289"/>
      <c r="AR267" s="289"/>
      <c r="AS267" s="289"/>
      <c r="AT267" s="289"/>
      <c r="AU267" s="289"/>
      <c r="AV267" s="289"/>
      <c r="AW267" s="289"/>
      <c r="AX267" s="289"/>
      <c r="AY267" s="289"/>
      <c r="AZ267" s="290"/>
      <c r="BA267" s="290"/>
      <c r="BB267" s="290"/>
      <c r="BC267" s="290"/>
      <c r="BD267" s="290"/>
      <c r="BE267" s="290"/>
      <c r="BF267" s="290"/>
      <c r="BG267" s="290"/>
      <c r="BH267" s="290"/>
      <c r="BI267" s="290"/>
      <c r="BJ267" s="289"/>
      <c r="BK267" s="290"/>
      <c r="BL267" s="290"/>
    </row>
    <row r="268" spans="1:64" ht="27" customHeight="1" x14ac:dyDescent="0.25">
      <c r="A268" s="310" t="s">
        <v>279</v>
      </c>
      <c r="B268" s="311" t="s">
        <v>17286</v>
      </c>
      <c r="C268" s="238" t="s">
        <v>611</v>
      </c>
      <c r="D268" s="239">
        <v>0</v>
      </c>
      <c r="E268" s="254">
        <v>1</v>
      </c>
      <c r="F268" s="258" t="s">
        <v>16753</v>
      </c>
      <c r="G268" s="241">
        <v>0</v>
      </c>
      <c r="H268" s="241">
        <v>1</v>
      </c>
      <c r="I268" s="240" t="s">
        <v>16755</v>
      </c>
      <c r="J268" s="241">
        <v>1</v>
      </c>
      <c r="K268" s="241">
        <v>0</v>
      </c>
      <c r="L268" s="241">
        <v>0</v>
      </c>
      <c r="M268" s="240" t="s">
        <v>16754</v>
      </c>
      <c r="N268" s="241">
        <v>1</v>
      </c>
      <c r="O268" s="241">
        <v>0</v>
      </c>
      <c r="P268" s="241">
        <v>0</v>
      </c>
      <c r="Q268" s="259" t="s">
        <v>717</v>
      </c>
      <c r="R268" s="242" t="s">
        <v>16901</v>
      </c>
      <c r="S268" s="244" t="s">
        <v>25780</v>
      </c>
      <c r="T268" s="275" t="s">
        <v>17312</v>
      </c>
      <c r="U268" s="275" t="str">
        <f t="shared" si="4"/>
        <v>Personal attachment and support towards the project.</v>
      </c>
      <c r="V268" s="300" t="s">
        <v>27021</v>
      </c>
      <c r="W268" s="295" t="s">
        <v>25781</v>
      </c>
      <c r="X268" s="289"/>
      <c r="Y268" s="289"/>
      <c r="Z268" s="289"/>
      <c r="AA268" s="289"/>
      <c r="AB268" s="289"/>
      <c r="AC268" s="289"/>
      <c r="AD268" s="289"/>
      <c r="AE268" s="289" t="s">
        <v>17312</v>
      </c>
      <c r="AF268" s="289"/>
      <c r="AG268" s="289"/>
      <c r="AH268" s="289"/>
      <c r="AI268" s="289"/>
      <c r="AJ268" s="289"/>
      <c r="AK268" s="289"/>
      <c r="AL268" s="289"/>
      <c r="AM268" s="289"/>
      <c r="AN268" s="289"/>
      <c r="AO268" s="289"/>
      <c r="AP268" s="289"/>
      <c r="AQ268" s="289"/>
      <c r="AR268" s="289"/>
      <c r="AS268" s="289"/>
      <c r="AT268" s="289"/>
      <c r="AU268" s="289"/>
      <c r="AV268" s="289"/>
      <c r="AW268" s="289"/>
      <c r="AX268" s="289"/>
      <c r="AY268" s="289"/>
      <c r="AZ268" s="290"/>
      <c r="BA268" s="290"/>
      <c r="BB268" s="290"/>
      <c r="BC268" s="290"/>
      <c r="BD268" s="290"/>
      <c r="BE268" s="290"/>
      <c r="BF268" s="290"/>
      <c r="BG268" s="290"/>
      <c r="BH268" s="290"/>
      <c r="BI268" s="290"/>
      <c r="BJ268" s="289"/>
      <c r="BK268" s="290"/>
      <c r="BL268" s="290"/>
    </row>
    <row r="269" spans="1:64" ht="27" customHeight="1" x14ac:dyDescent="0.25">
      <c r="A269" s="310" t="s">
        <v>280</v>
      </c>
      <c r="B269" s="311" t="s">
        <v>612</v>
      </c>
      <c r="C269" s="238" t="s">
        <v>612</v>
      </c>
      <c r="D269" s="239">
        <v>0</v>
      </c>
      <c r="E269" s="254">
        <v>1</v>
      </c>
      <c r="F269" s="258" t="s">
        <v>16753</v>
      </c>
      <c r="G269" s="241">
        <v>0</v>
      </c>
      <c r="H269" s="241">
        <v>1</v>
      </c>
      <c r="I269" s="240" t="s">
        <v>16755</v>
      </c>
      <c r="J269" s="241">
        <v>1</v>
      </c>
      <c r="K269" s="241">
        <v>0</v>
      </c>
      <c r="L269" s="241">
        <v>0</v>
      </c>
      <c r="M269" s="240" t="s">
        <v>16754</v>
      </c>
      <c r="N269" s="241">
        <v>1</v>
      </c>
      <c r="O269" s="241">
        <v>0</v>
      </c>
      <c r="P269" s="241">
        <v>0</v>
      </c>
      <c r="Q269" s="259" t="s">
        <v>717</v>
      </c>
      <c r="R269" s="242" t="s">
        <v>17063</v>
      </c>
      <c r="S269" s="244" t="s">
        <v>25782</v>
      </c>
      <c r="T269" s="275" t="s">
        <v>17287</v>
      </c>
      <c r="U269" s="275" t="str">
        <f t="shared" si="4"/>
        <v>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v>
      </c>
      <c r="V269" s="300" t="s">
        <v>27022</v>
      </c>
      <c r="W269" s="295"/>
      <c r="X269" s="289"/>
      <c r="Y269" s="289"/>
      <c r="Z269" s="289"/>
      <c r="AA269" s="289"/>
      <c r="AB269" s="289"/>
      <c r="AC269" s="289"/>
      <c r="AD269" s="289"/>
      <c r="AE269" s="289"/>
      <c r="AF269" s="289"/>
      <c r="AG269" s="289"/>
      <c r="AH269" s="289"/>
      <c r="AI269" s="289"/>
      <c r="AJ269" s="289"/>
      <c r="AK269" s="289"/>
      <c r="AL269" s="289"/>
      <c r="AM269" s="289" t="s">
        <v>17287</v>
      </c>
      <c r="AN269" s="289"/>
      <c r="AO269" s="289"/>
      <c r="AP269" s="289"/>
      <c r="AQ269" s="289"/>
      <c r="AR269" s="289"/>
      <c r="AS269" s="289"/>
      <c r="AT269" s="289"/>
      <c r="AU269" s="289"/>
      <c r="AV269" s="289"/>
      <c r="AW269" s="289"/>
      <c r="AX269" s="289"/>
      <c r="AY269" s="289"/>
      <c r="AZ269" s="290"/>
      <c r="BA269" s="290"/>
      <c r="BB269" s="290"/>
      <c r="BC269" s="290"/>
      <c r="BD269" s="290"/>
      <c r="BE269" s="290"/>
      <c r="BF269" s="290"/>
      <c r="BG269" s="290"/>
      <c r="BH269" s="290"/>
      <c r="BI269" s="290"/>
      <c r="BJ269" s="289"/>
      <c r="BK269" s="290"/>
      <c r="BL269" s="290"/>
    </row>
    <row r="270" spans="1:64" ht="27" customHeight="1" x14ac:dyDescent="0.25">
      <c r="A270" s="310" t="s">
        <v>281</v>
      </c>
      <c r="B270" s="311" t="s">
        <v>17288</v>
      </c>
      <c r="C270" s="238" t="s">
        <v>25810</v>
      </c>
      <c r="D270" s="239">
        <v>0</v>
      </c>
      <c r="E270" s="254">
        <v>1</v>
      </c>
      <c r="F270" s="258" t="s">
        <v>16753</v>
      </c>
      <c r="G270" s="241">
        <v>0</v>
      </c>
      <c r="H270" s="241">
        <v>1</v>
      </c>
      <c r="I270" s="240" t="s">
        <v>16755</v>
      </c>
      <c r="J270" s="241">
        <v>1</v>
      </c>
      <c r="K270" s="241">
        <v>0</v>
      </c>
      <c r="L270" s="241">
        <v>0</v>
      </c>
      <c r="M270" s="240" t="s">
        <v>16754</v>
      </c>
      <c r="N270" s="241">
        <v>1</v>
      </c>
      <c r="O270" s="241">
        <v>0</v>
      </c>
      <c r="P270" s="241">
        <v>0</v>
      </c>
      <c r="Q270" s="259" t="s">
        <v>717</v>
      </c>
      <c r="R270" s="242" t="s">
        <v>17063</v>
      </c>
      <c r="S270" s="244" t="s">
        <v>25811</v>
      </c>
      <c r="T270" s="275" t="s">
        <v>646</v>
      </c>
      <c r="U270" s="275" t="str">
        <f t="shared" si="4"/>
        <v/>
      </c>
      <c r="V270" s="300" t="s">
        <v>27023</v>
      </c>
      <c r="W270" s="295" t="s">
        <v>25812</v>
      </c>
      <c r="X270" s="289"/>
      <c r="Y270" s="289"/>
      <c r="Z270" s="289"/>
      <c r="AA270" s="289"/>
      <c r="AB270" s="289"/>
      <c r="AC270" s="289"/>
      <c r="AD270" s="289"/>
      <c r="AE270" s="289"/>
      <c r="AF270" s="289"/>
      <c r="AG270" s="289"/>
      <c r="AH270" s="289"/>
      <c r="AI270" s="289"/>
      <c r="AJ270" s="289"/>
      <c r="AK270" s="289"/>
      <c r="AL270" s="289"/>
      <c r="AM270" s="289"/>
      <c r="AN270" s="289"/>
      <c r="AO270" s="289"/>
      <c r="AP270" s="289"/>
      <c r="AQ270" s="289"/>
      <c r="AR270" s="289"/>
      <c r="AS270" s="289"/>
      <c r="AT270" s="289"/>
      <c r="AU270" s="289"/>
      <c r="AV270" s="289"/>
      <c r="AW270" s="289"/>
      <c r="AX270" s="289"/>
      <c r="AY270" s="289"/>
      <c r="AZ270" s="290"/>
      <c r="BA270" s="290"/>
      <c r="BB270" s="290"/>
      <c r="BC270" s="290"/>
      <c r="BD270" s="290"/>
      <c r="BE270" s="290"/>
      <c r="BF270" s="290"/>
      <c r="BG270" s="290"/>
      <c r="BH270" s="290"/>
      <c r="BI270" s="290"/>
      <c r="BJ270" s="289"/>
      <c r="BK270" s="290"/>
      <c r="BL270" s="290"/>
    </row>
    <row r="271" spans="1:64" ht="27" customHeight="1" x14ac:dyDescent="0.25">
      <c r="A271" s="310" t="s">
        <v>282</v>
      </c>
      <c r="B271" s="311" t="s">
        <v>17289</v>
      </c>
      <c r="C271" s="238" t="s">
        <v>17289</v>
      </c>
      <c r="D271" s="239">
        <v>0</v>
      </c>
      <c r="E271" s="254">
        <v>1</v>
      </c>
      <c r="F271" s="258" t="s">
        <v>16753</v>
      </c>
      <c r="G271" s="241">
        <v>0</v>
      </c>
      <c r="H271" s="241">
        <v>1</v>
      </c>
      <c r="I271" s="240" t="s">
        <v>16755</v>
      </c>
      <c r="J271" s="241">
        <v>1</v>
      </c>
      <c r="K271" s="241">
        <v>0</v>
      </c>
      <c r="L271" s="241">
        <v>0</v>
      </c>
      <c r="M271" s="240" t="s">
        <v>16754</v>
      </c>
      <c r="N271" s="241">
        <v>1</v>
      </c>
      <c r="O271" s="241">
        <v>0</v>
      </c>
      <c r="P271" s="241">
        <v>0</v>
      </c>
      <c r="Q271" s="259" t="s">
        <v>717</v>
      </c>
      <c r="R271" s="242" t="s">
        <v>17063</v>
      </c>
      <c r="S271" s="244" t="s">
        <v>25539</v>
      </c>
      <c r="T271" s="275" t="s">
        <v>646</v>
      </c>
      <c r="U271" s="275" t="str">
        <f t="shared" si="4"/>
        <v/>
      </c>
      <c r="V271" s="300" t="s">
        <v>27024</v>
      </c>
      <c r="W271" s="295" t="s">
        <v>27135</v>
      </c>
      <c r="X271" s="289"/>
      <c r="Y271" s="289"/>
      <c r="Z271" s="289"/>
      <c r="AA271" s="289"/>
      <c r="AB271" s="289"/>
      <c r="AC271" s="289"/>
      <c r="AD271" s="289"/>
      <c r="AE271" s="289"/>
      <c r="AF271" s="289"/>
      <c r="AG271" s="289"/>
      <c r="AH271" s="289"/>
      <c r="AI271" s="289"/>
      <c r="AJ271" s="289"/>
      <c r="AK271" s="289"/>
      <c r="AL271" s="289"/>
      <c r="AM271" s="289"/>
      <c r="AN271" s="289"/>
      <c r="AO271" s="289"/>
      <c r="AP271" s="289"/>
      <c r="AQ271" s="289"/>
      <c r="AR271" s="289"/>
      <c r="AS271" s="289"/>
      <c r="AT271" s="289"/>
      <c r="AU271" s="289"/>
      <c r="AV271" s="289"/>
      <c r="AW271" s="289"/>
      <c r="AX271" s="289"/>
      <c r="AY271" s="289"/>
      <c r="AZ271" s="290"/>
      <c r="BA271" s="290"/>
      <c r="BB271" s="290"/>
      <c r="BC271" s="290"/>
      <c r="BD271" s="290"/>
      <c r="BE271" s="290"/>
      <c r="BF271" s="290"/>
      <c r="BG271" s="290"/>
      <c r="BH271" s="290"/>
      <c r="BI271" s="290"/>
      <c r="BJ271" s="289"/>
      <c r="BK271" s="290"/>
      <c r="BL271" s="290"/>
    </row>
    <row r="272" spans="1:64" ht="27" customHeight="1" x14ac:dyDescent="0.25">
      <c r="A272" s="310" t="s">
        <v>283</v>
      </c>
      <c r="B272" s="311" t="s">
        <v>17290</v>
      </c>
      <c r="C272" s="238" t="s">
        <v>17290</v>
      </c>
      <c r="D272" s="239">
        <v>0</v>
      </c>
      <c r="E272" s="254">
        <v>1</v>
      </c>
      <c r="F272" s="258" t="s">
        <v>16753</v>
      </c>
      <c r="G272" s="241">
        <v>0</v>
      </c>
      <c r="H272" s="241">
        <v>1</v>
      </c>
      <c r="I272" s="240" t="s">
        <v>16755</v>
      </c>
      <c r="J272" s="241">
        <v>1</v>
      </c>
      <c r="K272" s="241">
        <v>0</v>
      </c>
      <c r="L272" s="241">
        <v>0</v>
      </c>
      <c r="M272" s="240" t="s">
        <v>16754</v>
      </c>
      <c r="N272" s="241">
        <v>1</v>
      </c>
      <c r="O272" s="241">
        <v>0</v>
      </c>
      <c r="P272" s="241">
        <v>0</v>
      </c>
      <c r="Q272" s="259" t="s">
        <v>717</v>
      </c>
      <c r="R272" s="242" t="s">
        <v>17063</v>
      </c>
      <c r="S272" s="244" t="s">
        <v>25813</v>
      </c>
      <c r="T272" s="275" t="s">
        <v>646</v>
      </c>
      <c r="U272" s="275" t="str">
        <f t="shared" si="4"/>
        <v/>
      </c>
      <c r="V272" s="300" t="s">
        <v>27025</v>
      </c>
      <c r="W272" s="295" t="s">
        <v>26534</v>
      </c>
      <c r="X272" s="289"/>
      <c r="Y272" s="289"/>
      <c r="Z272" s="289"/>
      <c r="AA272" s="289"/>
      <c r="AB272" s="289"/>
      <c r="AC272" s="289"/>
      <c r="AD272" s="289"/>
      <c r="AE272" s="289"/>
      <c r="AF272" s="289"/>
      <c r="AG272" s="289"/>
      <c r="AH272" s="289"/>
      <c r="AI272" s="289"/>
      <c r="AJ272" s="289"/>
      <c r="AK272" s="289"/>
      <c r="AL272" s="289"/>
      <c r="AM272" s="289"/>
      <c r="AN272" s="289"/>
      <c r="AO272" s="289"/>
      <c r="AP272" s="289"/>
      <c r="AQ272" s="289"/>
      <c r="AR272" s="289"/>
      <c r="AS272" s="289"/>
      <c r="AT272" s="289"/>
      <c r="AU272" s="289"/>
      <c r="AV272" s="289"/>
      <c r="AW272" s="289"/>
      <c r="AX272" s="289"/>
      <c r="AY272" s="289"/>
      <c r="AZ272" s="290"/>
      <c r="BA272" s="290"/>
      <c r="BB272" s="290"/>
      <c r="BC272" s="290"/>
      <c r="BD272" s="290"/>
      <c r="BE272" s="290"/>
      <c r="BF272" s="290"/>
      <c r="BG272" s="290"/>
      <c r="BH272" s="290"/>
      <c r="BI272" s="290"/>
      <c r="BJ272" s="289"/>
      <c r="BK272" s="290"/>
      <c r="BL272" s="290"/>
    </row>
    <row r="273" spans="1:64" ht="27" customHeight="1" x14ac:dyDescent="0.25">
      <c r="A273" s="310" t="s">
        <v>284</v>
      </c>
      <c r="B273" s="311" t="s">
        <v>17291</v>
      </c>
      <c r="C273" s="238" t="s">
        <v>17291</v>
      </c>
      <c r="D273" s="239">
        <v>0</v>
      </c>
      <c r="E273" s="254">
        <v>1</v>
      </c>
      <c r="F273" s="258" t="s">
        <v>16753</v>
      </c>
      <c r="G273" s="241">
        <v>0</v>
      </c>
      <c r="H273" s="241">
        <v>1</v>
      </c>
      <c r="I273" s="240" t="s">
        <v>16755</v>
      </c>
      <c r="J273" s="241">
        <v>1</v>
      </c>
      <c r="K273" s="241">
        <v>0</v>
      </c>
      <c r="L273" s="241">
        <v>0</v>
      </c>
      <c r="M273" s="240" t="s">
        <v>16754</v>
      </c>
      <c r="N273" s="241">
        <v>1</v>
      </c>
      <c r="O273" s="241">
        <v>0</v>
      </c>
      <c r="P273" s="241">
        <v>0</v>
      </c>
      <c r="Q273" s="259" t="s">
        <v>717</v>
      </c>
      <c r="R273" s="242" t="s">
        <v>17063</v>
      </c>
      <c r="S273" s="244" t="s">
        <v>25814</v>
      </c>
      <c r="T273" s="275" t="s">
        <v>646</v>
      </c>
      <c r="U273" s="275" t="str">
        <f t="shared" si="4"/>
        <v/>
      </c>
      <c r="V273" s="300" t="s">
        <v>27026</v>
      </c>
      <c r="W273" s="295" t="s">
        <v>25815</v>
      </c>
      <c r="X273" s="289"/>
      <c r="Y273" s="289"/>
      <c r="Z273" s="289"/>
      <c r="AA273" s="289"/>
      <c r="AB273" s="289"/>
      <c r="AC273" s="289"/>
      <c r="AD273" s="289"/>
      <c r="AE273" s="289"/>
      <c r="AF273" s="289"/>
      <c r="AG273" s="289"/>
      <c r="AH273" s="289"/>
      <c r="AI273" s="289"/>
      <c r="AJ273" s="289"/>
      <c r="AK273" s="289"/>
      <c r="AL273" s="289"/>
      <c r="AM273" s="289"/>
      <c r="AN273" s="289"/>
      <c r="AO273" s="289"/>
      <c r="AP273" s="289"/>
      <c r="AQ273" s="289"/>
      <c r="AR273" s="289"/>
      <c r="AS273" s="289"/>
      <c r="AT273" s="289"/>
      <c r="AU273" s="289"/>
      <c r="AV273" s="289"/>
      <c r="AW273" s="289"/>
      <c r="AX273" s="289"/>
      <c r="AY273" s="289"/>
      <c r="AZ273" s="290"/>
      <c r="BA273" s="290"/>
      <c r="BB273" s="290"/>
      <c r="BC273" s="290"/>
      <c r="BD273" s="290"/>
      <c r="BE273" s="290"/>
      <c r="BF273" s="290"/>
      <c r="BG273" s="290"/>
      <c r="BH273" s="290"/>
      <c r="BI273" s="290"/>
      <c r="BJ273" s="289"/>
      <c r="BK273" s="290"/>
      <c r="BL273" s="290"/>
    </row>
    <row r="274" spans="1:64" ht="27" customHeight="1" x14ac:dyDescent="0.25">
      <c r="A274" s="310" t="s">
        <v>285</v>
      </c>
      <c r="B274" s="311" t="s">
        <v>617</v>
      </c>
      <c r="C274" s="238" t="s">
        <v>25816</v>
      </c>
      <c r="D274" s="239">
        <v>0</v>
      </c>
      <c r="E274" s="254">
        <v>1</v>
      </c>
      <c r="F274" s="258" t="s">
        <v>16753</v>
      </c>
      <c r="G274" s="241">
        <v>0</v>
      </c>
      <c r="H274" s="241">
        <v>1</v>
      </c>
      <c r="I274" s="240" t="s">
        <v>16755</v>
      </c>
      <c r="J274" s="241">
        <v>1</v>
      </c>
      <c r="K274" s="241">
        <v>0</v>
      </c>
      <c r="L274" s="241">
        <v>0</v>
      </c>
      <c r="M274" s="240" t="s">
        <v>16754</v>
      </c>
      <c r="N274" s="241">
        <v>1</v>
      </c>
      <c r="O274" s="241">
        <v>0</v>
      </c>
      <c r="P274" s="241">
        <v>0</v>
      </c>
      <c r="Q274" s="259" t="s">
        <v>717</v>
      </c>
      <c r="R274" s="242" t="s">
        <v>17063</v>
      </c>
      <c r="S274" s="244" t="s">
        <v>25817</v>
      </c>
      <c r="T274" s="275" t="s">
        <v>646</v>
      </c>
      <c r="U274" s="275" t="str">
        <f t="shared" si="4"/>
        <v/>
      </c>
      <c r="V274" s="300" t="s">
        <v>27027</v>
      </c>
      <c r="W274" s="295" t="s">
        <v>25818</v>
      </c>
      <c r="X274" s="289"/>
      <c r="Y274" s="289"/>
      <c r="Z274" s="289"/>
      <c r="AA274" s="289"/>
      <c r="AB274" s="289"/>
      <c r="AC274" s="289"/>
      <c r="AD274" s="289"/>
      <c r="AE274" s="289"/>
      <c r="AF274" s="289"/>
      <c r="AG274" s="289"/>
      <c r="AH274" s="289"/>
      <c r="AI274" s="289"/>
      <c r="AJ274" s="289"/>
      <c r="AK274" s="289"/>
      <c r="AL274" s="289"/>
      <c r="AM274" s="289"/>
      <c r="AN274" s="289"/>
      <c r="AO274" s="289"/>
      <c r="AP274" s="289"/>
      <c r="AQ274" s="289"/>
      <c r="AR274" s="289"/>
      <c r="AS274" s="289"/>
      <c r="AT274" s="289"/>
      <c r="AU274" s="289"/>
      <c r="AV274" s="289"/>
      <c r="AW274" s="289"/>
      <c r="AX274" s="289"/>
      <c r="AY274" s="289"/>
      <c r="AZ274" s="290"/>
      <c r="BA274" s="290"/>
      <c r="BB274" s="290"/>
      <c r="BC274" s="290"/>
      <c r="BD274" s="290"/>
      <c r="BE274" s="290"/>
      <c r="BF274" s="290"/>
      <c r="BG274" s="290"/>
      <c r="BH274" s="290"/>
      <c r="BI274" s="290"/>
      <c r="BJ274" s="289"/>
      <c r="BK274" s="290"/>
      <c r="BL274" s="290"/>
    </row>
    <row r="275" spans="1:64" ht="27" customHeight="1" x14ac:dyDescent="0.25">
      <c r="A275" s="310" t="s">
        <v>286</v>
      </c>
      <c r="B275" s="311" t="s">
        <v>618</v>
      </c>
      <c r="C275" s="238" t="s">
        <v>25819</v>
      </c>
      <c r="D275" s="239">
        <v>0</v>
      </c>
      <c r="E275" s="254">
        <v>1</v>
      </c>
      <c r="F275" s="258" t="s">
        <v>16753</v>
      </c>
      <c r="G275" s="241">
        <v>0</v>
      </c>
      <c r="H275" s="241">
        <v>1</v>
      </c>
      <c r="I275" s="240" t="s">
        <v>16755</v>
      </c>
      <c r="J275" s="241">
        <v>1</v>
      </c>
      <c r="K275" s="241">
        <v>0</v>
      </c>
      <c r="L275" s="241">
        <v>0</v>
      </c>
      <c r="M275" s="240" t="s">
        <v>16754</v>
      </c>
      <c r="N275" s="241">
        <v>1</v>
      </c>
      <c r="O275" s="241">
        <v>0</v>
      </c>
      <c r="P275" s="241">
        <v>0</v>
      </c>
      <c r="Q275" s="259" t="s">
        <v>717</v>
      </c>
      <c r="R275" s="242" t="s">
        <v>17063</v>
      </c>
      <c r="S275" s="244" t="s">
        <v>25820</v>
      </c>
      <c r="T275" s="275" t="s">
        <v>646</v>
      </c>
      <c r="U275" s="275" t="str">
        <f t="shared" si="4"/>
        <v/>
      </c>
      <c r="V275" s="300" t="s">
        <v>27028</v>
      </c>
      <c r="W275" s="295" t="s">
        <v>25821</v>
      </c>
      <c r="X275" s="289"/>
      <c r="Y275" s="289"/>
      <c r="Z275" s="289"/>
      <c r="AA275" s="289"/>
      <c r="AB275" s="289"/>
      <c r="AC275" s="289"/>
      <c r="AD275" s="289"/>
      <c r="AE275" s="289"/>
      <c r="AF275" s="289"/>
      <c r="AG275" s="289"/>
      <c r="AH275" s="289"/>
      <c r="AI275" s="289"/>
      <c r="AJ275" s="289"/>
      <c r="AK275" s="289"/>
      <c r="AL275" s="289"/>
      <c r="AM275" s="289"/>
      <c r="AN275" s="289"/>
      <c r="AO275" s="289"/>
      <c r="AP275" s="289"/>
      <c r="AQ275" s="289"/>
      <c r="AR275" s="289"/>
      <c r="AS275" s="289"/>
      <c r="AT275" s="289"/>
      <c r="AU275" s="289"/>
      <c r="AV275" s="289"/>
      <c r="AW275" s="289"/>
      <c r="AX275" s="289"/>
      <c r="AY275" s="289"/>
      <c r="AZ275" s="290"/>
      <c r="BA275" s="290"/>
      <c r="BB275" s="290"/>
      <c r="BC275" s="290"/>
      <c r="BD275" s="290"/>
      <c r="BE275" s="290"/>
      <c r="BF275" s="290"/>
      <c r="BG275" s="290"/>
      <c r="BH275" s="290"/>
      <c r="BI275" s="290"/>
      <c r="BJ275" s="289"/>
      <c r="BK275" s="290"/>
      <c r="BL275" s="290"/>
    </row>
    <row r="276" spans="1:64" ht="27" customHeight="1" x14ac:dyDescent="0.25">
      <c r="A276" s="310" t="s">
        <v>287</v>
      </c>
      <c r="B276" s="311" t="s">
        <v>619</v>
      </c>
      <c r="C276" s="238" t="s">
        <v>619</v>
      </c>
      <c r="D276" s="239">
        <v>1</v>
      </c>
      <c r="E276" s="254">
        <v>0</v>
      </c>
      <c r="F276" s="258" t="s">
        <v>16764</v>
      </c>
      <c r="G276" s="241">
        <v>1</v>
      </c>
      <c r="H276" s="241">
        <v>0</v>
      </c>
      <c r="I276" s="240" t="s">
        <v>16765</v>
      </c>
      <c r="J276" s="241">
        <v>0</v>
      </c>
      <c r="K276" s="241">
        <v>1</v>
      </c>
      <c r="L276" s="241">
        <v>0</v>
      </c>
      <c r="M276" s="240" t="s">
        <v>16774</v>
      </c>
      <c r="N276" s="241">
        <v>1</v>
      </c>
      <c r="O276" s="241">
        <v>0</v>
      </c>
      <c r="P276" s="241">
        <v>0</v>
      </c>
      <c r="Q276" s="259" t="s">
        <v>717</v>
      </c>
      <c r="R276" s="242" t="s">
        <v>17063</v>
      </c>
      <c r="S276" s="244" t="s">
        <v>25823</v>
      </c>
      <c r="T276" s="275" t="s">
        <v>646</v>
      </c>
      <c r="U276" s="275" t="str">
        <f t="shared" si="4"/>
        <v/>
      </c>
      <c r="V276" s="300" t="s">
        <v>27029</v>
      </c>
      <c r="W276" s="295" t="s">
        <v>25822</v>
      </c>
      <c r="X276" s="289"/>
      <c r="Y276" s="289"/>
      <c r="Z276" s="289"/>
      <c r="AA276" s="289"/>
      <c r="AB276" s="289"/>
      <c r="AC276" s="289"/>
      <c r="AD276" s="289"/>
      <c r="AE276" s="289"/>
      <c r="AF276" s="289"/>
      <c r="AG276" s="289"/>
      <c r="AH276" s="289"/>
      <c r="AI276" s="289"/>
      <c r="AJ276" s="289"/>
      <c r="AK276" s="289"/>
      <c r="AL276" s="289"/>
      <c r="AM276" s="289"/>
      <c r="AN276" s="289"/>
      <c r="AO276" s="289"/>
      <c r="AP276" s="289"/>
      <c r="AQ276" s="289"/>
      <c r="AR276" s="289"/>
      <c r="AS276" s="289"/>
      <c r="AT276" s="289"/>
      <c r="AU276" s="289"/>
      <c r="AV276" s="289"/>
      <c r="AW276" s="289"/>
      <c r="AX276" s="289"/>
      <c r="AY276" s="289"/>
      <c r="AZ276" s="290"/>
      <c r="BA276" s="290"/>
      <c r="BB276" s="290"/>
      <c r="BC276" s="290"/>
      <c r="BD276" s="290"/>
      <c r="BE276" s="290"/>
      <c r="BF276" s="290"/>
      <c r="BG276" s="290"/>
      <c r="BH276" s="290"/>
      <c r="BI276" s="290"/>
      <c r="BJ276" s="289"/>
      <c r="BK276" s="290"/>
      <c r="BL276" s="290"/>
    </row>
    <row r="277" spans="1:64" ht="27" customHeight="1" x14ac:dyDescent="0.25">
      <c r="A277" s="310" t="s">
        <v>288</v>
      </c>
      <c r="B277" s="311" t="s">
        <v>17292</v>
      </c>
      <c r="C277" s="238" t="s">
        <v>620</v>
      </c>
      <c r="D277" s="239">
        <v>1</v>
      </c>
      <c r="E277" s="254">
        <v>0</v>
      </c>
      <c r="F277" s="258" t="s">
        <v>16764</v>
      </c>
      <c r="G277" s="241">
        <v>1</v>
      </c>
      <c r="H277" s="241">
        <v>0</v>
      </c>
      <c r="I277" s="240" t="s">
        <v>16765</v>
      </c>
      <c r="J277" s="241">
        <v>0</v>
      </c>
      <c r="K277" s="241">
        <v>0</v>
      </c>
      <c r="L277" s="241">
        <v>1</v>
      </c>
      <c r="M277" s="240" t="s">
        <v>16832</v>
      </c>
      <c r="N277" s="241">
        <v>1</v>
      </c>
      <c r="O277" s="241">
        <v>0</v>
      </c>
      <c r="P277" s="241">
        <v>0</v>
      </c>
      <c r="Q277" s="259" t="s">
        <v>717</v>
      </c>
      <c r="R277" s="242" t="s">
        <v>16901</v>
      </c>
      <c r="S277" s="244" t="s">
        <v>17293</v>
      </c>
      <c r="T277" s="275" t="s">
        <v>27239</v>
      </c>
      <c r="U277" s="275" t="str">
        <f t="shared" si="4"/>
        <v>Learning and sharing the technical information and work materials 
of teams|| Next refer.:Frequent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 Next refer.:Up-to-date progress reporting</v>
      </c>
      <c r="V277" s="300" t="s">
        <v>27030</v>
      </c>
      <c r="W277" s="295"/>
      <c r="X277" s="289"/>
      <c r="Y277" s="289"/>
      <c r="Z277" s="289"/>
      <c r="AA277" s="289"/>
      <c r="AB277" s="289"/>
      <c r="AC277" s="289"/>
      <c r="AD277" s="289"/>
      <c r="AE277" s="289" t="s">
        <v>17313</v>
      </c>
      <c r="AF277" s="289"/>
      <c r="AG277" s="289"/>
      <c r="AH277" s="289"/>
      <c r="AI277" s="289"/>
      <c r="AJ277" s="289"/>
      <c r="AK277" s="289"/>
      <c r="AL277" s="289" t="s">
        <v>27136</v>
      </c>
      <c r="AM277" s="289"/>
      <c r="AN277" s="289"/>
      <c r="AO277" s="289"/>
      <c r="AP277" s="289"/>
      <c r="AQ277" s="289"/>
      <c r="AR277" s="289"/>
      <c r="AS277" s="289"/>
      <c r="AT277" s="289"/>
      <c r="AU277" s="289"/>
      <c r="AV277" s="289"/>
      <c r="AW277" s="289"/>
      <c r="AX277" s="289"/>
      <c r="AY277" s="289"/>
      <c r="AZ277" s="290"/>
      <c r="BA277" s="290"/>
      <c r="BB277" s="290"/>
      <c r="BC277" s="290"/>
      <c r="BD277" s="290"/>
      <c r="BE277" s="290"/>
      <c r="BF277" s="290"/>
      <c r="BG277" s="290"/>
      <c r="BH277" s="290"/>
      <c r="BI277" s="290"/>
      <c r="BJ277" s="289" t="s">
        <v>17294</v>
      </c>
      <c r="BK277" s="290"/>
      <c r="BL277" s="290"/>
    </row>
    <row r="278" spans="1:64" ht="27" customHeight="1" x14ac:dyDescent="0.25">
      <c r="A278" s="310" t="s">
        <v>289</v>
      </c>
      <c r="B278" s="311" t="s">
        <v>17295</v>
      </c>
      <c r="C278" s="238" t="s">
        <v>25869</v>
      </c>
      <c r="D278" s="239">
        <v>1</v>
      </c>
      <c r="E278" s="254">
        <v>0</v>
      </c>
      <c r="F278" s="258" t="s">
        <v>16764</v>
      </c>
      <c r="G278" s="241">
        <v>0</v>
      </c>
      <c r="H278" s="241">
        <v>1</v>
      </c>
      <c r="I278" s="240" t="s">
        <v>16755</v>
      </c>
      <c r="J278" s="241">
        <v>0</v>
      </c>
      <c r="K278" s="241">
        <v>0</v>
      </c>
      <c r="L278" s="241">
        <v>1</v>
      </c>
      <c r="M278" s="240" t="s">
        <v>16832</v>
      </c>
      <c r="N278" s="241">
        <v>1</v>
      </c>
      <c r="O278" s="241">
        <v>0</v>
      </c>
      <c r="P278" s="241">
        <v>0</v>
      </c>
      <c r="Q278" s="259" t="s">
        <v>717</v>
      </c>
      <c r="R278" s="242" t="s">
        <v>17063</v>
      </c>
      <c r="S278" s="244" t="s">
        <v>25870</v>
      </c>
      <c r="T278" s="275" t="s">
        <v>646</v>
      </c>
      <c r="U278" s="275" t="str">
        <f t="shared" si="4"/>
        <v/>
      </c>
      <c r="V278" s="300" t="s">
        <v>27031</v>
      </c>
      <c r="W278" s="295" t="s">
        <v>25871</v>
      </c>
      <c r="X278" s="289"/>
      <c r="Y278" s="289"/>
      <c r="Z278" s="289"/>
      <c r="AA278" s="289"/>
      <c r="AB278" s="289"/>
      <c r="AC278" s="289"/>
      <c r="AD278" s="289"/>
      <c r="AE278" s="289"/>
      <c r="AF278" s="289"/>
      <c r="AG278" s="289"/>
      <c r="AH278" s="289"/>
      <c r="AI278" s="289"/>
      <c r="AJ278" s="289"/>
      <c r="AK278" s="289"/>
      <c r="AL278" s="289"/>
      <c r="AM278" s="289"/>
      <c r="AN278" s="289"/>
      <c r="AO278" s="289"/>
      <c r="AP278" s="289"/>
      <c r="AQ278" s="289"/>
      <c r="AR278" s="289"/>
      <c r="AS278" s="289"/>
      <c r="AT278" s="289"/>
      <c r="AU278" s="289"/>
      <c r="AV278" s="289"/>
      <c r="AW278" s="289"/>
      <c r="AX278" s="289"/>
      <c r="AY278" s="289"/>
      <c r="AZ278" s="290"/>
      <c r="BA278" s="290"/>
      <c r="BB278" s="290"/>
      <c r="BC278" s="290"/>
      <c r="BD278" s="290"/>
      <c r="BE278" s="290"/>
      <c r="BF278" s="290"/>
      <c r="BG278" s="290"/>
      <c r="BH278" s="290"/>
      <c r="BI278" s="290"/>
      <c r="BJ278" s="289"/>
      <c r="BK278" s="290"/>
      <c r="BL278" s="290"/>
    </row>
    <row r="279" spans="1:64" ht="27" customHeight="1" x14ac:dyDescent="0.25">
      <c r="A279" s="310" t="s">
        <v>290</v>
      </c>
      <c r="B279" s="311" t="s">
        <v>622</v>
      </c>
      <c r="C279" s="238" t="s">
        <v>622</v>
      </c>
      <c r="D279" s="239">
        <v>1</v>
      </c>
      <c r="E279" s="254">
        <v>0</v>
      </c>
      <c r="F279" s="258" t="s">
        <v>16764</v>
      </c>
      <c r="G279" s="241">
        <v>0</v>
      </c>
      <c r="H279" s="241">
        <v>1</v>
      </c>
      <c r="I279" s="240" t="s">
        <v>16755</v>
      </c>
      <c r="J279" s="241">
        <v>1</v>
      </c>
      <c r="K279" s="241">
        <v>0</v>
      </c>
      <c r="L279" s="241">
        <v>0</v>
      </c>
      <c r="M279" s="240" t="s">
        <v>16754</v>
      </c>
      <c r="N279" s="241">
        <v>0</v>
      </c>
      <c r="O279" s="241">
        <v>0</v>
      </c>
      <c r="P279" s="241">
        <v>1</v>
      </c>
      <c r="Q279" s="259" t="s">
        <v>16766</v>
      </c>
      <c r="R279" s="242" t="s">
        <v>17063</v>
      </c>
      <c r="S279" s="244" t="s">
        <v>25785</v>
      </c>
      <c r="T279" s="275" t="s">
        <v>27137</v>
      </c>
      <c r="U279" s="275" t="str">
        <f t="shared" si="4"/>
        <v>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v>
      </c>
      <c r="V279" s="300" t="s">
        <v>27032</v>
      </c>
      <c r="W279" s="295"/>
      <c r="X279" s="289"/>
      <c r="Y279" s="289"/>
      <c r="Z279" s="289"/>
      <c r="AA279" s="289"/>
      <c r="AB279" s="289"/>
      <c r="AC279" s="289"/>
      <c r="AD279" s="289"/>
      <c r="AE279" s="289"/>
      <c r="AF279" s="289"/>
      <c r="AG279" s="289"/>
      <c r="AH279" s="289"/>
      <c r="AI279" s="289"/>
      <c r="AJ279" s="289"/>
      <c r="AK279" s="289"/>
      <c r="AL279" s="289" t="s">
        <v>27137</v>
      </c>
      <c r="AM279" s="289"/>
      <c r="AN279" s="289"/>
      <c r="AO279" s="289"/>
      <c r="AP279" s="289"/>
      <c r="AQ279" s="289"/>
      <c r="AR279" s="289"/>
      <c r="AS279" s="289"/>
      <c r="AT279" s="289"/>
      <c r="AU279" s="289"/>
      <c r="AV279" s="289"/>
      <c r="AW279" s="289"/>
      <c r="AX279" s="289"/>
      <c r="AY279" s="289"/>
      <c r="AZ279" s="290"/>
      <c r="BA279" s="290"/>
      <c r="BB279" s="290"/>
      <c r="BC279" s="290"/>
      <c r="BD279" s="290"/>
      <c r="BE279" s="290"/>
      <c r="BF279" s="290"/>
      <c r="BG279" s="290"/>
      <c r="BH279" s="290"/>
      <c r="BI279" s="290"/>
      <c r="BJ279" s="289"/>
      <c r="BK279" s="290"/>
      <c r="BL279" s="290"/>
    </row>
    <row r="280" spans="1:64" ht="27" customHeight="1" x14ac:dyDescent="0.25">
      <c r="A280" s="310" t="s">
        <v>291</v>
      </c>
      <c r="B280" s="311" t="s">
        <v>623</v>
      </c>
      <c r="C280" s="238" t="s">
        <v>623</v>
      </c>
      <c r="D280" s="239">
        <v>1</v>
      </c>
      <c r="E280" s="254">
        <v>0</v>
      </c>
      <c r="F280" s="258" t="s">
        <v>16764</v>
      </c>
      <c r="G280" s="241">
        <v>1</v>
      </c>
      <c r="H280" s="241">
        <v>0</v>
      </c>
      <c r="I280" s="240" t="s">
        <v>16765</v>
      </c>
      <c r="J280" s="241">
        <v>0</v>
      </c>
      <c r="K280" s="241">
        <v>0</v>
      </c>
      <c r="L280" s="241">
        <v>1</v>
      </c>
      <c r="M280" s="240" t="s">
        <v>16832</v>
      </c>
      <c r="N280" s="241">
        <v>0</v>
      </c>
      <c r="O280" s="241">
        <v>1</v>
      </c>
      <c r="P280" s="241">
        <v>0</v>
      </c>
      <c r="Q280" s="259" t="s">
        <v>16827</v>
      </c>
      <c r="R280" s="242" t="s">
        <v>16901</v>
      </c>
      <c r="S280" s="244" t="s">
        <v>25872</v>
      </c>
      <c r="T280" s="275" t="s">
        <v>646</v>
      </c>
      <c r="U280" s="275" t="str">
        <f t="shared" si="4"/>
        <v/>
      </c>
      <c r="V280" s="300" t="s">
        <v>27033</v>
      </c>
      <c r="W280" s="295" t="s">
        <v>25873</v>
      </c>
      <c r="X280" s="289"/>
      <c r="Y280" s="289"/>
      <c r="Z280" s="289"/>
      <c r="AA280" s="289"/>
      <c r="AB280" s="289"/>
      <c r="AC280" s="289"/>
      <c r="AD280" s="289"/>
      <c r="AE280" s="289"/>
      <c r="AF280" s="289"/>
      <c r="AG280" s="289"/>
      <c r="AH280" s="289"/>
      <c r="AI280" s="289"/>
      <c r="AJ280" s="289"/>
      <c r="AK280" s="289"/>
      <c r="AL280" s="289"/>
      <c r="AM280" s="289"/>
      <c r="AN280" s="289"/>
      <c r="AO280" s="289"/>
      <c r="AP280" s="289"/>
      <c r="AQ280" s="289"/>
      <c r="AR280" s="289"/>
      <c r="AS280" s="289"/>
      <c r="AT280" s="289"/>
      <c r="AU280" s="289"/>
      <c r="AV280" s="289"/>
      <c r="AW280" s="289"/>
      <c r="AX280" s="289"/>
      <c r="AY280" s="289"/>
      <c r="AZ280" s="290"/>
      <c r="BA280" s="290"/>
      <c r="BB280" s="290"/>
      <c r="BC280" s="290"/>
      <c r="BD280" s="290"/>
      <c r="BE280" s="290"/>
      <c r="BF280" s="290"/>
      <c r="BG280" s="290"/>
      <c r="BH280" s="290"/>
      <c r="BI280" s="290"/>
      <c r="BJ280" s="289"/>
      <c r="BK280" s="290"/>
      <c r="BL280" s="290"/>
    </row>
    <row r="281" spans="1:64" ht="27" customHeight="1" x14ac:dyDescent="0.25">
      <c r="A281" s="310" t="s">
        <v>292</v>
      </c>
      <c r="B281" s="311" t="s">
        <v>624</v>
      </c>
      <c r="C281" s="238" t="s">
        <v>624</v>
      </c>
      <c r="D281" s="239">
        <v>1</v>
      </c>
      <c r="E281" s="254">
        <v>0</v>
      </c>
      <c r="F281" s="258" t="s">
        <v>16764</v>
      </c>
      <c r="G281" s="241">
        <v>1</v>
      </c>
      <c r="H281" s="241">
        <v>0</v>
      </c>
      <c r="I281" s="240" t="s">
        <v>16765</v>
      </c>
      <c r="J281" s="241">
        <v>1</v>
      </c>
      <c r="K281" s="241">
        <v>0</v>
      </c>
      <c r="L281" s="241">
        <v>0</v>
      </c>
      <c r="M281" s="240" t="s">
        <v>16754</v>
      </c>
      <c r="N281" s="241">
        <v>1</v>
      </c>
      <c r="O281" s="241">
        <v>0</v>
      </c>
      <c r="P281" s="241">
        <v>0</v>
      </c>
      <c r="Q281" s="259" t="s">
        <v>717</v>
      </c>
      <c r="R281" s="242" t="s">
        <v>17063</v>
      </c>
      <c r="S281" s="244" t="s">
        <v>25786</v>
      </c>
      <c r="T281" s="275" t="s">
        <v>17296</v>
      </c>
      <c r="U281" s="275" t="str">
        <f t="shared" si="4"/>
        <v>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v>
      </c>
      <c r="V281" s="300" t="s">
        <v>27034</v>
      </c>
      <c r="W281" s="295"/>
      <c r="X281" s="289"/>
      <c r="Y281" s="289"/>
      <c r="Z281" s="289"/>
      <c r="AA281" s="289"/>
      <c r="AB281" s="289"/>
      <c r="AC281" s="289"/>
      <c r="AD281" s="289"/>
      <c r="AE281" s="289"/>
      <c r="AF281" s="289"/>
      <c r="AG281" s="289"/>
      <c r="AH281" s="289"/>
      <c r="AI281" s="289"/>
      <c r="AJ281" s="289"/>
      <c r="AK281" s="289" t="s">
        <v>17296</v>
      </c>
      <c r="AL281" s="289"/>
      <c r="AM281" s="289"/>
      <c r="AN281" s="289"/>
      <c r="AO281" s="289"/>
      <c r="AP281" s="289"/>
      <c r="AQ281" s="289"/>
      <c r="AR281" s="289"/>
      <c r="AS281" s="289"/>
      <c r="AT281" s="289"/>
      <c r="AU281" s="289"/>
      <c r="AV281" s="289"/>
      <c r="AW281" s="289"/>
      <c r="AX281" s="289"/>
      <c r="AY281" s="289"/>
      <c r="AZ281" s="290"/>
      <c r="BA281" s="290"/>
      <c r="BB281" s="290"/>
      <c r="BC281" s="290"/>
      <c r="BD281" s="290"/>
      <c r="BE281" s="290"/>
      <c r="BF281" s="290"/>
      <c r="BG281" s="290"/>
      <c r="BH281" s="290"/>
      <c r="BI281" s="290"/>
      <c r="BJ281" s="289"/>
      <c r="BK281" s="290"/>
      <c r="BL281" s="290"/>
    </row>
    <row r="282" spans="1:64" ht="27" customHeight="1" x14ac:dyDescent="0.25">
      <c r="A282" s="310" t="s">
        <v>293</v>
      </c>
      <c r="B282" s="311" t="s">
        <v>17297</v>
      </c>
      <c r="C282" s="238" t="s">
        <v>625</v>
      </c>
      <c r="D282" s="239">
        <v>0</v>
      </c>
      <c r="E282" s="254">
        <v>1</v>
      </c>
      <c r="F282" s="258" t="s">
        <v>16753</v>
      </c>
      <c r="G282" s="241">
        <v>0</v>
      </c>
      <c r="H282" s="241">
        <v>1</v>
      </c>
      <c r="I282" s="240" t="s">
        <v>16755</v>
      </c>
      <c r="J282" s="241">
        <v>1</v>
      </c>
      <c r="K282" s="241">
        <v>0</v>
      </c>
      <c r="L282" s="241">
        <v>0</v>
      </c>
      <c r="M282" s="240" t="s">
        <v>16754</v>
      </c>
      <c r="N282" s="241">
        <v>1</v>
      </c>
      <c r="O282" s="241">
        <v>0</v>
      </c>
      <c r="P282" s="241">
        <v>0</v>
      </c>
      <c r="Q282" s="259" t="s">
        <v>717</v>
      </c>
      <c r="R282" s="242" t="s">
        <v>17063</v>
      </c>
      <c r="S282" s="244" t="s">
        <v>25787</v>
      </c>
      <c r="T282" s="275" t="s">
        <v>17298</v>
      </c>
      <c r="U282" s="275" t="str">
        <f t="shared" si="4"/>
        <v>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v>
      </c>
      <c r="V282" s="300" t="s">
        <v>27035</v>
      </c>
      <c r="W282" s="295"/>
      <c r="X282" s="289"/>
      <c r="Y282" s="289"/>
      <c r="Z282" s="289"/>
      <c r="AA282" s="289"/>
      <c r="AB282" s="289"/>
      <c r="AC282" s="289"/>
      <c r="AD282" s="289"/>
      <c r="AE282" s="289"/>
      <c r="AF282" s="289"/>
      <c r="AG282" s="289"/>
      <c r="AH282" s="289"/>
      <c r="AI282" s="289"/>
      <c r="AJ282" s="289"/>
      <c r="AK282" s="289"/>
      <c r="AL282" s="289"/>
      <c r="AM282" s="289"/>
      <c r="AN282" s="289"/>
      <c r="AO282" s="289"/>
      <c r="AP282" s="289" t="s">
        <v>17298</v>
      </c>
      <c r="AQ282" s="289"/>
      <c r="AR282" s="289"/>
      <c r="AS282" s="289"/>
      <c r="AT282" s="289"/>
      <c r="AU282" s="289"/>
      <c r="AV282" s="289"/>
      <c r="AW282" s="289"/>
      <c r="AX282" s="289"/>
      <c r="AY282" s="289"/>
      <c r="AZ282" s="290"/>
      <c r="BA282" s="290"/>
      <c r="BB282" s="290"/>
      <c r="BC282" s="290"/>
      <c r="BD282" s="290"/>
      <c r="BE282" s="290"/>
      <c r="BF282" s="290"/>
      <c r="BG282" s="290"/>
      <c r="BH282" s="290"/>
      <c r="BI282" s="290"/>
      <c r="BJ282" s="289"/>
      <c r="BK282" s="290"/>
      <c r="BL282" s="290"/>
    </row>
    <row r="283" spans="1:64" ht="27" customHeight="1" x14ac:dyDescent="0.25">
      <c r="A283" s="310" t="s">
        <v>294</v>
      </c>
      <c r="B283" s="311" t="s">
        <v>17299</v>
      </c>
      <c r="C283" s="238" t="s">
        <v>17300</v>
      </c>
      <c r="D283" s="239">
        <v>1</v>
      </c>
      <c r="E283" s="254">
        <v>0</v>
      </c>
      <c r="F283" s="258" t="s">
        <v>16764</v>
      </c>
      <c r="G283" s="241">
        <v>1</v>
      </c>
      <c r="H283" s="241">
        <v>0</v>
      </c>
      <c r="I283" s="240" t="s">
        <v>16765</v>
      </c>
      <c r="J283" s="241">
        <v>0</v>
      </c>
      <c r="K283" s="241">
        <v>0</v>
      </c>
      <c r="L283" s="241">
        <v>1</v>
      </c>
      <c r="M283" s="240" t="s">
        <v>16832</v>
      </c>
      <c r="N283" s="241">
        <v>0</v>
      </c>
      <c r="O283" s="241">
        <v>1</v>
      </c>
      <c r="P283" s="241">
        <v>0</v>
      </c>
      <c r="Q283" s="259" t="s">
        <v>16827</v>
      </c>
      <c r="R283" s="242" t="s">
        <v>16901</v>
      </c>
      <c r="S283" s="244" t="s">
        <v>25825</v>
      </c>
      <c r="T283" s="275" t="s">
        <v>646</v>
      </c>
      <c r="U283" s="275" t="str">
        <f t="shared" si="4"/>
        <v/>
      </c>
      <c r="V283" s="300" t="s">
        <v>27036</v>
      </c>
      <c r="W283" s="295" t="s">
        <v>25826</v>
      </c>
      <c r="X283" s="289"/>
      <c r="Y283" s="289"/>
      <c r="Z283" s="289"/>
      <c r="AA283" s="289"/>
      <c r="AB283" s="289"/>
      <c r="AC283" s="289"/>
      <c r="AD283" s="289"/>
      <c r="AE283" s="289"/>
      <c r="AF283" s="293"/>
      <c r="AG283" s="289"/>
      <c r="AH283" s="289"/>
      <c r="AI283" s="289"/>
      <c r="AJ283" s="289"/>
      <c r="AK283" s="289"/>
      <c r="AL283" s="289"/>
      <c r="AM283" s="289"/>
      <c r="AN283" s="289"/>
      <c r="AO283" s="289"/>
      <c r="AP283" s="289"/>
      <c r="AQ283" s="289"/>
      <c r="AR283" s="289"/>
      <c r="AS283" s="289"/>
      <c r="AT283" s="289"/>
      <c r="AU283" s="289"/>
      <c r="AV283" s="289"/>
      <c r="AW283" s="289"/>
      <c r="AX283" s="289"/>
      <c r="AY283" s="289"/>
      <c r="AZ283" s="290"/>
      <c r="BA283" s="290"/>
      <c r="BB283" s="290"/>
      <c r="BC283" s="290"/>
      <c r="BD283" s="290"/>
      <c r="BE283" s="290"/>
      <c r="BF283" s="290"/>
      <c r="BG283" s="290"/>
      <c r="BH283" s="290"/>
      <c r="BI283" s="290"/>
      <c r="BJ283" s="289"/>
      <c r="BK283" s="290"/>
      <c r="BL283" s="290"/>
    </row>
    <row r="284" spans="1:64" ht="27" customHeight="1" x14ac:dyDescent="0.25">
      <c r="A284" s="310" t="s">
        <v>295</v>
      </c>
      <c r="B284" s="311" t="s">
        <v>17301</v>
      </c>
      <c r="C284" s="238" t="s">
        <v>627</v>
      </c>
      <c r="D284" s="239">
        <v>1</v>
      </c>
      <c r="E284" s="254">
        <v>0</v>
      </c>
      <c r="F284" s="258" t="s">
        <v>16764</v>
      </c>
      <c r="G284" s="241">
        <v>1</v>
      </c>
      <c r="H284" s="241">
        <v>0</v>
      </c>
      <c r="I284" s="240" t="s">
        <v>16765</v>
      </c>
      <c r="J284" s="241">
        <v>0</v>
      </c>
      <c r="K284" s="241">
        <v>0</v>
      </c>
      <c r="L284" s="241">
        <v>1</v>
      </c>
      <c r="M284" s="240" t="s">
        <v>16832</v>
      </c>
      <c r="N284" s="241">
        <v>0</v>
      </c>
      <c r="O284" s="241">
        <v>1</v>
      </c>
      <c r="P284" s="241">
        <v>0</v>
      </c>
      <c r="Q284" s="259" t="s">
        <v>16827</v>
      </c>
      <c r="R284" s="242" t="s">
        <v>17063</v>
      </c>
      <c r="S284" s="244" t="s">
        <v>25827</v>
      </c>
      <c r="T284" s="275" t="s">
        <v>646</v>
      </c>
      <c r="U284" s="275" t="str">
        <f t="shared" si="4"/>
        <v/>
      </c>
      <c r="V284" s="300" t="s">
        <v>27037</v>
      </c>
      <c r="W284" s="295" t="s">
        <v>25828</v>
      </c>
      <c r="X284" s="289"/>
      <c r="Y284" s="289"/>
      <c r="Z284" s="289"/>
      <c r="AA284" s="289"/>
      <c r="AB284" s="289"/>
      <c r="AC284" s="289"/>
      <c r="AD284" s="289"/>
      <c r="AE284" s="289"/>
      <c r="AF284" s="289"/>
      <c r="AG284" s="289"/>
      <c r="AH284" s="289"/>
      <c r="AI284" s="289"/>
      <c r="AJ284" s="289"/>
      <c r="AK284" s="289"/>
      <c r="AL284" s="289"/>
      <c r="AM284" s="289"/>
      <c r="AN284" s="289"/>
      <c r="AO284" s="289"/>
      <c r="AP284" s="289"/>
      <c r="AQ284" s="289"/>
      <c r="AR284" s="289"/>
      <c r="AS284" s="289"/>
      <c r="AT284" s="289"/>
      <c r="AU284" s="289"/>
      <c r="AV284" s="289"/>
      <c r="AW284" s="289"/>
      <c r="AX284" s="289"/>
      <c r="AY284" s="289"/>
      <c r="AZ284" s="290"/>
      <c r="BA284" s="290"/>
      <c r="BB284" s="290"/>
      <c r="BC284" s="290"/>
      <c r="BD284" s="290"/>
      <c r="BE284" s="290"/>
      <c r="BF284" s="290"/>
      <c r="BG284" s="290"/>
      <c r="BH284" s="290"/>
      <c r="BI284" s="290"/>
      <c r="BJ284" s="289"/>
      <c r="BK284" s="290"/>
      <c r="BL284" s="290"/>
    </row>
    <row r="285" spans="1:64" ht="27" customHeight="1" x14ac:dyDescent="0.25">
      <c r="A285" s="310" t="s">
        <v>296</v>
      </c>
      <c r="B285" s="311" t="s">
        <v>628</v>
      </c>
      <c r="C285" s="238" t="s">
        <v>628</v>
      </c>
      <c r="D285" s="239">
        <v>1</v>
      </c>
      <c r="E285" s="254">
        <v>0</v>
      </c>
      <c r="F285" s="258" t="s">
        <v>16764</v>
      </c>
      <c r="G285" s="241">
        <v>1</v>
      </c>
      <c r="H285" s="241">
        <v>0</v>
      </c>
      <c r="I285" s="240" t="s">
        <v>16765</v>
      </c>
      <c r="J285" s="241">
        <v>0</v>
      </c>
      <c r="K285" s="241">
        <v>1</v>
      </c>
      <c r="L285" s="241">
        <v>0</v>
      </c>
      <c r="M285" s="240" t="s">
        <v>16774</v>
      </c>
      <c r="N285" s="241">
        <v>0</v>
      </c>
      <c r="O285" s="241">
        <v>1</v>
      </c>
      <c r="P285" s="241">
        <v>0</v>
      </c>
      <c r="Q285" s="259" t="s">
        <v>16827</v>
      </c>
      <c r="R285" s="242" t="s">
        <v>16901</v>
      </c>
      <c r="S285" s="244" t="s">
        <v>25874</v>
      </c>
      <c r="T285" s="275" t="s">
        <v>646</v>
      </c>
      <c r="U285" s="275" t="str">
        <f t="shared" si="4"/>
        <v/>
      </c>
      <c r="V285" s="300" t="s">
        <v>27038</v>
      </c>
      <c r="W285" s="295" t="s">
        <v>25875</v>
      </c>
      <c r="X285" s="289"/>
      <c r="Y285" s="289"/>
      <c r="Z285" s="289"/>
      <c r="AA285" s="289"/>
      <c r="AB285" s="289"/>
      <c r="AC285" s="289"/>
      <c r="AD285" s="289"/>
      <c r="AE285" s="289"/>
      <c r="AF285" s="289"/>
      <c r="AG285" s="289"/>
      <c r="AH285" s="289"/>
      <c r="AI285" s="289"/>
      <c r="AJ285" s="289"/>
      <c r="AK285" s="289"/>
      <c r="AL285" s="289"/>
      <c r="AM285" s="289"/>
      <c r="AN285" s="289"/>
      <c r="AO285" s="289"/>
      <c r="AP285" s="289"/>
      <c r="AQ285" s="289"/>
      <c r="AR285" s="289"/>
      <c r="AS285" s="289"/>
      <c r="AT285" s="289"/>
      <c r="AU285" s="289"/>
      <c r="AV285" s="289"/>
      <c r="AW285" s="289"/>
      <c r="AX285" s="289"/>
      <c r="AY285" s="289"/>
      <c r="AZ285" s="290"/>
      <c r="BA285" s="290"/>
      <c r="BB285" s="290"/>
      <c r="BC285" s="290"/>
      <c r="BD285" s="290"/>
      <c r="BE285" s="290"/>
      <c r="BF285" s="290"/>
      <c r="BG285" s="290"/>
      <c r="BH285" s="290"/>
      <c r="BI285" s="290"/>
      <c r="BJ285" s="289"/>
      <c r="BK285" s="290"/>
      <c r="BL285" s="290"/>
    </row>
    <row r="286" spans="1:64" ht="27" customHeight="1" x14ac:dyDescent="0.25">
      <c r="A286" s="310" t="s">
        <v>297</v>
      </c>
      <c r="B286" s="311" t="s">
        <v>17302</v>
      </c>
      <c r="C286" s="238" t="s">
        <v>629</v>
      </c>
      <c r="D286" s="239">
        <v>1</v>
      </c>
      <c r="E286" s="254">
        <v>0</v>
      </c>
      <c r="F286" s="258" t="s">
        <v>16764</v>
      </c>
      <c r="G286" s="241">
        <v>1</v>
      </c>
      <c r="H286" s="241">
        <v>0</v>
      </c>
      <c r="I286" s="240" t="s">
        <v>16765</v>
      </c>
      <c r="J286" s="241">
        <v>1</v>
      </c>
      <c r="K286" s="241">
        <v>0</v>
      </c>
      <c r="L286" s="241">
        <v>0</v>
      </c>
      <c r="M286" s="240" t="s">
        <v>16754</v>
      </c>
      <c r="N286" s="241">
        <v>0</v>
      </c>
      <c r="O286" s="241">
        <v>1</v>
      </c>
      <c r="P286" s="241">
        <v>0</v>
      </c>
      <c r="Q286" s="259" t="s">
        <v>16827</v>
      </c>
      <c r="R286" s="242" t="s">
        <v>17063</v>
      </c>
      <c r="S286" s="244" t="s">
        <v>25876</v>
      </c>
      <c r="T286" s="275" t="s">
        <v>646</v>
      </c>
      <c r="U286" s="275" t="str">
        <f t="shared" si="4"/>
        <v/>
      </c>
      <c r="V286" s="300" t="s">
        <v>27039</v>
      </c>
      <c r="W286" s="295" t="s">
        <v>25877</v>
      </c>
      <c r="X286" s="289"/>
      <c r="Y286" s="289"/>
      <c r="Z286" s="289"/>
      <c r="AA286" s="289"/>
      <c r="AB286" s="289"/>
      <c r="AC286" s="289"/>
      <c r="AD286" s="289"/>
      <c r="AE286" s="289"/>
      <c r="AF286" s="289"/>
      <c r="AG286" s="289"/>
      <c r="AH286" s="289"/>
      <c r="AI286" s="289"/>
      <c r="AJ286" s="289"/>
      <c r="AK286" s="289"/>
      <c r="AL286" s="289"/>
      <c r="AM286" s="289"/>
      <c r="AN286" s="289"/>
      <c r="AO286" s="289"/>
      <c r="AP286" s="289"/>
      <c r="AQ286" s="289"/>
      <c r="AR286" s="289"/>
      <c r="AS286" s="289"/>
      <c r="AT286" s="289"/>
      <c r="AU286" s="289"/>
      <c r="AV286" s="289"/>
      <c r="AW286" s="289"/>
      <c r="AX286" s="289"/>
      <c r="AY286" s="289"/>
      <c r="AZ286" s="290"/>
      <c r="BA286" s="290"/>
      <c r="BB286" s="290"/>
      <c r="BC286" s="290"/>
      <c r="BD286" s="290"/>
      <c r="BE286" s="290"/>
      <c r="BF286" s="290"/>
      <c r="BG286" s="290"/>
      <c r="BH286" s="290"/>
      <c r="BI286" s="290"/>
      <c r="BJ286" s="289"/>
      <c r="BK286" s="290"/>
      <c r="BL286" s="290"/>
    </row>
    <row r="287" spans="1:64" ht="27" customHeight="1" x14ac:dyDescent="0.25">
      <c r="A287" s="310" t="s">
        <v>298</v>
      </c>
      <c r="B287" s="311" t="s">
        <v>17303</v>
      </c>
      <c r="C287" s="238" t="s">
        <v>630</v>
      </c>
      <c r="D287" s="239">
        <v>1</v>
      </c>
      <c r="E287" s="254">
        <v>0</v>
      </c>
      <c r="F287" s="258" t="s">
        <v>16764</v>
      </c>
      <c r="G287" s="241">
        <v>0</v>
      </c>
      <c r="H287" s="241">
        <v>1</v>
      </c>
      <c r="I287" s="240" t="s">
        <v>16755</v>
      </c>
      <c r="J287" s="241">
        <v>0</v>
      </c>
      <c r="K287" s="241">
        <v>0</v>
      </c>
      <c r="L287" s="241">
        <v>1</v>
      </c>
      <c r="M287" s="240" t="s">
        <v>16832</v>
      </c>
      <c r="N287" s="241">
        <v>0</v>
      </c>
      <c r="O287" s="241">
        <v>1</v>
      </c>
      <c r="P287" s="241">
        <v>0</v>
      </c>
      <c r="Q287" s="259" t="s">
        <v>16827</v>
      </c>
      <c r="R287" s="242" t="s">
        <v>17063</v>
      </c>
      <c r="S287" s="244" t="s">
        <v>25829</v>
      </c>
      <c r="T287" s="275" t="s">
        <v>646</v>
      </c>
      <c r="U287" s="275" t="str">
        <f t="shared" si="4"/>
        <v/>
      </c>
      <c r="V287" s="300" t="s">
        <v>27040</v>
      </c>
      <c r="W287" s="295" t="s">
        <v>25830</v>
      </c>
      <c r="X287" s="289"/>
      <c r="Y287" s="289"/>
      <c r="Z287" s="289"/>
      <c r="AA287" s="289"/>
      <c r="AB287" s="289"/>
      <c r="AC287" s="289"/>
      <c r="AD287" s="289"/>
      <c r="AE287" s="289"/>
      <c r="AF287" s="289"/>
      <c r="AG287" s="289"/>
      <c r="AH287" s="289"/>
      <c r="AI287" s="289"/>
      <c r="AJ287" s="289"/>
      <c r="AK287" s="289"/>
      <c r="AL287" s="289"/>
      <c r="AM287" s="289"/>
      <c r="AN287" s="289"/>
      <c r="AO287" s="289"/>
      <c r="AP287" s="289"/>
      <c r="AQ287" s="289"/>
      <c r="AR287" s="289"/>
      <c r="AS287" s="289"/>
      <c r="AT287" s="289"/>
      <c r="AU287" s="289"/>
      <c r="AV287" s="289"/>
      <c r="AW287" s="289"/>
      <c r="AX287" s="289"/>
      <c r="AY287" s="289"/>
      <c r="AZ287" s="290"/>
      <c r="BA287" s="290"/>
      <c r="BB287" s="290"/>
      <c r="BC287" s="290"/>
      <c r="BD287" s="290"/>
      <c r="BE287" s="290"/>
      <c r="BF287" s="290"/>
      <c r="BG287" s="290"/>
      <c r="BH287" s="290"/>
      <c r="BI287" s="290"/>
      <c r="BJ287" s="289"/>
      <c r="BK287" s="290"/>
      <c r="BL287" s="290"/>
    </row>
    <row r="288" spans="1:64" ht="27" customHeight="1" x14ac:dyDescent="0.25">
      <c r="A288" s="310" t="s">
        <v>299</v>
      </c>
      <c r="B288" s="311" t="s">
        <v>17304</v>
      </c>
      <c r="C288" s="238" t="s">
        <v>631</v>
      </c>
      <c r="D288" s="239">
        <v>0</v>
      </c>
      <c r="E288" s="254">
        <v>1</v>
      </c>
      <c r="F288" s="258" t="s">
        <v>16753</v>
      </c>
      <c r="G288" s="241">
        <v>0</v>
      </c>
      <c r="H288" s="241">
        <v>1</v>
      </c>
      <c r="I288" s="240" t="s">
        <v>16755</v>
      </c>
      <c r="J288" s="241">
        <v>0</v>
      </c>
      <c r="K288" s="241">
        <v>0</v>
      </c>
      <c r="L288" s="241">
        <v>1</v>
      </c>
      <c r="M288" s="240" t="s">
        <v>16832</v>
      </c>
      <c r="N288" s="241">
        <v>0</v>
      </c>
      <c r="O288" s="241">
        <v>1</v>
      </c>
      <c r="P288" s="241">
        <v>0</v>
      </c>
      <c r="Q288" s="259" t="s">
        <v>16827</v>
      </c>
      <c r="R288" s="242" t="s">
        <v>17063</v>
      </c>
      <c r="S288" s="244" t="s">
        <v>26547</v>
      </c>
      <c r="T288" s="275" t="s">
        <v>646</v>
      </c>
      <c r="U288" s="275" t="str">
        <f t="shared" si="4"/>
        <v/>
      </c>
      <c r="V288" s="300" t="s">
        <v>27041</v>
      </c>
      <c r="W288" s="295" t="s">
        <v>26548</v>
      </c>
      <c r="X288" s="289"/>
      <c r="Y288" s="289"/>
      <c r="Z288" s="289"/>
      <c r="AA288" s="289"/>
      <c r="AB288" s="289"/>
      <c r="AC288" s="289"/>
      <c r="AD288" s="289"/>
      <c r="AE288" s="289"/>
      <c r="AF288" s="289"/>
      <c r="AG288" s="289"/>
      <c r="AH288" s="289"/>
      <c r="AI288" s="289"/>
      <c r="AJ288" s="289"/>
      <c r="AK288" s="289"/>
      <c r="AL288" s="289"/>
      <c r="AM288" s="289"/>
      <c r="AN288" s="289"/>
      <c r="AO288" s="289"/>
      <c r="AP288" s="289"/>
      <c r="AQ288" s="289"/>
      <c r="AR288" s="289"/>
      <c r="AS288" s="289"/>
      <c r="AT288" s="289"/>
      <c r="AU288" s="289"/>
      <c r="AV288" s="289"/>
      <c r="AW288" s="289"/>
      <c r="AX288" s="289"/>
      <c r="AY288" s="289"/>
      <c r="AZ288" s="290"/>
      <c r="BA288" s="290"/>
      <c r="BB288" s="290"/>
      <c r="BC288" s="290"/>
      <c r="BD288" s="290"/>
      <c r="BE288" s="290"/>
      <c r="BF288" s="290"/>
      <c r="BG288" s="290"/>
      <c r="BH288" s="290"/>
      <c r="BI288" s="290"/>
      <c r="BJ288" s="289"/>
      <c r="BK288" s="290"/>
      <c r="BL288" s="290"/>
    </row>
    <row r="289" spans="1:64" ht="27" customHeight="1" x14ac:dyDescent="0.25">
      <c r="A289" s="310" t="s">
        <v>300</v>
      </c>
      <c r="B289" s="311" t="s">
        <v>17305</v>
      </c>
      <c r="C289" s="238" t="s">
        <v>632</v>
      </c>
      <c r="D289" s="239">
        <v>1</v>
      </c>
      <c r="E289" s="254">
        <v>0</v>
      </c>
      <c r="F289" s="258" t="s">
        <v>16764</v>
      </c>
      <c r="G289" s="241">
        <v>0</v>
      </c>
      <c r="H289" s="241">
        <v>1</v>
      </c>
      <c r="I289" s="240" t="s">
        <v>16755</v>
      </c>
      <c r="J289" s="241">
        <v>0</v>
      </c>
      <c r="K289" s="241">
        <v>0</v>
      </c>
      <c r="L289" s="241">
        <v>1</v>
      </c>
      <c r="M289" s="240" t="s">
        <v>16832</v>
      </c>
      <c r="N289" s="241">
        <v>0</v>
      </c>
      <c r="O289" s="241">
        <v>1</v>
      </c>
      <c r="P289" s="241">
        <v>0</v>
      </c>
      <c r="Q289" s="259" t="s">
        <v>16827</v>
      </c>
      <c r="R289" s="242" t="s">
        <v>17063</v>
      </c>
      <c r="S289" s="244" t="s">
        <v>25788</v>
      </c>
      <c r="T289" s="275" t="s">
        <v>17306</v>
      </c>
      <c r="U289" s="275" t="str">
        <f t="shared" si="4"/>
        <v>This subcategory regards the organization’s culture in dealing with mistakes. A constructive error culture is seen as a prerequisite for a successful digital transformation, especially during the transition phase</v>
      </c>
      <c r="V289" s="300" t="s">
        <v>27042</v>
      </c>
      <c r="W289" s="295"/>
      <c r="X289" s="289"/>
      <c r="Y289" s="289"/>
      <c r="Z289" s="289"/>
      <c r="AA289" s="289"/>
      <c r="AB289" s="289"/>
      <c r="AC289" s="289"/>
      <c r="AD289" s="289"/>
      <c r="AE289" s="289"/>
      <c r="AF289" s="289"/>
      <c r="AG289" s="289"/>
      <c r="AH289" s="289"/>
      <c r="AI289" s="289"/>
      <c r="AJ289" s="289"/>
      <c r="AK289" s="289"/>
      <c r="AL289" s="289"/>
      <c r="AM289" s="289"/>
      <c r="AN289" s="289"/>
      <c r="AO289" s="289"/>
      <c r="AP289" s="289"/>
      <c r="AQ289" s="289"/>
      <c r="AR289" s="289"/>
      <c r="AS289" s="289"/>
      <c r="AT289" s="289"/>
      <c r="AU289" s="289"/>
      <c r="AV289" s="289"/>
      <c r="AW289" s="289"/>
      <c r="AX289" s="289"/>
      <c r="AY289" s="289"/>
      <c r="AZ289" s="290"/>
      <c r="BA289" s="290"/>
      <c r="BB289" s="290"/>
      <c r="BC289" s="290"/>
      <c r="BD289" s="290"/>
      <c r="BE289" s="290"/>
      <c r="BF289" s="290"/>
      <c r="BG289" s="290"/>
      <c r="BH289" s="290"/>
      <c r="BI289" s="290"/>
      <c r="BJ289" s="289" t="s">
        <v>17306</v>
      </c>
      <c r="BK289" s="290"/>
      <c r="BL289" s="290"/>
    </row>
    <row r="290" spans="1:64" ht="27" customHeight="1" x14ac:dyDescent="0.25">
      <c r="A290" s="310" t="s">
        <v>301</v>
      </c>
      <c r="B290" s="311" t="s">
        <v>633</v>
      </c>
      <c r="C290" s="238" t="s">
        <v>633</v>
      </c>
      <c r="D290" s="239">
        <v>1</v>
      </c>
      <c r="E290" s="254">
        <v>0</v>
      </c>
      <c r="F290" s="258" t="s">
        <v>16764</v>
      </c>
      <c r="G290" s="241">
        <v>1</v>
      </c>
      <c r="H290" s="241">
        <v>0</v>
      </c>
      <c r="I290" s="240" t="s">
        <v>16765</v>
      </c>
      <c r="J290" s="241">
        <v>0</v>
      </c>
      <c r="K290" s="241">
        <v>0</v>
      </c>
      <c r="L290" s="241">
        <v>1</v>
      </c>
      <c r="M290" s="240" t="s">
        <v>16832</v>
      </c>
      <c r="N290" s="241">
        <v>1</v>
      </c>
      <c r="O290" s="241">
        <v>0</v>
      </c>
      <c r="P290" s="241">
        <v>0</v>
      </c>
      <c r="Q290" s="259" t="s">
        <v>717</v>
      </c>
      <c r="R290" s="242" t="s">
        <v>17063</v>
      </c>
      <c r="S290" s="244" t="s">
        <v>25789</v>
      </c>
      <c r="T290" s="275" t="s">
        <v>17307</v>
      </c>
      <c r="U290" s="275" t="str">
        <f t="shared" si="4"/>
        <v>This subcategory describes the competence in the handling of date. This includes large data volumes and data security</v>
      </c>
      <c r="V290" s="300" t="s">
        <v>27043</v>
      </c>
      <c r="W290" s="295"/>
      <c r="X290" s="289"/>
      <c r="Y290" s="289"/>
      <c r="Z290" s="289"/>
      <c r="AA290" s="289"/>
      <c r="AB290" s="289"/>
      <c r="AC290" s="289"/>
      <c r="AD290" s="289"/>
      <c r="AE290" s="289"/>
      <c r="AF290" s="289"/>
      <c r="AG290" s="289"/>
      <c r="AH290" s="289"/>
      <c r="AI290" s="289"/>
      <c r="AJ290" s="289"/>
      <c r="AK290" s="289"/>
      <c r="AL290" s="289"/>
      <c r="AM290" s="289"/>
      <c r="AN290" s="289"/>
      <c r="AO290" s="289"/>
      <c r="AP290" s="289"/>
      <c r="AQ290" s="289"/>
      <c r="AR290" s="289"/>
      <c r="AS290" s="289"/>
      <c r="AT290" s="289"/>
      <c r="AU290" s="289"/>
      <c r="AV290" s="289"/>
      <c r="AW290" s="289"/>
      <c r="AX290" s="289"/>
      <c r="AY290" s="289"/>
      <c r="AZ290" s="290"/>
      <c r="BA290" s="290"/>
      <c r="BB290" s="290"/>
      <c r="BC290" s="290"/>
      <c r="BD290" s="290"/>
      <c r="BE290" s="290"/>
      <c r="BF290" s="290"/>
      <c r="BG290" s="290"/>
      <c r="BH290" s="290"/>
      <c r="BI290" s="290"/>
      <c r="BJ290" s="289" t="s">
        <v>17307</v>
      </c>
      <c r="BK290" s="290"/>
      <c r="BL290" s="290"/>
    </row>
    <row r="291" spans="1:64" ht="27" customHeight="1" x14ac:dyDescent="0.25">
      <c r="A291" s="310" t="s">
        <v>302</v>
      </c>
      <c r="B291" s="311" t="s">
        <v>634</v>
      </c>
      <c r="C291" s="238" t="s">
        <v>634</v>
      </c>
      <c r="D291" s="239">
        <v>1</v>
      </c>
      <c r="E291" s="254">
        <v>0</v>
      </c>
      <c r="F291" s="258" t="s">
        <v>16764</v>
      </c>
      <c r="G291" s="241">
        <v>1</v>
      </c>
      <c r="H291" s="241">
        <v>0</v>
      </c>
      <c r="I291" s="240" t="s">
        <v>16765</v>
      </c>
      <c r="J291" s="241">
        <v>0</v>
      </c>
      <c r="K291" s="241">
        <v>0</v>
      </c>
      <c r="L291" s="241">
        <v>1</v>
      </c>
      <c r="M291" s="240" t="s">
        <v>16832</v>
      </c>
      <c r="N291" s="241">
        <v>1</v>
      </c>
      <c r="O291" s="241">
        <v>0</v>
      </c>
      <c r="P291" s="241">
        <v>0</v>
      </c>
      <c r="Q291" s="259" t="s">
        <v>717</v>
      </c>
      <c r="R291" s="242" t="s">
        <v>17063</v>
      </c>
      <c r="S291" s="244" t="s">
        <v>25542</v>
      </c>
      <c r="T291" s="275" t="s">
        <v>17308</v>
      </c>
      <c r="U291" s="275" t="str">
        <f t="shared" si="4"/>
        <v>In this subcategory includes all aspects of one’s professional qualification are supplemented. The focus is here on the changing learning conditions due to caused by digitization, including changing job profiles, working materials- and systems, and business models</v>
      </c>
      <c r="V291" s="300" t="s">
        <v>27044</v>
      </c>
      <c r="W291" s="295"/>
      <c r="X291" s="289"/>
      <c r="Y291" s="289"/>
      <c r="Z291" s="289"/>
      <c r="AA291" s="289"/>
      <c r="AB291" s="289"/>
      <c r="AC291" s="289"/>
      <c r="AD291" s="289"/>
      <c r="AE291" s="289"/>
      <c r="AF291" s="289"/>
      <c r="AG291" s="289"/>
      <c r="AH291" s="289"/>
      <c r="AI291" s="289"/>
      <c r="AJ291" s="289"/>
      <c r="AK291" s="289"/>
      <c r="AL291" s="289"/>
      <c r="AM291" s="289"/>
      <c r="AN291" s="289"/>
      <c r="AO291" s="289"/>
      <c r="AP291" s="289"/>
      <c r="AQ291" s="289"/>
      <c r="AR291" s="289"/>
      <c r="AS291" s="289"/>
      <c r="AT291" s="289"/>
      <c r="AU291" s="289"/>
      <c r="AV291" s="289"/>
      <c r="AW291" s="289"/>
      <c r="AX291" s="289"/>
      <c r="AY291" s="289"/>
      <c r="AZ291" s="290"/>
      <c r="BA291" s="290"/>
      <c r="BB291" s="290"/>
      <c r="BC291" s="290"/>
      <c r="BD291" s="290"/>
      <c r="BE291" s="290"/>
      <c r="BF291" s="290"/>
      <c r="BG291" s="290"/>
      <c r="BH291" s="290"/>
      <c r="BI291" s="290"/>
      <c r="BJ291" s="289" t="s">
        <v>17308</v>
      </c>
      <c r="BK291" s="290"/>
      <c r="BL291" s="290"/>
    </row>
    <row r="292" spans="1:64" ht="27" customHeight="1" x14ac:dyDescent="0.25">
      <c r="A292" s="310" t="s">
        <v>303</v>
      </c>
      <c r="B292" s="311" t="s">
        <v>635</v>
      </c>
      <c r="C292" s="246" t="s">
        <v>635</v>
      </c>
      <c r="D292" s="247">
        <v>1</v>
      </c>
      <c r="E292" s="256">
        <v>0</v>
      </c>
      <c r="F292" s="258" t="s">
        <v>16764</v>
      </c>
      <c r="G292" s="241">
        <v>0</v>
      </c>
      <c r="H292" s="241">
        <v>1</v>
      </c>
      <c r="I292" s="240" t="s">
        <v>16755</v>
      </c>
      <c r="J292" s="241">
        <v>1</v>
      </c>
      <c r="K292" s="241">
        <v>0</v>
      </c>
      <c r="L292" s="241">
        <v>0</v>
      </c>
      <c r="M292" s="240" t="s">
        <v>16754</v>
      </c>
      <c r="N292" s="241">
        <v>0</v>
      </c>
      <c r="O292" s="241">
        <v>1</v>
      </c>
      <c r="P292" s="241">
        <v>0</v>
      </c>
      <c r="Q292" s="259" t="s">
        <v>16827</v>
      </c>
      <c r="R292" s="242" t="s">
        <v>16775</v>
      </c>
      <c r="S292" s="244" t="s">
        <v>25878</v>
      </c>
      <c r="T292" s="275" t="s">
        <v>646</v>
      </c>
      <c r="U292" s="275" t="str">
        <f t="shared" si="4"/>
        <v/>
      </c>
      <c r="V292" s="300" t="s">
        <v>27045</v>
      </c>
      <c r="W292" s="295" t="s">
        <v>26755</v>
      </c>
      <c r="X292" s="289"/>
      <c r="Y292" s="289"/>
      <c r="Z292" s="289"/>
      <c r="AA292" s="289"/>
      <c r="AB292" s="289"/>
      <c r="AC292" s="289"/>
      <c r="AD292" s="289"/>
      <c r="AE292" s="289"/>
      <c r="AF292" s="289"/>
      <c r="AG292" s="289"/>
      <c r="AH292" s="289"/>
      <c r="AI292" s="289"/>
      <c r="AJ292" s="289"/>
      <c r="AK292" s="289"/>
      <c r="AL292" s="289"/>
      <c r="AM292" s="289"/>
      <c r="AN292" s="289"/>
      <c r="AO292" s="289"/>
      <c r="AP292" s="289"/>
      <c r="AQ292" s="289"/>
      <c r="AR292" s="289"/>
      <c r="AS292" s="289"/>
      <c r="AT292" s="289"/>
      <c r="AU292" s="289"/>
      <c r="AV292" s="289"/>
      <c r="AW292" s="289"/>
      <c r="AX292" s="289"/>
      <c r="AY292" s="289"/>
      <c r="AZ292" s="290"/>
      <c r="BA292" s="290"/>
      <c r="BB292" s="290"/>
      <c r="BC292" s="290"/>
      <c r="BD292" s="290"/>
      <c r="BE292" s="290"/>
      <c r="BF292" s="290"/>
      <c r="BG292" s="290"/>
      <c r="BH292" s="290"/>
      <c r="BI292" s="290"/>
      <c r="BJ292" s="289"/>
      <c r="BK292" s="290"/>
      <c r="BL292" s="290"/>
    </row>
    <row r="293" spans="1:64" ht="27" customHeight="1" x14ac:dyDescent="0.25">
      <c r="A293" s="310" t="s">
        <v>304</v>
      </c>
      <c r="B293" s="311" t="s">
        <v>636</v>
      </c>
      <c r="C293" s="248" t="s">
        <v>636</v>
      </c>
      <c r="D293" s="249">
        <v>1</v>
      </c>
      <c r="E293" s="257">
        <v>0</v>
      </c>
      <c r="F293" s="258" t="s">
        <v>16764</v>
      </c>
      <c r="G293" s="241">
        <v>1</v>
      </c>
      <c r="H293" s="241">
        <v>0</v>
      </c>
      <c r="I293" s="240" t="s">
        <v>16765</v>
      </c>
      <c r="J293" s="241">
        <v>0</v>
      </c>
      <c r="K293" s="241">
        <v>0</v>
      </c>
      <c r="L293" s="241">
        <v>1</v>
      </c>
      <c r="M293" s="240" t="s">
        <v>16832</v>
      </c>
      <c r="N293" s="241">
        <v>0</v>
      </c>
      <c r="O293" s="241">
        <v>1</v>
      </c>
      <c r="P293" s="241">
        <v>0</v>
      </c>
      <c r="Q293" s="259" t="s">
        <v>16827</v>
      </c>
      <c r="R293" s="242" t="s">
        <v>16775</v>
      </c>
      <c r="S293" s="244" t="s">
        <v>25879</v>
      </c>
      <c r="T293" s="275" t="s">
        <v>646</v>
      </c>
      <c r="U293" s="275" t="str">
        <f t="shared" si="4"/>
        <v/>
      </c>
      <c r="V293" s="300" t="s">
        <v>27046</v>
      </c>
      <c r="W293" s="295" t="s">
        <v>26552</v>
      </c>
      <c r="X293" s="289"/>
      <c r="Y293" s="289"/>
      <c r="Z293" s="289"/>
      <c r="AA293" s="289"/>
      <c r="AB293" s="289"/>
      <c r="AC293" s="289"/>
      <c r="AD293" s="289"/>
      <c r="AE293" s="289"/>
      <c r="AF293" s="289"/>
      <c r="AG293" s="289"/>
      <c r="AH293" s="289"/>
      <c r="AI293" s="289"/>
      <c r="AJ293" s="289"/>
      <c r="AK293" s="289"/>
      <c r="AL293" s="289"/>
      <c r="AM293" s="289"/>
      <c r="AN293" s="289"/>
      <c r="AO293" s="289"/>
      <c r="AP293" s="289"/>
      <c r="AQ293" s="289"/>
      <c r="AR293" s="289"/>
      <c r="AS293" s="289"/>
      <c r="AT293" s="289"/>
      <c r="AU293" s="289"/>
      <c r="AV293" s="289"/>
      <c r="AW293" s="289"/>
      <c r="AX293" s="289"/>
      <c r="AY293" s="289"/>
      <c r="AZ293" s="290"/>
      <c r="BA293" s="290"/>
      <c r="BB293" s="290"/>
      <c r="BC293" s="290"/>
      <c r="BD293" s="290"/>
      <c r="BE293" s="290"/>
      <c r="BF293" s="290"/>
      <c r="BG293" s="290"/>
      <c r="BH293" s="290"/>
      <c r="BI293" s="290"/>
      <c r="BJ293" s="289"/>
      <c r="BK293" s="290"/>
      <c r="BL293" s="290"/>
    </row>
    <row r="294" spans="1:64" ht="27" customHeight="1" x14ac:dyDescent="0.25">
      <c r="A294" s="310" t="s">
        <v>305</v>
      </c>
      <c r="B294" s="311" t="s">
        <v>637</v>
      </c>
      <c r="C294" s="248" t="s">
        <v>637</v>
      </c>
      <c r="D294" s="249">
        <v>0</v>
      </c>
      <c r="E294" s="257">
        <v>1</v>
      </c>
      <c r="F294" s="258" t="s">
        <v>16753</v>
      </c>
      <c r="G294" s="241">
        <v>0</v>
      </c>
      <c r="H294" s="241">
        <v>1</v>
      </c>
      <c r="I294" s="240" t="s">
        <v>16755</v>
      </c>
      <c r="J294" s="241">
        <v>1</v>
      </c>
      <c r="K294" s="241">
        <v>0</v>
      </c>
      <c r="L294" s="241">
        <v>0</v>
      </c>
      <c r="M294" s="240" t="s">
        <v>16754</v>
      </c>
      <c r="N294" s="241">
        <v>1</v>
      </c>
      <c r="O294" s="241">
        <v>0</v>
      </c>
      <c r="P294" s="241">
        <v>0</v>
      </c>
      <c r="Q294" s="259" t="s">
        <v>717</v>
      </c>
      <c r="R294" s="250"/>
      <c r="S294" s="244" t="s">
        <v>25832</v>
      </c>
      <c r="T294" s="275" t="s">
        <v>646</v>
      </c>
      <c r="U294" s="275" t="str">
        <f t="shared" si="4"/>
        <v/>
      </c>
      <c r="V294" s="300" t="s">
        <v>27047</v>
      </c>
      <c r="W294" s="295" t="s">
        <v>25831</v>
      </c>
      <c r="X294" s="289"/>
      <c r="Y294" s="289"/>
      <c r="Z294" s="289"/>
      <c r="AA294" s="289"/>
      <c r="AB294" s="289"/>
      <c r="AC294" s="289"/>
      <c r="AD294" s="289"/>
      <c r="AE294" s="289"/>
      <c r="AF294" s="289"/>
      <c r="AG294" s="289"/>
      <c r="AH294" s="289"/>
      <c r="AI294" s="289"/>
      <c r="AJ294" s="289"/>
      <c r="AK294" s="289"/>
      <c r="AL294" s="289"/>
      <c r="AM294" s="289"/>
      <c r="AN294" s="289"/>
      <c r="AO294" s="289"/>
      <c r="AP294" s="289"/>
      <c r="AQ294" s="289"/>
      <c r="AR294" s="289"/>
      <c r="AS294" s="289"/>
      <c r="AT294" s="289"/>
      <c r="AU294" s="289"/>
      <c r="AV294" s="289"/>
      <c r="AW294" s="289"/>
      <c r="AX294" s="289"/>
      <c r="AY294" s="289"/>
      <c r="AZ294" s="290"/>
      <c r="BA294" s="290"/>
      <c r="BB294" s="290"/>
      <c r="BC294" s="290"/>
      <c r="BD294" s="290"/>
      <c r="BE294" s="290"/>
      <c r="BF294" s="290"/>
      <c r="BG294" s="290"/>
      <c r="BH294" s="290"/>
      <c r="BI294" s="290"/>
      <c r="BJ294" s="289"/>
      <c r="BK294" s="290"/>
      <c r="BL294" s="290"/>
    </row>
    <row r="295" spans="1:64" ht="27" customHeight="1" x14ac:dyDescent="0.25">
      <c r="A295" s="310" t="s">
        <v>306</v>
      </c>
      <c r="B295" s="311" t="s">
        <v>638</v>
      </c>
      <c r="C295" s="248" t="s">
        <v>25833</v>
      </c>
      <c r="D295" s="249">
        <v>1</v>
      </c>
      <c r="E295" s="257">
        <v>0</v>
      </c>
      <c r="F295" s="258" t="s">
        <v>16764</v>
      </c>
      <c r="G295" s="241">
        <v>0</v>
      </c>
      <c r="H295" s="241">
        <v>1</v>
      </c>
      <c r="I295" s="240" t="s">
        <v>16755</v>
      </c>
      <c r="J295" s="241">
        <v>0</v>
      </c>
      <c r="K295" s="241">
        <v>0</v>
      </c>
      <c r="L295" s="241">
        <v>1</v>
      </c>
      <c r="M295" s="240" t="s">
        <v>16832</v>
      </c>
      <c r="N295" s="241">
        <v>1</v>
      </c>
      <c r="O295" s="241">
        <v>0</v>
      </c>
      <c r="P295" s="241">
        <v>0</v>
      </c>
      <c r="Q295" s="259" t="s">
        <v>717</v>
      </c>
      <c r="R295" s="251"/>
      <c r="S295" s="244" t="s">
        <v>25834</v>
      </c>
      <c r="T295" s="275" t="s">
        <v>646</v>
      </c>
      <c r="U295" s="275" t="str">
        <f t="shared" si="4"/>
        <v/>
      </c>
      <c r="V295" s="300" t="s">
        <v>27048</v>
      </c>
      <c r="W295" s="295" t="s">
        <v>25835</v>
      </c>
      <c r="X295" s="289"/>
      <c r="Y295" s="289"/>
      <c r="Z295" s="289"/>
      <c r="AA295" s="289"/>
      <c r="AB295" s="289"/>
      <c r="AC295" s="289"/>
      <c r="AD295" s="289"/>
      <c r="AE295" s="289"/>
      <c r="AF295" s="289"/>
      <c r="AG295" s="289"/>
      <c r="AH295" s="289"/>
      <c r="AI295" s="289"/>
      <c r="AJ295" s="289"/>
      <c r="AK295" s="289"/>
      <c r="AL295" s="289"/>
      <c r="AM295" s="289"/>
      <c r="AN295" s="289"/>
      <c r="AO295" s="289"/>
      <c r="AP295" s="289"/>
      <c r="AQ295" s="289"/>
      <c r="AR295" s="289"/>
      <c r="AS295" s="289"/>
      <c r="AT295" s="289"/>
      <c r="AU295" s="289"/>
      <c r="AV295" s="289"/>
      <c r="AW295" s="289"/>
      <c r="AX295" s="289"/>
      <c r="AY295" s="289"/>
      <c r="AZ295" s="290"/>
      <c r="BA295" s="290"/>
      <c r="BB295" s="290"/>
      <c r="BC295" s="290"/>
      <c r="BD295" s="290"/>
      <c r="BE295" s="290"/>
      <c r="BF295" s="290"/>
      <c r="BG295" s="290"/>
      <c r="BH295" s="290"/>
      <c r="BI295" s="290"/>
      <c r="BJ295" s="289"/>
      <c r="BK295" s="290"/>
      <c r="BL295" s="290"/>
    </row>
    <row r="296" spans="1:64" ht="27" customHeight="1" x14ac:dyDescent="0.25">
      <c r="A296" s="310" t="s">
        <v>307</v>
      </c>
      <c r="B296" s="311" t="s">
        <v>639</v>
      </c>
      <c r="C296" s="248" t="s">
        <v>639</v>
      </c>
      <c r="D296" s="249">
        <v>0</v>
      </c>
      <c r="E296" s="257">
        <v>1</v>
      </c>
      <c r="F296" s="258" t="s">
        <v>16753</v>
      </c>
      <c r="G296" s="241">
        <v>0</v>
      </c>
      <c r="H296" s="241">
        <v>1</v>
      </c>
      <c r="I296" s="240" t="s">
        <v>16755</v>
      </c>
      <c r="J296" s="241">
        <v>1</v>
      </c>
      <c r="K296" s="241">
        <v>0</v>
      </c>
      <c r="L296" s="241">
        <v>0</v>
      </c>
      <c r="M296" s="240" t="s">
        <v>16754</v>
      </c>
      <c r="N296" s="241">
        <v>1</v>
      </c>
      <c r="O296" s="241">
        <v>0</v>
      </c>
      <c r="P296" s="241">
        <v>0</v>
      </c>
      <c r="Q296" s="259" t="s">
        <v>717</v>
      </c>
      <c r="R296" s="251"/>
      <c r="S296" s="244" t="s">
        <v>25836</v>
      </c>
      <c r="T296" s="275" t="s">
        <v>646</v>
      </c>
      <c r="U296" s="275" t="str">
        <f t="shared" si="4"/>
        <v/>
      </c>
      <c r="V296" s="300" t="s">
        <v>27049</v>
      </c>
      <c r="W296" s="295" t="s">
        <v>25837</v>
      </c>
      <c r="X296" s="289"/>
      <c r="Y296" s="289"/>
      <c r="Z296" s="289"/>
      <c r="AA296" s="289"/>
      <c r="AB296" s="289"/>
      <c r="AC296" s="289"/>
      <c r="AD296" s="289"/>
      <c r="AE296" s="289"/>
      <c r="AF296" s="289"/>
      <c r="AG296" s="289"/>
      <c r="AH296" s="289"/>
      <c r="AI296" s="289"/>
      <c r="AJ296" s="289"/>
      <c r="AK296" s="289"/>
      <c r="AL296" s="289"/>
      <c r="AM296" s="289"/>
      <c r="AN296" s="289"/>
      <c r="AO296" s="289"/>
      <c r="AP296" s="289"/>
      <c r="AQ296" s="289"/>
      <c r="AR296" s="289"/>
      <c r="AS296" s="289"/>
      <c r="AT296" s="289"/>
      <c r="AU296" s="289"/>
      <c r="AV296" s="289"/>
      <c r="AW296" s="289"/>
      <c r="AX296" s="289"/>
      <c r="AY296" s="289"/>
      <c r="AZ296" s="290"/>
      <c r="BA296" s="290"/>
      <c r="BB296" s="290"/>
      <c r="BC296" s="290"/>
      <c r="BD296" s="290"/>
      <c r="BE296" s="290"/>
      <c r="BF296" s="290"/>
      <c r="BG296" s="290"/>
      <c r="BH296" s="290"/>
      <c r="BI296" s="290"/>
      <c r="BJ296" s="289"/>
      <c r="BK296" s="290"/>
      <c r="BL296" s="290"/>
    </row>
    <row r="297" spans="1:64" ht="27" customHeight="1" x14ac:dyDescent="0.25">
      <c r="A297" s="310" t="s">
        <v>308</v>
      </c>
      <c r="B297" s="311" t="s">
        <v>640</v>
      </c>
      <c r="C297" s="248" t="s">
        <v>640</v>
      </c>
      <c r="D297" s="249">
        <v>0</v>
      </c>
      <c r="E297" s="257">
        <v>1</v>
      </c>
      <c r="F297" s="258" t="s">
        <v>16753</v>
      </c>
      <c r="G297" s="241">
        <v>0</v>
      </c>
      <c r="H297" s="241">
        <v>1</v>
      </c>
      <c r="I297" s="240" t="s">
        <v>16755</v>
      </c>
      <c r="J297" s="241">
        <v>0</v>
      </c>
      <c r="K297" s="241">
        <v>0</v>
      </c>
      <c r="L297" s="241">
        <v>1</v>
      </c>
      <c r="M297" s="240" t="s">
        <v>16832</v>
      </c>
      <c r="N297" s="241">
        <v>1</v>
      </c>
      <c r="O297" s="241">
        <v>0</v>
      </c>
      <c r="P297" s="241">
        <v>0</v>
      </c>
      <c r="Q297" s="259" t="s">
        <v>717</v>
      </c>
      <c r="R297" s="251"/>
      <c r="S297" s="244" t="s">
        <v>25838</v>
      </c>
      <c r="T297" s="275" t="s">
        <v>27145</v>
      </c>
      <c r="U297" s="275" t="str">
        <f t="shared" si="4"/>
        <v>Gender preference This cultural aspect refers to the preferences of clients to deal with either female or male requirements engineers. Liu et al. [54] examined whether the Chinese clients preferred female or male engineers to elicit their requirements because it is believed in the Chi_x0002_nese culture that females are good communicators who can produce excellent work. However, in terms of RE activities, no gender preference was revealed. Instead, the RE activities were assigned based on the requirements engineers’ experi_x0002_ence and expertise. Also, Fernandez-Sanz and Misra [27] stated that there are no signifcant diferences between the performance of men and that of women during requirements analysis.</v>
      </c>
      <c r="V297" s="300" t="s">
        <v>27050</v>
      </c>
      <c r="W297" s="295" t="s">
        <v>25839</v>
      </c>
      <c r="X297" s="289"/>
      <c r="Y297" s="289"/>
      <c r="Z297" s="289"/>
      <c r="AA297" s="289"/>
      <c r="AB297" s="289"/>
      <c r="AC297" s="289"/>
      <c r="AD297" s="289"/>
      <c r="AE297" s="289"/>
      <c r="AF297" s="289"/>
      <c r="AG297" s="289"/>
      <c r="AH297" s="289" t="s">
        <v>27145</v>
      </c>
      <c r="AI297" s="289"/>
      <c r="AJ297" s="289"/>
      <c r="AK297" s="289"/>
      <c r="AL297" s="289"/>
      <c r="AM297" s="289"/>
      <c r="AN297" s="289"/>
      <c r="AO297" s="289"/>
      <c r="AP297" s="289"/>
      <c r="AQ297" s="289"/>
      <c r="AR297" s="289"/>
      <c r="AS297" s="289"/>
      <c r="AT297" s="289"/>
      <c r="AU297" s="289"/>
      <c r="AV297" s="289"/>
      <c r="AW297" s="289"/>
      <c r="AX297" s="289"/>
      <c r="AY297" s="289"/>
      <c r="AZ297" s="290"/>
      <c r="BA297" s="290"/>
      <c r="BB297" s="290"/>
      <c r="BC297" s="290"/>
      <c r="BD297" s="290"/>
      <c r="BE297" s="290"/>
      <c r="BF297" s="290"/>
      <c r="BG297" s="290"/>
      <c r="BH297" s="290"/>
      <c r="BI297" s="290"/>
      <c r="BJ297" s="289"/>
      <c r="BK297" s="290"/>
      <c r="BL297" s="290"/>
    </row>
    <row r="298" spans="1:64" ht="27" customHeight="1" x14ac:dyDescent="0.25">
      <c r="A298" s="310" t="s">
        <v>17315</v>
      </c>
      <c r="B298" s="311" t="s">
        <v>17316</v>
      </c>
      <c r="C298" s="248" t="s">
        <v>17316</v>
      </c>
      <c r="D298" s="249">
        <v>1</v>
      </c>
      <c r="E298" s="257">
        <v>0</v>
      </c>
      <c r="F298" s="258" t="s">
        <v>16764</v>
      </c>
      <c r="G298" s="241">
        <v>0</v>
      </c>
      <c r="H298" s="241">
        <v>1</v>
      </c>
      <c r="I298" s="240" t="s">
        <v>16755</v>
      </c>
      <c r="J298" s="241">
        <v>1</v>
      </c>
      <c r="K298" s="241">
        <v>0</v>
      </c>
      <c r="L298" s="241">
        <v>0</v>
      </c>
      <c r="M298" s="240" t="s">
        <v>16754</v>
      </c>
      <c r="N298" s="241">
        <v>1</v>
      </c>
      <c r="O298" s="241">
        <v>0</v>
      </c>
      <c r="P298" s="241">
        <v>0</v>
      </c>
      <c r="Q298" s="259" t="s">
        <v>717</v>
      </c>
      <c r="R298" s="251"/>
      <c r="S298" s="244" t="s">
        <v>25790</v>
      </c>
      <c r="T298" s="275" t="s">
        <v>17317</v>
      </c>
      <c r="U298" s="275" t="str">
        <f t="shared" si="4"/>
        <v>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v>
      </c>
      <c r="V298" s="300" t="s">
        <v>27051</v>
      </c>
      <c r="W298" s="295"/>
      <c r="X298" s="289"/>
      <c r="Y298" s="289"/>
      <c r="Z298" s="289"/>
      <c r="AA298" s="289"/>
      <c r="AB298" s="289"/>
      <c r="AC298" s="289"/>
      <c r="AD298" s="289" t="s">
        <v>17317</v>
      </c>
      <c r="AE298" s="289"/>
      <c r="AF298" s="289"/>
      <c r="AG298" s="289"/>
      <c r="AH298" s="289"/>
      <c r="AI298" s="289"/>
      <c r="AJ298" s="289"/>
      <c r="AK298" s="289"/>
      <c r="AL298" s="289"/>
      <c r="AM298" s="289"/>
      <c r="AN298" s="289"/>
      <c r="AO298" s="289"/>
      <c r="AP298" s="289"/>
      <c r="AQ298" s="289"/>
      <c r="AR298" s="289"/>
      <c r="AS298" s="289"/>
      <c r="AT298" s="289"/>
      <c r="AU298" s="289"/>
      <c r="AV298" s="289"/>
      <c r="AW298" s="289"/>
      <c r="AX298" s="289"/>
      <c r="AY298" s="289"/>
      <c r="AZ298" s="290"/>
      <c r="BA298" s="290"/>
      <c r="BB298" s="290"/>
      <c r="BC298" s="290"/>
      <c r="BD298" s="290"/>
      <c r="BE298" s="290"/>
      <c r="BF298" s="290"/>
      <c r="BG298" s="290"/>
      <c r="BH298" s="290"/>
      <c r="BI298" s="290"/>
      <c r="BJ298" s="289"/>
      <c r="BK298" s="290"/>
      <c r="BL298" s="290"/>
    </row>
    <row r="299" spans="1:64" ht="27" customHeight="1" x14ac:dyDescent="0.25">
      <c r="A299" s="310" t="s">
        <v>17318</v>
      </c>
      <c r="B299" s="311" t="s">
        <v>17332</v>
      </c>
      <c r="C299" s="248" t="s">
        <v>25800</v>
      </c>
      <c r="D299" s="249">
        <v>0</v>
      </c>
      <c r="E299" s="257">
        <v>1</v>
      </c>
      <c r="F299" s="258" t="s">
        <v>16753</v>
      </c>
      <c r="G299" s="241">
        <v>0</v>
      </c>
      <c r="H299" s="241">
        <v>1</v>
      </c>
      <c r="I299" s="240" t="s">
        <v>16755</v>
      </c>
      <c r="J299" s="241">
        <v>1</v>
      </c>
      <c r="K299" s="241">
        <v>0</v>
      </c>
      <c r="L299" s="241">
        <v>0</v>
      </c>
      <c r="M299" s="240" t="s">
        <v>16754</v>
      </c>
      <c r="N299" s="241">
        <v>1</v>
      </c>
      <c r="O299" s="241">
        <v>0</v>
      </c>
      <c r="P299" s="241">
        <v>0</v>
      </c>
      <c r="Q299" s="259" t="s">
        <v>717</v>
      </c>
      <c r="R299" s="251"/>
      <c r="S299" s="244" t="s">
        <v>25792</v>
      </c>
      <c r="T299" s="275" t="s">
        <v>25791</v>
      </c>
      <c r="U299" s="275" t="str">
        <f t="shared" si="4"/>
        <v>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v>
      </c>
      <c r="V299" s="300" t="s">
        <v>27052</v>
      </c>
      <c r="W299" s="297"/>
      <c r="X299" s="294"/>
      <c r="Y299" s="294"/>
      <c r="Z299" s="294"/>
      <c r="AA299" s="294"/>
      <c r="AB299" s="294"/>
      <c r="AC299" s="294"/>
      <c r="AD299" s="294" t="s">
        <v>25791</v>
      </c>
      <c r="AE299" s="294"/>
      <c r="AF299" s="294"/>
      <c r="AG299" s="294"/>
      <c r="AH299" s="294"/>
      <c r="AI299" s="289"/>
      <c r="AJ299" s="294"/>
      <c r="AK299" s="294"/>
      <c r="AL299" s="294"/>
      <c r="AM299" s="294"/>
      <c r="AN299" s="289"/>
      <c r="AO299" s="289"/>
      <c r="AP299" s="289"/>
      <c r="AQ299" s="289"/>
      <c r="AR299" s="289"/>
      <c r="AS299" s="289"/>
      <c r="AT299" s="289"/>
      <c r="AU299" s="289"/>
      <c r="AV299" s="289"/>
      <c r="AW299" s="289"/>
      <c r="AX299" s="289"/>
      <c r="AY299" s="289"/>
      <c r="AZ299" s="289"/>
      <c r="BA299" s="289"/>
      <c r="BB299" s="289"/>
      <c r="BC299" s="289"/>
      <c r="BD299" s="289"/>
      <c r="BE299" s="290"/>
      <c r="BF299" s="290"/>
      <c r="BG299" s="290"/>
      <c r="BH299" s="290"/>
      <c r="BI299" s="290"/>
      <c r="BJ299" s="289"/>
      <c r="BK299" s="290"/>
      <c r="BL299" s="290"/>
    </row>
    <row r="300" spans="1:64" ht="27" customHeight="1" x14ac:dyDescent="0.25">
      <c r="A300" s="310" t="s">
        <v>17319</v>
      </c>
      <c r="B300" s="311" t="s">
        <v>17333</v>
      </c>
      <c r="C300" s="248" t="s">
        <v>17333</v>
      </c>
      <c r="D300" s="249">
        <v>1</v>
      </c>
      <c r="E300" s="257">
        <v>0</v>
      </c>
      <c r="F300" s="258" t="s">
        <v>16764</v>
      </c>
      <c r="G300" s="241">
        <v>1</v>
      </c>
      <c r="H300" s="241">
        <v>0</v>
      </c>
      <c r="I300" s="240" t="s">
        <v>16765</v>
      </c>
      <c r="J300" s="241">
        <v>0</v>
      </c>
      <c r="K300" s="241">
        <v>0</v>
      </c>
      <c r="L300" s="241">
        <v>1</v>
      </c>
      <c r="M300" s="240" t="s">
        <v>16832</v>
      </c>
      <c r="N300" s="241">
        <v>1</v>
      </c>
      <c r="O300" s="241">
        <v>0</v>
      </c>
      <c r="P300" s="241">
        <v>0</v>
      </c>
      <c r="Q300" s="259" t="s">
        <v>717</v>
      </c>
      <c r="R300" s="251"/>
      <c r="S300" s="244" t="s">
        <v>25794</v>
      </c>
      <c r="T300" s="275" t="s">
        <v>25793</v>
      </c>
      <c r="U300" s="275" t="str">
        <f t="shared" si="4"/>
        <v>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v>
      </c>
      <c r="V300" s="300" t="s">
        <v>27053</v>
      </c>
      <c r="W300" s="297"/>
      <c r="X300" s="294"/>
      <c r="Y300" s="294"/>
      <c r="Z300" s="294"/>
      <c r="AA300" s="294"/>
      <c r="AB300" s="294"/>
      <c r="AC300" s="294"/>
      <c r="AD300" s="294" t="s">
        <v>25793</v>
      </c>
      <c r="AE300" s="294"/>
      <c r="AF300" s="294"/>
      <c r="AG300" s="294"/>
      <c r="AH300" s="294"/>
      <c r="AI300" s="289"/>
      <c r="AJ300" s="294"/>
      <c r="AK300" s="294"/>
      <c r="AL300" s="294"/>
      <c r="AM300" s="294"/>
      <c r="AN300" s="289"/>
      <c r="AO300" s="289"/>
      <c r="AP300" s="289"/>
      <c r="AQ300" s="289"/>
      <c r="AR300" s="289"/>
      <c r="AS300" s="289"/>
      <c r="AT300" s="289"/>
      <c r="AU300" s="289"/>
      <c r="AV300" s="289"/>
      <c r="AW300" s="289"/>
      <c r="AX300" s="289"/>
      <c r="AY300" s="289"/>
      <c r="AZ300" s="289"/>
      <c r="BA300" s="289"/>
      <c r="BB300" s="289"/>
      <c r="BC300" s="289"/>
      <c r="BD300" s="289"/>
      <c r="BE300" s="290"/>
      <c r="BF300" s="290"/>
      <c r="BG300" s="290"/>
      <c r="BH300" s="290"/>
      <c r="BI300" s="290"/>
      <c r="BJ300" s="289"/>
      <c r="BK300" s="290"/>
      <c r="BL300" s="290"/>
    </row>
    <row r="301" spans="1:64" ht="27" customHeight="1" x14ac:dyDescent="0.25">
      <c r="A301" s="310" t="s">
        <v>17320</v>
      </c>
      <c r="B301" s="311" t="s">
        <v>17334</v>
      </c>
      <c r="C301" s="248" t="s">
        <v>17334</v>
      </c>
      <c r="D301" s="249">
        <v>1</v>
      </c>
      <c r="E301" s="257">
        <v>0</v>
      </c>
      <c r="F301" s="258" t="s">
        <v>16764</v>
      </c>
      <c r="G301" s="241">
        <v>1</v>
      </c>
      <c r="H301" s="241">
        <v>0</v>
      </c>
      <c r="I301" s="240" t="s">
        <v>16765</v>
      </c>
      <c r="J301" s="241">
        <v>0</v>
      </c>
      <c r="K301" s="241">
        <v>1</v>
      </c>
      <c r="L301" s="241">
        <v>0</v>
      </c>
      <c r="M301" s="240" t="s">
        <v>16774</v>
      </c>
      <c r="N301" s="241">
        <v>1</v>
      </c>
      <c r="O301" s="241">
        <v>0</v>
      </c>
      <c r="P301" s="241">
        <v>0</v>
      </c>
      <c r="Q301" s="259" t="s">
        <v>717</v>
      </c>
      <c r="R301" s="251"/>
      <c r="S301" s="244" t="s">
        <v>25796</v>
      </c>
      <c r="T301" s="275" t="s">
        <v>25795</v>
      </c>
      <c r="U301" s="275" t="str">
        <f t="shared" si="4"/>
        <v>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v>
      </c>
      <c r="V301" s="300" t="s">
        <v>27054</v>
      </c>
      <c r="W301" s="297"/>
      <c r="X301" s="294"/>
      <c r="Y301" s="294"/>
      <c r="Z301" s="294"/>
      <c r="AA301" s="294"/>
      <c r="AB301" s="294"/>
      <c r="AC301" s="294"/>
      <c r="AD301" s="294" t="s">
        <v>25795</v>
      </c>
      <c r="AE301" s="294"/>
      <c r="AF301" s="294"/>
      <c r="AG301" s="294"/>
      <c r="AH301" s="294"/>
      <c r="AI301" s="289"/>
      <c r="AJ301" s="294"/>
      <c r="AK301" s="294"/>
      <c r="AL301" s="294"/>
      <c r="AM301" s="294"/>
      <c r="AN301" s="289"/>
      <c r="AO301" s="289"/>
      <c r="AP301" s="289"/>
      <c r="AQ301" s="289"/>
      <c r="AR301" s="289"/>
      <c r="AS301" s="289"/>
      <c r="AT301" s="289"/>
      <c r="AU301" s="289"/>
      <c r="AV301" s="289"/>
      <c r="AW301" s="289"/>
      <c r="AX301" s="289"/>
      <c r="AY301" s="289"/>
      <c r="AZ301" s="289"/>
      <c r="BA301" s="289"/>
      <c r="BB301" s="289"/>
      <c r="BC301" s="289"/>
      <c r="BD301" s="289"/>
      <c r="BE301" s="290"/>
      <c r="BF301" s="290"/>
      <c r="BG301" s="290"/>
      <c r="BH301" s="290"/>
      <c r="BI301" s="290"/>
      <c r="BJ301" s="289"/>
      <c r="BK301" s="290"/>
      <c r="BL301" s="290"/>
    </row>
    <row r="302" spans="1:64" ht="27" customHeight="1" x14ac:dyDescent="0.25">
      <c r="A302" s="310" t="s">
        <v>17321</v>
      </c>
      <c r="B302" s="311" t="s">
        <v>17335</v>
      </c>
      <c r="C302" s="248" t="s">
        <v>25799</v>
      </c>
      <c r="D302" s="249">
        <v>0</v>
      </c>
      <c r="E302" s="257">
        <v>1</v>
      </c>
      <c r="F302" s="258" t="s">
        <v>16753</v>
      </c>
      <c r="G302" s="241">
        <v>0</v>
      </c>
      <c r="H302" s="241">
        <v>1</v>
      </c>
      <c r="I302" s="240" t="s">
        <v>16755</v>
      </c>
      <c r="J302" s="241">
        <v>1</v>
      </c>
      <c r="K302" s="241">
        <v>0</v>
      </c>
      <c r="L302" s="241">
        <v>0</v>
      </c>
      <c r="M302" s="240" t="s">
        <v>16754</v>
      </c>
      <c r="N302" s="241">
        <v>1</v>
      </c>
      <c r="O302" s="241">
        <v>0</v>
      </c>
      <c r="P302" s="241">
        <v>0</v>
      </c>
      <c r="Q302" s="259" t="s">
        <v>717</v>
      </c>
      <c r="R302" s="251"/>
      <c r="S302" s="244" t="s">
        <v>25798</v>
      </c>
      <c r="T302" s="275" t="s">
        <v>25797</v>
      </c>
      <c r="U302" s="275" t="str">
        <f t="shared" si="4"/>
        <v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v>
      </c>
      <c r="V302" s="300" t="s">
        <v>27055</v>
      </c>
      <c r="W302" s="297"/>
      <c r="X302" s="294"/>
      <c r="Y302" s="294"/>
      <c r="Z302" s="294"/>
      <c r="AA302" s="294"/>
      <c r="AB302" s="294"/>
      <c r="AC302" s="294"/>
      <c r="AD302" s="294" t="s">
        <v>25797</v>
      </c>
      <c r="AE302" s="294"/>
      <c r="AF302" s="294"/>
      <c r="AG302" s="294"/>
      <c r="AH302" s="294"/>
      <c r="AI302" s="289"/>
      <c r="AJ302" s="294"/>
      <c r="AK302" s="294"/>
      <c r="AL302" s="294"/>
      <c r="AM302" s="294"/>
      <c r="AN302" s="289"/>
      <c r="AO302" s="289"/>
      <c r="AP302" s="289"/>
      <c r="AQ302" s="289"/>
      <c r="AR302" s="289"/>
      <c r="AS302" s="289"/>
      <c r="AT302" s="289"/>
      <c r="AU302" s="289"/>
      <c r="AV302" s="289"/>
      <c r="AW302" s="289"/>
      <c r="AX302" s="289"/>
      <c r="AY302" s="289"/>
      <c r="AZ302" s="289"/>
      <c r="BA302" s="289"/>
      <c r="BB302" s="289"/>
      <c r="BC302" s="289"/>
      <c r="BD302" s="289"/>
      <c r="BE302" s="290"/>
      <c r="BF302" s="290"/>
      <c r="BG302" s="290"/>
      <c r="BH302" s="290"/>
      <c r="BI302" s="290"/>
      <c r="BJ302" s="289"/>
      <c r="BK302" s="290"/>
      <c r="BL302" s="290"/>
    </row>
    <row r="303" spans="1:64" ht="27" customHeight="1" x14ac:dyDescent="0.25">
      <c r="A303" s="310" t="s">
        <v>17322</v>
      </c>
      <c r="B303" s="311" t="s">
        <v>17336</v>
      </c>
      <c r="C303" s="248" t="s">
        <v>17337</v>
      </c>
      <c r="D303" s="249">
        <v>1</v>
      </c>
      <c r="E303" s="257">
        <v>0</v>
      </c>
      <c r="F303" s="258" t="s">
        <v>16764</v>
      </c>
      <c r="G303" s="241">
        <v>1</v>
      </c>
      <c r="H303" s="241">
        <v>0</v>
      </c>
      <c r="I303" s="240" t="s">
        <v>16765</v>
      </c>
      <c r="J303" s="241">
        <v>0</v>
      </c>
      <c r="K303" s="241">
        <v>1</v>
      </c>
      <c r="L303" s="241">
        <v>0</v>
      </c>
      <c r="M303" s="240" t="s">
        <v>16774</v>
      </c>
      <c r="N303" s="241">
        <v>1</v>
      </c>
      <c r="O303" s="241">
        <v>0</v>
      </c>
      <c r="P303" s="241">
        <v>0</v>
      </c>
      <c r="Q303" s="259" t="s">
        <v>717</v>
      </c>
      <c r="R303" s="251"/>
      <c r="S303" s="244" t="s">
        <v>17339</v>
      </c>
      <c r="T303" s="275" t="s">
        <v>17338</v>
      </c>
      <c r="U303" s="275" t="str">
        <f t="shared" si="4"/>
        <v>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v>
      </c>
      <c r="V303" s="300" t="s">
        <v>27056</v>
      </c>
      <c r="W303" s="297"/>
      <c r="X303" s="294"/>
      <c r="Y303" s="294"/>
      <c r="Z303" s="294"/>
      <c r="AA303" s="294"/>
      <c r="AB303" s="294"/>
      <c r="AC303" s="294"/>
      <c r="AD303" s="294" t="s">
        <v>17338</v>
      </c>
      <c r="AE303" s="294"/>
      <c r="AF303" s="294"/>
      <c r="AG303" s="294"/>
      <c r="AH303" s="294"/>
      <c r="AI303" s="289"/>
      <c r="AJ303" s="294"/>
      <c r="AK303" s="294"/>
      <c r="AL303" s="294"/>
      <c r="AM303" s="294"/>
      <c r="AN303" s="289"/>
      <c r="AO303" s="289"/>
      <c r="AP303" s="289"/>
      <c r="AQ303" s="289"/>
      <c r="AR303" s="289"/>
      <c r="AS303" s="289"/>
      <c r="AT303" s="289"/>
      <c r="AU303" s="289"/>
      <c r="AV303" s="289"/>
      <c r="AW303" s="289"/>
      <c r="AX303" s="289"/>
      <c r="AY303" s="289"/>
      <c r="AZ303" s="289"/>
      <c r="BA303" s="289"/>
      <c r="BB303" s="289"/>
      <c r="BC303" s="289"/>
      <c r="BD303" s="289"/>
      <c r="BE303" s="290"/>
      <c r="BF303" s="290"/>
      <c r="BG303" s="290"/>
      <c r="BH303" s="290"/>
      <c r="BI303" s="290"/>
      <c r="BJ303" s="289"/>
      <c r="BK303" s="290"/>
      <c r="BL303" s="290"/>
    </row>
    <row r="304" spans="1:64" ht="27" customHeight="1" x14ac:dyDescent="0.25">
      <c r="A304" s="310" t="s">
        <v>17323</v>
      </c>
      <c r="B304" s="311" t="s">
        <v>17340</v>
      </c>
      <c r="C304" s="248" t="s">
        <v>17340</v>
      </c>
      <c r="D304" s="249">
        <v>0</v>
      </c>
      <c r="E304" s="257">
        <v>1</v>
      </c>
      <c r="F304" s="258" t="s">
        <v>16753</v>
      </c>
      <c r="G304" s="241">
        <v>0</v>
      </c>
      <c r="H304" s="241">
        <v>1</v>
      </c>
      <c r="I304" s="240" t="s">
        <v>16755</v>
      </c>
      <c r="J304" s="241">
        <v>1</v>
      </c>
      <c r="K304" s="241">
        <v>0</v>
      </c>
      <c r="L304" s="241">
        <v>0</v>
      </c>
      <c r="M304" s="240" t="s">
        <v>16754</v>
      </c>
      <c r="N304" s="241">
        <v>1</v>
      </c>
      <c r="O304" s="241">
        <v>0</v>
      </c>
      <c r="P304" s="241">
        <v>0</v>
      </c>
      <c r="Q304" s="259" t="s">
        <v>717</v>
      </c>
      <c r="R304" s="251"/>
      <c r="S304" s="244" t="s">
        <v>25801</v>
      </c>
      <c r="T304" s="275" t="s">
        <v>27138</v>
      </c>
      <c r="U304" s="275" t="str">
        <f t="shared" si="4"/>
        <v>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v>
      </c>
      <c r="V304" s="300" t="s">
        <v>27057</v>
      </c>
      <c r="W304" s="297"/>
      <c r="X304" s="294"/>
      <c r="Y304" s="294"/>
      <c r="Z304" s="294"/>
      <c r="AA304" s="294"/>
      <c r="AB304" s="294"/>
      <c r="AC304" s="294"/>
      <c r="AD304" s="294" t="s">
        <v>27138</v>
      </c>
      <c r="AE304" s="294"/>
      <c r="AF304" s="294"/>
      <c r="AG304" s="294"/>
      <c r="AH304" s="294"/>
      <c r="AI304" s="289"/>
      <c r="AJ304" s="294"/>
      <c r="AK304" s="294"/>
      <c r="AL304" s="294"/>
      <c r="AM304" s="294"/>
      <c r="AN304" s="289"/>
      <c r="AO304" s="289"/>
      <c r="AP304" s="289"/>
      <c r="AQ304" s="289"/>
      <c r="AR304" s="289"/>
      <c r="AS304" s="289"/>
      <c r="AT304" s="289"/>
      <c r="AU304" s="289"/>
      <c r="AV304" s="289"/>
      <c r="AW304" s="289"/>
      <c r="AX304" s="289"/>
      <c r="AY304" s="289"/>
      <c r="AZ304" s="289"/>
      <c r="BA304" s="289"/>
      <c r="BB304" s="289"/>
      <c r="BC304" s="289"/>
      <c r="BD304" s="289"/>
      <c r="BE304" s="290"/>
      <c r="BF304" s="290"/>
      <c r="BG304" s="290"/>
      <c r="BH304" s="290"/>
      <c r="BI304" s="290"/>
      <c r="BJ304" s="289"/>
      <c r="BK304" s="290"/>
      <c r="BL304" s="290"/>
    </row>
    <row r="305" spans="1:65" ht="27" customHeight="1" x14ac:dyDescent="0.25">
      <c r="A305" s="310" t="s">
        <v>17324</v>
      </c>
      <c r="B305" s="311" t="s">
        <v>17341</v>
      </c>
      <c r="C305" s="248" t="s">
        <v>17341</v>
      </c>
      <c r="D305" s="249">
        <v>0</v>
      </c>
      <c r="E305" s="257">
        <v>1</v>
      </c>
      <c r="F305" s="258" t="s">
        <v>16753</v>
      </c>
      <c r="G305" s="241">
        <v>0</v>
      </c>
      <c r="H305" s="241">
        <v>1</v>
      </c>
      <c r="I305" s="240" t="s">
        <v>16755</v>
      </c>
      <c r="J305" s="241">
        <v>1</v>
      </c>
      <c r="K305" s="241">
        <v>0</v>
      </c>
      <c r="L305" s="241">
        <v>0</v>
      </c>
      <c r="M305" s="240" t="s">
        <v>16754</v>
      </c>
      <c r="N305" s="241">
        <v>1</v>
      </c>
      <c r="O305" s="241">
        <v>0</v>
      </c>
      <c r="P305" s="241">
        <v>0</v>
      </c>
      <c r="Q305" s="259" t="s">
        <v>717</v>
      </c>
      <c r="R305" s="251"/>
      <c r="S305" s="244" t="s">
        <v>25802</v>
      </c>
      <c r="T305" s="275" t="s">
        <v>27139</v>
      </c>
      <c r="U305" s="275" t="str">
        <f t="shared" si="4"/>
        <v>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v>
      </c>
      <c r="V305" s="300" t="s">
        <v>27058</v>
      </c>
      <c r="W305" s="297"/>
      <c r="X305" s="294"/>
      <c r="Y305" s="294"/>
      <c r="Z305" s="294"/>
      <c r="AA305" s="294"/>
      <c r="AB305" s="294"/>
      <c r="AC305" s="294"/>
      <c r="AD305" s="294" t="s">
        <v>27139</v>
      </c>
      <c r="AE305" s="294"/>
      <c r="AF305" s="294"/>
      <c r="AG305" s="294"/>
      <c r="AH305" s="294"/>
      <c r="AI305" s="289"/>
      <c r="AJ305" s="294"/>
      <c r="AK305" s="294"/>
      <c r="AL305" s="294"/>
      <c r="AM305" s="294"/>
      <c r="AN305" s="289"/>
      <c r="AO305" s="289"/>
      <c r="AP305" s="289"/>
      <c r="AQ305" s="289"/>
      <c r="AR305" s="289"/>
      <c r="AS305" s="289"/>
      <c r="AT305" s="289"/>
      <c r="AU305" s="289"/>
      <c r="AV305" s="289"/>
      <c r="AW305" s="289"/>
      <c r="AX305" s="289"/>
      <c r="AY305" s="289"/>
      <c r="AZ305" s="289"/>
      <c r="BA305" s="289"/>
      <c r="BB305" s="289"/>
      <c r="BC305" s="289"/>
      <c r="BD305" s="289"/>
      <c r="BE305" s="290"/>
      <c r="BF305" s="290"/>
      <c r="BG305" s="290"/>
      <c r="BH305" s="290"/>
      <c r="BI305" s="290"/>
      <c r="BJ305" s="289"/>
      <c r="BK305" s="290"/>
      <c r="BL305" s="290"/>
    </row>
    <row r="306" spans="1:65" ht="27" customHeight="1" x14ac:dyDescent="0.25">
      <c r="A306" s="310" t="s">
        <v>17325</v>
      </c>
      <c r="B306" s="311" t="s">
        <v>17343</v>
      </c>
      <c r="C306" s="252" t="s">
        <v>17360</v>
      </c>
      <c r="D306" s="249">
        <v>1</v>
      </c>
      <c r="E306" s="257">
        <v>0</v>
      </c>
      <c r="F306" s="258" t="s">
        <v>16764</v>
      </c>
      <c r="G306" s="241">
        <v>1</v>
      </c>
      <c r="H306" s="241">
        <v>0</v>
      </c>
      <c r="I306" s="240" t="s">
        <v>16765</v>
      </c>
      <c r="J306" s="241">
        <v>0</v>
      </c>
      <c r="K306" s="241">
        <v>1</v>
      </c>
      <c r="L306" s="241">
        <v>0</v>
      </c>
      <c r="M306" s="240" t="s">
        <v>16774</v>
      </c>
      <c r="N306" s="241">
        <v>1</v>
      </c>
      <c r="O306" s="241">
        <v>0</v>
      </c>
      <c r="P306" s="241">
        <v>0</v>
      </c>
      <c r="Q306" s="259" t="s">
        <v>717</v>
      </c>
      <c r="R306" s="251"/>
      <c r="S306" s="244" t="s">
        <v>25840</v>
      </c>
      <c r="T306" s="275" t="s">
        <v>646</v>
      </c>
      <c r="U306" s="275" t="str">
        <f t="shared" si="4"/>
        <v/>
      </c>
      <c r="V306" s="300" t="s">
        <v>27059</v>
      </c>
      <c r="W306" s="297" t="s">
        <v>25841</v>
      </c>
      <c r="X306" s="294"/>
      <c r="Y306" s="294"/>
      <c r="Z306" s="294"/>
      <c r="AA306" s="294"/>
      <c r="AB306" s="294"/>
      <c r="AC306" s="294"/>
      <c r="AD306" s="294"/>
      <c r="AE306" s="294"/>
      <c r="AF306" s="294"/>
      <c r="AG306" s="294"/>
      <c r="AH306" s="294"/>
      <c r="AI306" s="289"/>
      <c r="AJ306" s="294"/>
      <c r="AK306" s="294"/>
      <c r="AL306" s="294"/>
      <c r="AM306" s="294"/>
      <c r="AN306" s="289"/>
      <c r="AO306" s="289"/>
      <c r="AP306" s="289"/>
      <c r="AQ306" s="289"/>
      <c r="AR306" s="289"/>
      <c r="AS306" s="289"/>
      <c r="AT306" s="289"/>
      <c r="AU306" s="289"/>
      <c r="AV306" s="289"/>
      <c r="AW306" s="289"/>
      <c r="AX306" s="289"/>
      <c r="AY306" s="289"/>
      <c r="AZ306" s="289"/>
      <c r="BA306" s="289"/>
      <c r="BB306" s="289"/>
      <c r="BC306" s="289"/>
      <c r="BD306" s="289"/>
      <c r="BE306" s="290"/>
      <c r="BF306" s="290"/>
      <c r="BG306" s="290"/>
      <c r="BH306" s="290"/>
      <c r="BI306" s="290"/>
      <c r="BJ306" s="289"/>
      <c r="BK306" s="290"/>
      <c r="BL306" s="290"/>
    </row>
    <row r="307" spans="1:65" ht="27" customHeight="1" x14ac:dyDescent="0.25">
      <c r="A307" s="310" t="s">
        <v>17326</v>
      </c>
      <c r="B307" s="311" t="s">
        <v>17349</v>
      </c>
      <c r="C307" s="252" t="s">
        <v>17350</v>
      </c>
      <c r="D307" s="249">
        <v>1</v>
      </c>
      <c r="E307" s="257">
        <v>0</v>
      </c>
      <c r="F307" s="258" t="s">
        <v>16764</v>
      </c>
      <c r="G307" s="241">
        <v>0</v>
      </c>
      <c r="H307" s="241">
        <v>1</v>
      </c>
      <c r="I307" s="240" t="s">
        <v>16755</v>
      </c>
      <c r="J307" s="241">
        <v>1</v>
      </c>
      <c r="K307" s="241">
        <v>0</v>
      </c>
      <c r="L307" s="241">
        <v>0</v>
      </c>
      <c r="M307" s="240" t="s">
        <v>16754</v>
      </c>
      <c r="N307" s="241">
        <v>1</v>
      </c>
      <c r="O307" s="241">
        <v>0</v>
      </c>
      <c r="P307" s="241">
        <v>0</v>
      </c>
      <c r="Q307" s="259" t="s">
        <v>717</v>
      </c>
      <c r="R307" s="251"/>
      <c r="S307" s="244" t="s">
        <v>25803</v>
      </c>
      <c r="T307" s="275" t="s">
        <v>27240</v>
      </c>
      <c r="U307" s="275" t="str">
        <f t="shared" si="4"/>
        <v>Represent elements of task uncertainty that have been the basis of many studies of organizational structure and process.|| Next refer.:A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v>
      </c>
      <c r="V307" s="300" t="s">
        <v>27060</v>
      </c>
      <c r="W307" s="297"/>
      <c r="X307" s="294" t="s">
        <v>17396</v>
      </c>
      <c r="Y307" s="294"/>
      <c r="Z307" s="294"/>
      <c r="AA307" s="294" t="s">
        <v>17351</v>
      </c>
      <c r="AB307" s="294"/>
      <c r="AC307" s="294"/>
      <c r="AD307" s="294"/>
      <c r="AE307" s="294"/>
      <c r="AF307" s="294"/>
      <c r="AG307" s="294"/>
      <c r="AH307" s="294"/>
      <c r="AI307" s="289"/>
      <c r="AJ307" s="294"/>
      <c r="AK307" s="294"/>
      <c r="AL307" s="294"/>
      <c r="AM307" s="294"/>
      <c r="AN307" s="289"/>
      <c r="AO307" s="289"/>
      <c r="AP307" s="289"/>
      <c r="AQ307" s="289"/>
      <c r="AR307" s="289"/>
      <c r="AS307" s="289"/>
      <c r="AT307" s="289"/>
      <c r="AU307" s="289"/>
      <c r="AV307" s="289"/>
      <c r="AW307" s="289"/>
      <c r="AX307" s="289"/>
      <c r="AY307" s="289"/>
      <c r="AZ307" s="289"/>
      <c r="BA307" s="289"/>
      <c r="BB307" s="289"/>
      <c r="BC307" s="289"/>
      <c r="BD307" s="289"/>
      <c r="BE307" s="290"/>
      <c r="BF307" s="290"/>
      <c r="BG307" s="290"/>
      <c r="BH307" s="290"/>
      <c r="BI307" s="290"/>
      <c r="BJ307" s="289"/>
      <c r="BK307" s="290"/>
      <c r="BL307" s="290"/>
    </row>
    <row r="308" spans="1:65" ht="27" customHeight="1" x14ac:dyDescent="0.25">
      <c r="A308" s="310" t="s">
        <v>17327</v>
      </c>
      <c r="B308" s="311" t="s">
        <v>17352</v>
      </c>
      <c r="C308" s="252" t="s">
        <v>17353</v>
      </c>
      <c r="D308" s="249">
        <v>1</v>
      </c>
      <c r="E308" s="257">
        <v>0</v>
      </c>
      <c r="F308" s="258" t="s">
        <v>16764</v>
      </c>
      <c r="G308" s="241">
        <v>0</v>
      </c>
      <c r="H308" s="241">
        <v>1</v>
      </c>
      <c r="I308" s="240" t="s">
        <v>16755</v>
      </c>
      <c r="J308" s="241">
        <v>1</v>
      </c>
      <c r="K308" s="241">
        <v>0</v>
      </c>
      <c r="L308" s="241">
        <v>0</v>
      </c>
      <c r="M308" s="240" t="s">
        <v>16754</v>
      </c>
      <c r="N308" s="241">
        <v>1</v>
      </c>
      <c r="O308" s="241">
        <v>0</v>
      </c>
      <c r="P308" s="241">
        <v>0</v>
      </c>
      <c r="Q308" s="259" t="s">
        <v>717</v>
      </c>
      <c r="R308" s="251"/>
      <c r="S308" s="244" t="s">
        <v>25806</v>
      </c>
      <c r="T308" s="275" t="s">
        <v>25804</v>
      </c>
      <c r="U308" s="275" t="str">
        <f t="shared" si="4"/>
        <v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v>
      </c>
      <c r="V308" s="300" t="s">
        <v>27061</v>
      </c>
      <c r="W308" s="297"/>
      <c r="X308" s="294"/>
      <c r="Y308" s="294"/>
      <c r="Z308" s="294"/>
      <c r="AA308" s="294" t="s">
        <v>25804</v>
      </c>
      <c r="AB308" s="294"/>
      <c r="AC308" s="294"/>
      <c r="AD308" s="294"/>
      <c r="AE308" s="294"/>
      <c r="AF308" s="294"/>
      <c r="AG308" s="294"/>
      <c r="AH308" s="294"/>
      <c r="AI308" s="289"/>
      <c r="AJ308" s="294"/>
      <c r="AK308" s="294"/>
      <c r="AL308" s="294"/>
      <c r="AM308" s="294"/>
      <c r="AN308" s="289"/>
      <c r="AO308" s="289"/>
      <c r="AP308" s="289"/>
      <c r="AQ308" s="289"/>
      <c r="AR308" s="289"/>
      <c r="AS308" s="289"/>
      <c r="AT308" s="289"/>
      <c r="AU308" s="289"/>
      <c r="AV308" s="289"/>
      <c r="AW308" s="289"/>
      <c r="AX308" s="289"/>
      <c r="AY308" s="289"/>
      <c r="AZ308" s="289"/>
      <c r="BA308" s="289"/>
      <c r="BB308" s="289"/>
      <c r="BC308" s="289"/>
      <c r="BD308" s="289"/>
      <c r="BE308" s="290"/>
      <c r="BF308" s="290"/>
      <c r="BG308" s="290"/>
      <c r="BH308" s="290"/>
      <c r="BI308" s="290"/>
      <c r="BJ308" s="289"/>
      <c r="BK308" s="290"/>
      <c r="BL308" s="290"/>
    </row>
    <row r="309" spans="1:65" ht="27" customHeight="1" x14ac:dyDescent="0.25">
      <c r="A309" s="310" t="s">
        <v>17328</v>
      </c>
      <c r="B309" s="311" t="s">
        <v>17354</v>
      </c>
      <c r="C309" s="252" t="s">
        <v>17355</v>
      </c>
      <c r="D309" s="249">
        <v>0</v>
      </c>
      <c r="E309" s="257">
        <v>1</v>
      </c>
      <c r="F309" s="258" t="s">
        <v>16753</v>
      </c>
      <c r="G309" s="241">
        <v>0</v>
      </c>
      <c r="H309" s="241">
        <v>1</v>
      </c>
      <c r="I309" s="240" t="s">
        <v>16755</v>
      </c>
      <c r="J309" s="241">
        <v>1</v>
      </c>
      <c r="K309" s="241">
        <v>0</v>
      </c>
      <c r="L309" s="241">
        <v>0</v>
      </c>
      <c r="M309" s="240" t="s">
        <v>16754</v>
      </c>
      <c r="N309" s="241">
        <v>1</v>
      </c>
      <c r="O309" s="241">
        <v>0</v>
      </c>
      <c r="P309" s="241">
        <v>0</v>
      </c>
      <c r="Q309" s="259" t="s">
        <v>717</v>
      </c>
      <c r="R309" s="251"/>
      <c r="S309" s="244" t="s">
        <v>25807</v>
      </c>
      <c r="T309" s="275" t="s">
        <v>17356</v>
      </c>
      <c r="U309" s="275" t="str">
        <f t="shared" si="4"/>
        <v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v>
      </c>
      <c r="V309" s="300" t="s">
        <v>27062</v>
      </c>
      <c r="W309" s="297"/>
      <c r="X309" s="294"/>
      <c r="Y309" s="294"/>
      <c r="Z309" s="294"/>
      <c r="AA309" s="294" t="s">
        <v>17356</v>
      </c>
      <c r="AB309" s="294"/>
      <c r="AC309" s="294"/>
      <c r="AD309" s="294"/>
      <c r="AE309" s="294"/>
      <c r="AF309" s="294"/>
      <c r="AG309" s="294"/>
      <c r="AH309" s="294"/>
      <c r="AI309" s="289"/>
      <c r="AJ309" s="294"/>
      <c r="AK309" s="294"/>
      <c r="AL309" s="294"/>
      <c r="AM309" s="294"/>
      <c r="AN309" s="289"/>
      <c r="AO309" s="289"/>
      <c r="AP309" s="289"/>
      <c r="AQ309" s="289"/>
      <c r="AR309" s="289"/>
      <c r="AS309" s="289"/>
      <c r="AT309" s="289"/>
      <c r="AU309" s="289"/>
      <c r="AV309" s="289"/>
      <c r="AW309" s="289"/>
      <c r="AX309" s="289"/>
      <c r="AY309" s="289"/>
      <c r="AZ309" s="289"/>
      <c r="BA309" s="289"/>
      <c r="BB309" s="289"/>
      <c r="BC309" s="289"/>
      <c r="BD309" s="289"/>
      <c r="BE309" s="290"/>
      <c r="BF309" s="290"/>
      <c r="BG309" s="290"/>
      <c r="BH309" s="290"/>
      <c r="BI309" s="290"/>
      <c r="BJ309" s="289"/>
      <c r="BK309" s="290"/>
      <c r="BL309" s="290"/>
    </row>
    <row r="310" spans="1:65" ht="27" customHeight="1" x14ac:dyDescent="0.25">
      <c r="A310" s="310" t="s">
        <v>17329</v>
      </c>
      <c r="B310" s="311" t="s">
        <v>17358</v>
      </c>
      <c r="C310" s="252" t="s">
        <v>17357</v>
      </c>
      <c r="D310" s="249">
        <v>0</v>
      </c>
      <c r="E310" s="257">
        <v>1</v>
      </c>
      <c r="F310" s="258" t="s">
        <v>16753</v>
      </c>
      <c r="G310" s="241">
        <v>0</v>
      </c>
      <c r="H310" s="241">
        <v>1</v>
      </c>
      <c r="I310" s="240" t="s">
        <v>16755</v>
      </c>
      <c r="J310" s="241">
        <v>1</v>
      </c>
      <c r="K310" s="241">
        <v>0</v>
      </c>
      <c r="L310" s="241">
        <v>0</v>
      </c>
      <c r="M310" s="240" t="s">
        <v>16754</v>
      </c>
      <c r="N310" s="241">
        <v>0</v>
      </c>
      <c r="O310" s="241">
        <v>1</v>
      </c>
      <c r="P310" s="241">
        <v>0</v>
      </c>
      <c r="Q310" s="259" t="s">
        <v>16827</v>
      </c>
      <c r="R310" s="251"/>
      <c r="S310" s="244" t="s">
        <v>25805</v>
      </c>
      <c r="T310" s="275" t="s">
        <v>17359</v>
      </c>
      <c r="U310" s="275" t="str">
        <f t="shared" si="4"/>
        <v>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v>
      </c>
      <c r="V310" s="300" t="s">
        <v>27063</v>
      </c>
      <c r="W310" s="297"/>
      <c r="X310" s="294"/>
      <c r="Y310" s="294"/>
      <c r="Z310" s="294"/>
      <c r="AA310" s="294" t="s">
        <v>17359</v>
      </c>
      <c r="AB310" s="294"/>
      <c r="AC310" s="294"/>
      <c r="AD310" s="294"/>
      <c r="AE310" s="294"/>
      <c r="AF310" s="294"/>
      <c r="AG310" s="294"/>
      <c r="AH310" s="294"/>
      <c r="AI310" s="289"/>
      <c r="AJ310" s="294"/>
      <c r="AK310" s="294"/>
      <c r="AL310" s="294"/>
      <c r="AM310" s="294"/>
      <c r="AN310" s="289"/>
      <c r="AO310" s="289"/>
      <c r="AP310" s="289"/>
      <c r="AQ310" s="289"/>
      <c r="AR310" s="289"/>
      <c r="AS310" s="289"/>
      <c r="AT310" s="289"/>
      <c r="AU310" s="289"/>
      <c r="AV310" s="289"/>
      <c r="AW310" s="289"/>
      <c r="AX310" s="289"/>
      <c r="AY310" s="289"/>
      <c r="AZ310" s="289"/>
      <c r="BA310" s="289"/>
      <c r="BB310" s="289"/>
      <c r="BC310" s="289"/>
      <c r="BD310" s="289"/>
      <c r="BE310" s="290"/>
      <c r="BF310" s="290"/>
      <c r="BG310" s="290"/>
      <c r="BH310" s="290"/>
      <c r="BI310" s="290"/>
      <c r="BJ310" s="289"/>
      <c r="BK310" s="290"/>
      <c r="BL310" s="290"/>
    </row>
    <row r="311" spans="1:65" ht="27" customHeight="1" x14ac:dyDescent="0.25">
      <c r="A311" s="310" t="s">
        <v>17330</v>
      </c>
      <c r="B311" s="311" t="s">
        <v>17366</v>
      </c>
      <c r="C311" s="252" t="s">
        <v>17366</v>
      </c>
      <c r="D311" s="249">
        <v>0</v>
      </c>
      <c r="E311" s="257">
        <v>1</v>
      </c>
      <c r="F311" s="258" t="s">
        <v>16753</v>
      </c>
      <c r="G311" s="241">
        <v>0</v>
      </c>
      <c r="H311" s="241">
        <v>1</v>
      </c>
      <c r="I311" s="240" t="s">
        <v>16755</v>
      </c>
      <c r="J311" s="241">
        <v>0</v>
      </c>
      <c r="K311" s="241">
        <v>0</v>
      </c>
      <c r="L311" s="241">
        <v>1</v>
      </c>
      <c r="M311" s="240" t="s">
        <v>16832</v>
      </c>
      <c r="N311" s="241">
        <v>1</v>
      </c>
      <c r="O311" s="241">
        <v>0</v>
      </c>
      <c r="P311" s="241">
        <v>0</v>
      </c>
      <c r="Q311" s="259" t="s">
        <v>717</v>
      </c>
      <c r="R311" s="251"/>
      <c r="S311" s="244" t="s">
        <v>25824</v>
      </c>
      <c r="T311" s="275" t="s">
        <v>646</v>
      </c>
      <c r="U311" s="275" t="str">
        <f t="shared" si="4"/>
        <v/>
      </c>
      <c r="V311" s="300" t="s">
        <v>27064</v>
      </c>
      <c r="W311" s="297" t="s">
        <v>25822</v>
      </c>
      <c r="X311" s="294"/>
      <c r="Y311" s="294"/>
      <c r="Z311" s="294"/>
      <c r="AA311" s="294"/>
      <c r="AB311" s="294"/>
      <c r="AC311" s="294"/>
      <c r="AD311" s="294"/>
      <c r="AE311" s="294"/>
      <c r="AF311" s="294"/>
      <c r="AG311" s="294"/>
      <c r="AH311" s="294"/>
      <c r="AI311" s="289"/>
      <c r="AJ311" s="294"/>
      <c r="AK311" s="294"/>
      <c r="AL311" s="294"/>
      <c r="AM311" s="294"/>
      <c r="AN311" s="289"/>
      <c r="AO311" s="289"/>
      <c r="AP311" s="289"/>
      <c r="AQ311" s="289"/>
      <c r="AR311" s="289"/>
      <c r="AS311" s="289"/>
      <c r="AT311" s="289"/>
      <c r="AU311" s="289"/>
      <c r="AV311" s="289"/>
      <c r="AW311" s="289"/>
      <c r="AX311" s="289"/>
      <c r="AY311" s="289"/>
      <c r="AZ311" s="289"/>
      <c r="BA311" s="289"/>
      <c r="BB311" s="289"/>
      <c r="BC311" s="289"/>
      <c r="BD311" s="289"/>
      <c r="BE311" s="290"/>
      <c r="BF311" s="290"/>
      <c r="BG311" s="290"/>
      <c r="BH311" s="290"/>
      <c r="BI311" s="290"/>
      <c r="BJ311" s="289"/>
      <c r="BK311" s="290"/>
      <c r="BL311" s="290"/>
      <c r="BM311" s="276"/>
    </row>
    <row r="312" spans="1:65" ht="27" customHeight="1" x14ac:dyDescent="0.25">
      <c r="A312" s="310" t="s">
        <v>17331</v>
      </c>
      <c r="B312" s="311" t="s">
        <v>17367</v>
      </c>
      <c r="C312" s="252" t="s">
        <v>17367</v>
      </c>
      <c r="D312" s="249">
        <v>1</v>
      </c>
      <c r="E312" s="257">
        <v>0</v>
      </c>
      <c r="F312" s="258" t="s">
        <v>16764</v>
      </c>
      <c r="G312" s="241">
        <v>0</v>
      </c>
      <c r="H312" s="241">
        <v>1</v>
      </c>
      <c r="I312" s="240" t="s">
        <v>16755</v>
      </c>
      <c r="J312" s="241">
        <v>1</v>
      </c>
      <c r="K312" s="241">
        <v>0</v>
      </c>
      <c r="L312" s="241">
        <v>0</v>
      </c>
      <c r="M312" s="240" t="s">
        <v>16754</v>
      </c>
      <c r="N312" s="241">
        <v>0</v>
      </c>
      <c r="O312" s="241">
        <v>1</v>
      </c>
      <c r="P312" s="241">
        <v>0</v>
      </c>
      <c r="Q312" s="259" t="s">
        <v>16827</v>
      </c>
      <c r="R312" s="251"/>
      <c r="S312" s="244" t="s">
        <v>26570</v>
      </c>
      <c r="T312" s="275" t="s">
        <v>646</v>
      </c>
      <c r="U312" s="275" t="str">
        <f t="shared" si="4"/>
        <v/>
      </c>
      <c r="V312" s="300" t="s">
        <v>27065</v>
      </c>
      <c r="W312" s="297" t="s">
        <v>26569</v>
      </c>
      <c r="X312" s="294"/>
      <c r="Y312" s="294"/>
      <c r="Z312" s="294"/>
      <c r="AA312" s="294"/>
      <c r="AB312" s="294"/>
      <c r="AC312" s="294"/>
      <c r="AD312" s="294"/>
      <c r="AE312" s="294"/>
      <c r="AF312" s="294"/>
      <c r="AG312" s="294"/>
      <c r="AH312" s="294"/>
      <c r="AI312" s="289"/>
      <c r="AJ312" s="294"/>
      <c r="AK312" s="294"/>
      <c r="AL312" s="294"/>
      <c r="AM312" s="294"/>
      <c r="AN312" s="289"/>
      <c r="AO312" s="289"/>
      <c r="AP312" s="289"/>
      <c r="AQ312" s="289"/>
      <c r="AR312" s="289"/>
      <c r="AS312" s="289"/>
      <c r="AT312" s="289"/>
      <c r="AU312" s="289"/>
      <c r="AV312" s="289"/>
      <c r="AW312" s="289"/>
      <c r="AX312" s="289"/>
      <c r="AY312" s="289"/>
      <c r="AZ312" s="289"/>
      <c r="BA312" s="289"/>
      <c r="BB312" s="289"/>
      <c r="BC312" s="289"/>
      <c r="BD312" s="289"/>
      <c r="BE312" s="290"/>
      <c r="BF312" s="290"/>
      <c r="BG312" s="290"/>
      <c r="BH312" s="290"/>
      <c r="BI312" s="290"/>
      <c r="BJ312" s="289"/>
      <c r="BK312" s="290"/>
      <c r="BL312" s="290"/>
      <c r="BM312" s="276"/>
    </row>
    <row r="313" spans="1:65" ht="27" customHeight="1" x14ac:dyDescent="0.25">
      <c r="A313" s="310" t="s">
        <v>17369</v>
      </c>
      <c r="B313" s="311" t="s">
        <v>17374</v>
      </c>
      <c r="C313" s="248" t="s">
        <v>17374</v>
      </c>
      <c r="D313" s="249">
        <v>0</v>
      </c>
      <c r="E313" s="257">
        <v>1</v>
      </c>
      <c r="F313" s="258" t="s">
        <v>16753</v>
      </c>
      <c r="G313" s="241">
        <v>1</v>
      </c>
      <c r="H313" s="241">
        <v>0</v>
      </c>
      <c r="I313" s="240" t="s">
        <v>16765</v>
      </c>
      <c r="J313" s="241">
        <v>0</v>
      </c>
      <c r="K313" s="241">
        <v>1</v>
      </c>
      <c r="L313" s="241">
        <v>0</v>
      </c>
      <c r="M313" s="240" t="s">
        <v>16774</v>
      </c>
      <c r="N313" s="241">
        <v>0</v>
      </c>
      <c r="O313" s="241">
        <v>1</v>
      </c>
      <c r="P313" s="241">
        <v>0</v>
      </c>
      <c r="Q313" s="259" t="s">
        <v>16827</v>
      </c>
      <c r="R313" s="251"/>
      <c r="S313" s="244" t="s">
        <v>25842</v>
      </c>
      <c r="T313" s="275" t="s">
        <v>646</v>
      </c>
      <c r="U313" s="275" t="str">
        <f t="shared" si="4"/>
        <v/>
      </c>
      <c r="V313" s="300" t="s">
        <v>27066</v>
      </c>
      <c r="W313" s="297" t="s">
        <v>25843</v>
      </c>
      <c r="X313" s="294"/>
      <c r="Y313" s="294"/>
      <c r="Z313" s="294"/>
      <c r="AA313" s="294"/>
      <c r="AB313" s="294"/>
      <c r="AC313" s="294"/>
      <c r="AD313" s="294"/>
      <c r="AE313" s="294"/>
      <c r="AF313" s="294"/>
      <c r="AG313" s="294"/>
      <c r="AH313" s="294"/>
      <c r="AI313" s="289"/>
      <c r="AJ313" s="294"/>
      <c r="AK313" s="294"/>
      <c r="AL313" s="294"/>
      <c r="AM313" s="294"/>
      <c r="AN313" s="289"/>
      <c r="AO313" s="289"/>
      <c r="AP313" s="289"/>
      <c r="AQ313" s="289"/>
      <c r="AR313" s="289"/>
      <c r="AS313" s="289"/>
      <c r="AT313" s="289"/>
      <c r="AU313" s="289"/>
      <c r="AV313" s="289"/>
      <c r="AW313" s="289"/>
      <c r="AX313" s="289"/>
      <c r="AY313" s="289"/>
      <c r="AZ313" s="289"/>
      <c r="BA313" s="289"/>
      <c r="BB313" s="289"/>
      <c r="BC313" s="289"/>
      <c r="BD313" s="289"/>
      <c r="BE313" s="290"/>
      <c r="BF313" s="290"/>
      <c r="BG313" s="290"/>
      <c r="BH313" s="290"/>
      <c r="BI313" s="290"/>
      <c r="BJ313" s="289"/>
      <c r="BK313" s="290"/>
      <c r="BL313" s="290"/>
      <c r="BM313" s="276"/>
    </row>
    <row r="314" spans="1:65" ht="27" customHeight="1" x14ac:dyDescent="0.25">
      <c r="A314" s="310" t="s">
        <v>17370</v>
      </c>
      <c r="B314" s="311" t="s">
        <v>17375</v>
      </c>
      <c r="C314" s="248" t="s">
        <v>17375</v>
      </c>
      <c r="D314" s="249">
        <v>1</v>
      </c>
      <c r="E314" s="257">
        <v>0</v>
      </c>
      <c r="F314" s="258" t="s">
        <v>16764</v>
      </c>
      <c r="G314" s="241">
        <v>1</v>
      </c>
      <c r="H314" s="241">
        <v>0</v>
      </c>
      <c r="I314" s="240" t="s">
        <v>16765</v>
      </c>
      <c r="J314" s="241">
        <v>0</v>
      </c>
      <c r="K314" s="241">
        <v>1</v>
      </c>
      <c r="L314" s="241">
        <v>0</v>
      </c>
      <c r="M314" s="240" t="s">
        <v>16774</v>
      </c>
      <c r="N314" s="241">
        <v>0</v>
      </c>
      <c r="O314" s="241">
        <v>1</v>
      </c>
      <c r="P314" s="241">
        <v>0</v>
      </c>
      <c r="Q314" s="259" t="s">
        <v>16827</v>
      </c>
      <c r="R314" s="251"/>
      <c r="S314" s="244" t="s">
        <v>25844</v>
      </c>
      <c r="T314" s="275" t="s">
        <v>646</v>
      </c>
      <c r="U314" s="275" t="str">
        <f t="shared" si="4"/>
        <v/>
      </c>
      <c r="V314" s="300" t="s">
        <v>27067</v>
      </c>
      <c r="W314" s="297" t="s">
        <v>25845</v>
      </c>
      <c r="X314" s="294"/>
      <c r="Y314" s="294"/>
      <c r="Z314" s="294"/>
      <c r="AA314" s="294"/>
      <c r="AB314" s="294"/>
      <c r="AC314" s="294"/>
      <c r="AD314" s="294"/>
      <c r="AE314" s="294"/>
      <c r="AF314" s="294"/>
      <c r="AG314" s="294"/>
      <c r="AH314" s="294"/>
      <c r="AI314" s="289"/>
      <c r="AJ314" s="294"/>
      <c r="AK314" s="294"/>
      <c r="AL314" s="294"/>
      <c r="AM314" s="294"/>
      <c r="AN314" s="289"/>
      <c r="AO314" s="289"/>
      <c r="AP314" s="289"/>
      <c r="AQ314" s="289"/>
      <c r="AR314" s="289"/>
      <c r="AS314" s="289"/>
      <c r="AT314" s="289"/>
      <c r="AU314" s="289"/>
      <c r="AV314" s="289"/>
      <c r="AW314" s="289"/>
      <c r="AX314" s="289"/>
      <c r="AY314" s="289"/>
      <c r="AZ314" s="289"/>
      <c r="BA314" s="289"/>
      <c r="BB314" s="289"/>
      <c r="BC314" s="289"/>
      <c r="BD314" s="289"/>
      <c r="BE314" s="290"/>
      <c r="BF314" s="290"/>
      <c r="BG314" s="290"/>
      <c r="BH314" s="290"/>
      <c r="BI314" s="290"/>
      <c r="BJ314" s="289"/>
      <c r="BK314" s="290"/>
      <c r="BL314" s="290"/>
      <c r="BM314" s="276"/>
    </row>
    <row r="315" spans="1:65" ht="27" customHeight="1" x14ac:dyDescent="0.25">
      <c r="A315" s="310" t="s">
        <v>17371</v>
      </c>
      <c r="B315" s="311" t="s">
        <v>25846</v>
      </c>
      <c r="C315" s="248" t="s">
        <v>17376</v>
      </c>
      <c r="D315" s="249">
        <v>0</v>
      </c>
      <c r="E315" s="257">
        <v>1</v>
      </c>
      <c r="F315" s="258" t="s">
        <v>16753</v>
      </c>
      <c r="G315" s="241">
        <v>0</v>
      </c>
      <c r="H315" s="241">
        <v>1</v>
      </c>
      <c r="I315" s="240" t="s">
        <v>16755</v>
      </c>
      <c r="J315" s="241">
        <v>0</v>
      </c>
      <c r="K315" s="241">
        <v>0</v>
      </c>
      <c r="L315" s="241">
        <v>1</v>
      </c>
      <c r="M315" s="240" t="s">
        <v>16832</v>
      </c>
      <c r="N315" s="241">
        <v>0</v>
      </c>
      <c r="O315" s="241">
        <v>1</v>
      </c>
      <c r="P315" s="241">
        <v>0</v>
      </c>
      <c r="Q315" s="259" t="s">
        <v>16827</v>
      </c>
      <c r="R315" s="251"/>
      <c r="S315" s="244" t="s">
        <v>25847</v>
      </c>
      <c r="T315" s="275" t="s">
        <v>646</v>
      </c>
      <c r="U315" s="275" t="str">
        <f t="shared" si="4"/>
        <v/>
      </c>
      <c r="V315" s="300" t="s">
        <v>27068</v>
      </c>
      <c r="W315" s="297" t="s">
        <v>25848</v>
      </c>
      <c r="X315" s="294"/>
      <c r="Y315" s="294"/>
      <c r="Z315" s="294"/>
      <c r="AA315" s="294"/>
      <c r="AB315" s="294"/>
      <c r="AC315" s="294"/>
      <c r="AD315" s="294"/>
      <c r="AE315" s="294"/>
      <c r="AF315" s="294"/>
      <c r="AG315" s="294"/>
      <c r="AH315" s="294"/>
      <c r="AI315" s="289"/>
      <c r="AJ315" s="294"/>
      <c r="AK315" s="294"/>
      <c r="AL315" s="294"/>
      <c r="AM315" s="294"/>
      <c r="AN315" s="289"/>
      <c r="AO315" s="289"/>
      <c r="AP315" s="289"/>
      <c r="AQ315" s="289"/>
      <c r="AR315" s="289"/>
      <c r="AS315" s="289"/>
      <c r="AT315" s="289"/>
      <c r="AU315" s="289"/>
      <c r="AV315" s="289"/>
      <c r="AW315" s="289"/>
      <c r="AX315" s="289"/>
      <c r="AY315" s="289"/>
      <c r="AZ315" s="289"/>
      <c r="BA315" s="289"/>
      <c r="BB315" s="289"/>
      <c r="BC315" s="289"/>
      <c r="BD315" s="289"/>
      <c r="BE315" s="290"/>
      <c r="BF315" s="290"/>
      <c r="BG315" s="290"/>
      <c r="BH315" s="290"/>
      <c r="BI315" s="290"/>
      <c r="BJ315" s="289"/>
      <c r="BK315" s="290"/>
      <c r="BL315" s="290"/>
      <c r="BM315" s="276"/>
    </row>
    <row r="316" spans="1:65" ht="27" customHeight="1" x14ac:dyDescent="0.25">
      <c r="A316" s="310" t="s">
        <v>17372</v>
      </c>
      <c r="B316" s="311" t="s">
        <v>17377</v>
      </c>
      <c r="C316" s="248" t="s">
        <v>17377</v>
      </c>
      <c r="D316" s="249">
        <v>0</v>
      </c>
      <c r="E316" s="257">
        <v>1</v>
      </c>
      <c r="F316" s="258" t="s">
        <v>16753</v>
      </c>
      <c r="G316" s="241">
        <v>0</v>
      </c>
      <c r="H316" s="241">
        <v>1</v>
      </c>
      <c r="I316" s="240" t="s">
        <v>16755</v>
      </c>
      <c r="J316" s="241">
        <v>1</v>
      </c>
      <c r="K316" s="241">
        <v>0</v>
      </c>
      <c r="L316" s="241">
        <v>0</v>
      </c>
      <c r="M316" s="240" t="s">
        <v>16754</v>
      </c>
      <c r="N316" s="241">
        <v>0</v>
      </c>
      <c r="O316" s="241">
        <v>1</v>
      </c>
      <c r="P316" s="241">
        <v>0</v>
      </c>
      <c r="Q316" s="259" t="s">
        <v>16827</v>
      </c>
      <c r="R316" s="251"/>
      <c r="S316" s="244" t="s">
        <v>25849</v>
      </c>
      <c r="T316" s="275" t="s">
        <v>646</v>
      </c>
      <c r="U316" s="275" t="str">
        <f t="shared" si="4"/>
        <v/>
      </c>
      <c r="V316" s="300" t="s">
        <v>27069</v>
      </c>
      <c r="W316" s="297" t="s">
        <v>25850</v>
      </c>
      <c r="X316" s="294"/>
      <c r="Y316" s="294"/>
      <c r="Z316" s="294"/>
      <c r="AA316" s="294"/>
      <c r="AB316" s="294"/>
      <c r="AC316" s="294"/>
      <c r="AD316" s="294"/>
      <c r="AE316" s="294"/>
      <c r="AF316" s="294"/>
      <c r="AG316" s="294"/>
      <c r="AH316" s="294"/>
      <c r="AI316" s="289"/>
      <c r="AJ316" s="294"/>
      <c r="AK316" s="294"/>
      <c r="AL316" s="294"/>
      <c r="AM316" s="294"/>
      <c r="AN316" s="289"/>
      <c r="AO316" s="289"/>
      <c r="AP316" s="289"/>
      <c r="AQ316" s="289"/>
      <c r="AR316" s="289"/>
      <c r="AS316" s="289"/>
      <c r="AT316" s="289"/>
      <c r="AU316" s="289"/>
      <c r="AV316" s="289"/>
      <c r="AW316" s="289"/>
      <c r="AX316" s="289"/>
      <c r="AY316" s="289"/>
      <c r="AZ316" s="289"/>
      <c r="BA316" s="289"/>
      <c r="BB316" s="289"/>
      <c r="BC316" s="289"/>
      <c r="BD316" s="289"/>
      <c r="BE316" s="290"/>
      <c r="BF316" s="290"/>
      <c r="BG316" s="290"/>
      <c r="BH316" s="290"/>
      <c r="BI316" s="290"/>
      <c r="BJ316" s="289"/>
      <c r="BK316" s="290"/>
      <c r="BL316" s="290"/>
      <c r="BM316" s="276"/>
    </row>
    <row r="317" spans="1:65" ht="27" customHeight="1" x14ac:dyDescent="0.25">
      <c r="A317" s="310" t="s">
        <v>17373</v>
      </c>
      <c r="B317" s="311" t="s">
        <v>17378</v>
      </c>
      <c r="C317" s="248" t="s">
        <v>17378</v>
      </c>
      <c r="D317" s="249">
        <v>0</v>
      </c>
      <c r="E317" s="257">
        <v>1</v>
      </c>
      <c r="F317" s="258" t="s">
        <v>16753</v>
      </c>
      <c r="G317" s="241">
        <v>0</v>
      </c>
      <c r="H317" s="241">
        <v>1</v>
      </c>
      <c r="I317" s="240" t="s">
        <v>16755</v>
      </c>
      <c r="J317" s="241">
        <v>1</v>
      </c>
      <c r="K317" s="241">
        <v>0</v>
      </c>
      <c r="L317" s="241">
        <v>0</v>
      </c>
      <c r="M317" s="240" t="s">
        <v>16754</v>
      </c>
      <c r="N317" s="241">
        <v>0</v>
      </c>
      <c r="O317" s="241">
        <v>1</v>
      </c>
      <c r="P317" s="241">
        <v>0</v>
      </c>
      <c r="Q317" s="259" t="s">
        <v>16827</v>
      </c>
      <c r="R317" s="251"/>
      <c r="S317" s="244" t="s">
        <v>25851</v>
      </c>
      <c r="T317" s="275" t="s">
        <v>646</v>
      </c>
      <c r="U317" s="275" t="str">
        <f t="shared" si="4"/>
        <v/>
      </c>
      <c r="V317" s="300" t="s">
        <v>27070</v>
      </c>
      <c r="W317" s="297" t="s">
        <v>25852</v>
      </c>
      <c r="X317" s="294"/>
      <c r="Y317" s="294"/>
      <c r="Z317" s="294"/>
      <c r="AA317" s="294"/>
      <c r="AB317" s="294"/>
      <c r="AC317" s="294"/>
      <c r="AD317" s="294"/>
      <c r="AE317" s="294"/>
      <c r="AF317" s="294"/>
      <c r="AG317" s="294"/>
      <c r="AH317" s="294"/>
      <c r="AI317" s="289"/>
      <c r="AJ317" s="294"/>
      <c r="AK317" s="294"/>
      <c r="AL317" s="294"/>
      <c r="AM317" s="294"/>
      <c r="AN317" s="289"/>
      <c r="AO317" s="289"/>
      <c r="AP317" s="289"/>
      <c r="AQ317" s="289"/>
      <c r="AR317" s="289"/>
      <c r="AS317" s="289"/>
      <c r="AT317" s="289"/>
      <c r="AU317" s="289"/>
      <c r="AV317" s="289"/>
      <c r="AW317" s="289"/>
      <c r="AX317" s="289"/>
      <c r="AY317" s="289"/>
      <c r="AZ317" s="289"/>
      <c r="BA317" s="289"/>
      <c r="BB317" s="289"/>
      <c r="BC317" s="289"/>
      <c r="BD317" s="289"/>
      <c r="BE317" s="290"/>
      <c r="BF317" s="290"/>
      <c r="BG317" s="290"/>
      <c r="BH317" s="290"/>
      <c r="BI317" s="290"/>
      <c r="BJ317" s="289"/>
      <c r="BK317" s="290"/>
      <c r="BL317" s="290"/>
      <c r="BM317" s="276"/>
    </row>
    <row r="318" spans="1:65" ht="27" customHeight="1" x14ac:dyDescent="0.25">
      <c r="A318" s="310" t="s">
        <v>17398</v>
      </c>
      <c r="B318" s="311" t="s">
        <v>17399</v>
      </c>
      <c r="C318" s="248" t="s">
        <v>25808</v>
      </c>
      <c r="D318" s="249">
        <v>0</v>
      </c>
      <c r="E318" s="257">
        <v>1</v>
      </c>
      <c r="F318" s="258" t="s">
        <v>16753</v>
      </c>
      <c r="G318" s="241">
        <v>0</v>
      </c>
      <c r="H318" s="241">
        <v>1</v>
      </c>
      <c r="I318" s="240" t="s">
        <v>16755</v>
      </c>
      <c r="J318" s="241">
        <v>0</v>
      </c>
      <c r="K318" s="241">
        <v>0</v>
      </c>
      <c r="L318" s="241">
        <v>1</v>
      </c>
      <c r="M318" s="240" t="s">
        <v>16832</v>
      </c>
      <c r="N318" s="241">
        <v>1</v>
      </c>
      <c r="O318" s="241">
        <v>0</v>
      </c>
      <c r="P318" s="241">
        <v>0</v>
      </c>
      <c r="Q318" s="259" t="s">
        <v>717</v>
      </c>
      <c r="R318" s="251"/>
      <c r="S318" s="244" t="s">
        <v>25809</v>
      </c>
      <c r="T318" s="275" t="s">
        <v>17400</v>
      </c>
      <c r="U318" s="275" t="str">
        <f t="shared" si="4"/>
        <v>Defined as the collective belief in a group that it can be effective and its role in determining group effectiveness.</v>
      </c>
      <c r="V318" s="300" t="s">
        <v>27071</v>
      </c>
      <c r="W318" s="297"/>
      <c r="X318" s="294" t="s">
        <v>17400</v>
      </c>
      <c r="Y318" s="294"/>
      <c r="Z318" s="294"/>
      <c r="AA318" s="294"/>
      <c r="AB318" s="294"/>
      <c r="AC318" s="294"/>
      <c r="AD318" s="294"/>
      <c r="AE318" s="294"/>
      <c r="AF318" s="294"/>
      <c r="AG318" s="294"/>
      <c r="AH318" s="294"/>
      <c r="AI318" s="289"/>
      <c r="AJ318" s="294"/>
      <c r="AK318" s="294"/>
      <c r="AL318" s="294"/>
      <c r="AM318" s="294"/>
      <c r="AN318" s="289"/>
      <c r="AO318" s="289"/>
      <c r="AP318" s="289"/>
      <c r="AQ318" s="289"/>
      <c r="AR318" s="289"/>
      <c r="AS318" s="289"/>
      <c r="AT318" s="289"/>
      <c r="AU318" s="289"/>
      <c r="AV318" s="289"/>
      <c r="AW318" s="289"/>
      <c r="AX318" s="289"/>
      <c r="AY318" s="289"/>
      <c r="AZ318" s="289"/>
      <c r="BA318" s="289"/>
      <c r="BB318" s="289"/>
      <c r="BC318" s="289"/>
      <c r="BD318" s="289"/>
      <c r="BE318" s="290"/>
      <c r="BF318" s="290"/>
      <c r="BG318" s="290"/>
      <c r="BH318" s="290"/>
      <c r="BI318" s="290"/>
      <c r="BJ318" s="289"/>
      <c r="BK318" s="290"/>
      <c r="BL318" s="290"/>
      <c r="BM318" s="276"/>
    </row>
    <row r="319" spans="1:65" ht="27" customHeight="1" x14ac:dyDescent="0.25">
      <c r="A319" s="310" t="s">
        <v>25522</v>
      </c>
      <c r="B319" s="311" t="s">
        <v>25524</v>
      </c>
      <c r="C319" s="248" t="s">
        <v>25524</v>
      </c>
      <c r="D319" s="249">
        <v>1</v>
      </c>
      <c r="E319" s="257">
        <v>0</v>
      </c>
      <c r="F319" s="258" t="s">
        <v>16764</v>
      </c>
      <c r="G319" s="241">
        <v>0</v>
      </c>
      <c r="H319" s="241">
        <v>1</v>
      </c>
      <c r="I319" s="240" t="s">
        <v>16755</v>
      </c>
      <c r="J319" s="241">
        <v>0</v>
      </c>
      <c r="K319" s="241">
        <v>0</v>
      </c>
      <c r="L319" s="241">
        <v>1</v>
      </c>
      <c r="M319" s="240" t="s">
        <v>16832</v>
      </c>
      <c r="N319" s="241">
        <v>1</v>
      </c>
      <c r="O319" s="241">
        <v>0</v>
      </c>
      <c r="P319" s="241">
        <v>0</v>
      </c>
      <c r="Q319" s="259" t="s">
        <v>717</v>
      </c>
      <c r="R319" s="251"/>
      <c r="S319" s="244" t="s">
        <v>25784</v>
      </c>
      <c r="T319" s="275" t="s">
        <v>25523</v>
      </c>
      <c r="U319" s="275" t="str">
        <f t="shared" si="4"/>
        <v>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v>
      </c>
      <c r="V319" s="300" t="s">
        <v>27072</v>
      </c>
      <c r="W319" s="297"/>
      <c r="X319" s="294"/>
      <c r="Y319" s="294"/>
      <c r="Z319" s="294"/>
      <c r="AA319" s="294"/>
      <c r="AB319" s="294"/>
      <c r="AC319" s="294"/>
      <c r="AD319" s="294"/>
      <c r="AE319" s="294"/>
      <c r="AF319" s="294"/>
      <c r="AG319" s="294" t="s">
        <v>25523</v>
      </c>
      <c r="AH319" s="294"/>
      <c r="AI319" s="289"/>
      <c r="AJ319" s="294"/>
      <c r="AK319" s="294"/>
      <c r="AL319" s="294"/>
      <c r="AM319" s="294"/>
      <c r="AN319" s="289"/>
      <c r="AO319" s="289"/>
      <c r="AP319" s="289"/>
      <c r="AQ319" s="289"/>
      <c r="AR319" s="289"/>
      <c r="AS319" s="289"/>
      <c r="AT319" s="289"/>
      <c r="AU319" s="289"/>
      <c r="AV319" s="289"/>
      <c r="AW319" s="289"/>
      <c r="AX319" s="289"/>
      <c r="AY319" s="289"/>
      <c r="AZ319" s="289"/>
      <c r="BA319" s="289"/>
      <c r="BB319" s="289"/>
      <c r="BC319" s="289"/>
      <c r="BD319" s="289"/>
      <c r="BE319" s="290"/>
      <c r="BF319" s="290"/>
      <c r="BG319" s="290"/>
      <c r="BH319" s="290"/>
      <c r="BI319" s="290"/>
      <c r="BJ319" s="289"/>
      <c r="BK319" s="290"/>
      <c r="BL319" s="290"/>
      <c r="BM319" s="276"/>
    </row>
    <row r="320" spans="1:65" ht="27" customHeight="1" x14ac:dyDescent="0.25">
      <c r="A320" s="310" t="s">
        <v>25525</v>
      </c>
      <c r="B320" s="311" t="s">
        <v>25526</v>
      </c>
      <c r="C320" s="248" t="s">
        <v>26223</v>
      </c>
      <c r="D320" s="249">
        <v>1</v>
      </c>
      <c r="E320" s="257">
        <v>0</v>
      </c>
      <c r="F320" s="258" t="s">
        <v>16764</v>
      </c>
      <c r="G320" s="241">
        <v>1</v>
      </c>
      <c r="H320" s="241">
        <v>0</v>
      </c>
      <c r="I320" s="240" t="s">
        <v>16765</v>
      </c>
      <c r="J320" s="241">
        <v>0</v>
      </c>
      <c r="K320" s="241">
        <v>1</v>
      </c>
      <c r="L320" s="241">
        <v>0</v>
      </c>
      <c r="M320" s="240" t="s">
        <v>16774</v>
      </c>
      <c r="N320" s="241">
        <v>1</v>
      </c>
      <c r="O320" s="241">
        <v>0</v>
      </c>
      <c r="P320" s="241">
        <v>0</v>
      </c>
      <c r="Q320" s="259" t="s">
        <v>717</v>
      </c>
      <c r="R320" s="251"/>
      <c r="S320" s="244" t="s">
        <v>25783</v>
      </c>
      <c r="T320" s="275" t="s">
        <v>25527</v>
      </c>
      <c r="U320" s="275" t="str">
        <f t="shared" si="4"/>
        <v>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v>
      </c>
      <c r="V320" s="300" t="s">
        <v>27073</v>
      </c>
      <c r="W320" s="297"/>
      <c r="X320" s="294"/>
      <c r="Y320" s="294"/>
      <c r="Z320" s="294"/>
      <c r="AA320" s="294"/>
      <c r="AB320" s="294"/>
      <c r="AC320" s="294"/>
      <c r="AD320" s="294"/>
      <c r="AE320" s="294"/>
      <c r="AF320" s="294"/>
      <c r="AG320" s="294" t="s">
        <v>25527</v>
      </c>
      <c r="AH320" s="294"/>
      <c r="AI320" s="289"/>
      <c r="AJ320" s="294"/>
      <c r="AK320" s="294"/>
      <c r="AL320" s="294"/>
      <c r="AM320" s="294"/>
      <c r="AN320" s="289"/>
      <c r="AO320" s="289"/>
      <c r="AP320" s="289"/>
      <c r="AQ320" s="289"/>
      <c r="AR320" s="289"/>
      <c r="AS320" s="289"/>
      <c r="AT320" s="289"/>
      <c r="AU320" s="289"/>
      <c r="AV320" s="289"/>
      <c r="AW320" s="289"/>
      <c r="AX320" s="289"/>
      <c r="AY320" s="289"/>
      <c r="AZ320" s="289"/>
      <c r="BA320" s="289"/>
      <c r="BB320" s="289"/>
      <c r="BC320" s="289"/>
      <c r="BD320" s="289"/>
      <c r="BE320" s="290"/>
      <c r="BF320" s="290"/>
      <c r="BG320" s="290"/>
      <c r="BH320" s="290"/>
      <c r="BI320" s="290"/>
      <c r="BJ320" s="289"/>
      <c r="BK320" s="290"/>
      <c r="BL320" s="290"/>
      <c r="BM320" s="276"/>
    </row>
    <row r="321" spans="1:65" ht="27" customHeight="1" x14ac:dyDescent="0.25">
      <c r="A321" s="312" t="s">
        <v>25532</v>
      </c>
      <c r="B321" s="313" t="s">
        <v>25533</v>
      </c>
      <c r="C321" s="277" t="s">
        <v>25533</v>
      </c>
      <c r="D321" s="278">
        <v>1</v>
      </c>
      <c r="E321" s="279">
        <v>0</v>
      </c>
      <c r="F321" s="280" t="s">
        <v>16764</v>
      </c>
      <c r="G321" s="281">
        <v>1</v>
      </c>
      <c r="H321" s="281">
        <v>0</v>
      </c>
      <c r="I321" s="282" t="s">
        <v>16765</v>
      </c>
      <c r="J321" s="281">
        <v>0</v>
      </c>
      <c r="K321" s="281">
        <v>1</v>
      </c>
      <c r="L321" s="281">
        <v>0</v>
      </c>
      <c r="M321" s="282" t="s">
        <v>16774</v>
      </c>
      <c r="N321" s="281">
        <v>1</v>
      </c>
      <c r="O321" s="281">
        <v>0</v>
      </c>
      <c r="P321" s="281">
        <v>0</v>
      </c>
      <c r="Q321" s="283" t="s">
        <v>717</v>
      </c>
      <c r="R321" s="284"/>
      <c r="S321" s="285" t="s">
        <v>25853</v>
      </c>
      <c r="T321" s="286" t="s">
        <v>646</v>
      </c>
      <c r="U321" s="286" t="str">
        <f t="shared" si="4"/>
        <v/>
      </c>
      <c r="V321" s="301" t="s">
        <v>27074</v>
      </c>
      <c r="W321" s="297" t="s">
        <v>25854</v>
      </c>
      <c r="X321" s="294"/>
      <c r="Y321" s="294"/>
      <c r="Z321" s="294"/>
      <c r="AA321" s="294"/>
      <c r="AB321" s="294"/>
      <c r="AC321" s="294"/>
      <c r="AD321" s="294"/>
      <c r="AE321" s="294"/>
      <c r="AF321" s="294"/>
      <c r="AG321" s="294"/>
      <c r="AH321" s="294"/>
      <c r="AI321" s="289"/>
      <c r="AJ321" s="294"/>
      <c r="AK321" s="294"/>
      <c r="AL321" s="294"/>
      <c r="AM321" s="294"/>
      <c r="AN321" s="289"/>
      <c r="AO321" s="289"/>
      <c r="AP321" s="289"/>
      <c r="AQ321" s="289"/>
      <c r="AR321" s="289"/>
      <c r="AS321" s="289"/>
      <c r="AT321" s="289"/>
      <c r="AU321" s="289"/>
      <c r="AV321" s="289"/>
      <c r="AW321" s="289"/>
      <c r="AX321" s="289"/>
      <c r="AY321" s="289"/>
      <c r="AZ321" s="289"/>
      <c r="BA321" s="289"/>
      <c r="BB321" s="289"/>
      <c r="BC321" s="289"/>
      <c r="BD321" s="289"/>
      <c r="BE321" s="290"/>
      <c r="BF321" s="290"/>
      <c r="BG321" s="290"/>
      <c r="BH321" s="290"/>
      <c r="BI321" s="290"/>
      <c r="BJ321" s="289"/>
      <c r="BK321" s="290"/>
      <c r="BL321" s="290"/>
      <c r="BM321" s="276"/>
    </row>
    <row r="322" spans="1:65" ht="13.8" x14ac:dyDescent="0.25">
      <c r="B322" s="253"/>
      <c r="C322" s="253"/>
      <c r="R322" s="253"/>
      <c r="S322" s="253"/>
      <c r="T322" s="253"/>
      <c r="U322" s="253"/>
      <c r="V322" s="253"/>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276"/>
      <c r="AS322" s="276"/>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row>
    <row r="323" spans="1:65" ht="13.8" x14ac:dyDescent="0.25">
      <c r="B323" s="253"/>
      <c r="C323" s="253"/>
      <c r="R323" s="253"/>
      <c r="S323" s="253"/>
      <c r="T323" s="253"/>
      <c r="U323" s="253"/>
      <c r="V323" s="253"/>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276"/>
      <c r="AS323" s="276"/>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row>
    <row r="324" spans="1:65" ht="13.8" x14ac:dyDescent="0.25">
      <c r="B324" s="253"/>
      <c r="C324" s="253"/>
      <c r="R324" s="253"/>
      <c r="S324" s="253"/>
      <c r="T324" s="253"/>
      <c r="U324" s="253"/>
      <c r="V324" s="253"/>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276"/>
      <c r="AS324" s="276"/>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row>
    <row r="325" spans="1:65" ht="13.8" x14ac:dyDescent="0.25">
      <c r="B325" s="253"/>
      <c r="C325" s="253"/>
      <c r="R325" s="253"/>
      <c r="S325" s="253"/>
      <c r="T325" s="253"/>
      <c r="U325" s="253"/>
      <c r="V325" s="253"/>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276"/>
      <c r="AS325" s="276"/>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row>
    <row r="326" spans="1:65" ht="13.8" x14ac:dyDescent="0.25">
      <c r="B326" s="253"/>
      <c r="C326" s="253"/>
      <c r="R326" s="253"/>
      <c r="S326" s="253"/>
      <c r="T326" s="253"/>
      <c r="U326" s="253"/>
      <c r="V326" s="253"/>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276"/>
      <c r="AS326" s="276"/>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row>
    <row r="327" spans="1:65" ht="13.8" x14ac:dyDescent="0.25">
      <c r="B327" s="253"/>
      <c r="C327" s="253"/>
      <c r="R327" s="253"/>
      <c r="S327" s="253"/>
      <c r="T327" s="253"/>
      <c r="U327" s="253"/>
      <c r="V327" s="253"/>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276"/>
      <c r="AS327" s="276"/>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row>
    <row r="328" spans="1:65" ht="13.8" x14ac:dyDescent="0.25">
      <c r="B328" s="253"/>
      <c r="C328" s="253"/>
      <c r="R328" s="253"/>
      <c r="S328" s="253"/>
      <c r="T328" s="253"/>
      <c r="U328" s="253"/>
      <c r="V328" s="253"/>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276"/>
      <c r="AS328" s="276"/>
      <c r="AT328" s="276"/>
      <c r="AU328" s="276"/>
      <c r="AV328" s="276"/>
      <c r="AW328" s="276"/>
      <c r="AX328" s="276"/>
      <c r="AY328" s="276"/>
      <c r="AZ328" s="276"/>
      <c r="BA328" s="276"/>
      <c r="BB328" s="276"/>
      <c r="BC328" s="276"/>
      <c r="BD328" s="276"/>
      <c r="BE328" s="276"/>
      <c r="BF328" s="276"/>
      <c r="BG328" s="276"/>
      <c r="BH328" s="276"/>
      <c r="BI328" s="276"/>
      <c r="BJ328" s="276"/>
      <c r="BK328" s="276"/>
      <c r="BL328" s="276"/>
      <c r="BM328" s="276"/>
    </row>
    <row r="329" spans="1:65" ht="13.8" x14ac:dyDescent="0.25">
      <c r="B329" s="253"/>
      <c r="C329" s="253"/>
      <c r="R329" s="253"/>
      <c r="S329" s="253"/>
      <c r="T329" s="253"/>
      <c r="U329" s="253"/>
      <c r="V329" s="253"/>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276"/>
      <c r="AS329" s="276"/>
      <c r="AT329" s="276"/>
      <c r="AU329" s="276"/>
      <c r="AV329" s="276"/>
      <c r="AW329" s="276"/>
      <c r="AX329" s="276"/>
      <c r="AY329" s="276"/>
      <c r="AZ329" s="276"/>
      <c r="BA329" s="276"/>
      <c r="BB329" s="276"/>
      <c r="BC329" s="276"/>
      <c r="BD329" s="276"/>
      <c r="BE329" s="276"/>
      <c r="BF329" s="276"/>
      <c r="BG329" s="276"/>
      <c r="BH329" s="276"/>
      <c r="BI329" s="276"/>
      <c r="BJ329" s="276"/>
      <c r="BK329" s="276"/>
      <c r="BL329" s="276"/>
      <c r="BM329" s="276"/>
    </row>
    <row r="330" spans="1:65" ht="13.8" x14ac:dyDescent="0.25">
      <c r="B330" s="253"/>
      <c r="C330" s="253"/>
      <c r="R330" s="253"/>
      <c r="S330" s="253"/>
      <c r="T330" s="253"/>
      <c r="U330" s="253"/>
      <c r="V330" s="253"/>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276"/>
      <c r="AS330" s="276"/>
      <c r="AT330" s="276"/>
      <c r="AU330" s="276"/>
      <c r="AV330" s="276"/>
      <c r="AW330" s="276"/>
      <c r="AX330" s="276"/>
      <c r="AY330" s="276"/>
      <c r="AZ330" s="276"/>
      <c r="BA330" s="276"/>
      <c r="BB330" s="276"/>
      <c r="BC330" s="276"/>
      <c r="BD330" s="276"/>
      <c r="BE330" s="276"/>
      <c r="BF330" s="276"/>
      <c r="BG330" s="276"/>
      <c r="BH330" s="276"/>
      <c r="BI330" s="276"/>
      <c r="BJ330" s="276"/>
      <c r="BK330" s="276"/>
      <c r="BL330" s="276"/>
      <c r="BM330" s="276"/>
    </row>
    <row r="331" spans="1:65" ht="13.8" x14ac:dyDescent="0.25">
      <c r="B331" s="253"/>
      <c r="C331" s="253"/>
      <c r="R331" s="253"/>
      <c r="S331" s="253"/>
      <c r="T331" s="253"/>
      <c r="U331" s="253"/>
      <c r="V331" s="253"/>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276"/>
      <c r="AS331" s="276"/>
      <c r="AT331" s="276"/>
      <c r="AU331" s="276"/>
      <c r="AV331" s="276"/>
      <c r="AW331" s="276"/>
      <c r="AX331" s="276"/>
      <c r="AY331" s="276"/>
      <c r="AZ331" s="276"/>
      <c r="BA331" s="276"/>
      <c r="BB331" s="276"/>
      <c r="BC331" s="276"/>
      <c r="BD331" s="276"/>
      <c r="BE331" s="276"/>
      <c r="BF331" s="276"/>
      <c r="BG331" s="276"/>
      <c r="BH331" s="276"/>
      <c r="BI331" s="276"/>
      <c r="BJ331" s="276"/>
      <c r="BK331" s="276"/>
      <c r="BL331" s="276"/>
      <c r="BM331" s="276"/>
    </row>
    <row r="332" spans="1:65" ht="13.8" x14ac:dyDescent="0.25">
      <c r="B332" s="253"/>
      <c r="C332" s="253"/>
      <c r="R332" s="253"/>
      <c r="S332" s="253"/>
      <c r="T332" s="253"/>
      <c r="U332" s="253"/>
      <c r="V332" s="253"/>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276"/>
      <c r="AS332" s="276"/>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row>
    <row r="333" spans="1:65" ht="13.8" x14ac:dyDescent="0.25">
      <c r="B333" s="253"/>
      <c r="C333" s="253"/>
      <c r="R333" s="253"/>
      <c r="S333" s="253"/>
      <c r="T333" s="253"/>
      <c r="U333" s="253"/>
      <c r="V333" s="253"/>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276"/>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row>
    <row r="334" spans="1:65" ht="13.8" x14ac:dyDescent="0.25">
      <c r="B334" s="253"/>
      <c r="C334" s="253"/>
      <c r="R334" s="253"/>
      <c r="S334" s="253"/>
      <c r="T334" s="253"/>
      <c r="U334" s="253"/>
      <c r="V334" s="253"/>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276"/>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row>
    <row r="335" spans="1:65" ht="13.8" x14ac:dyDescent="0.25">
      <c r="B335" s="253"/>
      <c r="C335" s="253"/>
      <c r="R335" s="253"/>
      <c r="S335" s="253"/>
      <c r="T335" s="253"/>
      <c r="U335" s="253"/>
      <c r="V335" s="253"/>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276"/>
      <c r="AS335" s="276"/>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row>
    <row r="336" spans="1:65" ht="13.8" x14ac:dyDescent="0.25">
      <c r="B336" s="253"/>
      <c r="C336" s="253"/>
      <c r="R336" s="253"/>
      <c r="S336" s="253"/>
      <c r="T336" s="253"/>
      <c r="U336" s="253"/>
      <c r="V336" s="253"/>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276"/>
      <c r="AS336" s="276"/>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row>
    <row r="337" spans="2:65" ht="13.8" x14ac:dyDescent="0.25">
      <c r="B337" s="253"/>
      <c r="C337" s="253"/>
      <c r="R337" s="253"/>
      <c r="S337" s="253"/>
      <c r="T337" s="253"/>
      <c r="U337" s="253"/>
      <c r="V337" s="253"/>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276"/>
      <c r="AS337" s="276"/>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row>
    <row r="338" spans="2:65" ht="13.8" x14ac:dyDescent="0.25">
      <c r="B338" s="253"/>
      <c r="C338" s="253"/>
      <c r="R338" s="253"/>
      <c r="S338" s="253"/>
      <c r="T338" s="253"/>
      <c r="U338" s="253"/>
      <c r="V338" s="253"/>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276"/>
      <c r="AS338" s="276"/>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row>
    <row r="339" spans="2:65" ht="13.8" x14ac:dyDescent="0.25">
      <c r="B339" s="253"/>
      <c r="C339" s="253"/>
      <c r="R339" s="253"/>
      <c r="S339" s="253"/>
      <c r="T339" s="253"/>
      <c r="U339" s="253"/>
      <c r="V339" s="253"/>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276"/>
      <c r="AS339" s="276"/>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row>
    <row r="340" spans="2:65" ht="13.8" x14ac:dyDescent="0.25">
      <c r="B340" s="253"/>
      <c r="C340" s="253"/>
      <c r="R340" s="253"/>
      <c r="S340" s="253"/>
      <c r="T340" s="253"/>
      <c r="U340" s="253"/>
      <c r="V340" s="253"/>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276"/>
      <c r="AS340" s="276"/>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row>
    <row r="341" spans="2:65" ht="13.8" x14ac:dyDescent="0.25">
      <c r="B341" s="253"/>
      <c r="C341" s="253"/>
      <c r="R341" s="253"/>
      <c r="S341" s="253"/>
      <c r="T341" s="253"/>
      <c r="U341" s="253"/>
      <c r="V341" s="253"/>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276"/>
      <c r="AS341" s="276"/>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row>
    <row r="342" spans="2:65" ht="13.8" x14ac:dyDescent="0.25">
      <c r="B342" s="253"/>
      <c r="C342" s="253"/>
      <c r="R342" s="253"/>
      <c r="S342" s="253"/>
      <c r="T342" s="253"/>
      <c r="U342" s="253"/>
      <c r="V342" s="253"/>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276"/>
      <c r="AS342" s="276"/>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row>
    <row r="343" spans="2:65" ht="13.8" x14ac:dyDescent="0.25">
      <c r="B343" s="253"/>
      <c r="C343" s="253"/>
      <c r="R343" s="253"/>
      <c r="S343" s="253"/>
      <c r="T343" s="253"/>
      <c r="U343" s="253"/>
      <c r="V343" s="253"/>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row>
    <row r="344" spans="2:65" ht="13.8" x14ac:dyDescent="0.25">
      <c r="B344" s="253"/>
      <c r="C344" s="253"/>
      <c r="R344" s="253"/>
      <c r="S344" s="253"/>
      <c r="T344" s="253"/>
      <c r="U344" s="253"/>
      <c r="V344" s="253"/>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row>
    <row r="345" spans="2:65" ht="13.8" x14ac:dyDescent="0.25">
      <c r="B345" s="253"/>
      <c r="C345" s="253"/>
      <c r="R345" s="253"/>
      <c r="S345" s="253"/>
      <c r="T345" s="253"/>
      <c r="U345" s="253"/>
      <c r="V345" s="253"/>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row>
    <row r="346" spans="2:65" ht="13.8" x14ac:dyDescent="0.25">
      <c r="B346" s="253"/>
      <c r="C346" s="253"/>
      <c r="R346" s="253"/>
      <c r="S346" s="253"/>
      <c r="T346" s="253"/>
      <c r="U346" s="253"/>
      <c r="V346" s="253"/>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row>
    <row r="347" spans="2:65" ht="13.8" x14ac:dyDescent="0.25">
      <c r="B347" s="253"/>
      <c r="C347" s="253"/>
      <c r="R347" s="253"/>
      <c r="S347" s="253"/>
      <c r="T347" s="253"/>
      <c r="U347" s="253"/>
      <c r="V347" s="253"/>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c r="AR347" s="276"/>
      <c r="AS347" s="276"/>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row>
    <row r="348" spans="2:65" ht="13.8" x14ac:dyDescent="0.25">
      <c r="B348" s="253"/>
      <c r="C348" s="253"/>
      <c r="R348" s="253"/>
      <c r="S348" s="253"/>
      <c r="T348" s="253"/>
      <c r="U348" s="253"/>
      <c r="V348" s="253"/>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6"/>
      <c r="AR348" s="276"/>
      <c r="AS348" s="276"/>
      <c r="AT348" s="276"/>
      <c r="AU348" s="276"/>
      <c r="AV348" s="276"/>
      <c r="AW348" s="276"/>
      <c r="AX348" s="276"/>
      <c r="AY348" s="276"/>
      <c r="AZ348" s="276"/>
      <c r="BA348" s="276"/>
      <c r="BB348" s="276"/>
      <c r="BC348" s="276"/>
      <c r="BD348" s="276"/>
      <c r="BE348" s="276"/>
      <c r="BF348" s="276"/>
      <c r="BG348" s="276"/>
      <c r="BH348" s="276"/>
      <c r="BI348" s="276"/>
      <c r="BJ348" s="276"/>
      <c r="BK348" s="276"/>
      <c r="BL348" s="276"/>
      <c r="BM348" s="276"/>
    </row>
    <row r="349" spans="2:65" ht="13.8" x14ac:dyDescent="0.25">
      <c r="B349" s="253"/>
      <c r="C349" s="253"/>
      <c r="R349" s="253"/>
      <c r="S349" s="253"/>
      <c r="T349" s="253"/>
      <c r="U349" s="253"/>
      <c r="V349" s="253"/>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6"/>
      <c r="AR349" s="276"/>
      <c r="AS349" s="276"/>
      <c r="AT349" s="276"/>
      <c r="AU349" s="276"/>
      <c r="AV349" s="276"/>
      <c r="AW349" s="276"/>
      <c r="AX349" s="276"/>
      <c r="AY349" s="276"/>
      <c r="AZ349" s="276"/>
      <c r="BA349" s="276"/>
      <c r="BB349" s="276"/>
      <c r="BC349" s="276"/>
      <c r="BD349" s="276"/>
      <c r="BE349" s="276"/>
      <c r="BF349" s="276"/>
      <c r="BG349" s="276"/>
      <c r="BH349" s="276"/>
      <c r="BI349" s="276"/>
      <c r="BJ349" s="276"/>
      <c r="BK349" s="276"/>
      <c r="BL349" s="276"/>
      <c r="BM349" s="276"/>
    </row>
    <row r="350" spans="2:65" ht="13.8" x14ac:dyDescent="0.25">
      <c r="B350" s="253"/>
      <c r="C350" s="253"/>
      <c r="R350" s="253"/>
      <c r="S350" s="253"/>
      <c r="T350" s="253"/>
      <c r="U350" s="253"/>
      <c r="V350" s="253"/>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6"/>
      <c r="AR350" s="276"/>
      <c r="AS350" s="276"/>
      <c r="AT350" s="276"/>
      <c r="AU350" s="276"/>
      <c r="AV350" s="276"/>
      <c r="AW350" s="276"/>
      <c r="AX350" s="276"/>
      <c r="AY350" s="276"/>
      <c r="AZ350" s="276"/>
      <c r="BA350" s="276"/>
      <c r="BB350" s="276"/>
      <c r="BC350" s="276"/>
      <c r="BD350" s="276"/>
      <c r="BE350" s="276"/>
      <c r="BF350" s="276"/>
      <c r="BG350" s="276"/>
      <c r="BH350" s="276"/>
      <c r="BI350" s="276"/>
      <c r="BJ350" s="276"/>
      <c r="BK350" s="276"/>
      <c r="BL350" s="276"/>
      <c r="BM350" s="276"/>
    </row>
    <row r="351" spans="2:65" ht="13.8" x14ac:dyDescent="0.25">
      <c r="B351" s="253"/>
      <c r="C351" s="253"/>
      <c r="R351" s="253"/>
      <c r="S351" s="253"/>
      <c r="T351" s="253"/>
      <c r="U351" s="253"/>
      <c r="V351" s="253"/>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6"/>
      <c r="AR351" s="276"/>
      <c r="AS351" s="276"/>
      <c r="AT351" s="276"/>
      <c r="AU351" s="276"/>
      <c r="AV351" s="276"/>
      <c r="AW351" s="276"/>
      <c r="AX351" s="276"/>
      <c r="AY351" s="276"/>
      <c r="AZ351" s="276"/>
      <c r="BA351" s="276"/>
      <c r="BB351" s="276"/>
      <c r="BC351" s="276"/>
      <c r="BD351" s="276"/>
      <c r="BE351" s="276"/>
      <c r="BF351" s="276"/>
      <c r="BG351" s="276"/>
      <c r="BH351" s="276"/>
      <c r="BI351" s="276"/>
      <c r="BJ351" s="276"/>
      <c r="BK351" s="276"/>
      <c r="BL351" s="276"/>
      <c r="BM351" s="276"/>
    </row>
    <row r="352" spans="2:65" ht="13.8" x14ac:dyDescent="0.25">
      <c r="B352" s="253"/>
      <c r="C352" s="253"/>
      <c r="R352" s="253"/>
      <c r="S352" s="253"/>
      <c r="T352" s="253"/>
      <c r="U352" s="253"/>
      <c r="V352" s="253"/>
      <c r="W352" s="276"/>
      <c r="X352" s="276"/>
      <c r="Y352" s="276"/>
      <c r="Z352" s="276"/>
      <c r="AA352" s="276"/>
      <c r="AB352" s="276"/>
      <c r="AC352" s="276"/>
      <c r="AD352" s="276"/>
      <c r="AE352" s="276"/>
      <c r="AF352" s="276"/>
      <c r="AG352" s="276"/>
      <c r="AH352" s="276"/>
      <c r="AI352" s="276"/>
      <c r="AJ352" s="276"/>
      <c r="AK352" s="276"/>
      <c r="AL352" s="276"/>
      <c r="AM352" s="276"/>
      <c r="AN352" s="276"/>
      <c r="AO352" s="276"/>
      <c r="AP352" s="276"/>
      <c r="AQ352" s="276"/>
      <c r="AR352" s="276"/>
      <c r="AS352" s="276"/>
      <c r="AT352" s="276"/>
      <c r="AU352" s="276"/>
      <c r="AV352" s="276"/>
      <c r="AW352" s="276"/>
      <c r="AX352" s="276"/>
      <c r="AY352" s="276"/>
      <c r="AZ352" s="276"/>
      <c r="BA352" s="276"/>
      <c r="BB352" s="276"/>
      <c r="BC352" s="276"/>
      <c r="BD352" s="276"/>
      <c r="BE352" s="276"/>
      <c r="BF352" s="276"/>
      <c r="BG352" s="276"/>
      <c r="BH352" s="276"/>
      <c r="BI352" s="276"/>
      <c r="BJ352" s="276"/>
      <c r="BK352" s="276"/>
      <c r="BL352" s="276"/>
      <c r="BM352" s="276"/>
    </row>
    <row r="353" spans="2:65" ht="13.8" x14ac:dyDescent="0.25">
      <c r="B353" s="253"/>
      <c r="C353" s="253"/>
      <c r="R353" s="253"/>
      <c r="S353" s="253"/>
      <c r="T353" s="253"/>
      <c r="U353" s="253"/>
      <c r="V353" s="253"/>
      <c r="W353" s="276"/>
      <c r="X353" s="276"/>
      <c r="Y353" s="276"/>
      <c r="Z353" s="276"/>
      <c r="AA353" s="276"/>
      <c r="AB353" s="276"/>
      <c r="AC353" s="276"/>
      <c r="AD353" s="276"/>
      <c r="AE353" s="276"/>
      <c r="AF353" s="276"/>
      <c r="AG353" s="276"/>
      <c r="AH353" s="276"/>
      <c r="AI353" s="276"/>
      <c r="AJ353" s="276"/>
      <c r="AK353" s="276"/>
      <c r="AL353" s="276"/>
      <c r="AM353" s="276"/>
      <c r="AN353" s="276"/>
      <c r="AO353" s="276"/>
      <c r="AP353" s="276"/>
      <c r="AQ353" s="276"/>
      <c r="AR353" s="276"/>
      <c r="AS353" s="276"/>
      <c r="AT353" s="276"/>
      <c r="AU353" s="276"/>
      <c r="AV353" s="276"/>
      <c r="AW353" s="276"/>
      <c r="AX353" s="276"/>
      <c r="AY353" s="276"/>
      <c r="AZ353" s="276"/>
      <c r="BA353" s="276"/>
      <c r="BB353" s="276"/>
      <c r="BC353" s="276"/>
      <c r="BD353" s="276"/>
      <c r="BE353" s="276"/>
      <c r="BF353" s="276"/>
      <c r="BG353" s="276"/>
      <c r="BH353" s="276"/>
      <c r="BI353" s="276"/>
      <c r="BJ353" s="276"/>
      <c r="BK353" s="276"/>
      <c r="BL353" s="276"/>
      <c r="BM353" s="276"/>
    </row>
    <row r="354" spans="2:65" ht="13.8" x14ac:dyDescent="0.25">
      <c r="B354" s="253"/>
      <c r="C354" s="253"/>
      <c r="R354" s="253"/>
      <c r="S354" s="253"/>
      <c r="T354" s="253"/>
      <c r="U354" s="253"/>
      <c r="V354" s="253"/>
      <c r="W354" s="276"/>
      <c r="X354" s="276"/>
      <c r="Y354" s="276"/>
      <c r="Z354" s="276"/>
      <c r="AA354" s="276"/>
      <c r="AB354" s="276"/>
      <c r="AC354" s="276"/>
      <c r="AD354" s="276"/>
      <c r="AE354" s="276"/>
      <c r="AF354" s="276"/>
      <c r="AG354" s="276"/>
      <c r="AH354" s="276"/>
      <c r="AI354" s="276"/>
      <c r="AJ354" s="276"/>
      <c r="AK354" s="276"/>
      <c r="AL354" s="276"/>
      <c r="AM354" s="276"/>
      <c r="AN354" s="276"/>
      <c r="AO354" s="276"/>
      <c r="AP354" s="276"/>
      <c r="AQ354" s="276"/>
      <c r="AR354" s="276"/>
      <c r="AS354" s="276"/>
      <c r="AT354" s="276"/>
      <c r="AU354" s="276"/>
      <c r="AV354" s="276"/>
      <c r="AW354" s="276"/>
      <c r="AX354" s="276"/>
      <c r="AY354" s="276"/>
      <c r="AZ354" s="276"/>
      <c r="BA354" s="276"/>
      <c r="BB354" s="276"/>
      <c r="BC354" s="276"/>
      <c r="BD354" s="276"/>
      <c r="BE354" s="276"/>
      <c r="BF354" s="276"/>
      <c r="BG354" s="276"/>
      <c r="BH354" s="276"/>
      <c r="BI354" s="276"/>
      <c r="BJ354" s="276"/>
      <c r="BK354" s="276"/>
      <c r="BL354" s="276"/>
      <c r="BM354" s="276"/>
    </row>
    <row r="355" spans="2:65" ht="13.8" x14ac:dyDescent="0.25">
      <c r="B355" s="253"/>
      <c r="C355" s="253"/>
      <c r="R355" s="253"/>
      <c r="S355" s="253"/>
      <c r="T355" s="253"/>
      <c r="U355" s="253"/>
      <c r="V355" s="253"/>
      <c r="W355" s="276"/>
      <c r="X355" s="276"/>
      <c r="Y355" s="276"/>
      <c r="Z355" s="276"/>
      <c r="AA355" s="276"/>
      <c r="AB355" s="276"/>
      <c r="AC355" s="276"/>
      <c r="AD355" s="276"/>
      <c r="AE355" s="276"/>
      <c r="AF355" s="276"/>
      <c r="AG355" s="276"/>
      <c r="AH355" s="276"/>
      <c r="AI355" s="276"/>
      <c r="AJ355" s="276"/>
      <c r="AK355" s="276"/>
      <c r="AL355" s="276"/>
      <c r="AM355" s="276"/>
      <c r="AN355" s="276"/>
      <c r="AO355" s="276"/>
      <c r="AP355" s="276"/>
      <c r="AQ355" s="276"/>
      <c r="AR355" s="276"/>
      <c r="AS355" s="276"/>
      <c r="AT355" s="276"/>
      <c r="AU355" s="276"/>
      <c r="AV355" s="276"/>
      <c r="AW355" s="276"/>
      <c r="AX355" s="276"/>
      <c r="AY355" s="276"/>
      <c r="AZ355" s="276"/>
      <c r="BA355" s="276"/>
      <c r="BB355" s="276"/>
      <c r="BC355" s="276"/>
      <c r="BD355" s="276"/>
      <c r="BE355" s="276"/>
      <c r="BF355" s="276"/>
      <c r="BG355" s="276"/>
      <c r="BH355" s="276"/>
      <c r="BI355" s="276"/>
      <c r="BJ355" s="276"/>
      <c r="BK355" s="276"/>
      <c r="BL355" s="276"/>
      <c r="BM355" s="276"/>
    </row>
    <row r="356" spans="2:65" ht="13.8" x14ac:dyDescent="0.25">
      <c r="B356" s="253"/>
      <c r="C356" s="253"/>
      <c r="R356" s="253"/>
      <c r="S356" s="253"/>
      <c r="T356" s="253"/>
      <c r="U356" s="253"/>
      <c r="V356" s="253"/>
      <c r="W356" s="276"/>
      <c r="X356" s="276"/>
      <c r="Y356" s="276"/>
      <c r="Z356" s="276"/>
      <c r="AA356" s="276"/>
      <c r="AB356" s="276"/>
      <c r="AC356" s="276"/>
      <c r="AD356" s="276"/>
      <c r="AE356" s="276"/>
      <c r="AF356" s="276"/>
      <c r="AG356" s="276"/>
      <c r="AH356" s="276"/>
      <c r="AI356" s="276"/>
      <c r="AJ356" s="276"/>
      <c r="AK356" s="276"/>
      <c r="AL356" s="276"/>
      <c r="AM356" s="276"/>
      <c r="AN356" s="276"/>
      <c r="AO356" s="276"/>
      <c r="AP356" s="276"/>
      <c r="AQ356" s="276"/>
      <c r="AR356" s="276"/>
      <c r="AS356" s="276"/>
      <c r="AT356" s="276"/>
      <c r="AU356" s="276"/>
      <c r="AV356" s="276"/>
      <c r="AW356" s="276"/>
      <c r="AX356" s="276"/>
      <c r="AY356" s="276"/>
      <c r="AZ356" s="276"/>
      <c r="BA356" s="276"/>
      <c r="BB356" s="276"/>
      <c r="BC356" s="276"/>
      <c r="BD356" s="276"/>
      <c r="BE356" s="276"/>
      <c r="BF356" s="276"/>
      <c r="BG356" s="276"/>
      <c r="BH356" s="276"/>
      <c r="BI356" s="276"/>
      <c r="BJ356" s="276"/>
      <c r="BK356" s="276"/>
      <c r="BL356" s="276"/>
      <c r="BM356" s="276"/>
    </row>
    <row r="357" spans="2:65" ht="13.8" x14ac:dyDescent="0.25">
      <c r="B357" s="253"/>
      <c r="C357" s="253"/>
      <c r="R357" s="253"/>
      <c r="S357" s="253"/>
      <c r="T357" s="253"/>
      <c r="U357" s="253"/>
      <c r="V357" s="253"/>
      <c r="W357" s="276"/>
      <c r="X357" s="276"/>
      <c r="Y357" s="276"/>
      <c r="Z357" s="276"/>
      <c r="AA357" s="276"/>
      <c r="AB357" s="276"/>
      <c r="AC357" s="276"/>
      <c r="AD357" s="276"/>
      <c r="AE357" s="276"/>
      <c r="AF357" s="276"/>
      <c r="AG357" s="276"/>
      <c r="AH357" s="276"/>
      <c r="AI357" s="276"/>
      <c r="AJ357" s="276"/>
      <c r="AK357" s="276"/>
      <c r="AL357" s="276"/>
      <c r="AM357" s="276"/>
      <c r="AN357" s="276"/>
      <c r="AO357" s="276"/>
      <c r="AP357" s="276"/>
      <c r="AQ357" s="276"/>
      <c r="AR357" s="276"/>
      <c r="AS357" s="276"/>
      <c r="AT357" s="276"/>
      <c r="AU357" s="276"/>
      <c r="AV357" s="276"/>
      <c r="AW357" s="276"/>
      <c r="AX357" s="276"/>
      <c r="AY357" s="276"/>
      <c r="AZ357" s="276"/>
      <c r="BA357" s="276"/>
      <c r="BB357" s="276"/>
      <c r="BC357" s="276"/>
      <c r="BD357" s="276"/>
      <c r="BE357" s="276"/>
      <c r="BF357" s="276"/>
      <c r="BG357" s="276"/>
      <c r="BH357" s="276"/>
      <c r="BI357" s="276"/>
      <c r="BJ357" s="276"/>
      <c r="BK357" s="276"/>
      <c r="BL357" s="276"/>
      <c r="BM357" s="276"/>
    </row>
    <row r="358" spans="2:65" ht="13.8" x14ac:dyDescent="0.25">
      <c r="B358" s="253"/>
      <c r="C358" s="253"/>
      <c r="R358" s="253"/>
      <c r="S358" s="253"/>
      <c r="T358" s="253"/>
      <c r="U358" s="253"/>
      <c r="V358" s="253"/>
      <c r="W358" s="276"/>
      <c r="X358" s="276"/>
      <c r="Y358" s="276"/>
      <c r="Z358" s="276"/>
      <c r="AA358" s="276"/>
      <c r="AB358" s="276"/>
      <c r="AC358" s="276"/>
      <c r="AD358" s="276"/>
      <c r="AE358" s="276"/>
      <c r="AF358" s="276"/>
      <c r="AG358" s="276"/>
      <c r="AH358" s="276"/>
      <c r="AI358" s="276"/>
      <c r="AJ358" s="276"/>
      <c r="AK358" s="276"/>
      <c r="AL358" s="276"/>
      <c r="AM358" s="276"/>
      <c r="AN358" s="276"/>
      <c r="AO358" s="276"/>
      <c r="AP358" s="276"/>
      <c r="AQ358" s="276"/>
      <c r="AR358" s="276"/>
      <c r="AS358" s="276"/>
      <c r="AT358" s="276"/>
      <c r="AU358" s="276"/>
      <c r="AV358" s="276"/>
      <c r="AW358" s="276"/>
      <c r="AX358" s="276"/>
      <c r="AY358" s="276"/>
      <c r="AZ358" s="276"/>
      <c r="BA358" s="276"/>
      <c r="BB358" s="276"/>
      <c r="BC358" s="276"/>
      <c r="BD358" s="276"/>
      <c r="BE358" s="276"/>
      <c r="BF358" s="276"/>
      <c r="BG358" s="276"/>
      <c r="BH358" s="276"/>
      <c r="BI358" s="276"/>
      <c r="BJ358" s="276"/>
      <c r="BK358" s="276"/>
      <c r="BL358" s="276"/>
      <c r="BM358" s="276"/>
    </row>
    <row r="359" spans="2:65" ht="13.8" x14ac:dyDescent="0.25">
      <c r="B359" s="253"/>
      <c r="C359" s="253"/>
      <c r="R359" s="253"/>
      <c r="S359" s="253"/>
      <c r="T359" s="253"/>
      <c r="U359" s="253"/>
      <c r="V359" s="253"/>
      <c r="W359" s="276"/>
      <c r="X359" s="276"/>
      <c r="Y359" s="276"/>
      <c r="Z359" s="276"/>
      <c r="AA359" s="276"/>
      <c r="AB359" s="276"/>
      <c r="AC359" s="276"/>
      <c r="AD359" s="276"/>
      <c r="AE359" s="276"/>
      <c r="AF359" s="276"/>
      <c r="AG359" s="276"/>
      <c r="AH359" s="276"/>
      <c r="AI359" s="276"/>
      <c r="AJ359" s="276"/>
      <c r="AK359" s="276"/>
      <c r="AL359" s="276"/>
      <c r="AM359" s="276"/>
      <c r="AN359" s="276"/>
      <c r="AO359" s="276"/>
      <c r="AP359" s="276"/>
      <c r="AQ359" s="276"/>
      <c r="AR359" s="276"/>
      <c r="AS359" s="276"/>
      <c r="AT359" s="276"/>
      <c r="AU359" s="276"/>
      <c r="AV359" s="276"/>
      <c r="AW359" s="276"/>
      <c r="AX359" s="276"/>
      <c r="AY359" s="276"/>
      <c r="AZ359" s="276"/>
      <c r="BA359" s="276"/>
      <c r="BB359" s="276"/>
      <c r="BC359" s="276"/>
      <c r="BD359" s="276"/>
      <c r="BE359" s="276"/>
      <c r="BF359" s="276"/>
      <c r="BG359" s="276"/>
      <c r="BH359" s="276"/>
      <c r="BI359" s="276"/>
      <c r="BJ359" s="276"/>
      <c r="BK359" s="276"/>
      <c r="BL359" s="276"/>
      <c r="BM359" s="276"/>
    </row>
    <row r="360" spans="2:65" ht="13.8" x14ac:dyDescent="0.25">
      <c r="B360" s="253"/>
      <c r="C360" s="253"/>
      <c r="R360" s="253"/>
      <c r="S360" s="253"/>
      <c r="T360" s="253"/>
      <c r="U360" s="253"/>
      <c r="V360" s="253"/>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6"/>
      <c r="AR360" s="276"/>
      <c r="AS360" s="276"/>
      <c r="AT360" s="276"/>
      <c r="AU360" s="276"/>
      <c r="AV360" s="276"/>
      <c r="AW360" s="276"/>
      <c r="AX360" s="276"/>
      <c r="AY360" s="276"/>
      <c r="AZ360" s="276"/>
      <c r="BA360" s="276"/>
      <c r="BB360" s="276"/>
      <c r="BC360" s="276"/>
      <c r="BD360" s="276"/>
      <c r="BE360" s="276"/>
      <c r="BF360" s="276"/>
      <c r="BG360" s="276"/>
      <c r="BH360" s="276"/>
      <c r="BI360" s="276"/>
      <c r="BJ360" s="276"/>
      <c r="BK360" s="276"/>
      <c r="BL360" s="276"/>
      <c r="BM360" s="276"/>
    </row>
    <row r="361" spans="2:65" ht="13.8" x14ac:dyDescent="0.25">
      <c r="B361" s="253"/>
      <c r="C361" s="253"/>
      <c r="R361" s="253"/>
      <c r="S361" s="253"/>
      <c r="T361" s="253"/>
      <c r="U361" s="253"/>
      <c r="V361" s="253"/>
      <c r="W361" s="276"/>
      <c r="X361" s="276"/>
      <c r="Y361" s="276"/>
      <c r="Z361" s="276"/>
      <c r="AA361" s="276"/>
      <c r="AB361" s="276"/>
      <c r="AC361" s="276"/>
      <c r="AD361" s="276"/>
      <c r="AE361" s="276"/>
      <c r="AF361" s="276"/>
      <c r="AG361" s="276"/>
      <c r="AH361" s="276"/>
      <c r="AI361" s="276"/>
      <c r="AJ361" s="276"/>
      <c r="AK361" s="276"/>
      <c r="AL361" s="276"/>
      <c r="AM361" s="276"/>
      <c r="AN361" s="276"/>
      <c r="AO361" s="276"/>
      <c r="AP361" s="276"/>
      <c r="AQ361" s="276"/>
      <c r="AR361" s="276"/>
      <c r="AS361" s="276"/>
      <c r="AT361" s="276"/>
      <c r="AU361" s="276"/>
      <c r="AV361" s="276"/>
      <c r="AW361" s="276"/>
      <c r="AX361" s="276"/>
      <c r="AY361" s="276"/>
      <c r="AZ361" s="276"/>
      <c r="BA361" s="276"/>
      <c r="BB361" s="276"/>
      <c r="BC361" s="276"/>
      <c r="BD361" s="276"/>
      <c r="BE361" s="276"/>
      <c r="BF361" s="276"/>
      <c r="BG361" s="276"/>
      <c r="BH361" s="276"/>
      <c r="BI361" s="276"/>
      <c r="BJ361" s="276"/>
      <c r="BK361" s="276"/>
      <c r="BL361" s="276"/>
      <c r="BM361" s="276"/>
    </row>
    <row r="362" spans="2:65" ht="13.8" x14ac:dyDescent="0.25">
      <c r="B362" s="253"/>
      <c r="C362" s="253"/>
      <c r="R362" s="253"/>
      <c r="S362" s="253"/>
      <c r="T362" s="253"/>
      <c r="U362" s="253"/>
      <c r="V362" s="253"/>
      <c r="W362" s="276"/>
      <c r="X362" s="276"/>
      <c r="Y362" s="276"/>
      <c r="Z362" s="276"/>
      <c r="AA362" s="276"/>
      <c r="AB362" s="276"/>
      <c r="AC362" s="276"/>
      <c r="AD362" s="276"/>
      <c r="AE362" s="276"/>
      <c r="AF362" s="276"/>
      <c r="AG362" s="276"/>
      <c r="AH362" s="276"/>
      <c r="AI362" s="276"/>
      <c r="AJ362" s="276"/>
      <c r="AK362" s="276"/>
      <c r="AL362" s="276"/>
      <c r="AM362" s="276"/>
      <c r="AN362" s="276"/>
      <c r="AO362" s="276"/>
      <c r="AP362" s="276"/>
      <c r="AQ362" s="276"/>
      <c r="AR362" s="276"/>
      <c r="AS362" s="276"/>
      <c r="AT362" s="276"/>
      <c r="AU362" s="276"/>
      <c r="AV362" s="276"/>
      <c r="AW362" s="276"/>
      <c r="AX362" s="276"/>
      <c r="AY362" s="276"/>
      <c r="AZ362" s="276"/>
      <c r="BA362" s="276"/>
      <c r="BB362" s="276"/>
      <c r="BC362" s="276"/>
      <c r="BD362" s="276"/>
      <c r="BE362" s="276"/>
      <c r="BF362" s="276"/>
      <c r="BG362" s="276"/>
      <c r="BH362" s="276"/>
      <c r="BI362" s="276"/>
      <c r="BJ362" s="276"/>
      <c r="BK362" s="276"/>
      <c r="BL362" s="276"/>
      <c r="BM362" s="276"/>
    </row>
    <row r="363" spans="2:65" ht="13.8" x14ac:dyDescent="0.25">
      <c r="B363" s="253"/>
      <c r="C363" s="253"/>
      <c r="R363" s="253"/>
      <c r="S363" s="253"/>
      <c r="T363" s="253"/>
      <c r="U363" s="253"/>
      <c r="V363" s="253"/>
      <c r="W363" s="276"/>
      <c r="X363" s="276"/>
      <c r="Y363" s="276"/>
      <c r="Z363" s="276"/>
      <c r="AA363" s="276"/>
      <c r="AB363" s="276"/>
      <c r="AC363" s="276"/>
      <c r="AD363" s="276"/>
      <c r="AE363" s="276"/>
      <c r="AF363" s="276"/>
      <c r="AG363" s="276"/>
      <c r="AH363" s="276"/>
      <c r="AI363" s="276"/>
      <c r="AJ363" s="276"/>
      <c r="AK363" s="276"/>
      <c r="AL363" s="276"/>
      <c r="AM363" s="276"/>
      <c r="AN363" s="276"/>
      <c r="AO363" s="276"/>
      <c r="AP363" s="276"/>
      <c r="AQ363" s="276"/>
      <c r="AR363" s="276"/>
      <c r="AS363" s="276"/>
      <c r="AT363" s="276"/>
      <c r="AU363" s="276"/>
      <c r="AV363" s="276"/>
      <c r="AW363" s="276"/>
      <c r="AX363" s="276"/>
      <c r="AY363" s="276"/>
      <c r="AZ363" s="276"/>
      <c r="BA363" s="276"/>
      <c r="BB363" s="276"/>
      <c r="BC363" s="276"/>
      <c r="BD363" s="276"/>
      <c r="BE363" s="276"/>
      <c r="BF363" s="276"/>
      <c r="BG363" s="276"/>
      <c r="BH363" s="276"/>
      <c r="BI363" s="276"/>
      <c r="BJ363" s="276"/>
      <c r="BK363" s="276"/>
      <c r="BL363" s="276"/>
      <c r="BM363" s="276"/>
    </row>
    <row r="364" spans="2:65" ht="13.8" x14ac:dyDescent="0.25">
      <c r="B364" s="253"/>
      <c r="C364" s="253"/>
      <c r="R364" s="253"/>
      <c r="S364" s="253"/>
      <c r="T364" s="253"/>
      <c r="U364" s="253"/>
      <c r="V364" s="253"/>
      <c r="W364" s="276"/>
      <c r="X364" s="276"/>
      <c r="Y364" s="276"/>
      <c r="Z364" s="276"/>
      <c r="AA364" s="276"/>
      <c r="AB364" s="276"/>
      <c r="AC364" s="276"/>
      <c r="AD364" s="276"/>
      <c r="AE364" s="276"/>
      <c r="AF364" s="276"/>
      <c r="AG364" s="276"/>
      <c r="AH364" s="276"/>
      <c r="AI364" s="276"/>
      <c r="AJ364" s="276"/>
      <c r="AK364" s="276"/>
      <c r="AL364" s="276"/>
      <c r="AM364" s="276"/>
      <c r="AN364" s="276"/>
      <c r="AO364" s="276"/>
      <c r="AP364" s="276"/>
      <c r="AQ364" s="276"/>
      <c r="AR364" s="276"/>
      <c r="AS364" s="276"/>
      <c r="AT364" s="276"/>
      <c r="AU364" s="276"/>
      <c r="AV364" s="276"/>
      <c r="AW364" s="276"/>
      <c r="AX364" s="276"/>
      <c r="AY364" s="276"/>
      <c r="AZ364" s="276"/>
      <c r="BA364" s="276"/>
      <c r="BB364" s="276"/>
      <c r="BC364" s="276"/>
      <c r="BD364" s="276"/>
      <c r="BE364" s="276"/>
      <c r="BF364" s="276"/>
      <c r="BG364" s="276"/>
      <c r="BH364" s="276"/>
      <c r="BI364" s="276"/>
      <c r="BJ364" s="276"/>
      <c r="BK364" s="276"/>
      <c r="BL364" s="276"/>
      <c r="BM364" s="276"/>
    </row>
    <row r="365" spans="2:65" ht="13.8" x14ac:dyDescent="0.25">
      <c r="B365" s="253"/>
      <c r="C365" s="253"/>
      <c r="R365" s="253"/>
      <c r="S365" s="253"/>
      <c r="T365" s="253"/>
      <c r="U365" s="253"/>
      <c r="V365" s="253"/>
      <c r="W365" s="276"/>
      <c r="X365" s="276"/>
      <c r="Y365" s="276"/>
      <c r="Z365" s="276"/>
      <c r="AA365" s="276"/>
      <c r="AB365" s="276"/>
      <c r="AC365" s="276"/>
      <c r="AD365" s="276"/>
      <c r="AE365" s="276"/>
      <c r="AF365" s="276"/>
      <c r="AG365" s="276"/>
      <c r="AH365" s="276"/>
      <c r="AI365" s="276"/>
      <c r="AJ365" s="276"/>
      <c r="AK365" s="276"/>
      <c r="AL365" s="276"/>
      <c r="AM365" s="276"/>
      <c r="AN365" s="276"/>
      <c r="AO365" s="276"/>
      <c r="AP365" s="276"/>
      <c r="AQ365" s="276"/>
      <c r="AR365" s="276"/>
      <c r="AS365" s="276"/>
      <c r="AT365" s="276"/>
      <c r="AU365" s="276"/>
      <c r="AV365" s="276"/>
      <c r="AW365" s="276"/>
      <c r="AX365" s="276"/>
      <c r="AY365" s="276"/>
      <c r="AZ365" s="276"/>
      <c r="BA365" s="276"/>
      <c r="BB365" s="276"/>
      <c r="BC365" s="276"/>
      <c r="BD365" s="276"/>
      <c r="BE365" s="276"/>
      <c r="BF365" s="276"/>
      <c r="BG365" s="276"/>
      <c r="BH365" s="276"/>
      <c r="BI365" s="276"/>
      <c r="BJ365" s="276"/>
      <c r="BK365" s="276"/>
      <c r="BL365" s="276"/>
      <c r="BM365" s="276"/>
    </row>
    <row r="366" spans="2:65" ht="13.8" x14ac:dyDescent="0.25">
      <c r="B366" s="253"/>
      <c r="C366" s="253"/>
      <c r="R366" s="253"/>
      <c r="S366" s="253"/>
      <c r="T366" s="253"/>
      <c r="U366" s="253"/>
      <c r="V366" s="253"/>
      <c r="W366" s="276"/>
      <c r="X366" s="276"/>
      <c r="Y366" s="276"/>
      <c r="Z366" s="276"/>
      <c r="AA366" s="276"/>
      <c r="AB366" s="276"/>
      <c r="AC366" s="276"/>
      <c r="AD366" s="276"/>
      <c r="AE366" s="276"/>
      <c r="AF366" s="276"/>
      <c r="AG366" s="276"/>
      <c r="AH366" s="276"/>
      <c r="AI366" s="276"/>
      <c r="AJ366" s="276"/>
      <c r="AK366" s="276"/>
      <c r="AL366" s="276"/>
      <c r="AM366" s="276"/>
      <c r="AN366" s="276"/>
      <c r="AO366" s="276"/>
      <c r="AP366" s="276"/>
      <c r="AQ366" s="276"/>
      <c r="AR366" s="276"/>
      <c r="AS366" s="276"/>
      <c r="AT366" s="276"/>
      <c r="AU366" s="276"/>
      <c r="AV366" s="276"/>
      <c r="AW366" s="276"/>
      <c r="AX366" s="276"/>
      <c r="AY366" s="276"/>
      <c r="AZ366" s="276"/>
      <c r="BA366" s="276"/>
      <c r="BB366" s="276"/>
      <c r="BC366" s="276"/>
      <c r="BD366" s="276"/>
      <c r="BE366" s="276"/>
      <c r="BF366" s="276"/>
      <c r="BG366" s="276"/>
      <c r="BH366" s="276"/>
      <c r="BI366" s="276"/>
      <c r="BJ366" s="276"/>
      <c r="BK366" s="276"/>
      <c r="BL366" s="276"/>
      <c r="BM366" s="276"/>
    </row>
    <row r="367" spans="2:65" ht="13.8" x14ac:dyDescent="0.25">
      <c r="B367" s="253"/>
      <c r="C367" s="253"/>
      <c r="R367" s="253"/>
      <c r="S367" s="253"/>
      <c r="T367" s="253"/>
      <c r="U367" s="253"/>
      <c r="V367" s="253"/>
      <c r="W367" s="276"/>
      <c r="X367" s="276"/>
      <c r="Y367" s="276"/>
      <c r="Z367" s="276"/>
      <c r="AA367" s="276"/>
      <c r="AB367" s="276"/>
      <c r="AC367" s="276"/>
      <c r="AD367" s="276"/>
      <c r="AE367" s="276"/>
      <c r="AF367" s="276"/>
      <c r="AG367" s="276"/>
      <c r="AH367" s="276"/>
      <c r="AI367" s="276"/>
      <c r="AJ367" s="276"/>
      <c r="AK367" s="276"/>
      <c r="AL367" s="276"/>
      <c r="AM367" s="276"/>
      <c r="AN367" s="276"/>
      <c r="AO367" s="276"/>
      <c r="AP367" s="276"/>
      <c r="AQ367" s="276"/>
      <c r="AR367" s="276"/>
      <c r="AS367" s="276"/>
      <c r="AT367" s="276"/>
      <c r="AU367" s="276"/>
      <c r="AV367" s="276"/>
      <c r="AW367" s="276"/>
      <c r="AX367" s="276"/>
      <c r="AY367" s="276"/>
      <c r="AZ367" s="276"/>
      <c r="BA367" s="276"/>
      <c r="BB367" s="276"/>
      <c r="BC367" s="276"/>
      <c r="BD367" s="276"/>
      <c r="BE367" s="276"/>
      <c r="BF367" s="276"/>
      <c r="BG367" s="276"/>
      <c r="BH367" s="276"/>
      <c r="BI367" s="276"/>
      <c r="BJ367" s="276"/>
      <c r="BK367" s="276"/>
      <c r="BL367" s="276"/>
      <c r="BM367" s="276"/>
    </row>
    <row r="368" spans="2:65" ht="13.8" x14ac:dyDescent="0.25">
      <c r="B368" s="253"/>
      <c r="C368" s="253"/>
      <c r="R368" s="253"/>
      <c r="S368" s="253"/>
      <c r="T368" s="253"/>
      <c r="U368" s="253"/>
      <c r="V368" s="253"/>
      <c r="W368" s="276"/>
      <c r="X368" s="276"/>
      <c r="Y368" s="276"/>
      <c r="Z368" s="276"/>
      <c r="AA368" s="276"/>
      <c r="AB368" s="276"/>
      <c r="AC368" s="276"/>
      <c r="AD368" s="276"/>
      <c r="AE368" s="276"/>
      <c r="AF368" s="276"/>
      <c r="AG368" s="276"/>
      <c r="AH368" s="276"/>
      <c r="AI368" s="276"/>
      <c r="AJ368" s="276"/>
      <c r="AK368" s="276"/>
      <c r="AL368" s="276"/>
      <c r="AM368" s="276"/>
      <c r="AN368" s="276"/>
      <c r="AO368" s="276"/>
      <c r="AP368" s="276"/>
      <c r="AQ368" s="276"/>
      <c r="AR368" s="276"/>
      <c r="AS368" s="276"/>
      <c r="AT368" s="276"/>
      <c r="AU368" s="276"/>
      <c r="AV368" s="276"/>
      <c r="AW368" s="276"/>
      <c r="AX368" s="276"/>
      <c r="AY368" s="276"/>
      <c r="AZ368" s="276"/>
      <c r="BA368" s="276"/>
      <c r="BB368" s="276"/>
      <c r="BC368" s="276"/>
      <c r="BD368" s="276"/>
      <c r="BE368" s="276"/>
      <c r="BF368" s="276"/>
      <c r="BG368" s="276"/>
      <c r="BH368" s="276"/>
      <c r="BI368" s="276"/>
      <c r="BJ368" s="276"/>
      <c r="BK368" s="276"/>
      <c r="BL368" s="276"/>
      <c r="BM368" s="276"/>
    </row>
    <row r="369" spans="2:65" ht="13.8" x14ac:dyDescent="0.25">
      <c r="B369" s="253"/>
      <c r="C369" s="253"/>
      <c r="R369" s="253"/>
      <c r="S369" s="253"/>
      <c r="T369" s="253"/>
      <c r="U369" s="253"/>
      <c r="V369" s="253"/>
      <c r="W369" s="276"/>
      <c r="X369" s="276"/>
      <c r="Y369" s="276"/>
      <c r="Z369" s="276"/>
      <c r="AA369" s="276"/>
      <c r="AB369" s="276"/>
      <c r="AC369" s="276"/>
      <c r="AD369" s="276"/>
      <c r="AE369" s="276"/>
      <c r="AF369" s="276"/>
      <c r="AG369" s="276"/>
      <c r="AH369" s="276"/>
      <c r="AI369" s="276"/>
      <c r="AJ369" s="276"/>
      <c r="AK369" s="276"/>
      <c r="AL369" s="276"/>
      <c r="AM369" s="276"/>
      <c r="AN369" s="276"/>
      <c r="AO369" s="276"/>
      <c r="AP369" s="276"/>
      <c r="AQ369" s="276"/>
      <c r="AR369" s="276"/>
      <c r="AS369" s="276"/>
      <c r="AT369" s="276"/>
      <c r="AU369" s="276"/>
      <c r="AV369" s="276"/>
      <c r="AW369" s="276"/>
      <c r="AX369" s="276"/>
      <c r="AY369" s="276"/>
      <c r="AZ369" s="276"/>
      <c r="BA369" s="276"/>
      <c r="BB369" s="276"/>
      <c r="BC369" s="276"/>
      <c r="BD369" s="276"/>
      <c r="BE369" s="276"/>
      <c r="BF369" s="276"/>
      <c r="BG369" s="276"/>
      <c r="BH369" s="276"/>
      <c r="BI369" s="276"/>
      <c r="BJ369" s="276"/>
      <c r="BK369" s="276"/>
      <c r="BL369" s="276"/>
      <c r="BM369" s="276"/>
    </row>
    <row r="370" spans="2:65" ht="13.8" x14ac:dyDescent="0.25">
      <c r="B370" s="253"/>
      <c r="C370" s="253"/>
      <c r="R370" s="253"/>
      <c r="S370" s="253"/>
      <c r="T370" s="253"/>
      <c r="U370" s="253"/>
      <c r="V370" s="253"/>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6"/>
      <c r="AR370" s="276"/>
      <c r="AS370" s="276"/>
      <c r="AT370" s="276"/>
      <c r="AU370" s="276"/>
      <c r="AV370" s="276"/>
      <c r="AW370" s="276"/>
      <c r="AX370" s="276"/>
      <c r="AY370" s="276"/>
      <c r="AZ370" s="276"/>
      <c r="BA370" s="276"/>
      <c r="BB370" s="276"/>
      <c r="BC370" s="276"/>
      <c r="BD370" s="276"/>
      <c r="BE370" s="276"/>
      <c r="BF370" s="276"/>
      <c r="BG370" s="276"/>
      <c r="BH370" s="276"/>
      <c r="BI370" s="276"/>
      <c r="BJ370" s="276"/>
      <c r="BK370" s="276"/>
      <c r="BL370" s="276"/>
      <c r="BM370" s="276"/>
    </row>
    <row r="371" spans="2:65" ht="13.8" x14ac:dyDescent="0.25">
      <c r="B371" s="253"/>
      <c r="C371" s="253"/>
      <c r="R371" s="253"/>
      <c r="S371" s="253"/>
      <c r="T371" s="253"/>
      <c r="U371" s="253"/>
      <c r="V371" s="253"/>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6"/>
      <c r="AR371" s="276"/>
      <c r="AS371" s="276"/>
      <c r="AT371" s="276"/>
      <c r="AU371" s="276"/>
      <c r="AV371" s="276"/>
      <c r="AW371" s="276"/>
      <c r="AX371" s="276"/>
      <c r="AY371" s="276"/>
      <c r="AZ371" s="276"/>
      <c r="BA371" s="276"/>
      <c r="BB371" s="276"/>
      <c r="BC371" s="276"/>
      <c r="BD371" s="276"/>
      <c r="BE371" s="276"/>
      <c r="BF371" s="276"/>
      <c r="BG371" s="276"/>
      <c r="BH371" s="276"/>
      <c r="BI371" s="276"/>
      <c r="BJ371" s="276"/>
      <c r="BK371" s="276"/>
      <c r="BL371" s="276"/>
      <c r="BM371" s="276"/>
    </row>
    <row r="372" spans="2:65" ht="13.8" x14ac:dyDescent="0.25">
      <c r="B372" s="253"/>
      <c r="C372" s="253"/>
      <c r="R372" s="253"/>
      <c r="S372" s="253"/>
      <c r="T372" s="253"/>
      <c r="U372" s="253"/>
      <c r="V372" s="253"/>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6"/>
      <c r="AR372" s="276"/>
      <c r="AS372" s="276"/>
      <c r="AT372" s="276"/>
      <c r="AU372" s="276"/>
      <c r="AV372" s="276"/>
      <c r="AW372" s="276"/>
      <c r="AX372" s="276"/>
      <c r="AY372" s="276"/>
      <c r="AZ372" s="276"/>
      <c r="BA372" s="276"/>
      <c r="BB372" s="276"/>
      <c r="BC372" s="276"/>
      <c r="BD372" s="276"/>
      <c r="BE372" s="276"/>
      <c r="BF372" s="276"/>
      <c r="BG372" s="276"/>
      <c r="BH372" s="276"/>
      <c r="BI372" s="276"/>
      <c r="BJ372" s="276"/>
      <c r="BK372" s="276"/>
      <c r="BL372" s="276"/>
      <c r="BM372" s="276"/>
    </row>
    <row r="373" spans="2:65" ht="13.8" x14ac:dyDescent="0.25">
      <c r="B373" s="253"/>
      <c r="C373" s="253"/>
      <c r="R373" s="253"/>
      <c r="S373" s="253"/>
      <c r="T373" s="253"/>
      <c r="U373" s="253"/>
      <c r="V373" s="253"/>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6"/>
      <c r="AR373" s="276"/>
      <c r="AS373" s="276"/>
      <c r="AT373" s="276"/>
      <c r="AU373" s="276"/>
      <c r="AV373" s="276"/>
      <c r="AW373" s="276"/>
      <c r="AX373" s="276"/>
      <c r="AY373" s="276"/>
      <c r="AZ373" s="276"/>
      <c r="BA373" s="276"/>
      <c r="BB373" s="276"/>
      <c r="BC373" s="276"/>
      <c r="BD373" s="276"/>
      <c r="BE373" s="276"/>
      <c r="BF373" s="276"/>
      <c r="BG373" s="276"/>
      <c r="BH373" s="276"/>
      <c r="BI373" s="276"/>
      <c r="BJ373" s="276"/>
      <c r="BK373" s="276"/>
      <c r="BL373" s="276"/>
      <c r="BM373" s="276"/>
    </row>
    <row r="374" spans="2:65" ht="13.8" x14ac:dyDescent="0.25">
      <c r="B374" s="253"/>
      <c r="C374" s="253"/>
      <c r="R374" s="253"/>
      <c r="S374" s="253"/>
      <c r="T374" s="253"/>
      <c r="U374" s="253"/>
      <c r="V374" s="253"/>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6"/>
      <c r="AR374" s="276"/>
      <c r="AS374" s="276"/>
      <c r="AT374" s="276"/>
      <c r="AU374" s="276"/>
      <c r="AV374" s="276"/>
      <c r="AW374" s="276"/>
      <c r="AX374" s="276"/>
      <c r="AY374" s="276"/>
      <c r="AZ374" s="276"/>
      <c r="BA374" s="276"/>
      <c r="BB374" s="276"/>
      <c r="BC374" s="276"/>
      <c r="BD374" s="276"/>
      <c r="BE374" s="276"/>
      <c r="BF374" s="276"/>
      <c r="BG374" s="276"/>
      <c r="BH374" s="276"/>
      <c r="BI374" s="276"/>
      <c r="BJ374" s="276"/>
      <c r="BK374" s="276"/>
      <c r="BL374" s="276"/>
      <c r="BM374" s="276"/>
    </row>
    <row r="375" spans="2:65" ht="13.8" x14ac:dyDescent="0.25">
      <c r="B375" s="253"/>
      <c r="C375" s="253"/>
      <c r="R375" s="253"/>
      <c r="S375" s="253"/>
      <c r="T375" s="253"/>
      <c r="U375" s="253"/>
      <c r="V375" s="253"/>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6"/>
      <c r="AR375" s="276"/>
      <c r="AS375" s="276"/>
      <c r="AT375" s="276"/>
      <c r="AU375" s="276"/>
      <c r="AV375" s="276"/>
      <c r="AW375" s="276"/>
      <c r="AX375" s="276"/>
      <c r="AY375" s="276"/>
      <c r="AZ375" s="276"/>
      <c r="BA375" s="276"/>
      <c r="BB375" s="276"/>
      <c r="BC375" s="276"/>
      <c r="BD375" s="276"/>
      <c r="BE375" s="276"/>
      <c r="BF375" s="276"/>
      <c r="BG375" s="276"/>
      <c r="BH375" s="276"/>
      <c r="BI375" s="276"/>
      <c r="BJ375" s="276"/>
      <c r="BK375" s="276"/>
      <c r="BL375" s="276"/>
      <c r="BM375" s="276"/>
    </row>
    <row r="376" spans="2:65" ht="13.8" x14ac:dyDescent="0.25">
      <c r="B376" s="253"/>
      <c r="C376" s="253"/>
      <c r="R376" s="253"/>
      <c r="S376" s="253"/>
      <c r="T376" s="253"/>
      <c r="U376" s="253"/>
      <c r="V376" s="253"/>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6"/>
      <c r="AR376" s="276"/>
      <c r="AS376" s="276"/>
      <c r="AT376" s="276"/>
      <c r="AU376" s="276"/>
      <c r="AV376" s="276"/>
      <c r="AW376" s="276"/>
      <c r="AX376" s="276"/>
      <c r="AY376" s="276"/>
      <c r="AZ376" s="276"/>
      <c r="BA376" s="276"/>
      <c r="BB376" s="276"/>
      <c r="BC376" s="276"/>
      <c r="BD376" s="276"/>
      <c r="BE376" s="276"/>
      <c r="BF376" s="276"/>
      <c r="BG376" s="276"/>
      <c r="BH376" s="276"/>
      <c r="BI376" s="276"/>
      <c r="BJ376" s="276"/>
      <c r="BK376" s="276"/>
      <c r="BL376" s="276"/>
      <c r="BM376" s="276"/>
    </row>
    <row r="377" spans="2:65" ht="13.8" x14ac:dyDescent="0.25">
      <c r="B377" s="253"/>
      <c r="C377" s="253"/>
      <c r="R377" s="253"/>
      <c r="S377" s="253"/>
      <c r="T377" s="253"/>
      <c r="U377" s="253"/>
      <c r="V377" s="253"/>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6"/>
      <c r="AR377" s="276"/>
      <c r="AS377" s="276"/>
      <c r="AT377" s="276"/>
      <c r="AU377" s="276"/>
      <c r="AV377" s="276"/>
      <c r="AW377" s="276"/>
      <c r="AX377" s="276"/>
      <c r="AY377" s="276"/>
      <c r="AZ377" s="276"/>
      <c r="BA377" s="276"/>
      <c r="BB377" s="276"/>
      <c r="BC377" s="276"/>
      <c r="BD377" s="276"/>
      <c r="BE377" s="276"/>
      <c r="BF377" s="276"/>
      <c r="BG377" s="276"/>
      <c r="BH377" s="276"/>
      <c r="BI377" s="276"/>
      <c r="BJ377" s="276"/>
      <c r="BK377" s="276"/>
      <c r="BL377" s="276"/>
      <c r="BM377" s="276"/>
    </row>
    <row r="378" spans="2:65" ht="13.8" x14ac:dyDescent="0.25">
      <c r="B378" s="253"/>
      <c r="C378" s="253"/>
      <c r="R378" s="253"/>
      <c r="S378" s="253"/>
      <c r="T378" s="253"/>
      <c r="U378" s="253"/>
      <c r="V378" s="253"/>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6"/>
      <c r="AR378" s="276"/>
      <c r="AS378" s="276"/>
      <c r="AT378" s="276"/>
      <c r="AU378" s="276"/>
      <c r="AV378" s="276"/>
      <c r="AW378" s="276"/>
      <c r="AX378" s="276"/>
      <c r="AY378" s="276"/>
      <c r="AZ378" s="276"/>
      <c r="BA378" s="276"/>
      <c r="BB378" s="276"/>
      <c r="BC378" s="276"/>
      <c r="BD378" s="276"/>
      <c r="BE378" s="276"/>
      <c r="BF378" s="276"/>
      <c r="BG378" s="276"/>
      <c r="BH378" s="276"/>
      <c r="BI378" s="276"/>
      <c r="BJ378" s="276"/>
      <c r="BK378" s="276"/>
      <c r="BL378" s="276"/>
      <c r="BM378" s="276"/>
    </row>
    <row r="379" spans="2:65" ht="13.8" x14ac:dyDescent="0.25">
      <c r="B379" s="253"/>
      <c r="C379" s="253"/>
      <c r="R379" s="253"/>
      <c r="S379" s="253"/>
      <c r="T379" s="253"/>
      <c r="U379" s="253"/>
      <c r="V379" s="253"/>
      <c r="W379" s="276"/>
      <c r="X379" s="276"/>
      <c r="Y379" s="276"/>
      <c r="Z379" s="276"/>
      <c r="AA379" s="276"/>
      <c r="AB379" s="276"/>
      <c r="AC379" s="276"/>
      <c r="AD379" s="276"/>
      <c r="AE379" s="276"/>
      <c r="AF379" s="276"/>
      <c r="AG379" s="276"/>
      <c r="AH379" s="276"/>
      <c r="AI379" s="276"/>
      <c r="AJ379" s="276"/>
      <c r="AK379" s="276"/>
      <c r="AL379" s="276"/>
      <c r="AM379" s="276"/>
      <c r="AN379" s="276"/>
      <c r="AO379" s="276"/>
      <c r="AP379" s="276"/>
      <c r="AQ379" s="276"/>
      <c r="AR379" s="276"/>
      <c r="AS379" s="276"/>
      <c r="AT379" s="276"/>
      <c r="AU379" s="276"/>
      <c r="AV379" s="276"/>
      <c r="AW379" s="276"/>
      <c r="AX379" s="276"/>
      <c r="AY379" s="276"/>
      <c r="AZ379" s="276"/>
      <c r="BA379" s="276"/>
      <c r="BB379" s="276"/>
      <c r="BC379" s="276"/>
      <c r="BD379" s="276"/>
      <c r="BE379" s="276"/>
      <c r="BF379" s="276"/>
      <c r="BG379" s="276"/>
      <c r="BH379" s="276"/>
      <c r="BI379" s="276"/>
      <c r="BJ379" s="276"/>
      <c r="BK379" s="276"/>
      <c r="BL379" s="276"/>
      <c r="BM379" s="276"/>
    </row>
    <row r="380" spans="2:65" ht="13.8" x14ac:dyDescent="0.25">
      <c r="B380" s="253"/>
      <c r="C380" s="253"/>
      <c r="R380" s="253"/>
      <c r="S380" s="253"/>
      <c r="T380" s="253"/>
      <c r="U380" s="253"/>
      <c r="V380" s="253"/>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6"/>
      <c r="AR380" s="276"/>
      <c r="AS380" s="276"/>
      <c r="AT380" s="276"/>
      <c r="AU380" s="276"/>
      <c r="AV380" s="276"/>
      <c r="AW380" s="276"/>
      <c r="AX380" s="276"/>
      <c r="AY380" s="276"/>
      <c r="AZ380" s="276"/>
      <c r="BA380" s="276"/>
      <c r="BB380" s="276"/>
      <c r="BC380" s="276"/>
      <c r="BD380" s="276"/>
      <c r="BE380" s="276"/>
      <c r="BF380" s="276"/>
      <c r="BG380" s="276"/>
      <c r="BH380" s="276"/>
      <c r="BI380" s="276"/>
      <c r="BJ380" s="276"/>
      <c r="BK380" s="276"/>
      <c r="BL380" s="276"/>
      <c r="BM380" s="276"/>
    </row>
    <row r="381" spans="2:65" ht="13.8" x14ac:dyDescent="0.25">
      <c r="B381" s="253"/>
      <c r="C381" s="253"/>
      <c r="R381" s="253"/>
      <c r="S381" s="253"/>
      <c r="T381" s="253"/>
      <c r="U381" s="253"/>
      <c r="V381" s="253"/>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6"/>
      <c r="AR381" s="276"/>
      <c r="AS381" s="276"/>
      <c r="AT381" s="276"/>
      <c r="AU381" s="276"/>
      <c r="AV381" s="276"/>
      <c r="AW381" s="276"/>
      <c r="AX381" s="276"/>
      <c r="AY381" s="276"/>
      <c r="AZ381" s="276"/>
      <c r="BA381" s="276"/>
      <c r="BB381" s="276"/>
      <c r="BC381" s="276"/>
      <c r="BD381" s="276"/>
      <c r="BE381" s="276"/>
      <c r="BF381" s="276"/>
      <c r="BG381" s="276"/>
      <c r="BH381" s="276"/>
      <c r="BI381" s="276"/>
      <c r="BJ381" s="276"/>
      <c r="BK381" s="276"/>
      <c r="BL381" s="276"/>
      <c r="BM381" s="276"/>
    </row>
    <row r="382" spans="2:65" ht="13.8" x14ac:dyDescent="0.25">
      <c r="B382" s="253"/>
      <c r="C382" s="253"/>
      <c r="R382" s="253"/>
      <c r="S382" s="253"/>
      <c r="T382" s="253"/>
      <c r="U382" s="253"/>
      <c r="V382" s="253"/>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6"/>
      <c r="AR382" s="276"/>
      <c r="AS382" s="276"/>
      <c r="AT382" s="276"/>
      <c r="AU382" s="276"/>
      <c r="AV382" s="276"/>
      <c r="AW382" s="276"/>
      <c r="AX382" s="276"/>
      <c r="AY382" s="276"/>
      <c r="AZ382" s="276"/>
      <c r="BA382" s="276"/>
      <c r="BB382" s="276"/>
      <c r="BC382" s="276"/>
      <c r="BD382" s="276"/>
      <c r="BE382" s="276"/>
      <c r="BF382" s="276"/>
      <c r="BG382" s="276"/>
      <c r="BH382" s="276"/>
      <c r="BI382" s="276"/>
      <c r="BJ382" s="276"/>
      <c r="BK382" s="276"/>
      <c r="BL382" s="276"/>
      <c r="BM382" s="276"/>
    </row>
    <row r="383" spans="2:65" ht="13.8" x14ac:dyDescent="0.25">
      <c r="B383" s="253"/>
      <c r="C383" s="253"/>
      <c r="R383" s="253"/>
      <c r="S383" s="253"/>
      <c r="T383" s="253"/>
      <c r="U383" s="253"/>
      <c r="V383" s="253"/>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6"/>
      <c r="AR383" s="276"/>
      <c r="AS383" s="276"/>
      <c r="AT383" s="276"/>
      <c r="AU383" s="276"/>
      <c r="AV383" s="276"/>
      <c r="AW383" s="276"/>
      <c r="AX383" s="276"/>
      <c r="AY383" s="276"/>
      <c r="AZ383" s="276"/>
      <c r="BA383" s="276"/>
      <c r="BB383" s="276"/>
      <c r="BC383" s="276"/>
      <c r="BD383" s="276"/>
      <c r="BE383" s="276"/>
      <c r="BF383" s="276"/>
      <c r="BG383" s="276"/>
      <c r="BH383" s="276"/>
      <c r="BI383" s="276"/>
      <c r="BJ383" s="276"/>
      <c r="BK383" s="276"/>
      <c r="BL383" s="276"/>
      <c r="BM383" s="276"/>
    </row>
    <row r="384" spans="2:65" ht="13.8" x14ac:dyDescent="0.25">
      <c r="B384" s="253"/>
      <c r="C384" s="253"/>
      <c r="R384" s="253"/>
      <c r="S384" s="253"/>
      <c r="T384" s="253"/>
      <c r="U384" s="253"/>
      <c r="V384" s="253"/>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6"/>
      <c r="AR384" s="276"/>
      <c r="AS384" s="276"/>
      <c r="AT384" s="276"/>
      <c r="AU384" s="276"/>
      <c r="AV384" s="276"/>
      <c r="AW384" s="276"/>
      <c r="AX384" s="276"/>
      <c r="AY384" s="276"/>
      <c r="AZ384" s="276"/>
      <c r="BA384" s="276"/>
      <c r="BB384" s="276"/>
      <c r="BC384" s="276"/>
      <c r="BD384" s="276"/>
      <c r="BE384" s="276"/>
      <c r="BF384" s="276"/>
      <c r="BG384" s="276"/>
      <c r="BH384" s="276"/>
      <c r="BI384" s="276"/>
      <c r="BJ384" s="276"/>
      <c r="BK384" s="276"/>
      <c r="BL384" s="276"/>
      <c r="BM384" s="276"/>
    </row>
    <row r="385" spans="2:65" ht="13.8" x14ac:dyDescent="0.25">
      <c r="B385" s="253"/>
      <c r="C385" s="253"/>
      <c r="R385" s="253"/>
      <c r="S385" s="253"/>
      <c r="T385" s="253"/>
      <c r="U385" s="253"/>
      <c r="V385" s="253"/>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6"/>
      <c r="AR385" s="276"/>
      <c r="AS385" s="276"/>
      <c r="AT385" s="276"/>
      <c r="AU385" s="276"/>
      <c r="AV385" s="276"/>
      <c r="AW385" s="276"/>
      <c r="AX385" s="276"/>
      <c r="AY385" s="276"/>
      <c r="AZ385" s="276"/>
      <c r="BA385" s="276"/>
      <c r="BB385" s="276"/>
      <c r="BC385" s="276"/>
      <c r="BD385" s="276"/>
      <c r="BE385" s="276"/>
      <c r="BF385" s="276"/>
      <c r="BG385" s="276"/>
      <c r="BH385" s="276"/>
      <c r="BI385" s="276"/>
      <c r="BJ385" s="276"/>
      <c r="BK385" s="276"/>
      <c r="BL385" s="276"/>
      <c r="BM385" s="276"/>
    </row>
    <row r="386" spans="2:65" ht="13.8" x14ac:dyDescent="0.25">
      <c r="B386" s="253"/>
      <c r="C386" s="253"/>
      <c r="R386" s="253"/>
      <c r="S386" s="253"/>
      <c r="T386" s="253"/>
      <c r="U386" s="253"/>
      <c r="V386" s="253"/>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6"/>
      <c r="AR386" s="276"/>
      <c r="AS386" s="276"/>
      <c r="AT386" s="276"/>
      <c r="AU386" s="276"/>
      <c r="AV386" s="276"/>
      <c r="AW386" s="276"/>
      <c r="AX386" s="276"/>
      <c r="AY386" s="276"/>
      <c r="AZ386" s="276"/>
      <c r="BA386" s="276"/>
      <c r="BB386" s="276"/>
      <c r="BC386" s="276"/>
      <c r="BD386" s="276"/>
      <c r="BE386" s="276"/>
      <c r="BF386" s="276"/>
      <c r="BG386" s="276"/>
      <c r="BH386" s="276"/>
      <c r="BI386" s="276"/>
      <c r="BJ386" s="276"/>
      <c r="BK386" s="276"/>
      <c r="BL386" s="276"/>
      <c r="BM386" s="276"/>
    </row>
    <row r="387" spans="2:65" ht="13.8" x14ac:dyDescent="0.25">
      <c r="B387" s="253"/>
      <c r="C387" s="253"/>
      <c r="R387" s="253"/>
      <c r="S387" s="253"/>
      <c r="T387" s="253"/>
      <c r="U387" s="253"/>
      <c r="V387" s="253"/>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6"/>
      <c r="AR387" s="276"/>
      <c r="AS387" s="276"/>
      <c r="AT387" s="276"/>
      <c r="AU387" s="276"/>
      <c r="AV387" s="276"/>
      <c r="AW387" s="276"/>
      <c r="AX387" s="276"/>
      <c r="AY387" s="276"/>
      <c r="AZ387" s="276"/>
      <c r="BA387" s="276"/>
      <c r="BB387" s="276"/>
      <c r="BC387" s="276"/>
      <c r="BD387" s="276"/>
      <c r="BE387" s="276"/>
      <c r="BF387" s="276"/>
      <c r="BG387" s="276"/>
      <c r="BH387" s="276"/>
      <c r="BI387" s="276"/>
      <c r="BJ387" s="276"/>
      <c r="BK387" s="276"/>
      <c r="BL387" s="276"/>
      <c r="BM387" s="276"/>
    </row>
    <row r="388" spans="2:65" ht="13.8" x14ac:dyDescent="0.25">
      <c r="B388" s="253"/>
      <c r="C388" s="253"/>
      <c r="R388" s="253"/>
      <c r="S388" s="253"/>
      <c r="T388" s="253"/>
      <c r="U388" s="253"/>
      <c r="V388" s="253"/>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6"/>
      <c r="AR388" s="276"/>
      <c r="AS388" s="276"/>
      <c r="AT388" s="276"/>
      <c r="AU388" s="276"/>
      <c r="AV388" s="276"/>
      <c r="AW388" s="276"/>
      <c r="AX388" s="276"/>
      <c r="AY388" s="276"/>
      <c r="AZ388" s="276"/>
      <c r="BA388" s="276"/>
      <c r="BB388" s="276"/>
      <c r="BC388" s="276"/>
      <c r="BD388" s="276"/>
      <c r="BE388" s="276"/>
      <c r="BF388" s="276"/>
      <c r="BG388" s="276"/>
      <c r="BH388" s="276"/>
      <c r="BI388" s="276"/>
      <c r="BJ388" s="276"/>
      <c r="BK388" s="276"/>
      <c r="BL388" s="276"/>
      <c r="BM388" s="276"/>
    </row>
    <row r="389" spans="2:65" ht="13.8" x14ac:dyDescent="0.25">
      <c r="B389" s="253"/>
      <c r="C389" s="253"/>
      <c r="R389" s="253"/>
      <c r="S389" s="253"/>
      <c r="T389" s="253"/>
      <c r="U389" s="253"/>
      <c r="V389" s="253"/>
      <c r="W389" s="276"/>
      <c r="X389" s="276"/>
      <c r="Y389" s="276"/>
      <c r="Z389" s="276"/>
      <c r="AA389" s="276"/>
      <c r="AB389" s="276"/>
      <c r="AC389" s="276"/>
      <c r="AD389" s="276"/>
      <c r="AE389" s="276"/>
      <c r="AF389" s="276"/>
      <c r="AG389" s="276"/>
      <c r="AH389" s="276"/>
      <c r="AI389" s="276"/>
      <c r="AJ389" s="276"/>
      <c r="AK389" s="276"/>
      <c r="AL389" s="276"/>
      <c r="AM389" s="276"/>
      <c r="AN389" s="276"/>
      <c r="AO389" s="276"/>
      <c r="AP389" s="276"/>
      <c r="AQ389" s="276"/>
      <c r="AR389" s="276"/>
      <c r="AS389" s="276"/>
      <c r="AT389" s="276"/>
      <c r="AU389" s="276"/>
      <c r="AV389" s="276"/>
      <c r="AW389" s="276"/>
      <c r="AX389" s="276"/>
      <c r="AY389" s="276"/>
      <c r="AZ389" s="276"/>
      <c r="BA389" s="276"/>
      <c r="BB389" s="276"/>
      <c r="BC389" s="276"/>
      <c r="BD389" s="276"/>
      <c r="BE389" s="276"/>
      <c r="BF389" s="276"/>
      <c r="BG389" s="276"/>
      <c r="BH389" s="276"/>
      <c r="BI389" s="276"/>
      <c r="BJ389" s="276"/>
      <c r="BK389" s="276"/>
      <c r="BL389" s="276"/>
      <c r="BM389" s="276"/>
    </row>
    <row r="390" spans="2:65" ht="13.8" x14ac:dyDescent="0.25">
      <c r="B390" s="253"/>
      <c r="C390" s="253"/>
      <c r="R390" s="253"/>
      <c r="S390" s="253"/>
      <c r="T390" s="253"/>
      <c r="U390" s="253"/>
      <c r="V390" s="253"/>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6"/>
      <c r="AR390" s="276"/>
      <c r="AS390" s="276"/>
      <c r="AT390" s="276"/>
      <c r="AU390" s="276"/>
      <c r="AV390" s="276"/>
      <c r="AW390" s="276"/>
      <c r="AX390" s="276"/>
      <c r="AY390" s="276"/>
      <c r="AZ390" s="276"/>
      <c r="BA390" s="276"/>
      <c r="BB390" s="276"/>
      <c r="BC390" s="276"/>
      <c r="BD390" s="276"/>
      <c r="BE390" s="276"/>
      <c r="BF390" s="276"/>
      <c r="BG390" s="276"/>
      <c r="BH390" s="276"/>
      <c r="BI390" s="276"/>
      <c r="BJ390" s="276"/>
      <c r="BK390" s="276"/>
      <c r="BL390" s="276"/>
      <c r="BM390" s="276"/>
    </row>
    <row r="391" spans="2:65" ht="13.8" x14ac:dyDescent="0.25">
      <c r="B391" s="253"/>
      <c r="C391" s="253"/>
      <c r="R391" s="253"/>
      <c r="S391" s="253"/>
      <c r="T391" s="253"/>
      <c r="U391" s="253"/>
      <c r="V391" s="253"/>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6"/>
      <c r="AR391" s="276"/>
      <c r="AS391" s="276"/>
      <c r="AT391" s="276"/>
      <c r="AU391" s="276"/>
      <c r="AV391" s="276"/>
      <c r="AW391" s="276"/>
      <c r="AX391" s="276"/>
      <c r="AY391" s="276"/>
      <c r="AZ391" s="276"/>
      <c r="BA391" s="276"/>
      <c r="BB391" s="276"/>
      <c r="BC391" s="276"/>
      <c r="BD391" s="276"/>
      <c r="BE391" s="276"/>
      <c r="BF391" s="276"/>
      <c r="BG391" s="276"/>
      <c r="BH391" s="276"/>
      <c r="BI391" s="276"/>
      <c r="BJ391" s="276"/>
      <c r="BK391" s="276"/>
      <c r="BL391" s="276"/>
      <c r="BM391" s="276"/>
    </row>
    <row r="392" spans="2:65" ht="13.8" x14ac:dyDescent="0.25">
      <c r="B392" s="253"/>
      <c r="C392" s="253"/>
      <c r="R392" s="253"/>
      <c r="S392" s="253"/>
      <c r="T392" s="253"/>
      <c r="U392" s="253"/>
      <c r="V392" s="253"/>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6"/>
      <c r="AR392" s="276"/>
      <c r="AS392" s="276"/>
      <c r="AT392" s="276"/>
      <c r="AU392" s="276"/>
      <c r="AV392" s="276"/>
      <c r="AW392" s="276"/>
      <c r="AX392" s="276"/>
      <c r="AY392" s="276"/>
      <c r="AZ392" s="276"/>
      <c r="BA392" s="276"/>
      <c r="BB392" s="276"/>
      <c r="BC392" s="276"/>
      <c r="BD392" s="276"/>
      <c r="BE392" s="276"/>
      <c r="BF392" s="276"/>
      <c r="BG392" s="276"/>
      <c r="BH392" s="276"/>
      <c r="BI392" s="276"/>
      <c r="BJ392" s="276"/>
      <c r="BK392" s="276"/>
      <c r="BL392" s="276"/>
      <c r="BM392" s="276"/>
    </row>
    <row r="393" spans="2:65" ht="13.8" x14ac:dyDescent="0.25">
      <c r="B393" s="253"/>
      <c r="C393" s="253"/>
      <c r="R393" s="253"/>
      <c r="S393" s="253"/>
      <c r="T393" s="253"/>
      <c r="U393" s="253"/>
      <c r="V393" s="253"/>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6"/>
      <c r="AR393" s="276"/>
      <c r="AS393" s="276"/>
      <c r="AT393" s="276"/>
      <c r="AU393" s="276"/>
      <c r="AV393" s="276"/>
      <c r="AW393" s="276"/>
      <c r="AX393" s="276"/>
      <c r="AY393" s="276"/>
      <c r="AZ393" s="276"/>
      <c r="BA393" s="276"/>
      <c r="BB393" s="276"/>
      <c r="BC393" s="276"/>
      <c r="BD393" s="276"/>
      <c r="BE393" s="276"/>
      <c r="BF393" s="276"/>
      <c r="BG393" s="276"/>
      <c r="BH393" s="276"/>
      <c r="BI393" s="276"/>
      <c r="BJ393" s="276"/>
      <c r="BK393" s="276"/>
      <c r="BL393" s="276"/>
      <c r="BM393" s="276"/>
    </row>
    <row r="394" spans="2:65" ht="13.8" x14ac:dyDescent="0.25">
      <c r="B394" s="253"/>
      <c r="C394" s="253"/>
      <c r="R394" s="253"/>
      <c r="S394" s="253"/>
      <c r="T394" s="253"/>
      <c r="U394" s="253"/>
      <c r="V394" s="253"/>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6"/>
      <c r="AR394" s="276"/>
      <c r="AS394" s="276"/>
      <c r="AT394" s="276"/>
      <c r="AU394" s="276"/>
      <c r="AV394" s="276"/>
      <c r="AW394" s="276"/>
      <c r="AX394" s="276"/>
      <c r="AY394" s="276"/>
      <c r="AZ394" s="276"/>
      <c r="BA394" s="276"/>
      <c r="BB394" s="276"/>
      <c r="BC394" s="276"/>
      <c r="BD394" s="276"/>
      <c r="BE394" s="276"/>
      <c r="BF394" s="276"/>
      <c r="BG394" s="276"/>
      <c r="BH394" s="276"/>
      <c r="BI394" s="276"/>
      <c r="BJ394" s="276"/>
      <c r="BK394" s="276"/>
      <c r="BL394" s="276"/>
      <c r="BM394" s="276"/>
    </row>
    <row r="395" spans="2:65" ht="13.8" x14ac:dyDescent="0.25">
      <c r="B395" s="253"/>
      <c r="C395" s="253"/>
      <c r="R395" s="253"/>
      <c r="S395" s="253"/>
      <c r="T395" s="253"/>
      <c r="U395" s="253"/>
      <c r="V395" s="253"/>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6"/>
      <c r="AR395" s="276"/>
      <c r="AS395" s="276"/>
      <c r="AT395" s="276"/>
      <c r="AU395" s="276"/>
      <c r="AV395" s="276"/>
      <c r="AW395" s="276"/>
      <c r="AX395" s="276"/>
      <c r="AY395" s="276"/>
      <c r="AZ395" s="276"/>
      <c r="BA395" s="276"/>
      <c r="BB395" s="276"/>
      <c r="BC395" s="276"/>
      <c r="BD395" s="276"/>
      <c r="BE395" s="276"/>
      <c r="BF395" s="276"/>
      <c r="BG395" s="276"/>
      <c r="BH395" s="276"/>
      <c r="BI395" s="276"/>
      <c r="BJ395" s="276"/>
      <c r="BK395" s="276"/>
      <c r="BL395" s="276"/>
      <c r="BM395" s="276"/>
    </row>
    <row r="396" spans="2:65" ht="13.8" x14ac:dyDescent="0.25">
      <c r="B396" s="253"/>
      <c r="C396" s="253"/>
      <c r="R396" s="253"/>
      <c r="S396" s="253"/>
      <c r="T396" s="253"/>
      <c r="U396" s="253"/>
      <c r="V396" s="253"/>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6"/>
      <c r="AR396" s="276"/>
      <c r="AS396" s="276"/>
      <c r="AT396" s="276"/>
      <c r="AU396" s="276"/>
      <c r="AV396" s="276"/>
      <c r="AW396" s="276"/>
      <c r="AX396" s="276"/>
      <c r="AY396" s="276"/>
      <c r="AZ396" s="276"/>
      <c r="BA396" s="276"/>
      <c r="BB396" s="276"/>
      <c r="BC396" s="276"/>
      <c r="BD396" s="276"/>
      <c r="BE396" s="276"/>
      <c r="BF396" s="276"/>
      <c r="BG396" s="276"/>
      <c r="BH396" s="276"/>
      <c r="BI396" s="276"/>
      <c r="BJ396" s="276"/>
      <c r="BK396" s="276"/>
      <c r="BL396" s="276"/>
      <c r="BM396" s="276"/>
    </row>
    <row r="397" spans="2:65" ht="13.8" x14ac:dyDescent="0.25">
      <c r="B397" s="253"/>
      <c r="C397" s="253"/>
      <c r="R397" s="253"/>
      <c r="S397" s="253"/>
      <c r="T397" s="253"/>
      <c r="U397" s="253"/>
      <c r="V397" s="253"/>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6"/>
      <c r="AR397" s="276"/>
      <c r="AS397" s="276"/>
      <c r="AT397" s="276"/>
      <c r="AU397" s="276"/>
      <c r="AV397" s="276"/>
      <c r="AW397" s="276"/>
      <c r="AX397" s="276"/>
      <c r="AY397" s="276"/>
      <c r="AZ397" s="276"/>
      <c r="BA397" s="276"/>
      <c r="BB397" s="276"/>
      <c r="BC397" s="276"/>
      <c r="BD397" s="276"/>
      <c r="BE397" s="276"/>
      <c r="BF397" s="276"/>
      <c r="BG397" s="276"/>
      <c r="BH397" s="276"/>
      <c r="BI397" s="276"/>
      <c r="BJ397" s="276"/>
      <c r="BK397" s="276"/>
      <c r="BL397" s="276"/>
      <c r="BM397" s="276"/>
    </row>
    <row r="398" spans="2:65" ht="13.8" x14ac:dyDescent="0.25">
      <c r="B398" s="253"/>
      <c r="C398" s="253"/>
      <c r="R398" s="253"/>
      <c r="S398" s="253"/>
      <c r="T398" s="253"/>
      <c r="U398" s="253"/>
      <c r="V398" s="253"/>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6"/>
      <c r="AR398" s="276"/>
      <c r="AS398" s="276"/>
      <c r="AT398" s="276"/>
      <c r="AU398" s="276"/>
      <c r="AV398" s="276"/>
      <c r="AW398" s="276"/>
      <c r="AX398" s="276"/>
      <c r="AY398" s="276"/>
      <c r="AZ398" s="276"/>
      <c r="BA398" s="276"/>
      <c r="BB398" s="276"/>
      <c r="BC398" s="276"/>
      <c r="BD398" s="276"/>
      <c r="BE398" s="276"/>
      <c r="BF398" s="276"/>
      <c r="BG398" s="276"/>
      <c r="BH398" s="276"/>
      <c r="BI398" s="276"/>
      <c r="BJ398" s="276"/>
      <c r="BK398" s="276"/>
      <c r="BL398" s="276"/>
      <c r="BM398" s="276"/>
    </row>
    <row r="399" spans="2:65" ht="13.8" x14ac:dyDescent="0.25">
      <c r="B399" s="253"/>
      <c r="C399" s="253"/>
      <c r="R399" s="253"/>
      <c r="S399" s="253"/>
      <c r="T399" s="253"/>
      <c r="U399" s="253"/>
      <c r="V399" s="253"/>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6"/>
      <c r="AR399" s="276"/>
      <c r="AS399" s="276"/>
      <c r="AT399" s="276"/>
      <c r="AU399" s="276"/>
      <c r="AV399" s="276"/>
      <c r="AW399" s="276"/>
      <c r="AX399" s="276"/>
      <c r="AY399" s="276"/>
      <c r="AZ399" s="276"/>
      <c r="BA399" s="276"/>
      <c r="BB399" s="276"/>
      <c r="BC399" s="276"/>
      <c r="BD399" s="276"/>
      <c r="BE399" s="276"/>
      <c r="BF399" s="276"/>
      <c r="BG399" s="276"/>
      <c r="BH399" s="276"/>
      <c r="BI399" s="276"/>
      <c r="BJ399" s="276"/>
      <c r="BK399" s="276"/>
      <c r="BL399" s="276"/>
      <c r="BM399" s="276"/>
    </row>
    <row r="400" spans="2:65" ht="13.8" x14ac:dyDescent="0.25">
      <c r="B400" s="253"/>
      <c r="C400" s="253"/>
      <c r="R400" s="253"/>
      <c r="S400" s="253"/>
      <c r="T400" s="253"/>
      <c r="U400" s="253"/>
      <c r="V400" s="253"/>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6"/>
      <c r="AR400" s="276"/>
      <c r="AS400" s="276"/>
      <c r="AT400" s="276"/>
      <c r="AU400" s="276"/>
      <c r="AV400" s="276"/>
      <c r="AW400" s="276"/>
      <c r="AX400" s="276"/>
      <c r="AY400" s="276"/>
      <c r="AZ400" s="276"/>
      <c r="BA400" s="276"/>
      <c r="BB400" s="276"/>
      <c r="BC400" s="276"/>
      <c r="BD400" s="276"/>
      <c r="BE400" s="276"/>
      <c r="BF400" s="276"/>
      <c r="BG400" s="276"/>
      <c r="BH400" s="276"/>
      <c r="BI400" s="276"/>
      <c r="BJ400" s="276"/>
      <c r="BK400" s="276"/>
      <c r="BL400" s="276"/>
      <c r="BM400" s="276"/>
    </row>
    <row r="401" spans="2:65" ht="13.8" x14ac:dyDescent="0.25">
      <c r="B401" s="253"/>
      <c r="C401" s="253"/>
      <c r="R401" s="253"/>
      <c r="S401" s="253"/>
      <c r="T401" s="253"/>
      <c r="U401" s="253"/>
      <c r="V401" s="253"/>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6"/>
      <c r="AR401" s="276"/>
      <c r="AS401" s="276"/>
      <c r="AT401" s="276"/>
      <c r="AU401" s="276"/>
      <c r="AV401" s="276"/>
      <c r="AW401" s="276"/>
      <c r="AX401" s="276"/>
      <c r="AY401" s="276"/>
      <c r="AZ401" s="276"/>
      <c r="BA401" s="276"/>
      <c r="BB401" s="276"/>
      <c r="BC401" s="276"/>
      <c r="BD401" s="276"/>
      <c r="BE401" s="276"/>
      <c r="BF401" s="276"/>
      <c r="BG401" s="276"/>
      <c r="BH401" s="276"/>
      <c r="BI401" s="276"/>
      <c r="BJ401" s="276"/>
      <c r="BK401" s="276"/>
      <c r="BL401" s="276"/>
      <c r="BM401" s="276"/>
    </row>
    <row r="402" spans="2:65" ht="13.8" x14ac:dyDescent="0.25">
      <c r="B402" s="253"/>
      <c r="C402" s="253"/>
      <c r="R402" s="253"/>
      <c r="S402" s="253"/>
      <c r="T402" s="253"/>
      <c r="U402" s="253"/>
      <c r="V402" s="253"/>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6"/>
      <c r="AR402" s="276"/>
      <c r="AS402" s="276"/>
      <c r="AT402" s="276"/>
      <c r="AU402" s="276"/>
      <c r="AV402" s="276"/>
      <c r="AW402" s="276"/>
      <c r="AX402" s="276"/>
      <c r="AY402" s="276"/>
      <c r="AZ402" s="276"/>
      <c r="BA402" s="276"/>
      <c r="BB402" s="276"/>
      <c r="BC402" s="276"/>
      <c r="BD402" s="276"/>
      <c r="BE402" s="276"/>
      <c r="BF402" s="276"/>
      <c r="BG402" s="276"/>
      <c r="BH402" s="276"/>
      <c r="BI402" s="276"/>
      <c r="BJ402" s="276"/>
      <c r="BK402" s="276"/>
      <c r="BL402" s="276"/>
      <c r="BM402" s="276"/>
    </row>
    <row r="403" spans="2:65" ht="13.8" x14ac:dyDescent="0.25">
      <c r="B403" s="253"/>
      <c r="C403" s="253"/>
      <c r="R403" s="253"/>
      <c r="S403" s="253"/>
      <c r="T403" s="253"/>
      <c r="U403" s="253"/>
      <c r="V403" s="253"/>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6"/>
      <c r="AR403" s="276"/>
      <c r="AS403" s="276"/>
      <c r="AT403" s="276"/>
      <c r="AU403" s="276"/>
      <c r="AV403" s="276"/>
      <c r="AW403" s="276"/>
      <c r="AX403" s="276"/>
      <c r="AY403" s="276"/>
      <c r="AZ403" s="276"/>
      <c r="BA403" s="276"/>
      <c r="BB403" s="276"/>
      <c r="BC403" s="276"/>
      <c r="BD403" s="276"/>
      <c r="BE403" s="276"/>
      <c r="BF403" s="276"/>
      <c r="BG403" s="276"/>
      <c r="BH403" s="276"/>
      <c r="BI403" s="276"/>
      <c r="BJ403" s="276"/>
      <c r="BK403" s="276"/>
      <c r="BL403" s="276"/>
      <c r="BM403" s="276"/>
    </row>
    <row r="404" spans="2:65" ht="13.8" x14ac:dyDescent="0.25">
      <c r="B404" s="253"/>
      <c r="C404" s="253"/>
      <c r="R404" s="253"/>
      <c r="S404" s="253"/>
      <c r="T404" s="253"/>
      <c r="U404" s="253"/>
      <c r="V404" s="253"/>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6"/>
      <c r="AR404" s="276"/>
      <c r="AS404" s="276"/>
      <c r="AT404" s="276"/>
      <c r="AU404" s="276"/>
      <c r="AV404" s="276"/>
      <c r="AW404" s="276"/>
      <c r="AX404" s="276"/>
      <c r="AY404" s="276"/>
      <c r="AZ404" s="276"/>
      <c r="BA404" s="276"/>
      <c r="BB404" s="276"/>
      <c r="BC404" s="276"/>
      <c r="BD404" s="276"/>
      <c r="BE404" s="276"/>
      <c r="BF404" s="276"/>
      <c r="BG404" s="276"/>
      <c r="BH404" s="276"/>
      <c r="BI404" s="276"/>
      <c r="BJ404" s="276"/>
      <c r="BK404" s="276"/>
      <c r="BL404" s="276"/>
      <c r="BM404" s="276"/>
    </row>
    <row r="405" spans="2:65" ht="13.8" x14ac:dyDescent="0.25">
      <c r="B405" s="253"/>
      <c r="C405" s="253"/>
      <c r="R405" s="253"/>
      <c r="S405" s="253"/>
      <c r="T405" s="253"/>
      <c r="U405" s="253"/>
      <c r="V405" s="253"/>
      <c r="W405" s="276"/>
      <c r="X405" s="276"/>
      <c r="Y405" s="276"/>
      <c r="Z405" s="276"/>
      <c r="AA405" s="276"/>
      <c r="AB405" s="276"/>
      <c r="AC405" s="276"/>
      <c r="AD405" s="276"/>
      <c r="AE405" s="276"/>
      <c r="AF405" s="276"/>
      <c r="AG405" s="276"/>
      <c r="AH405" s="276"/>
      <c r="AI405" s="276"/>
      <c r="AJ405" s="276"/>
      <c r="AK405" s="276"/>
      <c r="AL405" s="276"/>
      <c r="AM405" s="276"/>
      <c r="AN405" s="276"/>
      <c r="AO405" s="276"/>
      <c r="AP405" s="276"/>
      <c r="AQ405" s="276"/>
      <c r="AR405" s="276"/>
      <c r="AS405" s="276"/>
      <c r="AT405" s="276"/>
      <c r="AU405" s="276"/>
      <c r="AV405" s="276"/>
      <c r="AW405" s="276"/>
      <c r="AX405" s="276"/>
      <c r="AY405" s="276"/>
      <c r="AZ405" s="276"/>
      <c r="BA405" s="276"/>
      <c r="BB405" s="276"/>
      <c r="BC405" s="276"/>
      <c r="BD405" s="276"/>
      <c r="BE405" s="276"/>
      <c r="BF405" s="276"/>
      <c r="BG405" s="276"/>
      <c r="BH405" s="276"/>
      <c r="BI405" s="276"/>
      <c r="BJ405" s="276"/>
      <c r="BK405" s="276"/>
      <c r="BL405" s="276"/>
      <c r="BM405" s="276"/>
    </row>
    <row r="406" spans="2:65" ht="13.8" x14ac:dyDescent="0.25">
      <c r="B406" s="253"/>
      <c r="C406" s="253"/>
      <c r="R406" s="253"/>
      <c r="S406" s="253"/>
      <c r="T406" s="253"/>
      <c r="U406" s="253"/>
      <c r="V406" s="253"/>
      <c r="W406" s="276"/>
      <c r="X406" s="276"/>
      <c r="Y406" s="276"/>
      <c r="Z406" s="276"/>
      <c r="AA406" s="276"/>
      <c r="AB406" s="276"/>
      <c r="AC406" s="276"/>
      <c r="AD406" s="276"/>
      <c r="AE406" s="276"/>
      <c r="AF406" s="276"/>
      <c r="AG406" s="276"/>
      <c r="AH406" s="276"/>
      <c r="AI406" s="276"/>
      <c r="AJ406" s="276"/>
      <c r="AK406" s="276"/>
      <c r="AL406" s="276"/>
      <c r="AM406" s="276"/>
      <c r="AN406" s="276"/>
      <c r="AO406" s="276"/>
      <c r="AP406" s="276"/>
      <c r="AQ406" s="276"/>
      <c r="AR406" s="276"/>
      <c r="AS406" s="276"/>
      <c r="AT406" s="276"/>
      <c r="AU406" s="276"/>
      <c r="AV406" s="276"/>
      <c r="AW406" s="276"/>
      <c r="AX406" s="276"/>
      <c r="AY406" s="276"/>
      <c r="AZ406" s="276"/>
      <c r="BA406" s="276"/>
      <c r="BB406" s="276"/>
      <c r="BC406" s="276"/>
      <c r="BD406" s="276"/>
      <c r="BE406" s="276"/>
      <c r="BF406" s="276"/>
      <c r="BG406" s="276"/>
      <c r="BH406" s="276"/>
      <c r="BI406" s="276"/>
      <c r="BJ406" s="276"/>
      <c r="BK406" s="276"/>
      <c r="BL406" s="276"/>
      <c r="BM406" s="276"/>
    </row>
    <row r="407" spans="2:65" ht="13.8" x14ac:dyDescent="0.25">
      <c r="B407" s="253"/>
      <c r="C407" s="253"/>
      <c r="R407" s="253"/>
      <c r="S407" s="253"/>
      <c r="T407" s="253"/>
      <c r="U407" s="253"/>
      <c r="V407" s="253"/>
      <c r="W407" s="276"/>
      <c r="X407" s="276"/>
      <c r="Y407" s="276"/>
      <c r="Z407" s="276"/>
      <c r="AA407" s="276"/>
      <c r="AB407" s="276"/>
      <c r="AC407" s="276"/>
      <c r="AD407" s="276"/>
      <c r="AE407" s="276"/>
      <c r="AF407" s="276"/>
      <c r="AG407" s="276"/>
      <c r="AH407" s="276"/>
      <c r="AI407" s="276"/>
      <c r="AJ407" s="276"/>
      <c r="AK407" s="276"/>
      <c r="AL407" s="276"/>
      <c r="AM407" s="276"/>
      <c r="AN407" s="276"/>
      <c r="AO407" s="276"/>
      <c r="AP407" s="276"/>
      <c r="AQ407" s="276"/>
      <c r="AR407" s="276"/>
      <c r="AS407" s="276"/>
      <c r="AT407" s="276"/>
      <c r="AU407" s="276"/>
      <c r="AV407" s="276"/>
      <c r="AW407" s="276"/>
      <c r="AX407" s="276"/>
      <c r="AY407" s="276"/>
      <c r="AZ407" s="276"/>
      <c r="BA407" s="276"/>
      <c r="BB407" s="276"/>
      <c r="BC407" s="276"/>
      <c r="BD407" s="276"/>
      <c r="BE407" s="276"/>
      <c r="BF407" s="276"/>
      <c r="BG407" s="276"/>
      <c r="BH407" s="276"/>
      <c r="BI407" s="276"/>
      <c r="BJ407" s="276"/>
      <c r="BK407" s="276"/>
      <c r="BL407" s="276"/>
      <c r="BM407" s="276"/>
    </row>
    <row r="408" spans="2:65" ht="13.8" x14ac:dyDescent="0.25">
      <c r="B408" s="253"/>
      <c r="C408" s="253"/>
      <c r="R408" s="253"/>
      <c r="S408" s="253"/>
      <c r="T408" s="253"/>
      <c r="U408" s="253"/>
      <c r="V408" s="253"/>
      <c r="W408" s="276"/>
      <c r="X408" s="276"/>
      <c r="Y408" s="276"/>
      <c r="Z408" s="276"/>
      <c r="AA408" s="276"/>
      <c r="AB408" s="276"/>
      <c r="AC408" s="276"/>
      <c r="AD408" s="276"/>
      <c r="AE408" s="276"/>
      <c r="AF408" s="276"/>
      <c r="AG408" s="276"/>
      <c r="AH408" s="276"/>
      <c r="AI408" s="276"/>
      <c r="AJ408" s="276"/>
      <c r="AK408" s="276"/>
      <c r="AL408" s="276"/>
      <c r="AM408" s="276"/>
      <c r="AN408" s="276"/>
      <c r="AO408" s="276"/>
      <c r="AP408" s="276"/>
      <c r="AQ408" s="276"/>
      <c r="AR408" s="276"/>
      <c r="AS408" s="276"/>
      <c r="AT408" s="276"/>
      <c r="AU408" s="276"/>
      <c r="AV408" s="276"/>
      <c r="AW408" s="276"/>
      <c r="AX408" s="276"/>
      <c r="AY408" s="276"/>
      <c r="AZ408" s="276"/>
      <c r="BA408" s="276"/>
      <c r="BB408" s="276"/>
      <c r="BC408" s="276"/>
      <c r="BD408" s="276"/>
      <c r="BE408" s="276"/>
      <c r="BF408" s="276"/>
      <c r="BG408" s="276"/>
      <c r="BH408" s="276"/>
      <c r="BI408" s="276"/>
      <c r="BJ408" s="276"/>
      <c r="BK408" s="276"/>
      <c r="BL408" s="276"/>
      <c r="BM408" s="276"/>
    </row>
    <row r="409" spans="2:65" ht="13.8" x14ac:dyDescent="0.25">
      <c r="B409" s="253"/>
      <c r="C409" s="253"/>
      <c r="R409" s="253"/>
      <c r="S409" s="253"/>
      <c r="T409" s="253"/>
      <c r="U409" s="253"/>
      <c r="V409" s="253"/>
      <c r="W409" s="276"/>
      <c r="X409" s="276"/>
      <c r="Y409" s="276"/>
      <c r="Z409" s="276"/>
      <c r="AA409" s="276"/>
      <c r="AB409" s="276"/>
      <c r="AC409" s="276"/>
      <c r="AD409" s="276"/>
      <c r="AE409" s="276"/>
      <c r="AF409" s="276"/>
      <c r="AG409" s="276"/>
      <c r="AH409" s="276"/>
      <c r="AI409" s="276"/>
      <c r="AJ409" s="276"/>
      <c r="AK409" s="276"/>
      <c r="AL409" s="276"/>
      <c r="AM409" s="276"/>
      <c r="AN409" s="276"/>
      <c r="AO409" s="276"/>
      <c r="AP409" s="276"/>
      <c r="AQ409" s="276"/>
      <c r="AR409" s="276"/>
      <c r="AS409" s="276"/>
      <c r="AT409" s="276"/>
      <c r="AU409" s="276"/>
      <c r="AV409" s="276"/>
      <c r="AW409" s="276"/>
      <c r="AX409" s="276"/>
      <c r="AY409" s="276"/>
      <c r="AZ409" s="276"/>
      <c r="BA409" s="276"/>
      <c r="BB409" s="276"/>
      <c r="BC409" s="276"/>
      <c r="BD409" s="276"/>
      <c r="BE409" s="276"/>
      <c r="BF409" s="276"/>
      <c r="BG409" s="276"/>
      <c r="BH409" s="276"/>
      <c r="BI409" s="276"/>
      <c r="BJ409" s="276"/>
      <c r="BK409" s="276"/>
      <c r="BL409" s="276"/>
      <c r="BM409" s="276"/>
    </row>
    <row r="410" spans="2:65" ht="13.8" x14ac:dyDescent="0.25">
      <c r="B410" s="253"/>
      <c r="C410" s="253"/>
      <c r="R410" s="253"/>
      <c r="S410" s="253"/>
      <c r="T410" s="253"/>
      <c r="U410" s="253"/>
      <c r="V410" s="253"/>
      <c r="W410" s="276"/>
      <c r="X410" s="276"/>
      <c r="Y410" s="276"/>
      <c r="Z410" s="276"/>
      <c r="AA410" s="276"/>
      <c r="AB410" s="276"/>
      <c r="AC410" s="276"/>
      <c r="AD410" s="276"/>
      <c r="AE410" s="276"/>
      <c r="AF410" s="276"/>
      <c r="AG410" s="276"/>
      <c r="AH410" s="276"/>
      <c r="AI410" s="276"/>
      <c r="AJ410" s="276"/>
      <c r="AK410" s="276"/>
      <c r="AL410" s="276"/>
      <c r="AM410" s="276"/>
      <c r="AN410" s="276"/>
      <c r="AO410" s="276"/>
      <c r="AP410" s="276"/>
      <c r="AQ410" s="276"/>
      <c r="AR410" s="276"/>
      <c r="AS410" s="276"/>
      <c r="AT410" s="276"/>
      <c r="AU410" s="276"/>
      <c r="AV410" s="276"/>
      <c r="AW410" s="276"/>
      <c r="AX410" s="276"/>
      <c r="AY410" s="276"/>
      <c r="AZ410" s="276"/>
      <c r="BA410" s="276"/>
      <c r="BB410" s="276"/>
      <c r="BC410" s="276"/>
      <c r="BD410" s="276"/>
      <c r="BE410" s="276"/>
      <c r="BF410" s="276"/>
      <c r="BG410" s="276"/>
      <c r="BH410" s="276"/>
      <c r="BI410" s="276"/>
      <c r="BJ410" s="276"/>
      <c r="BK410" s="276"/>
      <c r="BL410" s="276"/>
      <c r="BM410" s="276"/>
    </row>
    <row r="411" spans="2:65" ht="13.8" x14ac:dyDescent="0.25">
      <c r="B411" s="253"/>
      <c r="C411" s="253"/>
      <c r="R411" s="253"/>
      <c r="S411" s="253"/>
      <c r="T411" s="253"/>
      <c r="U411" s="253"/>
      <c r="V411" s="253"/>
      <c r="W411" s="276"/>
      <c r="X411" s="276"/>
      <c r="Y411" s="276"/>
      <c r="Z411" s="276"/>
      <c r="AA411" s="276"/>
      <c r="AB411" s="276"/>
      <c r="AC411" s="276"/>
      <c r="AD411" s="276"/>
      <c r="AE411" s="276"/>
      <c r="AF411" s="276"/>
      <c r="AG411" s="276"/>
      <c r="AH411" s="276"/>
      <c r="AI411" s="276"/>
      <c r="AJ411" s="276"/>
      <c r="AK411" s="276"/>
      <c r="AL411" s="276"/>
      <c r="AM411" s="276"/>
      <c r="AN411" s="276"/>
      <c r="AO411" s="276"/>
      <c r="AP411" s="276"/>
      <c r="AQ411" s="276"/>
      <c r="AR411" s="276"/>
      <c r="AS411" s="276"/>
      <c r="AT411" s="276"/>
      <c r="AU411" s="276"/>
      <c r="AV411" s="276"/>
      <c r="AW411" s="276"/>
      <c r="AX411" s="276"/>
      <c r="AY411" s="276"/>
      <c r="AZ411" s="276"/>
      <c r="BA411" s="276"/>
      <c r="BB411" s="276"/>
      <c r="BC411" s="276"/>
      <c r="BD411" s="276"/>
      <c r="BE411" s="276"/>
      <c r="BF411" s="276"/>
      <c r="BG411" s="276"/>
      <c r="BH411" s="276"/>
      <c r="BI411" s="276"/>
      <c r="BJ411" s="276"/>
      <c r="BK411" s="276"/>
      <c r="BL411" s="276"/>
      <c r="BM411" s="276"/>
    </row>
    <row r="412" spans="2:65" ht="13.8" x14ac:dyDescent="0.25">
      <c r="B412" s="253"/>
      <c r="C412" s="253"/>
      <c r="R412" s="253"/>
      <c r="S412" s="253"/>
      <c r="T412" s="253"/>
      <c r="U412" s="253"/>
      <c r="V412" s="253"/>
      <c r="W412" s="276"/>
      <c r="X412" s="276"/>
      <c r="Y412" s="276"/>
      <c r="Z412" s="276"/>
      <c r="AA412" s="276"/>
      <c r="AB412" s="276"/>
      <c r="AC412" s="276"/>
      <c r="AD412" s="276"/>
      <c r="AE412" s="276"/>
      <c r="AF412" s="276"/>
      <c r="AG412" s="276"/>
      <c r="AH412" s="276"/>
      <c r="AI412" s="276"/>
      <c r="AJ412" s="276"/>
      <c r="AK412" s="276"/>
      <c r="AL412" s="276"/>
      <c r="AM412" s="276"/>
      <c r="AN412" s="276"/>
      <c r="AO412" s="276"/>
      <c r="AP412" s="276"/>
      <c r="AQ412" s="276"/>
      <c r="AR412" s="276"/>
      <c r="AS412" s="276"/>
      <c r="AT412" s="276"/>
      <c r="AU412" s="276"/>
      <c r="AV412" s="276"/>
      <c r="AW412" s="276"/>
      <c r="AX412" s="276"/>
      <c r="AY412" s="276"/>
      <c r="AZ412" s="276"/>
      <c r="BA412" s="276"/>
      <c r="BB412" s="276"/>
      <c r="BC412" s="276"/>
      <c r="BD412" s="276"/>
      <c r="BE412" s="276"/>
      <c r="BF412" s="276"/>
      <c r="BG412" s="276"/>
      <c r="BH412" s="276"/>
      <c r="BI412" s="276"/>
      <c r="BJ412" s="276"/>
      <c r="BK412" s="276"/>
      <c r="BL412" s="276"/>
      <c r="BM412" s="276"/>
    </row>
    <row r="413" spans="2:65" ht="13.8" x14ac:dyDescent="0.25">
      <c r="B413" s="253"/>
      <c r="C413" s="253"/>
      <c r="R413" s="253"/>
      <c r="S413" s="253"/>
      <c r="T413" s="253"/>
      <c r="U413" s="253"/>
      <c r="V413" s="253"/>
      <c r="W413" s="276"/>
      <c r="X413" s="276"/>
      <c r="Y413" s="276"/>
      <c r="Z413" s="276"/>
      <c r="AA413" s="276"/>
      <c r="AB413" s="276"/>
      <c r="AC413" s="276"/>
      <c r="AD413" s="276"/>
      <c r="AE413" s="276"/>
      <c r="AF413" s="276"/>
      <c r="AG413" s="276"/>
      <c r="AH413" s="276"/>
      <c r="AI413" s="276"/>
      <c r="AJ413" s="276"/>
      <c r="AK413" s="276"/>
      <c r="AL413" s="276"/>
      <c r="AM413" s="276"/>
      <c r="AN413" s="276"/>
      <c r="AO413" s="276"/>
      <c r="AP413" s="276"/>
      <c r="AQ413" s="276"/>
      <c r="AR413" s="276"/>
      <c r="AS413" s="276"/>
      <c r="AT413" s="276"/>
      <c r="AU413" s="276"/>
      <c r="AV413" s="276"/>
      <c r="AW413" s="276"/>
      <c r="AX413" s="276"/>
      <c r="AY413" s="276"/>
      <c r="AZ413" s="276"/>
      <c r="BA413" s="276"/>
      <c r="BB413" s="276"/>
      <c r="BC413" s="276"/>
      <c r="BD413" s="276"/>
      <c r="BE413" s="276"/>
      <c r="BF413" s="276"/>
      <c r="BG413" s="276"/>
      <c r="BH413" s="276"/>
      <c r="BI413" s="276"/>
      <c r="BJ413" s="276"/>
      <c r="BK413" s="276"/>
      <c r="BL413" s="276"/>
      <c r="BM413" s="276"/>
    </row>
    <row r="414" spans="2:65" ht="13.8" x14ac:dyDescent="0.25">
      <c r="B414" s="253"/>
      <c r="C414" s="253"/>
      <c r="R414" s="253"/>
      <c r="S414" s="253"/>
      <c r="T414" s="253"/>
      <c r="U414" s="253"/>
      <c r="V414" s="253"/>
      <c r="W414" s="276"/>
      <c r="X414" s="276"/>
      <c r="Y414" s="276"/>
      <c r="Z414" s="276"/>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row>
    <row r="415" spans="2:65" ht="13.8" x14ac:dyDescent="0.25">
      <c r="B415" s="253"/>
      <c r="C415" s="253"/>
      <c r="R415" s="253"/>
      <c r="S415" s="253"/>
      <c r="T415" s="253"/>
      <c r="U415" s="253"/>
      <c r="V415" s="253"/>
      <c r="W415" s="276"/>
      <c r="X415" s="276"/>
      <c r="Y415" s="276"/>
      <c r="Z415" s="276"/>
      <c r="AA415" s="276"/>
      <c r="AB415" s="276"/>
      <c r="AC415" s="276"/>
      <c r="AD415" s="276"/>
      <c r="AE415" s="276"/>
      <c r="AF415" s="276"/>
      <c r="AG415" s="276"/>
      <c r="AH415" s="276"/>
      <c r="AI415" s="276"/>
      <c r="AJ415" s="276"/>
      <c r="AK415" s="276"/>
      <c r="AL415" s="276"/>
      <c r="AM415" s="276"/>
      <c r="AN415" s="276"/>
      <c r="AO415" s="276"/>
      <c r="AP415" s="276"/>
      <c r="AQ415" s="276"/>
      <c r="AR415" s="276"/>
      <c r="AS415" s="276"/>
      <c r="AT415" s="276"/>
      <c r="AU415" s="276"/>
      <c r="AV415" s="276"/>
      <c r="AW415" s="276"/>
      <c r="AX415" s="276"/>
      <c r="AY415" s="276"/>
      <c r="AZ415" s="276"/>
      <c r="BA415" s="276"/>
      <c r="BB415" s="276"/>
      <c r="BC415" s="276"/>
      <c r="BD415" s="276"/>
      <c r="BE415" s="276"/>
      <c r="BF415" s="276"/>
      <c r="BG415" s="276"/>
      <c r="BH415" s="276"/>
      <c r="BI415" s="276"/>
      <c r="BJ415" s="276"/>
      <c r="BK415" s="276"/>
      <c r="BL415" s="276"/>
      <c r="BM415" s="276"/>
    </row>
    <row r="416" spans="2:65" ht="13.8" x14ac:dyDescent="0.25">
      <c r="B416" s="253"/>
      <c r="C416" s="253"/>
      <c r="R416" s="253"/>
      <c r="S416" s="253"/>
      <c r="T416" s="253"/>
      <c r="U416" s="253"/>
      <c r="V416" s="253"/>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6"/>
      <c r="AR416" s="276"/>
      <c r="AS416" s="276"/>
      <c r="AT416" s="276"/>
      <c r="AU416" s="276"/>
      <c r="AV416" s="276"/>
      <c r="AW416" s="276"/>
      <c r="AX416" s="276"/>
      <c r="AY416" s="276"/>
      <c r="AZ416" s="276"/>
      <c r="BA416" s="276"/>
      <c r="BB416" s="276"/>
      <c r="BC416" s="276"/>
      <c r="BD416" s="276"/>
      <c r="BE416" s="276"/>
      <c r="BF416" s="276"/>
      <c r="BG416" s="276"/>
      <c r="BH416" s="276"/>
      <c r="BI416" s="276"/>
      <c r="BJ416" s="276"/>
      <c r="BK416" s="276"/>
      <c r="BL416" s="276"/>
      <c r="BM416" s="276"/>
    </row>
    <row r="417" spans="2:65" ht="13.8" x14ac:dyDescent="0.25">
      <c r="B417" s="253"/>
      <c r="C417" s="253"/>
      <c r="R417" s="253"/>
      <c r="S417" s="253"/>
      <c r="T417" s="253"/>
      <c r="U417" s="253"/>
      <c r="V417" s="253"/>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6"/>
      <c r="AR417" s="276"/>
      <c r="AS417" s="276"/>
      <c r="AT417" s="276"/>
      <c r="AU417" s="276"/>
      <c r="AV417" s="276"/>
      <c r="AW417" s="276"/>
      <c r="AX417" s="276"/>
      <c r="AY417" s="276"/>
      <c r="AZ417" s="276"/>
      <c r="BA417" s="276"/>
      <c r="BB417" s="276"/>
      <c r="BC417" s="276"/>
      <c r="BD417" s="276"/>
      <c r="BE417" s="276"/>
      <c r="BF417" s="276"/>
      <c r="BG417" s="276"/>
      <c r="BH417" s="276"/>
      <c r="BI417" s="276"/>
      <c r="BJ417" s="276"/>
      <c r="BK417" s="276"/>
      <c r="BL417" s="276"/>
      <c r="BM417" s="276"/>
    </row>
    <row r="418" spans="2:65" ht="13.8" x14ac:dyDescent="0.25">
      <c r="B418" s="253"/>
      <c r="C418" s="253"/>
      <c r="R418" s="253"/>
      <c r="S418" s="253"/>
      <c r="T418" s="253"/>
      <c r="U418" s="253"/>
      <c r="V418" s="253"/>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6"/>
      <c r="AR418" s="276"/>
      <c r="AS418" s="276"/>
      <c r="AT418" s="276"/>
      <c r="AU418" s="276"/>
      <c r="AV418" s="276"/>
      <c r="AW418" s="276"/>
      <c r="AX418" s="276"/>
      <c r="AY418" s="276"/>
      <c r="AZ418" s="276"/>
      <c r="BA418" s="276"/>
      <c r="BB418" s="276"/>
      <c r="BC418" s="276"/>
      <c r="BD418" s="276"/>
      <c r="BE418" s="276"/>
      <c r="BF418" s="276"/>
      <c r="BG418" s="276"/>
      <c r="BH418" s="276"/>
      <c r="BI418" s="276"/>
      <c r="BJ418" s="276"/>
      <c r="BK418" s="276"/>
      <c r="BL418" s="276"/>
      <c r="BM418" s="276"/>
    </row>
    <row r="419" spans="2:65" ht="13.8" x14ac:dyDescent="0.25">
      <c r="B419" s="253"/>
      <c r="C419" s="253"/>
      <c r="R419" s="253"/>
      <c r="S419" s="253"/>
      <c r="T419" s="253"/>
      <c r="U419" s="253"/>
      <c r="V419" s="253"/>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6"/>
      <c r="AR419" s="276"/>
      <c r="AS419" s="276"/>
      <c r="AT419" s="276"/>
      <c r="AU419" s="276"/>
      <c r="AV419" s="276"/>
      <c r="AW419" s="276"/>
      <c r="AX419" s="276"/>
      <c r="AY419" s="276"/>
      <c r="AZ419" s="276"/>
      <c r="BA419" s="276"/>
      <c r="BB419" s="276"/>
      <c r="BC419" s="276"/>
      <c r="BD419" s="276"/>
      <c r="BE419" s="276"/>
      <c r="BF419" s="276"/>
      <c r="BG419" s="276"/>
      <c r="BH419" s="276"/>
      <c r="BI419" s="276"/>
      <c r="BJ419" s="276"/>
      <c r="BK419" s="276"/>
      <c r="BL419" s="276"/>
      <c r="BM419" s="276"/>
    </row>
    <row r="420" spans="2:65" ht="13.8" x14ac:dyDescent="0.25">
      <c r="B420" s="253"/>
      <c r="C420" s="253"/>
      <c r="R420" s="253"/>
      <c r="S420" s="253"/>
      <c r="T420" s="253"/>
      <c r="U420" s="253"/>
      <c r="V420" s="253"/>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6"/>
      <c r="AR420" s="276"/>
      <c r="AS420" s="276"/>
      <c r="AT420" s="276"/>
      <c r="AU420" s="276"/>
      <c r="AV420" s="276"/>
      <c r="AW420" s="276"/>
      <c r="AX420" s="276"/>
      <c r="AY420" s="276"/>
      <c r="AZ420" s="276"/>
      <c r="BA420" s="276"/>
      <c r="BB420" s="276"/>
      <c r="BC420" s="276"/>
      <c r="BD420" s="276"/>
      <c r="BE420" s="276"/>
      <c r="BF420" s="276"/>
      <c r="BG420" s="276"/>
      <c r="BH420" s="276"/>
      <c r="BI420" s="276"/>
      <c r="BJ420" s="276"/>
      <c r="BK420" s="276"/>
      <c r="BL420" s="276"/>
      <c r="BM420" s="276"/>
    </row>
    <row r="421" spans="2:65" ht="13.8" x14ac:dyDescent="0.25">
      <c r="B421" s="253"/>
      <c r="C421" s="253"/>
      <c r="R421" s="253"/>
      <c r="S421" s="253"/>
      <c r="T421" s="253"/>
      <c r="U421" s="253"/>
      <c r="V421" s="253"/>
    </row>
    <row r="422" spans="2:65" ht="13.8" x14ac:dyDescent="0.25">
      <c r="B422" s="253"/>
      <c r="C422" s="253"/>
      <c r="R422" s="253"/>
      <c r="S422" s="253"/>
      <c r="T422" s="253"/>
      <c r="U422" s="253"/>
      <c r="V422" s="253"/>
    </row>
    <row r="423" spans="2:65" ht="13.8" x14ac:dyDescent="0.25">
      <c r="B423" s="253"/>
      <c r="C423" s="253"/>
      <c r="R423" s="253"/>
      <c r="S423" s="253"/>
      <c r="T423" s="253"/>
      <c r="U423" s="253"/>
      <c r="V423" s="253"/>
    </row>
    <row r="424" spans="2:65" ht="13.8" x14ac:dyDescent="0.25">
      <c r="B424" s="253"/>
      <c r="C424" s="253"/>
      <c r="R424" s="253"/>
      <c r="S424" s="253"/>
      <c r="T424" s="253"/>
      <c r="U424" s="253"/>
      <c r="V424" s="253"/>
    </row>
    <row r="425" spans="2:65" ht="13.8" x14ac:dyDescent="0.25">
      <c r="B425" s="253"/>
      <c r="C425" s="253"/>
      <c r="R425" s="253"/>
      <c r="S425" s="253"/>
      <c r="T425" s="253"/>
      <c r="U425" s="253"/>
      <c r="V425" s="253"/>
    </row>
    <row r="426" spans="2:65" ht="13.8" x14ac:dyDescent="0.25">
      <c r="B426" s="253"/>
      <c r="C426" s="253"/>
      <c r="R426" s="253"/>
      <c r="S426" s="253"/>
      <c r="T426" s="253"/>
      <c r="U426" s="253"/>
      <c r="V426" s="253"/>
    </row>
    <row r="427" spans="2:65" ht="13.8" x14ac:dyDescent="0.25">
      <c r="B427" s="253"/>
      <c r="C427" s="253"/>
      <c r="R427" s="253"/>
      <c r="S427" s="253"/>
      <c r="T427" s="253"/>
      <c r="U427" s="253"/>
      <c r="V427" s="253"/>
    </row>
    <row r="428" spans="2:65" ht="13.8" x14ac:dyDescent="0.25">
      <c r="B428" s="253"/>
      <c r="C428" s="253"/>
      <c r="R428" s="253"/>
      <c r="S428" s="253"/>
      <c r="T428" s="253"/>
      <c r="U428" s="253"/>
      <c r="V428" s="253"/>
    </row>
    <row r="429" spans="2:65" ht="13.8" x14ac:dyDescent="0.25">
      <c r="B429" s="253"/>
      <c r="C429" s="253"/>
      <c r="R429" s="253"/>
      <c r="S429" s="253"/>
      <c r="T429" s="253"/>
      <c r="U429" s="253"/>
      <c r="V429" s="253"/>
    </row>
    <row r="430" spans="2:65" ht="13.8" x14ac:dyDescent="0.25">
      <c r="B430" s="253"/>
      <c r="C430" s="253"/>
      <c r="R430" s="253"/>
      <c r="S430" s="253"/>
      <c r="T430" s="253"/>
      <c r="U430" s="253"/>
      <c r="V430" s="253"/>
    </row>
    <row r="431" spans="2:65" ht="13.8" x14ac:dyDescent="0.25">
      <c r="B431" s="253"/>
      <c r="C431" s="253"/>
      <c r="R431" s="253"/>
      <c r="S431" s="253"/>
      <c r="T431" s="253"/>
      <c r="U431" s="253"/>
      <c r="V431" s="253"/>
    </row>
    <row r="432" spans="2:65" ht="13.8" x14ac:dyDescent="0.25">
      <c r="B432" s="253"/>
      <c r="C432" s="253"/>
      <c r="R432" s="253"/>
      <c r="S432" s="253"/>
      <c r="T432" s="253"/>
      <c r="U432" s="253"/>
      <c r="V432" s="253"/>
    </row>
    <row r="433" spans="2:22" ht="13.8" x14ac:dyDescent="0.25">
      <c r="B433" s="253"/>
      <c r="C433" s="253"/>
      <c r="R433" s="253"/>
      <c r="S433" s="253"/>
      <c r="T433" s="253"/>
      <c r="U433" s="253"/>
      <c r="V433" s="253"/>
    </row>
    <row r="434" spans="2:22" ht="13.8" x14ac:dyDescent="0.25">
      <c r="B434" s="253"/>
      <c r="C434" s="253"/>
      <c r="R434" s="253"/>
      <c r="S434" s="253"/>
      <c r="T434" s="253"/>
      <c r="U434" s="253"/>
      <c r="V434" s="253"/>
    </row>
    <row r="435" spans="2:22" ht="13.8" x14ac:dyDescent="0.25">
      <c r="B435" s="253"/>
      <c r="C435" s="253"/>
      <c r="R435" s="253"/>
      <c r="S435" s="253"/>
      <c r="T435" s="253"/>
      <c r="U435" s="253"/>
      <c r="V435" s="253"/>
    </row>
    <row r="436" spans="2:22" ht="13.8" x14ac:dyDescent="0.25">
      <c r="B436" s="253"/>
      <c r="C436" s="253"/>
      <c r="R436" s="253"/>
      <c r="S436" s="253"/>
      <c r="T436" s="253"/>
      <c r="U436" s="253"/>
      <c r="V436" s="253"/>
    </row>
    <row r="437" spans="2:22" ht="13.8" x14ac:dyDescent="0.25">
      <c r="B437" s="253"/>
      <c r="C437" s="253"/>
      <c r="R437" s="253"/>
      <c r="S437" s="253"/>
      <c r="T437" s="253"/>
      <c r="U437" s="253"/>
      <c r="V437" s="253"/>
    </row>
    <row r="438" spans="2:22" ht="13.8" x14ac:dyDescent="0.25">
      <c r="B438" s="253"/>
      <c r="C438" s="253"/>
      <c r="R438" s="253"/>
      <c r="S438" s="253"/>
      <c r="T438" s="253"/>
      <c r="U438" s="253"/>
      <c r="V438" s="253"/>
    </row>
    <row r="439" spans="2:22" ht="13.8" x14ac:dyDescent="0.25">
      <c r="B439" s="253"/>
      <c r="C439" s="253"/>
      <c r="R439" s="253"/>
      <c r="S439" s="253"/>
      <c r="T439" s="253"/>
      <c r="U439" s="253"/>
      <c r="V439" s="253"/>
    </row>
    <row r="440" spans="2:22" ht="13.8" x14ac:dyDescent="0.25">
      <c r="B440" s="253"/>
      <c r="C440" s="253"/>
      <c r="R440" s="253"/>
      <c r="S440" s="253"/>
      <c r="T440" s="253"/>
      <c r="U440" s="253"/>
      <c r="V440" s="253"/>
    </row>
    <row r="441" spans="2:22" ht="13.8" x14ac:dyDescent="0.25">
      <c r="B441" s="253"/>
      <c r="C441" s="253"/>
      <c r="R441" s="253"/>
      <c r="S441" s="253"/>
      <c r="T441" s="253"/>
      <c r="U441" s="253"/>
      <c r="V441" s="253"/>
    </row>
    <row r="442" spans="2:22" ht="13.8" x14ac:dyDescent="0.25">
      <c r="B442" s="253"/>
      <c r="C442" s="253"/>
      <c r="R442" s="253"/>
      <c r="S442" s="253"/>
      <c r="T442" s="253"/>
      <c r="U442" s="253"/>
      <c r="V442" s="253"/>
    </row>
    <row r="443" spans="2:22" ht="13.8" x14ac:dyDescent="0.25">
      <c r="B443" s="253"/>
      <c r="C443" s="253"/>
      <c r="R443" s="253"/>
      <c r="S443" s="253"/>
      <c r="T443" s="253"/>
      <c r="U443" s="253"/>
      <c r="V443" s="253"/>
    </row>
    <row r="444" spans="2:22" ht="13.8" x14ac:dyDescent="0.25">
      <c r="B444" s="253"/>
      <c r="C444" s="253"/>
      <c r="R444" s="253"/>
      <c r="S444" s="253"/>
      <c r="T444" s="253"/>
      <c r="U444" s="253"/>
      <c r="V444" s="253"/>
    </row>
    <row r="445" spans="2:22" ht="13.8" x14ac:dyDescent="0.25">
      <c r="B445" s="253"/>
      <c r="C445" s="253"/>
      <c r="R445" s="253"/>
      <c r="S445" s="253"/>
      <c r="T445" s="253"/>
      <c r="U445" s="253"/>
      <c r="V445" s="253"/>
    </row>
    <row r="446" spans="2:22" ht="13.8" x14ac:dyDescent="0.25">
      <c r="B446" s="253"/>
      <c r="C446" s="253"/>
      <c r="R446" s="253"/>
      <c r="S446" s="253"/>
      <c r="T446" s="253"/>
      <c r="U446" s="253"/>
      <c r="V446" s="253"/>
    </row>
    <row r="447" spans="2:22" ht="13.8" x14ac:dyDescent="0.25">
      <c r="B447" s="253"/>
      <c r="C447" s="253"/>
      <c r="R447" s="253"/>
      <c r="S447" s="253"/>
      <c r="T447" s="253"/>
      <c r="U447" s="253"/>
      <c r="V447" s="253"/>
    </row>
    <row r="448" spans="2:22" ht="13.8" x14ac:dyDescent="0.25">
      <c r="B448" s="253"/>
      <c r="C448" s="253"/>
      <c r="R448" s="253"/>
      <c r="S448" s="253"/>
      <c r="T448" s="253"/>
      <c r="U448" s="253"/>
      <c r="V448" s="253"/>
    </row>
    <row r="449" spans="2:22" ht="13.8" x14ac:dyDescent="0.25">
      <c r="B449" s="253"/>
      <c r="C449" s="253"/>
      <c r="R449" s="253"/>
      <c r="S449" s="253"/>
      <c r="T449" s="253"/>
      <c r="U449" s="253"/>
      <c r="V449" s="253"/>
    </row>
    <row r="450" spans="2:22" ht="13.8" x14ac:dyDescent="0.25">
      <c r="B450" s="253"/>
      <c r="C450" s="253"/>
      <c r="R450" s="253"/>
      <c r="S450" s="253"/>
      <c r="T450" s="253"/>
      <c r="U450" s="253"/>
      <c r="V450" s="253"/>
    </row>
    <row r="451" spans="2:22" ht="13.8" x14ac:dyDescent="0.25">
      <c r="B451" s="253"/>
      <c r="C451" s="253"/>
      <c r="R451" s="253"/>
      <c r="S451" s="253"/>
      <c r="T451" s="253"/>
      <c r="U451" s="253"/>
      <c r="V451" s="253"/>
    </row>
    <row r="452" spans="2:22" ht="13.8" x14ac:dyDescent="0.25">
      <c r="B452" s="253"/>
      <c r="C452" s="253"/>
      <c r="R452" s="253"/>
      <c r="S452" s="253"/>
      <c r="T452" s="253"/>
      <c r="U452" s="253"/>
      <c r="V452" s="253"/>
    </row>
    <row r="453" spans="2:22" ht="13.8" x14ac:dyDescent="0.25">
      <c r="B453" s="253"/>
      <c r="C453" s="253"/>
      <c r="R453" s="253"/>
      <c r="S453" s="253"/>
      <c r="T453" s="253"/>
      <c r="U453" s="253"/>
      <c r="V453" s="253"/>
    </row>
    <row r="454" spans="2:22" ht="13.8" x14ac:dyDescent="0.25">
      <c r="B454" s="253"/>
      <c r="C454" s="253"/>
      <c r="R454" s="253"/>
      <c r="S454" s="253"/>
      <c r="T454" s="253"/>
      <c r="U454" s="253"/>
      <c r="V454" s="253"/>
    </row>
    <row r="455" spans="2:22" ht="13.8" x14ac:dyDescent="0.25">
      <c r="B455" s="253"/>
      <c r="C455" s="253"/>
      <c r="R455" s="253"/>
      <c r="S455" s="253"/>
      <c r="T455" s="253"/>
      <c r="U455" s="253"/>
      <c r="V455" s="253"/>
    </row>
    <row r="456" spans="2:22" ht="13.8" x14ac:dyDescent="0.25">
      <c r="B456" s="253"/>
      <c r="C456" s="253"/>
      <c r="R456" s="253"/>
      <c r="S456" s="253"/>
      <c r="T456" s="253"/>
      <c r="U456" s="253"/>
      <c r="V456" s="253"/>
    </row>
    <row r="457" spans="2:22" ht="13.8" x14ac:dyDescent="0.25">
      <c r="B457" s="253"/>
      <c r="C457" s="253"/>
      <c r="R457" s="253"/>
      <c r="S457" s="253"/>
      <c r="T457" s="253"/>
      <c r="U457" s="253"/>
      <c r="V457" s="253"/>
    </row>
    <row r="458" spans="2:22" ht="13.8" x14ac:dyDescent="0.25">
      <c r="B458" s="253"/>
      <c r="C458" s="253"/>
      <c r="R458" s="253"/>
      <c r="S458" s="253"/>
      <c r="T458" s="253"/>
      <c r="U458" s="253"/>
      <c r="V458" s="253"/>
    </row>
    <row r="459" spans="2:22" ht="13.8" x14ac:dyDescent="0.25">
      <c r="B459" s="253"/>
      <c r="C459" s="253"/>
      <c r="R459" s="253"/>
      <c r="S459" s="253"/>
      <c r="T459" s="253"/>
      <c r="U459" s="253"/>
      <c r="V459" s="253"/>
    </row>
    <row r="460" spans="2:22" ht="13.8" x14ac:dyDescent="0.25">
      <c r="B460" s="253"/>
      <c r="C460" s="253"/>
      <c r="R460" s="253"/>
      <c r="S460" s="253"/>
      <c r="T460" s="253"/>
      <c r="U460" s="253"/>
      <c r="V460" s="253"/>
    </row>
    <row r="461" spans="2:22" ht="13.8" x14ac:dyDescent="0.25">
      <c r="B461" s="253"/>
      <c r="C461" s="253"/>
      <c r="R461" s="253"/>
      <c r="S461" s="253"/>
      <c r="T461" s="253"/>
      <c r="U461" s="253"/>
      <c r="V461" s="253"/>
    </row>
    <row r="462" spans="2:22" ht="13.8" x14ac:dyDescent="0.25">
      <c r="B462" s="253"/>
      <c r="C462" s="253"/>
      <c r="R462" s="253"/>
      <c r="S462" s="253"/>
      <c r="T462" s="253"/>
      <c r="U462" s="253"/>
      <c r="V462" s="253"/>
    </row>
    <row r="463" spans="2:22" ht="13.8" x14ac:dyDescent="0.25">
      <c r="B463" s="253"/>
      <c r="C463" s="253"/>
      <c r="R463" s="253"/>
      <c r="S463" s="253"/>
      <c r="T463" s="253"/>
      <c r="U463" s="253"/>
      <c r="V463" s="253"/>
    </row>
    <row r="464" spans="2:22" ht="13.8" x14ac:dyDescent="0.25">
      <c r="B464" s="253"/>
      <c r="C464" s="253"/>
      <c r="R464" s="253"/>
      <c r="S464" s="253"/>
      <c r="T464" s="253"/>
      <c r="U464" s="253"/>
      <c r="V464" s="253"/>
    </row>
    <row r="465" spans="2:22" ht="13.8" x14ac:dyDescent="0.25">
      <c r="B465" s="253"/>
      <c r="C465" s="253"/>
      <c r="R465" s="253"/>
      <c r="S465" s="253"/>
      <c r="T465" s="253"/>
      <c r="U465" s="253"/>
      <c r="V465" s="253"/>
    </row>
    <row r="466" spans="2:22" ht="13.8" x14ac:dyDescent="0.25">
      <c r="B466" s="253"/>
      <c r="C466" s="253"/>
      <c r="R466" s="253"/>
      <c r="S466" s="253"/>
      <c r="T466" s="253"/>
      <c r="U466" s="253"/>
      <c r="V466" s="253"/>
    </row>
    <row r="467" spans="2:22" ht="13.8" x14ac:dyDescent="0.25">
      <c r="B467" s="253"/>
      <c r="C467" s="253"/>
      <c r="R467" s="253"/>
      <c r="S467" s="253"/>
      <c r="T467" s="253"/>
      <c r="U467" s="253"/>
      <c r="V467" s="253"/>
    </row>
    <row r="468" spans="2:22" ht="13.8" x14ac:dyDescent="0.25">
      <c r="B468" s="253"/>
      <c r="C468" s="253"/>
      <c r="R468" s="253"/>
      <c r="S468" s="253"/>
      <c r="T468" s="253"/>
      <c r="U468" s="253"/>
      <c r="V468" s="253"/>
    </row>
    <row r="469" spans="2:22" ht="13.8" x14ac:dyDescent="0.25">
      <c r="B469" s="253"/>
      <c r="C469" s="253"/>
      <c r="R469" s="253"/>
      <c r="S469" s="253"/>
      <c r="T469" s="253"/>
      <c r="U469" s="253"/>
      <c r="V469" s="253"/>
    </row>
    <row r="470" spans="2:22" ht="13.8" x14ac:dyDescent="0.25">
      <c r="B470" s="253"/>
      <c r="C470" s="253"/>
      <c r="R470" s="253"/>
      <c r="S470" s="253"/>
      <c r="T470" s="253"/>
      <c r="U470" s="253"/>
      <c r="V470" s="253"/>
    </row>
    <row r="471" spans="2:22" ht="13.8" x14ac:dyDescent="0.25">
      <c r="B471" s="253"/>
      <c r="C471" s="253"/>
      <c r="R471" s="253"/>
      <c r="S471" s="253"/>
      <c r="T471" s="253"/>
      <c r="U471" s="253"/>
      <c r="V471" s="253"/>
    </row>
    <row r="472" spans="2:22" ht="13.8" x14ac:dyDescent="0.25">
      <c r="B472" s="253"/>
      <c r="C472" s="253"/>
      <c r="R472" s="253"/>
      <c r="S472" s="253"/>
      <c r="T472" s="253"/>
      <c r="U472" s="253"/>
      <c r="V472" s="253"/>
    </row>
    <row r="473" spans="2:22" ht="13.8" x14ac:dyDescent="0.25">
      <c r="B473" s="253"/>
      <c r="C473" s="253"/>
      <c r="R473" s="253"/>
      <c r="S473" s="253"/>
      <c r="T473" s="253"/>
      <c r="U473" s="253"/>
      <c r="V473" s="253"/>
    </row>
    <row r="474" spans="2:22" ht="13.8" x14ac:dyDescent="0.25">
      <c r="B474" s="253"/>
      <c r="C474" s="253"/>
      <c r="R474" s="253"/>
      <c r="S474" s="253"/>
      <c r="T474" s="253"/>
      <c r="U474" s="253"/>
      <c r="V474" s="253"/>
    </row>
    <row r="475" spans="2:22" ht="13.8" x14ac:dyDescent="0.25">
      <c r="B475" s="253"/>
      <c r="C475" s="253"/>
      <c r="R475" s="253"/>
      <c r="S475" s="253"/>
      <c r="T475" s="253"/>
      <c r="U475" s="253"/>
      <c r="V475" s="253"/>
    </row>
    <row r="476" spans="2:22" ht="13.8" x14ac:dyDescent="0.25">
      <c r="B476" s="253"/>
      <c r="C476" s="253"/>
      <c r="R476" s="253"/>
      <c r="S476" s="253"/>
      <c r="T476" s="253"/>
      <c r="U476" s="253"/>
      <c r="V476" s="253"/>
    </row>
    <row r="477" spans="2:22" ht="13.8" x14ac:dyDescent="0.25">
      <c r="B477" s="253"/>
      <c r="C477" s="253"/>
      <c r="R477" s="253"/>
      <c r="S477" s="253"/>
      <c r="T477" s="253"/>
      <c r="U477" s="253"/>
      <c r="V477" s="253"/>
    </row>
    <row r="478" spans="2:22" ht="13.8" x14ac:dyDescent="0.25">
      <c r="B478" s="253"/>
      <c r="C478" s="253"/>
      <c r="R478" s="253"/>
      <c r="S478" s="253"/>
      <c r="T478" s="253"/>
      <c r="U478" s="253"/>
      <c r="V478" s="253"/>
    </row>
    <row r="479" spans="2:22" ht="13.8" x14ac:dyDescent="0.25">
      <c r="B479" s="253"/>
      <c r="C479" s="253"/>
      <c r="R479" s="253"/>
      <c r="S479" s="253"/>
      <c r="T479" s="253"/>
      <c r="U479" s="253"/>
      <c r="V479" s="253"/>
    </row>
    <row r="480" spans="2:22" ht="13.8" x14ac:dyDescent="0.25">
      <c r="B480" s="253"/>
      <c r="C480" s="253"/>
      <c r="R480" s="253"/>
      <c r="S480" s="253"/>
      <c r="T480" s="253"/>
      <c r="U480" s="253"/>
      <c r="V480" s="253"/>
    </row>
    <row r="481" spans="2:22" ht="13.8" x14ac:dyDescent="0.25">
      <c r="B481" s="253"/>
      <c r="C481" s="253"/>
      <c r="R481" s="253"/>
      <c r="S481" s="253"/>
      <c r="T481" s="253"/>
      <c r="U481" s="253"/>
      <c r="V481" s="253"/>
    </row>
    <row r="482" spans="2:22" ht="13.8" x14ac:dyDescent="0.25">
      <c r="B482" s="253"/>
      <c r="C482" s="253"/>
      <c r="R482" s="253"/>
      <c r="S482" s="253"/>
      <c r="T482" s="253"/>
      <c r="U482" s="253"/>
      <c r="V482" s="253"/>
    </row>
    <row r="483" spans="2:22" ht="13.8" x14ac:dyDescent="0.25">
      <c r="B483" s="253"/>
      <c r="C483" s="253"/>
      <c r="R483" s="253"/>
      <c r="S483" s="253"/>
      <c r="T483" s="253"/>
      <c r="U483" s="253"/>
      <c r="V483" s="253"/>
    </row>
    <row r="484" spans="2:22" ht="13.8" x14ac:dyDescent="0.25">
      <c r="B484" s="253"/>
      <c r="C484" s="253"/>
      <c r="R484" s="253"/>
      <c r="S484" s="253"/>
      <c r="T484" s="253"/>
      <c r="U484" s="253"/>
      <c r="V484" s="253"/>
    </row>
    <row r="485" spans="2:22" ht="13.8" x14ac:dyDescent="0.25">
      <c r="B485" s="253"/>
      <c r="C485" s="253"/>
      <c r="R485" s="253"/>
      <c r="S485" s="253"/>
      <c r="T485" s="253"/>
      <c r="U485" s="253"/>
      <c r="V485" s="253"/>
    </row>
    <row r="486" spans="2:22" ht="13.8" x14ac:dyDescent="0.25">
      <c r="B486" s="253"/>
      <c r="C486" s="253"/>
      <c r="R486" s="253"/>
      <c r="S486" s="253"/>
      <c r="T486" s="253"/>
      <c r="U486" s="253"/>
      <c r="V486" s="253"/>
    </row>
    <row r="487" spans="2:22" ht="13.8" x14ac:dyDescent="0.25">
      <c r="B487" s="253"/>
      <c r="C487" s="253"/>
      <c r="R487" s="253"/>
      <c r="S487" s="253"/>
      <c r="T487" s="253"/>
      <c r="U487" s="253"/>
      <c r="V487" s="253"/>
    </row>
    <row r="488" spans="2:22" ht="13.8" x14ac:dyDescent="0.25">
      <c r="B488" s="253"/>
      <c r="C488" s="253"/>
      <c r="R488" s="253"/>
      <c r="S488" s="253"/>
      <c r="T488" s="253"/>
      <c r="U488" s="253"/>
      <c r="V488" s="253"/>
    </row>
    <row r="489" spans="2:22" ht="13.8" x14ac:dyDescent="0.25">
      <c r="B489" s="253"/>
      <c r="C489" s="253"/>
      <c r="R489" s="253"/>
      <c r="S489" s="253"/>
      <c r="T489" s="253"/>
      <c r="U489" s="253"/>
      <c r="V489" s="253"/>
    </row>
    <row r="490" spans="2:22" ht="13.8" x14ac:dyDescent="0.25">
      <c r="B490" s="253"/>
      <c r="C490" s="253"/>
      <c r="R490" s="253"/>
      <c r="S490" s="253"/>
      <c r="T490" s="253"/>
      <c r="U490" s="253"/>
      <c r="V490" s="253"/>
    </row>
    <row r="491" spans="2:22" ht="13.8" x14ac:dyDescent="0.25">
      <c r="B491" s="253"/>
      <c r="C491" s="253"/>
      <c r="R491" s="253"/>
      <c r="S491" s="253"/>
      <c r="T491" s="253"/>
      <c r="U491" s="253"/>
      <c r="V491" s="253"/>
    </row>
    <row r="492" spans="2:22" ht="13.8" x14ac:dyDescent="0.25">
      <c r="B492" s="253"/>
      <c r="C492" s="253"/>
      <c r="R492" s="253"/>
      <c r="S492" s="253"/>
      <c r="T492" s="253"/>
      <c r="U492" s="253"/>
      <c r="V492" s="253"/>
    </row>
    <row r="493" spans="2:22" ht="13.8" x14ac:dyDescent="0.25">
      <c r="B493" s="253"/>
      <c r="C493" s="253"/>
      <c r="R493" s="253"/>
      <c r="S493" s="253"/>
      <c r="T493" s="253"/>
      <c r="U493" s="253"/>
      <c r="V493" s="253"/>
    </row>
    <row r="494" spans="2:22" ht="13.8" x14ac:dyDescent="0.25">
      <c r="B494" s="253"/>
      <c r="C494" s="253"/>
      <c r="R494" s="253"/>
      <c r="S494" s="253"/>
      <c r="T494" s="253"/>
      <c r="U494" s="253"/>
      <c r="V494" s="253"/>
    </row>
    <row r="495" spans="2:22" ht="13.8" x14ac:dyDescent="0.25">
      <c r="B495" s="253"/>
      <c r="C495" s="253"/>
      <c r="R495" s="253"/>
      <c r="S495" s="253"/>
      <c r="T495" s="253"/>
      <c r="U495" s="253"/>
      <c r="V495" s="253"/>
    </row>
    <row r="496" spans="2:22" ht="13.8" x14ac:dyDescent="0.25">
      <c r="B496" s="253"/>
      <c r="C496" s="253"/>
      <c r="R496" s="253"/>
      <c r="S496" s="253"/>
      <c r="T496" s="253"/>
      <c r="U496" s="253"/>
      <c r="V496" s="253"/>
    </row>
    <row r="497" spans="2:22" ht="13.8" x14ac:dyDescent="0.25">
      <c r="B497" s="253"/>
      <c r="C497" s="253"/>
      <c r="R497" s="253"/>
      <c r="S497" s="253"/>
      <c r="T497" s="253"/>
      <c r="U497" s="253"/>
      <c r="V497" s="253"/>
    </row>
    <row r="498" spans="2:22" ht="13.8" x14ac:dyDescent="0.25">
      <c r="B498" s="253"/>
      <c r="C498" s="253"/>
      <c r="R498" s="253"/>
      <c r="S498" s="253"/>
      <c r="T498" s="253"/>
      <c r="U498" s="253"/>
      <c r="V498" s="253"/>
    </row>
    <row r="499" spans="2:22" ht="13.8" x14ac:dyDescent="0.25">
      <c r="B499" s="253"/>
      <c r="C499" s="253"/>
      <c r="R499" s="253"/>
      <c r="S499" s="253"/>
      <c r="T499" s="253"/>
      <c r="U499" s="253"/>
      <c r="V499" s="253"/>
    </row>
    <row r="500" spans="2:22" ht="13.8" x14ac:dyDescent="0.25">
      <c r="B500" s="253"/>
      <c r="C500" s="253"/>
      <c r="R500" s="253"/>
      <c r="S500" s="253"/>
      <c r="T500" s="253"/>
      <c r="U500" s="253"/>
      <c r="V500" s="253"/>
    </row>
    <row r="501" spans="2:22" ht="13.8" x14ac:dyDescent="0.25">
      <c r="B501" s="253"/>
      <c r="C501" s="253"/>
      <c r="R501" s="253"/>
      <c r="S501" s="253"/>
      <c r="T501" s="253"/>
      <c r="U501" s="253"/>
      <c r="V501" s="253"/>
    </row>
    <row r="502" spans="2:22" ht="13.8" x14ac:dyDescent="0.25">
      <c r="B502" s="253"/>
      <c r="C502" s="253"/>
      <c r="R502" s="253"/>
      <c r="S502" s="253"/>
      <c r="T502" s="253"/>
      <c r="U502" s="253"/>
      <c r="V502" s="253"/>
    </row>
    <row r="503" spans="2:22" ht="13.8" x14ac:dyDescent="0.25">
      <c r="B503" s="253"/>
      <c r="C503" s="253"/>
      <c r="R503" s="253"/>
      <c r="S503" s="253"/>
      <c r="T503" s="253"/>
      <c r="U503" s="253"/>
      <c r="V503" s="253"/>
    </row>
    <row r="504" spans="2:22" ht="13.8" x14ac:dyDescent="0.25">
      <c r="B504" s="253"/>
      <c r="C504" s="253"/>
      <c r="R504" s="253"/>
      <c r="S504" s="253"/>
      <c r="T504" s="253"/>
      <c r="U504" s="253"/>
      <c r="V504" s="253"/>
    </row>
    <row r="505" spans="2:22" ht="13.8" x14ac:dyDescent="0.25">
      <c r="B505" s="253"/>
      <c r="C505" s="253"/>
      <c r="R505" s="253"/>
      <c r="S505" s="253"/>
      <c r="T505" s="253"/>
      <c r="U505" s="253"/>
      <c r="V505" s="253"/>
    </row>
    <row r="506" spans="2:22" ht="13.8" x14ac:dyDescent="0.25">
      <c r="B506" s="253"/>
      <c r="C506" s="253"/>
      <c r="R506" s="253"/>
      <c r="S506" s="253"/>
      <c r="T506" s="253"/>
      <c r="U506" s="253"/>
      <c r="V506" s="253"/>
    </row>
    <row r="507" spans="2:22" ht="13.8" x14ac:dyDescent="0.25">
      <c r="B507" s="253"/>
      <c r="C507" s="253"/>
      <c r="R507" s="253"/>
      <c r="S507" s="253"/>
      <c r="T507" s="253"/>
      <c r="U507" s="253"/>
      <c r="V507" s="253"/>
    </row>
    <row r="508" spans="2:22" ht="13.8" x14ac:dyDescent="0.25">
      <c r="B508" s="253"/>
      <c r="C508" s="253"/>
      <c r="R508" s="253"/>
      <c r="S508" s="253"/>
      <c r="T508" s="253"/>
      <c r="U508" s="253"/>
      <c r="V508" s="253"/>
    </row>
    <row r="509" spans="2:22" ht="13.8" x14ac:dyDescent="0.25">
      <c r="B509" s="253"/>
      <c r="C509" s="253"/>
      <c r="R509" s="253"/>
      <c r="S509" s="253"/>
      <c r="T509" s="253"/>
      <c r="U509" s="253"/>
      <c r="V509" s="253"/>
    </row>
    <row r="510" spans="2:22" ht="13.8" x14ac:dyDescent="0.25">
      <c r="B510" s="253"/>
      <c r="C510" s="253"/>
      <c r="R510" s="253"/>
      <c r="S510" s="253"/>
      <c r="T510" s="253"/>
      <c r="U510" s="253"/>
      <c r="V510" s="253"/>
    </row>
    <row r="511" spans="2:22" ht="13.8" x14ac:dyDescent="0.25">
      <c r="B511" s="253"/>
      <c r="C511" s="253"/>
      <c r="R511" s="253"/>
      <c r="S511" s="253"/>
      <c r="T511" s="253"/>
      <c r="U511" s="253"/>
      <c r="V511" s="253"/>
    </row>
    <row r="512" spans="2:22" ht="13.8" x14ac:dyDescent="0.25">
      <c r="B512" s="253"/>
      <c r="C512" s="253"/>
      <c r="R512" s="253"/>
      <c r="S512" s="253"/>
      <c r="T512" s="253"/>
      <c r="U512" s="253"/>
      <c r="V512" s="253"/>
    </row>
    <row r="513" spans="2:22" ht="13.8" x14ac:dyDescent="0.25">
      <c r="B513" s="253"/>
      <c r="C513" s="253"/>
      <c r="R513" s="253"/>
      <c r="S513" s="253"/>
      <c r="T513" s="253"/>
      <c r="U513" s="253"/>
      <c r="V513" s="253"/>
    </row>
    <row r="514" spans="2:22" ht="13.8" x14ac:dyDescent="0.25">
      <c r="B514" s="253"/>
      <c r="C514" s="253"/>
      <c r="R514" s="253"/>
      <c r="S514" s="253"/>
      <c r="T514" s="253"/>
      <c r="U514" s="253"/>
      <c r="V514" s="253"/>
    </row>
    <row r="515" spans="2:22" ht="13.8" x14ac:dyDescent="0.25">
      <c r="B515" s="253"/>
      <c r="C515" s="253"/>
      <c r="R515" s="253"/>
      <c r="S515" s="253"/>
      <c r="T515" s="253"/>
      <c r="U515" s="253"/>
      <c r="V515" s="253"/>
    </row>
    <row r="516" spans="2:22" ht="13.8" x14ac:dyDescent="0.25">
      <c r="B516" s="253"/>
      <c r="C516" s="253"/>
      <c r="R516" s="253"/>
      <c r="S516" s="253"/>
      <c r="T516" s="253"/>
      <c r="U516" s="253"/>
      <c r="V516" s="253"/>
    </row>
    <row r="517" spans="2:22" ht="13.8" x14ac:dyDescent="0.25">
      <c r="B517" s="253"/>
      <c r="C517" s="253"/>
      <c r="R517" s="253"/>
      <c r="S517" s="253"/>
      <c r="T517" s="253"/>
      <c r="U517" s="253"/>
      <c r="V517" s="253"/>
    </row>
    <row r="518" spans="2:22" ht="13.8" x14ac:dyDescent="0.25">
      <c r="B518" s="253"/>
      <c r="C518" s="253"/>
      <c r="R518" s="253"/>
      <c r="S518" s="253"/>
      <c r="T518" s="253"/>
      <c r="U518" s="253"/>
      <c r="V518" s="253"/>
    </row>
    <row r="519" spans="2:22" ht="13.8" x14ac:dyDescent="0.25">
      <c r="B519" s="253"/>
      <c r="C519" s="253"/>
      <c r="R519" s="253"/>
      <c r="S519" s="253"/>
      <c r="T519" s="253"/>
      <c r="U519" s="253"/>
      <c r="V519" s="253"/>
    </row>
    <row r="520" spans="2:22" ht="13.8" x14ac:dyDescent="0.25">
      <c r="B520" s="253"/>
      <c r="C520" s="253"/>
      <c r="R520" s="253"/>
      <c r="S520" s="253"/>
      <c r="T520" s="253"/>
      <c r="U520" s="253"/>
      <c r="V520" s="253"/>
    </row>
    <row r="521" spans="2:22" ht="13.8" x14ac:dyDescent="0.25">
      <c r="B521" s="253"/>
      <c r="C521" s="253"/>
      <c r="R521" s="253"/>
      <c r="S521" s="253"/>
      <c r="T521" s="253"/>
      <c r="U521" s="253"/>
      <c r="V521" s="253"/>
    </row>
    <row r="522" spans="2:22" ht="13.8" x14ac:dyDescent="0.25">
      <c r="B522" s="253"/>
      <c r="C522" s="253"/>
      <c r="R522" s="253"/>
      <c r="S522" s="253"/>
      <c r="T522" s="253"/>
      <c r="U522" s="253"/>
      <c r="V522" s="253"/>
    </row>
    <row r="523" spans="2:22" ht="13.8" x14ac:dyDescent="0.25">
      <c r="B523" s="253"/>
      <c r="C523" s="253"/>
      <c r="R523" s="253"/>
      <c r="S523" s="253"/>
      <c r="T523" s="253"/>
      <c r="U523" s="253"/>
      <c r="V523" s="253"/>
    </row>
    <row r="524" spans="2:22" ht="13.8" x14ac:dyDescent="0.25">
      <c r="B524" s="253"/>
      <c r="C524" s="253"/>
      <c r="R524" s="253"/>
      <c r="S524" s="253"/>
      <c r="T524" s="253"/>
      <c r="U524" s="253"/>
      <c r="V524" s="253"/>
    </row>
    <row r="525" spans="2:22" ht="13.8" x14ac:dyDescent="0.25">
      <c r="B525" s="253"/>
      <c r="C525" s="253"/>
      <c r="R525" s="253"/>
      <c r="S525" s="253"/>
      <c r="T525" s="253"/>
      <c r="U525" s="253"/>
      <c r="V525" s="253"/>
    </row>
    <row r="526" spans="2:22" ht="13.8" x14ac:dyDescent="0.25">
      <c r="B526" s="253"/>
      <c r="C526" s="253"/>
      <c r="R526" s="253"/>
      <c r="S526" s="253"/>
      <c r="T526" s="253"/>
      <c r="U526" s="253"/>
      <c r="V526" s="253"/>
    </row>
    <row r="527" spans="2:22" ht="13.8" x14ac:dyDescent="0.25">
      <c r="B527" s="253"/>
      <c r="C527" s="253"/>
      <c r="R527" s="253"/>
      <c r="S527" s="253"/>
      <c r="T527" s="253"/>
      <c r="U527" s="253"/>
      <c r="V527" s="253"/>
    </row>
    <row r="528" spans="2:22" ht="13.8" x14ac:dyDescent="0.25">
      <c r="B528" s="253"/>
      <c r="C528" s="253"/>
      <c r="R528" s="253"/>
      <c r="S528" s="253"/>
      <c r="T528" s="253"/>
      <c r="U528" s="253"/>
      <c r="V528" s="253"/>
    </row>
    <row r="529" spans="2:22" ht="13.8" x14ac:dyDescent="0.25">
      <c r="B529" s="253"/>
      <c r="C529" s="253"/>
      <c r="R529" s="253"/>
      <c r="S529" s="253"/>
      <c r="T529" s="253"/>
      <c r="U529" s="253"/>
      <c r="V529" s="253"/>
    </row>
    <row r="530" spans="2:22" ht="13.8" x14ac:dyDescent="0.25">
      <c r="B530" s="253"/>
      <c r="C530" s="253"/>
      <c r="R530" s="253"/>
      <c r="S530" s="253"/>
      <c r="T530" s="253"/>
      <c r="U530" s="253"/>
      <c r="V530" s="253"/>
    </row>
    <row r="531" spans="2:22" ht="13.8" x14ac:dyDescent="0.25">
      <c r="B531" s="253"/>
      <c r="C531" s="253"/>
      <c r="R531" s="253"/>
      <c r="S531" s="253"/>
      <c r="T531" s="253"/>
      <c r="U531" s="253"/>
      <c r="V531" s="253"/>
    </row>
    <row r="532" spans="2:22" ht="13.8" x14ac:dyDescent="0.25">
      <c r="B532" s="253"/>
      <c r="C532" s="253"/>
      <c r="R532" s="253"/>
      <c r="S532" s="253"/>
      <c r="T532" s="253"/>
      <c r="U532" s="253"/>
      <c r="V532" s="253"/>
    </row>
    <row r="533" spans="2:22" ht="13.8" x14ac:dyDescent="0.25">
      <c r="B533" s="253"/>
      <c r="C533" s="253"/>
      <c r="R533" s="253"/>
      <c r="S533" s="253"/>
      <c r="T533" s="253"/>
      <c r="U533" s="253"/>
      <c r="V533" s="253"/>
    </row>
    <row r="534" spans="2:22" ht="13.8" x14ac:dyDescent="0.25">
      <c r="B534" s="253"/>
      <c r="C534" s="253"/>
      <c r="R534" s="253"/>
      <c r="S534" s="253"/>
      <c r="T534" s="253"/>
      <c r="U534" s="253"/>
      <c r="V534" s="253"/>
    </row>
    <row r="535" spans="2:22" ht="13.8" x14ac:dyDescent="0.25">
      <c r="B535" s="253"/>
      <c r="C535" s="253"/>
      <c r="R535" s="253"/>
      <c r="S535" s="253"/>
      <c r="T535" s="253"/>
      <c r="U535" s="253"/>
      <c r="V535" s="253"/>
    </row>
    <row r="536" spans="2:22" ht="13.8" x14ac:dyDescent="0.25">
      <c r="B536" s="253"/>
      <c r="C536" s="253"/>
      <c r="R536" s="253"/>
      <c r="S536" s="253"/>
      <c r="T536" s="253"/>
      <c r="U536" s="253"/>
      <c r="V536" s="253"/>
    </row>
    <row r="537" spans="2:22" ht="13.8" x14ac:dyDescent="0.25">
      <c r="B537" s="253"/>
      <c r="C537" s="253"/>
      <c r="R537" s="253"/>
      <c r="S537" s="253"/>
      <c r="T537" s="253"/>
      <c r="U537" s="253"/>
      <c r="V537" s="253"/>
    </row>
    <row r="538" spans="2:22" ht="13.8" x14ac:dyDescent="0.25">
      <c r="B538" s="253"/>
      <c r="C538" s="253"/>
      <c r="R538" s="253"/>
      <c r="S538" s="253"/>
      <c r="T538" s="253"/>
      <c r="U538" s="253"/>
      <c r="V538" s="253"/>
    </row>
    <row r="539" spans="2:22" ht="13.8" x14ac:dyDescent="0.25">
      <c r="B539" s="253"/>
      <c r="C539" s="253"/>
      <c r="R539" s="253"/>
      <c r="S539" s="253"/>
      <c r="T539" s="253"/>
      <c r="U539" s="253"/>
      <c r="V539" s="253"/>
    </row>
    <row r="540" spans="2:22" ht="13.8" x14ac:dyDescent="0.25">
      <c r="B540" s="253"/>
      <c r="C540" s="253"/>
      <c r="R540" s="253"/>
      <c r="S540" s="253"/>
      <c r="T540" s="253"/>
      <c r="U540" s="253"/>
      <c r="V540" s="253"/>
    </row>
    <row r="541" spans="2:22" ht="13.8" x14ac:dyDescent="0.25">
      <c r="B541" s="253"/>
      <c r="C541" s="253"/>
      <c r="R541" s="253"/>
      <c r="S541" s="253"/>
      <c r="T541" s="253"/>
      <c r="U541" s="253"/>
      <c r="V541" s="253"/>
    </row>
    <row r="542" spans="2:22" ht="13.8" x14ac:dyDescent="0.25">
      <c r="B542" s="253"/>
      <c r="C542" s="253"/>
      <c r="R542" s="253"/>
      <c r="S542" s="253"/>
      <c r="T542" s="253"/>
      <c r="U542" s="253"/>
      <c r="V542" s="253"/>
    </row>
    <row r="543" spans="2:22" ht="13.8" x14ac:dyDescent="0.25">
      <c r="B543" s="253"/>
      <c r="C543" s="253"/>
      <c r="R543" s="253"/>
      <c r="S543" s="253"/>
      <c r="T543" s="253"/>
      <c r="U543" s="253"/>
      <c r="V543" s="253"/>
    </row>
    <row r="544" spans="2:22" ht="13.8" x14ac:dyDescent="0.25">
      <c r="B544" s="253"/>
      <c r="C544" s="253"/>
      <c r="R544" s="253"/>
      <c r="S544" s="253"/>
      <c r="T544" s="253"/>
      <c r="U544" s="253"/>
      <c r="V544" s="253"/>
    </row>
    <row r="545" spans="2:22" ht="13.8" x14ac:dyDescent="0.25">
      <c r="B545" s="253"/>
      <c r="C545" s="253"/>
      <c r="R545" s="253"/>
      <c r="S545" s="253"/>
      <c r="T545" s="253"/>
      <c r="U545" s="253"/>
      <c r="V545" s="253"/>
    </row>
    <row r="546" spans="2:22" ht="13.8" x14ac:dyDescent="0.25">
      <c r="B546" s="253"/>
      <c r="C546" s="253"/>
      <c r="R546" s="253"/>
      <c r="S546" s="253"/>
      <c r="T546" s="253"/>
      <c r="U546" s="253"/>
      <c r="V546" s="253"/>
    </row>
    <row r="547" spans="2:22" ht="13.8" x14ac:dyDescent="0.25">
      <c r="B547" s="253"/>
      <c r="C547" s="253"/>
      <c r="R547" s="253"/>
      <c r="S547" s="253"/>
      <c r="T547" s="253"/>
      <c r="U547" s="253"/>
      <c r="V547" s="253"/>
    </row>
    <row r="548" spans="2:22" ht="13.8" x14ac:dyDescent="0.25">
      <c r="B548" s="253"/>
      <c r="C548" s="253"/>
      <c r="R548" s="253"/>
      <c r="S548" s="253"/>
      <c r="T548" s="253"/>
      <c r="U548" s="253"/>
      <c r="V548" s="253"/>
    </row>
    <row r="549" spans="2:22" ht="13.8" x14ac:dyDescent="0.25">
      <c r="B549" s="253"/>
      <c r="C549" s="253"/>
      <c r="R549" s="253"/>
      <c r="S549" s="253"/>
      <c r="T549" s="253"/>
      <c r="U549" s="253"/>
      <c r="V549" s="253"/>
    </row>
    <row r="550" spans="2:22" ht="13.8" x14ac:dyDescent="0.25">
      <c r="B550" s="253"/>
      <c r="C550" s="253"/>
      <c r="R550" s="253"/>
      <c r="S550" s="253"/>
      <c r="T550" s="253"/>
      <c r="U550" s="253"/>
      <c r="V550" s="253"/>
    </row>
    <row r="551" spans="2:22" ht="13.8" x14ac:dyDescent="0.25">
      <c r="B551" s="253"/>
      <c r="C551" s="253"/>
      <c r="R551" s="253"/>
      <c r="S551" s="253"/>
      <c r="T551" s="253"/>
      <c r="U551" s="253"/>
      <c r="V551" s="253"/>
    </row>
    <row r="552" spans="2:22" ht="13.8" x14ac:dyDescent="0.25">
      <c r="B552" s="253"/>
      <c r="C552" s="253"/>
      <c r="R552" s="253"/>
      <c r="S552" s="253"/>
      <c r="T552" s="253"/>
      <c r="U552" s="253"/>
      <c r="V552" s="253"/>
    </row>
    <row r="553" spans="2:22" ht="13.8" x14ac:dyDescent="0.25">
      <c r="B553" s="253"/>
      <c r="C553" s="253"/>
      <c r="R553" s="253"/>
      <c r="S553" s="253"/>
      <c r="T553" s="253"/>
      <c r="U553" s="253"/>
      <c r="V553" s="253"/>
    </row>
    <row r="554" spans="2:22" ht="13.8" x14ac:dyDescent="0.25">
      <c r="B554" s="253"/>
      <c r="C554" s="253"/>
      <c r="R554" s="253"/>
      <c r="S554" s="253"/>
      <c r="T554" s="253"/>
      <c r="U554" s="253"/>
      <c r="V554" s="253"/>
    </row>
    <row r="555" spans="2:22" ht="13.8" x14ac:dyDescent="0.25">
      <c r="B555" s="253"/>
      <c r="C555" s="253"/>
      <c r="R555" s="253"/>
      <c r="S555" s="253"/>
      <c r="T555" s="253"/>
      <c r="U555" s="253"/>
      <c r="V555" s="253"/>
    </row>
    <row r="556" spans="2:22" ht="13.8" x14ac:dyDescent="0.25">
      <c r="B556" s="253"/>
      <c r="C556" s="253"/>
      <c r="R556" s="253"/>
      <c r="S556" s="253"/>
      <c r="T556" s="253"/>
      <c r="U556" s="253"/>
      <c r="V556" s="253"/>
    </row>
    <row r="557" spans="2:22" ht="13.8" x14ac:dyDescent="0.25">
      <c r="B557" s="253"/>
      <c r="C557" s="253"/>
      <c r="R557" s="253"/>
      <c r="S557" s="253"/>
      <c r="T557" s="253"/>
      <c r="U557" s="253"/>
      <c r="V557" s="253"/>
    </row>
    <row r="558" spans="2:22" ht="13.8" x14ac:dyDescent="0.25">
      <c r="B558" s="253"/>
      <c r="C558" s="253"/>
      <c r="R558" s="253"/>
      <c r="S558" s="253"/>
      <c r="T558" s="253"/>
      <c r="U558" s="253"/>
      <c r="V558" s="253"/>
    </row>
    <row r="559" spans="2:22" ht="13.8" x14ac:dyDescent="0.25">
      <c r="B559" s="253"/>
      <c r="C559" s="253"/>
      <c r="R559" s="253"/>
      <c r="S559" s="253"/>
      <c r="T559" s="253"/>
      <c r="U559" s="253"/>
      <c r="V559" s="253"/>
    </row>
    <row r="560" spans="2:22" ht="13.8" x14ac:dyDescent="0.25">
      <c r="B560" s="253"/>
      <c r="C560" s="253"/>
      <c r="R560" s="253"/>
      <c r="S560" s="253"/>
      <c r="T560" s="253"/>
      <c r="U560" s="253"/>
      <c r="V560" s="253"/>
    </row>
    <row r="561" spans="2:22" ht="13.8" x14ac:dyDescent="0.25">
      <c r="B561" s="253"/>
      <c r="C561" s="253"/>
      <c r="R561" s="253"/>
      <c r="S561" s="253"/>
      <c r="T561" s="253"/>
      <c r="U561" s="253"/>
      <c r="V561" s="253"/>
    </row>
    <row r="562" spans="2:22" ht="13.8" x14ac:dyDescent="0.25">
      <c r="B562" s="253"/>
      <c r="C562" s="253"/>
      <c r="R562" s="253"/>
      <c r="S562" s="253"/>
      <c r="T562" s="253"/>
      <c r="U562" s="253"/>
      <c r="V562" s="253"/>
    </row>
    <row r="563" spans="2:22" ht="13.8" x14ac:dyDescent="0.25">
      <c r="B563" s="253"/>
      <c r="C563" s="253"/>
      <c r="R563" s="253"/>
      <c r="S563" s="253"/>
      <c r="T563" s="253"/>
      <c r="U563" s="253"/>
      <c r="V563" s="253"/>
    </row>
    <row r="564" spans="2:22" ht="13.8" x14ac:dyDescent="0.25">
      <c r="B564" s="253"/>
      <c r="C564" s="253"/>
      <c r="R564" s="253"/>
      <c r="S564" s="253"/>
      <c r="T564" s="253"/>
      <c r="U564" s="253"/>
      <c r="V564" s="253"/>
    </row>
    <row r="565" spans="2:22" ht="13.8" x14ac:dyDescent="0.25">
      <c r="B565" s="253"/>
      <c r="C565" s="253"/>
      <c r="R565" s="253"/>
      <c r="S565" s="253"/>
      <c r="T565" s="253"/>
      <c r="U565" s="253"/>
      <c r="V565" s="253"/>
    </row>
    <row r="566" spans="2:22" ht="13.8" x14ac:dyDescent="0.25">
      <c r="B566" s="253"/>
      <c r="C566" s="253"/>
      <c r="R566" s="253"/>
      <c r="S566" s="253"/>
      <c r="T566" s="253"/>
      <c r="U566" s="253"/>
      <c r="V566" s="253"/>
    </row>
    <row r="567" spans="2:22" ht="13.8" x14ac:dyDescent="0.25">
      <c r="B567" s="253"/>
      <c r="C567" s="253"/>
      <c r="R567" s="253"/>
      <c r="S567" s="253"/>
      <c r="T567" s="253"/>
      <c r="U567" s="253"/>
      <c r="V567" s="253"/>
    </row>
    <row r="568" spans="2:22" ht="13.8" x14ac:dyDescent="0.25">
      <c r="B568" s="253"/>
      <c r="C568" s="253"/>
      <c r="R568" s="253"/>
      <c r="S568" s="253"/>
      <c r="T568" s="253"/>
      <c r="U568" s="253"/>
      <c r="V568" s="253"/>
    </row>
    <row r="569" spans="2:22" ht="13.8" x14ac:dyDescent="0.25">
      <c r="B569" s="253"/>
      <c r="C569" s="253"/>
      <c r="R569" s="253"/>
      <c r="S569" s="253"/>
      <c r="T569" s="253"/>
      <c r="U569" s="253"/>
      <c r="V569" s="253"/>
    </row>
    <row r="570" spans="2:22" ht="13.8" x14ac:dyDescent="0.25">
      <c r="B570" s="253"/>
      <c r="C570" s="253"/>
      <c r="R570" s="253"/>
      <c r="S570" s="253"/>
      <c r="T570" s="253"/>
      <c r="U570" s="253"/>
      <c r="V570" s="253"/>
    </row>
    <row r="571" spans="2:22" ht="13.8" x14ac:dyDescent="0.25">
      <c r="B571" s="253"/>
      <c r="C571" s="253"/>
      <c r="R571" s="253"/>
      <c r="S571" s="253"/>
      <c r="T571" s="253"/>
      <c r="U571" s="253"/>
      <c r="V571" s="253"/>
    </row>
    <row r="572" spans="2:22" ht="13.8" x14ac:dyDescent="0.25">
      <c r="B572" s="253"/>
      <c r="C572" s="253"/>
      <c r="R572" s="253"/>
      <c r="S572" s="253"/>
      <c r="T572" s="253"/>
      <c r="U572" s="253"/>
      <c r="V572" s="253"/>
    </row>
    <row r="573" spans="2:22" ht="13.8" x14ac:dyDescent="0.25">
      <c r="B573" s="253"/>
      <c r="C573" s="253"/>
      <c r="R573" s="253"/>
      <c r="S573" s="253"/>
      <c r="T573" s="253"/>
      <c r="U573" s="253"/>
      <c r="V573" s="253"/>
    </row>
    <row r="574" spans="2:22" ht="13.8" x14ac:dyDescent="0.25">
      <c r="B574" s="253"/>
      <c r="C574" s="253"/>
      <c r="R574" s="253"/>
      <c r="S574" s="253"/>
      <c r="T574" s="253"/>
      <c r="U574" s="253"/>
      <c r="V574" s="253"/>
    </row>
    <row r="575" spans="2:22" ht="13.8" x14ac:dyDescent="0.25">
      <c r="B575" s="253"/>
      <c r="C575" s="253"/>
      <c r="R575" s="253"/>
      <c r="S575" s="253"/>
      <c r="T575" s="253"/>
      <c r="U575" s="253"/>
      <c r="V575" s="253"/>
    </row>
    <row r="576" spans="2:22" ht="13.8" x14ac:dyDescent="0.25">
      <c r="B576" s="253"/>
      <c r="C576" s="253"/>
      <c r="R576" s="253"/>
      <c r="S576" s="253"/>
      <c r="T576" s="253"/>
      <c r="U576" s="253"/>
      <c r="V576" s="253"/>
    </row>
    <row r="577" spans="2:22" ht="13.8" x14ac:dyDescent="0.25">
      <c r="B577" s="253"/>
      <c r="C577" s="253"/>
      <c r="R577" s="253"/>
      <c r="S577" s="253"/>
      <c r="T577" s="253"/>
      <c r="U577" s="253"/>
      <c r="V577" s="253"/>
    </row>
    <row r="578" spans="2:22" ht="13.8" x14ac:dyDescent="0.25">
      <c r="B578" s="253"/>
      <c r="C578" s="253"/>
      <c r="R578" s="253"/>
      <c r="S578" s="253"/>
      <c r="T578" s="253"/>
      <c r="U578" s="253"/>
      <c r="V578" s="253"/>
    </row>
    <row r="579" spans="2:22" ht="13.8" x14ac:dyDescent="0.25">
      <c r="B579" s="253"/>
      <c r="C579" s="253"/>
      <c r="R579" s="253"/>
      <c r="S579" s="253"/>
      <c r="T579" s="253"/>
      <c r="U579" s="253"/>
      <c r="V579" s="253"/>
    </row>
    <row r="580" spans="2:22" ht="13.8" x14ac:dyDescent="0.25">
      <c r="B580" s="253"/>
      <c r="C580" s="253"/>
      <c r="R580" s="253"/>
      <c r="S580" s="253"/>
      <c r="T580" s="253"/>
      <c r="U580" s="253"/>
      <c r="V580" s="253"/>
    </row>
    <row r="581" spans="2:22" ht="13.8" x14ac:dyDescent="0.25">
      <c r="B581" s="253"/>
      <c r="C581" s="253"/>
      <c r="R581" s="253"/>
      <c r="S581" s="253"/>
      <c r="T581" s="253"/>
      <c r="U581" s="253"/>
      <c r="V581" s="253"/>
    </row>
    <row r="582" spans="2:22" ht="13.8" x14ac:dyDescent="0.25">
      <c r="B582" s="253"/>
      <c r="C582" s="253"/>
      <c r="R582" s="253"/>
      <c r="S582" s="253"/>
      <c r="T582" s="253"/>
      <c r="U582" s="253"/>
      <c r="V582" s="253"/>
    </row>
    <row r="583" spans="2:22" ht="13.8" x14ac:dyDescent="0.25">
      <c r="B583" s="253"/>
      <c r="C583" s="253"/>
      <c r="R583" s="253"/>
      <c r="S583" s="253"/>
      <c r="T583" s="253"/>
      <c r="U583" s="253"/>
      <c r="V583" s="253"/>
    </row>
    <row r="584" spans="2:22" ht="13.8" x14ac:dyDescent="0.25">
      <c r="B584" s="253"/>
      <c r="C584" s="253"/>
      <c r="R584" s="253"/>
      <c r="S584" s="253"/>
      <c r="T584" s="253"/>
      <c r="U584" s="253"/>
      <c r="V584" s="253"/>
    </row>
    <row r="585" spans="2:22" ht="13.8" x14ac:dyDescent="0.25">
      <c r="B585" s="253"/>
      <c r="C585" s="253"/>
      <c r="R585" s="253"/>
      <c r="S585" s="253"/>
      <c r="T585" s="253"/>
      <c r="U585" s="253"/>
      <c r="V585" s="253"/>
    </row>
    <row r="586" spans="2:22" ht="13.8" x14ac:dyDescent="0.25">
      <c r="B586" s="253"/>
      <c r="C586" s="253"/>
      <c r="R586" s="253"/>
      <c r="S586" s="253"/>
      <c r="T586" s="253"/>
      <c r="U586" s="253"/>
      <c r="V586" s="253"/>
    </row>
    <row r="587" spans="2:22" ht="13.8" x14ac:dyDescent="0.25">
      <c r="B587" s="253"/>
      <c r="C587" s="253"/>
      <c r="R587" s="253"/>
      <c r="S587" s="253"/>
      <c r="T587" s="253"/>
      <c r="U587" s="253"/>
      <c r="V587" s="253"/>
    </row>
    <row r="588" spans="2:22" ht="13.8" x14ac:dyDescent="0.25">
      <c r="B588" s="253"/>
      <c r="C588" s="253"/>
      <c r="R588" s="253"/>
      <c r="S588" s="253"/>
      <c r="T588" s="253"/>
      <c r="U588" s="253"/>
      <c r="V588" s="253"/>
    </row>
    <row r="589" spans="2:22" ht="13.8" x14ac:dyDescent="0.25">
      <c r="B589" s="253"/>
      <c r="C589" s="253"/>
      <c r="R589" s="253"/>
      <c r="S589" s="253"/>
      <c r="T589" s="253"/>
      <c r="U589" s="253"/>
      <c r="V589" s="253"/>
    </row>
    <row r="590" spans="2:22" ht="13.8" x14ac:dyDescent="0.25">
      <c r="B590" s="253"/>
      <c r="C590" s="253"/>
      <c r="R590" s="253"/>
      <c r="S590" s="253"/>
      <c r="T590" s="253"/>
      <c r="U590" s="253"/>
      <c r="V590" s="253"/>
    </row>
    <row r="591" spans="2:22" ht="13.8" x14ac:dyDescent="0.25">
      <c r="B591" s="253"/>
      <c r="C591" s="253"/>
      <c r="R591" s="253"/>
      <c r="S591" s="253"/>
      <c r="T591" s="253"/>
      <c r="U591" s="253"/>
      <c r="V591" s="253"/>
    </row>
    <row r="592" spans="2:22" ht="13.8" x14ac:dyDescent="0.25">
      <c r="B592" s="253"/>
      <c r="C592" s="253"/>
      <c r="R592" s="253"/>
      <c r="S592" s="253"/>
      <c r="T592" s="253"/>
      <c r="U592" s="253"/>
      <c r="V592" s="253"/>
    </row>
    <row r="593" spans="2:22" ht="13.8" x14ac:dyDescent="0.25">
      <c r="B593" s="253"/>
      <c r="C593" s="253"/>
      <c r="R593" s="253"/>
      <c r="S593" s="253"/>
      <c r="T593" s="253"/>
      <c r="U593" s="253"/>
      <c r="V593" s="253"/>
    </row>
    <row r="594" spans="2:22" ht="13.8" x14ac:dyDescent="0.25">
      <c r="B594" s="253"/>
      <c r="C594" s="253"/>
      <c r="R594" s="253"/>
      <c r="S594" s="253"/>
      <c r="T594" s="253"/>
      <c r="U594" s="253"/>
      <c r="V594" s="253"/>
    </row>
    <row r="595" spans="2:22" ht="13.8" x14ac:dyDescent="0.25">
      <c r="B595" s="253"/>
      <c r="C595" s="253"/>
      <c r="R595" s="253"/>
      <c r="S595" s="253"/>
      <c r="T595" s="253"/>
      <c r="U595" s="253"/>
      <c r="V595" s="253"/>
    </row>
    <row r="596" spans="2:22" ht="13.8" x14ac:dyDescent="0.25">
      <c r="B596" s="253"/>
      <c r="C596" s="253"/>
      <c r="R596" s="253"/>
      <c r="S596" s="253"/>
      <c r="T596" s="253"/>
      <c r="U596" s="253"/>
      <c r="V596" s="253"/>
    </row>
    <row r="597" spans="2:22" ht="13.8" x14ac:dyDescent="0.25">
      <c r="B597" s="253"/>
      <c r="C597" s="253"/>
      <c r="R597" s="253"/>
      <c r="S597" s="253"/>
      <c r="T597" s="253"/>
      <c r="U597" s="253"/>
      <c r="V597" s="253"/>
    </row>
    <row r="598" spans="2:22" ht="13.8" x14ac:dyDescent="0.25">
      <c r="B598" s="253"/>
      <c r="C598" s="253"/>
      <c r="R598" s="253"/>
      <c r="S598" s="253"/>
      <c r="T598" s="253"/>
      <c r="U598" s="253"/>
      <c r="V598" s="253"/>
    </row>
    <row r="599" spans="2:22" ht="13.8" x14ac:dyDescent="0.25">
      <c r="B599" s="253"/>
      <c r="C599" s="253"/>
      <c r="R599" s="253"/>
      <c r="S599" s="253"/>
      <c r="T599" s="253"/>
      <c r="U599" s="253"/>
      <c r="V599" s="253"/>
    </row>
    <row r="600" spans="2:22" ht="13.8" x14ac:dyDescent="0.25">
      <c r="B600" s="253"/>
      <c r="C600" s="253"/>
      <c r="R600" s="253"/>
      <c r="S600" s="253"/>
      <c r="T600" s="253"/>
      <c r="U600" s="253"/>
      <c r="V600" s="253"/>
    </row>
    <row r="601" spans="2:22" ht="13.8" x14ac:dyDescent="0.25">
      <c r="B601" s="253"/>
      <c r="C601" s="253"/>
      <c r="R601" s="253"/>
      <c r="S601" s="253"/>
      <c r="T601" s="253"/>
      <c r="U601" s="253"/>
      <c r="V601" s="253"/>
    </row>
    <row r="602" spans="2:22" ht="13.8" x14ac:dyDescent="0.25">
      <c r="B602" s="253"/>
      <c r="C602" s="253"/>
      <c r="R602" s="253"/>
      <c r="S602" s="253"/>
      <c r="T602" s="253"/>
      <c r="U602" s="253"/>
      <c r="V602" s="253"/>
    </row>
    <row r="603" spans="2:22" ht="13.8" x14ac:dyDescent="0.25">
      <c r="B603" s="253"/>
      <c r="C603" s="253"/>
      <c r="R603" s="253"/>
      <c r="S603" s="253"/>
      <c r="T603" s="253"/>
      <c r="U603" s="253"/>
      <c r="V603" s="253"/>
    </row>
    <row r="604" spans="2:22" ht="13.8" x14ac:dyDescent="0.25">
      <c r="B604" s="253"/>
      <c r="C604" s="253"/>
      <c r="R604" s="253"/>
      <c r="S604" s="253"/>
      <c r="T604" s="253"/>
      <c r="U604" s="253"/>
      <c r="V604" s="253"/>
    </row>
    <row r="605" spans="2:22" ht="13.8" x14ac:dyDescent="0.25">
      <c r="B605" s="253"/>
      <c r="C605" s="253"/>
      <c r="R605" s="253"/>
      <c r="S605" s="253"/>
      <c r="T605" s="253"/>
      <c r="U605" s="253"/>
      <c r="V605" s="253"/>
    </row>
    <row r="606" spans="2:22" ht="13.8" x14ac:dyDescent="0.25">
      <c r="B606" s="253"/>
      <c r="C606" s="253"/>
      <c r="R606" s="253"/>
      <c r="S606" s="253"/>
      <c r="T606" s="253"/>
      <c r="U606" s="253"/>
      <c r="V606" s="253"/>
    </row>
    <row r="607" spans="2:22" ht="13.8" x14ac:dyDescent="0.25">
      <c r="B607" s="253"/>
      <c r="C607" s="253"/>
      <c r="R607" s="253"/>
      <c r="S607" s="253"/>
      <c r="T607" s="253"/>
      <c r="U607" s="253"/>
      <c r="V607" s="253"/>
    </row>
    <row r="608" spans="2:22" ht="13.8" x14ac:dyDescent="0.25">
      <c r="B608" s="253"/>
      <c r="C608" s="253"/>
      <c r="R608" s="253"/>
      <c r="S608" s="253"/>
      <c r="T608" s="253"/>
      <c r="U608" s="253"/>
      <c r="V608" s="253"/>
    </row>
    <row r="609" spans="2:22" ht="13.8" x14ac:dyDescent="0.25">
      <c r="B609" s="253"/>
      <c r="C609" s="253"/>
      <c r="R609" s="253"/>
      <c r="S609" s="253"/>
      <c r="T609" s="253"/>
      <c r="U609" s="253"/>
      <c r="V609" s="253"/>
    </row>
    <row r="610" spans="2:22" ht="13.8" x14ac:dyDescent="0.25">
      <c r="B610" s="253"/>
      <c r="C610" s="253"/>
      <c r="R610" s="253"/>
      <c r="S610" s="253"/>
      <c r="T610" s="253"/>
      <c r="U610" s="253"/>
      <c r="V610" s="253"/>
    </row>
    <row r="611" spans="2:22" ht="13.8" x14ac:dyDescent="0.25">
      <c r="B611" s="253"/>
      <c r="C611" s="253"/>
      <c r="R611" s="253"/>
      <c r="S611" s="253"/>
      <c r="T611" s="253"/>
      <c r="U611" s="253"/>
      <c r="V611" s="253"/>
    </row>
    <row r="612" spans="2:22" ht="13.8" x14ac:dyDescent="0.25">
      <c r="B612" s="253"/>
      <c r="C612" s="253"/>
      <c r="R612" s="253"/>
      <c r="S612" s="253"/>
      <c r="T612" s="253"/>
      <c r="U612" s="253"/>
      <c r="V612" s="253"/>
    </row>
    <row r="613" spans="2:22" ht="13.8" x14ac:dyDescent="0.25">
      <c r="B613" s="253"/>
      <c r="C613" s="253"/>
      <c r="R613" s="253"/>
      <c r="S613" s="253"/>
      <c r="T613" s="253"/>
      <c r="U613" s="253"/>
      <c r="V613" s="253"/>
    </row>
    <row r="614" spans="2:22" ht="13.8" x14ac:dyDescent="0.25">
      <c r="B614" s="253"/>
      <c r="C614" s="253"/>
      <c r="R614" s="253"/>
      <c r="S614" s="253"/>
      <c r="T614" s="253"/>
      <c r="U614" s="253"/>
      <c r="V614" s="253"/>
    </row>
    <row r="615" spans="2:22" ht="13.8" x14ac:dyDescent="0.25">
      <c r="B615" s="253"/>
      <c r="C615" s="253"/>
      <c r="R615" s="253"/>
      <c r="S615" s="253"/>
      <c r="T615" s="253"/>
      <c r="U615" s="253"/>
      <c r="V615" s="253"/>
    </row>
    <row r="616" spans="2:22" ht="13.8" x14ac:dyDescent="0.25">
      <c r="B616" s="253"/>
      <c r="C616" s="253"/>
      <c r="R616" s="253"/>
      <c r="S616" s="253"/>
      <c r="T616" s="253"/>
      <c r="U616" s="253"/>
      <c r="V616" s="253"/>
    </row>
    <row r="617" spans="2:22" ht="13.8" x14ac:dyDescent="0.25">
      <c r="B617" s="253"/>
      <c r="C617" s="253"/>
      <c r="R617" s="253"/>
      <c r="S617" s="253"/>
      <c r="T617" s="253"/>
      <c r="U617" s="253"/>
      <c r="V617" s="253"/>
    </row>
    <row r="618" spans="2:22" ht="13.8" x14ac:dyDescent="0.25">
      <c r="B618" s="253"/>
      <c r="C618" s="253"/>
      <c r="R618" s="253"/>
      <c r="S618" s="253"/>
      <c r="T618" s="253"/>
      <c r="U618" s="253"/>
      <c r="V618" s="253"/>
    </row>
    <row r="619" spans="2:22" ht="13.8" x14ac:dyDescent="0.25">
      <c r="B619" s="253"/>
      <c r="C619" s="253"/>
      <c r="R619" s="253"/>
      <c r="S619" s="253"/>
      <c r="T619" s="253"/>
      <c r="U619" s="253"/>
      <c r="V619" s="253"/>
    </row>
    <row r="620" spans="2:22" ht="13.8" x14ac:dyDescent="0.25">
      <c r="B620" s="253"/>
      <c r="C620" s="253"/>
      <c r="R620" s="253"/>
      <c r="S620" s="253"/>
      <c r="T620" s="253"/>
      <c r="U620" s="253"/>
      <c r="V620" s="253"/>
    </row>
    <row r="621" spans="2:22" ht="13.8" x14ac:dyDescent="0.25">
      <c r="B621" s="253"/>
      <c r="C621" s="253"/>
      <c r="R621" s="253"/>
      <c r="S621" s="253"/>
      <c r="T621" s="253"/>
      <c r="U621" s="253"/>
      <c r="V621" s="253"/>
    </row>
    <row r="622" spans="2:22" ht="13.8" x14ac:dyDescent="0.25">
      <c r="B622" s="253"/>
      <c r="C622" s="253"/>
      <c r="R622" s="253"/>
      <c r="S622" s="253"/>
      <c r="T622" s="253"/>
      <c r="U622" s="253"/>
      <c r="V622" s="253"/>
    </row>
    <row r="623" spans="2:22" ht="13.8" x14ac:dyDescent="0.25">
      <c r="B623" s="253"/>
      <c r="C623" s="253"/>
      <c r="R623" s="253"/>
      <c r="S623" s="253"/>
      <c r="T623" s="253"/>
      <c r="U623" s="253"/>
      <c r="V623" s="253"/>
    </row>
    <row r="624" spans="2:22" ht="13.8" x14ac:dyDescent="0.25">
      <c r="B624" s="253"/>
      <c r="C624" s="253"/>
      <c r="R624" s="253"/>
      <c r="S624" s="253"/>
      <c r="T624" s="253"/>
      <c r="U624" s="253"/>
      <c r="V624" s="253"/>
    </row>
    <row r="625" spans="2:22" ht="13.8" x14ac:dyDescent="0.25">
      <c r="B625" s="253"/>
      <c r="C625" s="253"/>
      <c r="R625" s="253"/>
      <c r="S625" s="253"/>
      <c r="T625" s="253"/>
      <c r="U625" s="253"/>
      <c r="V625" s="253"/>
    </row>
    <row r="626" spans="2:22" ht="13.8" x14ac:dyDescent="0.25">
      <c r="B626" s="253"/>
      <c r="C626" s="253"/>
      <c r="R626" s="253"/>
      <c r="S626" s="253"/>
      <c r="T626" s="253"/>
      <c r="U626" s="253"/>
      <c r="V626" s="253"/>
    </row>
    <row r="627" spans="2:22" ht="13.8" x14ac:dyDescent="0.25">
      <c r="B627" s="253"/>
      <c r="C627" s="253"/>
      <c r="R627" s="253"/>
      <c r="S627" s="253"/>
      <c r="T627" s="253"/>
      <c r="U627" s="253"/>
      <c r="V627" s="253"/>
    </row>
    <row r="628" spans="2:22" ht="13.8" x14ac:dyDescent="0.25">
      <c r="B628" s="253"/>
      <c r="C628" s="253"/>
      <c r="R628" s="253"/>
      <c r="S628" s="253"/>
      <c r="T628" s="253"/>
      <c r="U628" s="253"/>
      <c r="V628" s="253"/>
    </row>
    <row r="629" spans="2:22" ht="13.8" x14ac:dyDescent="0.25">
      <c r="B629" s="253"/>
      <c r="C629" s="253"/>
      <c r="R629" s="253"/>
      <c r="S629" s="253"/>
      <c r="T629" s="253"/>
      <c r="U629" s="253"/>
      <c r="V629" s="253"/>
    </row>
    <row r="630" spans="2:22" ht="13.8" x14ac:dyDescent="0.25">
      <c r="B630" s="253"/>
      <c r="C630" s="253"/>
      <c r="R630" s="253"/>
      <c r="S630" s="253"/>
      <c r="T630" s="253"/>
      <c r="U630" s="253"/>
      <c r="V630" s="253"/>
    </row>
    <row r="631" spans="2:22" ht="13.8" x14ac:dyDescent="0.25">
      <c r="B631" s="253"/>
      <c r="C631" s="253"/>
      <c r="R631" s="253"/>
      <c r="S631" s="253"/>
      <c r="T631" s="253"/>
      <c r="U631" s="253"/>
      <c r="V631" s="253"/>
    </row>
    <row r="632" spans="2:22" ht="13.8" x14ac:dyDescent="0.25">
      <c r="B632" s="253"/>
      <c r="C632" s="253"/>
      <c r="R632" s="253"/>
      <c r="S632" s="253"/>
      <c r="T632" s="253"/>
      <c r="U632" s="253"/>
      <c r="V632" s="253"/>
    </row>
    <row r="633" spans="2:22" ht="13.8" x14ac:dyDescent="0.25">
      <c r="B633" s="253"/>
      <c r="C633" s="253"/>
      <c r="R633" s="253"/>
      <c r="S633" s="253"/>
      <c r="T633" s="253"/>
      <c r="U633" s="253"/>
      <c r="V633" s="253"/>
    </row>
    <row r="634" spans="2:22" ht="13.8" x14ac:dyDescent="0.25">
      <c r="B634" s="253"/>
      <c r="C634" s="253"/>
      <c r="R634" s="253"/>
      <c r="S634" s="253"/>
      <c r="T634" s="253"/>
      <c r="U634" s="253"/>
      <c r="V634" s="253"/>
    </row>
    <row r="635" spans="2:22" ht="13.8" x14ac:dyDescent="0.25">
      <c r="B635" s="253"/>
      <c r="C635" s="253"/>
      <c r="R635" s="253"/>
      <c r="S635" s="253"/>
      <c r="T635" s="253"/>
      <c r="U635" s="253"/>
      <c r="V635" s="253"/>
    </row>
    <row r="636" spans="2:22" ht="13.8" x14ac:dyDescent="0.25">
      <c r="B636" s="253"/>
      <c r="C636" s="253"/>
      <c r="R636" s="253"/>
      <c r="S636" s="253"/>
      <c r="T636" s="253"/>
      <c r="U636" s="253"/>
      <c r="V636" s="253"/>
    </row>
    <row r="637" spans="2:22" ht="13.8" x14ac:dyDescent="0.25">
      <c r="B637" s="253"/>
      <c r="C637" s="253"/>
      <c r="R637" s="253"/>
      <c r="S637" s="253"/>
      <c r="T637" s="253"/>
      <c r="U637" s="253"/>
      <c r="V637" s="253"/>
    </row>
    <row r="638" spans="2:22" ht="13.8" x14ac:dyDescent="0.25">
      <c r="B638" s="253"/>
      <c r="C638" s="253"/>
      <c r="R638" s="253"/>
      <c r="S638" s="253"/>
      <c r="T638" s="253"/>
      <c r="U638" s="253"/>
      <c r="V638" s="253"/>
    </row>
    <row r="639" spans="2:22" ht="13.8" x14ac:dyDescent="0.25">
      <c r="B639" s="253"/>
      <c r="C639" s="253"/>
      <c r="R639" s="253"/>
      <c r="S639" s="253"/>
      <c r="T639" s="253"/>
      <c r="U639" s="253"/>
      <c r="V639" s="253"/>
    </row>
    <row r="640" spans="2:22" ht="13.8" x14ac:dyDescent="0.25">
      <c r="B640" s="253"/>
      <c r="C640" s="253"/>
      <c r="R640" s="253"/>
      <c r="S640" s="253"/>
      <c r="T640" s="253"/>
      <c r="U640" s="253"/>
      <c r="V640" s="253"/>
    </row>
    <row r="641" spans="2:22" ht="13.8" x14ac:dyDescent="0.25">
      <c r="B641" s="253"/>
      <c r="C641" s="253"/>
      <c r="R641" s="253"/>
      <c r="S641" s="253"/>
      <c r="T641" s="253"/>
      <c r="U641" s="253"/>
      <c r="V641" s="253"/>
    </row>
    <row r="642" spans="2:22" ht="13.8" x14ac:dyDescent="0.25">
      <c r="B642" s="253"/>
      <c r="C642" s="253"/>
      <c r="R642" s="253"/>
      <c r="S642" s="253"/>
      <c r="T642" s="253"/>
      <c r="U642" s="253"/>
      <c r="V642" s="253"/>
    </row>
    <row r="643" spans="2:22" ht="13.8" x14ac:dyDescent="0.25">
      <c r="B643" s="253"/>
      <c r="C643" s="253"/>
      <c r="R643" s="253"/>
      <c r="S643" s="253"/>
      <c r="T643" s="253"/>
      <c r="U643" s="253"/>
      <c r="V643" s="253"/>
    </row>
    <row r="644" spans="2:22" ht="13.8" x14ac:dyDescent="0.25">
      <c r="B644" s="253"/>
      <c r="C644" s="253"/>
      <c r="R644" s="253"/>
      <c r="S644" s="253"/>
      <c r="T644" s="253"/>
      <c r="U644" s="253"/>
      <c r="V644" s="253"/>
    </row>
    <row r="645" spans="2:22" ht="13.8" x14ac:dyDescent="0.25">
      <c r="B645" s="253"/>
      <c r="C645" s="253"/>
      <c r="R645" s="253"/>
      <c r="S645" s="253"/>
      <c r="T645" s="253"/>
      <c r="U645" s="253"/>
      <c r="V645" s="253"/>
    </row>
    <row r="646" spans="2:22" ht="13.8" x14ac:dyDescent="0.25">
      <c r="B646" s="253"/>
      <c r="C646" s="253"/>
      <c r="R646" s="253"/>
      <c r="S646" s="253"/>
      <c r="T646" s="253"/>
      <c r="U646" s="253"/>
      <c r="V646" s="253"/>
    </row>
    <row r="647" spans="2:22" ht="13.8" x14ac:dyDescent="0.25">
      <c r="B647" s="253"/>
      <c r="C647" s="253"/>
      <c r="R647" s="253"/>
      <c r="S647" s="253"/>
      <c r="T647" s="253"/>
      <c r="U647" s="253"/>
      <c r="V647" s="253"/>
    </row>
    <row r="648" spans="2:22" ht="13.8" x14ac:dyDescent="0.25">
      <c r="B648" s="253"/>
      <c r="C648" s="253"/>
      <c r="R648" s="253"/>
      <c r="S648" s="253"/>
      <c r="T648" s="253"/>
      <c r="U648" s="253"/>
      <c r="V648" s="253"/>
    </row>
    <row r="649" spans="2:22" ht="13.8" x14ac:dyDescent="0.25">
      <c r="B649" s="253"/>
      <c r="C649" s="253"/>
      <c r="R649" s="253"/>
      <c r="S649" s="253"/>
      <c r="T649" s="253"/>
      <c r="U649" s="253"/>
      <c r="V649" s="253"/>
    </row>
    <row r="650" spans="2:22" ht="13.8" x14ac:dyDescent="0.25">
      <c r="B650" s="253"/>
      <c r="C650" s="253"/>
      <c r="R650" s="253"/>
      <c r="S650" s="253"/>
      <c r="T650" s="253"/>
      <c r="U650" s="253"/>
      <c r="V650" s="253"/>
    </row>
    <row r="651" spans="2:22" ht="13.8" x14ac:dyDescent="0.25">
      <c r="B651" s="253"/>
      <c r="C651" s="253"/>
      <c r="R651" s="253"/>
      <c r="S651" s="253"/>
      <c r="T651" s="253"/>
      <c r="U651" s="253"/>
      <c r="V651" s="253"/>
    </row>
    <row r="652" spans="2:22" ht="13.8" x14ac:dyDescent="0.25">
      <c r="B652" s="253"/>
      <c r="C652" s="253"/>
      <c r="R652" s="253"/>
      <c r="S652" s="253"/>
      <c r="T652" s="253"/>
      <c r="U652" s="253"/>
      <c r="V652" s="253"/>
    </row>
    <row r="653" spans="2:22" ht="13.8" x14ac:dyDescent="0.25">
      <c r="B653" s="253"/>
      <c r="C653" s="253"/>
      <c r="R653" s="253"/>
      <c r="S653" s="253"/>
      <c r="T653" s="253"/>
      <c r="U653" s="253"/>
      <c r="V653" s="253"/>
    </row>
    <row r="654" spans="2:22" ht="13.8" x14ac:dyDescent="0.25">
      <c r="B654" s="253"/>
      <c r="C654" s="253"/>
      <c r="R654" s="253"/>
      <c r="S654" s="253"/>
      <c r="T654" s="253"/>
      <c r="U654" s="253"/>
      <c r="V654" s="253"/>
    </row>
    <row r="655" spans="2:22" ht="13.8" x14ac:dyDescent="0.25">
      <c r="B655" s="253"/>
      <c r="C655" s="253"/>
      <c r="R655" s="253"/>
      <c r="S655" s="253"/>
      <c r="T655" s="253"/>
      <c r="U655" s="253"/>
      <c r="V655" s="253"/>
    </row>
    <row r="656" spans="2:22" ht="13.8" x14ac:dyDescent="0.25">
      <c r="B656" s="253"/>
      <c r="C656" s="253"/>
      <c r="R656" s="253"/>
      <c r="S656" s="253"/>
      <c r="T656" s="253"/>
      <c r="U656" s="253"/>
      <c r="V656" s="253"/>
    </row>
    <row r="657" spans="2:22" ht="13.8" x14ac:dyDescent="0.25">
      <c r="B657" s="253"/>
      <c r="C657" s="253"/>
      <c r="R657" s="253"/>
      <c r="S657" s="253"/>
      <c r="T657" s="253"/>
      <c r="U657" s="253"/>
      <c r="V657" s="253"/>
    </row>
    <row r="658" spans="2:22" ht="13.8" x14ac:dyDescent="0.25">
      <c r="B658" s="253"/>
      <c r="C658" s="253"/>
      <c r="R658" s="253"/>
      <c r="S658" s="253"/>
      <c r="T658" s="253"/>
      <c r="U658" s="253"/>
      <c r="V658" s="253"/>
    </row>
    <row r="659" spans="2:22" ht="13.8" x14ac:dyDescent="0.25">
      <c r="B659" s="253"/>
      <c r="C659" s="253"/>
      <c r="R659" s="253"/>
      <c r="S659" s="253"/>
      <c r="T659" s="253"/>
      <c r="U659" s="253"/>
      <c r="V659" s="253"/>
    </row>
    <row r="660" spans="2:22" ht="13.8" x14ac:dyDescent="0.25">
      <c r="B660" s="253"/>
      <c r="C660" s="253"/>
      <c r="R660" s="253"/>
      <c r="S660" s="253"/>
      <c r="T660" s="253"/>
      <c r="U660" s="253"/>
      <c r="V660" s="253"/>
    </row>
    <row r="661" spans="2:22" ht="13.8" x14ac:dyDescent="0.25">
      <c r="B661" s="253"/>
      <c r="C661" s="253"/>
      <c r="R661" s="253"/>
      <c r="S661" s="253"/>
      <c r="T661" s="253"/>
      <c r="U661" s="253"/>
      <c r="V661" s="253"/>
    </row>
    <row r="662" spans="2:22" ht="13.8" x14ac:dyDescent="0.25">
      <c r="B662" s="253"/>
      <c r="C662" s="253"/>
      <c r="R662" s="253"/>
      <c r="S662" s="253"/>
      <c r="T662" s="253"/>
      <c r="U662" s="253"/>
      <c r="V662" s="253"/>
    </row>
    <row r="663" spans="2:22" ht="13.8" x14ac:dyDescent="0.25">
      <c r="B663" s="253"/>
      <c r="C663" s="253"/>
      <c r="R663" s="253"/>
      <c r="S663" s="253"/>
      <c r="T663" s="253"/>
      <c r="U663" s="253"/>
      <c r="V663" s="253"/>
    </row>
    <row r="664" spans="2:22" ht="13.8" x14ac:dyDescent="0.25">
      <c r="B664" s="253"/>
      <c r="C664" s="253"/>
      <c r="R664" s="253"/>
      <c r="S664" s="253"/>
      <c r="T664" s="253"/>
      <c r="U664" s="253"/>
      <c r="V664" s="253"/>
    </row>
    <row r="665" spans="2:22" ht="13.8" x14ac:dyDescent="0.25">
      <c r="B665" s="253"/>
      <c r="C665" s="253"/>
      <c r="R665" s="253"/>
      <c r="S665" s="253"/>
      <c r="T665" s="253"/>
      <c r="U665" s="253"/>
      <c r="V665" s="253"/>
    </row>
    <row r="666" spans="2:22" ht="13.8" x14ac:dyDescent="0.25">
      <c r="B666" s="253"/>
      <c r="C666" s="253"/>
      <c r="R666" s="253"/>
      <c r="S666" s="253"/>
      <c r="T666" s="253"/>
      <c r="U666" s="253"/>
      <c r="V666" s="253"/>
    </row>
    <row r="667" spans="2:22" ht="13.8" x14ac:dyDescent="0.25">
      <c r="B667" s="253"/>
      <c r="C667" s="253"/>
      <c r="R667" s="253"/>
      <c r="S667" s="253"/>
      <c r="T667" s="253"/>
      <c r="U667" s="253"/>
      <c r="V667" s="253"/>
    </row>
    <row r="668" spans="2:22" ht="13.8" x14ac:dyDescent="0.25">
      <c r="B668" s="253"/>
      <c r="C668" s="253"/>
      <c r="R668" s="253"/>
      <c r="S668" s="253"/>
      <c r="T668" s="253"/>
      <c r="U668" s="253"/>
      <c r="V668" s="253"/>
    </row>
    <row r="669" spans="2:22" ht="13.8" x14ac:dyDescent="0.25">
      <c r="B669" s="253"/>
      <c r="C669" s="253"/>
      <c r="R669" s="253"/>
      <c r="S669" s="253"/>
      <c r="T669" s="253"/>
      <c r="U669" s="253"/>
      <c r="V669" s="253"/>
    </row>
    <row r="670" spans="2:22" ht="13.8" x14ac:dyDescent="0.25">
      <c r="B670" s="253"/>
      <c r="C670" s="253"/>
      <c r="R670" s="253"/>
      <c r="S670" s="253"/>
      <c r="T670" s="253"/>
      <c r="U670" s="253"/>
      <c r="V670" s="253"/>
    </row>
    <row r="671" spans="2:22" ht="13.8" x14ac:dyDescent="0.25">
      <c r="B671" s="253"/>
      <c r="C671" s="253"/>
      <c r="R671" s="253"/>
      <c r="S671" s="253"/>
      <c r="T671" s="253"/>
      <c r="U671" s="253"/>
      <c r="V671" s="253"/>
    </row>
    <row r="672" spans="2:22" ht="13.8" x14ac:dyDescent="0.25">
      <c r="B672" s="253"/>
      <c r="C672" s="253"/>
      <c r="R672" s="253"/>
      <c r="S672" s="253"/>
      <c r="T672" s="253"/>
      <c r="U672" s="253"/>
      <c r="V672" s="253"/>
    </row>
    <row r="673" spans="2:22" ht="13.8" x14ac:dyDescent="0.25">
      <c r="B673" s="253"/>
      <c r="C673" s="253"/>
      <c r="R673" s="253"/>
      <c r="S673" s="253"/>
      <c r="T673" s="253"/>
      <c r="U673" s="253"/>
      <c r="V673" s="253"/>
    </row>
    <row r="674" spans="2:22" ht="13.8" x14ac:dyDescent="0.25">
      <c r="B674" s="253"/>
      <c r="C674" s="253"/>
      <c r="R674" s="253"/>
      <c r="S674" s="253"/>
      <c r="T674" s="253"/>
      <c r="U674" s="253"/>
      <c r="V674" s="253"/>
    </row>
    <row r="675" spans="2:22" ht="13.8" x14ac:dyDescent="0.25">
      <c r="B675" s="253"/>
      <c r="C675" s="253"/>
      <c r="R675" s="253"/>
      <c r="S675" s="253"/>
      <c r="T675" s="253"/>
      <c r="U675" s="253"/>
      <c r="V675" s="253"/>
    </row>
    <row r="676" spans="2:22" ht="13.8" x14ac:dyDescent="0.25">
      <c r="B676" s="253"/>
      <c r="C676" s="253"/>
      <c r="R676" s="253"/>
      <c r="S676" s="253"/>
      <c r="T676" s="253"/>
      <c r="U676" s="253"/>
      <c r="V676" s="253"/>
    </row>
    <row r="677" spans="2:22" ht="13.8" x14ac:dyDescent="0.25">
      <c r="B677" s="253"/>
      <c r="C677" s="253"/>
      <c r="R677" s="253"/>
      <c r="S677" s="253"/>
      <c r="T677" s="253"/>
      <c r="U677" s="253"/>
      <c r="V677" s="253"/>
    </row>
    <row r="678" spans="2:22" ht="13.8" x14ac:dyDescent="0.25">
      <c r="B678" s="253"/>
      <c r="C678" s="253"/>
      <c r="R678" s="253"/>
      <c r="S678" s="253"/>
      <c r="T678" s="253"/>
      <c r="U678" s="253"/>
      <c r="V678" s="253"/>
    </row>
    <row r="679" spans="2:22" ht="13.8" x14ac:dyDescent="0.25">
      <c r="B679" s="253"/>
      <c r="C679" s="253"/>
      <c r="R679" s="253"/>
      <c r="S679" s="253"/>
      <c r="T679" s="253"/>
      <c r="U679" s="253"/>
      <c r="V679" s="253"/>
    </row>
    <row r="680" spans="2:22" ht="13.8" x14ac:dyDescent="0.25">
      <c r="B680" s="253"/>
      <c r="C680" s="253"/>
      <c r="R680" s="253"/>
      <c r="S680" s="253"/>
      <c r="T680" s="253"/>
      <c r="U680" s="253"/>
      <c r="V680" s="253"/>
    </row>
    <row r="681" spans="2:22" ht="13.8" x14ac:dyDescent="0.25">
      <c r="B681" s="253"/>
      <c r="C681" s="253"/>
      <c r="R681" s="253"/>
      <c r="S681" s="253"/>
      <c r="T681" s="253"/>
      <c r="U681" s="253"/>
      <c r="V681" s="253"/>
    </row>
    <row r="682" spans="2:22" ht="13.8" x14ac:dyDescent="0.25">
      <c r="B682" s="253"/>
      <c r="C682" s="253"/>
      <c r="R682" s="253"/>
      <c r="S682" s="253"/>
      <c r="T682" s="253"/>
      <c r="U682" s="253"/>
      <c r="V682" s="253"/>
    </row>
    <row r="683" spans="2:22" ht="13.8" x14ac:dyDescent="0.25">
      <c r="B683" s="253"/>
      <c r="C683" s="253"/>
      <c r="R683" s="253"/>
      <c r="S683" s="253"/>
      <c r="T683" s="253"/>
      <c r="U683" s="253"/>
      <c r="V683" s="253"/>
    </row>
    <row r="684" spans="2:22" ht="13.8" x14ac:dyDescent="0.25">
      <c r="B684" s="253"/>
      <c r="C684" s="253"/>
      <c r="R684" s="253"/>
      <c r="S684" s="253"/>
      <c r="T684" s="253"/>
      <c r="U684" s="253"/>
      <c r="V684" s="253"/>
    </row>
    <row r="685" spans="2:22" ht="13.8" x14ac:dyDescent="0.25">
      <c r="B685" s="253"/>
      <c r="C685" s="253"/>
      <c r="R685" s="253"/>
      <c r="S685" s="253"/>
      <c r="T685" s="253"/>
      <c r="U685" s="253"/>
      <c r="V685" s="253"/>
    </row>
    <row r="686" spans="2:22" ht="13.8" x14ac:dyDescent="0.25">
      <c r="B686" s="253"/>
      <c r="C686" s="253"/>
      <c r="R686" s="253"/>
      <c r="S686" s="253"/>
      <c r="T686" s="253"/>
      <c r="U686" s="253"/>
      <c r="V686" s="253"/>
    </row>
    <row r="687" spans="2:22" ht="13.8" x14ac:dyDescent="0.25">
      <c r="B687" s="253"/>
      <c r="C687" s="253"/>
      <c r="R687" s="253"/>
      <c r="S687" s="253"/>
      <c r="T687" s="253"/>
      <c r="U687" s="253"/>
      <c r="V687" s="253"/>
    </row>
    <row r="688" spans="2:22" ht="13.8" x14ac:dyDescent="0.25">
      <c r="B688" s="253"/>
      <c r="C688" s="253"/>
      <c r="R688" s="253"/>
      <c r="S688" s="253"/>
      <c r="T688" s="253"/>
      <c r="U688" s="253"/>
      <c r="V688" s="253"/>
    </row>
    <row r="689" spans="2:22" ht="13.8" x14ac:dyDescent="0.25">
      <c r="B689" s="253"/>
      <c r="C689" s="253"/>
      <c r="R689" s="253"/>
      <c r="S689" s="253"/>
      <c r="T689" s="253"/>
      <c r="U689" s="253"/>
      <c r="V689" s="253"/>
    </row>
    <row r="690" spans="2:22" ht="13.8" x14ac:dyDescent="0.25">
      <c r="B690" s="253"/>
      <c r="C690" s="253"/>
      <c r="R690" s="253"/>
      <c r="S690" s="253"/>
      <c r="T690" s="253"/>
      <c r="U690" s="253"/>
      <c r="V690" s="253"/>
    </row>
    <row r="691" spans="2:22" ht="13.8" x14ac:dyDescent="0.25">
      <c r="B691" s="253"/>
      <c r="C691" s="253"/>
      <c r="R691" s="253"/>
      <c r="S691" s="253"/>
      <c r="T691" s="253"/>
      <c r="U691" s="253"/>
      <c r="V691" s="253"/>
    </row>
    <row r="692" spans="2:22" ht="13.8" x14ac:dyDescent="0.25">
      <c r="B692" s="253"/>
      <c r="C692" s="253"/>
      <c r="R692" s="253"/>
      <c r="S692" s="253"/>
      <c r="T692" s="253"/>
      <c r="U692" s="253"/>
      <c r="V692" s="253"/>
    </row>
    <row r="693" spans="2:22" ht="13.8" x14ac:dyDescent="0.25">
      <c r="B693" s="253"/>
      <c r="C693" s="253"/>
      <c r="R693" s="253"/>
      <c r="S693" s="253"/>
      <c r="T693" s="253"/>
      <c r="U693" s="253"/>
      <c r="V693" s="253"/>
    </row>
    <row r="694" spans="2:22" ht="13.8" x14ac:dyDescent="0.25">
      <c r="B694" s="253"/>
      <c r="C694" s="253"/>
      <c r="R694" s="253"/>
      <c r="S694" s="253"/>
      <c r="T694" s="253"/>
      <c r="U694" s="253"/>
      <c r="V694" s="253"/>
    </row>
    <row r="695" spans="2:22" ht="13.8" x14ac:dyDescent="0.25">
      <c r="B695" s="253"/>
      <c r="C695" s="253"/>
      <c r="R695" s="253"/>
      <c r="S695" s="253"/>
      <c r="T695" s="253"/>
      <c r="U695" s="253"/>
      <c r="V695" s="253"/>
    </row>
    <row r="696" spans="2:22" ht="13.8" x14ac:dyDescent="0.25">
      <c r="B696" s="253"/>
      <c r="C696" s="253"/>
      <c r="R696" s="253"/>
      <c r="S696" s="253"/>
      <c r="T696" s="253"/>
      <c r="U696" s="253"/>
      <c r="V696" s="253"/>
    </row>
    <row r="697" spans="2:22" ht="13.8" x14ac:dyDescent="0.25">
      <c r="B697" s="253"/>
      <c r="C697" s="253"/>
      <c r="R697" s="253"/>
      <c r="S697" s="253"/>
      <c r="T697" s="253"/>
      <c r="U697" s="253"/>
      <c r="V697" s="253"/>
    </row>
    <row r="698" spans="2:22" ht="13.8" x14ac:dyDescent="0.25">
      <c r="B698" s="253"/>
      <c r="C698" s="253"/>
      <c r="R698" s="253"/>
      <c r="S698" s="253"/>
      <c r="T698" s="253"/>
      <c r="U698" s="253"/>
      <c r="V698" s="253"/>
    </row>
    <row r="699" spans="2:22" ht="13.8" x14ac:dyDescent="0.25">
      <c r="B699" s="253"/>
      <c r="C699" s="253"/>
      <c r="R699" s="253"/>
      <c r="S699" s="253"/>
      <c r="T699" s="253"/>
      <c r="U699" s="253"/>
      <c r="V699" s="253"/>
    </row>
    <row r="700" spans="2:22" ht="13.8" x14ac:dyDescent="0.25">
      <c r="B700" s="253"/>
      <c r="C700" s="253"/>
      <c r="R700" s="253"/>
      <c r="S700" s="253"/>
      <c r="T700" s="253"/>
      <c r="U700" s="253"/>
      <c r="V700" s="253"/>
    </row>
    <row r="701" spans="2:22" ht="13.8" x14ac:dyDescent="0.25">
      <c r="B701" s="253"/>
      <c r="C701" s="253"/>
      <c r="R701" s="253"/>
      <c r="S701" s="253"/>
      <c r="T701" s="253"/>
      <c r="U701" s="253"/>
      <c r="V701" s="253"/>
    </row>
    <row r="702" spans="2:22" ht="13.8" x14ac:dyDescent="0.25">
      <c r="B702" s="253"/>
      <c r="C702" s="253"/>
      <c r="R702" s="253"/>
      <c r="S702" s="253"/>
      <c r="T702" s="253"/>
      <c r="U702" s="253"/>
      <c r="V702" s="253"/>
    </row>
    <row r="703" spans="2:22" ht="13.8" x14ac:dyDescent="0.25">
      <c r="B703" s="253"/>
      <c r="C703" s="253"/>
      <c r="R703" s="253"/>
      <c r="S703" s="253"/>
      <c r="T703" s="253"/>
      <c r="U703" s="253"/>
      <c r="V703" s="253"/>
    </row>
    <row r="704" spans="2:22" ht="13.8" x14ac:dyDescent="0.25">
      <c r="B704" s="253"/>
      <c r="C704" s="253"/>
      <c r="R704" s="253"/>
      <c r="S704" s="253"/>
      <c r="T704" s="253"/>
      <c r="U704" s="253"/>
      <c r="V704" s="253"/>
    </row>
    <row r="705" spans="2:22" ht="13.8" x14ac:dyDescent="0.25">
      <c r="B705" s="253"/>
      <c r="C705" s="253"/>
      <c r="R705" s="253"/>
      <c r="S705" s="253"/>
      <c r="T705" s="253"/>
      <c r="U705" s="253"/>
      <c r="V705" s="253"/>
    </row>
    <row r="706" spans="2:22" ht="13.8" x14ac:dyDescent="0.25">
      <c r="B706" s="253"/>
      <c r="C706" s="253"/>
      <c r="R706" s="253"/>
      <c r="S706" s="253"/>
      <c r="T706" s="253"/>
      <c r="U706" s="253"/>
      <c r="V706" s="253"/>
    </row>
    <row r="707" spans="2:22" ht="13.8" x14ac:dyDescent="0.25">
      <c r="B707" s="253"/>
      <c r="C707" s="253"/>
      <c r="R707" s="253"/>
      <c r="S707" s="253"/>
      <c r="T707" s="253"/>
      <c r="U707" s="253"/>
      <c r="V707" s="253"/>
    </row>
    <row r="708" spans="2:22" ht="13.8" x14ac:dyDescent="0.25">
      <c r="B708" s="253"/>
      <c r="C708" s="253"/>
      <c r="R708" s="253"/>
      <c r="S708" s="253"/>
      <c r="T708" s="253"/>
      <c r="U708" s="253"/>
      <c r="V708" s="253"/>
    </row>
    <row r="709" spans="2:22" ht="13.8" x14ac:dyDescent="0.25">
      <c r="B709" s="253"/>
      <c r="C709" s="253"/>
      <c r="R709" s="253"/>
      <c r="S709" s="253"/>
      <c r="T709" s="253"/>
      <c r="U709" s="253"/>
      <c r="V709" s="253"/>
    </row>
    <row r="710" spans="2:22" ht="13.8" x14ac:dyDescent="0.25">
      <c r="B710" s="253"/>
      <c r="C710" s="253"/>
      <c r="R710" s="253"/>
      <c r="S710" s="253"/>
      <c r="T710" s="253"/>
      <c r="U710" s="253"/>
      <c r="V710" s="253"/>
    </row>
    <row r="711" spans="2:22" ht="13.8" x14ac:dyDescent="0.25">
      <c r="B711" s="253"/>
      <c r="C711" s="253"/>
      <c r="R711" s="253"/>
      <c r="S711" s="253"/>
      <c r="T711" s="253"/>
      <c r="U711" s="253"/>
      <c r="V711" s="253"/>
    </row>
    <row r="712" spans="2:22" ht="13.8" x14ac:dyDescent="0.25">
      <c r="B712" s="253"/>
      <c r="C712" s="253"/>
      <c r="R712" s="253"/>
      <c r="S712" s="253"/>
      <c r="T712" s="253"/>
      <c r="U712" s="253"/>
      <c r="V712" s="253"/>
    </row>
    <row r="713" spans="2:22" ht="13.8" x14ac:dyDescent="0.25">
      <c r="B713" s="253"/>
      <c r="C713" s="253"/>
      <c r="R713" s="253"/>
      <c r="S713" s="253"/>
      <c r="T713" s="253"/>
      <c r="U713" s="253"/>
      <c r="V713" s="253"/>
    </row>
    <row r="714" spans="2:22" ht="13.8" x14ac:dyDescent="0.25">
      <c r="B714" s="253"/>
      <c r="C714" s="253"/>
      <c r="R714" s="253"/>
      <c r="S714" s="253"/>
      <c r="T714" s="253"/>
      <c r="U714" s="253"/>
      <c r="V714" s="253"/>
    </row>
    <row r="715" spans="2:22" ht="13.8" x14ac:dyDescent="0.25">
      <c r="B715" s="253"/>
      <c r="C715" s="253"/>
      <c r="R715" s="253"/>
      <c r="S715" s="253"/>
      <c r="T715" s="253"/>
      <c r="U715" s="253"/>
      <c r="V715" s="253"/>
    </row>
    <row r="716" spans="2:22" ht="13.8" x14ac:dyDescent="0.25">
      <c r="B716" s="253"/>
      <c r="C716" s="253"/>
      <c r="R716" s="253"/>
      <c r="S716" s="253"/>
      <c r="T716" s="253"/>
      <c r="U716" s="253"/>
      <c r="V716" s="253"/>
    </row>
    <row r="717" spans="2:22" ht="13.8" x14ac:dyDescent="0.25">
      <c r="B717" s="253"/>
      <c r="C717" s="253"/>
      <c r="R717" s="253"/>
      <c r="S717" s="253"/>
      <c r="T717" s="253"/>
      <c r="U717" s="253"/>
      <c r="V717" s="253"/>
    </row>
    <row r="718" spans="2:22" ht="13.8" x14ac:dyDescent="0.25">
      <c r="B718" s="253"/>
      <c r="C718" s="253"/>
      <c r="R718" s="253"/>
      <c r="S718" s="253"/>
      <c r="T718" s="253"/>
      <c r="U718" s="253"/>
      <c r="V718" s="253"/>
    </row>
    <row r="719" spans="2:22" ht="13.8" x14ac:dyDescent="0.25">
      <c r="B719" s="253"/>
      <c r="C719" s="253"/>
      <c r="R719" s="253"/>
      <c r="S719" s="253"/>
      <c r="T719" s="253"/>
      <c r="U719" s="253"/>
      <c r="V719" s="253"/>
    </row>
    <row r="720" spans="2:22" ht="13.8" x14ac:dyDescent="0.25">
      <c r="B720" s="253"/>
      <c r="C720" s="253"/>
      <c r="R720" s="253"/>
      <c r="S720" s="253"/>
      <c r="T720" s="253"/>
      <c r="U720" s="253"/>
      <c r="V720" s="253"/>
    </row>
    <row r="721" spans="2:22" ht="13.8" x14ac:dyDescent="0.25">
      <c r="B721" s="253"/>
      <c r="C721" s="253"/>
      <c r="R721" s="253"/>
      <c r="S721" s="253"/>
      <c r="T721" s="253"/>
      <c r="U721" s="253"/>
      <c r="V721" s="253"/>
    </row>
    <row r="722" spans="2:22" ht="13.8" x14ac:dyDescent="0.25">
      <c r="B722" s="253"/>
      <c r="C722" s="253"/>
      <c r="R722" s="253"/>
      <c r="S722" s="253"/>
      <c r="T722" s="253"/>
      <c r="U722" s="253"/>
      <c r="V722" s="253"/>
    </row>
    <row r="723" spans="2:22" ht="13.8" x14ac:dyDescent="0.25">
      <c r="B723" s="253"/>
      <c r="C723" s="253"/>
      <c r="R723" s="253"/>
      <c r="S723" s="253"/>
      <c r="T723" s="253"/>
      <c r="U723" s="253"/>
      <c r="V723" s="253"/>
    </row>
    <row r="724" spans="2:22" ht="13.8" x14ac:dyDescent="0.25">
      <c r="B724" s="253"/>
      <c r="C724" s="253"/>
      <c r="R724" s="253"/>
      <c r="S724" s="253"/>
      <c r="T724" s="253"/>
      <c r="U724" s="253"/>
      <c r="V724" s="253"/>
    </row>
    <row r="725" spans="2:22" ht="13.8" x14ac:dyDescent="0.25">
      <c r="B725" s="253"/>
      <c r="C725" s="253"/>
      <c r="R725" s="253"/>
      <c r="S725" s="253"/>
      <c r="T725" s="253"/>
      <c r="U725" s="253"/>
      <c r="V725" s="253"/>
    </row>
    <row r="726" spans="2:22" ht="13.8" x14ac:dyDescent="0.25">
      <c r="B726" s="253"/>
      <c r="C726" s="253"/>
      <c r="R726" s="253"/>
      <c r="S726" s="253"/>
      <c r="T726" s="253"/>
      <c r="U726" s="253"/>
      <c r="V726" s="253"/>
    </row>
    <row r="727" spans="2:22" ht="13.8" x14ac:dyDescent="0.25">
      <c r="B727" s="253"/>
      <c r="C727" s="253"/>
      <c r="R727" s="253"/>
      <c r="S727" s="253"/>
      <c r="T727" s="253"/>
      <c r="U727" s="253"/>
      <c r="V727" s="253"/>
    </row>
    <row r="728" spans="2:22" ht="13.8" x14ac:dyDescent="0.25">
      <c r="B728" s="253"/>
      <c r="C728" s="253"/>
      <c r="R728" s="253"/>
      <c r="S728" s="253"/>
      <c r="T728" s="253"/>
      <c r="U728" s="253"/>
      <c r="V728" s="253"/>
    </row>
    <row r="729" spans="2:22" ht="13.8" x14ac:dyDescent="0.25">
      <c r="B729" s="253"/>
      <c r="C729" s="253"/>
      <c r="R729" s="253"/>
      <c r="S729" s="253"/>
      <c r="T729" s="253"/>
      <c r="U729" s="253"/>
      <c r="V729" s="253"/>
    </row>
    <row r="730" spans="2:22" ht="13.8" x14ac:dyDescent="0.25">
      <c r="B730" s="253"/>
      <c r="C730" s="253"/>
      <c r="R730" s="253"/>
      <c r="S730" s="253"/>
      <c r="T730" s="253"/>
      <c r="U730" s="253"/>
      <c r="V730" s="253"/>
    </row>
    <row r="731" spans="2:22" ht="13.8" x14ac:dyDescent="0.25">
      <c r="B731" s="253"/>
      <c r="C731" s="253"/>
      <c r="R731" s="253"/>
      <c r="S731" s="253"/>
      <c r="T731" s="253"/>
      <c r="U731" s="253"/>
      <c r="V731" s="253"/>
    </row>
    <row r="732" spans="2:22" ht="13.8" x14ac:dyDescent="0.25">
      <c r="B732" s="253"/>
      <c r="C732" s="253"/>
      <c r="R732" s="253"/>
      <c r="S732" s="253"/>
      <c r="T732" s="253"/>
      <c r="U732" s="253"/>
      <c r="V732" s="253"/>
    </row>
    <row r="733" spans="2:22" ht="13.8" x14ac:dyDescent="0.25">
      <c r="B733" s="253"/>
      <c r="C733" s="253"/>
      <c r="R733" s="253"/>
      <c r="S733" s="253"/>
      <c r="T733" s="253"/>
      <c r="U733" s="253"/>
      <c r="V733" s="253"/>
    </row>
    <row r="734" spans="2:22" ht="13.8" x14ac:dyDescent="0.25">
      <c r="B734" s="253"/>
      <c r="C734" s="253"/>
      <c r="R734" s="253"/>
      <c r="S734" s="253"/>
      <c r="T734" s="253"/>
      <c r="U734" s="253"/>
      <c r="V734" s="253"/>
    </row>
    <row r="735" spans="2:22" ht="13.8" x14ac:dyDescent="0.25">
      <c r="B735" s="253"/>
      <c r="C735" s="253"/>
      <c r="R735" s="253"/>
      <c r="S735" s="253"/>
      <c r="T735" s="253"/>
      <c r="U735" s="253"/>
      <c r="V735" s="253"/>
    </row>
    <row r="736" spans="2:22" ht="13.8" x14ac:dyDescent="0.25">
      <c r="B736" s="253"/>
      <c r="C736" s="253"/>
      <c r="R736" s="253"/>
      <c r="S736" s="253"/>
      <c r="T736" s="253"/>
      <c r="U736" s="253"/>
      <c r="V736" s="253"/>
    </row>
    <row r="737" spans="2:22" ht="13.8" x14ac:dyDescent="0.25">
      <c r="B737" s="253"/>
      <c r="C737" s="253"/>
      <c r="R737" s="253"/>
      <c r="S737" s="253"/>
      <c r="T737" s="253"/>
      <c r="U737" s="253"/>
      <c r="V737" s="253"/>
    </row>
    <row r="738" spans="2:22" ht="13.8" x14ac:dyDescent="0.25">
      <c r="B738" s="253"/>
      <c r="C738" s="253"/>
      <c r="R738" s="253"/>
      <c r="S738" s="253"/>
      <c r="T738" s="253"/>
      <c r="U738" s="253"/>
      <c r="V738" s="253"/>
    </row>
    <row r="739" spans="2:22" ht="13.8" x14ac:dyDescent="0.25">
      <c r="B739" s="253"/>
      <c r="C739" s="253"/>
      <c r="R739" s="253"/>
      <c r="S739" s="253"/>
      <c r="T739" s="253"/>
      <c r="U739" s="253"/>
      <c r="V739" s="253"/>
    </row>
    <row r="740" spans="2:22" ht="13.8" x14ac:dyDescent="0.25">
      <c r="B740" s="253"/>
      <c r="C740" s="253"/>
      <c r="R740" s="253"/>
      <c r="S740" s="253"/>
      <c r="T740" s="253"/>
      <c r="U740" s="253"/>
      <c r="V740" s="253"/>
    </row>
    <row r="741" spans="2:22" ht="13.8" x14ac:dyDescent="0.25">
      <c r="B741" s="253"/>
      <c r="C741" s="253"/>
      <c r="R741" s="253"/>
      <c r="S741" s="253"/>
      <c r="T741" s="253"/>
      <c r="U741" s="253"/>
      <c r="V741" s="253"/>
    </row>
    <row r="742" spans="2:22" ht="13.8" x14ac:dyDescent="0.25">
      <c r="B742" s="253"/>
      <c r="C742" s="253"/>
      <c r="R742" s="253"/>
      <c r="S742" s="253"/>
      <c r="T742" s="253"/>
      <c r="U742" s="253"/>
      <c r="V742" s="253"/>
    </row>
    <row r="743" spans="2:22" ht="13.8" x14ac:dyDescent="0.25">
      <c r="B743" s="253"/>
      <c r="C743" s="253"/>
      <c r="R743" s="253"/>
      <c r="S743" s="253"/>
      <c r="T743" s="253"/>
      <c r="U743" s="253"/>
      <c r="V743" s="253"/>
    </row>
    <row r="744" spans="2:22" ht="13.8" x14ac:dyDescent="0.25">
      <c r="B744" s="253"/>
      <c r="C744" s="253"/>
      <c r="R744" s="253"/>
      <c r="S744" s="253"/>
      <c r="T744" s="253"/>
      <c r="U744" s="253"/>
      <c r="V744" s="253"/>
    </row>
    <row r="745" spans="2:22" ht="13.8" x14ac:dyDescent="0.25">
      <c r="B745" s="253"/>
      <c r="C745" s="253"/>
      <c r="R745" s="253"/>
      <c r="S745" s="253"/>
      <c r="T745" s="253"/>
      <c r="U745" s="253"/>
      <c r="V745" s="253"/>
    </row>
    <row r="746" spans="2:22" ht="13.8" x14ac:dyDescent="0.25">
      <c r="B746" s="253"/>
      <c r="C746" s="253"/>
      <c r="R746" s="253"/>
      <c r="S746" s="253"/>
      <c r="T746" s="253"/>
      <c r="U746" s="253"/>
      <c r="V746" s="253"/>
    </row>
    <row r="747" spans="2:22" ht="13.8" x14ac:dyDescent="0.25">
      <c r="B747" s="253"/>
      <c r="C747" s="253"/>
      <c r="R747" s="253"/>
      <c r="S747" s="253"/>
      <c r="T747" s="253"/>
      <c r="U747" s="253"/>
      <c r="V747" s="253"/>
    </row>
    <row r="748" spans="2:22" ht="13.8" x14ac:dyDescent="0.25">
      <c r="B748" s="253"/>
      <c r="C748" s="253"/>
      <c r="R748" s="253"/>
      <c r="S748" s="253"/>
      <c r="T748" s="253"/>
      <c r="U748" s="253"/>
      <c r="V748" s="253"/>
    </row>
    <row r="749" spans="2:22" ht="13.8" x14ac:dyDescent="0.25">
      <c r="B749" s="253"/>
      <c r="C749" s="253"/>
      <c r="R749" s="253"/>
      <c r="S749" s="253"/>
      <c r="T749" s="253"/>
      <c r="U749" s="253"/>
      <c r="V749" s="253"/>
    </row>
    <row r="750" spans="2:22" ht="13.8" x14ac:dyDescent="0.25">
      <c r="B750" s="253"/>
      <c r="C750" s="253"/>
      <c r="R750" s="253"/>
      <c r="S750" s="253"/>
      <c r="T750" s="253"/>
      <c r="U750" s="253"/>
      <c r="V750" s="253"/>
    </row>
    <row r="751" spans="2:22" ht="13.8" x14ac:dyDescent="0.25">
      <c r="B751" s="253"/>
      <c r="C751" s="253"/>
      <c r="R751" s="253"/>
      <c r="S751" s="253"/>
      <c r="T751" s="253"/>
      <c r="U751" s="253"/>
      <c r="V751" s="253"/>
    </row>
    <row r="752" spans="2:22" ht="13.8" x14ac:dyDescent="0.25">
      <c r="B752" s="253"/>
      <c r="C752" s="253"/>
      <c r="R752" s="253"/>
      <c r="S752" s="253"/>
      <c r="T752" s="253"/>
      <c r="U752" s="253"/>
      <c r="V752" s="253"/>
    </row>
    <row r="753" spans="2:22" ht="13.8" x14ac:dyDescent="0.25">
      <c r="B753" s="253"/>
      <c r="C753" s="253"/>
      <c r="R753" s="253"/>
      <c r="S753" s="253"/>
      <c r="T753" s="253"/>
      <c r="U753" s="253"/>
      <c r="V753" s="253"/>
    </row>
    <row r="754" spans="2:22" ht="13.8" x14ac:dyDescent="0.25">
      <c r="B754" s="253"/>
      <c r="C754" s="253"/>
      <c r="R754" s="253"/>
      <c r="S754" s="253"/>
      <c r="T754" s="253"/>
      <c r="U754" s="253"/>
      <c r="V754" s="253"/>
    </row>
  </sheetData>
  <phoneticPr fontId="18" type="noConversion"/>
  <hyperlinks>
    <hyperlink ref="W42" r:id="rId1" xr:uid="{2553C154-A2AE-4FAD-B2BB-337921E62800}"/>
    <hyperlink ref="W44" r:id="rId2" xr:uid="{EF8F8E01-33FC-4504-8F06-D52F4E736793}"/>
    <hyperlink ref="W173" r:id="rId3" display="https://www.iedunote.com/organizational-environment-elements" xr:uid="{1290BA09-DE24-4B62-BF71-1FB2AF5A1D24}"/>
  </hyperlinks>
  <pageMargins left="0.511811024" right="0.511811024" top="0.78740157499999996" bottom="0.78740157499999996" header="0.31496062000000002" footer="0.31496062000000002"/>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2CE4D-37F3-4CFD-8144-CDCF97A4FC70}">
  <dimension ref="A1:AA68"/>
  <sheetViews>
    <sheetView zoomScale="85" zoomScaleNormal="85" workbookViewId="0">
      <selection activeCell="H20" sqref="H20"/>
    </sheetView>
  </sheetViews>
  <sheetFormatPr defaultColWidth="9.6640625" defaultRowHeight="13.8" x14ac:dyDescent="0.25"/>
  <cols>
    <col min="1" max="1" width="9.6640625" style="23"/>
    <col min="2" max="2" width="6" style="23" bestFit="1" customWidth="1"/>
    <col min="3" max="3" width="47.6640625" style="23" bestFit="1" customWidth="1"/>
    <col min="4" max="4" width="10.5546875" style="23" bestFit="1" customWidth="1"/>
    <col min="5" max="5" width="7.33203125" style="23" bestFit="1" customWidth="1"/>
    <col min="6" max="6" width="7.88671875" style="23" bestFit="1" customWidth="1"/>
    <col min="7" max="7" width="8.33203125" style="23" bestFit="1" customWidth="1"/>
    <col min="8" max="8" width="83.33203125" style="23" bestFit="1" customWidth="1"/>
    <col min="9" max="9" width="7.33203125" style="23" bestFit="1" customWidth="1"/>
    <col min="10" max="13" width="6" style="101" bestFit="1" customWidth="1"/>
    <col min="14" max="14" width="9.6640625" style="101"/>
    <col min="15" max="17" width="9.6640625" style="23"/>
    <col min="18" max="22" width="3.44140625" style="23" bestFit="1" customWidth="1"/>
    <col min="23" max="16384" width="9.6640625" style="23"/>
  </cols>
  <sheetData>
    <row r="1" spans="2:27" x14ac:dyDescent="0.25">
      <c r="H1" s="101"/>
      <c r="I1" s="101"/>
      <c r="K1" s="23"/>
      <c r="L1" s="23"/>
      <c r="M1" s="23"/>
      <c r="N1" s="23"/>
      <c r="S1" s="23">
        <v>10</v>
      </c>
      <c r="T1" s="23">
        <v>32</v>
      </c>
      <c r="U1" s="23">
        <v>42</v>
      </c>
      <c r="V1" s="23">
        <f>SUM(S1:U1)</f>
        <v>84</v>
      </c>
      <c r="X1" s="23">
        <v>844</v>
      </c>
      <c r="Y1" s="23">
        <v>903</v>
      </c>
      <c r="Z1" s="23">
        <v>129</v>
      </c>
      <c r="AA1" s="23">
        <f>SUM(X1:Z1)</f>
        <v>1876</v>
      </c>
    </row>
    <row r="2" spans="2:27" x14ac:dyDescent="0.25">
      <c r="H2" s="101"/>
      <c r="I2" s="101"/>
      <c r="K2" s="23"/>
      <c r="L2" s="23"/>
      <c r="M2" s="23"/>
      <c r="N2" s="23"/>
      <c r="R2" s="23">
        <v>30</v>
      </c>
      <c r="S2" s="23">
        <v>6</v>
      </c>
      <c r="T2" s="23">
        <v>45</v>
      </c>
      <c r="U2" s="23">
        <v>5</v>
      </c>
      <c r="V2" s="23">
        <f>SUM(R2:U2)</f>
        <v>86</v>
      </c>
      <c r="Y2" s="23">
        <v>1899</v>
      </c>
      <c r="Z2" s="23">
        <v>1153</v>
      </c>
      <c r="AA2" s="23">
        <f>SUM(Y2:Z2)</f>
        <v>3052</v>
      </c>
    </row>
    <row r="3" spans="2:27" x14ac:dyDescent="0.25">
      <c r="B3" s="23" t="s">
        <v>25881</v>
      </c>
      <c r="C3" s="23" t="s">
        <v>25882</v>
      </c>
      <c r="D3" s="23" t="s">
        <v>25886</v>
      </c>
      <c r="E3" s="23" t="s">
        <v>25883</v>
      </c>
      <c r="F3" s="23" t="s">
        <v>25884</v>
      </c>
      <c r="G3" s="23" t="s">
        <v>25885</v>
      </c>
      <c r="H3" s="101" t="s">
        <v>25887</v>
      </c>
      <c r="I3" s="101" t="s">
        <v>25888</v>
      </c>
      <c r="J3" s="23" t="s">
        <v>25889</v>
      </c>
      <c r="K3" s="23" t="s">
        <v>25890</v>
      </c>
      <c r="L3" s="23" t="s">
        <v>25891</v>
      </c>
      <c r="M3" s="23" t="s">
        <v>25892</v>
      </c>
      <c r="N3" s="23"/>
    </row>
    <row r="4" spans="2:27" x14ac:dyDescent="0.25">
      <c r="B4" s="101" t="s">
        <v>1058</v>
      </c>
      <c r="C4" s="101" t="s">
        <v>25916</v>
      </c>
      <c r="D4" s="102" t="s">
        <v>25917</v>
      </c>
      <c r="E4" s="102" t="s">
        <v>25894</v>
      </c>
      <c r="F4" s="101">
        <v>2007</v>
      </c>
      <c r="G4" s="102" t="s">
        <v>25894</v>
      </c>
      <c r="H4" s="101" t="s">
        <v>1057</v>
      </c>
      <c r="I4" s="102" t="s">
        <v>25894</v>
      </c>
      <c r="J4" s="23">
        <v>17</v>
      </c>
      <c r="K4" s="102" t="s">
        <v>25896</v>
      </c>
      <c r="L4" s="102" t="s">
        <v>25897</v>
      </c>
      <c r="M4" s="101">
        <v>11</v>
      </c>
      <c r="N4" s="23"/>
    </row>
    <row r="5" spans="2:27" x14ac:dyDescent="0.25">
      <c r="B5" s="101" t="s">
        <v>1400</v>
      </c>
      <c r="C5" s="101" t="s">
        <v>25954</v>
      </c>
      <c r="D5" s="102" t="s">
        <v>25955</v>
      </c>
      <c r="E5" s="102" t="s">
        <v>25894</v>
      </c>
      <c r="F5" s="101">
        <v>2011</v>
      </c>
      <c r="G5" s="102" t="s">
        <v>25894</v>
      </c>
      <c r="H5" s="101" t="s">
        <v>1399</v>
      </c>
      <c r="I5" s="102" t="s">
        <v>25894</v>
      </c>
      <c r="J5" s="23">
        <v>14</v>
      </c>
      <c r="K5" s="102" t="s">
        <v>25896</v>
      </c>
      <c r="L5" s="102" t="s">
        <v>25897</v>
      </c>
      <c r="M5" s="101">
        <v>31</v>
      </c>
      <c r="N5" s="23"/>
    </row>
    <row r="6" spans="2:27" x14ac:dyDescent="0.25">
      <c r="B6" s="101" t="s">
        <v>1388</v>
      </c>
      <c r="C6" s="101" t="s">
        <v>25952</v>
      </c>
      <c r="D6" s="102" t="s">
        <v>25953</v>
      </c>
      <c r="E6" s="102" t="s">
        <v>25894</v>
      </c>
      <c r="F6" s="101">
        <v>2011</v>
      </c>
      <c r="G6" s="102" t="s">
        <v>25894</v>
      </c>
      <c r="H6" s="101" t="s">
        <v>1387</v>
      </c>
      <c r="I6" s="102" t="s">
        <v>25894</v>
      </c>
      <c r="J6" s="23">
        <v>19</v>
      </c>
      <c r="K6" s="102" t="s">
        <v>25896</v>
      </c>
      <c r="L6" s="102" t="s">
        <v>25897</v>
      </c>
      <c r="M6" s="101">
        <v>30</v>
      </c>
      <c r="N6" s="23"/>
    </row>
    <row r="7" spans="2:27" x14ac:dyDescent="0.25">
      <c r="B7" s="101" t="s">
        <v>1045</v>
      </c>
      <c r="C7" s="101" t="s">
        <v>25914</v>
      </c>
      <c r="D7" s="102" t="s">
        <v>25915</v>
      </c>
      <c r="E7" s="102" t="s">
        <v>25894</v>
      </c>
      <c r="F7" s="101">
        <v>2011</v>
      </c>
      <c r="G7" s="102" t="s">
        <v>25894</v>
      </c>
      <c r="H7" s="101" t="s">
        <v>1044</v>
      </c>
      <c r="I7" s="102" t="s">
        <v>25894</v>
      </c>
      <c r="J7" s="23">
        <v>3</v>
      </c>
      <c r="K7" s="102" t="s">
        <v>25896</v>
      </c>
      <c r="L7" s="102" t="s">
        <v>25897</v>
      </c>
      <c r="M7" s="101">
        <v>10</v>
      </c>
      <c r="N7" s="23"/>
    </row>
    <row r="8" spans="2:27" x14ac:dyDescent="0.25">
      <c r="B8" s="101" t="s">
        <v>1551</v>
      </c>
      <c r="C8" s="101" t="s">
        <v>25968</v>
      </c>
      <c r="D8" s="102" t="s">
        <v>25969</v>
      </c>
      <c r="E8" s="102" t="s">
        <v>25894</v>
      </c>
      <c r="F8" s="101">
        <v>2012</v>
      </c>
      <c r="G8" s="102" t="s">
        <v>25894</v>
      </c>
      <c r="H8" s="101" t="s">
        <v>1550</v>
      </c>
      <c r="I8" s="102" t="s">
        <v>25894</v>
      </c>
      <c r="J8" s="23">
        <v>26</v>
      </c>
      <c r="K8" s="102" t="s">
        <v>25896</v>
      </c>
      <c r="L8" s="102" t="s">
        <v>25897</v>
      </c>
      <c r="M8" s="101">
        <v>38</v>
      </c>
      <c r="N8" s="23"/>
    </row>
    <row r="9" spans="2:27" x14ac:dyDescent="0.25">
      <c r="B9" s="101" t="s">
        <v>1124</v>
      </c>
      <c r="C9" s="101" t="s">
        <v>25908</v>
      </c>
      <c r="D9" s="102" t="s">
        <v>25922</v>
      </c>
      <c r="E9" s="102" t="s">
        <v>25894</v>
      </c>
      <c r="F9" s="101">
        <v>2012</v>
      </c>
      <c r="G9" s="102" t="s">
        <v>25894</v>
      </c>
      <c r="H9" s="101" t="s">
        <v>1123</v>
      </c>
      <c r="I9" s="102" t="s">
        <v>25894</v>
      </c>
      <c r="J9" s="23">
        <v>19</v>
      </c>
      <c r="K9" s="102" t="s">
        <v>25896</v>
      </c>
      <c r="L9" s="102" t="s">
        <v>25897</v>
      </c>
      <c r="M9" s="101">
        <v>14</v>
      </c>
      <c r="N9" s="23"/>
    </row>
    <row r="10" spans="2:27" ht="27.6" x14ac:dyDescent="0.25">
      <c r="B10" s="101" t="s">
        <v>1033</v>
      </c>
      <c r="C10" s="101" t="s">
        <v>25912</v>
      </c>
      <c r="D10" s="102" t="s">
        <v>25913</v>
      </c>
      <c r="E10" s="102" t="s">
        <v>25894</v>
      </c>
      <c r="F10" s="101">
        <v>2012</v>
      </c>
      <c r="G10" s="102" t="s">
        <v>25894</v>
      </c>
      <c r="H10" s="101" t="s">
        <v>1032</v>
      </c>
      <c r="I10" s="102" t="s">
        <v>25894</v>
      </c>
      <c r="J10" s="23">
        <v>26</v>
      </c>
      <c r="K10" s="102" t="s">
        <v>25896</v>
      </c>
      <c r="L10" s="102" t="s">
        <v>25897</v>
      </c>
      <c r="M10" s="101">
        <v>9</v>
      </c>
      <c r="N10" s="23"/>
    </row>
    <row r="11" spans="2:27" x14ac:dyDescent="0.25">
      <c r="B11" s="101" t="s">
        <v>911</v>
      </c>
      <c r="C11" s="101" t="s">
        <v>25904</v>
      </c>
      <c r="D11" s="102" t="s">
        <v>25905</v>
      </c>
      <c r="E11" s="102" t="s">
        <v>25894</v>
      </c>
      <c r="F11" s="101">
        <v>2012</v>
      </c>
      <c r="G11" s="102" t="s">
        <v>25894</v>
      </c>
      <c r="H11" s="101" t="s">
        <v>910</v>
      </c>
      <c r="I11" s="102" t="s">
        <v>25894</v>
      </c>
      <c r="J11" s="23">
        <v>25</v>
      </c>
      <c r="K11" s="102" t="s">
        <v>25896</v>
      </c>
      <c r="L11" s="102" t="s">
        <v>25897</v>
      </c>
      <c r="M11" s="101">
        <v>5</v>
      </c>
      <c r="N11" s="23"/>
    </row>
    <row r="12" spans="2:27" ht="27.6" x14ac:dyDescent="0.25">
      <c r="B12" s="101" t="s">
        <v>1424</v>
      </c>
      <c r="C12" s="101" t="s">
        <v>25956</v>
      </c>
      <c r="D12" s="102" t="s">
        <v>25957</v>
      </c>
      <c r="E12" s="102" t="s">
        <v>25894</v>
      </c>
      <c r="F12" s="101">
        <v>2013</v>
      </c>
      <c r="G12" s="102" t="s">
        <v>25894</v>
      </c>
      <c r="H12" s="101" t="s">
        <v>1423</v>
      </c>
      <c r="I12" s="102" t="s">
        <v>25894</v>
      </c>
      <c r="J12" s="23">
        <v>3</v>
      </c>
      <c r="K12" s="102" t="s">
        <v>25896</v>
      </c>
      <c r="L12" s="102" t="s">
        <v>25897</v>
      </c>
      <c r="M12" s="101">
        <v>32</v>
      </c>
      <c r="N12" s="23"/>
    </row>
    <row r="13" spans="2:27" x14ac:dyDescent="0.25">
      <c r="B13" s="101" t="s">
        <v>867</v>
      </c>
      <c r="C13" s="101" t="s">
        <v>25902</v>
      </c>
      <c r="D13" s="102" t="s">
        <v>25903</v>
      </c>
      <c r="E13" s="102" t="s">
        <v>25894</v>
      </c>
      <c r="F13" s="101">
        <v>2013</v>
      </c>
      <c r="G13" s="102" t="s">
        <v>25894</v>
      </c>
      <c r="H13" s="101" t="s">
        <v>866</v>
      </c>
      <c r="I13" s="102" t="s">
        <v>25894</v>
      </c>
      <c r="J13" s="23">
        <v>1</v>
      </c>
      <c r="K13" s="102" t="s">
        <v>25896</v>
      </c>
      <c r="L13" s="102" t="s">
        <v>25897</v>
      </c>
      <c r="M13" s="101">
        <v>4</v>
      </c>
      <c r="N13" s="23"/>
    </row>
    <row r="14" spans="2:27" ht="27.6" x14ac:dyDescent="0.25">
      <c r="B14" s="101" t="s">
        <v>737</v>
      </c>
      <c r="C14" s="101" t="s">
        <v>25898</v>
      </c>
      <c r="D14" s="102" t="s">
        <v>25899</v>
      </c>
      <c r="E14" s="102" t="s">
        <v>25894</v>
      </c>
      <c r="F14" s="101">
        <v>2013</v>
      </c>
      <c r="G14" s="102" t="s">
        <v>25894</v>
      </c>
      <c r="H14" s="101" t="s">
        <v>736</v>
      </c>
      <c r="I14" s="102" t="s">
        <v>25894</v>
      </c>
      <c r="J14" s="23">
        <v>18</v>
      </c>
      <c r="K14" s="102" t="s">
        <v>25896</v>
      </c>
      <c r="L14" s="102" t="s">
        <v>25897</v>
      </c>
      <c r="M14" s="101">
        <v>2</v>
      </c>
      <c r="N14" s="23"/>
    </row>
    <row r="15" spans="2:27" x14ac:dyDescent="0.25">
      <c r="B15" s="101" t="s">
        <v>1021</v>
      </c>
      <c r="C15" s="101" t="s">
        <v>25910</v>
      </c>
      <c r="D15" s="102" t="s">
        <v>25911</v>
      </c>
      <c r="E15" s="102" t="s">
        <v>25894</v>
      </c>
      <c r="F15" s="101">
        <v>2014</v>
      </c>
      <c r="G15" s="102" t="s">
        <v>25894</v>
      </c>
      <c r="H15" s="101" t="s">
        <v>1020</v>
      </c>
      <c r="I15" s="102" t="s">
        <v>25894</v>
      </c>
      <c r="J15" s="23">
        <v>5</v>
      </c>
      <c r="K15" s="102" t="s">
        <v>25896</v>
      </c>
      <c r="L15" s="102" t="s">
        <v>25897</v>
      </c>
      <c r="M15" s="101">
        <v>8</v>
      </c>
      <c r="N15" s="23"/>
    </row>
    <row r="16" spans="2:27" ht="28.8" x14ac:dyDescent="0.3">
      <c r="B16" s="101" t="s">
        <v>1771</v>
      </c>
      <c r="C16" s="108" t="s">
        <v>25989</v>
      </c>
      <c r="D16" s="109" t="s">
        <v>25990</v>
      </c>
      <c r="E16" s="102" t="s">
        <v>25894</v>
      </c>
      <c r="F16" s="101">
        <v>2015</v>
      </c>
      <c r="G16" s="102" t="s">
        <v>25894</v>
      </c>
      <c r="H16" s="109" t="s">
        <v>1772</v>
      </c>
      <c r="I16" s="102" t="s">
        <v>25894</v>
      </c>
      <c r="J16" s="23">
        <v>10</v>
      </c>
      <c r="K16" s="102" t="s">
        <v>25896</v>
      </c>
      <c r="L16" s="102" t="s">
        <v>25897</v>
      </c>
      <c r="M16" s="101">
        <v>49</v>
      </c>
      <c r="N16" s="23"/>
    </row>
    <row r="17" spans="1:14" ht="27.6" x14ac:dyDescent="0.25">
      <c r="B17" s="101" t="s">
        <v>1256</v>
      </c>
      <c r="C17" s="101" t="s">
        <v>25939</v>
      </c>
      <c r="D17" s="102" t="s">
        <v>25940</v>
      </c>
      <c r="E17" s="102" t="s">
        <v>25894</v>
      </c>
      <c r="F17" s="101">
        <v>2015</v>
      </c>
      <c r="G17" s="102" t="s">
        <v>25894</v>
      </c>
      <c r="H17" s="101" t="s">
        <v>1255</v>
      </c>
      <c r="I17" s="102" t="s">
        <v>25894</v>
      </c>
      <c r="J17" s="23">
        <v>18</v>
      </c>
      <c r="K17" s="102" t="s">
        <v>25896</v>
      </c>
      <c r="L17" s="102" t="s">
        <v>25897</v>
      </c>
      <c r="M17" s="101">
        <v>23</v>
      </c>
      <c r="N17" s="23"/>
    </row>
    <row r="18" spans="1:14" ht="27.6" x14ac:dyDescent="0.25">
      <c r="B18" s="101" t="s">
        <v>702</v>
      </c>
      <c r="C18" s="101" t="s">
        <v>25893</v>
      </c>
      <c r="D18" s="102" t="s">
        <v>25895</v>
      </c>
      <c r="E18" s="102" t="s">
        <v>25894</v>
      </c>
      <c r="F18" s="101">
        <v>2015</v>
      </c>
      <c r="G18" s="102" t="s">
        <v>25894</v>
      </c>
      <c r="H18" s="101" t="s">
        <v>701</v>
      </c>
      <c r="I18" s="102" t="s">
        <v>25894</v>
      </c>
      <c r="J18" s="23">
        <v>7</v>
      </c>
      <c r="K18" s="102" t="s">
        <v>25896</v>
      </c>
      <c r="L18" s="102" t="s">
        <v>25897</v>
      </c>
      <c r="M18" s="101">
        <v>1</v>
      </c>
      <c r="N18" s="23"/>
    </row>
    <row r="19" spans="1:14" x14ac:dyDescent="0.25">
      <c r="B19" s="101" t="s">
        <v>1543</v>
      </c>
      <c r="C19" s="101" t="s">
        <v>25966</v>
      </c>
      <c r="D19" s="102" t="s">
        <v>25967</v>
      </c>
      <c r="E19" s="102" t="s">
        <v>25894</v>
      </c>
      <c r="F19" s="101">
        <v>2016</v>
      </c>
      <c r="G19" s="102" t="s">
        <v>25894</v>
      </c>
      <c r="H19" s="101" t="s">
        <v>1542</v>
      </c>
      <c r="I19" s="102" t="s">
        <v>25894</v>
      </c>
      <c r="J19" s="23">
        <v>1</v>
      </c>
      <c r="K19" s="102" t="s">
        <v>25896</v>
      </c>
      <c r="L19" s="102" t="s">
        <v>25897</v>
      </c>
      <c r="M19" s="101">
        <v>37</v>
      </c>
      <c r="N19" s="23"/>
    </row>
    <row r="20" spans="1:14" ht="27.6" x14ac:dyDescent="0.25">
      <c r="A20" s="104"/>
      <c r="B20" s="101" t="s">
        <v>1345</v>
      </c>
      <c r="C20" s="101" t="s">
        <v>25948</v>
      </c>
      <c r="D20" s="102" t="s">
        <v>25949</v>
      </c>
      <c r="E20" s="102" t="s">
        <v>25894</v>
      </c>
      <c r="F20" s="101">
        <v>2016</v>
      </c>
      <c r="G20" s="102" t="s">
        <v>25894</v>
      </c>
      <c r="H20" s="101" t="s">
        <v>1344</v>
      </c>
      <c r="I20" s="102" t="s">
        <v>25894</v>
      </c>
      <c r="J20" s="23">
        <v>28</v>
      </c>
      <c r="K20" s="102" t="s">
        <v>25896</v>
      </c>
      <c r="L20" s="102" t="s">
        <v>25897</v>
      </c>
      <c r="M20" s="101">
        <v>28</v>
      </c>
      <c r="N20" s="23"/>
    </row>
    <row r="21" spans="1:14" ht="27.6" x14ac:dyDescent="0.25">
      <c r="B21" s="101" t="s">
        <v>1316</v>
      </c>
      <c r="C21" s="101" t="s">
        <v>25944</v>
      </c>
      <c r="D21" s="102" t="s">
        <v>25945</v>
      </c>
      <c r="E21" s="102" t="s">
        <v>25894</v>
      </c>
      <c r="F21" s="101">
        <v>2016</v>
      </c>
      <c r="G21" s="102" t="s">
        <v>25894</v>
      </c>
      <c r="H21" s="101" t="s">
        <v>1315</v>
      </c>
      <c r="I21" s="102" t="s">
        <v>25894</v>
      </c>
      <c r="J21" s="23">
        <v>30</v>
      </c>
      <c r="K21" s="102" t="s">
        <v>25896</v>
      </c>
      <c r="L21" s="102" t="s">
        <v>25897</v>
      </c>
      <c r="M21" s="101">
        <v>26</v>
      </c>
      <c r="N21" s="23"/>
    </row>
    <row r="22" spans="1:14" ht="27.6" x14ac:dyDescent="0.25">
      <c r="B22" s="101" t="s">
        <v>1297</v>
      </c>
      <c r="C22" s="101" t="s">
        <v>25908</v>
      </c>
      <c r="D22" s="102" t="s">
        <v>25941</v>
      </c>
      <c r="E22" s="102" t="s">
        <v>25894</v>
      </c>
      <c r="F22" s="101">
        <v>2016</v>
      </c>
      <c r="G22" s="102" t="s">
        <v>25894</v>
      </c>
      <c r="H22" s="101" t="s">
        <v>1296</v>
      </c>
      <c r="I22" s="102" t="s">
        <v>25894</v>
      </c>
      <c r="J22" s="23">
        <v>15</v>
      </c>
      <c r="K22" s="102" t="s">
        <v>25896</v>
      </c>
      <c r="L22" s="102" t="s">
        <v>25897</v>
      </c>
      <c r="M22" s="101">
        <v>24</v>
      </c>
      <c r="N22" s="23"/>
    </row>
    <row r="23" spans="1:14" x14ac:dyDescent="0.25">
      <c r="B23" s="101" t="s">
        <v>1082</v>
      </c>
      <c r="C23" s="101" t="s">
        <v>25918</v>
      </c>
      <c r="D23" s="102" t="s">
        <v>25919</v>
      </c>
      <c r="E23" s="102" t="s">
        <v>25894</v>
      </c>
      <c r="F23" s="101">
        <v>2016</v>
      </c>
      <c r="G23" s="102" t="s">
        <v>25894</v>
      </c>
      <c r="H23" s="101" t="s">
        <v>1081</v>
      </c>
      <c r="I23" s="102" t="s">
        <v>25894</v>
      </c>
      <c r="J23" s="23">
        <v>8</v>
      </c>
      <c r="K23" s="102" t="s">
        <v>25896</v>
      </c>
      <c r="L23" s="102" t="s">
        <v>25897</v>
      </c>
      <c r="M23" s="101">
        <v>12</v>
      </c>
      <c r="N23" s="23"/>
    </row>
    <row r="24" spans="1:14" x14ac:dyDescent="0.25">
      <c r="B24" s="101" t="s">
        <v>1611</v>
      </c>
      <c r="C24" s="101" t="s">
        <v>25973</v>
      </c>
      <c r="D24" s="102" t="s">
        <v>25974</v>
      </c>
      <c r="E24" s="102" t="s">
        <v>25894</v>
      </c>
      <c r="F24" s="101">
        <v>2017</v>
      </c>
      <c r="G24" s="102" t="s">
        <v>25894</v>
      </c>
      <c r="H24" s="101" t="s">
        <v>1610</v>
      </c>
      <c r="I24" s="102" t="s">
        <v>25894</v>
      </c>
      <c r="J24" s="23">
        <v>18</v>
      </c>
      <c r="K24" s="102" t="s">
        <v>25896</v>
      </c>
      <c r="L24" s="102" t="s">
        <v>25897</v>
      </c>
      <c r="M24" s="101">
        <v>41</v>
      </c>
      <c r="N24" s="23"/>
    </row>
    <row r="25" spans="1:14" x14ac:dyDescent="0.25">
      <c r="B25" s="101" t="s">
        <v>1246</v>
      </c>
      <c r="C25" s="101" t="s">
        <v>25937</v>
      </c>
      <c r="D25" s="102" t="s">
        <v>25938</v>
      </c>
      <c r="E25" s="102" t="s">
        <v>25894</v>
      </c>
      <c r="F25" s="101">
        <v>2017</v>
      </c>
      <c r="G25" s="102" t="s">
        <v>25894</v>
      </c>
      <c r="H25" s="101" t="s">
        <v>1245</v>
      </c>
      <c r="I25" s="102" t="s">
        <v>25894</v>
      </c>
      <c r="J25" s="23">
        <v>13</v>
      </c>
      <c r="K25" s="102" t="s">
        <v>25896</v>
      </c>
      <c r="L25" s="102" t="s">
        <v>25897</v>
      </c>
      <c r="M25" s="101">
        <v>22</v>
      </c>
      <c r="N25" s="23"/>
    </row>
    <row r="26" spans="1:14" x14ac:dyDescent="0.25">
      <c r="B26" s="101" t="s">
        <v>976</v>
      </c>
      <c r="C26" s="101" t="s">
        <v>25908</v>
      </c>
      <c r="D26" s="102" t="s">
        <v>25909</v>
      </c>
      <c r="E26" s="102" t="s">
        <v>25894</v>
      </c>
      <c r="F26" s="101">
        <v>2017</v>
      </c>
      <c r="G26" s="102" t="s">
        <v>25894</v>
      </c>
      <c r="H26" s="101" t="s">
        <v>975</v>
      </c>
      <c r="I26" s="102" t="s">
        <v>25894</v>
      </c>
      <c r="J26" s="23">
        <v>14</v>
      </c>
      <c r="K26" s="102" t="s">
        <v>25896</v>
      </c>
      <c r="L26" s="102" t="s">
        <v>25897</v>
      </c>
      <c r="M26" s="101">
        <v>7</v>
      </c>
      <c r="N26" s="23"/>
    </row>
    <row r="27" spans="1:14" x14ac:dyDescent="0.25">
      <c r="B27" s="101" t="s">
        <v>1510</v>
      </c>
      <c r="C27" s="101" t="s">
        <v>25964</v>
      </c>
      <c r="D27" s="102" t="s">
        <v>25965</v>
      </c>
      <c r="E27" s="102" t="s">
        <v>25894</v>
      </c>
      <c r="F27" s="101">
        <v>2018</v>
      </c>
      <c r="G27" s="102" t="s">
        <v>25894</v>
      </c>
      <c r="H27" s="101" t="s">
        <v>1509</v>
      </c>
      <c r="I27" s="102" t="s">
        <v>25894</v>
      </c>
      <c r="J27" s="23">
        <v>6</v>
      </c>
      <c r="K27" s="102" t="s">
        <v>25896</v>
      </c>
      <c r="L27" s="102" t="s">
        <v>25897</v>
      </c>
      <c r="M27" s="101">
        <v>36</v>
      </c>
      <c r="N27" s="23"/>
    </row>
    <row r="28" spans="1:14" ht="27.6" x14ac:dyDescent="0.25">
      <c r="B28" s="101" t="s">
        <v>1500</v>
      </c>
      <c r="C28" s="101" t="s">
        <v>25962</v>
      </c>
      <c r="D28" s="102" t="s">
        <v>25963</v>
      </c>
      <c r="E28" s="102" t="s">
        <v>25894</v>
      </c>
      <c r="F28" s="101">
        <v>2018</v>
      </c>
      <c r="G28" s="102" t="s">
        <v>25894</v>
      </c>
      <c r="H28" s="101" t="s">
        <v>1499</v>
      </c>
      <c r="I28" s="102" t="s">
        <v>25894</v>
      </c>
      <c r="J28" s="23">
        <v>25</v>
      </c>
      <c r="K28" s="102" t="s">
        <v>25896</v>
      </c>
      <c r="L28" s="102" t="s">
        <v>25897</v>
      </c>
      <c r="M28" s="101">
        <v>35</v>
      </c>
      <c r="N28" s="23"/>
    </row>
    <row r="29" spans="1:14" ht="27.6" x14ac:dyDescent="0.25">
      <c r="B29" s="101" t="s">
        <v>1306</v>
      </c>
      <c r="C29" s="105" t="s">
        <v>25942</v>
      </c>
      <c r="D29" s="106" t="s">
        <v>25943</v>
      </c>
      <c r="E29" s="106" t="s">
        <v>25894</v>
      </c>
      <c r="F29" s="105">
        <v>2018</v>
      </c>
      <c r="G29" s="106" t="s">
        <v>25894</v>
      </c>
      <c r="H29" s="105" t="s">
        <v>1305</v>
      </c>
      <c r="I29" s="106" t="s">
        <v>25894</v>
      </c>
      <c r="J29" s="107">
        <v>40</v>
      </c>
      <c r="K29" s="106" t="s">
        <v>25896</v>
      </c>
      <c r="L29" s="106" t="s">
        <v>25897</v>
      </c>
      <c r="M29" s="101">
        <v>25</v>
      </c>
      <c r="N29" s="23"/>
    </row>
    <row r="30" spans="1:14" x14ac:dyDescent="0.25">
      <c r="B30" s="101" t="s">
        <v>964</v>
      </c>
      <c r="C30" s="101" t="s">
        <v>25906</v>
      </c>
      <c r="D30" s="102" t="s">
        <v>25907</v>
      </c>
      <c r="E30" s="102" t="s">
        <v>25894</v>
      </c>
      <c r="F30" s="101">
        <v>2018</v>
      </c>
      <c r="G30" s="102" t="s">
        <v>25894</v>
      </c>
      <c r="H30" s="101" t="s">
        <v>963</v>
      </c>
      <c r="I30" s="102" t="s">
        <v>25894</v>
      </c>
      <c r="J30" s="23">
        <v>3</v>
      </c>
      <c r="K30" s="102" t="s">
        <v>25896</v>
      </c>
      <c r="L30" s="102" t="s">
        <v>25897</v>
      </c>
      <c r="M30" s="101">
        <v>6</v>
      </c>
      <c r="N30" s="23"/>
    </row>
    <row r="31" spans="1:14" ht="27.6" x14ac:dyDescent="0.25">
      <c r="B31" s="101" t="s">
        <v>1624</v>
      </c>
      <c r="C31" s="101" t="s">
        <v>25977</v>
      </c>
      <c r="D31" s="102" t="s">
        <v>25978</v>
      </c>
      <c r="E31" s="102" t="s">
        <v>25894</v>
      </c>
      <c r="F31" s="101">
        <v>2019</v>
      </c>
      <c r="G31" s="102" t="s">
        <v>25894</v>
      </c>
      <c r="H31" s="101" t="s">
        <v>1623</v>
      </c>
      <c r="I31" s="102" t="s">
        <v>25894</v>
      </c>
      <c r="J31" s="23">
        <v>7</v>
      </c>
      <c r="K31" s="102" t="s">
        <v>25896</v>
      </c>
      <c r="L31" s="102" t="s">
        <v>25897</v>
      </c>
      <c r="M31" s="101">
        <v>43</v>
      </c>
      <c r="N31" s="23"/>
    </row>
    <row r="32" spans="1:14" ht="27.6" x14ac:dyDescent="0.25">
      <c r="B32" s="101" t="s">
        <v>1592</v>
      </c>
      <c r="C32" s="101" t="s">
        <v>25964</v>
      </c>
      <c r="D32" s="102" t="s">
        <v>25972</v>
      </c>
      <c r="E32" s="102" t="s">
        <v>25894</v>
      </c>
      <c r="F32" s="101">
        <v>2019</v>
      </c>
      <c r="G32" s="102" t="s">
        <v>25894</v>
      </c>
      <c r="H32" s="101" t="s">
        <v>1591</v>
      </c>
      <c r="I32" s="102" t="s">
        <v>25894</v>
      </c>
      <c r="J32" s="23">
        <v>12</v>
      </c>
      <c r="K32" s="102" t="s">
        <v>25896</v>
      </c>
      <c r="L32" s="102" t="s">
        <v>25897</v>
      </c>
      <c r="M32" s="101">
        <v>40</v>
      </c>
      <c r="N32" s="23"/>
    </row>
    <row r="33" spans="2:14" ht="27.6" x14ac:dyDescent="0.25">
      <c r="B33" s="101" t="s">
        <v>1489</v>
      </c>
      <c r="C33" s="101" t="s">
        <v>25960</v>
      </c>
      <c r="D33" s="102" t="s">
        <v>25961</v>
      </c>
      <c r="E33" s="102" t="s">
        <v>25894</v>
      </c>
      <c r="F33" s="101">
        <v>2019</v>
      </c>
      <c r="G33" s="102" t="s">
        <v>25894</v>
      </c>
      <c r="H33" s="101" t="s">
        <v>1488</v>
      </c>
      <c r="I33" s="102" t="s">
        <v>25894</v>
      </c>
      <c r="J33" s="23">
        <v>44</v>
      </c>
      <c r="K33" s="102" t="s">
        <v>25896</v>
      </c>
      <c r="L33" s="102" t="s">
        <v>25897</v>
      </c>
      <c r="M33" s="101">
        <v>34</v>
      </c>
      <c r="N33" s="23"/>
    </row>
    <row r="34" spans="2:14" x14ac:dyDescent="0.25">
      <c r="B34" s="101" t="s">
        <v>1478</v>
      </c>
      <c r="C34" s="101" t="s">
        <v>25958</v>
      </c>
      <c r="D34" s="102" t="s">
        <v>25959</v>
      </c>
      <c r="E34" s="102" t="s">
        <v>25894</v>
      </c>
      <c r="F34" s="101">
        <v>2019</v>
      </c>
      <c r="G34" s="102" t="s">
        <v>25894</v>
      </c>
      <c r="H34" s="101" t="s">
        <v>1477</v>
      </c>
      <c r="I34" s="102" t="s">
        <v>25894</v>
      </c>
      <c r="J34" s="23">
        <v>23</v>
      </c>
      <c r="K34" s="102" t="s">
        <v>25896</v>
      </c>
      <c r="L34" s="102" t="s">
        <v>25897</v>
      </c>
      <c r="M34" s="101">
        <v>33</v>
      </c>
      <c r="N34" s="23"/>
    </row>
    <row r="35" spans="2:14" x14ac:dyDescent="0.25">
      <c r="B35" s="101" t="s">
        <v>1356</v>
      </c>
      <c r="C35" s="101" t="s">
        <v>25950</v>
      </c>
      <c r="D35" s="102" t="s">
        <v>25951</v>
      </c>
      <c r="E35" s="102" t="s">
        <v>25894</v>
      </c>
      <c r="F35" s="101">
        <v>2019</v>
      </c>
      <c r="G35" s="102" t="s">
        <v>25894</v>
      </c>
      <c r="H35" s="101" t="s">
        <v>1355</v>
      </c>
      <c r="I35" s="102" t="s">
        <v>25894</v>
      </c>
      <c r="J35" s="23">
        <v>10</v>
      </c>
      <c r="K35" s="102" t="s">
        <v>25896</v>
      </c>
      <c r="L35" s="102" t="s">
        <v>25897</v>
      </c>
      <c r="M35" s="101">
        <v>29</v>
      </c>
      <c r="N35" s="23"/>
    </row>
    <row r="36" spans="2:14" ht="27.6" x14ac:dyDescent="0.25">
      <c r="B36" s="101" t="s">
        <v>1235</v>
      </c>
      <c r="C36" s="101" t="s">
        <v>25935</v>
      </c>
      <c r="D36" s="102" t="s">
        <v>25936</v>
      </c>
      <c r="E36" s="102" t="s">
        <v>25894</v>
      </c>
      <c r="F36" s="101">
        <v>2019</v>
      </c>
      <c r="G36" s="102" t="s">
        <v>25894</v>
      </c>
      <c r="H36" s="101" t="s">
        <v>1234</v>
      </c>
      <c r="I36" s="102" t="s">
        <v>25894</v>
      </c>
      <c r="J36" s="23">
        <v>23</v>
      </c>
      <c r="K36" s="102" t="s">
        <v>25896</v>
      </c>
      <c r="L36" s="102" t="s">
        <v>25897</v>
      </c>
      <c r="M36" s="101">
        <v>21</v>
      </c>
      <c r="N36" s="23"/>
    </row>
    <row r="37" spans="2:14" x14ac:dyDescent="0.25">
      <c r="B37" s="101" t="s">
        <v>1183</v>
      </c>
      <c r="C37" s="101" t="s">
        <v>25929</v>
      </c>
      <c r="D37" s="102" t="s">
        <v>25930</v>
      </c>
      <c r="E37" s="102" t="s">
        <v>25894</v>
      </c>
      <c r="F37" s="101">
        <v>2019</v>
      </c>
      <c r="G37" s="102" t="s">
        <v>25894</v>
      </c>
      <c r="H37" s="101" t="s">
        <v>1182</v>
      </c>
      <c r="I37" s="102" t="s">
        <v>25894</v>
      </c>
      <c r="J37" s="23">
        <v>14</v>
      </c>
      <c r="K37" s="102" t="s">
        <v>25896</v>
      </c>
      <c r="L37" s="102" t="s">
        <v>25897</v>
      </c>
      <c r="M37" s="101">
        <v>18</v>
      </c>
      <c r="N37" s="23"/>
    </row>
    <row r="38" spans="2:14" x14ac:dyDescent="0.25">
      <c r="B38" s="101" t="s">
        <v>1173</v>
      </c>
      <c r="C38" s="101" t="s">
        <v>25927</v>
      </c>
      <c r="D38" s="102" t="s">
        <v>25928</v>
      </c>
      <c r="E38" s="102" t="s">
        <v>25894</v>
      </c>
      <c r="F38" s="101">
        <v>2019</v>
      </c>
      <c r="G38" s="102" t="s">
        <v>25894</v>
      </c>
      <c r="H38" s="101" t="s">
        <v>1172</v>
      </c>
      <c r="I38" s="102" t="s">
        <v>25894</v>
      </c>
      <c r="J38" s="23">
        <v>19</v>
      </c>
      <c r="K38" s="102" t="s">
        <v>25896</v>
      </c>
      <c r="L38" s="102" t="s">
        <v>25897</v>
      </c>
      <c r="M38" s="101">
        <v>17</v>
      </c>
      <c r="N38" s="23"/>
    </row>
    <row r="39" spans="2:14" ht="27.6" x14ac:dyDescent="0.25">
      <c r="B39" s="101" t="s">
        <v>3752</v>
      </c>
      <c r="C39" s="23" t="s">
        <v>25994</v>
      </c>
      <c r="D39" s="101" t="s">
        <v>26010</v>
      </c>
      <c r="E39" s="102" t="s">
        <v>25894</v>
      </c>
      <c r="F39" s="101">
        <v>2020</v>
      </c>
      <c r="G39" s="102" t="s">
        <v>25894</v>
      </c>
      <c r="H39" s="101" t="s">
        <v>1669</v>
      </c>
      <c r="I39" s="102" t="s">
        <v>25894</v>
      </c>
      <c r="J39" s="101">
        <v>3</v>
      </c>
      <c r="K39" s="102" t="s">
        <v>25896</v>
      </c>
      <c r="L39" s="102" t="s">
        <v>25897</v>
      </c>
      <c r="M39" s="101">
        <v>53</v>
      </c>
      <c r="N39" s="23"/>
    </row>
    <row r="40" spans="2:14" ht="27.6" x14ac:dyDescent="0.25">
      <c r="B40" s="101" t="s">
        <v>1691</v>
      </c>
      <c r="C40" s="23" t="s">
        <v>25985</v>
      </c>
      <c r="D40" s="102" t="s">
        <v>25986</v>
      </c>
      <c r="E40" s="102" t="s">
        <v>25894</v>
      </c>
      <c r="F40" s="101">
        <v>2020</v>
      </c>
      <c r="G40" s="102" t="s">
        <v>25894</v>
      </c>
      <c r="H40" s="101" t="s">
        <v>1690</v>
      </c>
      <c r="I40" s="102" t="s">
        <v>25894</v>
      </c>
      <c r="J40" s="23">
        <v>32</v>
      </c>
      <c r="K40" s="102" t="s">
        <v>25896</v>
      </c>
      <c r="L40" s="102" t="s">
        <v>25897</v>
      </c>
      <c r="M40" s="101">
        <v>47</v>
      </c>
      <c r="N40" s="23"/>
    </row>
    <row r="41" spans="2:14" x14ac:dyDescent="0.25">
      <c r="B41" s="101" t="s">
        <v>1639</v>
      </c>
      <c r="C41" s="23" t="s">
        <v>25983</v>
      </c>
      <c r="D41" s="102" t="s">
        <v>25984</v>
      </c>
      <c r="E41" s="102" t="s">
        <v>25894</v>
      </c>
      <c r="F41" s="101">
        <v>2020</v>
      </c>
      <c r="G41" s="102" t="s">
        <v>25894</v>
      </c>
      <c r="H41" s="101" t="s">
        <v>1638</v>
      </c>
      <c r="I41" s="102" t="s">
        <v>25894</v>
      </c>
      <c r="J41" s="23">
        <v>13</v>
      </c>
      <c r="K41" s="102" t="s">
        <v>25896</v>
      </c>
      <c r="L41" s="102" t="s">
        <v>25897</v>
      </c>
      <c r="M41" s="101">
        <v>46</v>
      </c>
      <c r="N41" s="23"/>
    </row>
    <row r="42" spans="2:14" ht="27.6" x14ac:dyDescent="0.25">
      <c r="B42" s="101" t="s">
        <v>1636</v>
      </c>
      <c r="C42" s="23" t="s">
        <v>25981</v>
      </c>
      <c r="D42" s="102" t="s">
        <v>25982</v>
      </c>
      <c r="E42" s="102" t="s">
        <v>25894</v>
      </c>
      <c r="F42" s="101">
        <v>2020</v>
      </c>
      <c r="G42" s="102" t="s">
        <v>25894</v>
      </c>
      <c r="H42" s="101" t="s">
        <v>1635</v>
      </c>
      <c r="I42" s="102" t="s">
        <v>25894</v>
      </c>
      <c r="J42" s="23">
        <v>30</v>
      </c>
      <c r="K42" s="102" t="s">
        <v>25896</v>
      </c>
      <c r="L42" s="102" t="s">
        <v>25897</v>
      </c>
      <c r="M42" s="101">
        <v>45</v>
      </c>
      <c r="N42" s="23"/>
    </row>
    <row r="43" spans="2:14" ht="27.6" x14ac:dyDescent="0.25">
      <c r="B43" s="101" t="s">
        <v>1632</v>
      </c>
      <c r="C43" s="23" t="s">
        <v>25979</v>
      </c>
      <c r="D43" s="102" t="s">
        <v>25980</v>
      </c>
      <c r="E43" s="102" t="s">
        <v>25894</v>
      </c>
      <c r="F43" s="101">
        <v>2020</v>
      </c>
      <c r="G43" s="102" t="s">
        <v>25894</v>
      </c>
      <c r="H43" s="101" t="s">
        <v>1631</v>
      </c>
      <c r="I43" s="102" t="s">
        <v>25894</v>
      </c>
      <c r="J43" s="23">
        <v>2</v>
      </c>
      <c r="K43" s="102" t="s">
        <v>25896</v>
      </c>
      <c r="L43" s="102" t="s">
        <v>25897</v>
      </c>
      <c r="M43" s="101">
        <v>44</v>
      </c>
      <c r="N43" s="23"/>
    </row>
    <row r="44" spans="2:14" ht="27.6" x14ac:dyDescent="0.25">
      <c r="B44" s="101" t="s">
        <v>1621</v>
      </c>
      <c r="C44" s="101" t="s">
        <v>25975</v>
      </c>
      <c r="D44" s="102" t="s">
        <v>25976</v>
      </c>
      <c r="E44" s="102" t="s">
        <v>25894</v>
      </c>
      <c r="F44" s="101">
        <v>2020</v>
      </c>
      <c r="G44" s="102" t="s">
        <v>25894</v>
      </c>
      <c r="H44" s="101" t="s">
        <v>1620</v>
      </c>
      <c r="I44" s="102" t="s">
        <v>25894</v>
      </c>
      <c r="J44" s="23">
        <v>21</v>
      </c>
      <c r="K44" s="102" t="s">
        <v>25896</v>
      </c>
      <c r="L44" s="102" t="s">
        <v>25897</v>
      </c>
      <c r="M44" s="101">
        <v>42</v>
      </c>
      <c r="N44" s="23"/>
    </row>
    <row r="45" spans="2:14" ht="27.6" x14ac:dyDescent="0.25">
      <c r="B45" s="101" t="s">
        <v>1582</v>
      </c>
      <c r="C45" s="101" t="s">
        <v>25970</v>
      </c>
      <c r="D45" s="102" t="s">
        <v>25971</v>
      </c>
      <c r="E45" s="102" t="s">
        <v>25894</v>
      </c>
      <c r="F45" s="101">
        <v>2020</v>
      </c>
      <c r="G45" s="102" t="s">
        <v>25894</v>
      </c>
      <c r="H45" s="101" t="s">
        <v>1581</v>
      </c>
      <c r="I45" s="102" t="s">
        <v>25894</v>
      </c>
      <c r="J45" s="23">
        <v>21</v>
      </c>
      <c r="K45" s="102" t="s">
        <v>25896</v>
      </c>
      <c r="L45" s="102" t="s">
        <v>25897</v>
      </c>
      <c r="M45" s="101">
        <v>39</v>
      </c>
      <c r="N45" s="23"/>
    </row>
    <row r="46" spans="2:14" ht="27.6" x14ac:dyDescent="0.25">
      <c r="B46" s="101" t="s">
        <v>1326</v>
      </c>
      <c r="C46" s="101" t="s">
        <v>25946</v>
      </c>
      <c r="D46" s="102" t="s">
        <v>25947</v>
      </c>
      <c r="E46" s="102" t="s">
        <v>25894</v>
      </c>
      <c r="F46" s="101">
        <v>2020</v>
      </c>
      <c r="G46" s="102" t="s">
        <v>25894</v>
      </c>
      <c r="H46" s="101" t="s">
        <v>1325</v>
      </c>
      <c r="I46" s="102" t="s">
        <v>25894</v>
      </c>
      <c r="J46" s="23">
        <v>25</v>
      </c>
      <c r="K46" s="102" t="s">
        <v>25896</v>
      </c>
      <c r="L46" s="102" t="s">
        <v>25897</v>
      </c>
      <c r="M46" s="101">
        <v>27</v>
      </c>
      <c r="N46" s="23"/>
    </row>
    <row r="47" spans="2:14" ht="27.6" x14ac:dyDescent="0.25">
      <c r="B47" s="101" t="s">
        <v>1225</v>
      </c>
      <c r="C47" s="101" t="s">
        <v>25933</v>
      </c>
      <c r="D47" s="102" t="s">
        <v>25934</v>
      </c>
      <c r="E47" s="102" t="s">
        <v>25894</v>
      </c>
      <c r="F47" s="101">
        <v>2020</v>
      </c>
      <c r="G47" s="102" t="s">
        <v>25894</v>
      </c>
      <c r="H47" s="101" t="s">
        <v>1224</v>
      </c>
      <c r="I47" s="102" t="s">
        <v>25894</v>
      </c>
      <c r="J47" s="23">
        <v>23</v>
      </c>
      <c r="K47" s="102" t="s">
        <v>25896</v>
      </c>
      <c r="L47" s="102" t="s">
        <v>25897</v>
      </c>
      <c r="M47" s="101">
        <v>20</v>
      </c>
      <c r="N47" s="23"/>
    </row>
    <row r="48" spans="2:14" ht="27.6" x14ac:dyDescent="0.25">
      <c r="B48" s="101" t="s">
        <v>1214</v>
      </c>
      <c r="C48" s="101" t="s">
        <v>25931</v>
      </c>
      <c r="D48" s="102" t="s">
        <v>25932</v>
      </c>
      <c r="E48" s="102" t="s">
        <v>25894</v>
      </c>
      <c r="F48" s="101">
        <v>2020</v>
      </c>
      <c r="G48" s="102" t="s">
        <v>25894</v>
      </c>
      <c r="H48" s="101" t="s">
        <v>1213</v>
      </c>
      <c r="I48" s="102" t="s">
        <v>25894</v>
      </c>
      <c r="J48" s="23">
        <v>18</v>
      </c>
      <c r="K48" s="102" t="s">
        <v>25896</v>
      </c>
      <c r="L48" s="102" t="s">
        <v>25897</v>
      </c>
      <c r="M48" s="101">
        <v>19</v>
      </c>
      <c r="N48" s="23"/>
    </row>
    <row r="49" spans="2:14" x14ac:dyDescent="0.25">
      <c r="B49" s="101" t="s">
        <v>1145</v>
      </c>
      <c r="C49" s="101" t="s">
        <v>25925</v>
      </c>
      <c r="D49" s="102" t="s">
        <v>25926</v>
      </c>
      <c r="E49" s="102" t="s">
        <v>25894</v>
      </c>
      <c r="F49" s="101">
        <v>2020</v>
      </c>
      <c r="G49" s="102" t="s">
        <v>25894</v>
      </c>
      <c r="H49" s="101" t="s">
        <v>1144</v>
      </c>
      <c r="I49" s="102" t="s">
        <v>25894</v>
      </c>
      <c r="J49" s="23">
        <v>29</v>
      </c>
      <c r="K49" s="102" t="s">
        <v>25896</v>
      </c>
      <c r="L49" s="102" t="s">
        <v>25897</v>
      </c>
      <c r="M49" s="101">
        <v>16</v>
      </c>
      <c r="N49" s="23"/>
    </row>
    <row r="50" spans="2:14" ht="27.6" x14ac:dyDescent="0.25">
      <c r="B50" s="101" t="s">
        <v>1134</v>
      </c>
      <c r="C50" s="101" t="s">
        <v>25923</v>
      </c>
      <c r="D50" s="102" t="s">
        <v>25924</v>
      </c>
      <c r="E50" s="102" t="s">
        <v>25894</v>
      </c>
      <c r="F50" s="101">
        <v>2020</v>
      </c>
      <c r="G50" s="102" t="s">
        <v>25894</v>
      </c>
      <c r="H50" s="101" t="s">
        <v>1133</v>
      </c>
      <c r="I50" s="102" t="s">
        <v>25894</v>
      </c>
      <c r="J50" s="23">
        <v>23</v>
      </c>
      <c r="K50" s="102" t="s">
        <v>25896</v>
      </c>
      <c r="L50" s="102" t="s">
        <v>25897</v>
      </c>
      <c r="M50" s="101">
        <v>15</v>
      </c>
      <c r="N50" s="23"/>
    </row>
    <row r="51" spans="2:14" ht="27.6" x14ac:dyDescent="0.25">
      <c r="B51" s="101" t="s">
        <v>1116</v>
      </c>
      <c r="C51" s="101" t="s">
        <v>25920</v>
      </c>
      <c r="D51" s="102" t="s">
        <v>25921</v>
      </c>
      <c r="E51" s="102" t="s">
        <v>25894</v>
      </c>
      <c r="F51" s="101">
        <v>2020</v>
      </c>
      <c r="G51" s="102" t="s">
        <v>25894</v>
      </c>
      <c r="H51" s="101" t="s">
        <v>1115</v>
      </c>
      <c r="I51" s="102" t="s">
        <v>25894</v>
      </c>
      <c r="J51" s="23">
        <v>3</v>
      </c>
      <c r="K51" s="102" t="s">
        <v>25896</v>
      </c>
      <c r="L51" s="102" t="s">
        <v>25897</v>
      </c>
      <c r="M51" s="101">
        <v>13</v>
      </c>
      <c r="N51" s="23"/>
    </row>
    <row r="52" spans="2:14" s="108" customFormat="1" ht="28.2" x14ac:dyDescent="0.3">
      <c r="B52" s="101" t="s">
        <v>813</v>
      </c>
      <c r="C52" s="101" t="s">
        <v>25900</v>
      </c>
      <c r="D52" s="103" t="s">
        <v>25901</v>
      </c>
      <c r="E52" s="102" t="s">
        <v>25894</v>
      </c>
      <c r="F52" s="101">
        <v>2020</v>
      </c>
      <c r="G52" s="102" t="s">
        <v>25894</v>
      </c>
      <c r="H52" s="101" t="s">
        <v>812</v>
      </c>
      <c r="I52" s="102" t="s">
        <v>25894</v>
      </c>
      <c r="J52" s="23">
        <v>7</v>
      </c>
      <c r="K52" s="102" t="s">
        <v>25896</v>
      </c>
      <c r="L52" s="102" t="s">
        <v>25897</v>
      </c>
      <c r="M52" s="101">
        <v>3</v>
      </c>
    </row>
    <row r="53" spans="2:14" x14ac:dyDescent="0.25">
      <c r="B53" s="101" t="s">
        <v>17707</v>
      </c>
      <c r="C53" s="23" t="s">
        <v>26005</v>
      </c>
      <c r="D53" s="101" t="s">
        <v>26021</v>
      </c>
      <c r="E53" s="102" t="s">
        <v>25894</v>
      </c>
      <c r="F53" s="101">
        <v>2021</v>
      </c>
      <c r="G53" s="102" t="s">
        <v>25894</v>
      </c>
      <c r="H53" s="101" t="s">
        <v>26004</v>
      </c>
      <c r="I53" s="102" t="s">
        <v>25894</v>
      </c>
      <c r="J53" s="101">
        <v>33</v>
      </c>
      <c r="K53" s="102" t="s">
        <v>25896</v>
      </c>
      <c r="L53" s="102" t="s">
        <v>25897</v>
      </c>
      <c r="M53" s="101">
        <v>64</v>
      </c>
      <c r="N53" s="23"/>
    </row>
    <row r="54" spans="2:14" ht="27.6" x14ac:dyDescent="0.25">
      <c r="B54" s="101" t="s">
        <v>17678</v>
      </c>
      <c r="C54" s="23" t="s">
        <v>26003</v>
      </c>
      <c r="D54" s="101" t="s">
        <v>26020</v>
      </c>
      <c r="E54" s="102" t="s">
        <v>25894</v>
      </c>
      <c r="F54" s="101">
        <v>2021</v>
      </c>
      <c r="G54" s="102" t="s">
        <v>25894</v>
      </c>
      <c r="H54" s="101" t="s">
        <v>17679</v>
      </c>
      <c r="I54" s="102" t="s">
        <v>25894</v>
      </c>
      <c r="J54" s="101">
        <v>5</v>
      </c>
      <c r="K54" s="102" t="s">
        <v>25896</v>
      </c>
      <c r="L54" s="102" t="s">
        <v>25897</v>
      </c>
      <c r="M54" s="101">
        <v>63</v>
      </c>
      <c r="N54" s="23"/>
    </row>
    <row r="55" spans="2:14" x14ac:dyDescent="0.25">
      <c r="B55" s="101" t="s">
        <v>1712</v>
      </c>
      <c r="C55" s="23" t="s">
        <v>26001</v>
      </c>
      <c r="D55" s="101" t="s">
        <v>26017</v>
      </c>
      <c r="E55" s="102" t="s">
        <v>25894</v>
      </c>
      <c r="F55" s="101">
        <v>2021</v>
      </c>
      <c r="G55" s="102" t="s">
        <v>25894</v>
      </c>
      <c r="H55" s="101" t="s">
        <v>17459</v>
      </c>
      <c r="I55" s="102" t="s">
        <v>25894</v>
      </c>
      <c r="J55" s="101">
        <v>12</v>
      </c>
      <c r="K55" s="102" t="s">
        <v>25896</v>
      </c>
      <c r="L55" s="102" t="s">
        <v>25897</v>
      </c>
      <c r="M55" s="101">
        <v>60</v>
      </c>
      <c r="N55" s="23"/>
    </row>
    <row r="56" spans="2:14" x14ac:dyDescent="0.25">
      <c r="B56" s="101" t="s">
        <v>10672</v>
      </c>
      <c r="C56" s="23" t="s">
        <v>26000</v>
      </c>
      <c r="D56" s="101" t="s">
        <v>26016</v>
      </c>
      <c r="E56" s="102" t="s">
        <v>25894</v>
      </c>
      <c r="F56" s="101">
        <v>2021</v>
      </c>
      <c r="G56" s="102" t="s">
        <v>25894</v>
      </c>
      <c r="H56" s="101" t="s">
        <v>10673</v>
      </c>
      <c r="I56" s="102" t="s">
        <v>25894</v>
      </c>
      <c r="J56" s="101">
        <v>7</v>
      </c>
      <c r="K56" s="102" t="s">
        <v>25896</v>
      </c>
      <c r="L56" s="102" t="s">
        <v>25897</v>
      </c>
      <c r="M56" s="101">
        <v>59</v>
      </c>
      <c r="N56" s="23"/>
    </row>
    <row r="57" spans="2:14" x14ac:dyDescent="0.25">
      <c r="B57" s="101" t="s">
        <v>10661</v>
      </c>
      <c r="C57" s="23" t="s">
        <v>25999</v>
      </c>
      <c r="D57" s="101" t="s">
        <v>26015</v>
      </c>
      <c r="E57" s="102" t="s">
        <v>25894</v>
      </c>
      <c r="F57" s="101">
        <v>2021</v>
      </c>
      <c r="G57" s="102" t="s">
        <v>25894</v>
      </c>
      <c r="H57" s="101" t="s">
        <v>10662</v>
      </c>
      <c r="I57" s="102" t="s">
        <v>25894</v>
      </c>
      <c r="J57" s="101">
        <v>10</v>
      </c>
      <c r="K57" s="102" t="s">
        <v>25896</v>
      </c>
      <c r="L57" s="102" t="s">
        <v>25897</v>
      </c>
      <c r="M57" s="101">
        <v>58</v>
      </c>
      <c r="N57" s="23"/>
    </row>
    <row r="58" spans="2:14" ht="27.6" x14ac:dyDescent="0.25">
      <c r="B58" s="101" t="s">
        <v>9701</v>
      </c>
      <c r="C58" s="23" t="s">
        <v>25997</v>
      </c>
      <c r="D58" s="101" t="s">
        <v>26013</v>
      </c>
      <c r="E58" s="102" t="s">
        <v>25894</v>
      </c>
      <c r="F58" s="101">
        <v>2021</v>
      </c>
      <c r="G58" s="102" t="s">
        <v>25894</v>
      </c>
      <c r="H58" s="101" t="s">
        <v>9702</v>
      </c>
      <c r="I58" s="102" t="s">
        <v>25894</v>
      </c>
      <c r="J58" s="101">
        <v>23</v>
      </c>
      <c r="K58" s="102" t="s">
        <v>25896</v>
      </c>
      <c r="L58" s="102" t="s">
        <v>25897</v>
      </c>
      <c r="M58" s="101">
        <v>56</v>
      </c>
      <c r="N58" s="23"/>
    </row>
    <row r="59" spans="2:14" ht="27.6" x14ac:dyDescent="0.25">
      <c r="B59" s="101" t="s">
        <v>9511</v>
      </c>
      <c r="C59" s="23" t="s">
        <v>25996</v>
      </c>
      <c r="D59" s="101" t="s">
        <v>26012</v>
      </c>
      <c r="E59" s="102" t="s">
        <v>25894</v>
      </c>
      <c r="F59" s="101">
        <v>2021</v>
      </c>
      <c r="G59" s="102" t="s">
        <v>25894</v>
      </c>
      <c r="H59" s="101" t="s">
        <v>9512</v>
      </c>
      <c r="I59" s="102" t="s">
        <v>25894</v>
      </c>
      <c r="J59" s="101">
        <v>15</v>
      </c>
      <c r="K59" s="102" t="s">
        <v>25896</v>
      </c>
      <c r="L59" s="102" t="s">
        <v>25897</v>
      </c>
      <c r="M59" s="101">
        <v>55</v>
      </c>
      <c r="N59" s="23"/>
    </row>
    <row r="60" spans="2:14" ht="27.6" x14ac:dyDescent="0.25">
      <c r="B60" s="101" t="s">
        <v>3088</v>
      </c>
      <c r="C60" s="23" t="s">
        <v>25993</v>
      </c>
      <c r="D60" s="101" t="s">
        <v>26009</v>
      </c>
      <c r="E60" s="102" t="s">
        <v>25894</v>
      </c>
      <c r="F60" s="101">
        <v>2021</v>
      </c>
      <c r="G60" s="102" t="s">
        <v>25894</v>
      </c>
      <c r="H60" s="101" t="s">
        <v>3089</v>
      </c>
      <c r="I60" s="102" t="s">
        <v>25894</v>
      </c>
      <c r="J60" s="101">
        <v>8</v>
      </c>
      <c r="K60" s="102" t="s">
        <v>25896</v>
      </c>
      <c r="L60" s="102" t="s">
        <v>25897</v>
      </c>
      <c r="M60" s="101">
        <v>52</v>
      </c>
      <c r="N60" s="23"/>
    </row>
    <row r="61" spans="2:14" x14ac:dyDescent="0.25">
      <c r="B61" s="101" t="s">
        <v>2243</v>
      </c>
      <c r="C61" s="23" t="s">
        <v>25992</v>
      </c>
      <c r="D61" s="101" t="s">
        <v>26008</v>
      </c>
      <c r="E61" s="102" t="s">
        <v>25894</v>
      </c>
      <c r="F61" s="101">
        <v>2021</v>
      </c>
      <c r="G61" s="102" t="s">
        <v>25894</v>
      </c>
      <c r="H61" s="101" t="s">
        <v>2244</v>
      </c>
      <c r="I61" s="102" t="s">
        <v>25894</v>
      </c>
      <c r="J61" s="101">
        <v>11</v>
      </c>
      <c r="K61" s="102" t="s">
        <v>25896</v>
      </c>
      <c r="L61" s="102" t="s">
        <v>25897</v>
      </c>
      <c r="M61" s="101">
        <v>51</v>
      </c>
      <c r="N61" s="23"/>
    </row>
    <row r="62" spans="2:14" ht="27.6" x14ac:dyDescent="0.25">
      <c r="B62" s="101" t="s">
        <v>1702</v>
      </c>
      <c r="C62" s="23" t="s">
        <v>25987</v>
      </c>
      <c r="D62" s="102" t="s">
        <v>25988</v>
      </c>
      <c r="E62" s="102" t="s">
        <v>25894</v>
      </c>
      <c r="F62" s="101">
        <v>2021</v>
      </c>
      <c r="G62" s="102" t="s">
        <v>25894</v>
      </c>
      <c r="H62" s="101" t="s">
        <v>1701</v>
      </c>
      <c r="I62" s="102" t="s">
        <v>25894</v>
      </c>
      <c r="J62" s="23">
        <v>14</v>
      </c>
      <c r="K62" s="102" t="s">
        <v>25896</v>
      </c>
      <c r="L62" s="102" t="s">
        <v>25897</v>
      </c>
      <c r="M62" s="101">
        <v>48</v>
      </c>
      <c r="N62" s="23"/>
    </row>
    <row r="63" spans="2:14" ht="27.6" x14ac:dyDescent="0.25">
      <c r="B63" s="101" t="s">
        <v>17815</v>
      </c>
      <c r="C63" s="23" t="s">
        <v>26006</v>
      </c>
      <c r="D63" s="101" t="s">
        <v>26022</v>
      </c>
      <c r="E63" s="102" t="s">
        <v>25894</v>
      </c>
      <c r="F63" s="101">
        <v>2022</v>
      </c>
      <c r="G63" s="102" t="s">
        <v>25894</v>
      </c>
      <c r="H63" s="101" t="s">
        <v>17816</v>
      </c>
      <c r="I63" s="102" t="s">
        <v>25894</v>
      </c>
      <c r="J63" s="101">
        <v>9</v>
      </c>
      <c r="K63" s="102" t="s">
        <v>25896</v>
      </c>
      <c r="L63" s="102" t="s">
        <v>25897</v>
      </c>
      <c r="M63" s="101">
        <v>65</v>
      </c>
      <c r="N63" s="23"/>
    </row>
    <row r="64" spans="2:14" x14ac:dyDescent="0.25">
      <c r="B64" s="101" t="s">
        <v>17618</v>
      </c>
      <c r="C64" s="23" t="s">
        <v>26002</v>
      </c>
      <c r="D64" s="101" t="s">
        <v>26019</v>
      </c>
      <c r="E64" s="102" t="s">
        <v>25894</v>
      </c>
      <c r="F64" s="101">
        <v>2022</v>
      </c>
      <c r="G64" s="102" t="s">
        <v>25894</v>
      </c>
      <c r="H64" s="101" t="s">
        <v>17619</v>
      </c>
      <c r="I64" s="102" t="s">
        <v>25894</v>
      </c>
      <c r="J64" s="101">
        <v>3</v>
      </c>
      <c r="K64" s="102" t="s">
        <v>25896</v>
      </c>
      <c r="L64" s="102" t="s">
        <v>25897</v>
      </c>
      <c r="M64" s="101">
        <v>62</v>
      </c>
      <c r="N64" s="23"/>
    </row>
    <row r="65" spans="2:14" ht="27.6" x14ac:dyDescent="0.25">
      <c r="B65" s="101" t="s">
        <v>17558</v>
      </c>
      <c r="C65" s="23" t="s">
        <v>25920</v>
      </c>
      <c r="D65" s="101" t="s">
        <v>26018</v>
      </c>
      <c r="E65" s="102" t="s">
        <v>25894</v>
      </c>
      <c r="F65" s="101">
        <v>2022</v>
      </c>
      <c r="G65" s="102" t="s">
        <v>25894</v>
      </c>
      <c r="H65" s="101" t="s">
        <v>17559</v>
      </c>
      <c r="I65" s="102" t="s">
        <v>25894</v>
      </c>
      <c r="J65" s="101">
        <v>16</v>
      </c>
      <c r="K65" s="102" t="s">
        <v>25896</v>
      </c>
      <c r="L65" s="102" t="s">
        <v>25897</v>
      </c>
      <c r="M65" s="101">
        <v>61</v>
      </c>
      <c r="N65" s="23"/>
    </row>
    <row r="66" spans="2:14" ht="27.6" x14ac:dyDescent="0.25">
      <c r="B66" s="101" t="s">
        <v>9919</v>
      </c>
      <c r="C66" s="23" t="s">
        <v>25998</v>
      </c>
      <c r="D66" s="101" t="s">
        <v>26014</v>
      </c>
      <c r="E66" s="102" t="s">
        <v>25894</v>
      </c>
      <c r="F66" s="101">
        <v>2022</v>
      </c>
      <c r="G66" s="102" t="s">
        <v>25894</v>
      </c>
      <c r="H66" s="101" t="s">
        <v>9920</v>
      </c>
      <c r="I66" s="102" t="s">
        <v>25894</v>
      </c>
      <c r="J66" s="101">
        <v>42</v>
      </c>
      <c r="K66" s="102" t="s">
        <v>25896</v>
      </c>
      <c r="L66" s="102" t="s">
        <v>25897</v>
      </c>
      <c r="M66" s="101">
        <v>57</v>
      </c>
      <c r="N66" s="23"/>
    </row>
    <row r="67" spans="2:14" x14ac:dyDescent="0.25">
      <c r="B67" s="101" t="s">
        <v>9236</v>
      </c>
      <c r="C67" s="23" t="s">
        <v>25995</v>
      </c>
      <c r="D67" s="101" t="s">
        <v>26011</v>
      </c>
      <c r="E67" s="102" t="s">
        <v>25894</v>
      </c>
      <c r="F67" s="101">
        <v>2022</v>
      </c>
      <c r="G67" s="102" t="s">
        <v>25894</v>
      </c>
      <c r="H67" s="101" t="s">
        <v>9237</v>
      </c>
      <c r="I67" s="102" t="s">
        <v>25894</v>
      </c>
      <c r="J67" s="101">
        <v>4</v>
      </c>
      <c r="K67" s="102" t="s">
        <v>25896</v>
      </c>
      <c r="L67" s="102" t="s">
        <v>25897</v>
      </c>
      <c r="M67" s="101">
        <v>54</v>
      </c>
      <c r="N67" s="23"/>
    </row>
    <row r="68" spans="2:14" ht="27.6" x14ac:dyDescent="0.25">
      <c r="B68" s="101" t="s">
        <v>1973</v>
      </c>
      <c r="C68" s="23" t="s">
        <v>25991</v>
      </c>
      <c r="D68" s="101" t="s">
        <v>26007</v>
      </c>
      <c r="E68" s="102" t="s">
        <v>25894</v>
      </c>
      <c r="F68" s="101">
        <v>2022</v>
      </c>
      <c r="G68" s="102" t="s">
        <v>25894</v>
      </c>
      <c r="H68" s="101" t="s">
        <v>1974</v>
      </c>
      <c r="I68" s="102" t="s">
        <v>25894</v>
      </c>
      <c r="J68" s="101">
        <v>8</v>
      </c>
      <c r="K68" s="102" t="s">
        <v>25896</v>
      </c>
      <c r="L68" s="102" t="s">
        <v>25897</v>
      </c>
      <c r="M68" s="101">
        <v>50</v>
      </c>
      <c r="N68" s="23"/>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666FE-D826-42E4-828F-3165D8DD9919}">
  <dimension ref="A1:U321"/>
  <sheetViews>
    <sheetView showGridLines="0" zoomScale="70" zoomScaleNormal="70" workbookViewId="0">
      <selection activeCell="H20" sqref="H20"/>
    </sheetView>
  </sheetViews>
  <sheetFormatPr defaultColWidth="8.88671875" defaultRowHeight="13.8" x14ac:dyDescent="0.25"/>
  <cols>
    <col min="1" max="1" width="33.33203125" style="23" customWidth="1"/>
    <col min="2" max="2" width="21.5546875" style="23" bestFit="1" customWidth="1"/>
    <col min="3" max="19" width="8.88671875" style="23"/>
    <col min="20" max="20" width="77.33203125" style="23" bestFit="1" customWidth="1"/>
    <col min="21" max="16384" width="8.88671875" style="23"/>
  </cols>
  <sheetData>
    <row r="1" spans="1:21" x14ac:dyDescent="0.25">
      <c r="A1" s="23" t="s">
        <v>26044</v>
      </c>
      <c r="B1" s="23" t="s">
        <v>11</v>
      </c>
      <c r="T1" s="112">
        <v>2022</v>
      </c>
      <c r="U1" s="112" t="s">
        <v>26045</v>
      </c>
    </row>
    <row r="2" spans="1:21" ht="14.4" x14ac:dyDescent="0.3">
      <c r="A2" s="23" t="s">
        <v>420</v>
      </c>
      <c r="B2" s="110">
        <v>0.20833333333333334</v>
      </c>
      <c r="S2" s="23">
        <v>14</v>
      </c>
      <c r="T2" s="112" t="s">
        <v>369</v>
      </c>
      <c r="U2" s="113">
        <v>0.18461538461538463</v>
      </c>
    </row>
    <row r="3" spans="1:21" ht="14.4" x14ac:dyDescent="0.3">
      <c r="A3" s="23" t="s">
        <v>369</v>
      </c>
      <c r="B3" s="110">
        <v>0.22916666666666666</v>
      </c>
      <c r="S3" s="23">
        <v>11</v>
      </c>
      <c r="T3" s="112" t="s">
        <v>354</v>
      </c>
      <c r="U3" s="113">
        <v>0.2153846153846154</v>
      </c>
    </row>
    <row r="4" spans="1:21" ht="14.4" x14ac:dyDescent="0.3">
      <c r="A4" s="23" t="s">
        <v>356</v>
      </c>
      <c r="B4" s="110">
        <v>0.22916666666666666</v>
      </c>
      <c r="S4" s="23">
        <v>12</v>
      </c>
      <c r="T4" s="112" t="s">
        <v>356</v>
      </c>
      <c r="U4" s="113">
        <v>0.2153846153846154</v>
      </c>
    </row>
    <row r="5" spans="1:21" ht="14.4" x14ac:dyDescent="0.3">
      <c r="A5" s="23" t="s">
        <v>354</v>
      </c>
      <c r="B5" s="110">
        <v>0.25</v>
      </c>
      <c r="S5" s="23">
        <v>13</v>
      </c>
      <c r="T5" s="112" t="s">
        <v>420</v>
      </c>
      <c r="U5" s="113">
        <v>0.2153846153846154</v>
      </c>
    </row>
    <row r="6" spans="1:21" ht="14.4" x14ac:dyDescent="0.3">
      <c r="A6" s="23" t="s">
        <v>408</v>
      </c>
      <c r="B6" s="110">
        <v>0.29166666666666669</v>
      </c>
      <c r="S6" s="23">
        <v>9</v>
      </c>
      <c r="T6" s="112" t="s">
        <v>358</v>
      </c>
      <c r="U6" s="113">
        <v>0.24615384615384617</v>
      </c>
    </row>
    <row r="7" spans="1:21" ht="14.4" x14ac:dyDescent="0.3">
      <c r="A7" s="23" t="s">
        <v>358</v>
      </c>
      <c r="B7" s="110">
        <v>0.29166666666666669</v>
      </c>
      <c r="S7" s="23">
        <v>10</v>
      </c>
      <c r="T7" s="112" t="s">
        <v>408</v>
      </c>
      <c r="U7" s="113">
        <v>0.24615384615384617</v>
      </c>
    </row>
    <row r="8" spans="1:21" ht="14.4" x14ac:dyDescent="0.3">
      <c r="A8" s="23" t="s">
        <v>362</v>
      </c>
      <c r="B8" s="110">
        <v>0.33333333333333331</v>
      </c>
      <c r="S8" s="23">
        <v>7</v>
      </c>
      <c r="T8" s="112" t="s">
        <v>348</v>
      </c>
      <c r="U8" s="113">
        <v>0.29230769230769232</v>
      </c>
    </row>
    <row r="9" spans="1:21" ht="14.4" x14ac:dyDescent="0.3">
      <c r="A9" s="23" t="s">
        <v>348</v>
      </c>
      <c r="B9" s="110">
        <v>0.33333333333333331</v>
      </c>
      <c r="S9" s="23">
        <v>8</v>
      </c>
      <c r="T9" s="112" t="s">
        <v>16874</v>
      </c>
      <c r="U9" s="113">
        <v>0.29230769230769232</v>
      </c>
    </row>
    <row r="10" spans="1:21" ht="14.4" x14ac:dyDescent="0.3">
      <c r="A10" s="23" t="s">
        <v>350</v>
      </c>
      <c r="B10" s="110">
        <v>0.375</v>
      </c>
      <c r="S10" s="23">
        <v>6</v>
      </c>
      <c r="T10" s="112" t="s">
        <v>362</v>
      </c>
      <c r="U10" s="113">
        <v>0.30769230769230771</v>
      </c>
    </row>
    <row r="11" spans="1:21" ht="14.4" x14ac:dyDescent="0.3">
      <c r="A11" s="23" t="s">
        <v>367</v>
      </c>
      <c r="B11" s="110">
        <v>0.375</v>
      </c>
      <c r="S11" s="23">
        <v>5</v>
      </c>
      <c r="T11" s="112" t="s">
        <v>350</v>
      </c>
      <c r="U11" s="113">
        <v>0.33846153846153848</v>
      </c>
    </row>
    <row r="12" spans="1:21" ht="14.4" x14ac:dyDescent="0.3">
      <c r="A12" s="23" t="s">
        <v>363</v>
      </c>
      <c r="B12" s="110">
        <v>0.45833333333333331</v>
      </c>
      <c r="S12" s="23">
        <v>4</v>
      </c>
      <c r="T12" s="112" t="s">
        <v>363</v>
      </c>
      <c r="U12" s="113">
        <v>0.4</v>
      </c>
    </row>
    <row r="13" spans="1:21" ht="14.4" x14ac:dyDescent="0.3">
      <c r="A13" s="23" t="s">
        <v>353</v>
      </c>
      <c r="B13" s="110">
        <v>0.47916666666666669</v>
      </c>
      <c r="S13" s="23">
        <v>3</v>
      </c>
      <c r="T13" s="112" t="s">
        <v>349</v>
      </c>
      <c r="U13" s="113">
        <v>0.41538461538461541</v>
      </c>
    </row>
    <row r="14" spans="1:21" ht="14.4" x14ac:dyDescent="0.3">
      <c r="A14" s="23" t="s">
        <v>349</v>
      </c>
      <c r="B14" s="110">
        <v>0.47916666666666669</v>
      </c>
      <c r="S14" s="23">
        <v>2</v>
      </c>
      <c r="T14" s="112" t="s">
        <v>353</v>
      </c>
      <c r="U14" s="113">
        <v>0.43076923076923079</v>
      </c>
    </row>
    <row r="15" spans="1:21" ht="14.4" x14ac:dyDescent="0.3">
      <c r="A15" s="23" t="s">
        <v>347</v>
      </c>
      <c r="B15" s="110">
        <v>0.60416666666666663</v>
      </c>
      <c r="S15" s="23">
        <v>1</v>
      </c>
      <c r="T15" s="112" t="s">
        <v>347</v>
      </c>
      <c r="U15" s="113">
        <v>0.50769230769230766</v>
      </c>
    </row>
    <row r="16" spans="1:21" ht="14.4" x14ac:dyDescent="0.3">
      <c r="B16" s="108"/>
      <c r="U16" s="111"/>
    </row>
    <row r="17" spans="1:21" ht="14.4" x14ac:dyDescent="0.3">
      <c r="A17" s="23" t="s">
        <v>365</v>
      </c>
      <c r="B17" s="108">
        <v>0.1875</v>
      </c>
      <c r="T17" s="23" t="s">
        <v>355</v>
      </c>
      <c r="U17" s="111">
        <v>0.15384615384615385</v>
      </c>
    </row>
    <row r="18" spans="1:21" ht="14.4" x14ac:dyDescent="0.3">
      <c r="A18" s="23" t="s">
        <v>407</v>
      </c>
      <c r="B18" s="108">
        <v>0.1875</v>
      </c>
      <c r="T18" s="23" t="s">
        <v>365</v>
      </c>
      <c r="U18" s="111">
        <v>0.15384615384615385</v>
      </c>
    </row>
    <row r="19" spans="1:21" ht="14.4" x14ac:dyDescent="0.3">
      <c r="A19" s="23" t="s">
        <v>403</v>
      </c>
      <c r="B19" s="108">
        <v>0.16666666666666666</v>
      </c>
      <c r="T19" s="23" t="s">
        <v>403</v>
      </c>
      <c r="U19" s="111">
        <v>0.15384615384615385</v>
      </c>
    </row>
    <row r="20" spans="1:21" ht="14.4" x14ac:dyDescent="0.3">
      <c r="A20" s="23" t="s">
        <v>535</v>
      </c>
      <c r="B20" s="108">
        <v>0.16666666666666666</v>
      </c>
      <c r="T20" s="23" t="s">
        <v>535</v>
      </c>
      <c r="U20" s="111">
        <v>0.15384615384615385</v>
      </c>
    </row>
    <row r="21" spans="1:21" ht="14.4" x14ac:dyDescent="0.3">
      <c r="A21" s="23" t="s">
        <v>355</v>
      </c>
      <c r="B21" s="108">
        <v>0.14583333333333334</v>
      </c>
      <c r="T21" s="23" t="s">
        <v>390</v>
      </c>
      <c r="U21" s="111">
        <v>0.13846153846153847</v>
      </c>
    </row>
    <row r="22" spans="1:21" ht="14.4" x14ac:dyDescent="0.3">
      <c r="A22" s="23" t="s">
        <v>390</v>
      </c>
      <c r="B22" s="108">
        <v>0.14583333333333334</v>
      </c>
      <c r="T22" s="23" t="s">
        <v>400</v>
      </c>
      <c r="U22" s="111">
        <v>0.13846153846153847</v>
      </c>
    </row>
    <row r="23" spans="1:21" ht="14.4" x14ac:dyDescent="0.3">
      <c r="A23" s="23" t="s">
        <v>393</v>
      </c>
      <c r="B23" s="108">
        <v>0.14583333333333334</v>
      </c>
      <c r="T23" s="23" t="s">
        <v>407</v>
      </c>
      <c r="U23" s="111">
        <v>0.13846153846153847</v>
      </c>
    </row>
    <row r="24" spans="1:21" ht="14.4" x14ac:dyDescent="0.3">
      <c r="A24" s="23" t="s">
        <v>546</v>
      </c>
      <c r="B24" s="108">
        <v>0.14583333333333334</v>
      </c>
      <c r="T24" s="23" t="s">
        <v>546</v>
      </c>
      <c r="U24" s="111">
        <v>0.13846153846153847</v>
      </c>
    </row>
    <row r="25" spans="1:21" ht="14.4" x14ac:dyDescent="0.3">
      <c r="A25" s="23" t="s">
        <v>371</v>
      </c>
      <c r="B25" s="108">
        <v>0.125</v>
      </c>
      <c r="T25" s="23" t="s">
        <v>16922</v>
      </c>
      <c r="U25" s="111">
        <v>0.12307692307692308</v>
      </c>
    </row>
    <row r="26" spans="1:21" ht="14.4" x14ac:dyDescent="0.3">
      <c r="A26" s="23" t="s">
        <v>394</v>
      </c>
      <c r="B26" s="108">
        <v>0.125</v>
      </c>
      <c r="T26" s="23" t="s">
        <v>394</v>
      </c>
      <c r="U26" s="111">
        <v>0.1076923076923077</v>
      </c>
    </row>
    <row r="27" spans="1:21" ht="14.4" x14ac:dyDescent="0.3">
      <c r="A27" s="23" t="s">
        <v>397</v>
      </c>
      <c r="B27" s="108">
        <v>0.125</v>
      </c>
      <c r="T27" s="23" t="s">
        <v>397</v>
      </c>
      <c r="U27" s="111">
        <v>0.1076923076923077</v>
      </c>
    </row>
    <row r="28" spans="1:21" ht="14.4" x14ac:dyDescent="0.3">
      <c r="A28" s="23" t="s">
        <v>400</v>
      </c>
      <c r="B28" s="108">
        <v>0.125</v>
      </c>
      <c r="T28" s="23" t="s">
        <v>409</v>
      </c>
      <c r="U28" s="111">
        <v>0.1076923076923077</v>
      </c>
    </row>
    <row r="29" spans="1:21" ht="14.4" x14ac:dyDescent="0.3">
      <c r="A29" s="23" t="s">
        <v>401</v>
      </c>
      <c r="B29" s="108">
        <v>0.125</v>
      </c>
      <c r="T29" s="23" t="s">
        <v>431</v>
      </c>
      <c r="U29" s="111">
        <v>0.1076923076923077</v>
      </c>
    </row>
    <row r="30" spans="1:21" ht="14.4" x14ac:dyDescent="0.3">
      <c r="A30" s="23" t="s">
        <v>406</v>
      </c>
      <c r="B30" s="108">
        <v>0.125</v>
      </c>
      <c r="T30" s="23" t="s">
        <v>450</v>
      </c>
      <c r="U30" s="111">
        <v>0.1076923076923077</v>
      </c>
    </row>
    <row r="31" spans="1:21" ht="14.4" x14ac:dyDescent="0.3">
      <c r="A31" s="23" t="s">
        <v>416</v>
      </c>
      <c r="B31" s="108">
        <v>0.125</v>
      </c>
      <c r="T31" s="23" t="s">
        <v>536</v>
      </c>
      <c r="U31" s="111">
        <v>0.1076923076923077</v>
      </c>
    </row>
    <row r="32" spans="1:21" ht="14.4" x14ac:dyDescent="0.3">
      <c r="A32" s="23" t="s">
        <v>417</v>
      </c>
      <c r="B32" s="108">
        <v>0.125</v>
      </c>
      <c r="T32" s="23" t="s">
        <v>364</v>
      </c>
      <c r="U32" s="111">
        <v>9.2307692307692313E-2</v>
      </c>
    </row>
    <row r="33" spans="1:21" ht="14.4" x14ac:dyDescent="0.3">
      <c r="A33" s="23" t="s">
        <v>536</v>
      </c>
      <c r="B33" s="108">
        <v>0.125</v>
      </c>
      <c r="T33" s="23" t="s">
        <v>368</v>
      </c>
      <c r="U33" s="111">
        <v>9.2307692307692313E-2</v>
      </c>
    </row>
    <row r="34" spans="1:21" ht="14.4" x14ac:dyDescent="0.3">
      <c r="A34" s="23" t="s">
        <v>352</v>
      </c>
      <c r="B34" s="108">
        <v>0.10416666666666667</v>
      </c>
      <c r="T34" s="23" t="s">
        <v>371</v>
      </c>
      <c r="U34" s="111">
        <v>9.2307692307692313E-2</v>
      </c>
    </row>
    <row r="35" spans="1:21" ht="14.4" x14ac:dyDescent="0.3">
      <c r="A35" s="23" t="s">
        <v>368</v>
      </c>
      <c r="B35" s="108">
        <v>0.10416666666666667</v>
      </c>
      <c r="T35" s="23" t="s">
        <v>372</v>
      </c>
      <c r="U35" s="111">
        <v>9.2307692307692313E-2</v>
      </c>
    </row>
    <row r="36" spans="1:21" ht="14.4" x14ac:dyDescent="0.3">
      <c r="A36" s="23" t="s">
        <v>409</v>
      </c>
      <c r="B36" s="108">
        <v>0.10416666666666667</v>
      </c>
      <c r="T36" s="23" t="s">
        <v>401</v>
      </c>
      <c r="U36" s="111">
        <v>9.2307692307692313E-2</v>
      </c>
    </row>
    <row r="37" spans="1:21" ht="14.4" x14ac:dyDescent="0.3">
      <c r="A37" s="23" t="s">
        <v>450</v>
      </c>
      <c r="B37" s="108">
        <v>0.10416666666666667</v>
      </c>
      <c r="T37" s="23" t="s">
        <v>406</v>
      </c>
      <c r="U37" s="111">
        <v>9.2307692307692313E-2</v>
      </c>
    </row>
    <row r="38" spans="1:21" ht="14.4" x14ac:dyDescent="0.3">
      <c r="A38" s="23" t="s">
        <v>489</v>
      </c>
      <c r="B38" s="108">
        <v>0.10416666666666667</v>
      </c>
      <c r="T38" s="23" t="s">
        <v>411</v>
      </c>
      <c r="U38" s="111">
        <v>9.2307692307692313E-2</v>
      </c>
    </row>
    <row r="39" spans="1:21" ht="14.4" x14ac:dyDescent="0.3">
      <c r="A39" s="23" t="s">
        <v>497</v>
      </c>
      <c r="B39" s="108">
        <v>0.10416666666666667</v>
      </c>
      <c r="T39" s="23" t="s">
        <v>415</v>
      </c>
      <c r="U39" s="111">
        <v>9.2307692307692313E-2</v>
      </c>
    </row>
    <row r="40" spans="1:21" ht="14.4" x14ac:dyDescent="0.3">
      <c r="A40" s="23" t="s">
        <v>556</v>
      </c>
      <c r="B40" s="108">
        <v>0.10416666666666667</v>
      </c>
      <c r="T40" s="23" t="s">
        <v>416</v>
      </c>
      <c r="U40" s="111">
        <v>9.2307692307692313E-2</v>
      </c>
    </row>
    <row r="41" spans="1:21" ht="14.4" x14ac:dyDescent="0.3">
      <c r="A41" s="23" t="s">
        <v>577</v>
      </c>
      <c r="B41" s="108">
        <v>0.10416666666666667</v>
      </c>
      <c r="T41" s="23" t="s">
        <v>16987</v>
      </c>
      <c r="U41" s="111">
        <v>9.2307692307692313E-2</v>
      </c>
    </row>
    <row r="42" spans="1:21" ht="14.4" x14ac:dyDescent="0.3">
      <c r="A42" s="23" t="s">
        <v>591</v>
      </c>
      <c r="B42" s="108">
        <v>0.10416666666666667</v>
      </c>
      <c r="T42" s="23" t="s">
        <v>471</v>
      </c>
      <c r="U42" s="111">
        <v>9.2307692307692313E-2</v>
      </c>
    </row>
    <row r="43" spans="1:21" ht="14.4" x14ac:dyDescent="0.3">
      <c r="A43" s="23" t="s">
        <v>357</v>
      </c>
      <c r="B43" s="108">
        <v>8.3333333333333329E-2</v>
      </c>
      <c r="T43" s="23" t="s">
        <v>497</v>
      </c>
      <c r="U43" s="111">
        <v>9.2307692307692313E-2</v>
      </c>
    </row>
    <row r="44" spans="1:21" ht="14.4" x14ac:dyDescent="0.3">
      <c r="A44" s="23" t="s">
        <v>364</v>
      </c>
      <c r="B44" s="108">
        <v>8.3333333333333329E-2</v>
      </c>
      <c r="T44" s="23" t="s">
        <v>552</v>
      </c>
      <c r="U44" s="111">
        <v>9.2307692307692313E-2</v>
      </c>
    </row>
    <row r="45" spans="1:21" ht="14.4" x14ac:dyDescent="0.3">
      <c r="A45" s="23" t="s">
        <v>372</v>
      </c>
      <c r="B45" s="108">
        <v>8.3333333333333329E-2</v>
      </c>
      <c r="T45" s="23" t="s">
        <v>556</v>
      </c>
      <c r="U45" s="111">
        <v>9.2307692307692313E-2</v>
      </c>
    </row>
    <row r="46" spans="1:21" ht="14.4" x14ac:dyDescent="0.3">
      <c r="A46" s="23" t="s">
        <v>399</v>
      </c>
      <c r="B46" s="108">
        <v>8.3333333333333329E-2</v>
      </c>
      <c r="T46" s="23" t="s">
        <v>577</v>
      </c>
      <c r="U46" s="111">
        <v>9.2307692307692313E-2</v>
      </c>
    </row>
    <row r="47" spans="1:21" ht="14.4" x14ac:dyDescent="0.3">
      <c r="A47" s="23" t="s">
        <v>402</v>
      </c>
      <c r="B47" s="108">
        <v>8.3333333333333329E-2</v>
      </c>
      <c r="T47" s="23" t="s">
        <v>17362</v>
      </c>
      <c r="U47" s="111">
        <v>9.2307692307692313E-2</v>
      </c>
    </row>
    <row r="48" spans="1:21" ht="14.4" x14ac:dyDescent="0.3">
      <c r="A48" s="23" t="s">
        <v>411</v>
      </c>
      <c r="B48" s="108">
        <v>8.3333333333333329E-2</v>
      </c>
      <c r="T48" s="23" t="s">
        <v>352</v>
      </c>
      <c r="U48" s="111">
        <v>7.6923076923076927E-2</v>
      </c>
    </row>
    <row r="49" spans="1:21" ht="14.4" x14ac:dyDescent="0.3">
      <c r="A49" s="23" t="s">
        <v>429</v>
      </c>
      <c r="B49" s="108">
        <v>8.3333333333333329E-2</v>
      </c>
      <c r="T49" s="23" t="s">
        <v>357</v>
      </c>
      <c r="U49" s="111">
        <v>7.6923076923076927E-2</v>
      </c>
    </row>
    <row r="50" spans="1:21" ht="14.4" x14ac:dyDescent="0.3">
      <c r="A50" s="23" t="s">
        <v>435</v>
      </c>
      <c r="B50" s="108">
        <v>8.3333333333333329E-2</v>
      </c>
      <c r="T50" s="23" t="s">
        <v>17361</v>
      </c>
      <c r="U50" s="111">
        <v>7.6923076923076927E-2</v>
      </c>
    </row>
    <row r="51" spans="1:21" ht="14.4" x14ac:dyDescent="0.3">
      <c r="A51" s="23" t="s">
        <v>476</v>
      </c>
      <c r="B51" s="108">
        <v>8.3333333333333329E-2</v>
      </c>
      <c r="T51" s="23" t="s">
        <v>25586</v>
      </c>
      <c r="U51" s="111">
        <v>7.6923076923076927E-2</v>
      </c>
    </row>
    <row r="52" spans="1:21" ht="14.4" x14ac:dyDescent="0.3">
      <c r="A52" s="23" t="s">
        <v>487</v>
      </c>
      <c r="B52" s="108">
        <v>8.3333333333333329E-2</v>
      </c>
      <c r="T52" s="23" t="s">
        <v>461</v>
      </c>
      <c r="U52" s="111">
        <v>7.6923076923076927E-2</v>
      </c>
    </row>
    <row r="53" spans="1:21" ht="14.4" x14ac:dyDescent="0.3">
      <c r="A53" s="23" t="s">
        <v>491</v>
      </c>
      <c r="B53" s="108">
        <v>8.3333333333333329E-2</v>
      </c>
      <c r="T53" s="23" t="s">
        <v>17345</v>
      </c>
      <c r="U53" s="111">
        <v>7.6923076923076927E-2</v>
      </c>
    </row>
    <row r="54" spans="1:21" ht="14.4" x14ac:dyDescent="0.3">
      <c r="A54" s="23" t="s">
        <v>552</v>
      </c>
      <c r="B54" s="108">
        <v>8.3333333333333329E-2</v>
      </c>
      <c r="T54" s="23" t="s">
        <v>487</v>
      </c>
      <c r="U54" s="111">
        <v>7.6923076923076927E-2</v>
      </c>
    </row>
    <row r="55" spans="1:21" ht="14.4" x14ac:dyDescent="0.3">
      <c r="A55" s="23" t="s">
        <v>578</v>
      </c>
      <c r="B55" s="108">
        <v>8.3333333333333329E-2</v>
      </c>
      <c r="T55" s="23" t="s">
        <v>489</v>
      </c>
      <c r="U55" s="111">
        <v>7.6923076923076927E-2</v>
      </c>
    </row>
    <row r="56" spans="1:21" ht="14.4" x14ac:dyDescent="0.3">
      <c r="A56" s="23" t="s">
        <v>620</v>
      </c>
      <c r="B56" s="108">
        <v>8.3333333333333329E-2</v>
      </c>
      <c r="T56" s="23" t="s">
        <v>17114</v>
      </c>
      <c r="U56" s="111">
        <v>7.6923076923076927E-2</v>
      </c>
    </row>
    <row r="57" spans="1:21" ht="14.4" x14ac:dyDescent="0.3">
      <c r="A57" s="23" t="s">
        <v>370</v>
      </c>
      <c r="B57" s="108">
        <v>6.25E-2</v>
      </c>
      <c r="T57" s="23" t="s">
        <v>502</v>
      </c>
      <c r="U57" s="111">
        <v>7.6923076923076927E-2</v>
      </c>
    </row>
    <row r="58" spans="1:21" ht="14.4" x14ac:dyDescent="0.3">
      <c r="A58" s="23" t="s">
        <v>373</v>
      </c>
      <c r="B58" s="108">
        <v>6.25E-2</v>
      </c>
      <c r="T58" s="23" t="s">
        <v>513</v>
      </c>
      <c r="U58" s="111">
        <v>7.6923076923076927E-2</v>
      </c>
    </row>
    <row r="59" spans="1:21" ht="14.4" x14ac:dyDescent="0.3">
      <c r="A59" s="23" t="s">
        <v>392</v>
      </c>
      <c r="B59" s="108">
        <v>6.25E-2</v>
      </c>
      <c r="T59" s="23" t="s">
        <v>549</v>
      </c>
      <c r="U59" s="111">
        <v>7.6923076923076927E-2</v>
      </c>
    </row>
    <row r="60" spans="1:21" ht="14.4" x14ac:dyDescent="0.3">
      <c r="A60" s="23" t="s">
        <v>398</v>
      </c>
      <c r="B60" s="108">
        <v>6.25E-2</v>
      </c>
      <c r="T60" s="23" t="s">
        <v>550</v>
      </c>
      <c r="U60" s="111">
        <v>7.6923076923076927E-2</v>
      </c>
    </row>
    <row r="61" spans="1:21" ht="14.4" x14ac:dyDescent="0.3">
      <c r="A61" s="23" t="s">
        <v>404</v>
      </c>
      <c r="B61" s="108">
        <v>6.25E-2</v>
      </c>
      <c r="T61" s="23" t="s">
        <v>582</v>
      </c>
      <c r="U61" s="111">
        <v>7.6923076923076927E-2</v>
      </c>
    </row>
    <row r="62" spans="1:21" ht="14.4" x14ac:dyDescent="0.3">
      <c r="A62" s="23" t="s">
        <v>415</v>
      </c>
      <c r="B62" s="108">
        <v>6.25E-2</v>
      </c>
      <c r="T62" s="23" t="s">
        <v>586</v>
      </c>
      <c r="U62" s="111">
        <v>7.6923076923076927E-2</v>
      </c>
    </row>
    <row r="63" spans="1:21" ht="14.4" x14ac:dyDescent="0.3">
      <c r="A63" s="23" t="s">
        <v>418</v>
      </c>
      <c r="B63" s="108">
        <v>6.25E-2</v>
      </c>
      <c r="T63" s="23" t="s">
        <v>620</v>
      </c>
      <c r="U63" s="111">
        <v>7.6923076923076927E-2</v>
      </c>
    </row>
    <row r="64" spans="1:21" ht="14.4" x14ac:dyDescent="0.3">
      <c r="A64" s="23" t="s">
        <v>422</v>
      </c>
      <c r="B64" s="108">
        <v>6.25E-2</v>
      </c>
      <c r="T64" s="23" t="s">
        <v>366</v>
      </c>
      <c r="U64" s="111">
        <v>6.1538461538461542E-2</v>
      </c>
    </row>
    <row r="65" spans="1:21" ht="14.4" x14ac:dyDescent="0.3">
      <c r="A65" s="23" t="s">
        <v>431</v>
      </c>
      <c r="B65" s="108">
        <v>6.25E-2</v>
      </c>
      <c r="T65" s="23" t="s">
        <v>373</v>
      </c>
      <c r="U65" s="111">
        <v>6.1538461538461542E-2</v>
      </c>
    </row>
    <row r="66" spans="1:21" ht="14.4" x14ac:dyDescent="0.3">
      <c r="A66" s="23" t="s">
        <v>443</v>
      </c>
      <c r="B66" s="108">
        <v>6.25E-2</v>
      </c>
      <c r="T66" s="23" t="s">
        <v>399</v>
      </c>
      <c r="U66" s="111">
        <v>6.1538461538461542E-2</v>
      </c>
    </row>
    <row r="67" spans="1:21" ht="14.4" x14ac:dyDescent="0.3">
      <c r="A67" s="23" t="s">
        <v>449</v>
      </c>
      <c r="B67" s="108">
        <v>6.25E-2</v>
      </c>
      <c r="T67" s="23" t="s">
        <v>402</v>
      </c>
      <c r="U67" s="111">
        <v>6.1538461538461542E-2</v>
      </c>
    </row>
    <row r="68" spans="1:21" ht="14.4" x14ac:dyDescent="0.3">
      <c r="A68" s="23" t="s">
        <v>453</v>
      </c>
      <c r="B68" s="108">
        <v>6.25E-2</v>
      </c>
      <c r="T68" s="23" t="s">
        <v>404</v>
      </c>
      <c r="U68" s="111">
        <v>6.1538461538461542E-2</v>
      </c>
    </row>
    <row r="69" spans="1:21" ht="14.4" x14ac:dyDescent="0.3">
      <c r="A69" s="23" t="s">
        <v>460</v>
      </c>
      <c r="B69" s="108">
        <v>6.25E-2</v>
      </c>
      <c r="T69" s="23" t="s">
        <v>422</v>
      </c>
      <c r="U69" s="111">
        <v>6.1538461538461542E-2</v>
      </c>
    </row>
    <row r="70" spans="1:21" ht="14.4" x14ac:dyDescent="0.3">
      <c r="A70" s="23" t="s">
        <v>461</v>
      </c>
      <c r="B70" s="108">
        <v>6.25E-2</v>
      </c>
      <c r="T70" s="23" t="s">
        <v>433</v>
      </c>
      <c r="U70" s="111">
        <v>6.1538461538461542E-2</v>
      </c>
    </row>
    <row r="71" spans="1:21" ht="14.4" x14ac:dyDescent="0.3">
      <c r="A71" s="23" t="s">
        <v>466</v>
      </c>
      <c r="B71" s="108">
        <v>6.25E-2</v>
      </c>
      <c r="T71" s="23" t="s">
        <v>435</v>
      </c>
      <c r="U71" s="111">
        <v>6.1538461538461542E-2</v>
      </c>
    </row>
    <row r="72" spans="1:21" ht="14.4" x14ac:dyDescent="0.3">
      <c r="A72" s="23" t="s">
        <v>470</v>
      </c>
      <c r="B72" s="108">
        <v>6.25E-2</v>
      </c>
      <c r="T72" s="23" t="s">
        <v>449</v>
      </c>
      <c r="U72" s="111">
        <v>6.1538461538461542E-2</v>
      </c>
    </row>
    <row r="73" spans="1:21" ht="14.4" x14ac:dyDescent="0.3">
      <c r="A73" s="23" t="s">
        <v>471</v>
      </c>
      <c r="B73" s="108">
        <v>6.25E-2</v>
      </c>
      <c r="T73" s="23" t="s">
        <v>452</v>
      </c>
      <c r="U73" s="111">
        <v>6.1538461538461542E-2</v>
      </c>
    </row>
    <row r="74" spans="1:21" ht="14.4" x14ac:dyDescent="0.3">
      <c r="A74" s="23" t="s">
        <v>472</v>
      </c>
      <c r="B74" s="108">
        <v>6.25E-2</v>
      </c>
      <c r="T74" s="23" t="s">
        <v>475</v>
      </c>
      <c r="U74" s="111">
        <v>6.1538461538461542E-2</v>
      </c>
    </row>
    <row r="75" spans="1:21" ht="14.4" x14ac:dyDescent="0.3">
      <c r="A75" s="23" t="s">
        <v>485</v>
      </c>
      <c r="B75" s="108">
        <v>6.25E-2</v>
      </c>
      <c r="T75" s="23" t="s">
        <v>476</v>
      </c>
      <c r="U75" s="111">
        <v>6.1538461538461542E-2</v>
      </c>
    </row>
    <row r="76" spans="1:21" ht="14.4" x14ac:dyDescent="0.3">
      <c r="A76" s="23" t="s">
        <v>500</v>
      </c>
      <c r="B76" s="108">
        <v>6.25E-2</v>
      </c>
      <c r="T76" s="23" t="s">
        <v>485</v>
      </c>
      <c r="U76" s="111">
        <v>6.1538461538461542E-2</v>
      </c>
    </row>
    <row r="77" spans="1:21" ht="14.4" x14ac:dyDescent="0.3">
      <c r="A77" s="23" t="s">
        <v>502</v>
      </c>
      <c r="B77" s="108">
        <v>6.25E-2</v>
      </c>
      <c r="T77" s="23" t="s">
        <v>500</v>
      </c>
      <c r="U77" s="111">
        <v>6.1538461538461542E-2</v>
      </c>
    </row>
    <row r="78" spans="1:21" ht="14.4" x14ac:dyDescent="0.3">
      <c r="A78" s="23" t="s">
        <v>507</v>
      </c>
      <c r="B78" s="108">
        <v>6.25E-2</v>
      </c>
      <c r="T78" s="23" t="s">
        <v>508</v>
      </c>
      <c r="U78" s="111">
        <v>6.1538461538461542E-2</v>
      </c>
    </row>
    <row r="79" spans="1:21" ht="14.4" x14ac:dyDescent="0.3">
      <c r="A79" s="23" t="s">
        <v>513</v>
      </c>
      <c r="B79" s="108">
        <v>6.25E-2</v>
      </c>
      <c r="T79" s="23" t="s">
        <v>547</v>
      </c>
      <c r="U79" s="111">
        <v>6.1538461538461542E-2</v>
      </c>
    </row>
    <row r="80" spans="1:21" ht="14.4" x14ac:dyDescent="0.3">
      <c r="A80" s="23" t="s">
        <v>549</v>
      </c>
      <c r="B80" s="108">
        <v>6.25E-2</v>
      </c>
      <c r="T80" s="23" t="s">
        <v>551</v>
      </c>
      <c r="U80" s="111">
        <v>6.1538461538461542E-2</v>
      </c>
    </row>
    <row r="81" spans="1:21" ht="14.4" x14ac:dyDescent="0.3">
      <c r="A81" s="23" t="s">
        <v>550</v>
      </c>
      <c r="B81" s="108">
        <v>6.25E-2</v>
      </c>
      <c r="T81" s="23" t="s">
        <v>559</v>
      </c>
      <c r="U81" s="111">
        <v>6.1538461538461542E-2</v>
      </c>
    </row>
    <row r="82" spans="1:21" ht="14.4" x14ac:dyDescent="0.3">
      <c r="A82" s="23" t="s">
        <v>4</v>
      </c>
      <c r="B82" s="108">
        <v>6.25E-2</v>
      </c>
      <c r="T82" s="23" t="s">
        <v>575</v>
      </c>
      <c r="U82" s="111">
        <v>6.1538461538461542E-2</v>
      </c>
    </row>
    <row r="83" spans="1:21" ht="14.4" x14ac:dyDescent="0.3">
      <c r="A83" s="23" t="s">
        <v>559</v>
      </c>
      <c r="B83" s="108">
        <v>6.25E-2</v>
      </c>
      <c r="T83" s="23" t="s">
        <v>578</v>
      </c>
      <c r="U83" s="111">
        <v>6.1538461538461542E-2</v>
      </c>
    </row>
    <row r="84" spans="1:21" ht="14.4" x14ac:dyDescent="0.3">
      <c r="A84" s="23" t="s">
        <v>563</v>
      </c>
      <c r="B84" s="108">
        <v>6.25E-2</v>
      </c>
      <c r="T84" s="23" t="s">
        <v>26043</v>
      </c>
      <c r="U84" s="111">
        <v>6.1538461538461542E-2</v>
      </c>
    </row>
    <row r="85" spans="1:21" ht="14.4" x14ac:dyDescent="0.3">
      <c r="A85" s="23" t="s">
        <v>566</v>
      </c>
      <c r="B85" s="108">
        <v>6.25E-2</v>
      </c>
      <c r="T85" s="23" t="s">
        <v>625</v>
      </c>
      <c r="U85" s="111">
        <v>6.1538461538461542E-2</v>
      </c>
    </row>
    <row r="86" spans="1:21" ht="14.4" x14ac:dyDescent="0.3">
      <c r="A86" s="23" t="s">
        <v>575</v>
      </c>
      <c r="B86" s="108">
        <v>6.25E-2</v>
      </c>
      <c r="T86" s="23" t="s">
        <v>370</v>
      </c>
      <c r="U86" s="111">
        <v>4.6153846153846156E-2</v>
      </c>
    </row>
    <row r="87" spans="1:21" ht="14.4" x14ac:dyDescent="0.3">
      <c r="A87" s="23" t="s">
        <v>582</v>
      </c>
      <c r="B87" s="108">
        <v>6.25E-2</v>
      </c>
      <c r="T87" s="23" t="s">
        <v>375</v>
      </c>
      <c r="U87" s="111">
        <v>4.6153846153846156E-2</v>
      </c>
    </row>
    <row r="88" spans="1:21" ht="14.4" x14ac:dyDescent="0.3">
      <c r="A88" s="23" t="s">
        <v>586</v>
      </c>
      <c r="B88" s="108">
        <v>6.25E-2</v>
      </c>
      <c r="T88" s="23" t="s">
        <v>392</v>
      </c>
      <c r="U88" s="111">
        <v>4.6153846153846156E-2</v>
      </c>
    </row>
    <row r="89" spans="1:21" ht="14.4" x14ac:dyDescent="0.3">
      <c r="A89" s="23" t="s">
        <v>593</v>
      </c>
      <c r="B89" s="108">
        <v>6.25E-2</v>
      </c>
      <c r="T89" s="23" t="s">
        <v>418</v>
      </c>
      <c r="U89" s="111">
        <v>4.6153846153846156E-2</v>
      </c>
    </row>
    <row r="90" spans="1:21" ht="14.4" x14ac:dyDescent="0.3">
      <c r="A90" s="23" t="s">
        <v>607</v>
      </c>
      <c r="B90" s="108">
        <v>6.25E-2</v>
      </c>
      <c r="T90" s="23" t="s">
        <v>430</v>
      </c>
      <c r="U90" s="111">
        <v>4.6153846153846156E-2</v>
      </c>
    </row>
    <row r="91" spans="1:21" ht="14.4" x14ac:dyDescent="0.3">
      <c r="A91" s="23" t="s">
        <v>625</v>
      </c>
      <c r="B91" s="108">
        <v>6.25E-2</v>
      </c>
      <c r="T91" s="23" t="s">
        <v>17041</v>
      </c>
      <c r="U91" s="111">
        <v>4.6153846153846156E-2</v>
      </c>
    </row>
    <row r="92" spans="1:21" ht="14.4" x14ac:dyDescent="0.3">
      <c r="A92" s="23" t="s">
        <v>351</v>
      </c>
      <c r="B92" s="108">
        <v>4.1666666666666664E-2</v>
      </c>
      <c r="T92" s="23" t="s">
        <v>446</v>
      </c>
      <c r="U92" s="111">
        <v>4.6153846153846156E-2</v>
      </c>
    </row>
    <row r="93" spans="1:21" ht="14.4" x14ac:dyDescent="0.3">
      <c r="A93" s="23" t="s">
        <v>359</v>
      </c>
      <c r="B93" s="108">
        <v>4.1666666666666664E-2</v>
      </c>
      <c r="T93" s="23" t="s">
        <v>448</v>
      </c>
      <c r="U93" s="111">
        <v>4.6153846153846156E-2</v>
      </c>
    </row>
    <row r="94" spans="1:21" ht="14.4" x14ac:dyDescent="0.3">
      <c r="A94" s="23" t="s">
        <v>360</v>
      </c>
      <c r="B94" s="108">
        <v>4.1666666666666664E-2</v>
      </c>
      <c r="T94" s="23" t="s">
        <v>453</v>
      </c>
      <c r="U94" s="111">
        <v>4.6153846153846156E-2</v>
      </c>
    </row>
    <row r="95" spans="1:21" ht="14.4" x14ac:dyDescent="0.3">
      <c r="A95" s="23" t="s">
        <v>366</v>
      </c>
      <c r="B95" s="108">
        <v>4.1666666666666664E-2</v>
      </c>
      <c r="T95" s="23" t="s">
        <v>25602</v>
      </c>
      <c r="U95" s="111">
        <v>4.6153846153846156E-2</v>
      </c>
    </row>
    <row r="96" spans="1:21" ht="14.4" x14ac:dyDescent="0.3">
      <c r="A96" s="23" t="s">
        <v>375</v>
      </c>
      <c r="B96" s="108">
        <v>4.1666666666666664E-2</v>
      </c>
      <c r="T96" s="23" t="s">
        <v>460</v>
      </c>
      <c r="U96" s="111">
        <v>4.6153846153846156E-2</v>
      </c>
    </row>
    <row r="97" spans="1:21" ht="14.4" x14ac:dyDescent="0.3">
      <c r="A97" s="23" t="s">
        <v>376</v>
      </c>
      <c r="B97" s="108">
        <v>4.1666666666666664E-2</v>
      </c>
      <c r="T97" s="23" t="s">
        <v>462</v>
      </c>
      <c r="U97" s="111">
        <v>4.6153846153846156E-2</v>
      </c>
    </row>
    <row r="98" spans="1:21" ht="14.4" x14ac:dyDescent="0.3">
      <c r="A98" s="23" t="s">
        <v>377</v>
      </c>
      <c r="B98" s="108">
        <v>4.1666666666666664E-2</v>
      </c>
      <c r="T98" s="23" t="s">
        <v>464</v>
      </c>
      <c r="U98" s="111">
        <v>4.6153846153846156E-2</v>
      </c>
    </row>
    <row r="99" spans="1:21" ht="14.4" x14ac:dyDescent="0.3">
      <c r="A99" s="23" t="s">
        <v>379</v>
      </c>
      <c r="B99" s="108">
        <v>4.1666666666666664E-2</v>
      </c>
      <c r="T99" s="23" t="s">
        <v>466</v>
      </c>
      <c r="U99" s="111">
        <v>4.6153846153846156E-2</v>
      </c>
    </row>
    <row r="100" spans="1:21" ht="14.4" x14ac:dyDescent="0.3">
      <c r="A100" s="23" t="s">
        <v>391</v>
      </c>
      <c r="B100" s="108">
        <v>4.1666666666666664E-2</v>
      </c>
      <c r="T100" s="23" t="s">
        <v>472</v>
      </c>
      <c r="U100" s="111">
        <v>4.6153846153846156E-2</v>
      </c>
    </row>
    <row r="101" spans="1:21" ht="14.4" x14ac:dyDescent="0.3">
      <c r="A101" s="23" t="s">
        <v>410</v>
      </c>
      <c r="B101" s="108">
        <v>4.1666666666666664E-2</v>
      </c>
      <c r="T101" s="23" t="s">
        <v>473</v>
      </c>
      <c r="U101" s="111">
        <v>4.6153846153846156E-2</v>
      </c>
    </row>
    <row r="102" spans="1:21" ht="14.4" x14ac:dyDescent="0.3">
      <c r="A102" s="23" t="s">
        <v>423</v>
      </c>
      <c r="B102" s="108">
        <v>4.1666666666666664E-2</v>
      </c>
      <c r="T102" s="23" t="s">
        <v>483</v>
      </c>
      <c r="U102" s="111">
        <v>4.6153846153846156E-2</v>
      </c>
    </row>
    <row r="103" spans="1:21" ht="14.4" x14ac:dyDescent="0.3">
      <c r="A103" s="23" t="s">
        <v>428</v>
      </c>
      <c r="B103" s="108">
        <v>4.1666666666666664E-2</v>
      </c>
      <c r="T103" s="23" t="s">
        <v>492</v>
      </c>
      <c r="U103" s="111">
        <v>4.6153846153846156E-2</v>
      </c>
    </row>
    <row r="104" spans="1:21" ht="14.4" x14ac:dyDescent="0.3">
      <c r="A104" s="23" t="s">
        <v>433</v>
      </c>
      <c r="B104" s="108">
        <v>4.1666666666666664E-2</v>
      </c>
      <c r="T104" s="23" t="s">
        <v>494</v>
      </c>
      <c r="U104" s="111">
        <v>4.6153846153846156E-2</v>
      </c>
    </row>
    <row r="105" spans="1:21" ht="14.4" x14ac:dyDescent="0.3">
      <c r="A105" s="23" t="s">
        <v>434</v>
      </c>
      <c r="B105" s="108">
        <v>4.1666666666666664E-2</v>
      </c>
      <c r="T105" s="23" t="s">
        <v>17133</v>
      </c>
      <c r="U105" s="111">
        <v>4.6153846153846156E-2</v>
      </c>
    </row>
    <row r="106" spans="1:21" ht="14.4" x14ac:dyDescent="0.3">
      <c r="A106" s="23" t="s">
        <v>446</v>
      </c>
      <c r="B106" s="108">
        <v>4.1666666666666664E-2</v>
      </c>
      <c r="T106" s="23" t="s">
        <v>505</v>
      </c>
      <c r="U106" s="111">
        <v>4.6153846153846156E-2</v>
      </c>
    </row>
    <row r="107" spans="1:21" ht="14.4" x14ac:dyDescent="0.3">
      <c r="A107" s="23" t="s">
        <v>452</v>
      </c>
      <c r="B107" s="108">
        <v>4.1666666666666664E-2</v>
      </c>
      <c r="T107" s="23" t="s">
        <v>507</v>
      </c>
      <c r="U107" s="111">
        <v>4.6153846153846156E-2</v>
      </c>
    </row>
    <row r="108" spans="1:21" ht="14.4" x14ac:dyDescent="0.3">
      <c r="A108" s="23" t="s">
        <v>454</v>
      </c>
      <c r="B108" s="108">
        <v>4.1666666666666664E-2</v>
      </c>
      <c r="T108" s="23" t="s">
        <v>524</v>
      </c>
      <c r="U108" s="111">
        <v>4.6153846153846156E-2</v>
      </c>
    </row>
    <row r="109" spans="1:21" ht="14.4" x14ac:dyDescent="0.3">
      <c r="A109" s="23" t="s">
        <v>455</v>
      </c>
      <c r="B109" s="108">
        <v>4.1666666666666664E-2</v>
      </c>
      <c r="T109" s="23" t="s">
        <v>25690</v>
      </c>
      <c r="U109" s="111">
        <v>4.6153846153846156E-2</v>
      </c>
    </row>
    <row r="110" spans="1:21" ht="14.4" x14ac:dyDescent="0.3">
      <c r="A110" s="23" t="s">
        <v>456</v>
      </c>
      <c r="B110" s="108">
        <v>4.1666666666666664E-2</v>
      </c>
      <c r="T110" s="23" t="s">
        <v>17149</v>
      </c>
      <c r="U110" s="111">
        <v>4.6153846153846156E-2</v>
      </c>
    </row>
    <row r="111" spans="1:21" ht="14.4" x14ac:dyDescent="0.3">
      <c r="A111" s="23" t="s">
        <v>462</v>
      </c>
      <c r="B111" s="108">
        <v>4.1666666666666664E-2</v>
      </c>
      <c r="T111" s="23" t="s">
        <v>17155</v>
      </c>
      <c r="U111" s="111">
        <v>4.6153846153846156E-2</v>
      </c>
    </row>
    <row r="112" spans="1:21" ht="14.4" x14ac:dyDescent="0.3">
      <c r="A112" s="23" t="s">
        <v>464</v>
      </c>
      <c r="B112" s="108">
        <v>4.1666666666666664E-2</v>
      </c>
      <c r="T112" s="23" t="s">
        <v>4</v>
      </c>
      <c r="U112" s="111">
        <v>4.6153846153846156E-2</v>
      </c>
    </row>
    <row r="113" spans="1:21" ht="14.4" x14ac:dyDescent="0.3">
      <c r="A113" s="23" t="s">
        <v>473</v>
      </c>
      <c r="B113" s="108">
        <v>4.1666666666666664E-2</v>
      </c>
      <c r="T113" s="23" t="s">
        <v>563</v>
      </c>
      <c r="U113" s="111">
        <v>4.6153846153846156E-2</v>
      </c>
    </row>
    <row r="114" spans="1:21" ht="14.4" x14ac:dyDescent="0.3">
      <c r="A114" s="23" t="s">
        <v>474</v>
      </c>
      <c r="B114" s="108">
        <v>4.1666666666666664E-2</v>
      </c>
      <c r="T114" s="23" t="s">
        <v>566</v>
      </c>
      <c r="U114" s="111">
        <v>4.6153846153846156E-2</v>
      </c>
    </row>
    <row r="115" spans="1:21" ht="14.4" x14ac:dyDescent="0.3">
      <c r="A115" s="23" t="s">
        <v>475</v>
      </c>
      <c r="B115" s="108">
        <v>4.1666666666666664E-2</v>
      </c>
      <c r="T115" s="23" t="s">
        <v>568</v>
      </c>
      <c r="U115" s="111">
        <v>4.6153846153846156E-2</v>
      </c>
    </row>
    <row r="116" spans="1:21" ht="14.4" x14ac:dyDescent="0.3">
      <c r="A116" s="23" t="s">
        <v>477</v>
      </c>
      <c r="B116" s="108">
        <v>4.1666666666666664E-2</v>
      </c>
      <c r="T116" s="23" t="s">
        <v>596</v>
      </c>
      <c r="U116" s="111">
        <v>4.6153846153846156E-2</v>
      </c>
    </row>
    <row r="117" spans="1:21" ht="14.4" x14ac:dyDescent="0.3">
      <c r="A117" s="23" t="s">
        <v>478</v>
      </c>
      <c r="B117" s="108">
        <v>4.1666666666666664E-2</v>
      </c>
      <c r="T117" s="23" t="s">
        <v>25773</v>
      </c>
      <c r="U117" s="111">
        <v>4.6153846153846156E-2</v>
      </c>
    </row>
    <row r="118" spans="1:21" ht="14.4" x14ac:dyDescent="0.3">
      <c r="A118" s="23" t="s">
        <v>479</v>
      </c>
      <c r="B118" s="108">
        <v>4.1666666666666664E-2</v>
      </c>
      <c r="T118" s="23" t="s">
        <v>610</v>
      </c>
      <c r="U118" s="111">
        <v>4.6153846153846156E-2</v>
      </c>
    </row>
    <row r="119" spans="1:21" ht="14.4" x14ac:dyDescent="0.3">
      <c r="A119" s="23" t="s">
        <v>481</v>
      </c>
      <c r="B119" s="108">
        <v>4.1666666666666664E-2</v>
      </c>
      <c r="T119" s="23" t="s">
        <v>611</v>
      </c>
      <c r="U119" s="111">
        <v>4.6153846153846156E-2</v>
      </c>
    </row>
    <row r="120" spans="1:21" ht="14.4" x14ac:dyDescent="0.3">
      <c r="A120" s="23" t="s">
        <v>488</v>
      </c>
      <c r="B120" s="108">
        <v>4.1666666666666664E-2</v>
      </c>
      <c r="T120" s="23" t="s">
        <v>640</v>
      </c>
      <c r="U120" s="111">
        <v>4.6153846153846156E-2</v>
      </c>
    </row>
    <row r="121" spans="1:21" ht="14.4" x14ac:dyDescent="0.3">
      <c r="A121" s="23" t="s">
        <v>492</v>
      </c>
      <c r="B121" s="108">
        <v>4.1666666666666664E-2</v>
      </c>
      <c r="T121" s="23" t="s">
        <v>351</v>
      </c>
      <c r="U121" s="111">
        <v>3.0769230769230771E-2</v>
      </c>
    </row>
    <row r="122" spans="1:21" ht="14.4" x14ac:dyDescent="0.3">
      <c r="A122" s="23" t="s">
        <v>494</v>
      </c>
      <c r="B122" s="108">
        <v>4.1666666666666664E-2</v>
      </c>
      <c r="T122" s="23" t="s">
        <v>16839</v>
      </c>
      <c r="U122" s="111">
        <v>3.0769230769230771E-2</v>
      </c>
    </row>
    <row r="123" spans="1:21" ht="14.4" x14ac:dyDescent="0.3">
      <c r="A123" s="23" t="s">
        <v>495</v>
      </c>
      <c r="B123" s="108">
        <v>4.1666666666666664E-2</v>
      </c>
      <c r="T123" s="23" t="s">
        <v>360</v>
      </c>
      <c r="U123" s="111">
        <v>3.0769230769230771E-2</v>
      </c>
    </row>
    <row r="124" spans="1:21" ht="14.4" x14ac:dyDescent="0.3">
      <c r="A124" s="23" t="s">
        <v>496</v>
      </c>
      <c r="B124" s="108">
        <v>4.1666666666666664E-2</v>
      </c>
      <c r="T124" s="23" t="s">
        <v>376</v>
      </c>
      <c r="U124" s="111">
        <v>3.0769230769230771E-2</v>
      </c>
    </row>
    <row r="125" spans="1:21" ht="14.4" x14ac:dyDescent="0.3">
      <c r="A125" s="23" t="s">
        <v>501</v>
      </c>
      <c r="B125" s="108">
        <v>4.1666666666666664E-2</v>
      </c>
      <c r="T125" s="23" t="s">
        <v>377</v>
      </c>
      <c r="U125" s="111">
        <v>3.0769230769230771E-2</v>
      </c>
    </row>
    <row r="126" spans="1:21" ht="14.4" x14ac:dyDescent="0.3">
      <c r="A126" s="23" t="s">
        <v>505</v>
      </c>
      <c r="B126" s="108">
        <v>4.1666666666666664E-2</v>
      </c>
      <c r="T126" s="23" t="s">
        <v>16907</v>
      </c>
      <c r="U126" s="111">
        <v>3.0769230769230771E-2</v>
      </c>
    </row>
    <row r="127" spans="1:21" ht="14.4" x14ac:dyDescent="0.3">
      <c r="A127" s="23" t="s">
        <v>508</v>
      </c>
      <c r="B127" s="108">
        <v>4.1666666666666664E-2</v>
      </c>
      <c r="T127" s="23" t="s">
        <v>389</v>
      </c>
      <c r="U127" s="111">
        <v>3.0769230769230771E-2</v>
      </c>
    </row>
    <row r="128" spans="1:21" ht="14.4" x14ac:dyDescent="0.3">
      <c r="A128" s="23" t="s">
        <v>518</v>
      </c>
      <c r="B128" s="108">
        <v>4.1666666666666664E-2</v>
      </c>
      <c r="T128" s="23" t="s">
        <v>391</v>
      </c>
      <c r="U128" s="111">
        <v>3.0769230769230771E-2</v>
      </c>
    </row>
    <row r="129" spans="1:21" ht="14.4" x14ac:dyDescent="0.3">
      <c r="A129" s="23" t="s">
        <v>522</v>
      </c>
      <c r="B129" s="108">
        <v>4.1666666666666664E-2</v>
      </c>
      <c r="T129" s="23" t="s">
        <v>395</v>
      </c>
      <c r="U129" s="111">
        <v>3.0769230769230771E-2</v>
      </c>
    </row>
    <row r="130" spans="1:21" ht="14.4" x14ac:dyDescent="0.3">
      <c r="A130" s="23" t="s">
        <v>523</v>
      </c>
      <c r="B130" s="108">
        <v>4.1666666666666664E-2</v>
      </c>
      <c r="T130" s="23" t="s">
        <v>405</v>
      </c>
      <c r="U130" s="111">
        <v>3.0769230769230771E-2</v>
      </c>
    </row>
    <row r="131" spans="1:21" ht="14.4" x14ac:dyDescent="0.3">
      <c r="A131" s="23" t="s">
        <v>530</v>
      </c>
      <c r="B131" s="108">
        <v>4.1666666666666664E-2</v>
      </c>
      <c r="T131" s="23" t="s">
        <v>410</v>
      </c>
      <c r="U131" s="111">
        <v>3.0769230769230771E-2</v>
      </c>
    </row>
    <row r="132" spans="1:21" ht="14.4" x14ac:dyDescent="0.3">
      <c r="A132" s="23" t="s">
        <v>537</v>
      </c>
      <c r="B132" s="108">
        <v>4.1666666666666664E-2</v>
      </c>
      <c r="T132" s="23" t="s">
        <v>423</v>
      </c>
      <c r="U132" s="111">
        <v>3.0769230769230771E-2</v>
      </c>
    </row>
    <row r="133" spans="1:21" ht="14.4" x14ac:dyDescent="0.3">
      <c r="A133" s="23" t="s">
        <v>539</v>
      </c>
      <c r="B133" s="108">
        <v>4.1666666666666664E-2</v>
      </c>
      <c r="T133" s="23" t="s">
        <v>25585</v>
      </c>
      <c r="U133" s="111">
        <v>3.0769230769230771E-2</v>
      </c>
    </row>
    <row r="134" spans="1:21" ht="14.4" x14ac:dyDescent="0.3">
      <c r="A134" s="23" t="s">
        <v>541</v>
      </c>
      <c r="B134" s="108">
        <v>4.1666666666666664E-2</v>
      </c>
      <c r="T134" s="23" t="s">
        <v>434</v>
      </c>
      <c r="U134" s="111">
        <v>3.0769230769230771E-2</v>
      </c>
    </row>
    <row r="135" spans="1:21" ht="14.4" x14ac:dyDescent="0.3">
      <c r="A135" s="23" t="s">
        <v>543</v>
      </c>
      <c r="B135" s="108">
        <v>4.1666666666666664E-2</v>
      </c>
      <c r="T135" s="23" t="s">
        <v>441</v>
      </c>
      <c r="U135" s="111">
        <v>3.0769230769230771E-2</v>
      </c>
    </row>
    <row r="136" spans="1:21" ht="14.4" x14ac:dyDescent="0.3">
      <c r="A136" s="23" t="s">
        <v>545</v>
      </c>
      <c r="B136" s="108">
        <v>4.1666666666666664E-2</v>
      </c>
      <c r="T136" s="23" t="s">
        <v>451</v>
      </c>
      <c r="U136" s="111">
        <v>3.0769230769230771E-2</v>
      </c>
    </row>
    <row r="137" spans="1:21" ht="14.4" x14ac:dyDescent="0.3">
      <c r="A137" s="23" t="s">
        <v>547</v>
      </c>
      <c r="B137" s="108">
        <v>4.1666666666666664E-2</v>
      </c>
      <c r="T137" s="23" t="s">
        <v>25606</v>
      </c>
      <c r="U137" s="111">
        <v>3.0769230769230771E-2</v>
      </c>
    </row>
    <row r="138" spans="1:21" ht="14.4" x14ac:dyDescent="0.3">
      <c r="A138" s="23" t="s">
        <v>551</v>
      </c>
      <c r="B138" s="108">
        <v>4.1666666666666664E-2</v>
      </c>
      <c r="T138" s="23" t="s">
        <v>456</v>
      </c>
      <c r="U138" s="111">
        <v>3.0769230769230771E-2</v>
      </c>
    </row>
    <row r="139" spans="1:21" ht="14.4" x14ac:dyDescent="0.3">
      <c r="A139" s="23" t="s">
        <v>553</v>
      </c>
      <c r="B139" s="108">
        <v>4.1666666666666664E-2</v>
      </c>
      <c r="T139" s="23" t="s">
        <v>467</v>
      </c>
      <c r="U139" s="111">
        <v>3.0769230769230771E-2</v>
      </c>
    </row>
    <row r="140" spans="1:21" ht="14.4" x14ac:dyDescent="0.3">
      <c r="A140" s="23" t="s">
        <v>564</v>
      </c>
      <c r="B140" s="108">
        <v>4.1666666666666664E-2</v>
      </c>
      <c r="T140" s="23" t="s">
        <v>474</v>
      </c>
      <c r="U140" s="111">
        <v>3.0769230769230771E-2</v>
      </c>
    </row>
    <row r="141" spans="1:21" ht="14.4" x14ac:dyDescent="0.3">
      <c r="A141" s="23" t="s">
        <v>565</v>
      </c>
      <c r="B141" s="108">
        <v>4.1666666666666664E-2</v>
      </c>
      <c r="T141" s="23" t="s">
        <v>477</v>
      </c>
      <c r="U141" s="111">
        <v>3.0769230769230771E-2</v>
      </c>
    </row>
    <row r="142" spans="1:21" ht="14.4" x14ac:dyDescent="0.3">
      <c r="A142" s="23" t="s">
        <v>568</v>
      </c>
      <c r="B142" s="108">
        <v>4.1666666666666664E-2</v>
      </c>
      <c r="T142" s="23" t="s">
        <v>478</v>
      </c>
      <c r="U142" s="111">
        <v>3.0769230769230771E-2</v>
      </c>
    </row>
    <row r="143" spans="1:21" ht="14.4" x14ac:dyDescent="0.3">
      <c r="A143" s="23" t="s">
        <v>576</v>
      </c>
      <c r="B143" s="108">
        <v>4.1666666666666664E-2</v>
      </c>
      <c r="T143" s="23" t="s">
        <v>479</v>
      </c>
      <c r="U143" s="111">
        <v>3.0769230769230771E-2</v>
      </c>
    </row>
    <row r="144" spans="1:21" ht="14.4" x14ac:dyDescent="0.3">
      <c r="A144" s="23" t="s">
        <v>608</v>
      </c>
      <c r="B144" s="108">
        <v>4.1666666666666664E-2</v>
      </c>
      <c r="T144" s="23" t="s">
        <v>481</v>
      </c>
      <c r="U144" s="111">
        <v>3.0769230769230771E-2</v>
      </c>
    </row>
    <row r="145" spans="1:21" ht="14.4" x14ac:dyDescent="0.3">
      <c r="A145" s="23" t="s">
        <v>611</v>
      </c>
      <c r="B145" s="108">
        <v>4.1666666666666664E-2</v>
      </c>
      <c r="T145" s="23" t="s">
        <v>17107</v>
      </c>
      <c r="U145" s="111">
        <v>3.0769230769230771E-2</v>
      </c>
    </row>
    <row r="146" spans="1:21" ht="14.4" x14ac:dyDescent="0.3">
      <c r="A146" s="23" t="s">
        <v>622</v>
      </c>
      <c r="B146" s="108">
        <v>4.1666666666666664E-2</v>
      </c>
      <c r="T146" s="23" t="s">
        <v>495</v>
      </c>
      <c r="U146" s="111">
        <v>3.0769230769230771E-2</v>
      </c>
    </row>
    <row r="147" spans="1:21" ht="14.4" x14ac:dyDescent="0.3">
      <c r="A147" s="23" t="s">
        <v>623</v>
      </c>
      <c r="B147" s="108">
        <v>4.1666666666666664E-2</v>
      </c>
      <c r="T147" s="23" t="s">
        <v>496</v>
      </c>
      <c r="U147" s="111">
        <v>3.0769230769230771E-2</v>
      </c>
    </row>
    <row r="148" spans="1:21" ht="14.4" x14ac:dyDescent="0.3">
      <c r="A148" s="23" t="s">
        <v>627</v>
      </c>
      <c r="B148" s="108">
        <v>4.1666666666666664E-2</v>
      </c>
      <c r="T148" s="23" t="s">
        <v>499</v>
      </c>
      <c r="U148" s="111">
        <v>3.0769230769230771E-2</v>
      </c>
    </row>
    <row r="149" spans="1:21" ht="14.4" x14ac:dyDescent="0.3">
      <c r="A149" s="23" t="s">
        <v>628</v>
      </c>
      <c r="B149" s="108">
        <v>4.1666666666666664E-2</v>
      </c>
      <c r="T149" s="23" t="s">
        <v>501</v>
      </c>
      <c r="U149" s="111">
        <v>3.0769230769230771E-2</v>
      </c>
    </row>
    <row r="150" spans="1:21" ht="14.4" x14ac:dyDescent="0.3">
      <c r="A150" s="23" t="s">
        <v>629</v>
      </c>
      <c r="B150" s="108">
        <v>4.1666666666666664E-2</v>
      </c>
      <c r="T150" s="23" t="s">
        <v>518</v>
      </c>
      <c r="U150" s="111">
        <v>3.0769230769230771E-2</v>
      </c>
    </row>
    <row r="151" spans="1:21" ht="14.4" x14ac:dyDescent="0.3">
      <c r="A151" s="23" t="s">
        <v>361</v>
      </c>
      <c r="B151" s="108">
        <v>2.0833333333333332E-2</v>
      </c>
      <c r="T151" s="23" t="s">
        <v>522</v>
      </c>
      <c r="U151" s="111">
        <v>3.0769230769230771E-2</v>
      </c>
    </row>
    <row r="152" spans="1:21" ht="14.4" x14ac:dyDescent="0.3">
      <c r="A152" s="23" t="s">
        <v>374</v>
      </c>
      <c r="B152" s="108">
        <v>2.0833333333333332E-2</v>
      </c>
      <c r="T152" s="23" t="s">
        <v>523</v>
      </c>
      <c r="U152" s="111">
        <v>3.0769230769230771E-2</v>
      </c>
    </row>
    <row r="153" spans="1:21" ht="14.4" x14ac:dyDescent="0.3">
      <c r="A153" s="23" t="s">
        <v>378</v>
      </c>
      <c r="B153" s="108">
        <v>2.0833333333333332E-2</v>
      </c>
      <c r="T153" s="23" t="s">
        <v>526</v>
      </c>
      <c r="U153" s="111">
        <v>3.0769230769230771E-2</v>
      </c>
    </row>
    <row r="154" spans="1:21" ht="14.4" x14ac:dyDescent="0.3">
      <c r="A154" s="23" t="s">
        <v>380</v>
      </c>
      <c r="B154" s="108">
        <v>2.0833333333333332E-2</v>
      </c>
      <c r="T154" s="23" t="s">
        <v>528</v>
      </c>
      <c r="U154" s="111">
        <v>3.0769230769230771E-2</v>
      </c>
    </row>
    <row r="155" spans="1:21" ht="14.4" x14ac:dyDescent="0.3">
      <c r="A155" s="23" t="s">
        <v>381</v>
      </c>
      <c r="B155" s="108">
        <v>2.0833333333333332E-2</v>
      </c>
      <c r="T155" s="23" t="s">
        <v>530</v>
      </c>
      <c r="U155" s="111">
        <v>3.0769230769230771E-2</v>
      </c>
    </row>
    <row r="156" spans="1:21" ht="14.4" x14ac:dyDescent="0.3">
      <c r="A156" s="23" t="s">
        <v>382</v>
      </c>
      <c r="B156" s="108">
        <v>2.0833333333333332E-2</v>
      </c>
      <c r="T156" s="23" t="s">
        <v>25711</v>
      </c>
      <c r="U156" s="111">
        <v>3.0769230769230771E-2</v>
      </c>
    </row>
    <row r="157" spans="1:21" ht="14.4" x14ac:dyDescent="0.3">
      <c r="A157" s="23" t="s">
        <v>383</v>
      </c>
      <c r="B157" s="108">
        <v>2.0833333333333332E-2</v>
      </c>
      <c r="T157" s="23" t="s">
        <v>17153</v>
      </c>
      <c r="U157" s="111">
        <v>3.0769230769230771E-2</v>
      </c>
    </row>
    <row r="158" spans="1:21" ht="14.4" x14ac:dyDescent="0.3">
      <c r="A158" s="23" t="s">
        <v>384</v>
      </c>
      <c r="B158" s="108">
        <v>2.0833333333333332E-2</v>
      </c>
      <c r="T158" s="23" t="s">
        <v>17154</v>
      </c>
      <c r="U158" s="111">
        <v>3.0769230769230771E-2</v>
      </c>
    </row>
    <row r="159" spans="1:21" ht="14.4" x14ac:dyDescent="0.3">
      <c r="A159" s="23" t="s">
        <v>386</v>
      </c>
      <c r="B159" s="108">
        <v>2.0833333333333332E-2</v>
      </c>
      <c r="T159" s="23" t="s">
        <v>25726</v>
      </c>
      <c r="U159" s="111">
        <v>3.0769230769230771E-2</v>
      </c>
    </row>
    <row r="160" spans="1:21" ht="14.4" x14ac:dyDescent="0.3">
      <c r="A160" s="23" t="s">
        <v>388</v>
      </c>
      <c r="B160" s="108">
        <v>2.0833333333333332E-2</v>
      </c>
      <c r="T160" s="23" t="s">
        <v>553</v>
      </c>
      <c r="U160" s="111">
        <v>3.0769230769230771E-2</v>
      </c>
    </row>
    <row r="161" spans="1:21" ht="14.4" x14ac:dyDescent="0.3">
      <c r="A161" s="23" t="s">
        <v>389</v>
      </c>
      <c r="B161" s="108">
        <v>2.0833333333333332E-2</v>
      </c>
      <c r="T161" s="23" t="s">
        <v>25735</v>
      </c>
      <c r="U161" s="111">
        <v>3.0769230769230771E-2</v>
      </c>
    </row>
    <row r="162" spans="1:21" ht="14.4" x14ac:dyDescent="0.3">
      <c r="A162" s="23" t="s">
        <v>395</v>
      </c>
      <c r="B162" s="108">
        <v>2.0833333333333332E-2</v>
      </c>
      <c r="T162" s="23" t="s">
        <v>17181</v>
      </c>
      <c r="U162" s="111">
        <v>3.0769230769230771E-2</v>
      </c>
    </row>
    <row r="163" spans="1:21" ht="14.4" x14ac:dyDescent="0.3">
      <c r="A163" s="23" t="s">
        <v>396</v>
      </c>
      <c r="B163" s="108">
        <v>2.0833333333333332E-2</v>
      </c>
      <c r="T163" s="23" t="s">
        <v>565</v>
      </c>
      <c r="U163" s="111">
        <v>3.0769230769230771E-2</v>
      </c>
    </row>
    <row r="164" spans="1:21" ht="14.4" x14ac:dyDescent="0.3">
      <c r="A164" s="23" t="s">
        <v>405</v>
      </c>
      <c r="B164" s="108">
        <v>2.0833333333333332E-2</v>
      </c>
      <c r="T164" s="23" t="s">
        <v>567</v>
      </c>
      <c r="U164" s="111">
        <v>3.0769230769230771E-2</v>
      </c>
    </row>
    <row r="165" spans="1:21" ht="14.4" x14ac:dyDescent="0.3">
      <c r="A165" s="23" t="s">
        <v>412</v>
      </c>
      <c r="B165" s="108">
        <v>2.0833333333333332E-2</v>
      </c>
      <c r="T165" s="23" t="s">
        <v>570</v>
      </c>
      <c r="U165" s="111">
        <v>3.0769230769230771E-2</v>
      </c>
    </row>
    <row r="166" spans="1:21" ht="14.4" x14ac:dyDescent="0.3">
      <c r="A166" s="23" t="s">
        <v>414</v>
      </c>
      <c r="B166" s="108">
        <v>2.0833333333333332E-2</v>
      </c>
      <c r="T166" s="23" t="s">
        <v>572</v>
      </c>
      <c r="U166" s="111">
        <v>3.0769230769230771E-2</v>
      </c>
    </row>
    <row r="167" spans="1:21" ht="14.4" x14ac:dyDescent="0.3">
      <c r="A167" s="23" t="s">
        <v>419</v>
      </c>
      <c r="B167" s="108">
        <v>2.0833333333333332E-2</v>
      </c>
      <c r="T167" s="23" t="s">
        <v>576</v>
      </c>
      <c r="U167" s="111">
        <v>3.0769230769230771E-2</v>
      </c>
    </row>
    <row r="168" spans="1:21" ht="14.4" x14ac:dyDescent="0.3">
      <c r="A168" s="23" t="s">
        <v>421</v>
      </c>
      <c r="B168" s="108">
        <v>2.0833333333333332E-2</v>
      </c>
      <c r="T168" s="23" t="s">
        <v>580</v>
      </c>
      <c r="U168" s="111">
        <v>3.0769230769230771E-2</v>
      </c>
    </row>
    <row r="169" spans="1:21" ht="14.4" x14ac:dyDescent="0.3">
      <c r="A169" s="23" t="s">
        <v>424</v>
      </c>
      <c r="B169" s="108">
        <v>2.0833333333333332E-2</v>
      </c>
      <c r="T169" s="23" t="s">
        <v>585</v>
      </c>
      <c r="U169" s="111">
        <v>3.0769230769230771E-2</v>
      </c>
    </row>
    <row r="170" spans="1:21" ht="14.4" x14ac:dyDescent="0.3">
      <c r="A170" s="23" t="s">
        <v>425</v>
      </c>
      <c r="B170" s="108">
        <v>2.0833333333333332E-2</v>
      </c>
      <c r="T170" s="23" t="s">
        <v>587</v>
      </c>
      <c r="U170" s="111">
        <v>3.0769230769230771E-2</v>
      </c>
    </row>
    <row r="171" spans="1:21" ht="14.4" x14ac:dyDescent="0.3">
      <c r="A171" s="23" t="s">
        <v>426</v>
      </c>
      <c r="B171" s="108">
        <v>2.0833333333333332E-2</v>
      </c>
      <c r="T171" s="23" t="s">
        <v>17256</v>
      </c>
      <c r="U171" s="111">
        <v>3.0769230769230771E-2</v>
      </c>
    </row>
    <row r="172" spans="1:21" ht="14.4" x14ac:dyDescent="0.3">
      <c r="A172" s="23" t="s">
        <v>427</v>
      </c>
      <c r="B172" s="108">
        <v>2.0833333333333332E-2</v>
      </c>
      <c r="T172" s="23" t="s">
        <v>594</v>
      </c>
      <c r="U172" s="111">
        <v>3.0769230769230771E-2</v>
      </c>
    </row>
    <row r="173" spans="1:21" ht="14.4" x14ac:dyDescent="0.3">
      <c r="A173" s="23" t="s">
        <v>430</v>
      </c>
      <c r="B173" s="108">
        <v>2.0833333333333332E-2</v>
      </c>
      <c r="T173" s="23" t="s">
        <v>595</v>
      </c>
      <c r="U173" s="111">
        <v>3.0769230769230771E-2</v>
      </c>
    </row>
    <row r="174" spans="1:21" ht="14.4" x14ac:dyDescent="0.3">
      <c r="A174" s="23" t="s">
        <v>432</v>
      </c>
      <c r="B174" s="108">
        <v>2.0833333333333332E-2</v>
      </c>
      <c r="T174" s="23" t="s">
        <v>17344</v>
      </c>
      <c r="U174" s="111">
        <v>3.0769230769230771E-2</v>
      </c>
    </row>
    <row r="175" spans="1:21" ht="14.4" x14ac:dyDescent="0.3">
      <c r="A175" s="23" t="s">
        <v>437</v>
      </c>
      <c r="B175" s="108">
        <v>2.0833333333333332E-2</v>
      </c>
      <c r="T175" s="23" t="s">
        <v>17271</v>
      </c>
      <c r="U175" s="111">
        <v>3.0769230769230771E-2</v>
      </c>
    </row>
    <row r="176" spans="1:21" ht="14.4" x14ac:dyDescent="0.3">
      <c r="A176" s="23" t="s">
        <v>441</v>
      </c>
      <c r="B176" s="108">
        <v>2.0833333333333332E-2</v>
      </c>
      <c r="T176" s="23" t="s">
        <v>602</v>
      </c>
      <c r="U176" s="111">
        <v>3.0769230769230771E-2</v>
      </c>
    </row>
    <row r="177" spans="1:21" ht="14.4" x14ac:dyDescent="0.3">
      <c r="A177" s="23" t="s">
        <v>445</v>
      </c>
      <c r="B177" s="108">
        <v>2.0833333333333332E-2</v>
      </c>
      <c r="T177" s="23" t="s">
        <v>608</v>
      </c>
      <c r="U177" s="111">
        <v>3.0769230769230771E-2</v>
      </c>
    </row>
    <row r="178" spans="1:21" ht="14.4" x14ac:dyDescent="0.3">
      <c r="A178" s="23" t="s">
        <v>447</v>
      </c>
      <c r="B178" s="108">
        <v>2.0833333333333332E-2</v>
      </c>
      <c r="T178" s="23" t="s">
        <v>17289</v>
      </c>
      <c r="U178" s="111">
        <v>3.0769230769230771E-2</v>
      </c>
    </row>
    <row r="179" spans="1:21" ht="14.4" x14ac:dyDescent="0.3">
      <c r="A179" s="23" t="s">
        <v>448</v>
      </c>
      <c r="B179" s="108">
        <v>2.0833333333333332E-2</v>
      </c>
      <c r="T179" s="23" t="s">
        <v>622</v>
      </c>
      <c r="U179" s="111">
        <v>3.0769230769230771E-2</v>
      </c>
    </row>
    <row r="180" spans="1:21" ht="14.4" x14ac:dyDescent="0.3">
      <c r="A180" s="23" t="s">
        <v>451</v>
      </c>
      <c r="B180" s="108">
        <v>2.0833333333333332E-2</v>
      </c>
      <c r="T180" s="23" t="s">
        <v>623</v>
      </c>
      <c r="U180" s="111">
        <v>3.0769230769230771E-2</v>
      </c>
    </row>
    <row r="181" spans="1:21" ht="14.4" x14ac:dyDescent="0.3">
      <c r="A181" s="23" t="s">
        <v>457</v>
      </c>
      <c r="B181" s="108">
        <v>2.0833333333333332E-2</v>
      </c>
      <c r="T181" s="23" t="s">
        <v>17300</v>
      </c>
      <c r="U181" s="111">
        <v>3.0769230769230771E-2</v>
      </c>
    </row>
    <row r="182" spans="1:21" ht="14.4" x14ac:dyDescent="0.3">
      <c r="A182" s="23" t="s">
        <v>458</v>
      </c>
      <c r="B182" s="108">
        <v>2.0833333333333332E-2</v>
      </c>
      <c r="T182" s="23" t="s">
        <v>627</v>
      </c>
      <c r="U182" s="111">
        <v>3.0769230769230771E-2</v>
      </c>
    </row>
    <row r="183" spans="1:21" ht="14.4" x14ac:dyDescent="0.3">
      <c r="A183" s="23" t="s">
        <v>459</v>
      </c>
      <c r="B183" s="108">
        <v>2.0833333333333332E-2</v>
      </c>
      <c r="T183" s="23" t="s">
        <v>628</v>
      </c>
      <c r="U183" s="111">
        <v>3.0769230769230771E-2</v>
      </c>
    </row>
    <row r="184" spans="1:21" ht="14.4" x14ac:dyDescent="0.3">
      <c r="A184" s="23" t="s">
        <v>463</v>
      </c>
      <c r="B184" s="108">
        <v>2.0833333333333332E-2</v>
      </c>
      <c r="T184" s="23" t="s">
        <v>629</v>
      </c>
      <c r="U184" s="111">
        <v>3.0769230769230771E-2</v>
      </c>
    </row>
    <row r="185" spans="1:21" ht="14.4" x14ac:dyDescent="0.3">
      <c r="A185" s="23" t="s">
        <v>465</v>
      </c>
      <c r="B185" s="108">
        <v>2.0833333333333332E-2</v>
      </c>
      <c r="T185" s="23" t="s">
        <v>25833</v>
      </c>
      <c r="U185" s="111">
        <v>3.0769230769230771E-2</v>
      </c>
    </row>
    <row r="186" spans="1:21" ht="14.4" x14ac:dyDescent="0.3">
      <c r="A186" s="23" t="s">
        <v>467</v>
      </c>
      <c r="B186" s="108">
        <v>2.0833333333333332E-2</v>
      </c>
      <c r="T186" s="23" t="s">
        <v>17350</v>
      </c>
      <c r="U186" s="111">
        <v>3.0769230769230771E-2</v>
      </c>
    </row>
    <row r="187" spans="1:21" ht="14.4" x14ac:dyDescent="0.3">
      <c r="A187" s="23" t="s">
        <v>468</v>
      </c>
      <c r="B187" s="108">
        <v>2.0833333333333332E-2</v>
      </c>
      <c r="T187" s="23" t="s">
        <v>17355</v>
      </c>
      <c r="U187" s="111">
        <v>3.0769230769230771E-2</v>
      </c>
    </row>
    <row r="188" spans="1:21" ht="14.4" x14ac:dyDescent="0.3">
      <c r="A188" s="23" t="s">
        <v>469</v>
      </c>
      <c r="B188" s="108">
        <v>2.0833333333333332E-2</v>
      </c>
      <c r="T188" s="23" t="s">
        <v>361</v>
      </c>
      <c r="U188" s="111">
        <v>1.5384615384615385E-2</v>
      </c>
    </row>
    <row r="189" spans="1:21" ht="14.4" x14ac:dyDescent="0.3">
      <c r="A189" s="23" t="s">
        <v>480</v>
      </c>
      <c r="B189" s="108">
        <v>2.0833333333333332E-2</v>
      </c>
      <c r="T189" s="23" t="s">
        <v>374</v>
      </c>
      <c r="U189" s="111">
        <v>1.5384615384615385E-2</v>
      </c>
    </row>
    <row r="190" spans="1:21" ht="14.4" x14ac:dyDescent="0.3">
      <c r="A190" s="23" t="s">
        <v>482</v>
      </c>
      <c r="B190" s="108">
        <v>2.0833333333333332E-2</v>
      </c>
      <c r="T190" s="23" t="s">
        <v>378</v>
      </c>
      <c r="U190" s="111">
        <v>1.5384615384615385E-2</v>
      </c>
    </row>
    <row r="191" spans="1:21" ht="14.4" x14ac:dyDescent="0.3">
      <c r="A191" s="23" t="s">
        <v>483</v>
      </c>
      <c r="B191" s="108">
        <v>2.0833333333333332E-2</v>
      </c>
      <c r="T191" s="23" t="s">
        <v>25551</v>
      </c>
      <c r="U191" s="111">
        <v>1.5384615384615385E-2</v>
      </c>
    </row>
    <row r="192" spans="1:21" ht="14.4" x14ac:dyDescent="0.3">
      <c r="A192" s="23" t="s">
        <v>484</v>
      </c>
      <c r="B192" s="108">
        <v>2.0833333333333332E-2</v>
      </c>
      <c r="T192" s="23" t="s">
        <v>381</v>
      </c>
      <c r="U192" s="111">
        <v>1.5384615384615385E-2</v>
      </c>
    </row>
    <row r="193" spans="1:21" ht="14.4" x14ac:dyDescent="0.3">
      <c r="A193" s="23" t="s">
        <v>486</v>
      </c>
      <c r="B193" s="108">
        <v>2.0833333333333332E-2</v>
      </c>
      <c r="T193" s="23" t="s">
        <v>382</v>
      </c>
      <c r="U193" s="111">
        <v>1.5384615384615385E-2</v>
      </c>
    </row>
    <row r="194" spans="1:21" ht="14.4" x14ac:dyDescent="0.3">
      <c r="A194" s="23" t="s">
        <v>490</v>
      </c>
      <c r="B194" s="108">
        <v>2.0833333333333332E-2</v>
      </c>
      <c r="T194" s="23" t="s">
        <v>383</v>
      </c>
      <c r="U194" s="111">
        <v>1.5384615384615385E-2</v>
      </c>
    </row>
    <row r="195" spans="1:21" ht="14.4" x14ac:dyDescent="0.3">
      <c r="A195" s="23" t="s">
        <v>493</v>
      </c>
      <c r="B195" s="108">
        <v>2.0833333333333332E-2</v>
      </c>
      <c r="T195" s="23" t="s">
        <v>384</v>
      </c>
      <c r="U195" s="111">
        <v>1.5384615384615385E-2</v>
      </c>
    </row>
    <row r="196" spans="1:21" ht="14.4" x14ac:dyDescent="0.3">
      <c r="A196" s="23" t="s">
        <v>498</v>
      </c>
      <c r="B196" s="108">
        <v>2.0833333333333332E-2</v>
      </c>
      <c r="T196" s="23" t="s">
        <v>386</v>
      </c>
      <c r="U196" s="111">
        <v>1.5384615384615385E-2</v>
      </c>
    </row>
    <row r="197" spans="1:21" ht="14.4" x14ac:dyDescent="0.3">
      <c r="A197" s="23" t="s">
        <v>499</v>
      </c>
      <c r="B197" s="108">
        <v>2.0833333333333332E-2</v>
      </c>
      <c r="T197" s="23" t="s">
        <v>388</v>
      </c>
      <c r="U197" s="111">
        <v>1.5384615384615385E-2</v>
      </c>
    </row>
    <row r="198" spans="1:21" ht="14.4" x14ac:dyDescent="0.3">
      <c r="A198" s="23" t="s">
        <v>503</v>
      </c>
      <c r="B198" s="108">
        <v>2.0833333333333332E-2</v>
      </c>
      <c r="T198" s="23" t="s">
        <v>396</v>
      </c>
      <c r="U198" s="111">
        <v>1.5384615384615385E-2</v>
      </c>
    </row>
    <row r="199" spans="1:21" ht="14.4" x14ac:dyDescent="0.3">
      <c r="A199" s="23" t="s">
        <v>504</v>
      </c>
      <c r="B199" s="108">
        <v>2.0833333333333332E-2</v>
      </c>
      <c r="T199" s="23" t="s">
        <v>412</v>
      </c>
      <c r="U199" s="111">
        <v>1.5384615384615385E-2</v>
      </c>
    </row>
    <row r="200" spans="1:21" ht="14.4" x14ac:dyDescent="0.3">
      <c r="A200" s="23" t="s">
        <v>506</v>
      </c>
      <c r="B200" s="108">
        <v>2.0833333333333332E-2</v>
      </c>
      <c r="T200" s="23" t="s">
        <v>16979</v>
      </c>
      <c r="U200" s="111">
        <v>1.5384615384615385E-2</v>
      </c>
    </row>
    <row r="201" spans="1:21" ht="14.4" x14ac:dyDescent="0.3">
      <c r="A201" s="23" t="s">
        <v>509</v>
      </c>
      <c r="B201" s="108">
        <v>2.0833333333333332E-2</v>
      </c>
      <c r="T201" s="23" t="s">
        <v>419</v>
      </c>
      <c r="U201" s="111">
        <v>1.5384615384615385E-2</v>
      </c>
    </row>
    <row r="202" spans="1:21" ht="14.4" x14ac:dyDescent="0.3">
      <c r="A202" s="23" t="s">
        <v>510</v>
      </c>
      <c r="B202" s="108">
        <v>2.0833333333333332E-2</v>
      </c>
      <c r="T202" s="23" t="s">
        <v>421</v>
      </c>
      <c r="U202" s="111">
        <v>1.5384615384615385E-2</v>
      </c>
    </row>
    <row r="203" spans="1:21" ht="14.4" x14ac:dyDescent="0.3">
      <c r="A203" s="23" t="s">
        <v>511</v>
      </c>
      <c r="B203" s="108">
        <v>2.0833333333333332E-2</v>
      </c>
      <c r="T203" s="23" t="s">
        <v>424</v>
      </c>
      <c r="U203" s="111">
        <v>1.5384615384615385E-2</v>
      </c>
    </row>
    <row r="204" spans="1:21" ht="14.4" x14ac:dyDescent="0.3">
      <c r="A204" s="23" t="s">
        <v>512</v>
      </c>
      <c r="B204" s="108">
        <v>2.0833333333333332E-2</v>
      </c>
      <c r="T204" s="23" t="s">
        <v>425</v>
      </c>
      <c r="U204" s="111">
        <v>1.5384615384615385E-2</v>
      </c>
    </row>
    <row r="205" spans="1:21" ht="14.4" x14ac:dyDescent="0.3">
      <c r="A205" s="23" t="s">
        <v>514</v>
      </c>
      <c r="B205" s="108">
        <v>2.0833333333333332E-2</v>
      </c>
      <c r="T205" s="23" t="s">
        <v>25576</v>
      </c>
      <c r="U205" s="111">
        <v>1.5384615384615385E-2</v>
      </c>
    </row>
    <row r="206" spans="1:21" ht="14.4" x14ac:dyDescent="0.3">
      <c r="A206" s="23" t="s">
        <v>515</v>
      </c>
      <c r="B206" s="108">
        <v>2.0833333333333332E-2</v>
      </c>
      <c r="T206" s="23" t="s">
        <v>25580</v>
      </c>
      <c r="U206" s="111">
        <v>1.5384615384615385E-2</v>
      </c>
    </row>
    <row r="207" spans="1:21" ht="14.4" x14ac:dyDescent="0.3">
      <c r="A207" s="23" t="s">
        <v>516</v>
      </c>
      <c r="B207" s="108">
        <v>2.0833333333333332E-2</v>
      </c>
      <c r="T207" s="23" t="s">
        <v>432</v>
      </c>
      <c r="U207" s="111">
        <v>1.5384615384615385E-2</v>
      </c>
    </row>
    <row r="208" spans="1:21" ht="14.4" x14ac:dyDescent="0.3">
      <c r="A208" s="23" t="s">
        <v>517</v>
      </c>
      <c r="B208" s="108">
        <v>2.0833333333333332E-2</v>
      </c>
      <c r="T208" s="23" t="s">
        <v>437</v>
      </c>
      <c r="U208" s="111">
        <v>1.5384615384615385E-2</v>
      </c>
    </row>
    <row r="209" spans="1:21" ht="14.4" x14ac:dyDescent="0.3">
      <c r="A209" s="23" t="s">
        <v>519</v>
      </c>
      <c r="B209" s="108">
        <v>2.0833333333333332E-2</v>
      </c>
      <c r="T209" s="23" t="s">
        <v>445</v>
      </c>
      <c r="U209" s="111">
        <v>1.5384615384615385E-2</v>
      </c>
    </row>
    <row r="210" spans="1:21" ht="14.4" x14ac:dyDescent="0.3">
      <c r="A210" s="23" t="s">
        <v>520</v>
      </c>
      <c r="B210" s="108">
        <v>2.0833333333333332E-2</v>
      </c>
      <c r="T210" s="23" t="s">
        <v>447</v>
      </c>
      <c r="U210" s="111">
        <v>1.5384615384615385E-2</v>
      </c>
    </row>
    <row r="211" spans="1:21" ht="14.4" x14ac:dyDescent="0.3">
      <c r="A211" s="23" t="s">
        <v>521</v>
      </c>
      <c r="B211" s="108">
        <v>2.0833333333333332E-2</v>
      </c>
      <c r="T211" s="23" t="s">
        <v>457</v>
      </c>
      <c r="U211" s="111">
        <v>1.5384615384615385E-2</v>
      </c>
    </row>
    <row r="212" spans="1:21" ht="14.4" x14ac:dyDescent="0.3">
      <c r="A212" s="23" t="s">
        <v>524</v>
      </c>
      <c r="B212" s="108">
        <v>2.0833333333333332E-2</v>
      </c>
      <c r="T212" s="23" t="s">
        <v>458</v>
      </c>
      <c r="U212" s="111">
        <v>1.5384615384615385E-2</v>
      </c>
    </row>
    <row r="213" spans="1:21" ht="14.4" x14ac:dyDescent="0.3">
      <c r="A213" s="23" t="s">
        <v>525</v>
      </c>
      <c r="B213" s="108">
        <v>2.0833333333333332E-2</v>
      </c>
      <c r="T213" s="23" t="s">
        <v>459</v>
      </c>
      <c r="U213" s="111">
        <v>1.5384615384615385E-2</v>
      </c>
    </row>
    <row r="214" spans="1:21" ht="14.4" x14ac:dyDescent="0.3">
      <c r="A214" s="23" t="s">
        <v>526</v>
      </c>
      <c r="B214" s="108">
        <v>2.0833333333333332E-2</v>
      </c>
      <c r="T214" s="23" t="s">
        <v>463</v>
      </c>
      <c r="U214" s="111">
        <v>1.5384615384615385E-2</v>
      </c>
    </row>
    <row r="215" spans="1:21" ht="14.4" x14ac:dyDescent="0.3">
      <c r="A215" s="23" t="s">
        <v>527</v>
      </c>
      <c r="B215" s="108">
        <v>2.0833333333333332E-2</v>
      </c>
      <c r="T215" s="23" t="s">
        <v>465</v>
      </c>
      <c r="U215" s="111">
        <v>1.5384615384615385E-2</v>
      </c>
    </row>
    <row r="216" spans="1:21" ht="14.4" x14ac:dyDescent="0.3">
      <c r="A216" s="23" t="s">
        <v>528</v>
      </c>
      <c r="B216" s="108">
        <v>2.0833333333333332E-2</v>
      </c>
      <c r="T216" s="23" t="s">
        <v>468</v>
      </c>
      <c r="U216" s="111">
        <v>1.5384615384615385E-2</v>
      </c>
    </row>
    <row r="217" spans="1:21" ht="14.4" x14ac:dyDescent="0.3">
      <c r="A217" s="23" t="s">
        <v>529</v>
      </c>
      <c r="B217" s="108">
        <v>2.0833333333333332E-2</v>
      </c>
      <c r="T217" s="23" t="s">
        <v>469</v>
      </c>
      <c r="U217" s="111">
        <v>1.5384615384615385E-2</v>
      </c>
    </row>
    <row r="218" spans="1:21" ht="14.4" x14ac:dyDescent="0.3">
      <c r="A218" s="23" t="s">
        <v>531</v>
      </c>
      <c r="B218" s="108">
        <v>2.0833333333333332E-2</v>
      </c>
      <c r="T218" s="23" t="s">
        <v>480</v>
      </c>
      <c r="U218" s="111">
        <v>1.5384615384615385E-2</v>
      </c>
    </row>
    <row r="219" spans="1:21" ht="14.4" x14ac:dyDescent="0.3">
      <c r="A219" s="23" t="s">
        <v>532</v>
      </c>
      <c r="B219" s="108">
        <v>2.0833333333333332E-2</v>
      </c>
      <c r="T219" s="23" t="s">
        <v>25639</v>
      </c>
      <c r="U219" s="111">
        <v>1.5384615384615385E-2</v>
      </c>
    </row>
    <row r="220" spans="1:21" ht="14.4" x14ac:dyDescent="0.3">
      <c r="A220" s="23" t="s">
        <v>533</v>
      </c>
      <c r="B220" s="108">
        <v>2.0833333333333332E-2</v>
      </c>
      <c r="T220" s="23" t="s">
        <v>484</v>
      </c>
      <c r="U220" s="111">
        <v>1.5384615384615385E-2</v>
      </c>
    </row>
    <row r="221" spans="1:21" ht="14.4" x14ac:dyDescent="0.3">
      <c r="A221" s="23" t="s">
        <v>534</v>
      </c>
      <c r="B221" s="108">
        <v>2.0833333333333332E-2</v>
      </c>
      <c r="T221" s="23" t="s">
        <v>486</v>
      </c>
      <c r="U221" s="111">
        <v>1.5384615384615385E-2</v>
      </c>
    </row>
    <row r="222" spans="1:21" ht="14.4" x14ac:dyDescent="0.3">
      <c r="A222" s="23" t="s">
        <v>538</v>
      </c>
      <c r="B222" s="108">
        <v>2.0833333333333332E-2</v>
      </c>
      <c r="T222" s="23" t="s">
        <v>490</v>
      </c>
      <c r="U222" s="111">
        <v>1.5384615384615385E-2</v>
      </c>
    </row>
    <row r="223" spans="1:21" ht="14.4" x14ac:dyDescent="0.3">
      <c r="A223" s="23" t="s">
        <v>540</v>
      </c>
      <c r="B223" s="108">
        <v>2.0833333333333332E-2</v>
      </c>
      <c r="T223" s="23" t="s">
        <v>493</v>
      </c>
      <c r="U223" s="111">
        <v>1.5384615384615385E-2</v>
      </c>
    </row>
    <row r="224" spans="1:21" ht="14.4" x14ac:dyDescent="0.3">
      <c r="A224" s="23" t="s">
        <v>542</v>
      </c>
      <c r="B224" s="108">
        <v>2.0833333333333332E-2</v>
      </c>
      <c r="T224" s="23" t="s">
        <v>498</v>
      </c>
      <c r="U224" s="111">
        <v>1.5384615384615385E-2</v>
      </c>
    </row>
    <row r="225" spans="1:21" ht="14.4" x14ac:dyDescent="0.3">
      <c r="A225" s="23" t="s">
        <v>544</v>
      </c>
      <c r="B225" s="108">
        <v>2.0833333333333332E-2</v>
      </c>
      <c r="T225" s="23" t="s">
        <v>504</v>
      </c>
      <c r="U225" s="111">
        <v>1.5384615384615385E-2</v>
      </c>
    </row>
    <row r="226" spans="1:21" ht="14.4" x14ac:dyDescent="0.3">
      <c r="A226" s="23" t="s">
        <v>548</v>
      </c>
      <c r="B226" s="108">
        <v>2.0833333333333332E-2</v>
      </c>
      <c r="T226" s="23" t="s">
        <v>506</v>
      </c>
      <c r="U226" s="111">
        <v>1.5384615384615385E-2</v>
      </c>
    </row>
    <row r="227" spans="1:21" ht="14.4" x14ac:dyDescent="0.3">
      <c r="A227" s="23" t="s">
        <v>554</v>
      </c>
      <c r="B227" s="108">
        <v>2.0833333333333332E-2</v>
      </c>
      <c r="T227" s="23" t="s">
        <v>17141</v>
      </c>
      <c r="U227" s="111">
        <v>1.5384615384615385E-2</v>
      </c>
    </row>
    <row r="228" spans="1:21" ht="14.4" x14ac:dyDescent="0.3">
      <c r="A228" s="23" t="s">
        <v>555</v>
      </c>
      <c r="B228" s="108">
        <v>2.0833333333333332E-2</v>
      </c>
      <c r="T228" s="23" t="s">
        <v>510</v>
      </c>
      <c r="U228" s="111">
        <v>1.5384615384615385E-2</v>
      </c>
    </row>
    <row r="229" spans="1:21" ht="14.4" x14ac:dyDescent="0.3">
      <c r="A229" s="23" t="s">
        <v>557</v>
      </c>
      <c r="B229" s="108">
        <v>2.0833333333333332E-2</v>
      </c>
      <c r="T229" s="23" t="s">
        <v>511</v>
      </c>
      <c r="U229" s="111">
        <v>1.5384615384615385E-2</v>
      </c>
    </row>
    <row r="230" spans="1:21" ht="14.4" x14ac:dyDescent="0.3">
      <c r="A230" s="23" t="s">
        <v>558</v>
      </c>
      <c r="B230" s="108">
        <v>2.0833333333333332E-2</v>
      </c>
      <c r="T230" s="23" t="s">
        <v>512</v>
      </c>
      <c r="U230" s="111">
        <v>1.5384615384615385E-2</v>
      </c>
    </row>
    <row r="231" spans="1:21" ht="14.4" x14ac:dyDescent="0.3">
      <c r="A231" s="23" t="s">
        <v>560</v>
      </c>
      <c r="B231" s="108">
        <v>2.0833333333333332E-2</v>
      </c>
      <c r="T231" s="23" t="s">
        <v>514</v>
      </c>
      <c r="U231" s="111">
        <v>1.5384615384615385E-2</v>
      </c>
    </row>
    <row r="232" spans="1:21" ht="14.4" x14ac:dyDescent="0.3">
      <c r="A232" s="23" t="s">
        <v>561</v>
      </c>
      <c r="B232" s="108">
        <v>2.0833333333333332E-2</v>
      </c>
      <c r="T232" s="23" t="s">
        <v>515</v>
      </c>
      <c r="U232" s="111">
        <v>1.5384615384615385E-2</v>
      </c>
    </row>
    <row r="233" spans="1:21" ht="14.4" x14ac:dyDescent="0.3">
      <c r="A233" s="23" t="s">
        <v>562</v>
      </c>
      <c r="B233" s="108">
        <v>2.0833333333333332E-2</v>
      </c>
      <c r="T233" s="23" t="s">
        <v>516</v>
      </c>
      <c r="U233" s="111">
        <v>1.5384615384615385E-2</v>
      </c>
    </row>
    <row r="234" spans="1:21" ht="14.4" x14ac:dyDescent="0.3">
      <c r="A234" s="23" t="s">
        <v>567</v>
      </c>
      <c r="B234" s="108">
        <v>2.0833333333333332E-2</v>
      </c>
      <c r="T234" s="23" t="s">
        <v>517</v>
      </c>
      <c r="U234" s="111">
        <v>1.5384615384615385E-2</v>
      </c>
    </row>
    <row r="235" spans="1:21" ht="14.4" x14ac:dyDescent="0.3">
      <c r="A235" s="23" t="s">
        <v>569</v>
      </c>
      <c r="B235" s="108">
        <v>2.0833333333333332E-2</v>
      </c>
      <c r="T235" s="23" t="s">
        <v>519</v>
      </c>
      <c r="U235" s="111">
        <v>1.5384615384615385E-2</v>
      </c>
    </row>
    <row r="236" spans="1:21" ht="14.4" x14ac:dyDescent="0.3">
      <c r="A236" s="23" t="s">
        <v>570</v>
      </c>
      <c r="B236" s="108">
        <v>2.0833333333333332E-2</v>
      </c>
      <c r="T236" s="23" t="s">
        <v>520</v>
      </c>
      <c r="U236" s="111">
        <v>1.5384615384615385E-2</v>
      </c>
    </row>
    <row r="237" spans="1:21" ht="14.4" x14ac:dyDescent="0.3">
      <c r="A237" s="23" t="s">
        <v>571</v>
      </c>
      <c r="B237" s="108">
        <v>2.0833333333333332E-2</v>
      </c>
      <c r="T237" s="23" t="s">
        <v>521</v>
      </c>
      <c r="U237" s="111">
        <v>1.5384615384615385E-2</v>
      </c>
    </row>
    <row r="238" spans="1:21" ht="14.4" x14ac:dyDescent="0.3">
      <c r="A238" s="23" t="s">
        <v>572</v>
      </c>
      <c r="B238" s="108">
        <v>2.0833333333333332E-2</v>
      </c>
      <c r="T238" s="23" t="s">
        <v>25695</v>
      </c>
      <c r="U238" s="111">
        <v>1.5384615384615385E-2</v>
      </c>
    </row>
    <row r="239" spans="1:21" ht="14.4" x14ac:dyDescent="0.3">
      <c r="A239" s="23" t="s">
        <v>573</v>
      </c>
      <c r="B239" s="108">
        <v>2.0833333333333332E-2</v>
      </c>
      <c r="T239" s="23" t="s">
        <v>25699</v>
      </c>
      <c r="U239" s="111">
        <v>1.5384615384615385E-2</v>
      </c>
    </row>
    <row r="240" spans="1:21" ht="14.4" x14ac:dyDescent="0.3">
      <c r="A240" s="23" t="s">
        <v>574</v>
      </c>
      <c r="B240" s="108">
        <v>2.0833333333333332E-2</v>
      </c>
      <c r="T240" s="23" t="s">
        <v>531</v>
      </c>
      <c r="U240" s="111">
        <v>1.5384615384615385E-2</v>
      </c>
    </row>
    <row r="241" spans="1:21" ht="14.4" x14ac:dyDescent="0.3">
      <c r="A241" s="23" t="s">
        <v>579</v>
      </c>
      <c r="B241" s="108">
        <v>2.0833333333333332E-2</v>
      </c>
      <c r="T241" s="23" t="s">
        <v>25705</v>
      </c>
      <c r="U241" s="111">
        <v>1.5384615384615385E-2</v>
      </c>
    </row>
    <row r="242" spans="1:21" ht="14.4" x14ac:dyDescent="0.3">
      <c r="A242" s="23" t="s">
        <v>580</v>
      </c>
      <c r="B242" s="108">
        <v>2.0833333333333332E-2</v>
      </c>
      <c r="T242" s="23" t="s">
        <v>533</v>
      </c>
      <c r="U242" s="111">
        <v>1.5384615384615385E-2</v>
      </c>
    </row>
    <row r="243" spans="1:21" ht="14.4" x14ac:dyDescent="0.3">
      <c r="A243" s="23" t="s">
        <v>581</v>
      </c>
      <c r="B243" s="108">
        <v>2.0833333333333332E-2</v>
      </c>
      <c r="T243" s="23" t="s">
        <v>534</v>
      </c>
      <c r="U243" s="111">
        <v>1.5384615384615385E-2</v>
      </c>
    </row>
    <row r="244" spans="1:21" ht="14.4" x14ac:dyDescent="0.3">
      <c r="A244" s="23" t="s">
        <v>583</v>
      </c>
      <c r="B244" s="108">
        <v>2.0833333333333332E-2</v>
      </c>
      <c r="T244" s="23" t="s">
        <v>25716</v>
      </c>
      <c r="U244" s="111">
        <v>1.5384615384615385E-2</v>
      </c>
    </row>
    <row r="245" spans="1:21" ht="14.4" x14ac:dyDescent="0.3">
      <c r="A245" s="23" t="s">
        <v>584</v>
      </c>
      <c r="B245" s="108">
        <v>2.0833333333333332E-2</v>
      </c>
      <c r="T245" s="23" t="s">
        <v>542</v>
      </c>
      <c r="U245" s="111">
        <v>1.5384615384615385E-2</v>
      </c>
    </row>
    <row r="246" spans="1:21" ht="14.4" x14ac:dyDescent="0.3">
      <c r="A246" s="23" t="s">
        <v>585</v>
      </c>
      <c r="B246" s="108">
        <v>2.0833333333333332E-2</v>
      </c>
      <c r="T246" s="23" t="s">
        <v>544</v>
      </c>
      <c r="U246" s="111">
        <v>1.5384615384615385E-2</v>
      </c>
    </row>
    <row r="247" spans="1:21" ht="14.4" x14ac:dyDescent="0.3">
      <c r="A247" s="23" t="s">
        <v>587</v>
      </c>
      <c r="B247" s="108">
        <v>2.0833333333333332E-2</v>
      </c>
      <c r="T247" s="23" t="s">
        <v>548</v>
      </c>
      <c r="U247" s="111">
        <v>1.5384615384615385E-2</v>
      </c>
    </row>
    <row r="248" spans="1:21" ht="14.4" x14ac:dyDescent="0.3">
      <c r="A248" s="23" t="s">
        <v>588</v>
      </c>
      <c r="B248" s="108">
        <v>2.0833333333333332E-2</v>
      </c>
      <c r="T248" s="23" t="s">
        <v>555</v>
      </c>
      <c r="U248" s="111">
        <v>1.5384615384615385E-2</v>
      </c>
    </row>
    <row r="249" spans="1:21" ht="14.4" x14ac:dyDescent="0.3">
      <c r="A249" s="23" t="s">
        <v>589</v>
      </c>
      <c r="B249" s="108">
        <v>2.0833333333333332E-2</v>
      </c>
      <c r="T249" s="23" t="s">
        <v>557</v>
      </c>
      <c r="U249" s="111">
        <v>1.5384615384615385E-2</v>
      </c>
    </row>
    <row r="250" spans="1:21" ht="14.4" x14ac:dyDescent="0.3">
      <c r="A250" s="23" t="s">
        <v>590</v>
      </c>
      <c r="B250" s="108">
        <v>2.0833333333333332E-2</v>
      </c>
      <c r="T250" s="23" t="s">
        <v>558</v>
      </c>
      <c r="U250" s="111">
        <v>1.5384615384615385E-2</v>
      </c>
    </row>
    <row r="251" spans="1:21" ht="14.4" x14ac:dyDescent="0.3">
      <c r="A251" s="23" t="s">
        <v>592</v>
      </c>
      <c r="B251" s="108">
        <v>2.0833333333333332E-2</v>
      </c>
      <c r="T251" s="23" t="s">
        <v>560</v>
      </c>
      <c r="U251" s="111">
        <v>1.5384615384615385E-2</v>
      </c>
    </row>
    <row r="252" spans="1:21" ht="14.4" x14ac:dyDescent="0.3">
      <c r="A252" s="23" t="s">
        <v>594</v>
      </c>
      <c r="B252" s="108">
        <v>2.0833333333333332E-2</v>
      </c>
      <c r="T252" s="23" t="s">
        <v>561</v>
      </c>
      <c r="U252" s="111">
        <v>1.5384615384615385E-2</v>
      </c>
    </row>
    <row r="253" spans="1:21" ht="14.4" x14ac:dyDescent="0.3">
      <c r="A253" s="23" t="s">
        <v>595</v>
      </c>
      <c r="B253" s="108">
        <v>2.0833333333333332E-2</v>
      </c>
      <c r="T253" s="23" t="s">
        <v>562</v>
      </c>
      <c r="U253" s="111">
        <v>1.5384615384615385E-2</v>
      </c>
    </row>
    <row r="254" spans="1:21" ht="14.4" x14ac:dyDescent="0.3">
      <c r="A254" s="23" t="s">
        <v>596</v>
      </c>
      <c r="B254" s="108">
        <v>2.0833333333333332E-2</v>
      </c>
      <c r="T254" s="23" t="s">
        <v>569</v>
      </c>
      <c r="U254" s="111">
        <v>1.5384615384615385E-2</v>
      </c>
    </row>
    <row r="255" spans="1:21" ht="14.4" x14ac:dyDescent="0.3">
      <c r="A255" s="23" t="s">
        <v>597</v>
      </c>
      <c r="B255" s="108">
        <v>2.0833333333333332E-2</v>
      </c>
      <c r="T255" s="23" t="s">
        <v>571</v>
      </c>
      <c r="U255" s="111">
        <v>1.5384615384615385E-2</v>
      </c>
    </row>
    <row r="256" spans="1:21" ht="14.4" x14ac:dyDescent="0.3">
      <c r="A256" s="23" t="s">
        <v>598</v>
      </c>
      <c r="B256" s="108">
        <v>2.0833333333333332E-2</v>
      </c>
      <c r="T256" s="23" t="s">
        <v>573</v>
      </c>
      <c r="U256" s="111">
        <v>1.5384615384615385E-2</v>
      </c>
    </row>
    <row r="257" spans="1:21" ht="14.4" x14ac:dyDescent="0.3">
      <c r="A257" s="23" t="s">
        <v>599</v>
      </c>
      <c r="B257" s="108">
        <v>2.0833333333333332E-2</v>
      </c>
      <c r="T257" s="23" t="s">
        <v>574</v>
      </c>
      <c r="U257" s="111">
        <v>1.5384615384615385E-2</v>
      </c>
    </row>
    <row r="258" spans="1:21" ht="14.4" x14ac:dyDescent="0.3">
      <c r="A258" s="23" t="s">
        <v>600</v>
      </c>
      <c r="B258" s="108">
        <v>2.0833333333333332E-2</v>
      </c>
      <c r="T258" s="23" t="s">
        <v>579</v>
      </c>
      <c r="U258" s="111">
        <v>1.5384615384615385E-2</v>
      </c>
    </row>
    <row r="259" spans="1:21" ht="14.4" x14ac:dyDescent="0.3">
      <c r="A259" s="23" t="s">
        <v>601</v>
      </c>
      <c r="B259" s="108">
        <v>2.0833333333333332E-2</v>
      </c>
      <c r="T259" s="23" t="s">
        <v>581</v>
      </c>
      <c r="U259" s="111">
        <v>1.5384615384615385E-2</v>
      </c>
    </row>
    <row r="260" spans="1:21" ht="14.4" x14ac:dyDescent="0.3">
      <c r="A260" s="23" t="s">
        <v>602</v>
      </c>
      <c r="B260" s="108">
        <v>2.0833333333333332E-2</v>
      </c>
      <c r="T260" s="23" t="s">
        <v>17236</v>
      </c>
      <c r="U260" s="111">
        <v>1.5384615384615385E-2</v>
      </c>
    </row>
    <row r="261" spans="1:21" ht="14.4" x14ac:dyDescent="0.3">
      <c r="A261" s="23" t="s">
        <v>603</v>
      </c>
      <c r="B261" s="108">
        <v>2.0833333333333332E-2</v>
      </c>
      <c r="T261" s="23" t="s">
        <v>584</v>
      </c>
      <c r="U261" s="111">
        <v>1.5384615384615385E-2</v>
      </c>
    </row>
    <row r="262" spans="1:21" ht="14.4" x14ac:dyDescent="0.3">
      <c r="A262" s="23" t="s">
        <v>604</v>
      </c>
      <c r="B262" s="108">
        <v>2.0833333333333332E-2</v>
      </c>
      <c r="T262" s="23" t="s">
        <v>588</v>
      </c>
      <c r="U262" s="111">
        <v>1.5384615384615385E-2</v>
      </c>
    </row>
    <row r="263" spans="1:21" ht="14.4" x14ac:dyDescent="0.3">
      <c r="A263" s="23" t="s">
        <v>605</v>
      </c>
      <c r="B263" s="108">
        <v>2.0833333333333332E-2</v>
      </c>
      <c r="T263" s="23" t="s">
        <v>589</v>
      </c>
      <c r="U263" s="111">
        <v>1.5384615384615385E-2</v>
      </c>
    </row>
    <row r="264" spans="1:21" ht="14.4" x14ac:dyDescent="0.3">
      <c r="A264" s="23" t="s">
        <v>606</v>
      </c>
      <c r="B264" s="108">
        <v>2.0833333333333332E-2</v>
      </c>
      <c r="T264" s="23" t="s">
        <v>592</v>
      </c>
      <c r="U264" s="111">
        <v>1.5384615384615385E-2</v>
      </c>
    </row>
    <row r="265" spans="1:21" ht="14.4" x14ac:dyDescent="0.3">
      <c r="A265" s="23" t="s">
        <v>609</v>
      </c>
      <c r="B265" s="108">
        <v>2.0833333333333332E-2</v>
      </c>
      <c r="T265" s="23" t="s">
        <v>597</v>
      </c>
      <c r="U265" s="111">
        <v>1.5384615384615385E-2</v>
      </c>
    </row>
    <row r="266" spans="1:21" ht="14.4" x14ac:dyDescent="0.3">
      <c r="A266" s="23" t="s">
        <v>610</v>
      </c>
      <c r="B266" s="108">
        <v>2.0833333333333332E-2</v>
      </c>
      <c r="T266" s="23" t="s">
        <v>26040</v>
      </c>
      <c r="U266" s="111">
        <v>1.5384615384615385E-2</v>
      </c>
    </row>
    <row r="267" spans="1:21" ht="14.4" x14ac:dyDescent="0.3">
      <c r="A267" s="23" t="s">
        <v>612</v>
      </c>
      <c r="B267" s="108">
        <v>2.0833333333333332E-2</v>
      </c>
      <c r="T267" s="23" t="s">
        <v>25765</v>
      </c>
      <c r="U267" s="111">
        <v>1.5384615384615385E-2</v>
      </c>
    </row>
    <row r="268" spans="1:21" ht="14.4" x14ac:dyDescent="0.3">
      <c r="A268" s="23" t="s">
        <v>613</v>
      </c>
      <c r="B268" s="108">
        <v>2.0833333333333332E-2</v>
      </c>
      <c r="T268" s="23" t="s">
        <v>603</v>
      </c>
      <c r="U268" s="111">
        <v>1.5384615384615385E-2</v>
      </c>
    </row>
    <row r="269" spans="1:21" ht="14.4" x14ac:dyDescent="0.3">
      <c r="A269" s="23" t="s">
        <v>614</v>
      </c>
      <c r="B269" s="108">
        <v>2.0833333333333332E-2</v>
      </c>
      <c r="T269" s="23" t="s">
        <v>17276</v>
      </c>
      <c r="U269" s="111">
        <v>1.5384615384615385E-2</v>
      </c>
    </row>
    <row r="270" spans="1:21" ht="14.4" x14ac:dyDescent="0.3">
      <c r="A270" s="23" t="s">
        <v>615</v>
      </c>
      <c r="B270" s="108">
        <v>2.0833333333333332E-2</v>
      </c>
      <c r="T270" s="23" t="s">
        <v>605</v>
      </c>
      <c r="U270" s="111">
        <v>1.5384615384615385E-2</v>
      </c>
    </row>
    <row r="271" spans="1:21" ht="14.4" x14ac:dyDescent="0.3">
      <c r="A271" s="23" t="s">
        <v>616</v>
      </c>
      <c r="B271" s="108">
        <v>2.0833333333333332E-2</v>
      </c>
      <c r="T271" s="23" t="s">
        <v>17279</v>
      </c>
      <c r="U271" s="111">
        <v>1.5384615384615385E-2</v>
      </c>
    </row>
    <row r="272" spans="1:21" ht="14.4" x14ac:dyDescent="0.3">
      <c r="A272" s="23" t="s">
        <v>617</v>
      </c>
      <c r="B272" s="108">
        <v>2.0833333333333332E-2</v>
      </c>
      <c r="T272" s="23" t="s">
        <v>609</v>
      </c>
      <c r="U272" s="111">
        <v>1.5384615384615385E-2</v>
      </c>
    </row>
    <row r="273" spans="1:21" ht="14.4" x14ac:dyDescent="0.3">
      <c r="A273" s="23" t="s">
        <v>618</v>
      </c>
      <c r="B273" s="108">
        <v>2.0833333333333332E-2</v>
      </c>
      <c r="T273" s="23" t="s">
        <v>612</v>
      </c>
      <c r="U273" s="111">
        <v>1.5384615384615385E-2</v>
      </c>
    </row>
    <row r="274" spans="1:21" ht="14.4" x14ac:dyDescent="0.3">
      <c r="A274" s="23" t="s">
        <v>619</v>
      </c>
      <c r="B274" s="108">
        <v>2.0833333333333332E-2</v>
      </c>
      <c r="T274" s="23" t="s">
        <v>25810</v>
      </c>
      <c r="U274" s="111">
        <v>1.5384615384615385E-2</v>
      </c>
    </row>
    <row r="275" spans="1:21" ht="14.4" x14ac:dyDescent="0.3">
      <c r="A275" s="23" t="s">
        <v>621</v>
      </c>
      <c r="B275" s="108">
        <v>2.0833333333333332E-2</v>
      </c>
      <c r="T275" s="23" t="s">
        <v>17290</v>
      </c>
      <c r="U275" s="111">
        <v>1.5384615384615385E-2</v>
      </c>
    </row>
    <row r="276" spans="1:21" ht="14.4" x14ac:dyDescent="0.3">
      <c r="A276" s="23" t="s">
        <v>624</v>
      </c>
      <c r="B276" s="108">
        <v>2.0833333333333332E-2</v>
      </c>
      <c r="T276" s="23" t="s">
        <v>17291</v>
      </c>
      <c r="U276" s="111">
        <v>1.5384615384615385E-2</v>
      </c>
    </row>
    <row r="277" spans="1:21" ht="14.4" x14ac:dyDescent="0.3">
      <c r="A277" s="23" t="s">
        <v>626</v>
      </c>
      <c r="B277" s="108">
        <v>2.0833333333333332E-2</v>
      </c>
      <c r="T277" s="23" t="s">
        <v>25816</v>
      </c>
      <c r="U277" s="111">
        <v>1.5384615384615385E-2</v>
      </c>
    </row>
    <row r="278" spans="1:21" ht="14.4" x14ac:dyDescent="0.3">
      <c r="A278" s="23" t="s">
        <v>630</v>
      </c>
      <c r="B278" s="108">
        <v>2.0833333333333332E-2</v>
      </c>
      <c r="T278" s="23" t="s">
        <v>25819</v>
      </c>
      <c r="U278" s="111">
        <v>1.5384615384615385E-2</v>
      </c>
    </row>
    <row r="279" spans="1:21" ht="14.4" x14ac:dyDescent="0.3">
      <c r="A279" s="23" t="s">
        <v>631</v>
      </c>
      <c r="B279" s="108">
        <v>2.0833333333333332E-2</v>
      </c>
      <c r="T279" s="23" t="s">
        <v>619</v>
      </c>
      <c r="U279" s="111">
        <v>1.5384615384615385E-2</v>
      </c>
    </row>
    <row r="280" spans="1:21" ht="14.4" x14ac:dyDescent="0.3">
      <c r="A280" s="23" t="s">
        <v>632</v>
      </c>
      <c r="B280" s="108">
        <v>2.0833333333333332E-2</v>
      </c>
      <c r="T280" s="23" t="s">
        <v>25869</v>
      </c>
      <c r="U280" s="111">
        <v>1.5384615384615385E-2</v>
      </c>
    </row>
    <row r="281" spans="1:21" ht="14.4" x14ac:dyDescent="0.3">
      <c r="A281" s="23" t="s">
        <v>633</v>
      </c>
      <c r="B281" s="108">
        <v>2.0833333333333332E-2</v>
      </c>
      <c r="T281" s="23" t="s">
        <v>624</v>
      </c>
      <c r="U281" s="111">
        <v>1.5384615384615385E-2</v>
      </c>
    </row>
    <row r="282" spans="1:21" ht="14.4" x14ac:dyDescent="0.3">
      <c r="A282" s="23" t="s">
        <v>634</v>
      </c>
      <c r="B282" s="108">
        <v>2.0833333333333332E-2</v>
      </c>
      <c r="T282" s="23" t="s">
        <v>630</v>
      </c>
      <c r="U282" s="111">
        <v>1.5384615384615385E-2</v>
      </c>
    </row>
    <row r="283" spans="1:21" ht="14.4" x14ac:dyDescent="0.3">
      <c r="A283" s="23" t="s">
        <v>635</v>
      </c>
      <c r="B283" s="108">
        <v>2.0833333333333332E-2</v>
      </c>
      <c r="T283" s="23" t="s">
        <v>631</v>
      </c>
      <c r="U283" s="111">
        <v>1.5384615384615385E-2</v>
      </c>
    </row>
    <row r="284" spans="1:21" ht="14.4" x14ac:dyDescent="0.3">
      <c r="A284" s="23" t="s">
        <v>636</v>
      </c>
      <c r="B284" s="108">
        <v>2.0833333333333332E-2</v>
      </c>
      <c r="T284" s="23" t="s">
        <v>632</v>
      </c>
      <c r="U284" s="111">
        <v>1.5384615384615385E-2</v>
      </c>
    </row>
    <row r="285" spans="1:21" ht="14.4" x14ac:dyDescent="0.3">
      <c r="A285" s="23" t="s">
        <v>637</v>
      </c>
      <c r="B285" s="108">
        <v>2.0833333333333332E-2</v>
      </c>
      <c r="T285" s="23" t="s">
        <v>633</v>
      </c>
      <c r="U285" s="111">
        <v>1.5384615384615385E-2</v>
      </c>
    </row>
    <row r="286" spans="1:21" ht="14.4" x14ac:dyDescent="0.3">
      <c r="A286" s="23" t="s">
        <v>638</v>
      </c>
      <c r="B286" s="108">
        <v>2.0833333333333332E-2</v>
      </c>
      <c r="T286" s="23" t="s">
        <v>634</v>
      </c>
      <c r="U286" s="111">
        <v>1.5384615384615385E-2</v>
      </c>
    </row>
    <row r="287" spans="1:21" ht="14.4" x14ac:dyDescent="0.3">
      <c r="A287" s="23" t="s">
        <v>639</v>
      </c>
      <c r="B287" s="108">
        <v>2.0833333333333332E-2</v>
      </c>
      <c r="T287" s="23" t="s">
        <v>635</v>
      </c>
      <c r="U287" s="111">
        <v>1.5384615384615385E-2</v>
      </c>
    </row>
    <row r="288" spans="1:21" x14ac:dyDescent="0.25">
      <c r="A288" s="23" t="s">
        <v>640</v>
      </c>
      <c r="B288" s="23">
        <v>2.0833333333333332E-2</v>
      </c>
      <c r="T288" s="23" t="s">
        <v>636</v>
      </c>
      <c r="U288" s="111">
        <v>1.5384615384615385E-2</v>
      </c>
    </row>
    <row r="289" spans="1:21" ht="14.4" x14ac:dyDescent="0.3">
      <c r="A289" s="23" t="s">
        <v>385</v>
      </c>
      <c r="B289" s="108">
        <v>0</v>
      </c>
      <c r="T289" s="23" t="s">
        <v>637</v>
      </c>
      <c r="U289" s="111">
        <v>1.5384615384615385E-2</v>
      </c>
    </row>
    <row r="290" spans="1:21" ht="14.4" x14ac:dyDescent="0.3">
      <c r="A290" s="23" t="s">
        <v>387</v>
      </c>
      <c r="B290" s="108">
        <v>0</v>
      </c>
      <c r="T290" s="23" t="s">
        <v>639</v>
      </c>
      <c r="U290" s="111">
        <v>1.5384615384615385E-2</v>
      </c>
    </row>
    <row r="291" spans="1:21" ht="14.4" x14ac:dyDescent="0.3">
      <c r="A291" s="23" t="s">
        <v>413</v>
      </c>
      <c r="B291" s="108">
        <v>0</v>
      </c>
      <c r="T291" s="23" t="s">
        <v>17316</v>
      </c>
      <c r="U291" s="111">
        <v>1.5384615384615385E-2</v>
      </c>
    </row>
    <row r="292" spans="1:21" ht="14.4" x14ac:dyDescent="0.3">
      <c r="A292" s="23" t="s">
        <v>436</v>
      </c>
      <c r="B292" s="108">
        <v>0</v>
      </c>
      <c r="T292" s="23" t="s">
        <v>25800</v>
      </c>
      <c r="U292" s="111">
        <v>1.5384615384615385E-2</v>
      </c>
    </row>
    <row r="293" spans="1:21" ht="14.4" x14ac:dyDescent="0.3">
      <c r="A293" s="23" t="s">
        <v>438</v>
      </c>
      <c r="B293" s="108">
        <v>0</v>
      </c>
      <c r="T293" s="23" t="s">
        <v>17333</v>
      </c>
      <c r="U293" s="111">
        <v>1.5384615384615385E-2</v>
      </c>
    </row>
    <row r="294" spans="1:21" ht="14.4" x14ac:dyDescent="0.3">
      <c r="A294" s="23" t="s">
        <v>439</v>
      </c>
      <c r="B294" s="108">
        <v>0</v>
      </c>
      <c r="T294" s="23" t="s">
        <v>17334</v>
      </c>
      <c r="U294" s="111">
        <v>1.5384615384615385E-2</v>
      </c>
    </row>
    <row r="295" spans="1:21" ht="14.4" x14ac:dyDescent="0.3">
      <c r="A295" s="23" t="s">
        <v>440</v>
      </c>
      <c r="B295" s="108">
        <v>0</v>
      </c>
      <c r="T295" s="23" t="s">
        <v>25799</v>
      </c>
      <c r="U295" s="111">
        <v>1.5384615384615385E-2</v>
      </c>
    </row>
    <row r="296" spans="1:21" ht="14.4" x14ac:dyDescent="0.3">
      <c r="A296" s="23" t="s">
        <v>442</v>
      </c>
      <c r="B296" s="108">
        <v>0</v>
      </c>
      <c r="T296" s="23" t="s">
        <v>17337</v>
      </c>
      <c r="U296" s="111">
        <v>1.5384615384615385E-2</v>
      </c>
    </row>
    <row r="297" spans="1:21" ht="14.4" x14ac:dyDescent="0.3">
      <c r="A297" s="23" t="s">
        <v>444</v>
      </c>
      <c r="B297" s="108">
        <v>0</v>
      </c>
      <c r="T297" s="23" t="s">
        <v>17340</v>
      </c>
      <c r="U297" s="111">
        <v>1.5384615384615385E-2</v>
      </c>
    </row>
    <row r="298" spans="1:21" x14ac:dyDescent="0.25">
      <c r="T298" s="23" t="s">
        <v>17341</v>
      </c>
      <c r="U298" s="111">
        <v>1.5384615384615385E-2</v>
      </c>
    </row>
    <row r="299" spans="1:21" x14ac:dyDescent="0.25">
      <c r="T299" s="23" t="s">
        <v>17360</v>
      </c>
      <c r="U299" s="111">
        <v>1.5384615384615385E-2</v>
      </c>
    </row>
    <row r="300" spans="1:21" x14ac:dyDescent="0.25">
      <c r="T300" s="23" t="s">
        <v>17353</v>
      </c>
      <c r="U300" s="111">
        <v>1.5384615384615385E-2</v>
      </c>
    </row>
    <row r="301" spans="1:21" x14ac:dyDescent="0.25">
      <c r="T301" s="23" t="s">
        <v>17357</v>
      </c>
      <c r="U301" s="111">
        <v>1.5384615384615385E-2</v>
      </c>
    </row>
    <row r="302" spans="1:21" x14ac:dyDescent="0.25">
      <c r="T302" s="23" t="s">
        <v>17366</v>
      </c>
      <c r="U302" s="111">
        <v>1.5384615384615385E-2</v>
      </c>
    </row>
    <row r="303" spans="1:21" x14ac:dyDescent="0.25">
      <c r="T303" s="23" t="s">
        <v>17367</v>
      </c>
      <c r="U303" s="111">
        <v>1.5384615384615385E-2</v>
      </c>
    </row>
    <row r="304" spans="1:21" x14ac:dyDescent="0.25">
      <c r="T304" s="23" t="s">
        <v>17374</v>
      </c>
      <c r="U304" s="111">
        <v>1.5384615384615385E-2</v>
      </c>
    </row>
    <row r="305" spans="20:21" x14ac:dyDescent="0.25">
      <c r="T305" s="23" t="s">
        <v>17375</v>
      </c>
      <c r="U305" s="111">
        <v>1.5384615384615385E-2</v>
      </c>
    </row>
    <row r="306" spans="20:21" x14ac:dyDescent="0.25">
      <c r="T306" s="23" t="s">
        <v>17376</v>
      </c>
      <c r="U306" s="111">
        <v>1.5384615384615385E-2</v>
      </c>
    </row>
    <row r="307" spans="20:21" x14ac:dyDescent="0.25">
      <c r="T307" s="23" t="s">
        <v>17377</v>
      </c>
      <c r="U307" s="111">
        <v>1.5384615384615385E-2</v>
      </c>
    </row>
    <row r="308" spans="20:21" x14ac:dyDescent="0.25">
      <c r="T308" s="23" t="s">
        <v>17378</v>
      </c>
      <c r="U308" s="111">
        <v>1.5384615384615385E-2</v>
      </c>
    </row>
    <row r="309" spans="20:21" x14ac:dyDescent="0.25">
      <c r="T309" s="23" t="s">
        <v>25808</v>
      </c>
      <c r="U309" s="111">
        <v>1.5384615384615385E-2</v>
      </c>
    </row>
    <row r="310" spans="20:21" x14ac:dyDescent="0.25">
      <c r="T310" s="23" t="s">
        <v>25524</v>
      </c>
      <c r="U310" s="111">
        <v>1.5384615384615385E-2</v>
      </c>
    </row>
    <row r="311" spans="20:21" x14ac:dyDescent="0.25">
      <c r="T311" s="23" t="s">
        <v>25526</v>
      </c>
      <c r="U311" s="111">
        <v>1.5384615384615385E-2</v>
      </c>
    </row>
    <row r="312" spans="20:21" x14ac:dyDescent="0.25">
      <c r="T312" s="23" t="s">
        <v>25533</v>
      </c>
      <c r="U312" s="111">
        <v>1.5384615384615385E-2</v>
      </c>
    </row>
    <row r="313" spans="20:21" x14ac:dyDescent="0.25">
      <c r="T313" s="23" t="s">
        <v>385</v>
      </c>
      <c r="U313" s="111">
        <v>0</v>
      </c>
    </row>
    <row r="314" spans="20:21" x14ac:dyDescent="0.25">
      <c r="T314" s="23" t="s">
        <v>387</v>
      </c>
      <c r="U314" s="111">
        <v>0</v>
      </c>
    </row>
    <row r="315" spans="20:21" x14ac:dyDescent="0.25">
      <c r="T315" s="23" t="s">
        <v>413</v>
      </c>
      <c r="U315" s="111">
        <v>0</v>
      </c>
    </row>
    <row r="316" spans="20:21" x14ac:dyDescent="0.25">
      <c r="T316" s="23" t="s">
        <v>436</v>
      </c>
      <c r="U316" s="111">
        <v>0</v>
      </c>
    </row>
    <row r="317" spans="20:21" x14ac:dyDescent="0.25">
      <c r="T317" s="23" t="s">
        <v>438</v>
      </c>
      <c r="U317" s="111">
        <v>0</v>
      </c>
    </row>
    <row r="318" spans="20:21" x14ac:dyDescent="0.25">
      <c r="T318" s="23" t="s">
        <v>439</v>
      </c>
      <c r="U318" s="111">
        <v>0</v>
      </c>
    </row>
    <row r="319" spans="20:21" x14ac:dyDescent="0.25">
      <c r="T319" s="23" t="s">
        <v>440</v>
      </c>
      <c r="U319" s="111">
        <v>0</v>
      </c>
    </row>
    <row r="320" spans="20:21" x14ac:dyDescent="0.25">
      <c r="T320" s="23" t="s">
        <v>17037</v>
      </c>
      <c r="U320" s="111">
        <v>0</v>
      </c>
    </row>
    <row r="321" spans="20:21" x14ac:dyDescent="0.25">
      <c r="T321" s="23" t="s">
        <v>444</v>
      </c>
      <c r="U321" s="111">
        <v>0</v>
      </c>
    </row>
  </sheetData>
  <sortState xmlns:xlrd2="http://schemas.microsoft.com/office/spreadsheetml/2017/richdata2" ref="S2:U15">
    <sortCondition ref="U8:U15"/>
  </sortState>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AF424-D21F-4D04-B1F2-4AD23021CEF2}">
  <sheetPr filterMode="1"/>
  <dimension ref="A2:N195"/>
  <sheetViews>
    <sheetView zoomScaleNormal="100" workbookViewId="0">
      <pane ySplit="2" topLeftCell="A7" activePane="bottomLeft" state="frozen"/>
      <selection activeCell="H20" sqref="H20"/>
      <selection pane="bottomLeft" activeCell="H20" sqref="H20"/>
    </sheetView>
  </sheetViews>
  <sheetFormatPr defaultColWidth="8.88671875" defaultRowHeight="39" customHeight="1" x14ac:dyDescent="0.3"/>
  <cols>
    <col min="1" max="1" width="10.44140625" style="115" bestFit="1" customWidth="1"/>
    <col min="2" max="2" width="2.5546875" style="115" hidden="1" customWidth="1"/>
    <col min="3" max="3" width="36.6640625" style="115" customWidth="1"/>
    <col min="4" max="4" width="54.44140625" style="116" customWidth="1"/>
    <col min="5" max="5" width="11.88671875" style="115" customWidth="1"/>
    <col min="6" max="6" width="53.6640625" style="115" customWidth="1"/>
    <col min="7" max="7" width="26" style="117" customWidth="1"/>
    <col min="8" max="8" width="9.33203125" style="117" customWidth="1"/>
    <col min="9" max="9" width="10.33203125" style="117" customWidth="1"/>
    <col min="10" max="10" width="10.33203125" style="115" customWidth="1"/>
    <col min="11" max="11" width="16.33203125" style="115" bestFit="1" customWidth="1"/>
    <col min="12" max="12" width="7.6640625" style="115" customWidth="1"/>
    <col min="13" max="14" width="31.33203125" style="115" customWidth="1"/>
    <col min="15" max="16384" width="8.88671875" style="115"/>
  </cols>
  <sheetData>
    <row r="2" spans="1:14" s="209" customFormat="1" ht="29.4" thickBot="1" x14ac:dyDescent="0.35">
      <c r="A2" s="209" t="s">
        <v>1405</v>
      </c>
      <c r="B2" s="208" t="s">
        <v>26046</v>
      </c>
      <c r="C2" s="209" t="s">
        <v>26047</v>
      </c>
      <c r="D2" s="210" t="s">
        <v>26048</v>
      </c>
      <c r="E2" s="209" t="s">
        <v>26049</v>
      </c>
      <c r="F2" s="209" t="s">
        <v>26050</v>
      </c>
      <c r="G2" s="209" t="s">
        <v>26051</v>
      </c>
      <c r="H2" s="209" t="s">
        <v>26052</v>
      </c>
      <c r="I2" s="210" t="s">
        <v>26053</v>
      </c>
      <c r="J2" s="209" t="s">
        <v>26054</v>
      </c>
      <c r="K2" s="209" t="s">
        <v>26055</v>
      </c>
    </row>
    <row r="3" spans="1:14" ht="39" hidden="1" customHeight="1" thickTop="1" thickBot="1" x14ac:dyDescent="0.35">
      <c r="A3" s="115">
        <v>2</v>
      </c>
      <c r="B3" s="118">
        <v>1</v>
      </c>
      <c r="C3" s="212" t="s">
        <v>26056</v>
      </c>
      <c r="D3" s="200" t="s">
        <v>26652</v>
      </c>
      <c r="E3" s="201" t="s">
        <v>26057</v>
      </c>
      <c r="F3" s="202" t="s">
        <v>26058</v>
      </c>
      <c r="G3" s="119" t="s">
        <v>26059</v>
      </c>
      <c r="H3" s="119">
        <v>1</v>
      </c>
      <c r="I3" s="119">
        <v>1</v>
      </c>
      <c r="J3" s="119" t="s">
        <v>26060</v>
      </c>
      <c r="K3" s="119" t="s">
        <v>26061</v>
      </c>
      <c r="L3" s="121"/>
    </row>
    <row r="4" spans="1:14" ht="39" hidden="1" customHeight="1" thickTop="1" thickBot="1" x14ac:dyDescent="0.35">
      <c r="A4" s="115">
        <v>2</v>
      </c>
      <c r="B4" s="118"/>
      <c r="C4" s="120" t="s">
        <v>26062</v>
      </c>
      <c r="D4" s="200" t="s">
        <v>26653</v>
      </c>
      <c r="E4" s="201" t="s">
        <v>26063</v>
      </c>
      <c r="F4" s="202" t="s">
        <v>26064</v>
      </c>
      <c r="G4" s="119" t="s">
        <v>26065</v>
      </c>
      <c r="H4" s="119">
        <v>0</v>
      </c>
      <c r="I4" s="119">
        <v>0</v>
      </c>
      <c r="J4" s="121" t="s">
        <v>26066</v>
      </c>
      <c r="K4" s="119" t="s">
        <v>26067</v>
      </c>
      <c r="L4" s="121"/>
    </row>
    <row r="5" spans="1:14" ht="39" hidden="1" customHeight="1" thickTop="1" thickBot="1" x14ac:dyDescent="0.35">
      <c r="A5" s="115">
        <v>2</v>
      </c>
      <c r="B5" s="118">
        <v>1</v>
      </c>
      <c r="C5" s="212" t="s">
        <v>26068</v>
      </c>
      <c r="D5" s="200" t="s">
        <v>26654</v>
      </c>
      <c r="E5" s="201" t="s">
        <v>26063</v>
      </c>
      <c r="F5" s="202" t="s">
        <v>26069</v>
      </c>
      <c r="G5" s="119" t="s">
        <v>26070</v>
      </c>
      <c r="H5" s="119">
        <v>1</v>
      </c>
      <c r="I5" s="119">
        <v>1</v>
      </c>
      <c r="J5" s="119" t="s">
        <v>26060</v>
      </c>
      <c r="K5" s="119" t="s">
        <v>26071</v>
      </c>
      <c r="L5" s="121"/>
      <c r="M5" s="119" t="s">
        <v>26072</v>
      </c>
      <c r="N5" s="122" t="s">
        <v>26073</v>
      </c>
    </row>
    <row r="6" spans="1:14" ht="39" hidden="1" customHeight="1" thickTop="1" thickBot="1" x14ac:dyDescent="0.35">
      <c r="B6" s="118"/>
      <c r="C6" s="120" t="s">
        <v>26074</v>
      </c>
      <c r="D6" s="123" t="s">
        <v>26075</v>
      </c>
      <c r="E6" s="120" t="s">
        <v>26063</v>
      </c>
      <c r="F6" s="121" t="s">
        <v>26076</v>
      </c>
      <c r="G6" s="119" t="s">
        <v>26077</v>
      </c>
      <c r="H6" s="119">
        <v>0</v>
      </c>
      <c r="I6" s="119">
        <v>0</v>
      </c>
      <c r="J6" s="121" t="s">
        <v>26078</v>
      </c>
      <c r="K6" s="119" t="s">
        <v>26079</v>
      </c>
      <c r="L6" s="121"/>
    </row>
    <row r="7" spans="1:14" ht="39" customHeight="1" thickTop="1" thickBot="1" x14ac:dyDescent="0.35">
      <c r="A7" s="115">
        <v>3</v>
      </c>
      <c r="B7" s="118">
        <v>2</v>
      </c>
      <c r="C7" s="213" t="s">
        <v>26080</v>
      </c>
      <c r="D7" s="123" t="s">
        <v>26081</v>
      </c>
      <c r="E7" s="120" t="s">
        <v>1221</v>
      </c>
      <c r="F7" s="124" t="s">
        <v>26082</v>
      </c>
      <c r="G7" s="119" t="s">
        <v>26701</v>
      </c>
      <c r="H7" s="119">
        <v>1</v>
      </c>
      <c r="I7" s="123">
        <v>1</v>
      </c>
      <c r="J7" s="124" t="s">
        <v>26083</v>
      </c>
      <c r="K7" s="123" t="s">
        <v>26084</v>
      </c>
      <c r="L7" s="124"/>
      <c r="M7" s="123" t="s">
        <v>26683</v>
      </c>
    </row>
    <row r="8" spans="1:14" ht="39" hidden="1" customHeight="1" thickTop="1" thickBot="1" x14ac:dyDescent="0.35">
      <c r="A8" s="115">
        <v>2</v>
      </c>
      <c r="B8" s="118"/>
      <c r="C8" s="120" t="s">
        <v>26085</v>
      </c>
      <c r="D8" s="203" t="s">
        <v>26655</v>
      </c>
      <c r="E8" s="201" t="s">
        <v>1029</v>
      </c>
      <c r="F8" s="204" t="s">
        <v>26086</v>
      </c>
      <c r="G8" s="119" t="s">
        <v>26087</v>
      </c>
      <c r="H8" s="119">
        <v>0</v>
      </c>
      <c r="I8" s="123">
        <v>0</v>
      </c>
      <c r="J8" s="124" t="s">
        <v>26088</v>
      </c>
      <c r="K8" s="123" t="s">
        <v>26089</v>
      </c>
      <c r="L8" s="124"/>
      <c r="M8" s="115" t="s">
        <v>1171</v>
      </c>
    </row>
    <row r="9" spans="1:14" ht="39" hidden="1" customHeight="1" thickTop="1" thickBot="1" x14ac:dyDescent="0.35">
      <c r="C9" s="120" t="s">
        <v>26090</v>
      </c>
      <c r="D9" s="123" t="s">
        <v>26091</v>
      </c>
      <c r="E9" s="120" t="s">
        <v>1221</v>
      </c>
      <c r="F9" s="124" t="s">
        <v>26092</v>
      </c>
      <c r="G9" s="119" t="s">
        <v>26093</v>
      </c>
      <c r="H9" s="119">
        <v>1</v>
      </c>
      <c r="I9" s="123">
        <v>1</v>
      </c>
      <c r="J9" s="124" t="s">
        <v>26094</v>
      </c>
      <c r="K9" s="123" t="s">
        <v>26095</v>
      </c>
      <c r="L9" s="124"/>
    </row>
    <row r="10" spans="1:14" ht="39" customHeight="1" thickTop="1" thickBot="1" x14ac:dyDescent="0.35">
      <c r="A10" s="115">
        <v>3</v>
      </c>
      <c r="B10" s="118">
        <v>1</v>
      </c>
      <c r="C10" s="213" t="s">
        <v>26096</v>
      </c>
      <c r="D10" s="123" t="s">
        <v>26097</v>
      </c>
      <c r="E10" s="125" t="s">
        <v>26098</v>
      </c>
      <c r="F10" s="121" t="s">
        <v>26099</v>
      </c>
      <c r="G10" s="119" t="s">
        <v>26701</v>
      </c>
      <c r="H10" s="119">
        <v>1</v>
      </c>
      <c r="I10" s="119">
        <v>1</v>
      </c>
      <c r="J10" s="121" t="s">
        <v>26100</v>
      </c>
      <c r="K10" s="119" t="s">
        <v>26101</v>
      </c>
      <c r="L10" s="121"/>
      <c r="M10" s="119" t="s">
        <v>26682</v>
      </c>
    </row>
    <row r="11" spans="1:14" ht="39" hidden="1" customHeight="1" thickTop="1" x14ac:dyDescent="0.3">
      <c r="A11" s="115">
        <v>2</v>
      </c>
      <c r="C11" s="120" t="s">
        <v>26102</v>
      </c>
      <c r="D11" s="203" t="s">
        <v>26656</v>
      </c>
      <c r="E11" s="205" t="s">
        <v>745</v>
      </c>
      <c r="F11" s="202" t="s">
        <v>26103</v>
      </c>
      <c r="G11" s="119" t="s">
        <v>26104</v>
      </c>
      <c r="H11" s="119">
        <v>0</v>
      </c>
      <c r="I11" s="119">
        <v>1</v>
      </c>
      <c r="J11" s="121" t="s">
        <v>26105</v>
      </c>
      <c r="K11" s="119" t="s">
        <v>26106</v>
      </c>
      <c r="L11" s="121"/>
    </row>
    <row r="12" spans="1:14" ht="39" hidden="1" customHeight="1" thickBot="1" x14ac:dyDescent="0.35">
      <c r="C12" s="120" t="s">
        <v>26107</v>
      </c>
      <c r="D12" s="123" t="s">
        <v>26108</v>
      </c>
      <c r="E12" s="125" t="s">
        <v>26057</v>
      </c>
      <c r="F12" s="121" t="s">
        <v>26109</v>
      </c>
      <c r="G12" s="119" t="s">
        <v>26110</v>
      </c>
      <c r="H12" s="119">
        <v>1</v>
      </c>
      <c r="I12" s="119">
        <v>1</v>
      </c>
      <c r="J12" s="121" t="s">
        <v>26111</v>
      </c>
      <c r="K12" s="119" t="s">
        <v>26112</v>
      </c>
      <c r="L12" s="121"/>
    </row>
    <row r="13" spans="1:14" ht="39" hidden="1" customHeight="1" thickTop="1" thickBot="1" x14ac:dyDescent="0.35">
      <c r="A13" s="115">
        <v>2</v>
      </c>
      <c r="B13" s="118">
        <v>2</v>
      </c>
      <c r="C13" s="120" t="s">
        <v>26113</v>
      </c>
      <c r="D13" s="203" t="s">
        <v>26657</v>
      </c>
      <c r="E13" s="205" t="s">
        <v>23818</v>
      </c>
      <c r="F13" s="202" t="s">
        <v>26114</v>
      </c>
      <c r="G13" s="119" t="s">
        <v>26115</v>
      </c>
      <c r="H13" s="119">
        <v>1</v>
      </c>
      <c r="I13" s="119">
        <v>1</v>
      </c>
      <c r="J13" s="121" t="s">
        <v>26116</v>
      </c>
      <c r="K13" s="119" t="s">
        <v>26117</v>
      </c>
      <c r="L13" s="121"/>
    </row>
    <row r="14" spans="1:14" ht="39" hidden="1" customHeight="1" thickTop="1" x14ac:dyDescent="0.3">
      <c r="C14" s="120" t="s">
        <v>26118</v>
      </c>
      <c r="D14" s="123" t="s">
        <v>26119</v>
      </c>
      <c r="E14" s="125" t="s">
        <v>1634</v>
      </c>
      <c r="F14" s="121" t="s">
        <v>26120</v>
      </c>
      <c r="G14" s="119" t="s">
        <v>26121</v>
      </c>
      <c r="H14" s="119">
        <v>1</v>
      </c>
      <c r="I14" s="119">
        <v>1</v>
      </c>
      <c r="J14" s="121" t="s">
        <v>26122</v>
      </c>
      <c r="K14" s="119"/>
      <c r="L14" s="121"/>
    </row>
    <row r="15" spans="1:14" ht="39" hidden="1" customHeight="1" x14ac:dyDescent="0.3">
      <c r="C15" s="120" t="s">
        <v>26123</v>
      </c>
      <c r="D15" s="123" t="s">
        <v>26124</v>
      </c>
      <c r="E15" s="125" t="s">
        <v>26125</v>
      </c>
      <c r="F15" s="121" t="s">
        <v>26126</v>
      </c>
      <c r="G15" s="119" t="s">
        <v>26127</v>
      </c>
      <c r="H15" s="119">
        <v>1</v>
      </c>
      <c r="I15" s="119">
        <v>1</v>
      </c>
      <c r="J15" s="121" t="s">
        <v>26128</v>
      </c>
      <c r="K15" s="119" t="s">
        <v>26129</v>
      </c>
      <c r="L15" s="121"/>
    </row>
    <row r="16" spans="1:14" ht="39" hidden="1" customHeight="1" x14ac:dyDescent="0.3">
      <c r="C16" s="120" t="s">
        <v>26130</v>
      </c>
      <c r="D16" s="123" t="s">
        <v>26131</v>
      </c>
      <c r="E16" s="125" t="s">
        <v>1029</v>
      </c>
      <c r="F16" s="121" t="s">
        <v>26132</v>
      </c>
      <c r="G16" s="119" t="s">
        <v>26133</v>
      </c>
      <c r="H16" s="119">
        <v>0</v>
      </c>
      <c r="I16" s="119">
        <v>0</v>
      </c>
      <c r="J16" s="121"/>
      <c r="K16" s="119"/>
      <c r="L16" s="121"/>
      <c r="M16" s="115" t="s">
        <v>26134</v>
      </c>
    </row>
    <row r="17" spans="1:13" ht="39" hidden="1" customHeight="1" thickBot="1" x14ac:dyDescent="0.35">
      <c r="A17" s="115">
        <v>2</v>
      </c>
      <c r="C17" s="120" t="s">
        <v>26135</v>
      </c>
      <c r="D17" s="203" t="s">
        <v>26136</v>
      </c>
      <c r="E17" s="205" t="s">
        <v>1029</v>
      </c>
      <c r="F17" s="202" t="s">
        <v>26137</v>
      </c>
      <c r="G17" s="119" t="s">
        <v>26138</v>
      </c>
      <c r="H17" s="119">
        <v>0</v>
      </c>
      <c r="I17" s="119">
        <v>0</v>
      </c>
      <c r="J17" s="121" t="s">
        <v>26139</v>
      </c>
      <c r="K17" s="119" t="s">
        <v>26140</v>
      </c>
      <c r="L17" s="121"/>
    </row>
    <row r="18" spans="1:13" ht="39" hidden="1" customHeight="1" thickTop="1" thickBot="1" x14ac:dyDescent="0.35">
      <c r="A18" s="115">
        <v>2</v>
      </c>
      <c r="B18" s="118">
        <v>1</v>
      </c>
      <c r="C18" s="212" t="s">
        <v>26141</v>
      </c>
      <c r="D18" s="203" t="s">
        <v>26658</v>
      </c>
      <c r="E18" s="205" t="s">
        <v>26063</v>
      </c>
      <c r="F18" s="202" t="s">
        <v>26142</v>
      </c>
      <c r="G18" s="119" t="s">
        <v>26143</v>
      </c>
      <c r="H18" s="119">
        <v>1</v>
      </c>
      <c r="I18" s="119">
        <v>1</v>
      </c>
      <c r="J18" s="121" t="s">
        <v>26144</v>
      </c>
      <c r="K18" s="119" t="s">
        <v>26145</v>
      </c>
      <c r="L18" s="121"/>
    </row>
    <row r="19" spans="1:13" ht="39" customHeight="1" thickTop="1" thickBot="1" x14ac:dyDescent="0.35">
      <c r="A19" s="115">
        <v>3</v>
      </c>
      <c r="B19" s="118">
        <v>2</v>
      </c>
      <c r="C19" s="213" t="s">
        <v>26146</v>
      </c>
      <c r="D19" s="123" t="s">
        <v>26147</v>
      </c>
      <c r="E19" s="125" t="s">
        <v>875</v>
      </c>
      <c r="F19" s="121" t="s">
        <v>26148</v>
      </c>
      <c r="G19" s="119" t="s">
        <v>26695</v>
      </c>
      <c r="H19" s="119">
        <v>1</v>
      </c>
      <c r="I19" s="119">
        <v>1</v>
      </c>
      <c r="J19" s="121" t="s">
        <v>26149</v>
      </c>
      <c r="K19" s="119" t="s">
        <v>26150</v>
      </c>
      <c r="L19" s="121"/>
    </row>
    <row r="20" spans="1:13" ht="39" hidden="1" customHeight="1" thickTop="1" thickBot="1" x14ac:dyDescent="0.35">
      <c r="B20" s="118"/>
      <c r="C20" s="120" t="s">
        <v>26151</v>
      </c>
      <c r="D20" s="123" t="s">
        <v>26152</v>
      </c>
      <c r="E20" s="205" t="s">
        <v>1029</v>
      </c>
      <c r="F20" s="121" t="s">
        <v>26153</v>
      </c>
      <c r="G20" s="119" t="s">
        <v>26154</v>
      </c>
      <c r="H20" s="119">
        <v>1</v>
      </c>
      <c r="I20" s="119">
        <v>1</v>
      </c>
      <c r="J20" s="121" t="s">
        <v>26155</v>
      </c>
      <c r="K20" s="119" t="s">
        <v>26156</v>
      </c>
      <c r="L20" s="121"/>
    </row>
    <row r="21" spans="1:13" ht="39" hidden="1" customHeight="1" thickTop="1" thickBot="1" x14ac:dyDescent="0.25">
      <c r="A21" s="115">
        <v>1</v>
      </c>
      <c r="B21" s="118"/>
      <c r="C21" s="120" t="s">
        <v>26157</v>
      </c>
      <c r="D21" s="206" t="s">
        <v>26659</v>
      </c>
      <c r="E21" s="205" t="s">
        <v>1029</v>
      </c>
      <c r="F21" s="121" t="s">
        <v>26158</v>
      </c>
      <c r="G21" s="119" t="s">
        <v>26159</v>
      </c>
      <c r="H21" s="119">
        <v>1</v>
      </c>
      <c r="I21" s="129"/>
      <c r="J21" s="128"/>
      <c r="K21" s="129"/>
      <c r="L21" s="128"/>
      <c r="M21" s="130" t="s">
        <v>26160</v>
      </c>
    </row>
    <row r="22" spans="1:13" ht="39" hidden="1" customHeight="1" thickTop="1" thickBot="1" x14ac:dyDescent="0.35">
      <c r="A22" s="115">
        <v>1</v>
      </c>
      <c r="B22" s="118"/>
      <c r="C22" s="120" t="s">
        <v>26161</v>
      </c>
      <c r="D22" s="207" t="s">
        <v>26660</v>
      </c>
      <c r="E22" s="205" t="s">
        <v>1029</v>
      </c>
      <c r="F22" s="121" t="s">
        <v>26162</v>
      </c>
      <c r="G22" s="119" t="s">
        <v>26163</v>
      </c>
      <c r="H22" s="119">
        <v>1</v>
      </c>
      <c r="J22" s="126"/>
      <c r="K22" s="117"/>
      <c r="L22" s="126"/>
    </row>
    <row r="23" spans="1:13" ht="39" hidden="1" customHeight="1" thickTop="1" thickBot="1" x14ac:dyDescent="0.25">
      <c r="A23" s="115">
        <v>1</v>
      </c>
      <c r="B23" s="118"/>
      <c r="C23" s="120" t="s">
        <v>26164</v>
      </c>
      <c r="D23" s="206" t="s">
        <v>26661</v>
      </c>
      <c r="E23" s="205" t="s">
        <v>1029</v>
      </c>
      <c r="F23" s="121" t="s">
        <v>26165</v>
      </c>
      <c r="G23" s="119" t="s">
        <v>26163</v>
      </c>
      <c r="H23" s="117">
        <v>1</v>
      </c>
      <c r="J23" s="126"/>
      <c r="K23" s="117"/>
      <c r="L23" s="126"/>
    </row>
    <row r="24" spans="1:13" ht="39" hidden="1" customHeight="1" thickTop="1" thickBot="1" x14ac:dyDescent="0.35">
      <c r="A24" s="115">
        <v>1</v>
      </c>
      <c r="B24" s="118"/>
      <c r="C24" s="120" t="s">
        <v>26166</v>
      </c>
      <c r="D24" s="207" t="s">
        <v>26662</v>
      </c>
      <c r="E24" s="205" t="s">
        <v>1029</v>
      </c>
      <c r="F24" s="121" t="s">
        <v>19330</v>
      </c>
      <c r="G24" s="119" t="s">
        <v>26163</v>
      </c>
      <c r="H24" s="117">
        <v>1</v>
      </c>
      <c r="J24" s="126"/>
      <c r="K24" s="117"/>
      <c r="L24" s="126"/>
    </row>
    <row r="25" spans="1:13" ht="39" hidden="1" customHeight="1" thickTop="1" thickBot="1" x14ac:dyDescent="0.35">
      <c r="B25" s="118"/>
      <c r="C25" s="120" t="s">
        <v>26167</v>
      </c>
      <c r="D25" s="199" t="s">
        <v>26651</v>
      </c>
      <c r="E25" s="205" t="s">
        <v>1029</v>
      </c>
      <c r="F25" s="121" t="s">
        <v>26168</v>
      </c>
      <c r="G25" s="119" t="s">
        <v>26169</v>
      </c>
      <c r="H25" s="117">
        <v>1</v>
      </c>
      <c r="J25" s="126"/>
      <c r="K25" s="117"/>
      <c r="L25" s="126"/>
    </row>
    <row r="26" spans="1:13" ht="39" hidden="1" customHeight="1" thickTop="1" x14ac:dyDescent="0.3">
      <c r="C26" s="120" t="s">
        <v>26170</v>
      </c>
      <c r="D26" s="131" t="s">
        <v>26171</v>
      </c>
      <c r="E26" s="205" t="s">
        <v>971</v>
      </c>
      <c r="F26" s="121" t="s">
        <v>26172</v>
      </c>
      <c r="G26" s="119" t="s">
        <v>26173</v>
      </c>
      <c r="H26" s="117">
        <v>1</v>
      </c>
      <c r="J26" s="126"/>
      <c r="K26" s="117"/>
      <c r="L26" s="126"/>
    </row>
    <row r="27" spans="1:13" ht="39" hidden="1" customHeight="1" x14ac:dyDescent="0.2">
      <c r="C27" s="120" t="s">
        <v>26174</v>
      </c>
      <c r="D27" s="127" t="s">
        <v>26175</v>
      </c>
      <c r="E27" s="205" t="s">
        <v>26176</v>
      </c>
      <c r="F27" s="121"/>
      <c r="G27" s="119" t="s">
        <v>26159</v>
      </c>
      <c r="H27" s="117">
        <v>1</v>
      </c>
      <c r="J27" s="126"/>
      <c r="K27" s="117"/>
      <c r="L27" s="126"/>
    </row>
    <row r="28" spans="1:13" ht="39" hidden="1" customHeight="1" x14ac:dyDescent="0.2">
      <c r="C28" s="120" t="s">
        <v>26177</v>
      </c>
      <c r="D28" s="127" t="s">
        <v>26178</v>
      </c>
      <c r="E28" s="205" t="s">
        <v>26176</v>
      </c>
      <c r="F28" s="121"/>
      <c r="G28" s="119" t="s">
        <v>26159</v>
      </c>
      <c r="H28" s="117">
        <v>1</v>
      </c>
      <c r="J28" s="126"/>
      <c r="K28" s="117"/>
      <c r="L28" s="126"/>
    </row>
    <row r="29" spans="1:13" ht="39" hidden="1" customHeight="1" thickBot="1" x14ac:dyDescent="0.25">
      <c r="A29" s="115">
        <v>1</v>
      </c>
      <c r="C29" s="120" t="s">
        <v>26179</v>
      </c>
      <c r="D29" s="206" t="s">
        <v>26663</v>
      </c>
      <c r="E29" s="205" t="s">
        <v>917</v>
      </c>
      <c r="F29" s="121"/>
      <c r="G29" s="119" t="s">
        <v>26180</v>
      </c>
      <c r="H29" s="117">
        <v>1</v>
      </c>
      <c r="J29" s="126"/>
      <c r="K29" s="117"/>
      <c r="L29" s="126"/>
    </row>
    <row r="30" spans="1:13" ht="39" hidden="1" customHeight="1" thickTop="1" thickBot="1" x14ac:dyDescent="0.35">
      <c r="B30" s="211" t="s">
        <v>26181</v>
      </c>
      <c r="C30" s="120" t="s">
        <v>26182</v>
      </c>
      <c r="D30" s="207" t="s">
        <v>26664</v>
      </c>
      <c r="E30" s="205"/>
      <c r="F30" s="121"/>
      <c r="G30" s="119"/>
      <c r="H30" s="117">
        <v>0</v>
      </c>
      <c r="J30" s="126"/>
      <c r="K30" s="117"/>
      <c r="L30" s="126"/>
    </row>
    <row r="31" spans="1:13" ht="39" hidden="1" customHeight="1" thickTop="1" thickBot="1" x14ac:dyDescent="0.35">
      <c r="B31" s="118">
        <v>3</v>
      </c>
      <c r="C31" s="120" t="s">
        <v>26183</v>
      </c>
      <c r="D31" s="131" t="s">
        <v>26184</v>
      </c>
      <c r="E31" s="205" t="s">
        <v>917</v>
      </c>
      <c r="F31" s="121" t="s">
        <v>26185</v>
      </c>
      <c r="G31" s="119" t="s">
        <v>26186</v>
      </c>
      <c r="H31" s="117">
        <v>1</v>
      </c>
      <c r="J31" s="126"/>
      <c r="K31" s="117"/>
      <c r="L31" s="126"/>
    </row>
    <row r="32" spans="1:13" ht="39" hidden="1" customHeight="1" thickTop="1" thickBot="1" x14ac:dyDescent="0.35">
      <c r="B32" s="118">
        <v>3</v>
      </c>
      <c r="C32" s="120" t="s">
        <v>26187</v>
      </c>
      <c r="D32" s="132" t="s">
        <v>26188</v>
      </c>
      <c r="E32" s="205" t="s">
        <v>917</v>
      </c>
      <c r="F32" s="121" t="s">
        <v>26189</v>
      </c>
      <c r="G32" s="119" t="s">
        <v>26159</v>
      </c>
      <c r="H32" s="117">
        <v>1</v>
      </c>
      <c r="J32" s="126"/>
      <c r="K32" s="117"/>
      <c r="L32" s="126"/>
    </row>
    <row r="33" spans="1:12" ht="39" hidden="1" customHeight="1" thickTop="1" x14ac:dyDescent="0.3">
      <c r="A33" s="115">
        <v>1</v>
      </c>
      <c r="C33" s="120" t="s">
        <v>26190</v>
      </c>
      <c r="D33" s="207" t="s">
        <v>26665</v>
      </c>
      <c r="E33" s="205" t="s">
        <v>1029</v>
      </c>
      <c r="F33" s="121" t="s">
        <v>26191</v>
      </c>
      <c r="G33" s="119" t="s">
        <v>26159</v>
      </c>
      <c r="H33" s="117">
        <v>1</v>
      </c>
      <c r="J33" s="126"/>
      <c r="K33" s="117"/>
      <c r="L33" s="126"/>
    </row>
    <row r="34" spans="1:12" ht="39" hidden="1" customHeight="1" x14ac:dyDescent="0.3">
      <c r="C34" s="120" t="s">
        <v>26192</v>
      </c>
      <c r="D34" s="131" t="s">
        <v>26193</v>
      </c>
      <c r="E34" s="205" t="s">
        <v>1029</v>
      </c>
      <c r="F34" s="121" t="s">
        <v>26194</v>
      </c>
      <c r="G34" s="119" t="s">
        <v>26159</v>
      </c>
      <c r="H34" s="117">
        <v>1</v>
      </c>
      <c r="I34" s="117" t="s">
        <v>26195</v>
      </c>
      <c r="J34" s="126"/>
      <c r="K34" s="117"/>
      <c r="L34" s="126"/>
    </row>
    <row r="35" spans="1:12" ht="39" hidden="1" customHeight="1" thickBot="1" x14ac:dyDescent="0.35">
      <c r="A35" s="115">
        <v>1</v>
      </c>
      <c r="C35" s="120" t="s">
        <v>26196</v>
      </c>
      <c r="D35" s="207" t="s">
        <v>26666</v>
      </c>
      <c r="E35" s="205" t="s">
        <v>1221</v>
      </c>
      <c r="F35" s="121" t="s">
        <v>26197</v>
      </c>
      <c r="G35" s="119" t="s">
        <v>26180</v>
      </c>
      <c r="H35" s="117">
        <v>1</v>
      </c>
      <c r="J35" s="126"/>
      <c r="K35" s="117"/>
      <c r="L35" s="126"/>
    </row>
    <row r="36" spans="1:12" ht="39" hidden="1" customHeight="1" thickTop="1" thickBot="1" x14ac:dyDescent="0.35">
      <c r="A36" s="115">
        <v>1</v>
      </c>
      <c r="B36" s="118">
        <v>3</v>
      </c>
      <c r="C36" s="120" t="s">
        <v>26198</v>
      </c>
      <c r="D36" s="207" t="s">
        <v>26667</v>
      </c>
      <c r="E36" s="205" t="s">
        <v>917</v>
      </c>
      <c r="F36" s="121" t="s">
        <v>26199</v>
      </c>
      <c r="G36" s="119" t="s">
        <v>26159</v>
      </c>
      <c r="H36" s="117">
        <v>1</v>
      </c>
      <c r="I36" s="117" t="s">
        <v>26195</v>
      </c>
      <c r="J36" s="126"/>
      <c r="K36" s="117"/>
      <c r="L36" s="126"/>
    </row>
    <row r="37" spans="1:12" ht="39" hidden="1" customHeight="1" thickTop="1" x14ac:dyDescent="0.3">
      <c r="A37" s="115">
        <v>1</v>
      </c>
      <c r="C37" s="120" t="s">
        <v>26668</v>
      </c>
      <c r="D37" s="116" t="s">
        <v>26669</v>
      </c>
      <c r="E37" s="205" t="s">
        <v>1431</v>
      </c>
      <c r="F37" s="121" t="s">
        <v>26670</v>
      </c>
      <c r="G37" s="119" t="s">
        <v>26180</v>
      </c>
      <c r="H37" s="117">
        <v>1</v>
      </c>
      <c r="J37" s="126"/>
      <c r="K37" s="117"/>
      <c r="L37" s="126"/>
    </row>
    <row r="38" spans="1:12" ht="39" hidden="1" customHeight="1" x14ac:dyDescent="0.3">
      <c r="A38" s="115">
        <v>1</v>
      </c>
      <c r="C38" s="120" t="s">
        <v>26672</v>
      </c>
      <c r="D38" s="116" t="s">
        <v>26673</v>
      </c>
      <c r="E38" s="205" t="s">
        <v>26671</v>
      </c>
      <c r="F38" s="121" t="s">
        <v>26674</v>
      </c>
      <c r="G38" s="119" t="s">
        <v>26159</v>
      </c>
      <c r="H38" s="117">
        <v>1</v>
      </c>
      <c r="J38" s="126"/>
      <c r="K38" s="117"/>
      <c r="L38" s="126"/>
    </row>
    <row r="39" spans="1:12" ht="39" hidden="1" customHeight="1" x14ac:dyDescent="0.3">
      <c r="A39" s="115">
        <v>2</v>
      </c>
      <c r="C39" s="120" t="s">
        <v>26675</v>
      </c>
      <c r="D39" s="203" t="s">
        <v>26678</v>
      </c>
      <c r="E39" s="205" t="s">
        <v>26063</v>
      </c>
      <c r="F39" s="121" t="s">
        <v>26677</v>
      </c>
      <c r="G39" s="119" t="s">
        <v>26679</v>
      </c>
      <c r="H39" s="117">
        <v>1</v>
      </c>
      <c r="J39" s="126"/>
      <c r="K39" s="117"/>
      <c r="L39" s="126"/>
    </row>
    <row r="40" spans="1:12" ht="39" hidden="1" customHeight="1" x14ac:dyDescent="0.3">
      <c r="A40" s="115">
        <v>2</v>
      </c>
      <c r="C40" s="120" t="s">
        <v>26676</v>
      </c>
      <c r="D40" s="203" t="s">
        <v>26681</v>
      </c>
      <c r="E40" s="205" t="s">
        <v>1431</v>
      </c>
      <c r="F40" s="121" t="s">
        <v>26680</v>
      </c>
      <c r="G40" s="119"/>
      <c r="H40" s="117">
        <v>1</v>
      </c>
      <c r="J40" s="126"/>
      <c r="K40" s="117"/>
      <c r="L40" s="126"/>
    </row>
    <row r="41" spans="1:12" ht="39" customHeight="1" thickTop="1" x14ac:dyDescent="0.3">
      <c r="A41" s="115">
        <v>3</v>
      </c>
      <c r="C41" s="213" t="s">
        <v>26684</v>
      </c>
      <c r="D41" s="123" t="s">
        <v>26689</v>
      </c>
      <c r="E41" s="125" t="s">
        <v>1634</v>
      </c>
      <c r="F41" s="121" t="s">
        <v>26690</v>
      </c>
      <c r="G41" s="119" t="s">
        <v>26169</v>
      </c>
      <c r="H41" s="117">
        <v>1</v>
      </c>
      <c r="J41" s="126"/>
      <c r="K41" s="117"/>
      <c r="L41" s="126"/>
    </row>
    <row r="42" spans="1:12" ht="39" customHeight="1" x14ac:dyDescent="0.3">
      <c r="A42" s="115">
        <v>3</v>
      </c>
      <c r="C42" s="120" t="s">
        <v>26685</v>
      </c>
      <c r="D42" s="123" t="s">
        <v>26691</v>
      </c>
      <c r="E42" s="125" t="s">
        <v>1221</v>
      </c>
      <c r="F42" s="121" t="s">
        <v>26692</v>
      </c>
      <c r="G42" s="119" t="s">
        <v>26089</v>
      </c>
      <c r="H42" s="117">
        <v>0</v>
      </c>
      <c r="I42" s="117">
        <v>0</v>
      </c>
      <c r="J42" s="126"/>
      <c r="K42" s="117"/>
      <c r="L42" s="126"/>
    </row>
    <row r="43" spans="1:12" ht="39" customHeight="1" x14ac:dyDescent="0.3">
      <c r="A43" s="115">
        <v>3</v>
      </c>
      <c r="C43" s="213" t="s">
        <v>26686</v>
      </c>
      <c r="D43" s="123" t="s">
        <v>26693</v>
      </c>
      <c r="E43" s="125" t="s">
        <v>875</v>
      </c>
      <c r="F43" s="121" t="s">
        <v>26694</v>
      </c>
      <c r="G43" s="119" t="s">
        <v>26695</v>
      </c>
      <c r="H43" s="117">
        <v>1</v>
      </c>
      <c r="I43" s="117">
        <v>1</v>
      </c>
      <c r="J43" s="126"/>
      <c r="K43" s="117"/>
      <c r="L43" s="126"/>
    </row>
    <row r="44" spans="1:12" ht="39" customHeight="1" x14ac:dyDescent="0.3">
      <c r="A44" s="115">
        <v>3</v>
      </c>
      <c r="C44" s="120" t="s">
        <v>26687</v>
      </c>
      <c r="D44" s="123" t="s">
        <v>26696</v>
      </c>
      <c r="E44" s="120" t="s">
        <v>26063</v>
      </c>
      <c r="F44" s="121" t="s">
        <v>26697</v>
      </c>
      <c r="G44" s="119" t="s">
        <v>26698</v>
      </c>
      <c r="H44" s="117">
        <v>1</v>
      </c>
      <c r="I44" s="117">
        <v>1</v>
      </c>
      <c r="J44" s="126"/>
      <c r="K44" s="117"/>
      <c r="L44" s="126"/>
    </row>
    <row r="45" spans="1:12" ht="39" customHeight="1" x14ac:dyDescent="0.3">
      <c r="A45" s="115">
        <v>3</v>
      </c>
      <c r="C45" s="120" t="s">
        <v>26688</v>
      </c>
      <c r="D45" s="123" t="s">
        <v>26699</v>
      </c>
      <c r="E45" s="125" t="s">
        <v>1029</v>
      </c>
      <c r="F45" s="121" t="s">
        <v>26700</v>
      </c>
      <c r="G45" s="119" t="s">
        <v>26169</v>
      </c>
      <c r="H45" s="117">
        <v>1</v>
      </c>
      <c r="I45" s="117">
        <v>1</v>
      </c>
      <c r="J45" s="126"/>
      <c r="K45" s="126"/>
      <c r="L45" s="126"/>
    </row>
    <row r="46" spans="1:12" ht="39" customHeight="1" x14ac:dyDescent="0.3">
      <c r="F46" s="126"/>
      <c r="J46" s="126"/>
      <c r="K46" s="126"/>
      <c r="L46" s="126"/>
    </row>
    <row r="47" spans="1:12" ht="39" customHeight="1" x14ac:dyDescent="0.3">
      <c r="F47" s="126"/>
      <c r="G47" s="214"/>
      <c r="J47" s="215"/>
      <c r="K47" s="126"/>
      <c r="L47" s="126"/>
    </row>
    <row r="48" spans="1:12" ht="39" customHeight="1" x14ac:dyDescent="0.3">
      <c r="F48" s="126"/>
      <c r="J48" s="126"/>
      <c r="K48" s="126"/>
      <c r="L48" s="126"/>
    </row>
    <row r="49" spans="3:12" ht="39" customHeight="1" x14ac:dyDescent="0.3">
      <c r="F49" s="133"/>
      <c r="J49" s="133"/>
      <c r="K49" s="133"/>
      <c r="L49" s="133"/>
    </row>
    <row r="50" spans="3:12" ht="39" customHeight="1" x14ac:dyDescent="0.3">
      <c r="F50" s="133"/>
      <c r="J50" s="133"/>
      <c r="K50" s="133"/>
      <c r="L50" s="133"/>
    </row>
    <row r="51" spans="3:12" ht="39" customHeight="1" x14ac:dyDescent="0.3">
      <c r="C51" s="115" t="s">
        <v>16296</v>
      </c>
      <c r="F51" s="133"/>
      <c r="J51" s="133"/>
      <c r="K51" s="133"/>
      <c r="L51" s="133"/>
    </row>
    <row r="52" spans="3:12" ht="39" customHeight="1" x14ac:dyDescent="0.3">
      <c r="F52" s="133"/>
      <c r="J52" s="133"/>
      <c r="K52" s="133"/>
      <c r="L52" s="133"/>
    </row>
    <row r="53" spans="3:12" ht="39" customHeight="1" x14ac:dyDescent="0.3">
      <c r="F53" s="133"/>
      <c r="J53" s="133"/>
      <c r="K53" s="133"/>
      <c r="L53" s="133"/>
    </row>
    <row r="54" spans="3:12" ht="39" customHeight="1" x14ac:dyDescent="0.3">
      <c r="F54" s="133"/>
      <c r="J54" s="133"/>
      <c r="K54" s="133"/>
      <c r="L54" s="133"/>
    </row>
    <row r="55" spans="3:12" ht="39" customHeight="1" x14ac:dyDescent="0.3">
      <c r="F55" s="133"/>
      <c r="J55" s="133"/>
      <c r="K55" s="133"/>
      <c r="L55" s="133"/>
    </row>
    <row r="56" spans="3:12" ht="39" customHeight="1" x14ac:dyDescent="0.3">
      <c r="F56" s="133"/>
      <c r="J56" s="133"/>
      <c r="K56" s="133"/>
      <c r="L56" s="133"/>
    </row>
    <row r="57" spans="3:12" ht="39" customHeight="1" x14ac:dyDescent="0.3">
      <c r="F57" s="133"/>
      <c r="J57" s="133"/>
      <c r="K57" s="133"/>
      <c r="L57" s="133"/>
    </row>
    <row r="58" spans="3:12" ht="39" customHeight="1" x14ac:dyDescent="0.3">
      <c r="F58" s="133"/>
      <c r="J58" s="133"/>
      <c r="K58" s="133"/>
      <c r="L58" s="133"/>
    </row>
    <row r="59" spans="3:12" ht="39" customHeight="1" x14ac:dyDescent="0.3">
      <c r="F59" s="133"/>
      <c r="J59" s="133"/>
      <c r="K59" s="133"/>
      <c r="L59" s="133"/>
    </row>
    <row r="60" spans="3:12" ht="39" customHeight="1" x14ac:dyDescent="0.3">
      <c r="F60" s="133"/>
      <c r="J60" s="133"/>
      <c r="K60" s="133"/>
      <c r="L60" s="133"/>
    </row>
    <row r="61" spans="3:12" ht="39" customHeight="1" x14ac:dyDescent="0.3">
      <c r="F61" s="133"/>
      <c r="J61" s="133"/>
      <c r="K61" s="133"/>
      <c r="L61" s="133"/>
    </row>
    <row r="62" spans="3:12" ht="39" customHeight="1" x14ac:dyDescent="0.3">
      <c r="F62" s="133"/>
      <c r="J62" s="133"/>
      <c r="K62" s="133"/>
      <c r="L62" s="133"/>
    </row>
    <row r="63" spans="3:12" ht="39" customHeight="1" x14ac:dyDescent="0.3">
      <c r="F63" s="133"/>
      <c r="J63" s="133"/>
      <c r="K63" s="133"/>
      <c r="L63" s="133"/>
    </row>
    <row r="64" spans="3:12" ht="39" customHeight="1" x14ac:dyDescent="0.3">
      <c r="F64" s="133"/>
      <c r="J64" s="133"/>
      <c r="K64" s="133"/>
      <c r="L64" s="133"/>
    </row>
    <row r="65" spans="6:12" ht="39" customHeight="1" x14ac:dyDescent="0.3">
      <c r="F65" s="133"/>
      <c r="J65" s="133"/>
      <c r="K65" s="133"/>
      <c r="L65" s="133"/>
    </row>
    <row r="66" spans="6:12" ht="39" customHeight="1" x14ac:dyDescent="0.3">
      <c r="F66" s="133"/>
      <c r="J66" s="133"/>
      <c r="K66" s="133"/>
      <c r="L66" s="133"/>
    </row>
    <row r="67" spans="6:12" ht="39" customHeight="1" x14ac:dyDescent="0.3">
      <c r="F67" s="133"/>
      <c r="J67" s="133"/>
      <c r="K67" s="133"/>
      <c r="L67" s="133"/>
    </row>
    <row r="68" spans="6:12" ht="39" customHeight="1" x14ac:dyDescent="0.3">
      <c r="F68" s="133"/>
      <c r="J68" s="133"/>
      <c r="K68" s="133"/>
      <c r="L68" s="133"/>
    </row>
    <row r="69" spans="6:12" ht="39" customHeight="1" x14ac:dyDescent="0.3">
      <c r="F69" s="133"/>
      <c r="J69" s="133"/>
      <c r="K69" s="133"/>
      <c r="L69" s="133"/>
    </row>
    <row r="70" spans="6:12" ht="39" customHeight="1" x14ac:dyDescent="0.3">
      <c r="F70" s="133"/>
      <c r="J70" s="133"/>
      <c r="K70" s="133"/>
      <c r="L70" s="133"/>
    </row>
    <row r="71" spans="6:12" ht="39" customHeight="1" x14ac:dyDescent="0.3">
      <c r="F71" s="133"/>
      <c r="J71" s="133"/>
      <c r="K71" s="133"/>
      <c r="L71" s="133"/>
    </row>
    <row r="72" spans="6:12" ht="39" customHeight="1" x14ac:dyDescent="0.3">
      <c r="F72" s="133"/>
      <c r="J72" s="133"/>
      <c r="K72" s="133"/>
      <c r="L72" s="133"/>
    </row>
    <row r="73" spans="6:12" ht="39" customHeight="1" x14ac:dyDescent="0.3">
      <c r="F73" s="133"/>
      <c r="J73" s="133"/>
      <c r="K73" s="133"/>
      <c r="L73" s="133"/>
    </row>
    <row r="74" spans="6:12" ht="39" customHeight="1" x14ac:dyDescent="0.3">
      <c r="F74" s="133"/>
      <c r="J74" s="133"/>
      <c r="K74" s="133"/>
      <c r="L74" s="133"/>
    </row>
    <row r="75" spans="6:12" ht="39" customHeight="1" x14ac:dyDescent="0.3">
      <c r="F75" s="133"/>
      <c r="J75" s="133"/>
      <c r="K75" s="133"/>
      <c r="L75" s="133"/>
    </row>
    <row r="76" spans="6:12" ht="39" customHeight="1" x14ac:dyDescent="0.3">
      <c r="F76" s="133"/>
      <c r="J76" s="133"/>
      <c r="K76" s="133"/>
      <c r="L76" s="133"/>
    </row>
    <row r="77" spans="6:12" ht="39" customHeight="1" x14ac:dyDescent="0.3">
      <c r="F77" s="133"/>
      <c r="J77" s="133"/>
      <c r="K77" s="133"/>
      <c r="L77" s="133"/>
    </row>
    <row r="78" spans="6:12" ht="39" customHeight="1" x14ac:dyDescent="0.3">
      <c r="F78" s="133"/>
      <c r="J78" s="133"/>
      <c r="K78" s="133"/>
      <c r="L78" s="133"/>
    </row>
    <row r="79" spans="6:12" ht="39" customHeight="1" x14ac:dyDescent="0.3">
      <c r="F79" s="133"/>
      <c r="J79" s="133"/>
      <c r="K79" s="133"/>
      <c r="L79" s="133"/>
    </row>
    <row r="80" spans="6:12" ht="39" customHeight="1" x14ac:dyDescent="0.3">
      <c r="F80" s="133"/>
      <c r="J80" s="133"/>
      <c r="K80" s="133"/>
      <c r="L80" s="133"/>
    </row>
    <row r="81" spans="6:12" ht="39" customHeight="1" x14ac:dyDescent="0.3">
      <c r="F81" s="133"/>
      <c r="J81" s="133"/>
      <c r="K81" s="133"/>
      <c r="L81" s="133"/>
    </row>
    <row r="82" spans="6:12" ht="39" customHeight="1" x14ac:dyDescent="0.3">
      <c r="F82" s="133"/>
      <c r="J82" s="133"/>
      <c r="K82" s="133"/>
      <c r="L82" s="133"/>
    </row>
    <row r="83" spans="6:12" ht="39" customHeight="1" x14ac:dyDescent="0.3">
      <c r="F83" s="133"/>
      <c r="J83" s="133"/>
      <c r="K83" s="133"/>
      <c r="L83" s="133"/>
    </row>
    <row r="84" spans="6:12" ht="39" customHeight="1" x14ac:dyDescent="0.3">
      <c r="F84" s="133"/>
      <c r="J84" s="133"/>
      <c r="K84" s="133"/>
      <c r="L84" s="133"/>
    </row>
    <row r="85" spans="6:12" ht="39" customHeight="1" x14ac:dyDescent="0.3">
      <c r="F85" s="133"/>
      <c r="J85" s="133"/>
      <c r="K85" s="133"/>
      <c r="L85" s="133"/>
    </row>
    <row r="86" spans="6:12" ht="39" customHeight="1" x14ac:dyDescent="0.3">
      <c r="F86" s="133"/>
      <c r="J86" s="133"/>
      <c r="K86" s="133"/>
      <c r="L86" s="133"/>
    </row>
    <row r="87" spans="6:12" ht="39" customHeight="1" x14ac:dyDescent="0.3">
      <c r="F87" s="133"/>
      <c r="J87" s="133"/>
      <c r="K87" s="133"/>
      <c r="L87" s="133"/>
    </row>
    <row r="88" spans="6:12" ht="39" customHeight="1" x14ac:dyDescent="0.3">
      <c r="F88" s="133"/>
      <c r="J88" s="133"/>
      <c r="K88" s="133"/>
      <c r="L88" s="133"/>
    </row>
    <row r="89" spans="6:12" ht="39" customHeight="1" x14ac:dyDescent="0.3">
      <c r="F89" s="133"/>
      <c r="J89" s="133"/>
      <c r="K89" s="133"/>
      <c r="L89" s="133"/>
    </row>
    <row r="90" spans="6:12" ht="39" customHeight="1" x14ac:dyDescent="0.3">
      <c r="F90" s="133"/>
      <c r="J90" s="133"/>
      <c r="K90" s="133"/>
      <c r="L90" s="133"/>
    </row>
    <row r="91" spans="6:12" ht="39" customHeight="1" x14ac:dyDescent="0.3">
      <c r="F91" s="133"/>
      <c r="J91" s="133"/>
      <c r="K91" s="133"/>
      <c r="L91" s="133"/>
    </row>
    <row r="92" spans="6:12" ht="39" customHeight="1" x14ac:dyDescent="0.3">
      <c r="F92" s="133"/>
      <c r="J92" s="133"/>
      <c r="K92" s="133"/>
      <c r="L92" s="133"/>
    </row>
    <row r="93" spans="6:12" ht="39" customHeight="1" x14ac:dyDescent="0.3">
      <c r="F93" s="133"/>
      <c r="J93" s="133"/>
      <c r="K93" s="133"/>
      <c r="L93" s="133"/>
    </row>
    <row r="94" spans="6:12" ht="39" customHeight="1" x14ac:dyDescent="0.3">
      <c r="F94" s="133"/>
      <c r="J94" s="133"/>
      <c r="K94" s="133"/>
      <c r="L94" s="133"/>
    </row>
    <row r="95" spans="6:12" ht="39" customHeight="1" x14ac:dyDescent="0.3">
      <c r="F95" s="133"/>
      <c r="J95" s="133"/>
      <c r="K95" s="133"/>
      <c r="L95" s="133"/>
    </row>
    <row r="96" spans="6:12" ht="39" customHeight="1" x14ac:dyDescent="0.3">
      <c r="F96" s="133"/>
      <c r="J96" s="133"/>
      <c r="K96" s="133"/>
      <c r="L96" s="133"/>
    </row>
    <row r="97" spans="6:12" ht="39" customHeight="1" x14ac:dyDescent="0.3">
      <c r="F97" s="133"/>
      <c r="J97" s="133"/>
      <c r="K97" s="133"/>
      <c r="L97" s="133"/>
    </row>
    <row r="98" spans="6:12" ht="39" customHeight="1" x14ac:dyDescent="0.3">
      <c r="F98" s="133"/>
      <c r="J98" s="133"/>
      <c r="K98" s="133"/>
      <c r="L98" s="133"/>
    </row>
    <row r="99" spans="6:12" ht="39" customHeight="1" x14ac:dyDescent="0.3">
      <c r="F99" s="133"/>
      <c r="J99" s="133"/>
      <c r="K99" s="133"/>
      <c r="L99" s="133"/>
    </row>
    <row r="100" spans="6:12" ht="39" customHeight="1" x14ac:dyDescent="0.3">
      <c r="F100" s="133"/>
      <c r="J100" s="133"/>
      <c r="K100" s="133"/>
      <c r="L100" s="133"/>
    </row>
    <row r="101" spans="6:12" ht="39" customHeight="1" x14ac:dyDescent="0.3">
      <c r="F101" s="133"/>
      <c r="J101" s="133"/>
      <c r="K101" s="133"/>
      <c r="L101" s="133"/>
    </row>
    <row r="102" spans="6:12" ht="39" customHeight="1" x14ac:dyDescent="0.3">
      <c r="F102" s="133"/>
      <c r="J102" s="133"/>
      <c r="K102" s="133"/>
      <c r="L102" s="133"/>
    </row>
    <row r="103" spans="6:12" ht="39" customHeight="1" x14ac:dyDescent="0.3">
      <c r="F103" s="133"/>
      <c r="J103" s="133"/>
      <c r="K103" s="133"/>
      <c r="L103" s="133"/>
    </row>
    <row r="104" spans="6:12" ht="39" customHeight="1" x14ac:dyDescent="0.3">
      <c r="F104" s="133"/>
      <c r="J104" s="133"/>
      <c r="K104" s="133"/>
      <c r="L104" s="133"/>
    </row>
    <row r="105" spans="6:12" ht="39" customHeight="1" x14ac:dyDescent="0.3">
      <c r="F105" s="133"/>
      <c r="J105" s="133"/>
      <c r="K105" s="133"/>
      <c r="L105" s="133"/>
    </row>
    <row r="106" spans="6:12" ht="39" customHeight="1" x14ac:dyDescent="0.3">
      <c r="F106" s="133"/>
      <c r="J106" s="133"/>
      <c r="K106" s="133"/>
      <c r="L106" s="133"/>
    </row>
    <row r="107" spans="6:12" ht="39" customHeight="1" x14ac:dyDescent="0.3">
      <c r="F107" s="133"/>
      <c r="J107" s="133"/>
      <c r="K107" s="133"/>
      <c r="L107" s="133"/>
    </row>
    <row r="108" spans="6:12" ht="39" customHeight="1" x14ac:dyDescent="0.3">
      <c r="F108" s="133"/>
      <c r="J108" s="133"/>
      <c r="K108" s="133"/>
      <c r="L108" s="133"/>
    </row>
    <row r="109" spans="6:12" ht="39" customHeight="1" x14ac:dyDescent="0.3">
      <c r="F109" s="133"/>
      <c r="J109" s="133"/>
      <c r="K109" s="133"/>
      <c r="L109" s="133"/>
    </row>
    <row r="110" spans="6:12" ht="39" customHeight="1" x14ac:dyDescent="0.3">
      <c r="F110" s="133"/>
      <c r="J110" s="133"/>
      <c r="K110" s="133"/>
      <c r="L110" s="133"/>
    </row>
    <row r="111" spans="6:12" ht="39" customHeight="1" x14ac:dyDescent="0.3">
      <c r="F111" s="133"/>
      <c r="J111" s="133"/>
      <c r="K111" s="133"/>
      <c r="L111" s="133"/>
    </row>
    <row r="112" spans="6:12" ht="39" customHeight="1" x14ac:dyDescent="0.3">
      <c r="F112" s="133"/>
      <c r="J112" s="133"/>
      <c r="K112" s="133"/>
      <c r="L112" s="133"/>
    </row>
    <row r="113" spans="6:12" ht="39" customHeight="1" x14ac:dyDescent="0.3">
      <c r="F113" s="133"/>
      <c r="J113" s="133"/>
      <c r="K113" s="133"/>
      <c r="L113" s="133"/>
    </row>
    <row r="114" spans="6:12" ht="39" customHeight="1" x14ac:dyDescent="0.3">
      <c r="F114" s="133"/>
      <c r="J114" s="133"/>
      <c r="K114" s="133"/>
      <c r="L114" s="133"/>
    </row>
    <row r="115" spans="6:12" ht="39" customHeight="1" x14ac:dyDescent="0.3">
      <c r="F115" s="133"/>
      <c r="J115" s="133"/>
      <c r="K115" s="133"/>
      <c r="L115" s="133"/>
    </row>
    <row r="116" spans="6:12" ht="39" customHeight="1" x14ac:dyDescent="0.3">
      <c r="F116" s="133"/>
      <c r="J116" s="133"/>
      <c r="K116" s="133"/>
      <c r="L116" s="133"/>
    </row>
    <row r="117" spans="6:12" ht="39" customHeight="1" x14ac:dyDescent="0.3">
      <c r="F117" s="133"/>
      <c r="J117" s="133"/>
      <c r="K117" s="133"/>
      <c r="L117" s="133"/>
    </row>
    <row r="118" spans="6:12" ht="39" customHeight="1" x14ac:dyDescent="0.3">
      <c r="F118" s="133"/>
      <c r="J118" s="133"/>
      <c r="K118" s="133"/>
      <c r="L118" s="133"/>
    </row>
    <row r="119" spans="6:12" ht="39" customHeight="1" x14ac:dyDescent="0.3">
      <c r="F119" s="133"/>
      <c r="J119" s="133"/>
      <c r="K119" s="133"/>
      <c r="L119" s="133"/>
    </row>
    <row r="120" spans="6:12" ht="39" customHeight="1" x14ac:dyDescent="0.3">
      <c r="F120" s="133"/>
      <c r="J120" s="133"/>
      <c r="K120" s="133"/>
      <c r="L120" s="133"/>
    </row>
    <row r="121" spans="6:12" ht="39" customHeight="1" x14ac:dyDescent="0.3">
      <c r="F121" s="133"/>
      <c r="J121" s="133"/>
      <c r="K121" s="133"/>
      <c r="L121" s="133"/>
    </row>
    <row r="122" spans="6:12" ht="39" customHeight="1" x14ac:dyDescent="0.3">
      <c r="F122" s="133"/>
      <c r="J122" s="133"/>
      <c r="K122" s="133"/>
      <c r="L122" s="133"/>
    </row>
    <row r="123" spans="6:12" ht="39" customHeight="1" x14ac:dyDescent="0.3">
      <c r="F123" s="133"/>
      <c r="J123" s="133"/>
      <c r="K123" s="133"/>
      <c r="L123" s="133"/>
    </row>
    <row r="124" spans="6:12" ht="39" customHeight="1" x14ac:dyDescent="0.3">
      <c r="F124" s="133"/>
      <c r="J124" s="133"/>
      <c r="K124" s="133"/>
      <c r="L124" s="133"/>
    </row>
    <row r="125" spans="6:12" ht="39" customHeight="1" x14ac:dyDescent="0.3">
      <c r="F125" s="133"/>
      <c r="J125" s="133"/>
      <c r="K125" s="133"/>
      <c r="L125" s="133"/>
    </row>
    <row r="126" spans="6:12" ht="39" customHeight="1" x14ac:dyDescent="0.3">
      <c r="F126" s="133"/>
      <c r="J126" s="133"/>
      <c r="K126" s="133"/>
      <c r="L126" s="133"/>
    </row>
    <row r="127" spans="6:12" ht="39" customHeight="1" x14ac:dyDescent="0.3">
      <c r="F127" s="133"/>
      <c r="J127" s="133"/>
      <c r="K127" s="133"/>
      <c r="L127" s="133"/>
    </row>
    <row r="128" spans="6:12" ht="39" customHeight="1" x14ac:dyDescent="0.3">
      <c r="F128" s="133"/>
      <c r="J128" s="133"/>
      <c r="K128" s="133"/>
      <c r="L128" s="133"/>
    </row>
    <row r="129" spans="6:12" ht="39" customHeight="1" x14ac:dyDescent="0.3">
      <c r="F129" s="133"/>
      <c r="J129" s="133"/>
      <c r="K129" s="133"/>
      <c r="L129" s="133"/>
    </row>
    <row r="130" spans="6:12" ht="39" customHeight="1" x14ac:dyDescent="0.3">
      <c r="F130" s="133"/>
      <c r="J130" s="133"/>
      <c r="K130" s="133"/>
      <c r="L130" s="133"/>
    </row>
    <row r="131" spans="6:12" ht="39" customHeight="1" x14ac:dyDescent="0.3">
      <c r="F131" s="133"/>
      <c r="J131" s="133"/>
      <c r="K131" s="133"/>
      <c r="L131" s="133"/>
    </row>
    <row r="132" spans="6:12" ht="39" customHeight="1" x14ac:dyDescent="0.3">
      <c r="F132" s="133"/>
      <c r="J132" s="133"/>
      <c r="K132" s="133"/>
      <c r="L132" s="133"/>
    </row>
    <row r="133" spans="6:12" ht="39" customHeight="1" x14ac:dyDescent="0.3">
      <c r="F133" s="133"/>
      <c r="J133" s="133"/>
      <c r="K133" s="133"/>
      <c r="L133" s="133"/>
    </row>
    <row r="134" spans="6:12" ht="39" customHeight="1" x14ac:dyDescent="0.3">
      <c r="F134" s="133"/>
      <c r="J134" s="133"/>
      <c r="K134" s="133"/>
      <c r="L134" s="133"/>
    </row>
    <row r="135" spans="6:12" ht="39" customHeight="1" x14ac:dyDescent="0.3">
      <c r="F135" s="133"/>
      <c r="J135" s="133"/>
      <c r="K135" s="133"/>
      <c r="L135" s="133"/>
    </row>
    <row r="136" spans="6:12" ht="39" customHeight="1" x14ac:dyDescent="0.3">
      <c r="F136" s="133"/>
      <c r="J136" s="133"/>
      <c r="K136" s="133"/>
      <c r="L136" s="133"/>
    </row>
    <row r="137" spans="6:12" ht="39" customHeight="1" x14ac:dyDescent="0.3">
      <c r="F137" s="133"/>
      <c r="J137" s="133"/>
      <c r="K137" s="133"/>
      <c r="L137" s="133"/>
    </row>
    <row r="138" spans="6:12" ht="39" customHeight="1" x14ac:dyDescent="0.3">
      <c r="F138" s="133"/>
      <c r="J138" s="133"/>
      <c r="K138" s="133"/>
      <c r="L138" s="133"/>
    </row>
    <row r="139" spans="6:12" ht="39" customHeight="1" x14ac:dyDescent="0.3">
      <c r="F139" s="133"/>
      <c r="J139" s="133"/>
      <c r="K139" s="133"/>
      <c r="L139" s="133"/>
    </row>
    <row r="140" spans="6:12" ht="39" customHeight="1" x14ac:dyDescent="0.3">
      <c r="F140" s="133"/>
      <c r="J140" s="133"/>
      <c r="K140" s="133"/>
      <c r="L140" s="133"/>
    </row>
    <row r="141" spans="6:12" ht="39" customHeight="1" x14ac:dyDescent="0.3">
      <c r="F141" s="133"/>
      <c r="J141" s="133"/>
      <c r="K141" s="133"/>
      <c r="L141" s="133"/>
    </row>
    <row r="142" spans="6:12" ht="39" customHeight="1" x14ac:dyDescent="0.3">
      <c r="F142" s="133"/>
      <c r="J142" s="133"/>
      <c r="K142" s="133"/>
      <c r="L142" s="133"/>
    </row>
    <row r="143" spans="6:12" ht="39" customHeight="1" x14ac:dyDescent="0.3">
      <c r="F143" s="133"/>
      <c r="J143" s="133"/>
      <c r="K143" s="133"/>
      <c r="L143" s="133"/>
    </row>
    <row r="144" spans="6:12" ht="39" customHeight="1" x14ac:dyDescent="0.3">
      <c r="F144" s="133"/>
      <c r="J144" s="133"/>
      <c r="K144" s="133"/>
      <c r="L144" s="133"/>
    </row>
    <row r="145" spans="6:12" ht="39" customHeight="1" x14ac:dyDescent="0.3">
      <c r="F145" s="133"/>
      <c r="J145" s="133"/>
      <c r="K145" s="133"/>
      <c r="L145" s="133"/>
    </row>
    <row r="146" spans="6:12" ht="39" customHeight="1" x14ac:dyDescent="0.3">
      <c r="F146" s="133"/>
      <c r="J146" s="133"/>
      <c r="K146" s="133"/>
      <c r="L146" s="133"/>
    </row>
    <row r="147" spans="6:12" ht="39" customHeight="1" x14ac:dyDescent="0.3">
      <c r="F147" s="133"/>
      <c r="J147" s="133"/>
      <c r="K147" s="133"/>
      <c r="L147" s="133"/>
    </row>
    <row r="148" spans="6:12" ht="39" customHeight="1" x14ac:dyDescent="0.3">
      <c r="F148" s="133"/>
      <c r="J148" s="133"/>
      <c r="K148" s="133"/>
      <c r="L148" s="133"/>
    </row>
    <row r="149" spans="6:12" ht="39" customHeight="1" x14ac:dyDescent="0.3">
      <c r="F149" s="133"/>
      <c r="J149" s="133"/>
      <c r="K149" s="133"/>
      <c r="L149" s="133"/>
    </row>
    <row r="150" spans="6:12" ht="39" customHeight="1" x14ac:dyDescent="0.3">
      <c r="F150" s="133"/>
      <c r="J150" s="133"/>
      <c r="K150" s="133"/>
      <c r="L150" s="133"/>
    </row>
    <row r="151" spans="6:12" ht="39" customHeight="1" x14ac:dyDescent="0.3">
      <c r="F151" s="133"/>
      <c r="J151" s="133"/>
      <c r="K151" s="133"/>
      <c r="L151" s="133"/>
    </row>
    <row r="152" spans="6:12" ht="39" customHeight="1" x14ac:dyDescent="0.3">
      <c r="F152" s="133"/>
      <c r="J152" s="133"/>
      <c r="K152" s="133"/>
      <c r="L152" s="133"/>
    </row>
    <row r="153" spans="6:12" ht="39" customHeight="1" x14ac:dyDescent="0.3">
      <c r="F153" s="133"/>
      <c r="J153" s="133"/>
      <c r="K153" s="133"/>
      <c r="L153" s="133"/>
    </row>
    <row r="154" spans="6:12" ht="39" customHeight="1" x14ac:dyDescent="0.3">
      <c r="F154" s="133"/>
      <c r="J154" s="133"/>
      <c r="K154" s="133"/>
      <c r="L154" s="133"/>
    </row>
    <row r="155" spans="6:12" ht="39" customHeight="1" x14ac:dyDescent="0.3">
      <c r="F155" s="133"/>
      <c r="J155" s="133"/>
      <c r="K155" s="133"/>
      <c r="L155" s="133"/>
    </row>
    <row r="156" spans="6:12" ht="39" customHeight="1" x14ac:dyDescent="0.3">
      <c r="F156" s="133"/>
      <c r="J156" s="133"/>
      <c r="K156" s="133"/>
      <c r="L156" s="133"/>
    </row>
    <row r="157" spans="6:12" ht="39" customHeight="1" x14ac:dyDescent="0.3">
      <c r="F157" s="133"/>
      <c r="J157" s="133"/>
      <c r="K157" s="133"/>
      <c r="L157" s="133"/>
    </row>
    <row r="158" spans="6:12" ht="39" customHeight="1" x14ac:dyDescent="0.3">
      <c r="F158" s="133"/>
      <c r="J158" s="133"/>
      <c r="K158" s="133"/>
      <c r="L158" s="133"/>
    </row>
    <row r="159" spans="6:12" ht="39" customHeight="1" x14ac:dyDescent="0.3">
      <c r="F159" s="133"/>
      <c r="J159" s="133"/>
      <c r="K159" s="133"/>
      <c r="L159" s="133"/>
    </row>
    <row r="160" spans="6:12" ht="39" customHeight="1" x14ac:dyDescent="0.3">
      <c r="F160" s="133"/>
      <c r="J160" s="133"/>
      <c r="K160" s="133"/>
      <c r="L160" s="133"/>
    </row>
    <row r="161" spans="6:12" ht="39" customHeight="1" x14ac:dyDescent="0.3">
      <c r="F161" s="133"/>
      <c r="J161" s="133"/>
      <c r="K161" s="133"/>
      <c r="L161" s="133"/>
    </row>
    <row r="162" spans="6:12" ht="39" customHeight="1" x14ac:dyDescent="0.3">
      <c r="F162" s="133"/>
      <c r="J162" s="133"/>
      <c r="K162" s="133"/>
      <c r="L162" s="133"/>
    </row>
    <row r="163" spans="6:12" ht="39" customHeight="1" x14ac:dyDescent="0.3">
      <c r="F163" s="133"/>
      <c r="J163" s="133"/>
      <c r="K163" s="133"/>
      <c r="L163" s="133"/>
    </row>
    <row r="164" spans="6:12" ht="39" customHeight="1" x14ac:dyDescent="0.3">
      <c r="F164" s="133"/>
      <c r="J164" s="133"/>
      <c r="K164" s="133"/>
      <c r="L164" s="133"/>
    </row>
    <row r="165" spans="6:12" ht="39" customHeight="1" x14ac:dyDescent="0.3">
      <c r="F165" s="133"/>
      <c r="J165" s="133"/>
      <c r="K165" s="133"/>
      <c r="L165" s="133"/>
    </row>
    <row r="166" spans="6:12" ht="39" customHeight="1" x14ac:dyDescent="0.3">
      <c r="F166" s="133"/>
      <c r="J166" s="133"/>
      <c r="K166" s="133"/>
      <c r="L166" s="133"/>
    </row>
    <row r="167" spans="6:12" ht="39" customHeight="1" x14ac:dyDescent="0.3">
      <c r="F167" s="133"/>
      <c r="J167" s="133"/>
      <c r="K167" s="133"/>
      <c r="L167" s="133"/>
    </row>
    <row r="168" spans="6:12" ht="39" customHeight="1" x14ac:dyDescent="0.3">
      <c r="F168" s="133"/>
      <c r="J168" s="133"/>
      <c r="K168" s="133"/>
      <c r="L168" s="133"/>
    </row>
    <row r="169" spans="6:12" ht="39" customHeight="1" x14ac:dyDescent="0.3">
      <c r="F169" s="133"/>
      <c r="J169" s="133"/>
      <c r="K169" s="133"/>
      <c r="L169" s="133"/>
    </row>
    <row r="170" spans="6:12" ht="39" customHeight="1" x14ac:dyDescent="0.3">
      <c r="F170" s="133"/>
      <c r="J170" s="133"/>
      <c r="K170" s="133"/>
      <c r="L170" s="133"/>
    </row>
    <row r="171" spans="6:12" ht="39" customHeight="1" x14ac:dyDescent="0.3">
      <c r="F171" s="133"/>
      <c r="J171" s="133"/>
      <c r="K171" s="133"/>
      <c r="L171" s="133"/>
    </row>
    <row r="172" spans="6:12" ht="39" customHeight="1" x14ac:dyDescent="0.3">
      <c r="F172" s="133"/>
      <c r="J172" s="133"/>
      <c r="K172" s="133"/>
      <c r="L172" s="133"/>
    </row>
    <row r="173" spans="6:12" ht="39" customHeight="1" x14ac:dyDescent="0.3">
      <c r="F173" s="133"/>
      <c r="J173" s="133"/>
      <c r="K173" s="133"/>
      <c r="L173" s="133"/>
    </row>
    <row r="174" spans="6:12" ht="39" customHeight="1" x14ac:dyDescent="0.3">
      <c r="F174" s="133"/>
      <c r="J174" s="133"/>
      <c r="K174" s="133"/>
      <c r="L174" s="133"/>
    </row>
    <row r="175" spans="6:12" ht="39" customHeight="1" x14ac:dyDescent="0.3">
      <c r="F175" s="133"/>
      <c r="J175" s="133"/>
      <c r="K175" s="133"/>
      <c r="L175" s="133"/>
    </row>
    <row r="176" spans="6:12" ht="39" customHeight="1" x14ac:dyDescent="0.3">
      <c r="F176" s="133"/>
      <c r="J176" s="133"/>
      <c r="K176" s="133"/>
      <c r="L176" s="133"/>
    </row>
    <row r="177" spans="6:12" ht="39" customHeight="1" x14ac:dyDescent="0.3">
      <c r="F177" s="133"/>
      <c r="J177" s="133"/>
      <c r="K177" s="133"/>
      <c r="L177" s="133"/>
    </row>
    <row r="178" spans="6:12" ht="39" customHeight="1" x14ac:dyDescent="0.3">
      <c r="F178" s="133"/>
      <c r="J178" s="133"/>
      <c r="K178" s="133"/>
      <c r="L178" s="133"/>
    </row>
    <row r="179" spans="6:12" ht="39" customHeight="1" x14ac:dyDescent="0.3">
      <c r="F179" s="133"/>
      <c r="J179" s="133"/>
      <c r="K179" s="133"/>
      <c r="L179" s="133"/>
    </row>
    <row r="180" spans="6:12" ht="39" customHeight="1" x14ac:dyDescent="0.3">
      <c r="F180" s="133"/>
      <c r="J180" s="133"/>
      <c r="K180" s="133"/>
      <c r="L180" s="133"/>
    </row>
    <row r="181" spans="6:12" ht="39" customHeight="1" x14ac:dyDescent="0.3">
      <c r="F181" s="133"/>
      <c r="J181" s="133"/>
      <c r="K181" s="133"/>
      <c r="L181" s="133"/>
    </row>
    <row r="182" spans="6:12" ht="39" customHeight="1" x14ac:dyDescent="0.3">
      <c r="F182" s="133"/>
      <c r="J182" s="133"/>
      <c r="K182" s="133"/>
      <c r="L182" s="133"/>
    </row>
    <row r="183" spans="6:12" ht="39" customHeight="1" x14ac:dyDescent="0.3">
      <c r="F183" s="133"/>
      <c r="J183" s="133"/>
      <c r="K183" s="133"/>
      <c r="L183" s="133"/>
    </row>
    <row r="184" spans="6:12" ht="39" customHeight="1" x14ac:dyDescent="0.3">
      <c r="F184" s="133"/>
      <c r="J184" s="133"/>
      <c r="K184" s="133"/>
      <c r="L184" s="133"/>
    </row>
    <row r="185" spans="6:12" ht="39" customHeight="1" x14ac:dyDescent="0.3">
      <c r="F185" s="133"/>
      <c r="J185" s="133"/>
      <c r="K185" s="133"/>
      <c r="L185" s="133"/>
    </row>
    <row r="186" spans="6:12" ht="39" customHeight="1" x14ac:dyDescent="0.3">
      <c r="F186" s="133"/>
      <c r="J186" s="133"/>
      <c r="K186" s="133"/>
      <c r="L186" s="133"/>
    </row>
    <row r="187" spans="6:12" ht="39" customHeight="1" x14ac:dyDescent="0.3">
      <c r="F187" s="133"/>
      <c r="J187" s="133"/>
      <c r="K187" s="133"/>
      <c r="L187" s="133"/>
    </row>
    <row r="188" spans="6:12" ht="39" customHeight="1" x14ac:dyDescent="0.3">
      <c r="F188" s="133"/>
      <c r="J188" s="133"/>
      <c r="K188" s="133"/>
      <c r="L188" s="133"/>
    </row>
    <row r="189" spans="6:12" ht="39" customHeight="1" x14ac:dyDescent="0.3">
      <c r="F189" s="133"/>
      <c r="J189" s="133"/>
      <c r="K189" s="133"/>
      <c r="L189" s="133"/>
    </row>
    <row r="190" spans="6:12" ht="39" customHeight="1" x14ac:dyDescent="0.3">
      <c r="F190" s="133"/>
      <c r="J190" s="133"/>
      <c r="K190" s="133"/>
      <c r="L190" s="133"/>
    </row>
    <row r="191" spans="6:12" ht="39" customHeight="1" x14ac:dyDescent="0.3">
      <c r="F191" s="133"/>
      <c r="J191" s="133"/>
      <c r="K191" s="133"/>
      <c r="L191" s="133"/>
    </row>
    <row r="192" spans="6:12" ht="39" customHeight="1" x14ac:dyDescent="0.3">
      <c r="F192" s="133"/>
      <c r="J192" s="133"/>
      <c r="K192" s="133"/>
      <c r="L192" s="133"/>
    </row>
    <row r="193" spans="6:12" ht="39" customHeight="1" x14ac:dyDescent="0.3">
      <c r="F193" s="133"/>
      <c r="J193" s="133"/>
      <c r="K193" s="133"/>
      <c r="L193" s="133"/>
    </row>
    <row r="194" spans="6:12" ht="39" customHeight="1" x14ac:dyDescent="0.3">
      <c r="F194" s="133"/>
      <c r="J194" s="133"/>
      <c r="K194" s="133"/>
      <c r="L194" s="133"/>
    </row>
    <row r="195" spans="6:12" ht="39" customHeight="1" x14ac:dyDescent="0.3">
      <c r="F195" s="133"/>
      <c r="J195" s="133"/>
      <c r="K195" s="133"/>
      <c r="L195" s="133"/>
    </row>
  </sheetData>
  <autoFilter ref="A2:K45" xr:uid="{303AF424-D21F-4D04-B1F2-4AD23021CEF2}">
    <filterColumn colId="0">
      <filters>
        <filter val="3"/>
      </filters>
    </filterColumn>
  </autoFilter>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ADB50-E271-462A-8B1A-286862ACF172}">
  <dimension ref="B2:P67"/>
  <sheetViews>
    <sheetView topLeftCell="A17" zoomScale="145" zoomScaleNormal="145" workbookViewId="0">
      <selection activeCell="H20" sqref="H20"/>
    </sheetView>
  </sheetViews>
  <sheetFormatPr defaultRowHeight="14.4" x14ac:dyDescent="0.3"/>
  <cols>
    <col min="3" max="3" width="40.109375" customWidth="1"/>
    <col min="4" max="4" width="14.44140625" bestFit="1" customWidth="1"/>
    <col min="9" max="9" width="21.33203125" bestFit="1" customWidth="1"/>
    <col min="10" max="10" width="18.5546875" bestFit="1" customWidth="1"/>
    <col min="11" max="11" width="8.33203125" bestFit="1" customWidth="1"/>
    <col min="12" max="12" width="7" bestFit="1" customWidth="1"/>
    <col min="13" max="13" width="13.33203125" bestFit="1" customWidth="1"/>
    <col min="14" max="14" width="13.44140625" bestFit="1" customWidth="1"/>
    <col min="15" max="15" width="10" bestFit="1" customWidth="1"/>
    <col min="16" max="22" width="5.109375" bestFit="1" customWidth="1"/>
    <col min="23" max="23" width="10" bestFit="1" customWidth="1"/>
  </cols>
  <sheetData>
    <row r="2" spans="2:15" ht="28.8" thickBot="1" x14ac:dyDescent="0.35">
      <c r="B2" s="140" t="s">
        <v>310</v>
      </c>
      <c r="C2" s="148" t="s">
        <v>324</v>
      </c>
      <c r="D2" s="148" t="s">
        <v>26209</v>
      </c>
      <c r="E2" s="148" t="s">
        <v>320</v>
      </c>
      <c r="I2" s="149" t="s">
        <v>26213</v>
      </c>
      <c r="J2" s="149" t="s">
        <v>26214</v>
      </c>
    </row>
    <row r="3" spans="2:15" x14ac:dyDescent="0.3">
      <c r="B3" s="141" t="s">
        <v>702</v>
      </c>
      <c r="C3" s="134" t="s">
        <v>710</v>
      </c>
      <c r="D3" s="134" t="s">
        <v>26205</v>
      </c>
      <c r="E3" s="134">
        <v>2015</v>
      </c>
      <c r="I3" s="149" t="s">
        <v>26211</v>
      </c>
      <c r="J3" t="s">
        <v>26206</v>
      </c>
      <c r="K3" t="s">
        <v>26210</v>
      </c>
      <c r="L3" t="s">
        <v>26205</v>
      </c>
      <c r="M3" t="s">
        <v>26208</v>
      </c>
      <c r="N3" t="s">
        <v>26207</v>
      </c>
      <c r="O3" t="s">
        <v>26212</v>
      </c>
    </row>
    <row r="4" spans="2:15" x14ac:dyDescent="0.3">
      <c r="B4" s="142" t="s">
        <v>737</v>
      </c>
      <c r="C4" s="135" t="s">
        <v>745</v>
      </c>
      <c r="D4" s="135" t="s">
        <v>26205</v>
      </c>
      <c r="E4" s="135">
        <v>2013</v>
      </c>
      <c r="I4" s="150">
        <v>2007</v>
      </c>
      <c r="L4">
        <v>1</v>
      </c>
      <c r="O4">
        <v>1</v>
      </c>
    </row>
    <row r="5" spans="2:15" x14ac:dyDescent="0.3">
      <c r="B5" s="143" t="s">
        <v>813</v>
      </c>
      <c r="C5" s="134" t="s">
        <v>820</v>
      </c>
      <c r="D5" s="134" t="s">
        <v>26205</v>
      </c>
      <c r="E5" s="134">
        <v>2020</v>
      </c>
      <c r="I5" s="150">
        <v>2011</v>
      </c>
      <c r="L5">
        <v>2</v>
      </c>
      <c r="M5">
        <v>1</v>
      </c>
      <c r="O5">
        <v>3</v>
      </c>
    </row>
    <row r="6" spans="2:15" x14ac:dyDescent="0.3">
      <c r="B6" s="142" t="s">
        <v>867</v>
      </c>
      <c r="C6" s="135" t="s">
        <v>875</v>
      </c>
      <c r="D6" s="135" t="s">
        <v>26206</v>
      </c>
      <c r="E6" s="135">
        <v>2013</v>
      </c>
      <c r="I6" s="150">
        <v>2012</v>
      </c>
      <c r="J6">
        <v>1</v>
      </c>
      <c r="L6">
        <v>3</v>
      </c>
      <c r="O6">
        <v>4</v>
      </c>
    </row>
    <row r="7" spans="2:15" x14ac:dyDescent="0.3">
      <c r="B7" s="141" t="s">
        <v>911</v>
      </c>
      <c r="C7" s="134" t="s">
        <v>917</v>
      </c>
      <c r="D7" s="134" t="s">
        <v>26205</v>
      </c>
      <c r="E7" s="134">
        <v>2012</v>
      </c>
      <c r="I7" s="150">
        <v>2013</v>
      </c>
      <c r="J7">
        <v>1</v>
      </c>
      <c r="L7">
        <v>1</v>
      </c>
      <c r="M7">
        <v>1</v>
      </c>
      <c r="O7">
        <v>3</v>
      </c>
    </row>
    <row r="8" spans="2:15" x14ac:dyDescent="0.3">
      <c r="B8" s="142" t="s">
        <v>964</v>
      </c>
      <c r="C8" s="135" t="s">
        <v>971</v>
      </c>
      <c r="D8" s="135" t="s">
        <v>26207</v>
      </c>
      <c r="E8" s="135">
        <v>2018</v>
      </c>
      <c r="I8" s="150">
        <v>2014</v>
      </c>
      <c r="M8">
        <v>1</v>
      </c>
      <c r="O8">
        <v>1</v>
      </c>
    </row>
    <row r="9" spans="2:15" x14ac:dyDescent="0.3">
      <c r="B9" s="141" t="s">
        <v>976</v>
      </c>
      <c r="C9" s="134" t="s">
        <v>984</v>
      </c>
      <c r="D9" s="134" t="s">
        <v>26206</v>
      </c>
      <c r="E9" s="134">
        <v>2017</v>
      </c>
      <c r="I9" s="150">
        <v>2015</v>
      </c>
      <c r="J9">
        <v>2</v>
      </c>
      <c r="L9">
        <v>1</v>
      </c>
      <c r="O9">
        <v>3</v>
      </c>
    </row>
    <row r="10" spans="2:15" x14ac:dyDescent="0.3">
      <c r="B10" s="142" t="s">
        <v>1021</v>
      </c>
      <c r="C10" s="135" t="s">
        <v>1029</v>
      </c>
      <c r="D10" s="135" t="s">
        <v>26208</v>
      </c>
      <c r="E10" s="135">
        <v>2014</v>
      </c>
      <c r="I10" s="150">
        <v>2016</v>
      </c>
      <c r="J10">
        <v>3</v>
      </c>
      <c r="L10">
        <v>2</v>
      </c>
      <c r="O10">
        <v>5</v>
      </c>
    </row>
    <row r="11" spans="2:15" x14ac:dyDescent="0.3">
      <c r="B11" s="141" t="s">
        <v>1033</v>
      </c>
      <c r="C11" s="134" t="s">
        <v>820</v>
      </c>
      <c r="D11" s="134" t="s">
        <v>26205</v>
      </c>
      <c r="E11" s="134">
        <v>2012</v>
      </c>
      <c r="I11" s="150">
        <v>2017</v>
      </c>
      <c r="J11">
        <v>2</v>
      </c>
      <c r="M11">
        <v>1</v>
      </c>
      <c r="O11">
        <v>3</v>
      </c>
    </row>
    <row r="12" spans="2:15" x14ac:dyDescent="0.3">
      <c r="B12" s="142" t="s">
        <v>1045</v>
      </c>
      <c r="C12" s="135" t="s">
        <v>1053</v>
      </c>
      <c r="D12" s="135" t="s">
        <v>26208</v>
      </c>
      <c r="E12" s="135">
        <v>2011</v>
      </c>
      <c r="I12" s="150">
        <v>2018</v>
      </c>
      <c r="J12">
        <v>2</v>
      </c>
      <c r="L12">
        <v>1</v>
      </c>
      <c r="N12">
        <v>1</v>
      </c>
      <c r="O12">
        <v>4</v>
      </c>
    </row>
    <row r="13" spans="2:15" x14ac:dyDescent="0.3">
      <c r="B13" s="141" t="s">
        <v>1058</v>
      </c>
      <c r="C13" s="134" t="s">
        <v>1066</v>
      </c>
      <c r="D13" s="134" t="s">
        <v>26205</v>
      </c>
      <c r="E13" s="134">
        <v>2007</v>
      </c>
      <c r="I13" s="150">
        <v>2019</v>
      </c>
      <c r="J13">
        <v>6</v>
      </c>
      <c r="L13">
        <v>2</v>
      </c>
      <c r="O13">
        <v>8</v>
      </c>
    </row>
    <row r="14" spans="2:15" x14ac:dyDescent="0.3">
      <c r="B14" s="142" t="s">
        <v>1082</v>
      </c>
      <c r="C14" s="135" t="s">
        <v>1090</v>
      </c>
      <c r="D14" s="135" t="s">
        <v>26205</v>
      </c>
      <c r="E14" s="135">
        <v>2016</v>
      </c>
      <c r="I14" s="150">
        <v>2020</v>
      </c>
      <c r="J14">
        <v>11</v>
      </c>
      <c r="K14">
        <v>2</v>
      </c>
      <c r="L14">
        <v>1</v>
      </c>
      <c r="O14">
        <v>14</v>
      </c>
    </row>
    <row r="15" spans="2:15" x14ac:dyDescent="0.3">
      <c r="B15" s="141" t="s">
        <v>1116</v>
      </c>
      <c r="C15" s="134" t="s">
        <v>875</v>
      </c>
      <c r="D15" s="134" t="s">
        <v>26206</v>
      </c>
      <c r="E15" s="134">
        <v>2020</v>
      </c>
      <c r="I15" s="150">
        <v>2021</v>
      </c>
      <c r="J15">
        <v>6</v>
      </c>
      <c r="K15">
        <v>1</v>
      </c>
      <c r="L15">
        <v>1</v>
      </c>
      <c r="N15">
        <v>2</v>
      </c>
      <c r="O15">
        <v>10</v>
      </c>
    </row>
    <row r="16" spans="2:15" x14ac:dyDescent="0.3">
      <c r="B16" s="142" t="s">
        <v>1124</v>
      </c>
      <c r="C16" s="135" t="s">
        <v>984</v>
      </c>
      <c r="D16" s="135" t="s">
        <v>26206</v>
      </c>
      <c r="E16" s="135">
        <v>2012</v>
      </c>
      <c r="I16" s="150">
        <v>2022</v>
      </c>
      <c r="J16">
        <v>2</v>
      </c>
      <c r="K16">
        <v>1</v>
      </c>
      <c r="L16">
        <v>1</v>
      </c>
      <c r="M16">
        <v>2</v>
      </c>
      <c r="O16">
        <v>6</v>
      </c>
    </row>
    <row r="17" spans="2:16" x14ac:dyDescent="0.3">
      <c r="B17" s="141" t="s">
        <v>1134</v>
      </c>
      <c r="C17" s="134" t="s">
        <v>875</v>
      </c>
      <c r="D17" s="134" t="s">
        <v>26206</v>
      </c>
      <c r="E17" s="134">
        <v>2020</v>
      </c>
      <c r="I17" s="150" t="s">
        <v>26212</v>
      </c>
      <c r="J17">
        <v>36</v>
      </c>
      <c r="K17">
        <v>4</v>
      </c>
      <c r="L17">
        <v>16</v>
      </c>
      <c r="M17">
        <v>6</v>
      </c>
      <c r="N17">
        <v>3</v>
      </c>
      <c r="O17">
        <v>65</v>
      </c>
    </row>
    <row r="18" spans="2:16" x14ac:dyDescent="0.3">
      <c r="B18" s="142" t="s">
        <v>1145</v>
      </c>
      <c r="C18" s="135" t="s">
        <v>1152</v>
      </c>
      <c r="D18" s="135" t="s">
        <v>26206</v>
      </c>
      <c r="E18" s="135">
        <v>2020</v>
      </c>
    </row>
    <row r="19" spans="2:16" x14ac:dyDescent="0.3">
      <c r="B19" s="141" t="s">
        <v>1173</v>
      </c>
      <c r="C19" s="134" t="s">
        <v>984</v>
      </c>
      <c r="D19" s="134" t="s">
        <v>26206</v>
      </c>
      <c r="E19" s="134">
        <v>2019</v>
      </c>
      <c r="N19" t="s">
        <v>26206</v>
      </c>
      <c r="O19">
        <v>36</v>
      </c>
      <c r="P19" s="195">
        <f>+O19/$O$24</f>
        <v>0.55384615384615388</v>
      </c>
    </row>
    <row r="20" spans="2:16" x14ac:dyDescent="0.3">
      <c r="B20" s="142" t="s">
        <v>1183</v>
      </c>
      <c r="C20" s="135" t="s">
        <v>1190</v>
      </c>
      <c r="D20" s="135" t="s">
        <v>26206</v>
      </c>
      <c r="E20" s="135">
        <v>2019</v>
      </c>
      <c r="N20" t="s">
        <v>26210</v>
      </c>
      <c r="O20">
        <v>4</v>
      </c>
      <c r="P20" s="195">
        <f t="shared" ref="P20:P23" si="0">+O20/$O$24</f>
        <v>6.1538461538461542E-2</v>
      </c>
    </row>
    <row r="21" spans="2:16" x14ac:dyDescent="0.3">
      <c r="B21" s="141" t="s">
        <v>1214</v>
      </c>
      <c r="C21" s="134" t="s">
        <v>1221</v>
      </c>
      <c r="D21" s="134" t="s">
        <v>26206</v>
      </c>
      <c r="E21" s="134">
        <v>2020</v>
      </c>
      <c r="N21" t="s">
        <v>26205</v>
      </c>
      <c r="O21">
        <v>16</v>
      </c>
      <c r="P21" s="195">
        <f t="shared" si="0"/>
        <v>0.24615384615384617</v>
      </c>
    </row>
    <row r="22" spans="2:16" x14ac:dyDescent="0.3">
      <c r="B22" s="142" t="s">
        <v>1225</v>
      </c>
      <c r="C22" s="136" t="s">
        <v>875</v>
      </c>
      <c r="D22" s="136" t="s">
        <v>26206</v>
      </c>
      <c r="E22" s="136">
        <v>2020</v>
      </c>
      <c r="N22" t="s">
        <v>26208</v>
      </c>
      <c r="O22">
        <v>6</v>
      </c>
      <c r="P22" s="195">
        <f t="shared" si="0"/>
        <v>9.2307692307692313E-2</v>
      </c>
    </row>
    <row r="23" spans="2:16" x14ac:dyDescent="0.3">
      <c r="B23" s="141" t="s">
        <v>1235</v>
      </c>
      <c r="C23" s="134" t="s">
        <v>875</v>
      </c>
      <c r="D23" s="134" t="s">
        <v>26206</v>
      </c>
      <c r="E23" s="134">
        <v>2019</v>
      </c>
      <c r="N23" t="s">
        <v>26207</v>
      </c>
      <c r="O23">
        <v>3</v>
      </c>
      <c r="P23" s="195">
        <f t="shared" si="0"/>
        <v>4.6153846153846156E-2</v>
      </c>
    </row>
    <row r="24" spans="2:16" x14ac:dyDescent="0.3">
      <c r="B24" s="142" t="s">
        <v>1246</v>
      </c>
      <c r="C24" s="135" t="s">
        <v>984</v>
      </c>
      <c r="D24" s="135" t="s">
        <v>26206</v>
      </c>
      <c r="E24" s="135">
        <v>2017</v>
      </c>
      <c r="O24">
        <f>SUM(O19:O23)</f>
        <v>65</v>
      </c>
    </row>
    <row r="25" spans="2:16" x14ac:dyDescent="0.3">
      <c r="B25" s="141" t="s">
        <v>1256</v>
      </c>
      <c r="C25" s="134" t="s">
        <v>1221</v>
      </c>
      <c r="D25" s="134" t="s">
        <v>26206</v>
      </c>
      <c r="E25" s="134">
        <v>2015</v>
      </c>
    </row>
    <row r="26" spans="2:16" x14ac:dyDescent="0.3">
      <c r="B26" s="142" t="s">
        <v>1297</v>
      </c>
      <c r="C26" s="135" t="s">
        <v>984</v>
      </c>
      <c r="D26" s="135" t="s">
        <v>26206</v>
      </c>
      <c r="E26" s="135">
        <v>2016</v>
      </c>
    </row>
    <row r="27" spans="2:16" x14ac:dyDescent="0.3">
      <c r="B27" s="141" t="s">
        <v>1306</v>
      </c>
      <c r="C27" s="136" t="s">
        <v>875</v>
      </c>
      <c r="D27" s="136" t="s">
        <v>26206</v>
      </c>
      <c r="E27" s="136">
        <v>2018</v>
      </c>
    </row>
    <row r="28" spans="2:16" x14ac:dyDescent="0.3">
      <c r="B28" s="142" t="s">
        <v>1316</v>
      </c>
      <c r="C28" s="135" t="s">
        <v>984</v>
      </c>
      <c r="D28" s="135" t="s">
        <v>26206</v>
      </c>
      <c r="E28" s="135">
        <v>2016</v>
      </c>
    </row>
    <row r="29" spans="2:16" x14ac:dyDescent="0.3">
      <c r="B29" s="141" t="s">
        <v>1326</v>
      </c>
      <c r="C29" s="134" t="s">
        <v>875</v>
      </c>
      <c r="D29" s="134" t="s">
        <v>26206</v>
      </c>
      <c r="E29" s="134">
        <v>2020</v>
      </c>
    </row>
    <row r="30" spans="2:16" x14ac:dyDescent="0.3">
      <c r="B30" s="142" t="s">
        <v>1345</v>
      </c>
      <c r="C30" s="135" t="s">
        <v>984</v>
      </c>
      <c r="D30" s="135" t="s">
        <v>26206</v>
      </c>
      <c r="E30" s="135">
        <v>2016</v>
      </c>
    </row>
    <row r="31" spans="2:16" x14ac:dyDescent="0.3">
      <c r="B31" s="141" t="s">
        <v>1356</v>
      </c>
      <c r="C31" s="134" t="s">
        <v>1221</v>
      </c>
      <c r="D31" s="134" t="s">
        <v>26206</v>
      </c>
      <c r="E31" s="134">
        <v>2019</v>
      </c>
    </row>
    <row r="32" spans="2:16" x14ac:dyDescent="0.3">
      <c r="B32" s="142" t="s">
        <v>1388</v>
      </c>
      <c r="C32" s="135" t="s">
        <v>1395</v>
      </c>
      <c r="D32" s="135" t="s">
        <v>26205</v>
      </c>
      <c r="E32" s="135">
        <v>2011</v>
      </c>
    </row>
    <row r="33" spans="2:5" x14ac:dyDescent="0.3">
      <c r="B33" s="141" t="s">
        <v>1400</v>
      </c>
      <c r="C33" s="134" t="s">
        <v>1408</v>
      </c>
      <c r="D33" s="134" t="s">
        <v>26205</v>
      </c>
      <c r="E33" s="134">
        <v>2011</v>
      </c>
    </row>
    <row r="34" spans="2:5" x14ac:dyDescent="0.3">
      <c r="B34" s="142" t="s">
        <v>1424</v>
      </c>
      <c r="C34" s="135" t="s">
        <v>1431</v>
      </c>
      <c r="D34" s="135" t="s">
        <v>26208</v>
      </c>
      <c r="E34" s="135">
        <v>2013</v>
      </c>
    </row>
    <row r="35" spans="2:5" x14ac:dyDescent="0.3">
      <c r="B35" s="141" t="s">
        <v>1478</v>
      </c>
      <c r="C35" s="134" t="s">
        <v>1066</v>
      </c>
      <c r="D35" s="134" t="s">
        <v>26205</v>
      </c>
      <c r="E35" s="134">
        <v>2019</v>
      </c>
    </row>
    <row r="36" spans="2:5" x14ac:dyDescent="0.3">
      <c r="B36" s="142" t="s">
        <v>1489</v>
      </c>
      <c r="C36" s="135" t="s">
        <v>984</v>
      </c>
      <c r="D36" s="135" t="s">
        <v>26206</v>
      </c>
      <c r="E36" s="135">
        <v>2019</v>
      </c>
    </row>
    <row r="37" spans="2:5" x14ac:dyDescent="0.3">
      <c r="B37" s="141" t="s">
        <v>1500</v>
      </c>
      <c r="C37" s="136" t="s">
        <v>1221</v>
      </c>
      <c r="D37" s="136" t="s">
        <v>26206</v>
      </c>
      <c r="E37" s="136">
        <v>2018</v>
      </c>
    </row>
    <row r="38" spans="2:5" x14ac:dyDescent="0.3">
      <c r="B38" s="142" t="s">
        <v>1510</v>
      </c>
      <c r="C38" s="135" t="s">
        <v>1517</v>
      </c>
      <c r="D38" s="135" t="s">
        <v>26205</v>
      </c>
      <c r="E38" s="135">
        <v>2018</v>
      </c>
    </row>
    <row r="39" spans="2:5" x14ac:dyDescent="0.3">
      <c r="B39" s="141" t="s">
        <v>1543</v>
      </c>
      <c r="C39" s="134" t="s">
        <v>745</v>
      </c>
      <c r="D39" s="134" t="s">
        <v>26205</v>
      </c>
      <c r="E39" s="134">
        <v>2016</v>
      </c>
    </row>
    <row r="40" spans="2:5" x14ac:dyDescent="0.3">
      <c r="B40" s="142" t="s">
        <v>1551</v>
      </c>
      <c r="C40" s="135" t="s">
        <v>1517</v>
      </c>
      <c r="D40" s="135" t="s">
        <v>26205</v>
      </c>
      <c r="E40" s="135">
        <v>2012</v>
      </c>
    </row>
    <row r="41" spans="2:5" x14ac:dyDescent="0.3">
      <c r="B41" s="141" t="s">
        <v>1582</v>
      </c>
      <c r="C41" s="136" t="s">
        <v>875</v>
      </c>
      <c r="D41" s="136" t="s">
        <v>26206</v>
      </c>
      <c r="E41" s="136">
        <v>2020</v>
      </c>
    </row>
    <row r="42" spans="2:5" x14ac:dyDescent="0.3">
      <c r="B42" s="142" t="s">
        <v>1592</v>
      </c>
      <c r="C42" s="135" t="s">
        <v>1517</v>
      </c>
      <c r="D42" s="135" t="s">
        <v>26205</v>
      </c>
      <c r="E42" s="135">
        <v>2019</v>
      </c>
    </row>
    <row r="43" spans="2:5" x14ac:dyDescent="0.3">
      <c r="B43" s="141" t="s">
        <v>1611</v>
      </c>
      <c r="C43" s="134" t="s">
        <v>1029</v>
      </c>
      <c r="D43" s="134" t="s">
        <v>26208</v>
      </c>
      <c r="E43" s="134">
        <v>2017</v>
      </c>
    </row>
    <row r="44" spans="2:5" x14ac:dyDescent="0.3">
      <c r="B44" s="142" t="s">
        <v>1621</v>
      </c>
      <c r="C44" s="136" t="s">
        <v>1221</v>
      </c>
      <c r="D44" s="136" t="s">
        <v>26206</v>
      </c>
      <c r="E44" s="136">
        <v>2020</v>
      </c>
    </row>
    <row r="45" spans="2:5" x14ac:dyDescent="0.3">
      <c r="B45" s="141" t="s">
        <v>1624</v>
      </c>
      <c r="C45" s="134" t="s">
        <v>984</v>
      </c>
      <c r="D45" s="134" t="s">
        <v>26206</v>
      </c>
      <c r="E45" s="134">
        <v>2019</v>
      </c>
    </row>
    <row r="46" spans="2:5" x14ac:dyDescent="0.3">
      <c r="B46" s="144" t="s">
        <v>1632</v>
      </c>
      <c r="C46" s="136" t="s">
        <v>1634</v>
      </c>
      <c r="D46" s="136" t="s">
        <v>26210</v>
      </c>
      <c r="E46" s="136">
        <v>2020</v>
      </c>
    </row>
    <row r="47" spans="2:5" x14ac:dyDescent="0.3">
      <c r="B47" s="145" t="s">
        <v>1636</v>
      </c>
      <c r="C47" s="137" t="s">
        <v>875</v>
      </c>
      <c r="D47" s="137" t="s">
        <v>26206</v>
      </c>
      <c r="E47" s="137">
        <v>2020</v>
      </c>
    </row>
    <row r="48" spans="2:5" x14ac:dyDescent="0.3">
      <c r="B48" s="144" t="s">
        <v>1639</v>
      </c>
      <c r="C48" s="138" t="s">
        <v>1634</v>
      </c>
      <c r="D48" s="138" t="s">
        <v>26210</v>
      </c>
      <c r="E48" s="138">
        <v>2020</v>
      </c>
    </row>
    <row r="49" spans="2:5" x14ac:dyDescent="0.3">
      <c r="B49" s="145" t="s">
        <v>1691</v>
      </c>
      <c r="C49" s="139" t="s">
        <v>875</v>
      </c>
      <c r="D49" s="139" t="s">
        <v>26206</v>
      </c>
      <c r="E49" s="139">
        <v>2020</v>
      </c>
    </row>
    <row r="50" spans="2:5" x14ac:dyDescent="0.3">
      <c r="B50" s="144" t="s">
        <v>1702</v>
      </c>
      <c r="C50" s="137" t="s">
        <v>984</v>
      </c>
      <c r="D50" s="137" t="s">
        <v>26206</v>
      </c>
      <c r="E50" s="137">
        <v>2021</v>
      </c>
    </row>
    <row r="51" spans="2:5" x14ac:dyDescent="0.3">
      <c r="B51" s="146" t="s">
        <v>1771</v>
      </c>
      <c r="C51" s="137" t="s">
        <v>1221</v>
      </c>
      <c r="D51" s="137" t="s">
        <v>26206</v>
      </c>
      <c r="E51" s="137">
        <v>2015</v>
      </c>
    </row>
    <row r="52" spans="2:5" x14ac:dyDescent="0.3">
      <c r="B52" s="147" t="s">
        <v>1973</v>
      </c>
      <c r="C52" s="137" t="s">
        <v>1029</v>
      </c>
      <c r="D52" s="137" t="s">
        <v>26208</v>
      </c>
      <c r="E52" s="137">
        <v>2022</v>
      </c>
    </row>
    <row r="53" spans="2:5" x14ac:dyDescent="0.3">
      <c r="B53" s="146" t="s">
        <v>2243</v>
      </c>
      <c r="C53" s="137" t="s">
        <v>26200</v>
      </c>
      <c r="D53" s="137" t="s">
        <v>26206</v>
      </c>
      <c r="E53" s="137">
        <v>2021</v>
      </c>
    </row>
    <row r="54" spans="2:5" x14ac:dyDescent="0.3">
      <c r="B54" s="147" t="s">
        <v>3088</v>
      </c>
      <c r="C54" s="137" t="s">
        <v>1152</v>
      </c>
      <c r="D54" s="137" t="s">
        <v>26206</v>
      </c>
      <c r="E54" s="137">
        <v>2021</v>
      </c>
    </row>
    <row r="55" spans="2:5" x14ac:dyDescent="0.3">
      <c r="B55" s="146" t="s">
        <v>3752</v>
      </c>
      <c r="C55" s="137" t="s">
        <v>1221</v>
      </c>
      <c r="D55" s="137" t="s">
        <v>26206</v>
      </c>
      <c r="E55" s="137">
        <v>2020</v>
      </c>
    </row>
    <row r="56" spans="2:5" x14ac:dyDescent="0.3">
      <c r="B56" s="147" t="s">
        <v>9236</v>
      </c>
      <c r="C56" s="137" t="s">
        <v>1634</v>
      </c>
      <c r="D56" s="137" t="s">
        <v>26210</v>
      </c>
      <c r="E56" s="137">
        <v>2022</v>
      </c>
    </row>
    <row r="57" spans="2:5" x14ac:dyDescent="0.3">
      <c r="B57" s="146" t="s">
        <v>9511</v>
      </c>
      <c r="C57" s="137" t="s">
        <v>984</v>
      </c>
      <c r="D57" s="137" t="s">
        <v>26206</v>
      </c>
      <c r="E57" s="137">
        <v>2021</v>
      </c>
    </row>
    <row r="58" spans="2:5" x14ac:dyDescent="0.3">
      <c r="B58" s="147" t="s">
        <v>9701</v>
      </c>
      <c r="C58" s="137" t="s">
        <v>984</v>
      </c>
      <c r="D58" s="137" t="s">
        <v>26206</v>
      </c>
      <c r="E58" s="137">
        <v>2021</v>
      </c>
    </row>
    <row r="59" spans="2:5" x14ac:dyDescent="0.3">
      <c r="B59" s="146" t="s">
        <v>9919</v>
      </c>
      <c r="C59" s="137" t="s">
        <v>984</v>
      </c>
      <c r="D59" s="137" t="s">
        <v>26206</v>
      </c>
      <c r="E59" s="137">
        <v>2022</v>
      </c>
    </row>
    <row r="60" spans="2:5" x14ac:dyDescent="0.3">
      <c r="B60" s="147" t="s">
        <v>10661</v>
      </c>
      <c r="C60" s="137" t="s">
        <v>875</v>
      </c>
      <c r="D60" s="137" t="s">
        <v>26206</v>
      </c>
      <c r="E60" s="137">
        <v>2021</v>
      </c>
    </row>
    <row r="61" spans="2:5" x14ac:dyDescent="0.3">
      <c r="B61" s="146" t="s">
        <v>10672</v>
      </c>
      <c r="C61" s="137" t="s">
        <v>26201</v>
      </c>
      <c r="D61" s="137" t="s">
        <v>26207</v>
      </c>
      <c r="E61" s="137">
        <v>2021</v>
      </c>
    </row>
    <row r="62" spans="2:5" x14ac:dyDescent="0.3">
      <c r="B62" s="147" t="s">
        <v>1712</v>
      </c>
      <c r="C62" s="137" t="s">
        <v>26202</v>
      </c>
      <c r="D62" s="137" t="s">
        <v>26207</v>
      </c>
      <c r="E62" s="137">
        <v>2021</v>
      </c>
    </row>
    <row r="63" spans="2:5" x14ac:dyDescent="0.3">
      <c r="B63" s="146" t="s">
        <v>17558</v>
      </c>
      <c r="C63" s="137" t="s">
        <v>26203</v>
      </c>
      <c r="D63" s="137" t="s">
        <v>26205</v>
      </c>
      <c r="E63" s="137">
        <v>2022</v>
      </c>
    </row>
    <row r="64" spans="2:5" x14ac:dyDescent="0.3">
      <c r="B64" s="147" t="s">
        <v>17618</v>
      </c>
      <c r="C64" s="137" t="s">
        <v>1029</v>
      </c>
      <c r="D64" s="137" t="s">
        <v>26208</v>
      </c>
      <c r="E64" s="137">
        <v>2022</v>
      </c>
    </row>
    <row r="65" spans="2:5" x14ac:dyDescent="0.3">
      <c r="B65" s="146" t="s">
        <v>17678</v>
      </c>
      <c r="C65" s="137" t="s">
        <v>26204</v>
      </c>
      <c r="D65" s="137" t="s">
        <v>26205</v>
      </c>
      <c r="E65" s="137">
        <v>2021</v>
      </c>
    </row>
    <row r="66" spans="2:5" x14ac:dyDescent="0.3">
      <c r="B66" s="147" t="s">
        <v>17707</v>
      </c>
      <c r="C66" s="137" t="s">
        <v>1634</v>
      </c>
      <c r="D66" s="137" t="s">
        <v>26210</v>
      </c>
      <c r="E66" s="137">
        <v>2021</v>
      </c>
    </row>
    <row r="67" spans="2:5" x14ac:dyDescent="0.3">
      <c r="B67" s="146" t="s">
        <v>17815</v>
      </c>
      <c r="C67" s="137" t="s">
        <v>26200</v>
      </c>
      <c r="D67" s="137" t="s">
        <v>26206</v>
      </c>
      <c r="E67" s="137">
        <v>2022</v>
      </c>
    </row>
  </sheetData>
  <pageMargins left="0.511811024" right="0.511811024" top="0.78740157499999996" bottom="0.78740157499999996" header="0.31496062000000002" footer="0.31496062000000002"/>
  <pageSetup paperSize="9" orientation="portrait" r:id="rId2"/>
  <drawing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5EFAB-B569-4DA7-ACAD-3E3012476459}">
  <dimension ref="B1:U19"/>
  <sheetViews>
    <sheetView showGridLines="0" zoomScale="145" zoomScaleNormal="145" zoomScaleSheetLayoutView="130" workbookViewId="0">
      <selection activeCell="H20" sqref="H20"/>
    </sheetView>
  </sheetViews>
  <sheetFormatPr defaultColWidth="8.88671875" defaultRowHeight="15.6" x14ac:dyDescent="0.3"/>
  <cols>
    <col min="1" max="1" width="8.88671875" style="151"/>
    <col min="2" max="2" width="33" style="151" bestFit="1" customWidth="1"/>
    <col min="3" max="14" width="6.109375" style="151" customWidth="1"/>
    <col min="15" max="15" width="7.6640625" style="151" customWidth="1"/>
    <col min="16" max="20" width="8.88671875" style="151"/>
    <col min="21" max="21" width="33.88671875" style="151" bestFit="1" customWidth="1"/>
    <col min="22" max="16384" width="8.88671875" style="151"/>
  </cols>
  <sheetData>
    <row r="1" spans="2:21" ht="16.2" thickBot="1" x14ac:dyDescent="0.35"/>
    <row r="2" spans="2:21" x14ac:dyDescent="0.3">
      <c r="B2" s="331" t="s">
        <v>26215</v>
      </c>
      <c r="C2" s="333" t="s">
        <v>26216</v>
      </c>
      <c r="D2" s="333"/>
      <c r="E2" s="333"/>
      <c r="F2" s="333"/>
      <c r="G2" s="333"/>
      <c r="H2" s="333"/>
      <c r="I2" s="333"/>
      <c r="J2" s="333"/>
      <c r="K2" s="333"/>
      <c r="L2" s="333"/>
      <c r="M2" s="333"/>
      <c r="N2" s="333"/>
      <c r="O2" s="334" t="s">
        <v>26217</v>
      </c>
      <c r="T2" s="151" t="s">
        <v>25884</v>
      </c>
      <c r="U2" s="151" t="s">
        <v>26221</v>
      </c>
    </row>
    <row r="3" spans="2:21" ht="31.8" thickBot="1" x14ac:dyDescent="0.35">
      <c r="B3" s="332"/>
      <c r="C3" s="158">
        <v>2007</v>
      </c>
      <c r="D3" s="158">
        <v>2011</v>
      </c>
      <c r="E3" s="158">
        <v>2012</v>
      </c>
      <c r="F3" s="158">
        <v>2013</v>
      </c>
      <c r="G3" s="158">
        <v>2014</v>
      </c>
      <c r="H3" s="158">
        <v>2015</v>
      </c>
      <c r="I3" s="158">
        <v>2016</v>
      </c>
      <c r="J3" s="158">
        <v>2017</v>
      </c>
      <c r="K3" s="158">
        <v>2018</v>
      </c>
      <c r="L3" s="158">
        <v>2019</v>
      </c>
      <c r="M3" s="158">
        <v>2020</v>
      </c>
      <c r="N3" s="159" t="s">
        <v>26222</v>
      </c>
      <c r="O3" s="335"/>
      <c r="T3" s="151">
        <v>1</v>
      </c>
      <c r="U3" s="151" t="s">
        <v>347</v>
      </c>
    </row>
    <row r="4" spans="2:21" x14ac:dyDescent="0.3">
      <c r="B4" s="155" t="s">
        <v>347</v>
      </c>
      <c r="C4" s="156">
        <v>1</v>
      </c>
      <c r="D4" s="156">
        <v>2</v>
      </c>
      <c r="E4" s="156">
        <v>4</v>
      </c>
      <c r="F4" s="156">
        <v>2</v>
      </c>
      <c r="G4" s="156">
        <v>1</v>
      </c>
      <c r="H4" s="156">
        <v>1</v>
      </c>
      <c r="I4" s="156">
        <v>2</v>
      </c>
      <c r="J4" s="156">
        <v>3</v>
      </c>
      <c r="K4" s="156">
        <v>1</v>
      </c>
      <c r="L4" s="156">
        <v>6</v>
      </c>
      <c r="M4" s="156">
        <v>5</v>
      </c>
      <c r="N4" s="156">
        <v>5</v>
      </c>
      <c r="O4" s="157">
        <f>SUM(C4:N4)</f>
        <v>33</v>
      </c>
      <c r="T4" s="151">
        <v>2</v>
      </c>
      <c r="U4" s="151" t="s">
        <v>353</v>
      </c>
    </row>
    <row r="5" spans="2:21" x14ac:dyDescent="0.3">
      <c r="B5" s="152" t="s">
        <v>353</v>
      </c>
      <c r="C5" s="153">
        <v>1</v>
      </c>
      <c r="D5" s="153">
        <v>1</v>
      </c>
      <c r="E5" s="153">
        <v>2</v>
      </c>
      <c r="F5" s="153">
        <v>2</v>
      </c>
      <c r="G5" s="153"/>
      <c r="H5" s="153">
        <v>2</v>
      </c>
      <c r="I5" s="153">
        <v>2</v>
      </c>
      <c r="J5" s="153">
        <v>1</v>
      </c>
      <c r="K5" s="153">
        <v>1</v>
      </c>
      <c r="L5" s="153">
        <v>4</v>
      </c>
      <c r="M5" s="153">
        <v>7</v>
      </c>
      <c r="N5" s="153">
        <v>5</v>
      </c>
      <c r="O5" s="154">
        <f t="shared" ref="O5:O17" si="0">SUM(C5:N5)</f>
        <v>28</v>
      </c>
      <c r="T5" s="151">
        <v>3</v>
      </c>
      <c r="U5" s="151" t="s">
        <v>349</v>
      </c>
    </row>
    <row r="6" spans="2:21" x14ac:dyDescent="0.3">
      <c r="B6" s="152" t="s">
        <v>349</v>
      </c>
      <c r="C6" s="153">
        <v>1</v>
      </c>
      <c r="D6" s="153">
        <v>1</v>
      </c>
      <c r="E6" s="153">
        <v>4</v>
      </c>
      <c r="F6" s="153">
        <v>1</v>
      </c>
      <c r="G6" s="153">
        <v>1</v>
      </c>
      <c r="H6" s="153">
        <v>1</v>
      </c>
      <c r="I6" s="153">
        <v>2</v>
      </c>
      <c r="J6" s="153">
        <v>2</v>
      </c>
      <c r="K6" s="153">
        <v>1</v>
      </c>
      <c r="L6" s="153">
        <v>6</v>
      </c>
      <c r="M6" s="153">
        <v>3</v>
      </c>
      <c r="N6" s="153">
        <v>4</v>
      </c>
      <c r="O6" s="154">
        <f t="shared" si="0"/>
        <v>27</v>
      </c>
      <c r="T6" s="151">
        <v>4</v>
      </c>
      <c r="U6" s="151" t="s">
        <v>363</v>
      </c>
    </row>
    <row r="7" spans="2:21" x14ac:dyDescent="0.3">
      <c r="B7" s="152" t="s">
        <v>363</v>
      </c>
      <c r="C7" s="153">
        <v>1</v>
      </c>
      <c r="D7" s="153">
        <v>2</v>
      </c>
      <c r="E7" s="153">
        <v>3</v>
      </c>
      <c r="F7" s="153">
        <v>1</v>
      </c>
      <c r="G7" s="153"/>
      <c r="H7" s="153">
        <v>1</v>
      </c>
      <c r="I7" s="153">
        <v>2</v>
      </c>
      <c r="J7" s="153">
        <v>2</v>
      </c>
      <c r="K7" s="153">
        <v>2</v>
      </c>
      <c r="L7" s="153">
        <v>5</v>
      </c>
      <c r="M7" s="153">
        <v>2</v>
      </c>
      <c r="N7" s="153">
        <v>5</v>
      </c>
      <c r="O7" s="154">
        <f t="shared" si="0"/>
        <v>26</v>
      </c>
      <c r="T7" s="151">
        <v>5</v>
      </c>
      <c r="U7" s="151" t="s">
        <v>350</v>
      </c>
    </row>
    <row r="8" spans="2:21" x14ac:dyDescent="0.3">
      <c r="B8" s="152" t="s">
        <v>350</v>
      </c>
      <c r="C8" s="153">
        <v>1</v>
      </c>
      <c r="D8" s="153"/>
      <c r="E8" s="153">
        <v>3</v>
      </c>
      <c r="F8" s="153">
        <v>1</v>
      </c>
      <c r="G8" s="153">
        <v>1</v>
      </c>
      <c r="H8" s="153">
        <v>1</v>
      </c>
      <c r="I8" s="153">
        <v>1</v>
      </c>
      <c r="J8" s="153">
        <v>1</v>
      </c>
      <c r="K8" s="153">
        <v>1</v>
      </c>
      <c r="L8" s="153">
        <v>5</v>
      </c>
      <c r="M8" s="153">
        <v>3</v>
      </c>
      <c r="N8" s="153">
        <v>4</v>
      </c>
      <c r="O8" s="154">
        <f t="shared" si="0"/>
        <v>22</v>
      </c>
      <c r="T8" s="151">
        <v>6</v>
      </c>
      <c r="U8" s="151" t="s">
        <v>362</v>
      </c>
    </row>
    <row r="9" spans="2:21" x14ac:dyDescent="0.3">
      <c r="B9" s="152" t="s">
        <v>362</v>
      </c>
      <c r="C9" s="153"/>
      <c r="D9" s="153"/>
      <c r="E9" s="153">
        <v>2</v>
      </c>
      <c r="F9" s="153">
        <v>1</v>
      </c>
      <c r="G9" s="153"/>
      <c r="H9" s="153">
        <v>1</v>
      </c>
      <c r="I9" s="153">
        <v>3</v>
      </c>
      <c r="J9" s="153">
        <v>1</v>
      </c>
      <c r="K9" s="153">
        <v>2</v>
      </c>
      <c r="L9" s="153">
        <v>4</v>
      </c>
      <c r="M9" s="153">
        <v>3</v>
      </c>
      <c r="N9" s="153">
        <v>3</v>
      </c>
      <c r="O9" s="154">
        <f t="shared" si="0"/>
        <v>20</v>
      </c>
      <c r="T9" s="151">
        <v>7</v>
      </c>
      <c r="U9" s="151" t="s">
        <v>348</v>
      </c>
    </row>
    <row r="10" spans="2:21" x14ac:dyDescent="0.3">
      <c r="B10" s="152" t="s">
        <v>348</v>
      </c>
      <c r="C10" s="153">
        <v>1</v>
      </c>
      <c r="D10" s="153">
        <v>1</v>
      </c>
      <c r="E10" s="153">
        <v>3</v>
      </c>
      <c r="F10" s="153">
        <v>1</v>
      </c>
      <c r="G10" s="153">
        <v>1</v>
      </c>
      <c r="H10" s="153"/>
      <c r="I10" s="153">
        <v>1</v>
      </c>
      <c r="J10" s="153"/>
      <c r="K10" s="153">
        <v>1</v>
      </c>
      <c r="L10" s="153">
        <v>5</v>
      </c>
      <c r="M10" s="153">
        <v>2</v>
      </c>
      <c r="N10" s="164">
        <v>3</v>
      </c>
      <c r="O10" s="163">
        <f t="shared" si="0"/>
        <v>19</v>
      </c>
      <c r="T10" s="151">
        <v>8</v>
      </c>
      <c r="U10" s="151" t="s">
        <v>16874</v>
      </c>
    </row>
    <row r="11" spans="2:21" x14ac:dyDescent="0.3">
      <c r="B11" s="152" t="s">
        <v>16874</v>
      </c>
      <c r="C11" s="153">
        <v>1</v>
      </c>
      <c r="D11" s="153">
        <v>1</v>
      </c>
      <c r="E11" s="153">
        <v>3</v>
      </c>
      <c r="F11" s="153">
        <v>1</v>
      </c>
      <c r="G11" s="153"/>
      <c r="H11" s="153"/>
      <c r="I11" s="153">
        <v>1</v>
      </c>
      <c r="J11" s="153">
        <v>1</v>
      </c>
      <c r="K11" s="153">
        <v>1</v>
      </c>
      <c r="L11" s="153">
        <v>4</v>
      </c>
      <c r="M11" s="153">
        <v>4</v>
      </c>
      <c r="N11" s="153">
        <v>2</v>
      </c>
      <c r="O11" s="154">
        <f t="shared" si="0"/>
        <v>19</v>
      </c>
      <c r="T11" s="151">
        <v>9</v>
      </c>
      <c r="U11" s="151" t="s">
        <v>358</v>
      </c>
    </row>
    <row r="12" spans="2:21" x14ac:dyDescent="0.3">
      <c r="B12" s="152" t="s">
        <v>358</v>
      </c>
      <c r="C12" s="153">
        <v>1</v>
      </c>
      <c r="D12" s="153"/>
      <c r="E12" s="153">
        <v>2</v>
      </c>
      <c r="F12" s="153"/>
      <c r="G12" s="153"/>
      <c r="H12" s="153">
        <v>1</v>
      </c>
      <c r="I12" s="153">
        <v>2</v>
      </c>
      <c r="J12" s="153"/>
      <c r="K12" s="153"/>
      <c r="L12" s="153">
        <v>4</v>
      </c>
      <c r="M12" s="153">
        <v>4</v>
      </c>
      <c r="N12" s="153">
        <v>2</v>
      </c>
      <c r="O12" s="154">
        <f t="shared" si="0"/>
        <v>16</v>
      </c>
      <c r="T12" s="151">
        <v>10</v>
      </c>
      <c r="U12" s="151" t="s">
        <v>408</v>
      </c>
    </row>
    <row r="13" spans="2:21" x14ac:dyDescent="0.3">
      <c r="B13" s="152" t="s">
        <v>408</v>
      </c>
      <c r="C13" s="153"/>
      <c r="D13" s="153">
        <v>1</v>
      </c>
      <c r="E13" s="153">
        <v>1</v>
      </c>
      <c r="F13" s="153">
        <v>1</v>
      </c>
      <c r="G13" s="153">
        <v>1</v>
      </c>
      <c r="H13" s="153">
        <v>1</v>
      </c>
      <c r="I13" s="153">
        <v>1</v>
      </c>
      <c r="J13" s="153"/>
      <c r="K13" s="153">
        <v>1</v>
      </c>
      <c r="L13" s="153">
        <v>4</v>
      </c>
      <c r="M13" s="153">
        <v>2</v>
      </c>
      <c r="N13" s="153">
        <v>3</v>
      </c>
      <c r="O13" s="154">
        <f t="shared" si="0"/>
        <v>16</v>
      </c>
      <c r="T13" s="151">
        <v>11</v>
      </c>
      <c r="U13" s="151" t="s">
        <v>354</v>
      </c>
    </row>
    <row r="14" spans="2:21" x14ac:dyDescent="0.3">
      <c r="B14" s="152" t="s">
        <v>354</v>
      </c>
      <c r="C14" s="153">
        <v>1</v>
      </c>
      <c r="D14" s="153"/>
      <c r="E14" s="153">
        <v>1</v>
      </c>
      <c r="F14" s="153">
        <v>1</v>
      </c>
      <c r="G14" s="153"/>
      <c r="H14" s="153"/>
      <c r="I14" s="153">
        <v>2</v>
      </c>
      <c r="J14" s="153">
        <v>1</v>
      </c>
      <c r="K14" s="153"/>
      <c r="L14" s="153">
        <v>1</v>
      </c>
      <c r="M14" s="153">
        <v>3</v>
      </c>
      <c r="N14" s="153">
        <v>3</v>
      </c>
      <c r="O14" s="154">
        <f t="shared" si="0"/>
        <v>13</v>
      </c>
      <c r="T14" s="151">
        <v>12</v>
      </c>
      <c r="U14" s="151" t="s">
        <v>356</v>
      </c>
    </row>
    <row r="15" spans="2:21" x14ac:dyDescent="0.3">
      <c r="B15" s="152" t="s">
        <v>356</v>
      </c>
      <c r="C15" s="153">
        <v>1</v>
      </c>
      <c r="D15" s="153">
        <v>1</v>
      </c>
      <c r="E15" s="153">
        <v>2</v>
      </c>
      <c r="F15" s="153"/>
      <c r="G15" s="153"/>
      <c r="H15" s="153"/>
      <c r="I15" s="153">
        <v>2</v>
      </c>
      <c r="J15" s="153">
        <v>1</v>
      </c>
      <c r="K15" s="153"/>
      <c r="L15" s="153">
        <v>1</v>
      </c>
      <c r="M15" s="153">
        <v>3</v>
      </c>
      <c r="N15" s="153">
        <v>3</v>
      </c>
      <c r="O15" s="154">
        <f t="shared" si="0"/>
        <v>14</v>
      </c>
      <c r="T15" s="151">
        <v>13</v>
      </c>
      <c r="U15" s="151" t="s">
        <v>420</v>
      </c>
    </row>
    <row r="16" spans="2:21" x14ac:dyDescent="0.3">
      <c r="B16" s="152" t="s">
        <v>420</v>
      </c>
      <c r="C16" s="153">
        <v>1</v>
      </c>
      <c r="D16" s="153"/>
      <c r="E16" s="153">
        <v>1</v>
      </c>
      <c r="F16" s="153"/>
      <c r="G16" s="153"/>
      <c r="H16" s="153"/>
      <c r="I16" s="153">
        <v>1</v>
      </c>
      <c r="J16" s="153">
        <v>2</v>
      </c>
      <c r="K16" s="153"/>
      <c r="L16" s="153">
        <v>3</v>
      </c>
      <c r="M16" s="153">
        <v>2</v>
      </c>
      <c r="N16" s="153">
        <v>4</v>
      </c>
      <c r="O16" s="154">
        <f t="shared" si="0"/>
        <v>14</v>
      </c>
      <c r="T16" s="151">
        <v>14</v>
      </c>
      <c r="U16" s="151" t="s">
        <v>369</v>
      </c>
    </row>
    <row r="17" spans="2:15" ht="16.2" thickBot="1" x14ac:dyDescent="0.35">
      <c r="B17" s="160" t="s">
        <v>369</v>
      </c>
      <c r="C17" s="161"/>
      <c r="D17" s="161"/>
      <c r="E17" s="161">
        <v>3</v>
      </c>
      <c r="F17" s="161">
        <v>1</v>
      </c>
      <c r="G17" s="161"/>
      <c r="H17" s="161"/>
      <c r="I17" s="161"/>
      <c r="J17" s="161">
        <v>1</v>
      </c>
      <c r="K17" s="161">
        <v>2</v>
      </c>
      <c r="L17" s="161">
        <v>2</v>
      </c>
      <c r="M17" s="161">
        <v>2</v>
      </c>
      <c r="N17" s="161">
        <v>1</v>
      </c>
      <c r="O17" s="162">
        <f t="shared" si="0"/>
        <v>12</v>
      </c>
    </row>
    <row r="18" spans="2:15" ht="8.4" customHeight="1" x14ac:dyDescent="0.3"/>
    <row r="19" spans="2:15" x14ac:dyDescent="0.3">
      <c r="B19" s="165" t="s">
        <v>26218</v>
      </c>
      <c r="C19" s="166"/>
      <c r="D19" s="167" t="s">
        <v>26219</v>
      </c>
      <c r="I19" s="168"/>
      <c r="J19" s="167" t="s">
        <v>26220</v>
      </c>
    </row>
  </sheetData>
  <mergeCells count="3">
    <mergeCell ref="B2:B3"/>
    <mergeCell ref="C2:N2"/>
    <mergeCell ref="O2:O3"/>
  </mergeCells>
  <conditionalFormatting sqref="C4:N4">
    <cfRule type="colorScale" priority="14">
      <colorScale>
        <cfvo type="min"/>
        <cfvo type="max"/>
        <color rgb="FFD5DCF4"/>
        <color rgb="FF6073B2"/>
      </colorScale>
    </cfRule>
  </conditionalFormatting>
  <conditionalFormatting sqref="C5:N5">
    <cfRule type="colorScale" priority="13">
      <colorScale>
        <cfvo type="min"/>
        <cfvo type="max"/>
        <color rgb="FFD5DCF4"/>
        <color rgb="FF6073B2"/>
      </colorScale>
    </cfRule>
  </conditionalFormatting>
  <conditionalFormatting sqref="C6:N6">
    <cfRule type="colorScale" priority="12">
      <colorScale>
        <cfvo type="min"/>
        <cfvo type="max"/>
        <color rgb="FFD5DCF4"/>
        <color rgb="FF6073B2"/>
      </colorScale>
    </cfRule>
  </conditionalFormatting>
  <conditionalFormatting sqref="C7:N7">
    <cfRule type="colorScale" priority="11">
      <colorScale>
        <cfvo type="min"/>
        <cfvo type="max"/>
        <color rgb="FFD5DCF4"/>
        <color rgb="FF6073B2"/>
      </colorScale>
    </cfRule>
  </conditionalFormatting>
  <conditionalFormatting sqref="C8:N8">
    <cfRule type="colorScale" priority="10">
      <colorScale>
        <cfvo type="min"/>
        <cfvo type="max"/>
        <color rgb="FFD5DCF4"/>
        <color rgb="FF6073B2"/>
      </colorScale>
    </cfRule>
  </conditionalFormatting>
  <conditionalFormatting sqref="C9:N9">
    <cfRule type="colorScale" priority="9">
      <colorScale>
        <cfvo type="min"/>
        <cfvo type="max"/>
        <color rgb="FFD5DCF4"/>
        <color rgb="FF6073B2"/>
      </colorScale>
    </cfRule>
  </conditionalFormatting>
  <conditionalFormatting sqref="C10:N10">
    <cfRule type="colorScale" priority="8">
      <colorScale>
        <cfvo type="min"/>
        <cfvo type="max"/>
        <color rgb="FFD5DCF4"/>
        <color rgb="FF6073B2"/>
      </colorScale>
    </cfRule>
  </conditionalFormatting>
  <conditionalFormatting sqref="C11:N11">
    <cfRule type="colorScale" priority="7">
      <colorScale>
        <cfvo type="min"/>
        <cfvo type="max"/>
        <color rgb="FFD5DCF4"/>
        <color rgb="FF6073B2"/>
      </colorScale>
    </cfRule>
  </conditionalFormatting>
  <conditionalFormatting sqref="C12:N12">
    <cfRule type="colorScale" priority="6">
      <colorScale>
        <cfvo type="min"/>
        <cfvo type="max"/>
        <color rgb="FFD5DCF4"/>
        <color rgb="FF6073B2"/>
      </colorScale>
    </cfRule>
  </conditionalFormatting>
  <conditionalFormatting sqref="C13:N13">
    <cfRule type="colorScale" priority="5">
      <colorScale>
        <cfvo type="min"/>
        <cfvo type="max"/>
        <color rgb="FFD5DCF4"/>
        <color rgb="FF6073B2"/>
      </colorScale>
    </cfRule>
  </conditionalFormatting>
  <conditionalFormatting sqref="C14:N14">
    <cfRule type="colorScale" priority="4">
      <colorScale>
        <cfvo type="min"/>
        <cfvo type="max"/>
        <color rgb="FFD5DCF4"/>
        <color rgb="FF6073B2"/>
      </colorScale>
    </cfRule>
  </conditionalFormatting>
  <conditionalFormatting sqref="C15:N15">
    <cfRule type="colorScale" priority="3">
      <colorScale>
        <cfvo type="min"/>
        <cfvo type="max"/>
        <color rgb="FFD5DCF4"/>
        <color rgb="FF6073B2"/>
      </colorScale>
    </cfRule>
  </conditionalFormatting>
  <conditionalFormatting sqref="C16:N16">
    <cfRule type="colorScale" priority="2">
      <colorScale>
        <cfvo type="min"/>
        <cfvo type="max"/>
        <color rgb="FFD5DCF4"/>
        <color rgb="FF6073B2"/>
      </colorScale>
    </cfRule>
  </conditionalFormatting>
  <conditionalFormatting sqref="C17:N17">
    <cfRule type="colorScale" priority="1">
      <colorScale>
        <cfvo type="min"/>
        <cfvo type="max"/>
        <color rgb="FFD5DCF4"/>
        <color rgb="FF6073B2"/>
      </colorScale>
    </cfRule>
  </conditionalFormatting>
  <pageMargins left="0.51" right="0.23622047244094488" top="1.3" bottom="0.74803149606299213" header="0.31496062992125984" footer="0.31496062992125984"/>
  <pageSetup paperSize="9" scale="105"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61E9E8-05D1-4049-9776-231DAAE132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2</vt:i4>
      </vt:variant>
    </vt:vector>
  </HeadingPairs>
  <TitlesOfParts>
    <vt:vector size="13" baseType="lpstr">
      <vt:lpstr>WOS {29-8-22}</vt:lpstr>
      <vt:lpstr>scopus{29-8-2022}</vt:lpstr>
      <vt:lpstr>Criteria Definitions (old)</vt:lpstr>
      <vt:lpstr>Criteria Definitions (paper)</vt:lpstr>
      <vt:lpstr>Principal Information</vt:lpstr>
      <vt:lpstr>Criteria Database</vt:lpstr>
      <vt:lpstr>SLR-Authors 2022</vt:lpstr>
      <vt:lpstr>highly_cited</vt:lpstr>
      <vt:lpstr>co-citation</vt:lpstr>
      <vt:lpstr>annual_sc_prod</vt:lpstr>
      <vt:lpstr>crite-year</vt:lpstr>
      <vt:lpstr>'co-citation'!_GoBack</vt:lpstr>
      <vt:lpstr>'crite-year'!Area_de_impressao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Erivelton A dos Santos</dc:creator>
  <cp:lastModifiedBy>Erivelton A dos Santos</cp:lastModifiedBy>
  <cp:lastPrinted>2022-11-04T10:43:04Z</cp:lastPrinted>
  <dcterms:created xsi:type="dcterms:W3CDTF">2022-09-05T10:10:23Z</dcterms:created>
  <dcterms:modified xsi:type="dcterms:W3CDTF">2023-05-17T22:15:25Z</dcterms:modified>
</cp:coreProperties>
</file>